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06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igre.sharepoint.com/sites/MarketingeProdutosUSA/Documentos Compartilhados/2026/USEFUL SPREADSHEETS/WORKBOOK - password MKTGTIGRE2@26/"/>
    </mc:Choice>
  </mc:AlternateContent>
  <xr:revisionPtr revIDLastSave="98" documentId="8_{60D66D11-F9FC-41F8-B595-484097D7A123}" xr6:coauthVersionLast="47" xr6:coauthVersionMax="47" xr10:uidLastSave="{C4C7FA0F-3B80-4240-BA04-EEB7E2F291DD}"/>
  <workbookProtection workbookAlgorithmName="SHA-512" workbookHashValue="gEI1aSVsmsLpSG0xy2ktePfCOtHfJPEn4X122or5MB+03JLw1yTIi9+QH8cstNoX8USyZ+f1LWHuV/Hb+FuY7Q==" workbookSaltValue="Hve78JKjJM6YNKR+mXBgsA==" workbookSpinCount="100000" lockStructure="1"/>
  <bookViews>
    <workbookView xWindow="28680" yWindow="-120" windowWidth="29040" windowHeight="15720" tabRatio="990" firstSheet="13" activeTab="31" xr2:uid="{00000000-000D-0000-FFFF-FFFF00000000}"/>
  </bookViews>
  <sheets>
    <sheet name="Instructions" sheetId="15" r:id="rId1"/>
    <sheet name="Order_Quote" sheetId="18" r:id="rId2"/>
    <sheet name="DWV ABS" sheetId="42" state="hidden" r:id="rId3"/>
    <sheet name="DWV PVC" sheetId="8" r:id="rId4"/>
    <sheet name="PVC SCH40" sheetId="9" r:id="rId5"/>
    <sheet name="PVC SCH40 LD" sheetId="47" r:id="rId6"/>
    <sheet name="Pool &amp; SPA Sweep Elbows" sheetId="52" r:id="rId7"/>
    <sheet name="Pool &amp; SPA Pipe Extender" sheetId="51" r:id="rId8"/>
    <sheet name="PVC SCH80" sheetId="24" r:id="rId9"/>
    <sheet name="PVC SCH80 Flange" sheetId="53" r:id="rId10"/>
    <sheet name="PVC SCH80 LD Flange" sheetId="25" r:id="rId11"/>
    <sheet name="CPVC" sheetId="21" r:id="rId12"/>
    <sheet name="InsertFittings" sheetId="32" r:id="rId13"/>
    <sheet name="Valves" sheetId="28" r:id="rId14"/>
    <sheet name="SDR35SW" sheetId="12" r:id="rId15"/>
    <sheet name="SDR35G" sheetId="11" r:id="rId16"/>
    <sheet name="SDR26G" sheetId="10" r:id="rId17"/>
    <sheet name="Cements" sheetId="22" r:id="rId18"/>
    <sheet name="ValveBox" sheetId="29" r:id="rId19"/>
    <sheet name="ValveBox Components" sheetId="55" r:id="rId20"/>
    <sheet name="Drainage" sheetId="34" r:id="rId21"/>
    <sheet name="Nipples" sheetId="38" r:id="rId22"/>
    <sheet name="Manifold" sheetId="39" r:id="rId23"/>
    <sheet name="FlexibleRepairCouplings" sheetId="33" r:id="rId24"/>
    <sheet name="DuraFix" sheetId="40" r:id="rId25"/>
    <sheet name="Compression Fittings" sheetId="45" r:id="rId26"/>
    <sheet name="Hose Fittings" sheetId="46" r:id="rId27"/>
    <sheet name="Swing Joints" sheetId="37" r:id="rId28"/>
    <sheet name="Swing Joints Components" sheetId="54" r:id="rId29"/>
    <sheet name="Nonstandard" sheetId="19" r:id="rId30"/>
    <sheet name="Purchase Order Requirements" sheetId="16" r:id="rId31"/>
    <sheet name="All Products" sheetId="50" r:id="rId32"/>
  </sheets>
  <externalReferences>
    <externalReference r:id="rId33"/>
  </externalReferences>
  <definedNames>
    <definedName name="_xlnm._FilterDatabase" localSheetId="31" hidden="1">'All Products'!$B$7:$Q$2869</definedName>
    <definedName name="_xlnm._FilterDatabase" localSheetId="17" hidden="1">Cements!$D$7:$Y$99</definedName>
    <definedName name="_xlnm._FilterDatabase" localSheetId="25" hidden="1">'Compression Fittings'!$B$7:$X$16</definedName>
    <definedName name="_xlnm._FilterDatabase" localSheetId="11" hidden="1">CPVC!$D$7:$T$99</definedName>
    <definedName name="_xlnm._FilterDatabase" localSheetId="20" hidden="1">Drainage!$B$7:$V$92</definedName>
    <definedName name="_xlnm._FilterDatabase" localSheetId="24" hidden="1">DuraFix!$B$7:$M$15</definedName>
    <definedName name="_xlnm._FilterDatabase" localSheetId="2" hidden="1">'DWV ABS'!$B$7:$S$117</definedName>
    <definedName name="_xlnm._FilterDatabase" localSheetId="3" hidden="1">'DWV PVC'!$B$7:$S$285</definedName>
    <definedName name="_xlnm._FilterDatabase" localSheetId="23" hidden="1">FlexibleRepairCouplings!$D$7:$K$12</definedName>
    <definedName name="_xlnm._FilterDatabase" localSheetId="26" hidden="1">'Hose Fittings'!$B$7:$X$30</definedName>
    <definedName name="_xlnm._FilterDatabase" localSheetId="12" hidden="1">InsertFittings!$D$7:$W$236</definedName>
    <definedName name="_xlnm._FilterDatabase" localSheetId="22" hidden="1">Manifold!$D$7:$W$32</definedName>
    <definedName name="_xlnm._FilterDatabase" localSheetId="21" hidden="1">Nipples!$D$7:$AA$81</definedName>
    <definedName name="_xlnm._FilterDatabase" localSheetId="7" hidden="1">'Pool &amp; SPA Pipe Extender'!$D$7:$X$10</definedName>
    <definedName name="_xlnm._FilterDatabase" localSheetId="6" hidden="1">'Pool &amp; SPA Sweep Elbows'!$D$7:$X$11</definedName>
    <definedName name="_xlnm._FilterDatabase" localSheetId="4" hidden="1">'PVC SCH40'!$D$7:$X$375</definedName>
    <definedName name="_xlnm._FilterDatabase" localSheetId="5" hidden="1">'PVC SCH40 LD'!$D$7:$X$21</definedName>
    <definedName name="_xlnm._FilterDatabase" localSheetId="8" hidden="1">'PVC SCH80'!$B$7:$W$250</definedName>
    <definedName name="_xlnm._FilterDatabase" localSheetId="9" hidden="1">'PVC SCH80 Flange'!$B$7:$W$49</definedName>
    <definedName name="_xlnm._FilterDatabase" localSheetId="10" hidden="1">'PVC SCH80 LD Flange'!$D$7:$W$16</definedName>
    <definedName name="_xlnm._FilterDatabase" localSheetId="16" hidden="1">SDR26G!$D$7:$T$60</definedName>
    <definedName name="_xlnm._FilterDatabase" localSheetId="15" hidden="1">SDR35G!$D$7:$S$142</definedName>
    <definedName name="_xlnm._FilterDatabase" localSheetId="14" hidden="1">SDR35SW!$A$7:$W$124</definedName>
    <definedName name="_xlnm._FilterDatabase" localSheetId="27" hidden="1">'Swing Joints'!$D$7:$V$495</definedName>
    <definedName name="_xlnm._FilterDatabase" localSheetId="28" hidden="1">'Swing Joints Components'!$D$7:$V$134</definedName>
    <definedName name="_xlnm._FilterDatabase" localSheetId="18" hidden="1">ValveBox!$D$7:$W$142</definedName>
    <definedName name="_xlnm._FilterDatabase" localSheetId="19" hidden="1">'ValveBox Components'!$D$7:$W$165</definedName>
    <definedName name="_xlnm._FilterDatabase" localSheetId="13" hidden="1">Valves!$D$7:$W$131</definedName>
    <definedName name="_xlnm.Print_Area" localSheetId="31">'All Products'!$A$1:$H$2869</definedName>
    <definedName name="_xlnm.Print_Area" localSheetId="17">Cements!$A$1:$M$99</definedName>
    <definedName name="_xlnm.Print_Area" localSheetId="25">'Compression Fittings'!$A$1:$I$16</definedName>
    <definedName name="_xlnm.Print_Area" localSheetId="11">CPVC!$A$1:$I$100</definedName>
    <definedName name="_xlnm.Print_Area" localSheetId="20">Drainage!$A$1:$I$92</definedName>
    <definedName name="_xlnm.Print_Area" localSheetId="24">DuraFix!$A$1:$I$15</definedName>
    <definedName name="_xlnm.Print_Area" localSheetId="2">'DWV ABS'!$A$1:$I$120</definedName>
    <definedName name="_xlnm.Print_Area" localSheetId="3">'DWV PVC'!$A$1:$I$285</definedName>
    <definedName name="_xlnm.Print_Area" localSheetId="23">FlexibleRepairCouplings!$A$1:$I$13</definedName>
    <definedName name="_xlnm.Print_Area" localSheetId="26">'Hose Fittings'!$A$1:$I$30</definedName>
    <definedName name="_xlnm.Print_Area" localSheetId="12">InsertFittings!$A$1:$I$237</definedName>
    <definedName name="_xlnm.Print_Area" localSheetId="22">Manifold!$A$1:$I$33</definedName>
    <definedName name="_xlnm.Print_Area" localSheetId="21">Nipples!$A$1:$M$82</definedName>
    <definedName name="_xlnm.Print_Area" localSheetId="7">'Pool &amp; SPA Pipe Extender'!$A$1:$I$11</definedName>
    <definedName name="_xlnm.Print_Area" localSheetId="6">'Pool &amp; SPA Sweep Elbows'!$A$1:$I$12</definedName>
    <definedName name="_xlnm.Print_Area" localSheetId="4">'PVC SCH40'!$A$1:$I$376</definedName>
    <definedName name="_xlnm.Print_Area" localSheetId="5">'PVC SCH40 LD'!$A$1:$I$22</definedName>
    <definedName name="_xlnm.Print_Area" localSheetId="8">'PVC SCH80'!$A$1:$I$250</definedName>
    <definedName name="_xlnm.Print_Area" localSheetId="9">'PVC SCH80 Flange'!$A$1:$I$49</definedName>
    <definedName name="_xlnm.Print_Area" localSheetId="10">'PVC SCH80 LD Flange'!$A$1:$I$17</definedName>
    <definedName name="_xlnm.Print_Area" localSheetId="16">SDR26G!$A$1:$J$61</definedName>
    <definedName name="_xlnm.Print_Area" localSheetId="15">SDR35G!$A$1:$I$143</definedName>
    <definedName name="_xlnm.Print_Area" localSheetId="14">SDR35SW!$A$1:$I$124</definedName>
    <definedName name="_xlnm.Print_Area" localSheetId="27">'Swing Joints'!$A$1:$I$496</definedName>
    <definedName name="_xlnm.Print_Area" localSheetId="28">'Swing Joints Components'!$A$1:$I$135</definedName>
    <definedName name="_xlnm.Print_Area" localSheetId="18">ValveBox!$A$1:$K$143</definedName>
    <definedName name="_xlnm.Print_Area" localSheetId="19">'ValveBox Components'!$A$1:$K$165</definedName>
    <definedName name="_xlnm.Print_Area" localSheetId="13">Valves!$A$1:$I$132</definedName>
    <definedName name="_xlnm.Print_Titles" localSheetId="31">'All Products'!$1:$7</definedName>
    <definedName name="_xlnm.Print_Titles" localSheetId="17">Cements!$1:$7</definedName>
    <definedName name="_xlnm.Print_Titles" localSheetId="25">'Compression Fittings'!$1:$7</definedName>
    <definedName name="_xlnm.Print_Titles" localSheetId="11">CPVC!$1:$7</definedName>
    <definedName name="_xlnm.Print_Titles" localSheetId="20">Drainage!$1:$7</definedName>
    <definedName name="_xlnm.Print_Titles" localSheetId="24">DuraFix!$1:$7</definedName>
    <definedName name="_xlnm.Print_Titles" localSheetId="2">'DWV ABS'!$1:$7</definedName>
    <definedName name="_xlnm.Print_Titles" localSheetId="3">'DWV PVC'!$1:$7</definedName>
    <definedName name="_xlnm.Print_Titles" localSheetId="23">FlexibleRepairCouplings!$1:$7</definedName>
    <definedName name="_xlnm.Print_Titles" localSheetId="26">'Hose Fittings'!$1:$7</definedName>
    <definedName name="_xlnm.Print_Titles" localSheetId="12">InsertFittings!$1:$7</definedName>
    <definedName name="_xlnm.Print_Titles" localSheetId="22">Manifold!$1:$7</definedName>
    <definedName name="_xlnm.Print_Titles" localSheetId="21">Nipples!$1:$7</definedName>
    <definedName name="_xlnm.Print_Titles" localSheetId="1">Order_Quote!$1:$31</definedName>
    <definedName name="_xlnm.Print_Titles" localSheetId="7">'Pool &amp; SPA Pipe Extender'!$1:$7</definedName>
    <definedName name="_xlnm.Print_Titles" localSheetId="6">'Pool &amp; SPA Sweep Elbows'!$1:$7</definedName>
    <definedName name="_xlnm.Print_Titles" localSheetId="4">'PVC SCH40'!$1:$7</definedName>
    <definedName name="_xlnm.Print_Titles" localSheetId="5">'PVC SCH40 LD'!$1:$7</definedName>
    <definedName name="_xlnm.Print_Titles" localSheetId="8">'PVC SCH80'!$1:$7</definedName>
    <definedName name="_xlnm.Print_Titles" localSheetId="9">'PVC SCH80 Flange'!$1:$7</definedName>
    <definedName name="_xlnm.Print_Titles" localSheetId="10">'PVC SCH80 LD Flange'!$1:$7</definedName>
    <definedName name="_xlnm.Print_Titles" localSheetId="16">SDR26G!$1:$7</definedName>
    <definedName name="_xlnm.Print_Titles" localSheetId="15">SDR35G!$1:$7</definedName>
    <definedName name="_xlnm.Print_Titles" localSheetId="14">SDR35SW!$1:$7</definedName>
    <definedName name="_xlnm.Print_Titles" localSheetId="27">'Swing Joints'!$1:$7</definedName>
    <definedName name="_xlnm.Print_Titles" localSheetId="28">'Swing Joints Components'!$1:$7</definedName>
    <definedName name="_xlnm.Print_Titles" localSheetId="18">ValveBox!$1:$7</definedName>
    <definedName name="_xlnm.Print_Titles" localSheetId="19">'ValveBox Components'!$1:$7</definedName>
    <definedName name="_xlnm.Print_Titles" localSheetId="13">Valves!$1:$7</definedName>
    <definedName name="Product_Line" comment="List of product lines for non-standard order items" localSheetId="17">#REF!</definedName>
    <definedName name="Product_Line" comment="List of product lines for non-standard order items" localSheetId="11">#REF!</definedName>
    <definedName name="Product_Line" comment="List of product lines for non-standard order items" localSheetId="20">#REF!</definedName>
    <definedName name="Product_Line" comment="List of product lines for non-standard order items" localSheetId="24">#REF!</definedName>
    <definedName name="Product_Line" comment="List of product lines for non-standard order items" localSheetId="23">#REF!</definedName>
    <definedName name="Product_Line" comment="List of product lines for non-standard order items" localSheetId="12">#REF!</definedName>
    <definedName name="Product_Line" comment="List of product lines for non-standard order items" localSheetId="22">#REF!</definedName>
    <definedName name="Product_Line" comment="List of product lines for non-standard order items" localSheetId="21">#REF!</definedName>
    <definedName name="Product_Line" comment="List of product lines for non-standard order items" localSheetId="8">#REF!</definedName>
    <definedName name="Product_Line" comment="List of product lines for non-standard order items" localSheetId="9">#REF!</definedName>
    <definedName name="Product_Line" comment="List of product lines for non-standard order items" localSheetId="10">#REF!</definedName>
    <definedName name="Product_Line" comment="List of product lines for non-standard order items" localSheetId="27">#REF!</definedName>
    <definedName name="Product_Line" comment="List of product lines for non-standard order items" localSheetId="28">#REF!</definedName>
    <definedName name="Product_Line" comment="List of product lines for non-standard order items" localSheetId="18">#REF!</definedName>
    <definedName name="Product_Line" comment="List of product lines for non-standard order items" localSheetId="19">#REF!</definedName>
    <definedName name="Product_Line" comment="List of product lines for non-standard order items" localSheetId="13">#REF!</definedName>
    <definedName name="Product_Line" comment="List of product lines for non-standard order item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8" i="21" l="1"/>
  <c r="I97" i="21"/>
  <c r="I96" i="21"/>
  <c r="I95" i="21"/>
  <c r="I94" i="21"/>
  <c r="I93" i="21"/>
  <c r="I92" i="21"/>
  <c r="I91" i="21"/>
  <c r="I90" i="21"/>
  <c r="I89" i="21"/>
  <c r="I88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59" i="21"/>
  <c r="I58" i="21"/>
  <c r="I56" i="21"/>
  <c r="I55" i="21"/>
  <c r="I54" i="21"/>
  <c r="I53" i="21"/>
  <c r="I52" i="21"/>
  <c r="I51" i="21"/>
  <c r="I48" i="21"/>
  <c r="I47" i="21"/>
  <c r="I44" i="21"/>
  <c r="I43" i="21"/>
  <c r="I42" i="21"/>
  <c r="I40" i="21"/>
  <c r="I38" i="21"/>
  <c r="I37" i="21"/>
  <c r="I36" i="21"/>
  <c r="I35" i="21"/>
  <c r="I34" i="21"/>
  <c r="I33" i="21"/>
  <c r="I32" i="21"/>
  <c r="I31" i="21"/>
  <c r="I30" i="21"/>
  <c r="I29" i="21"/>
  <c r="I28" i="21"/>
  <c r="I27" i="21"/>
  <c r="I24" i="21"/>
  <c r="I22" i="21"/>
  <c r="I20" i="21"/>
  <c r="I19" i="21"/>
  <c r="I18" i="21"/>
  <c r="I17" i="21"/>
  <c r="I16" i="21"/>
  <c r="I15" i="21"/>
  <c r="I14" i="21"/>
  <c r="I13" i="21"/>
  <c r="I12" i="21"/>
  <c r="I11" i="21"/>
  <c r="I8" i="21"/>
  <c r="I9" i="21"/>
  <c r="I10" i="21"/>
  <c r="I21" i="21"/>
  <c r="I23" i="21"/>
  <c r="I25" i="21"/>
  <c r="I26" i="21"/>
  <c r="I39" i="21"/>
  <c r="I41" i="21"/>
  <c r="I45" i="21"/>
  <c r="I46" i="21"/>
  <c r="I49" i="21"/>
  <c r="I50" i="21"/>
  <c r="I57" i="21"/>
  <c r="I60" i="21"/>
  <c r="I61" i="21"/>
  <c r="I62" i="21"/>
  <c r="I63" i="21"/>
  <c r="I64" i="21"/>
  <c r="I65" i="21"/>
  <c r="I66" i="21"/>
  <c r="I67" i="21"/>
  <c r="I80" i="21"/>
  <c r="I81" i="21"/>
  <c r="I82" i="21"/>
  <c r="I83" i="21"/>
  <c r="I84" i="21"/>
  <c r="I85" i="21"/>
  <c r="I86" i="21"/>
  <c r="I87" i="21"/>
  <c r="I99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47" i="21"/>
  <c r="H48" i="21"/>
  <c r="H49" i="21"/>
  <c r="H50" i="21"/>
  <c r="H51" i="21"/>
  <c r="H52" i="21"/>
  <c r="H53" i="21"/>
  <c r="H54" i="21"/>
  <c r="H55" i="21"/>
  <c r="H56" i="21"/>
  <c r="H57" i="21"/>
  <c r="H58" i="21"/>
  <c r="H59" i="21"/>
  <c r="H60" i="21"/>
  <c r="H61" i="21"/>
  <c r="H62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38" i="21"/>
  <c r="F39" i="21"/>
  <c r="F40" i="21"/>
  <c r="F41" i="21"/>
  <c r="F42" i="21"/>
  <c r="F43" i="21"/>
  <c r="F44" i="21"/>
  <c r="F45" i="21"/>
  <c r="F46" i="21"/>
  <c r="F47" i="21"/>
  <c r="F48" i="21"/>
  <c r="F49" i="21"/>
  <c r="F50" i="21"/>
  <c r="F51" i="21"/>
  <c r="F52" i="21"/>
  <c r="F53" i="21"/>
  <c r="F54" i="21"/>
  <c r="F55" i="21"/>
  <c r="F56" i="21"/>
  <c r="F57" i="21"/>
  <c r="F58" i="21"/>
  <c r="F59" i="21"/>
  <c r="F60" i="21"/>
  <c r="F61" i="21"/>
  <c r="F62" i="21"/>
  <c r="F63" i="21"/>
  <c r="F64" i="21"/>
  <c r="F65" i="21"/>
  <c r="F66" i="21"/>
  <c r="F67" i="21"/>
  <c r="F68" i="21"/>
  <c r="F69" i="21"/>
  <c r="F70" i="21"/>
  <c r="F71" i="21"/>
  <c r="F72" i="21"/>
  <c r="F73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6" i="21"/>
  <c r="F87" i="21"/>
  <c r="F88" i="21"/>
  <c r="F89" i="21"/>
  <c r="F90" i="21"/>
  <c r="F91" i="21"/>
  <c r="F92" i="21"/>
  <c r="F93" i="21"/>
  <c r="F94" i="21"/>
  <c r="F95" i="21"/>
  <c r="F96" i="21"/>
  <c r="F97" i="21"/>
  <c r="F98" i="21"/>
  <c r="F99" i="21"/>
  <c r="F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8" i="21"/>
  <c r="W9" i="25"/>
  <c r="W10" i="25"/>
  <c r="W11" i="25"/>
  <c r="W12" i="25"/>
  <c r="W13" i="25"/>
  <c r="W14" i="25"/>
  <c r="W15" i="25"/>
  <c r="W16" i="25"/>
  <c r="W8" i="25"/>
  <c r="V9" i="25"/>
  <c r="V10" i="25"/>
  <c r="V11" i="25"/>
  <c r="V12" i="25"/>
  <c r="V13" i="25"/>
  <c r="V14" i="25"/>
  <c r="V15" i="25"/>
  <c r="V16" i="25"/>
  <c r="V8" i="25"/>
  <c r="U9" i="25"/>
  <c r="U10" i="25"/>
  <c r="U11" i="25"/>
  <c r="U12" i="25"/>
  <c r="U13" i="25"/>
  <c r="U14" i="25"/>
  <c r="U15" i="25"/>
  <c r="U16" i="25"/>
  <c r="U8" i="25"/>
  <c r="T9" i="25"/>
  <c r="T10" i="25"/>
  <c r="T11" i="25"/>
  <c r="T12" i="25"/>
  <c r="T13" i="25"/>
  <c r="T14" i="25"/>
  <c r="T15" i="25"/>
  <c r="T16" i="25"/>
  <c r="T8" i="25"/>
  <c r="S9" i="25"/>
  <c r="S10" i="25"/>
  <c r="S11" i="25"/>
  <c r="S12" i="25"/>
  <c r="S13" i="25"/>
  <c r="S14" i="25"/>
  <c r="S15" i="25"/>
  <c r="S16" i="25"/>
  <c r="S8" i="25"/>
  <c r="R9" i="25"/>
  <c r="R10" i="25"/>
  <c r="R11" i="25"/>
  <c r="R12" i="25"/>
  <c r="R13" i="25"/>
  <c r="R14" i="25"/>
  <c r="R15" i="25"/>
  <c r="R16" i="25"/>
  <c r="R8" i="25"/>
  <c r="Q9" i="25"/>
  <c r="Q10" i="25"/>
  <c r="Q11" i="25"/>
  <c r="Q12" i="25"/>
  <c r="Q13" i="25"/>
  <c r="Q14" i="25"/>
  <c r="Q15" i="25"/>
  <c r="Q16" i="25"/>
  <c r="Q8" i="25"/>
  <c r="P9" i="25"/>
  <c r="P10" i="25"/>
  <c r="P11" i="25"/>
  <c r="P12" i="25"/>
  <c r="P13" i="25"/>
  <c r="P14" i="25"/>
  <c r="P15" i="25"/>
  <c r="P16" i="25"/>
  <c r="P8" i="25"/>
  <c r="O9" i="25"/>
  <c r="O10" i="25"/>
  <c r="O11" i="25"/>
  <c r="O12" i="25"/>
  <c r="O13" i="25"/>
  <c r="O14" i="25"/>
  <c r="O15" i="25"/>
  <c r="O16" i="25"/>
  <c r="O8" i="25"/>
  <c r="H9" i="25"/>
  <c r="H10" i="25"/>
  <c r="H11" i="25"/>
  <c r="H12" i="25"/>
  <c r="H13" i="25"/>
  <c r="H14" i="25"/>
  <c r="H15" i="25"/>
  <c r="H16" i="25"/>
  <c r="H8" i="25"/>
  <c r="G9" i="25"/>
  <c r="G10" i="25"/>
  <c r="G11" i="25"/>
  <c r="G12" i="25"/>
  <c r="G13" i="25"/>
  <c r="G14" i="25"/>
  <c r="G15" i="25"/>
  <c r="G16" i="25"/>
  <c r="G8" i="25"/>
  <c r="F9" i="25"/>
  <c r="F10" i="25"/>
  <c r="F11" i="25"/>
  <c r="F12" i="25"/>
  <c r="F13" i="25"/>
  <c r="F14" i="25"/>
  <c r="F15" i="25"/>
  <c r="F16" i="25"/>
  <c r="F8" i="25"/>
  <c r="D9" i="25"/>
  <c r="D10" i="25"/>
  <c r="D11" i="25"/>
  <c r="D12" i="25"/>
  <c r="D13" i="25"/>
  <c r="D14" i="25"/>
  <c r="D15" i="25"/>
  <c r="D16" i="25"/>
  <c r="D8" i="25"/>
  <c r="I9" i="25"/>
  <c r="I10" i="25"/>
  <c r="I11" i="25"/>
  <c r="I12" i="25"/>
  <c r="I13" i="25"/>
  <c r="I14" i="25"/>
  <c r="I15" i="25"/>
  <c r="I16" i="25"/>
  <c r="I8" i="25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V8" i="53"/>
  <c r="V10" i="53"/>
  <c r="V11" i="53"/>
  <c r="V12" i="53"/>
  <c r="V13" i="53"/>
  <c r="V14" i="53"/>
  <c r="V15" i="53"/>
  <c r="V16" i="53"/>
  <c r="V17" i="53"/>
  <c r="V18" i="53"/>
  <c r="V19" i="53"/>
  <c r="V20" i="53"/>
  <c r="V21" i="53"/>
  <c r="V22" i="53"/>
  <c r="V23" i="53"/>
  <c r="V24" i="53"/>
  <c r="V25" i="53"/>
  <c r="V26" i="53"/>
  <c r="V27" i="53"/>
  <c r="V28" i="53"/>
  <c r="V29" i="53"/>
  <c r="V30" i="53"/>
  <c r="V31" i="53"/>
  <c r="V32" i="53"/>
  <c r="V33" i="53"/>
  <c r="V34" i="53"/>
  <c r="V35" i="53"/>
  <c r="V36" i="53"/>
  <c r="V37" i="53"/>
  <c r="V38" i="53"/>
  <c r="V39" i="53"/>
  <c r="V40" i="53"/>
  <c r="V41" i="53"/>
  <c r="V42" i="53"/>
  <c r="V43" i="53"/>
  <c r="V44" i="53"/>
  <c r="V45" i="53"/>
  <c r="V46" i="53"/>
  <c r="V47" i="53"/>
  <c r="V48" i="53"/>
  <c r="V9" i="53"/>
  <c r="T9" i="53"/>
  <c r="T10" i="53"/>
  <c r="T11" i="53"/>
  <c r="T12" i="53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8" i="53"/>
  <c r="S9" i="53"/>
  <c r="S10" i="53"/>
  <c r="S11" i="53"/>
  <c r="S12" i="53"/>
  <c r="S13" i="53"/>
  <c r="S14" i="53"/>
  <c r="S15" i="53"/>
  <c r="S16" i="53"/>
  <c r="S17" i="53"/>
  <c r="S18" i="53"/>
  <c r="S19" i="53"/>
  <c r="S20" i="53"/>
  <c r="S21" i="53"/>
  <c r="S22" i="53"/>
  <c r="S23" i="53"/>
  <c r="S24" i="53"/>
  <c r="S25" i="53"/>
  <c r="S26" i="53"/>
  <c r="S27" i="53"/>
  <c r="S28" i="53"/>
  <c r="S29" i="53"/>
  <c r="S30" i="53"/>
  <c r="S31" i="53"/>
  <c r="S32" i="53"/>
  <c r="S33" i="53"/>
  <c r="S34" i="53"/>
  <c r="S35" i="53"/>
  <c r="S36" i="53"/>
  <c r="S37" i="53"/>
  <c r="S38" i="53"/>
  <c r="S39" i="53"/>
  <c r="S40" i="53"/>
  <c r="S41" i="53"/>
  <c r="S42" i="53"/>
  <c r="S43" i="53"/>
  <c r="S44" i="53"/>
  <c r="S45" i="53"/>
  <c r="S46" i="53"/>
  <c r="S47" i="53"/>
  <c r="S48" i="53"/>
  <c r="S8" i="53"/>
  <c r="R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8" i="53"/>
  <c r="Q9" i="53"/>
  <c r="Q10" i="53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Q31" i="53"/>
  <c r="Q32" i="53"/>
  <c r="Q33" i="53"/>
  <c r="Q34" i="53"/>
  <c r="Q35" i="53"/>
  <c r="Q36" i="53"/>
  <c r="Q37" i="53"/>
  <c r="Q38" i="53"/>
  <c r="Q39" i="53"/>
  <c r="Q40" i="53"/>
  <c r="Q41" i="53"/>
  <c r="Q42" i="53"/>
  <c r="Q43" i="53"/>
  <c r="Q44" i="53"/>
  <c r="Q45" i="53"/>
  <c r="Q46" i="53"/>
  <c r="Q47" i="53"/>
  <c r="Q48" i="53"/>
  <c r="Q8" i="53"/>
  <c r="P9" i="53"/>
  <c r="P10" i="53"/>
  <c r="P11" i="53"/>
  <c r="P12" i="53"/>
  <c r="P13" i="53"/>
  <c r="P14" i="53"/>
  <c r="P15" i="53"/>
  <c r="P16" i="53"/>
  <c r="P17" i="53"/>
  <c r="P18" i="53"/>
  <c r="P19" i="53"/>
  <c r="P20" i="53"/>
  <c r="P21" i="53"/>
  <c r="P22" i="53"/>
  <c r="P23" i="53"/>
  <c r="P24" i="53"/>
  <c r="P25" i="53"/>
  <c r="P26" i="53"/>
  <c r="P27" i="53"/>
  <c r="P28" i="53"/>
  <c r="P29" i="53"/>
  <c r="P30" i="53"/>
  <c r="P31" i="53"/>
  <c r="P32" i="53"/>
  <c r="P33" i="53"/>
  <c r="P34" i="53"/>
  <c r="P35" i="53"/>
  <c r="P36" i="53"/>
  <c r="P37" i="53"/>
  <c r="P38" i="53"/>
  <c r="P39" i="53"/>
  <c r="P40" i="53"/>
  <c r="P41" i="53"/>
  <c r="P42" i="53"/>
  <c r="P43" i="53"/>
  <c r="P44" i="53"/>
  <c r="P45" i="53"/>
  <c r="P46" i="53"/>
  <c r="P47" i="53"/>
  <c r="P48" i="53"/>
  <c r="P8" i="53"/>
  <c r="O9" i="53"/>
  <c r="O10" i="53"/>
  <c r="O11" i="53"/>
  <c r="O12" i="53"/>
  <c r="O13" i="53"/>
  <c r="O14" i="53"/>
  <c r="O15" i="53"/>
  <c r="O16" i="53"/>
  <c r="O17" i="53"/>
  <c r="O18" i="53"/>
  <c r="O19" i="53"/>
  <c r="O20" i="53"/>
  <c r="O21" i="53"/>
  <c r="O22" i="53"/>
  <c r="O23" i="53"/>
  <c r="O24" i="53"/>
  <c r="O25" i="53"/>
  <c r="O26" i="53"/>
  <c r="O27" i="53"/>
  <c r="O28" i="53"/>
  <c r="O29" i="53"/>
  <c r="O30" i="53"/>
  <c r="O31" i="53"/>
  <c r="O32" i="53"/>
  <c r="O33" i="53"/>
  <c r="O34" i="53"/>
  <c r="O35" i="53"/>
  <c r="O36" i="53"/>
  <c r="O37" i="53"/>
  <c r="O38" i="53"/>
  <c r="O39" i="53"/>
  <c r="O40" i="53"/>
  <c r="O41" i="53"/>
  <c r="O42" i="53"/>
  <c r="O43" i="53"/>
  <c r="O44" i="53"/>
  <c r="O45" i="53"/>
  <c r="O46" i="53"/>
  <c r="O47" i="53"/>
  <c r="O48" i="53"/>
  <c r="O8" i="53"/>
  <c r="H9" i="53"/>
  <c r="H10" i="53"/>
  <c r="H11" i="53"/>
  <c r="H12" i="53"/>
  <c r="H13" i="53"/>
  <c r="H14" i="53"/>
  <c r="H15" i="53"/>
  <c r="H16" i="53"/>
  <c r="H17" i="53"/>
  <c r="H18" i="53"/>
  <c r="H19" i="53"/>
  <c r="H20" i="53"/>
  <c r="H21" i="53"/>
  <c r="H22" i="53"/>
  <c r="H23" i="53"/>
  <c r="H24" i="53"/>
  <c r="H25" i="53"/>
  <c r="H26" i="53"/>
  <c r="H27" i="53"/>
  <c r="H28" i="53"/>
  <c r="H29" i="53"/>
  <c r="H30" i="53"/>
  <c r="H31" i="53"/>
  <c r="H32" i="53"/>
  <c r="H33" i="53"/>
  <c r="H34" i="53"/>
  <c r="H35" i="53"/>
  <c r="H36" i="53"/>
  <c r="H37" i="53"/>
  <c r="H38" i="53"/>
  <c r="H39" i="53"/>
  <c r="H40" i="53"/>
  <c r="H41" i="53"/>
  <c r="H42" i="53"/>
  <c r="H43" i="53"/>
  <c r="H44" i="53"/>
  <c r="H45" i="53"/>
  <c r="H46" i="53"/>
  <c r="H47" i="53"/>
  <c r="H48" i="53"/>
  <c r="H8" i="53"/>
  <c r="G9" i="53"/>
  <c r="G10" i="53"/>
  <c r="G11" i="53"/>
  <c r="G12" i="53"/>
  <c r="G13" i="53"/>
  <c r="G14" i="53"/>
  <c r="G15" i="53"/>
  <c r="G16" i="53"/>
  <c r="G17" i="53"/>
  <c r="G18" i="53"/>
  <c r="G19" i="53"/>
  <c r="G20" i="53"/>
  <c r="G21" i="53"/>
  <c r="G22" i="53"/>
  <c r="G23" i="53"/>
  <c r="G24" i="53"/>
  <c r="G25" i="53"/>
  <c r="G26" i="53"/>
  <c r="G27" i="53"/>
  <c r="G28" i="53"/>
  <c r="G29" i="53"/>
  <c r="G30" i="53"/>
  <c r="G31" i="53"/>
  <c r="G32" i="53"/>
  <c r="G33" i="53"/>
  <c r="G34" i="53"/>
  <c r="G35" i="53"/>
  <c r="G36" i="53"/>
  <c r="G37" i="53"/>
  <c r="G38" i="53"/>
  <c r="G39" i="53"/>
  <c r="G40" i="53"/>
  <c r="G41" i="53"/>
  <c r="G42" i="53"/>
  <c r="G43" i="53"/>
  <c r="G44" i="53"/>
  <c r="G45" i="53"/>
  <c r="G46" i="53"/>
  <c r="G47" i="53"/>
  <c r="G48" i="53"/>
  <c r="G8" i="53"/>
  <c r="F9" i="53"/>
  <c r="U9" i="53" s="1"/>
  <c r="F10" i="53"/>
  <c r="U10" i="53" s="1"/>
  <c r="F11" i="53"/>
  <c r="U11" i="53" s="1"/>
  <c r="F12" i="53"/>
  <c r="U12" i="53" s="1"/>
  <c r="F13" i="53"/>
  <c r="U13" i="53" s="1"/>
  <c r="F14" i="53"/>
  <c r="U14" i="53" s="1"/>
  <c r="F15" i="53"/>
  <c r="U15" i="53" s="1"/>
  <c r="F16" i="53"/>
  <c r="U16" i="53" s="1"/>
  <c r="F17" i="53"/>
  <c r="U17" i="53" s="1"/>
  <c r="F18" i="53"/>
  <c r="U18" i="53" s="1"/>
  <c r="F19" i="53"/>
  <c r="U19" i="53" s="1"/>
  <c r="F20" i="53"/>
  <c r="U20" i="53" s="1"/>
  <c r="F21" i="53"/>
  <c r="U21" i="53" s="1"/>
  <c r="F22" i="53"/>
  <c r="U22" i="53" s="1"/>
  <c r="F23" i="53"/>
  <c r="U23" i="53" s="1"/>
  <c r="F24" i="53"/>
  <c r="U24" i="53" s="1"/>
  <c r="F25" i="53"/>
  <c r="U25" i="53" s="1"/>
  <c r="F26" i="53"/>
  <c r="U26" i="53" s="1"/>
  <c r="F27" i="53"/>
  <c r="U27" i="53" s="1"/>
  <c r="F28" i="53"/>
  <c r="U28" i="53" s="1"/>
  <c r="F29" i="53"/>
  <c r="U29" i="53" s="1"/>
  <c r="F30" i="53"/>
  <c r="U30" i="53" s="1"/>
  <c r="F31" i="53"/>
  <c r="U31" i="53" s="1"/>
  <c r="F32" i="53"/>
  <c r="U32" i="53" s="1"/>
  <c r="F33" i="53"/>
  <c r="U33" i="53" s="1"/>
  <c r="F34" i="53"/>
  <c r="U34" i="53" s="1"/>
  <c r="F35" i="53"/>
  <c r="U35" i="53" s="1"/>
  <c r="F36" i="53"/>
  <c r="U36" i="53" s="1"/>
  <c r="F37" i="53"/>
  <c r="U37" i="53" s="1"/>
  <c r="F38" i="53"/>
  <c r="U38" i="53" s="1"/>
  <c r="F39" i="53"/>
  <c r="U39" i="53" s="1"/>
  <c r="F40" i="53"/>
  <c r="U40" i="53" s="1"/>
  <c r="F41" i="53"/>
  <c r="U41" i="53" s="1"/>
  <c r="F42" i="53"/>
  <c r="U42" i="53" s="1"/>
  <c r="F43" i="53"/>
  <c r="U43" i="53" s="1"/>
  <c r="F44" i="53"/>
  <c r="U44" i="53" s="1"/>
  <c r="F45" i="53"/>
  <c r="U45" i="53" s="1"/>
  <c r="F46" i="53"/>
  <c r="U46" i="53" s="1"/>
  <c r="F47" i="53"/>
  <c r="U47" i="53" s="1"/>
  <c r="F48" i="53"/>
  <c r="U48" i="53" s="1"/>
  <c r="F8" i="53"/>
  <c r="U8" i="53" s="1"/>
  <c r="D9" i="53"/>
  <c r="D10" i="53"/>
  <c r="D11" i="53"/>
  <c r="D12" i="53"/>
  <c r="D13" i="53"/>
  <c r="D14" i="53"/>
  <c r="D15" i="53"/>
  <c r="D16" i="53"/>
  <c r="D17" i="53"/>
  <c r="D18" i="53"/>
  <c r="D19" i="53"/>
  <c r="D20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8" i="53"/>
  <c r="W9" i="24"/>
  <c r="W10" i="24"/>
  <c r="W11" i="24"/>
  <c r="W12" i="24"/>
  <c r="W13" i="24"/>
  <c r="W14" i="24"/>
  <c r="W15" i="24"/>
  <c r="W16" i="24"/>
  <c r="W17" i="24"/>
  <c r="W18" i="24"/>
  <c r="W19" i="24"/>
  <c r="W20" i="24"/>
  <c r="W21" i="24"/>
  <c r="W22" i="24"/>
  <c r="W23" i="24"/>
  <c r="W24" i="24"/>
  <c r="W25" i="24"/>
  <c r="W26" i="24"/>
  <c r="W27" i="24"/>
  <c r="W28" i="24"/>
  <c r="W29" i="24"/>
  <c r="W30" i="24"/>
  <c r="W31" i="24"/>
  <c r="W32" i="24"/>
  <c r="W33" i="24"/>
  <c r="W34" i="24"/>
  <c r="W35" i="24"/>
  <c r="W36" i="24"/>
  <c r="W37" i="24"/>
  <c r="W38" i="24"/>
  <c r="W39" i="24"/>
  <c r="W40" i="24"/>
  <c r="W41" i="24"/>
  <c r="W42" i="24"/>
  <c r="W43" i="24"/>
  <c r="W44" i="24"/>
  <c r="W45" i="24"/>
  <c r="W46" i="24"/>
  <c r="W47" i="24"/>
  <c r="W48" i="24"/>
  <c r="W49" i="24"/>
  <c r="W50" i="24"/>
  <c r="W51" i="24"/>
  <c r="W52" i="24"/>
  <c r="W53" i="24"/>
  <c r="W54" i="24"/>
  <c r="W55" i="24"/>
  <c r="W56" i="24"/>
  <c r="W57" i="24"/>
  <c r="W58" i="24"/>
  <c r="W59" i="24"/>
  <c r="W60" i="24"/>
  <c r="W61" i="24"/>
  <c r="W62" i="24"/>
  <c r="W63" i="24"/>
  <c r="W64" i="24"/>
  <c r="W65" i="24"/>
  <c r="W66" i="24"/>
  <c r="W67" i="24"/>
  <c r="W68" i="24"/>
  <c r="W69" i="24"/>
  <c r="W70" i="24"/>
  <c r="W71" i="24"/>
  <c r="W72" i="24"/>
  <c r="W73" i="24"/>
  <c r="W74" i="24"/>
  <c r="W75" i="24"/>
  <c r="W76" i="24"/>
  <c r="W77" i="24"/>
  <c r="W78" i="24"/>
  <c r="W79" i="24"/>
  <c r="W80" i="24"/>
  <c r="W81" i="24"/>
  <c r="W82" i="24"/>
  <c r="W83" i="24"/>
  <c r="W84" i="24"/>
  <c r="W85" i="24"/>
  <c r="W86" i="24"/>
  <c r="W87" i="24"/>
  <c r="W88" i="24"/>
  <c r="W89" i="24"/>
  <c r="W90" i="24"/>
  <c r="W91" i="24"/>
  <c r="W92" i="24"/>
  <c r="W93" i="24"/>
  <c r="W94" i="24"/>
  <c r="W95" i="24"/>
  <c r="W96" i="24"/>
  <c r="W97" i="24"/>
  <c r="W98" i="24"/>
  <c r="W99" i="24"/>
  <c r="W100" i="24"/>
  <c r="W101" i="24"/>
  <c r="W102" i="24"/>
  <c r="W103" i="24"/>
  <c r="W104" i="24"/>
  <c r="W105" i="24"/>
  <c r="W106" i="24"/>
  <c r="W107" i="24"/>
  <c r="W108" i="24"/>
  <c r="W109" i="24"/>
  <c r="W110" i="24"/>
  <c r="W111" i="24"/>
  <c r="W112" i="24"/>
  <c r="W113" i="24"/>
  <c r="W114" i="24"/>
  <c r="W115" i="24"/>
  <c r="W116" i="24"/>
  <c r="W117" i="24"/>
  <c r="W118" i="24"/>
  <c r="W119" i="24"/>
  <c r="W120" i="24"/>
  <c r="W121" i="24"/>
  <c r="W122" i="24"/>
  <c r="W123" i="24"/>
  <c r="W124" i="24"/>
  <c r="W125" i="24"/>
  <c r="W126" i="24"/>
  <c r="W127" i="24"/>
  <c r="W128" i="24"/>
  <c r="W129" i="24"/>
  <c r="W130" i="24"/>
  <c r="W131" i="24"/>
  <c r="W132" i="24"/>
  <c r="W133" i="24"/>
  <c r="W134" i="24"/>
  <c r="W135" i="24"/>
  <c r="W136" i="24"/>
  <c r="W137" i="24"/>
  <c r="W138" i="24"/>
  <c r="W139" i="24"/>
  <c r="W140" i="24"/>
  <c r="W141" i="24"/>
  <c r="W142" i="24"/>
  <c r="W143" i="24"/>
  <c r="W144" i="24"/>
  <c r="W145" i="24"/>
  <c r="W146" i="24"/>
  <c r="W147" i="24"/>
  <c r="W148" i="24"/>
  <c r="W149" i="24"/>
  <c r="W150" i="24"/>
  <c r="W151" i="24"/>
  <c r="W152" i="24"/>
  <c r="W153" i="24"/>
  <c r="W154" i="24"/>
  <c r="W155" i="24"/>
  <c r="W156" i="24"/>
  <c r="W157" i="24"/>
  <c r="W158" i="24"/>
  <c r="W159" i="24"/>
  <c r="W160" i="24"/>
  <c r="W161" i="24"/>
  <c r="W162" i="24"/>
  <c r="W163" i="24"/>
  <c r="W164" i="24"/>
  <c r="W165" i="24"/>
  <c r="W166" i="24"/>
  <c r="W167" i="24"/>
  <c r="W168" i="24"/>
  <c r="W169" i="24"/>
  <c r="W170" i="24"/>
  <c r="W171" i="24"/>
  <c r="W172" i="24"/>
  <c r="W173" i="24"/>
  <c r="W174" i="24"/>
  <c r="W175" i="24"/>
  <c r="W176" i="24"/>
  <c r="W177" i="24"/>
  <c r="W178" i="24"/>
  <c r="W179" i="24"/>
  <c r="W180" i="24"/>
  <c r="W181" i="24"/>
  <c r="W182" i="24"/>
  <c r="W183" i="24"/>
  <c r="W184" i="24"/>
  <c r="W185" i="24"/>
  <c r="W186" i="24"/>
  <c r="W187" i="24"/>
  <c r="W188" i="24"/>
  <c r="W189" i="24"/>
  <c r="W190" i="24"/>
  <c r="W191" i="24"/>
  <c r="W192" i="24"/>
  <c r="W193" i="24"/>
  <c r="W194" i="24"/>
  <c r="W195" i="24"/>
  <c r="W196" i="24"/>
  <c r="W197" i="24"/>
  <c r="W198" i="24"/>
  <c r="W199" i="24"/>
  <c r="W200" i="24"/>
  <c r="W201" i="24"/>
  <c r="W202" i="24"/>
  <c r="W203" i="24"/>
  <c r="W204" i="24"/>
  <c r="W205" i="24"/>
  <c r="W206" i="24"/>
  <c r="W207" i="24"/>
  <c r="W208" i="24"/>
  <c r="W209" i="24"/>
  <c r="W210" i="24"/>
  <c r="W211" i="24"/>
  <c r="W212" i="24"/>
  <c r="W213" i="24"/>
  <c r="W214" i="24"/>
  <c r="W215" i="24"/>
  <c r="W216" i="24"/>
  <c r="W217" i="24"/>
  <c r="W218" i="24"/>
  <c r="W219" i="24"/>
  <c r="W220" i="24"/>
  <c r="W221" i="24"/>
  <c r="W222" i="24"/>
  <c r="W223" i="24"/>
  <c r="W224" i="24"/>
  <c r="W225" i="24"/>
  <c r="W226" i="24"/>
  <c r="W227" i="24"/>
  <c r="W228" i="24"/>
  <c r="W229" i="24"/>
  <c r="W230" i="24"/>
  <c r="W231" i="24"/>
  <c r="W232" i="24"/>
  <c r="W233" i="24"/>
  <c r="W234" i="24"/>
  <c r="W235" i="24"/>
  <c r="W236" i="24"/>
  <c r="W237" i="24"/>
  <c r="W238" i="24"/>
  <c r="W239" i="24"/>
  <c r="W240" i="24"/>
  <c r="W241" i="24"/>
  <c r="W242" i="24"/>
  <c r="W243" i="24"/>
  <c r="W244" i="24"/>
  <c r="W245" i="24"/>
  <c r="W246" i="24"/>
  <c r="W247" i="24"/>
  <c r="W248" i="24"/>
  <c r="W249" i="24"/>
  <c r="W8" i="24"/>
  <c r="V9" i="24"/>
  <c r="V10" i="24"/>
  <c r="V11" i="24"/>
  <c r="V12" i="24"/>
  <c r="V13" i="24"/>
  <c r="V14" i="24"/>
  <c r="V15" i="24"/>
  <c r="V16" i="24"/>
  <c r="V17" i="24"/>
  <c r="V18" i="24"/>
  <c r="V19" i="24"/>
  <c r="V20" i="24"/>
  <c r="V21" i="24"/>
  <c r="V22" i="24"/>
  <c r="V23" i="24"/>
  <c r="V24" i="24"/>
  <c r="V25" i="24"/>
  <c r="V26" i="24"/>
  <c r="V27" i="24"/>
  <c r="V28" i="24"/>
  <c r="V29" i="24"/>
  <c r="V30" i="24"/>
  <c r="V31" i="24"/>
  <c r="V32" i="24"/>
  <c r="V33" i="24"/>
  <c r="V34" i="24"/>
  <c r="V35" i="24"/>
  <c r="V36" i="24"/>
  <c r="V37" i="24"/>
  <c r="V38" i="24"/>
  <c r="V39" i="24"/>
  <c r="V40" i="24"/>
  <c r="V41" i="24"/>
  <c r="V42" i="24"/>
  <c r="V43" i="24"/>
  <c r="V44" i="24"/>
  <c r="V45" i="24"/>
  <c r="V46" i="24"/>
  <c r="V47" i="24"/>
  <c r="V48" i="24"/>
  <c r="V49" i="24"/>
  <c r="V50" i="24"/>
  <c r="V51" i="24"/>
  <c r="V52" i="24"/>
  <c r="V53" i="24"/>
  <c r="V54" i="24"/>
  <c r="V55" i="24"/>
  <c r="V56" i="24"/>
  <c r="V57" i="24"/>
  <c r="V58" i="24"/>
  <c r="V59" i="24"/>
  <c r="V60" i="24"/>
  <c r="V61" i="24"/>
  <c r="V62" i="24"/>
  <c r="V63" i="24"/>
  <c r="V64" i="24"/>
  <c r="V65" i="24"/>
  <c r="V66" i="24"/>
  <c r="V67" i="24"/>
  <c r="V68" i="24"/>
  <c r="V69" i="24"/>
  <c r="V70" i="24"/>
  <c r="V71" i="24"/>
  <c r="V72" i="24"/>
  <c r="V73" i="24"/>
  <c r="V74" i="24"/>
  <c r="V75" i="24"/>
  <c r="V76" i="24"/>
  <c r="V77" i="24"/>
  <c r="V78" i="24"/>
  <c r="V79" i="24"/>
  <c r="V80" i="24"/>
  <c r="V81" i="24"/>
  <c r="V82" i="24"/>
  <c r="V83" i="24"/>
  <c r="V84" i="24"/>
  <c r="V85" i="24"/>
  <c r="V86" i="24"/>
  <c r="V87" i="24"/>
  <c r="V88" i="24"/>
  <c r="V89" i="24"/>
  <c r="V90" i="24"/>
  <c r="V91" i="24"/>
  <c r="V92" i="24"/>
  <c r="V93" i="24"/>
  <c r="V94" i="24"/>
  <c r="V95" i="24"/>
  <c r="V96" i="24"/>
  <c r="V97" i="24"/>
  <c r="V98" i="24"/>
  <c r="V99" i="24"/>
  <c r="V100" i="24"/>
  <c r="V101" i="24"/>
  <c r="V102" i="24"/>
  <c r="V103" i="24"/>
  <c r="V104" i="24"/>
  <c r="V105" i="24"/>
  <c r="V106" i="24"/>
  <c r="V107" i="24"/>
  <c r="V108" i="24"/>
  <c r="V109" i="24"/>
  <c r="V110" i="24"/>
  <c r="V111" i="24"/>
  <c r="V112" i="24"/>
  <c r="V113" i="24"/>
  <c r="V114" i="24"/>
  <c r="V115" i="24"/>
  <c r="V116" i="24"/>
  <c r="V117" i="24"/>
  <c r="V118" i="24"/>
  <c r="V119" i="24"/>
  <c r="V120" i="24"/>
  <c r="V121" i="24"/>
  <c r="V122" i="24"/>
  <c r="V123" i="24"/>
  <c r="V124" i="24"/>
  <c r="V125" i="24"/>
  <c r="V126" i="24"/>
  <c r="V127" i="24"/>
  <c r="V128" i="24"/>
  <c r="V129" i="24"/>
  <c r="V130" i="24"/>
  <c r="V131" i="24"/>
  <c r="V132" i="24"/>
  <c r="V133" i="24"/>
  <c r="V134" i="24"/>
  <c r="V135" i="24"/>
  <c r="V136" i="24"/>
  <c r="V137" i="24"/>
  <c r="V138" i="24"/>
  <c r="V139" i="24"/>
  <c r="V140" i="24"/>
  <c r="V141" i="24"/>
  <c r="V142" i="24"/>
  <c r="V143" i="24"/>
  <c r="V144" i="24"/>
  <c r="V145" i="24"/>
  <c r="V146" i="24"/>
  <c r="V147" i="24"/>
  <c r="V148" i="24"/>
  <c r="V149" i="24"/>
  <c r="V150" i="24"/>
  <c r="V151" i="24"/>
  <c r="V152" i="24"/>
  <c r="V153" i="24"/>
  <c r="V154" i="24"/>
  <c r="V155" i="24"/>
  <c r="V156" i="24"/>
  <c r="V157" i="24"/>
  <c r="V158" i="24"/>
  <c r="V159" i="24"/>
  <c r="V160" i="24"/>
  <c r="V161" i="24"/>
  <c r="V162" i="24"/>
  <c r="V163" i="24"/>
  <c r="V164" i="24"/>
  <c r="V165" i="24"/>
  <c r="V166" i="24"/>
  <c r="V167" i="24"/>
  <c r="V168" i="24"/>
  <c r="V169" i="24"/>
  <c r="V170" i="24"/>
  <c r="V171" i="24"/>
  <c r="V172" i="24"/>
  <c r="V173" i="24"/>
  <c r="V174" i="24"/>
  <c r="V175" i="24"/>
  <c r="V176" i="24"/>
  <c r="V177" i="24"/>
  <c r="V178" i="24"/>
  <c r="V179" i="24"/>
  <c r="V180" i="24"/>
  <c r="V181" i="24"/>
  <c r="V182" i="24"/>
  <c r="V183" i="24"/>
  <c r="V184" i="24"/>
  <c r="V185" i="24"/>
  <c r="V186" i="24"/>
  <c r="V187" i="24"/>
  <c r="V188" i="24"/>
  <c r="V189" i="24"/>
  <c r="V190" i="24"/>
  <c r="V191" i="24"/>
  <c r="V192" i="24"/>
  <c r="V193" i="24"/>
  <c r="V194" i="24"/>
  <c r="V195" i="24"/>
  <c r="V196" i="24"/>
  <c r="V197" i="24"/>
  <c r="V198" i="24"/>
  <c r="V199" i="24"/>
  <c r="V200" i="24"/>
  <c r="V201" i="24"/>
  <c r="V202" i="24"/>
  <c r="V203" i="24"/>
  <c r="V204" i="24"/>
  <c r="V205" i="24"/>
  <c r="V206" i="24"/>
  <c r="V207" i="24"/>
  <c r="V208" i="24"/>
  <c r="V209" i="24"/>
  <c r="V210" i="24"/>
  <c r="V211" i="24"/>
  <c r="V212" i="24"/>
  <c r="V213" i="24"/>
  <c r="V214" i="24"/>
  <c r="V215" i="24"/>
  <c r="V216" i="24"/>
  <c r="V217" i="24"/>
  <c r="V218" i="24"/>
  <c r="V219" i="24"/>
  <c r="V220" i="24"/>
  <c r="V221" i="24"/>
  <c r="V222" i="24"/>
  <c r="V223" i="24"/>
  <c r="V224" i="24"/>
  <c r="V225" i="24"/>
  <c r="V226" i="24"/>
  <c r="V227" i="24"/>
  <c r="V228" i="24"/>
  <c r="V229" i="24"/>
  <c r="V230" i="24"/>
  <c r="V231" i="24"/>
  <c r="V232" i="24"/>
  <c r="V233" i="24"/>
  <c r="V234" i="24"/>
  <c r="V235" i="24"/>
  <c r="V236" i="24"/>
  <c r="V237" i="24"/>
  <c r="V238" i="24"/>
  <c r="V239" i="24"/>
  <c r="V240" i="24"/>
  <c r="V241" i="24"/>
  <c r="V242" i="24"/>
  <c r="V243" i="24"/>
  <c r="V244" i="24"/>
  <c r="V245" i="24"/>
  <c r="V246" i="24"/>
  <c r="V247" i="24"/>
  <c r="V248" i="24"/>
  <c r="V249" i="24"/>
  <c r="V8" i="24"/>
  <c r="U9" i="24"/>
  <c r="U10" i="24"/>
  <c r="U11" i="24"/>
  <c r="U12" i="24"/>
  <c r="U13" i="24"/>
  <c r="U14" i="24"/>
  <c r="U15" i="24"/>
  <c r="U16" i="24"/>
  <c r="U17" i="24"/>
  <c r="U18" i="24"/>
  <c r="U19" i="24"/>
  <c r="U20" i="24"/>
  <c r="U21" i="24"/>
  <c r="U22" i="24"/>
  <c r="U23" i="24"/>
  <c r="U24" i="24"/>
  <c r="U25" i="24"/>
  <c r="U26" i="24"/>
  <c r="U27" i="24"/>
  <c r="U28" i="24"/>
  <c r="U29" i="24"/>
  <c r="U30" i="24"/>
  <c r="U31" i="24"/>
  <c r="U32" i="24"/>
  <c r="U33" i="24"/>
  <c r="U34" i="24"/>
  <c r="U35" i="24"/>
  <c r="U36" i="24"/>
  <c r="U37" i="24"/>
  <c r="U38" i="24"/>
  <c r="U39" i="24"/>
  <c r="U40" i="24"/>
  <c r="U41" i="24"/>
  <c r="U42" i="24"/>
  <c r="U43" i="24"/>
  <c r="U44" i="24"/>
  <c r="U45" i="24"/>
  <c r="U46" i="24"/>
  <c r="U47" i="24"/>
  <c r="U48" i="24"/>
  <c r="U49" i="24"/>
  <c r="U50" i="24"/>
  <c r="U51" i="24"/>
  <c r="U52" i="24"/>
  <c r="U53" i="24"/>
  <c r="U54" i="24"/>
  <c r="U55" i="24"/>
  <c r="U56" i="24"/>
  <c r="U57" i="24"/>
  <c r="U58" i="24"/>
  <c r="U59" i="24"/>
  <c r="U60" i="24"/>
  <c r="U61" i="24"/>
  <c r="U62" i="24"/>
  <c r="U63" i="24"/>
  <c r="U64" i="24"/>
  <c r="U65" i="24"/>
  <c r="U66" i="24"/>
  <c r="U67" i="24"/>
  <c r="U68" i="24"/>
  <c r="U69" i="24"/>
  <c r="U70" i="24"/>
  <c r="U71" i="24"/>
  <c r="U72" i="24"/>
  <c r="U73" i="24"/>
  <c r="U74" i="24"/>
  <c r="U75" i="24"/>
  <c r="U76" i="24"/>
  <c r="U77" i="24"/>
  <c r="U78" i="24"/>
  <c r="U79" i="24"/>
  <c r="U80" i="24"/>
  <c r="U81" i="24"/>
  <c r="U82" i="24"/>
  <c r="U83" i="24"/>
  <c r="U84" i="24"/>
  <c r="U85" i="24"/>
  <c r="U86" i="24"/>
  <c r="U87" i="24"/>
  <c r="U88" i="24"/>
  <c r="U89" i="24"/>
  <c r="U90" i="24"/>
  <c r="U91" i="24"/>
  <c r="U92" i="24"/>
  <c r="U93" i="24"/>
  <c r="U94" i="24"/>
  <c r="U95" i="24"/>
  <c r="U96" i="24"/>
  <c r="U97" i="24"/>
  <c r="U98" i="24"/>
  <c r="U99" i="24"/>
  <c r="U100" i="24"/>
  <c r="U101" i="24"/>
  <c r="U102" i="24"/>
  <c r="U103" i="24"/>
  <c r="U104" i="24"/>
  <c r="U105" i="24"/>
  <c r="U106" i="24"/>
  <c r="U107" i="24"/>
  <c r="U108" i="24"/>
  <c r="U109" i="24"/>
  <c r="U110" i="24"/>
  <c r="U111" i="24"/>
  <c r="U112" i="24"/>
  <c r="U113" i="24"/>
  <c r="U114" i="24"/>
  <c r="U115" i="24"/>
  <c r="U116" i="24"/>
  <c r="U117" i="24"/>
  <c r="U118" i="24"/>
  <c r="U119" i="24"/>
  <c r="U120" i="24"/>
  <c r="U121" i="24"/>
  <c r="U122" i="24"/>
  <c r="U123" i="24"/>
  <c r="U124" i="24"/>
  <c r="U125" i="24"/>
  <c r="U126" i="24"/>
  <c r="U127" i="24"/>
  <c r="U128" i="24"/>
  <c r="U129" i="24"/>
  <c r="U130" i="24"/>
  <c r="U131" i="24"/>
  <c r="U132" i="24"/>
  <c r="U133" i="24"/>
  <c r="U134" i="24"/>
  <c r="U135" i="24"/>
  <c r="U136" i="24"/>
  <c r="U137" i="24"/>
  <c r="U138" i="24"/>
  <c r="U139" i="24"/>
  <c r="U140" i="24"/>
  <c r="U141" i="24"/>
  <c r="U142" i="24"/>
  <c r="U143" i="24"/>
  <c r="U144" i="24"/>
  <c r="U145" i="24"/>
  <c r="U146" i="24"/>
  <c r="U147" i="24"/>
  <c r="U148" i="24"/>
  <c r="U149" i="24"/>
  <c r="U150" i="24"/>
  <c r="U151" i="24"/>
  <c r="U152" i="24"/>
  <c r="U153" i="24"/>
  <c r="U154" i="24"/>
  <c r="U155" i="24"/>
  <c r="U156" i="24"/>
  <c r="U157" i="24"/>
  <c r="U158" i="24"/>
  <c r="U159" i="24"/>
  <c r="U160" i="24"/>
  <c r="U161" i="24"/>
  <c r="U162" i="24"/>
  <c r="U163" i="24"/>
  <c r="U164" i="24"/>
  <c r="U165" i="24"/>
  <c r="U166" i="24"/>
  <c r="U167" i="24"/>
  <c r="U168" i="24"/>
  <c r="U169" i="24"/>
  <c r="U170" i="24"/>
  <c r="U171" i="24"/>
  <c r="U172" i="24"/>
  <c r="U173" i="24"/>
  <c r="U174" i="24"/>
  <c r="U175" i="24"/>
  <c r="U176" i="24"/>
  <c r="U177" i="24"/>
  <c r="U178" i="24"/>
  <c r="U179" i="24"/>
  <c r="U180" i="24"/>
  <c r="U181" i="24"/>
  <c r="U182" i="24"/>
  <c r="U183" i="24"/>
  <c r="U184" i="24"/>
  <c r="U185" i="24"/>
  <c r="U186" i="24"/>
  <c r="U187" i="24"/>
  <c r="U188" i="24"/>
  <c r="U189" i="24"/>
  <c r="U190" i="24"/>
  <c r="U191" i="24"/>
  <c r="U192" i="24"/>
  <c r="U193" i="24"/>
  <c r="U194" i="24"/>
  <c r="U195" i="24"/>
  <c r="U196" i="24"/>
  <c r="U197" i="24"/>
  <c r="U198" i="24"/>
  <c r="U199" i="24"/>
  <c r="U200" i="24"/>
  <c r="U201" i="24"/>
  <c r="U202" i="24"/>
  <c r="U203" i="24"/>
  <c r="U204" i="24"/>
  <c r="U205" i="24"/>
  <c r="U206" i="24"/>
  <c r="U207" i="24"/>
  <c r="U208" i="24"/>
  <c r="U209" i="24"/>
  <c r="U210" i="24"/>
  <c r="U211" i="24"/>
  <c r="U212" i="24"/>
  <c r="U213" i="24"/>
  <c r="U214" i="24"/>
  <c r="U215" i="24"/>
  <c r="U216" i="24"/>
  <c r="U217" i="24"/>
  <c r="U218" i="24"/>
  <c r="U219" i="24"/>
  <c r="U220" i="24"/>
  <c r="U221" i="24"/>
  <c r="U222" i="24"/>
  <c r="U223" i="24"/>
  <c r="U224" i="24"/>
  <c r="U225" i="24"/>
  <c r="U226" i="24"/>
  <c r="U227" i="24"/>
  <c r="U228" i="24"/>
  <c r="U229" i="24"/>
  <c r="U230" i="24"/>
  <c r="U231" i="24"/>
  <c r="U232" i="24"/>
  <c r="U233" i="24"/>
  <c r="U234" i="24"/>
  <c r="U235" i="24"/>
  <c r="U236" i="24"/>
  <c r="U237" i="24"/>
  <c r="U238" i="24"/>
  <c r="U239" i="24"/>
  <c r="U240" i="24"/>
  <c r="U241" i="24"/>
  <c r="U242" i="24"/>
  <c r="U243" i="24"/>
  <c r="U244" i="24"/>
  <c r="U245" i="24"/>
  <c r="U246" i="24"/>
  <c r="U247" i="24"/>
  <c r="U248" i="24"/>
  <c r="U249" i="24"/>
  <c r="U8" i="24"/>
  <c r="T9" i="24"/>
  <c r="T10" i="24"/>
  <c r="T11" i="24"/>
  <c r="T12" i="24"/>
  <c r="T13" i="24"/>
  <c r="T14" i="24"/>
  <c r="T15" i="24"/>
  <c r="T16" i="24"/>
  <c r="T17" i="24"/>
  <c r="T18" i="24"/>
  <c r="T19" i="24"/>
  <c r="T20" i="24"/>
  <c r="T21" i="24"/>
  <c r="T22" i="24"/>
  <c r="T23" i="24"/>
  <c r="T24" i="24"/>
  <c r="T25" i="24"/>
  <c r="T26" i="24"/>
  <c r="T27" i="24"/>
  <c r="T28" i="24"/>
  <c r="T29" i="24"/>
  <c r="T30" i="24"/>
  <c r="T31" i="24"/>
  <c r="T32" i="24"/>
  <c r="T33" i="24"/>
  <c r="T34" i="24"/>
  <c r="T35" i="24"/>
  <c r="T36" i="24"/>
  <c r="T37" i="24"/>
  <c r="T38" i="24"/>
  <c r="T39" i="24"/>
  <c r="T40" i="24"/>
  <c r="T41" i="24"/>
  <c r="T42" i="24"/>
  <c r="T43" i="24"/>
  <c r="T44" i="24"/>
  <c r="T45" i="24"/>
  <c r="T46" i="24"/>
  <c r="T47" i="24"/>
  <c r="T48" i="24"/>
  <c r="T49" i="24"/>
  <c r="T50" i="24"/>
  <c r="T51" i="24"/>
  <c r="T52" i="24"/>
  <c r="T53" i="24"/>
  <c r="T54" i="24"/>
  <c r="T55" i="24"/>
  <c r="T56" i="24"/>
  <c r="T57" i="24"/>
  <c r="T58" i="24"/>
  <c r="T59" i="24"/>
  <c r="T60" i="24"/>
  <c r="T61" i="24"/>
  <c r="T62" i="24"/>
  <c r="T63" i="24"/>
  <c r="T64" i="24"/>
  <c r="T65" i="24"/>
  <c r="T66" i="24"/>
  <c r="T67" i="24"/>
  <c r="T68" i="24"/>
  <c r="T69" i="24"/>
  <c r="T70" i="24"/>
  <c r="T71" i="24"/>
  <c r="T72" i="24"/>
  <c r="T73" i="24"/>
  <c r="T74" i="24"/>
  <c r="T75" i="24"/>
  <c r="T76" i="24"/>
  <c r="T77" i="24"/>
  <c r="T78" i="24"/>
  <c r="T79" i="24"/>
  <c r="T80" i="24"/>
  <c r="T81" i="24"/>
  <c r="T82" i="24"/>
  <c r="T83" i="24"/>
  <c r="T84" i="24"/>
  <c r="T85" i="24"/>
  <c r="T86" i="24"/>
  <c r="T87" i="24"/>
  <c r="T88" i="24"/>
  <c r="T89" i="24"/>
  <c r="T90" i="24"/>
  <c r="T91" i="24"/>
  <c r="T92" i="24"/>
  <c r="T93" i="24"/>
  <c r="T94" i="24"/>
  <c r="T95" i="24"/>
  <c r="T96" i="24"/>
  <c r="T97" i="24"/>
  <c r="T98" i="24"/>
  <c r="T99" i="24"/>
  <c r="T100" i="24"/>
  <c r="T101" i="24"/>
  <c r="T102" i="24"/>
  <c r="T103" i="24"/>
  <c r="T104" i="24"/>
  <c r="T105" i="24"/>
  <c r="T106" i="24"/>
  <c r="T107" i="24"/>
  <c r="T108" i="24"/>
  <c r="T109" i="24"/>
  <c r="T110" i="24"/>
  <c r="T111" i="24"/>
  <c r="T112" i="24"/>
  <c r="T113" i="24"/>
  <c r="T114" i="24"/>
  <c r="T115" i="24"/>
  <c r="T116" i="24"/>
  <c r="T117" i="24"/>
  <c r="T118" i="24"/>
  <c r="T119" i="24"/>
  <c r="T120" i="24"/>
  <c r="T121" i="24"/>
  <c r="T122" i="24"/>
  <c r="T123" i="24"/>
  <c r="T124" i="24"/>
  <c r="T125" i="24"/>
  <c r="T126" i="24"/>
  <c r="T127" i="24"/>
  <c r="T128" i="24"/>
  <c r="T129" i="24"/>
  <c r="T130" i="24"/>
  <c r="T131" i="24"/>
  <c r="T132" i="24"/>
  <c r="T133" i="24"/>
  <c r="T134" i="24"/>
  <c r="T135" i="24"/>
  <c r="T136" i="24"/>
  <c r="T137" i="24"/>
  <c r="T138" i="24"/>
  <c r="T139" i="24"/>
  <c r="T140" i="24"/>
  <c r="T141" i="24"/>
  <c r="T142" i="24"/>
  <c r="T143" i="24"/>
  <c r="T144" i="24"/>
  <c r="T145" i="24"/>
  <c r="T146" i="24"/>
  <c r="T147" i="24"/>
  <c r="T148" i="24"/>
  <c r="T149" i="24"/>
  <c r="T150" i="24"/>
  <c r="T151" i="24"/>
  <c r="T152" i="24"/>
  <c r="T153" i="24"/>
  <c r="T154" i="24"/>
  <c r="T155" i="24"/>
  <c r="T156" i="24"/>
  <c r="T157" i="24"/>
  <c r="T158" i="24"/>
  <c r="T159" i="24"/>
  <c r="T160" i="24"/>
  <c r="T161" i="24"/>
  <c r="T162" i="24"/>
  <c r="T163" i="24"/>
  <c r="T164" i="24"/>
  <c r="T165" i="24"/>
  <c r="T166" i="24"/>
  <c r="T167" i="24"/>
  <c r="T168" i="24"/>
  <c r="T169" i="24"/>
  <c r="T170" i="24"/>
  <c r="T171" i="24"/>
  <c r="T172" i="24"/>
  <c r="T173" i="24"/>
  <c r="T174" i="24"/>
  <c r="T175" i="24"/>
  <c r="T176" i="24"/>
  <c r="T177" i="24"/>
  <c r="T178" i="24"/>
  <c r="T179" i="24"/>
  <c r="T180" i="24"/>
  <c r="T181" i="24"/>
  <c r="T182" i="24"/>
  <c r="T183" i="24"/>
  <c r="T184" i="24"/>
  <c r="T185" i="24"/>
  <c r="T186" i="24"/>
  <c r="T187" i="24"/>
  <c r="T188" i="24"/>
  <c r="T189" i="24"/>
  <c r="T190" i="24"/>
  <c r="T191" i="24"/>
  <c r="T192" i="24"/>
  <c r="T193" i="24"/>
  <c r="T194" i="24"/>
  <c r="T195" i="24"/>
  <c r="T196" i="24"/>
  <c r="T197" i="24"/>
  <c r="T198" i="24"/>
  <c r="T199" i="24"/>
  <c r="T200" i="24"/>
  <c r="T201" i="24"/>
  <c r="T202" i="24"/>
  <c r="T203" i="24"/>
  <c r="T204" i="24"/>
  <c r="T205" i="24"/>
  <c r="T206" i="24"/>
  <c r="T207" i="24"/>
  <c r="T208" i="24"/>
  <c r="T209" i="24"/>
  <c r="T210" i="24"/>
  <c r="T211" i="24"/>
  <c r="T212" i="24"/>
  <c r="T213" i="24"/>
  <c r="T214" i="24"/>
  <c r="T215" i="24"/>
  <c r="T216" i="24"/>
  <c r="T217" i="24"/>
  <c r="T218" i="24"/>
  <c r="T219" i="24"/>
  <c r="T220" i="24"/>
  <c r="T221" i="24"/>
  <c r="T222" i="24"/>
  <c r="T223" i="24"/>
  <c r="T224" i="24"/>
  <c r="T225" i="24"/>
  <c r="T226" i="24"/>
  <c r="T227" i="24"/>
  <c r="T228" i="24"/>
  <c r="T229" i="24"/>
  <c r="T230" i="24"/>
  <c r="T231" i="24"/>
  <c r="T232" i="24"/>
  <c r="T233" i="24"/>
  <c r="T234" i="24"/>
  <c r="T235" i="24"/>
  <c r="T236" i="24"/>
  <c r="T237" i="24"/>
  <c r="T238" i="24"/>
  <c r="T239" i="24"/>
  <c r="T240" i="24"/>
  <c r="T241" i="24"/>
  <c r="T242" i="24"/>
  <c r="T243" i="24"/>
  <c r="T244" i="24"/>
  <c r="T245" i="24"/>
  <c r="T246" i="24"/>
  <c r="T247" i="24"/>
  <c r="T248" i="24"/>
  <c r="T249" i="24"/>
  <c r="T8" i="24"/>
  <c r="S9" i="24"/>
  <c r="S10" i="24"/>
  <c r="S11" i="24"/>
  <c r="S12" i="24"/>
  <c r="S13" i="24"/>
  <c r="S14" i="24"/>
  <c r="S15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29" i="24"/>
  <c r="S30" i="24"/>
  <c r="S31" i="24"/>
  <c r="S32" i="24"/>
  <c r="S33" i="24"/>
  <c r="S34" i="24"/>
  <c r="S35" i="24"/>
  <c r="S36" i="24"/>
  <c r="S37" i="24"/>
  <c r="S38" i="24"/>
  <c r="S39" i="24"/>
  <c r="S40" i="24"/>
  <c r="S41" i="24"/>
  <c r="S42" i="24"/>
  <c r="S43" i="24"/>
  <c r="S44" i="24"/>
  <c r="S45" i="24"/>
  <c r="S46" i="24"/>
  <c r="S47" i="24"/>
  <c r="S48" i="24"/>
  <c r="S49" i="24"/>
  <c r="S50" i="24"/>
  <c r="S51" i="24"/>
  <c r="S52" i="24"/>
  <c r="S53" i="24"/>
  <c r="S54" i="24"/>
  <c r="S55" i="24"/>
  <c r="S56" i="24"/>
  <c r="S57" i="24"/>
  <c r="S58" i="24"/>
  <c r="S59" i="24"/>
  <c r="S60" i="24"/>
  <c r="S61" i="24"/>
  <c r="S62" i="24"/>
  <c r="S63" i="24"/>
  <c r="S64" i="24"/>
  <c r="S65" i="24"/>
  <c r="S66" i="24"/>
  <c r="S67" i="24"/>
  <c r="S68" i="24"/>
  <c r="S69" i="24"/>
  <c r="S70" i="24"/>
  <c r="S71" i="24"/>
  <c r="S72" i="24"/>
  <c r="S73" i="24"/>
  <c r="S74" i="24"/>
  <c r="S75" i="24"/>
  <c r="S76" i="24"/>
  <c r="S77" i="24"/>
  <c r="S78" i="24"/>
  <c r="S79" i="24"/>
  <c r="S80" i="24"/>
  <c r="S81" i="24"/>
  <c r="S82" i="24"/>
  <c r="S83" i="24"/>
  <c r="S84" i="24"/>
  <c r="S85" i="24"/>
  <c r="S86" i="24"/>
  <c r="S87" i="24"/>
  <c r="S88" i="24"/>
  <c r="S89" i="24"/>
  <c r="S90" i="24"/>
  <c r="S91" i="24"/>
  <c r="S92" i="24"/>
  <c r="S93" i="24"/>
  <c r="S94" i="24"/>
  <c r="S95" i="24"/>
  <c r="S96" i="24"/>
  <c r="S97" i="24"/>
  <c r="S98" i="24"/>
  <c r="S99" i="24"/>
  <c r="S100" i="24"/>
  <c r="S101" i="24"/>
  <c r="S102" i="24"/>
  <c r="S103" i="24"/>
  <c r="S104" i="24"/>
  <c r="S105" i="24"/>
  <c r="S106" i="24"/>
  <c r="S107" i="24"/>
  <c r="S108" i="24"/>
  <c r="S109" i="24"/>
  <c r="S110" i="24"/>
  <c r="S111" i="24"/>
  <c r="S112" i="24"/>
  <c r="S113" i="24"/>
  <c r="S114" i="24"/>
  <c r="S115" i="24"/>
  <c r="S116" i="24"/>
  <c r="S117" i="24"/>
  <c r="S118" i="24"/>
  <c r="S119" i="24"/>
  <c r="S120" i="24"/>
  <c r="S121" i="24"/>
  <c r="S122" i="24"/>
  <c r="S123" i="24"/>
  <c r="S124" i="24"/>
  <c r="S125" i="24"/>
  <c r="S126" i="24"/>
  <c r="S127" i="24"/>
  <c r="S128" i="24"/>
  <c r="S129" i="24"/>
  <c r="S130" i="24"/>
  <c r="S131" i="24"/>
  <c r="S132" i="24"/>
  <c r="S133" i="24"/>
  <c r="S134" i="24"/>
  <c r="S135" i="24"/>
  <c r="S136" i="24"/>
  <c r="S137" i="24"/>
  <c r="S138" i="24"/>
  <c r="S139" i="24"/>
  <c r="S140" i="24"/>
  <c r="S141" i="24"/>
  <c r="S142" i="24"/>
  <c r="S143" i="24"/>
  <c r="S144" i="24"/>
  <c r="S145" i="24"/>
  <c r="S146" i="24"/>
  <c r="S147" i="24"/>
  <c r="S148" i="24"/>
  <c r="S149" i="24"/>
  <c r="S150" i="24"/>
  <c r="S151" i="24"/>
  <c r="S152" i="24"/>
  <c r="S153" i="24"/>
  <c r="S154" i="24"/>
  <c r="S155" i="24"/>
  <c r="S156" i="24"/>
  <c r="S157" i="24"/>
  <c r="S158" i="24"/>
  <c r="S159" i="24"/>
  <c r="S160" i="24"/>
  <c r="S161" i="24"/>
  <c r="S162" i="24"/>
  <c r="S163" i="24"/>
  <c r="S164" i="24"/>
  <c r="S165" i="24"/>
  <c r="S166" i="24"/>
  <c r="S167" i="24"/>
  <c r="S168" i="24"/>
  <c r="S169" i="24"/>
  <c r="S170" i="24"/>
  <c r="S171" i="24"/>
  <c r="S172" i="24"/>
  <c r="S173" i="24"/>
  <c r="S174" i="24"/>
  <c r="S175" i="24"/>
  <c r="S176" i="24"/>
  <c r="S177" i="24"/>
  <c r="S178" i="24"/>
  <c r="S179" i="24"/>
  <c r="S180" i="24"/>
  <c r="S181" i="24"/>
  <c r="S182" i="24"/>
  <c r="S183" i="24"/>
  <c r="S184" i="24"/>
  <c r="S185" i="24"/>
  <c r="S186" i="24"/>
  <c r="S187" i="24"/>
  <c r="S188" i="24"/>
  <c r="S189" i="24"/>
  <c r="S190" i="24"/>
  <c r="S191" i="24"/>
  <c r="S192" i="24"/>
  <c r="S193" i="24"/>
  <c r="S194" i="24"/>
  <c r="S195" i="24"/>
  <c r="S196" i="24"/>
  <c r="S197" i="24"/>
  <c r="S198" i="24"/>
  <c r="S199" i="24"/>
  <c r="S200" i="24"/>
  <c r="S201" i="24"/>
  <c r="S202" i="24"/>
  <c r="S203" i="24"/>
  <c r="S204" i="24"/>
  <c r="S205" i="24"/>
  <c r="S206" i="24"/>
  <c r="S207" i="24"/>
  <c r="S208" i="24"/>
  <c r="S209" i="24"/>
  <c r="S210" i="24"/>
  <c r="S211" i="24"/>
  <c r="S212" i="24"/>
  <c r="S213" i="24"/>
  <c r="S214" i="24"/>
  <c r="S215" i="24"/>
  <c r="S216" i="24"/>
  <c r="S217" i="24"/>
  <c r="S218" i="24"/>
  <c r="S219" i="24"/>
  <c r="S220" i="24"/>
  <c r="S221" i="24"/>
  <c r="S222" i="24"/>
  <c r="S223" i="24"/>
  <c r="S224" i="24"/>
  <c r="S225" i="24"/>
  <c r="S226" i="24"/>
  <c r="S227" i="24"/>
  <c r="S228" i="24"/>
  <c r="S229" i="24"/>
  <c r="S230" i="24"/>
  <c r="S231" i="24"/>
  <c r="S232" i="24"/>
  <c r="S233" i="24"/>
  <c r="S234" i="24"/>
  <c r="S235" i="24"/>
  <c r="S236" i="24"/>
  <c r="S237" i="24"/>
  <c r="S238" i="24"/>
  <c r="S239" i="24"/>
  <c r="S240" i="24"/>
  <c r="S241" i="24"/>
  <c r="S242" i="24"/>
  <c r="S243" i="24"/>
  <c r="S244" i="24"/>
  <c r="S245" i="24"/>
  <c r="S246" i="24"/>
  <c r="S247" i="24"/>
  <c r="S248" i="24"/>
  <c r="S249" i="24"/>
  <c r="S8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37" i="24"/>
  <c r="R38" i="24"/>
  <c r="R39" i="24"/>
  <c r="R40" i="24"/>
  <c r="R41" i="24"/>
  <c r="R42" i="24"/>
  <c r="R43" i="24"/>
  <c r="R44" i="24"/>
  <c r="R45" i="24"/>
  <c r="R46" i="24"/>
  <c r="R47" i="24"/>
  <c r="R48" i="24"/>
  <c r="R49" i="24"/>
  <c r="R50" i="24"/>
  <c r="R51" i="24"/>
  <c r="R52" i="24"/>
  <c r="R53" i="24"/>
  <c r="R54" i="24"/>
  <c r="R55" i="24"/>
  <c r="R56" i="24"/>
  <c r="R57" i="24"/>
  <c r="R58" i="24"/>
  <c r="R59" i="24"/>
  <c r="R60" i="24"/>
  <c r="R61" i="24"/>
  <c r="R62" i="24"/>
  <c r="R63" i="24"/>
  <c r="R64" i="24"/>
  <c r="R65" i="24"/>
  <c r="R66" i="24"/>
  <c r="R67" i="24"/>
  <c r="R68" i="24"/>
  <c r="R69" i="24"/>
  <c r="R70" i="24"/>
  <c r="R71" i="24"/>
  <c r="R72" i="24"/>
  <c r="R73" i="24"/>
  <c r="R74" i="24"/>
  <c r="R75" i="24"/>
  <c r="R76" i="24"/>
  <c r="R77" i="24"/>
  <c r="R78" i="24"/>
  <c r="R79" i="24"/>
  <c r="R80" i="24"/>
  <c r="R81" i="24"/>
  <c r="R82" i="24"/>
  <c r="R83" i="24"/>
  <c r="R84" i="24"/>
  <c r="R85" i="24"/>
  <c r="R86" i="24"/>
  <c r="R87" i="24"/>
  <c r="R88" i="24"/>
  <c r="R89" i="24"/>
  <c r="R90" i="24"/>
  <c r="R91" i="24"/>
  <c r="R92" i="24"/>
  <c r="R93" i="24"/>
  <c r="R94" i="24"/>
  <c r="R95" i="24"/>
  <c r="R96" i="24"/>
  <c r="R97" i="24"/>
  <c r="R98" i="24"/>
  <c r="R99" i="24"/>
  <c r="R100" i="24"/>
  <c r="R101" i="24"/>
  <c r="R102" i="24"/>
  <c r="R103" i="24"/>
  <c r="R104" i="24"/>
  <c r="R105" i="24"/>
  <c r="R106" i="24"/>
  <c r="R107" i="24"/>
  <c r="R108" i="24"/>
  <c r="R109" i="24"/>
  <c r="R110" i="24"/>
  <c r="R111" i="24"/>
  <c r="R112" i="24"/>
  <c r="R113" i="24"/>
  <c r="R114" i="24"/>
  <c r="R115" i="24"/>
  <c r="R116" i="24"/>
  <c r="R117" i="24"/>
  <c r="R118" i="24"/>
  <c r="R119" i="24"/>
  <c r="R120" i="24"/>
  <c r="R121" i="24"/>
  <c r="R122" i="24"/>
  <c r="R123" i="24"/>
  <c r="R124" i="24"/>
  <c r="R125" i="24"/>
  <c r="R126" i="24"/>
  <c r="R127" i="24"/>
  <c r="R128" i="24"/>
  <c r="R129" i="24"/>
  <c r="R130" i="24"/>
  <c r="R131" i="24"/>
  <c r="R132" i="24"/>
  <c r="R133" i="24"/>
  <c r="R134" i="24"/>
  <c r="R135" i="24"/>
  <c r="R136" i="24"/>
  <c r="R137" i="24"/>
  <c r="R138" i="24"/>
  <c r="R139" i="24"/>
  <c r="R140" i="24"/>
  <c r="R141" i="24"/>
  <c r="R142" i="24"/>
  <c r="R143" i="24"/>
  <c r="R144" i="24"/>
  <c r="R145" i="24"/>
  <c r="R146" i="24"/>
  <c r="R147" i="24"/>
  <c r="R148" i="24"/>
  <c r="R149" i="24"/>
  <c r="R150" i="24"/>
  <c r="R151" i="24"/>
  <c r="R152" i="24"/>
  <c r="R153" i="24"/>
  <c r="R154" i="24"/>
  <c r="R155" i="24"/>
  <c r="R156" i="24"/>
  <c r="R157" i="24"/>
  <c r="R158" i="24"/>
  <c r="R159" i="24"/>
  <c r="R160" i="24"/>
  <c r="R161" i="24"/>
  <c r="R162" i="24"/>
  <c r="R163" i="24"/>
  <c r="R164" i="24"/>
  <c r="R165" i="24"/>
  <c r="R166" i="24"/>
  <c r="R167" i="24"/>
  <c r="R168" i="24"/>
  <c r="R169" i="24"/>
  <c r="R170" i="24"/>
  <c r="R171" i="24"/>
  <c r="R172" i="24"/>
  <c r="R173" i="24"/>
  <c r="R174" i="24"/>
  <c r="R175" i="24"/>
  <c r="R176" i="24"/>
  <c r="R177" i="24"/>
  <c r="R178" i="24"/>
  <c r="R179" i="24"/>
  <c r="R180" i="24"/>
  <c r="R181" i="24"/>
  <c r="R182" i="24"/>
  <c r="R183" i="24"/>
  <c r="R184" i="24"/>
  <c r="R185" i="24"/>
  <c r="R186" i="24"/>
  <c r="R187" i="24"/>
  <c r="R188" i="24"/>
  <c r="R189" i="24"/>
  <c r="R190" i="24"/>
  <c r="R191" i="24"/>
  <c r="R192" i="24"/>
  <c r="R193" i="24"/>
  <c r="R194" i="24"/>
  <c r="R195" i="24"/>
  <c r="R196" i="24"/>
  <c r="R197" i="24"/>
  <c r="R198" i="24"/>
  <c r="R199" i="24"/>
  <c r="R200" i="24"/>
  <c r="R201" i="24"/>
  <c r="R202" i="24"/>
  <c r="R203" i="24"/>
  <c r="R204" i="24"/>
  <c r="R205" i="24"/>
  <c r="R206" i="24"/>
  <c r="R207" i="24"/>
  <c r="R208" i="24"/>
  <c r="R209" i="24"/>
  <c r="R210" i="24"/>
  <c r="R211" i="24"/>
  <c r="R212" i="24"/>
  <c r="R213" i="24"/>
  <c r="R214" i="24"/>
  <c r="R215" i="24"/>
  <c r="R216" i="24"/>
  <c r="R217" i="24"/>
  <c r="R218" i="24"/>
  <c r="R219" i="24"/>
  <c r="R220" i="24"/>
  <c r="R221" i="24"/>
  <c r="R222" i="24"/>
  <c r="R223" i="24"/>
  <c r="R224" i="24"/>
  <c r="R225" i="24"/>
  <c r="R226" i="24"/>
  <c r="R227" i="24"/>
  <c r="R228" i="24"/>
  <c r="R229" i="24"/>
  <c r="R230" i="24"/>
  <c r="R231" i="24"/>
  <c r="R232" i="24"/>
  <c r="R233" i="24"/>
  <c r="R234" i="24"/>
  <c r="R235" i="24"/>
  <c r="R236" i="24"/>
  <c r="R237" i="24"/>
  <c r="R238" i="24"/>
  <c r="R239" i="24"/>
  <c r="R240" i="24"/>
  <c r="R241" i="24"/>
  <c r="R242" i="24"/>
  <c r="R243" i="24"/>
  <c r="R244" i="24"/>
  <c r="R245" i="24"/>
  <c r="R246" i="24"/>
  <c r="R247" i="24"/>
  <c r="R248" i="24"/>
  <c r="R249" i="24"/>
  <c r="R9" i="24"/>
  <c r="R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Q85" i="24"/>
  <c r="Q86" i="24"/>
  <c r="Q87" i="24"/>
  <c r="Q88" i="24"/>
  <c r="Q89" i="24"/>
  <c r="Q90" i="24"/>
  <c r="Q91" i="24"/>
  <c r="Q92" i="24"/>
  <c r="Q93" i="24"/>
  <c r="Q94" i="24"/>
  <c r="Q95" i="24"/>
  <c r="Q96" i="24"/>
  <c r="Q97" i="24"/>
  <c r="Q98" i="24"/>
  <c r="Q99" i="24"/>
  <c r="Q100" i="24"/>
  <c r="Q101" i="24"/>
  <c r="Q102" i="24"/>
  <c r="Q103" i="24"/>
  <c r="Q104" i="24"/>
  <c r="Q105" i="24"/>
  <c r="Q106" i="24"/>
  <c r="Q107" i="24"/>
  <c r="Q108" i="24"/>
  <c r="Q109" i="24"/>
  <c r="Q110" i="24"/>
  <c r="Q111" i="24"/>
  <c r="Q112" i="24"/>
  <c r="Q113" i="24"/>
  <c r="Q114" i="24"/>
  <c r="Q115" i="24"/>
  <c r="Q116" i="24"/>
  <c r="Q117" i="24"/>
  <c r="Q118" i="24"/>
  <c r="Q119" i="24"/>
  <c r="Q120" i="24"/>
  <c r="Q121" i="24"/>
  <c r="Q122" i="24"/>
  <c r="Q123" i="24"/>
  <c r="Q124" i="24"/>
  <c r="Q125" i="24"/>
  <c r="Q126" i="24"/>
  <c r="Q127" i="24"/>
  <c r="Q128" i="24"/>
  <c r="Q129" i="24"/>
  <c r="Q130" i="24"/>
  <c r="Q131" i="24"/>
  <c r="Q132" i="24"/>
  <c r="Q133" i="24"/>
  <c r="Q134" i="24"/>
  <c r="Q135" i="24"/>
  <c r="Q136" i="24"/>
  <c r="Q137" i="24"/>
  <c r="Q138" i="24"/>
  <c r="Q139" i="24"/>
  <c r="Q140" i="24"/>
  <c r="Q141" i="24"/>
  <c r="Q142" i="24"/>
  <c r="Q143" i="24"/>
  <c r="Q144" i="24"/>
  <c r="Q145" i="24"/>
  <c r="Q146" i="24"/>
  <c r="Q147" i="24"/>
  <c r="Q148" i="24"/>
  <c r="Q149" i="24"/>
  <c r="Q150" i="24"/>
  <c r="Q151" i="24"/>
  <c r="Q152" i="24"/>
  <c r="Q153" i="24"/>
  <c r="Q154" i="24"/>
  <c r="Q155" i="24"/>
  <c r="Q156" i="24"/>
  <c r="Q157" i="24"/>
  <c r="Q158" i="24"/>
  <c r="Q159" i="24"/>
  <c r="Q160" i="24"/>
  <c r="Q161" i="24"/>
  <c r="Q162" i="24"/>
  <c r="Q163" i="24"/>
  <c r="Q164" i="24"/>
  <c r="Q165" i="24"/>
  <c r="Q166" i="24"/>
  <c r="Q167" i="24"/>
  <c r="Q168" i="24"/>
  <c r="Q169" i="24"/>
  <c r="Q170" i="24"/>
  <c r="Q171" i="24"/>
  <c r="Q172" i="24"/>
  <c r="Q173" i="24"/>
  <c r="Q174" i="24"/>
  <c r="Q175" i="24"/>
  <c r="Q176" i="24"/>
  <c r="Q177" i="24"/>
  <c r="Q178" i="24"/>
  <c r="Q179" i="24"/>
  <c r="Q180" i="24"/>
  <c r="Q181" i="24"/>
  <c r="Q182" i="24"/>
  <c r="Q183" i="24"/>
  <c r="Q184" i="24"/>
  <c r="Q185" i="24"/>
  <c r="Q186" i="24"/>
  <c r="Q187" i="24"/>
  <c r="Q188" i="24"/>
  <c r="Q189" i="24"/>
  <c r="Q190" i="24"/>
  <c r="Q191" i="24"/>
  <c r="Q192" i="24"/>
  <c r="Q193" i="24"/>
  <c r="Q194" i="24"/>
  <c r="Q195" i="24"/>
  <c r="Q196" i="24"/>
  <c r="Q197" i="24"/>
  <c r="Q198" i="24"/>
  <c r="Q199" i="24"/>
  <c r="Q200" i="24"/>
  <c r="Q201" i="24"/>
  <c r="Q202" i="24"/>
  <c r="Q203" i="24"/>
  <c r="Q204" i="24"/>
  <c r="Q205" i="24"/>
  <c r="Q206" i="24"/>
  <c r="Q207" i="24"/>
  <c r="Q208" i="24"/>
  <c r="Q209" i="24"/>
  <c r="Q210" i="24"/>
  <c r="Q211" i="24"/>
  <c r="Q212" i="24"/>
  <c r="Q213" i="24"/>
  <c r="Q214" i="24"/>
  <c r="Q215" i="24"/>
  <c r="Q216" i="24"/>
  <c r="Q217" i="24"/>
  <c r="Q218" i="24"/>
  <c r="Q219" i="24"/>
  <c r="Q220" i="24"/>
  <c r="Q221" i="24"/>
  <c r="Q222" i="24"/>
  <c r="Q223" i="24"/>
  <c r="Q224" i="24"/>
  <c r="Q225" i="24"/>
  <c r="Q226" i="24"/>
  <c r="Q227" i="24"/>
  <c r="Q228" i="24"/>
  <c r="Q229" i="24"/>
  <c r="Q230" i="24"/>
  <c r="Q231" i="24"/>
  <c r="Q232" i="24"/>
  <c r="Q233" i="24"/>
  <c r="Q234" i="24"/>
  <c r="Q235" i="24"/>
  <c r="Q236" i="24"/>
  <c r="Q237" i="24"/>
  <c r="Q238" i="24"/>
  <c r="Q239" i="24"/>
  <c r="Q240" i="24"/>
  <c r="Q241" i="24"/>
  <c r="Q242" i="24"/>
  <c r="Q243" i="24"/>
  <c r="Q244" i="24"/>
  <c r="Q245" i="24"/>
  <c r="Q246" i="24"/>
  <c r="Q247" i="24"/>
  <c r="Q248" i="24"/>
  <c r="Q249" i="24"/>
  <c r="Q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37" i="24"/>
  <c r="P38" i="24"/>
  <c r="P39" i="24"/>
  <c r="P40" i="24"/>
  <c r="P41" i="24"/>
  <c r="P42" i="24"/>
  <c r="P43" i="24"/>
  <c r="P44" i="24"/>
  <c r="P45" i="24"/>
  <c r="P46" i="24"/>
  <c r="P47" i="24"/>
  <c r="P48" i="24"/>
  <c r="P49" i="24"/>
  <c r="P50" i="24"/>
  <c r="P51" i="24"/>
  <c r="P52" i="24"/>
  <c r="P53" i="24"/>
  <c r="P54" i="24"/>
  <c r="P55" i="24"/>
  <c r="P56" i="24"/>
  <c r="P57" i="24"/>
  <c r="P58" i="24"/>
  <c r="P59" i="24"/>
  <c r="P60" i="24"/>
  <c r="P61" i="24"/>
  <c r="P62" i="24"/>
  <c r="P63" i="24"/>
  <c r="P64" i="24"/>
  <c r="P65" i="24"/>
  <c r="P66" i="24"/>
  <c r="P67" i="24"/>
  <c r="P68" i="24"/>
  <c r="P69" i="24"/>
  <c r="P70" i="24"/>
  <c r="P71" i="24"/>
  <c r="P72" i="24"/>
  <c r="P73" i="24"/>
  <c r="P74" i="24"/>
  <c r="P75" i="24"/>
  <c r="P76" i="24"/>
  <c r="P77" i="24"/>
  <c r="P78" i="24"/>
  <c r="P79" i="24"/>
  <c r="P80" i="24"/>
  <c r="P81" i="24"/>
  <c r="P82" i="24"/>
  <c r="P83" i="24"/>
  <c r="P84" i="24"/>
  <c r="P85" i="24"/>
  <c r="P86" i="24"/>
  <c r="P87" i="24"/>
  <c r="P88" i="24"/>
  <c r="P89" i="24"/>
  <c r="P90" i="24"/>
  <c r="P91" i="24"/>
  <c r="P92" i="24"/>
  <c r="P93" i="24"/>
  <c r="P94" i="24"/>
  <c r="P95" i="24"/>
  <c r="P96" i="24"/>
  <c r="P97" i="24"/>
  <c r="P98" i="24"/>
  <c r="P99" i="24"/>
  <c r="P100" i="24"/>
  <c r="P101" i="24"/>
  <c r="P102" i="24"/>
  <c r="P103" i="24"/>
  <c r="P104" i="24"/>
  <c r="P105" i="24"/>
  <c r="P106" i="24"/>
  <c r="P107" i="24"/>
  <c r="P108" i="24"/>
  <c r="P109" i="24"/>
  <c r="P110" i="24"/>
  <c r="P111" i="24"/>
  <c r="P112" i="24"/>
  <c r="P113" i="24"/>
  <c r="P114" i="24"/>
  <c r="P115" i="24"/>
  <c r="P116" i="24"/>
  <c r="P117" i="24"/>
  <c r="P118" i="24"/>
  <c r="P119" i="24"/>
  <c r="P120" i="24"/>
  <c r="P121" i="24"/>
  <c r="P122" i="24"/>
  <c r="P123" i="24"/>
  <c r="P124" i="24"/>
  <c r="P125" i="24"/>
  <c r="P126" i="24"/>
  <c r="P127" i="24"/>
  <c r="P128" i="24"/>
  <c r="P129" i="24"/>
  <c r="P130" i="24"/>
  <c r="P131" i="24"/>
  <c r="P132" i="24"/>
  <c r="P133" i="24"/>
  <c r="P134" i="24"/>
  <c r="P135" i="24"/>
  <c r="P136" i="24"/>
  <c r="P137" i="24"/>
  <c r="P138" i="24"/>
  <c r="P139" i="24"/>
  <c r="P140" i="24"/>
  <c r="P141" i="24"/>
  <c r="P142" i="24"/>
  <c r="P143" i="24"/>
  <c r="P144" i="24"/>
  <c r="P145" i="24"/>
  <c r="P146" i="24"/>
  <c r="P147" i="24"/>
  <c r="P148" i="24"/>
  <c r="P149" i="24"/>
  <c r="P150" i="24"/>
  <c r="P151" i="24"/>
  <c r="P152" i="24"/>
  <c r="P153" i="24"/>
  <c r="P154" i="24"/>
  <c r="P155" i="24"/>
  <c r="P156" i="24"/>
  <c r="P157" i="24"/>
  <c r="P158" i="24"/>
  <c r="P159" i="24"/>
  <c r="P160" i="24"/>
  <c r="P161" i="24"/>
  <c r="P162" i="24"/>
  <c r="P163" i="24"/>
  <c r="P164" i="24"/>
  <c r="P165" i="24"/>
  <c r="P166" i="24"/>
  <c r="P167" i="24"/>
  <c r="P168" i="24"/>
  <c r="P169" i="24"/>
  <c r="P170" i="24"/>
  <c r="P171" i="24"/>
  <c r="P172" i="24"/>
  <c r="P173" i="24"/>
  <c r="P174" i="24"/>
  <c r="P175" i="24"/>
  <c r="P176" i="24"/>
  <c r="P177" i="24"/>
  <c r="P178" i="24"/>
  <c r="P179" i="24"/>
  <c r="P180" i="24"/>
  <c r="P181" i="24"/>
  <c r="P182" i="24"/>
  <c r="P183" i="24"/>
  <c r="P184" i="24"/>
  <c r="P185" i="24"/>
  <c r="P186" i="24"/>
  <c r="P187" i="24"/>
  <c r="P188" i="24"/>
  <c r="P189" i="24"/>
  <c r="P190" i="24"/>
  <c r="P191" i="24"/>
  <c r="P192" i="24"/>
  <c r="P193" i="24"/>
  <c r="P194" i="24"/>
  <c r="P195" i="24"/>
  <c r="P196" i="24"/>
  <c r="P197" i="24"/>
  <c r="P198" i="24"/>
  <c r="P199" i="24"/>
  <c r="P200" i="24"/>
  <c r="P201" i="24"/>
  <c r="P202" i="24"/>
  <c r="P203" i="24"/>
  <c r="P204" i="24"/>
  <c r="P205" i="24"/>
  <c r="P206" i="24"/>
  <c r="P207" i="24"/>
  <c r="P208" i="24"/>
  <c r="P209" i="24"/>
  <c r="P210" i="24"/>
  <c r="P211" i="24"/>
  <c r="P212" i="24"/>
  <c r="P213" i="24"/>
  <c r="P214" i="24"/>
  <c r="P215" i="24"/>
  <c r="P216" i="24"/>
  <c r="P217" i="24"/>
  <c r="P218" i="24"/>
  <c r="P219" i="24"/>
  <c r="P220" i="24"/>
  <c r="P221" i="24"/>
  <c r="P222" i="24"/>
  <c r="P223" i="24"/>
  <c r="P224" i="24"/>
  <c r="P225" i="24"/>
  <c r="P226" i="24"/>
  <c r="P227" i="24"/>
  <c r="P228" i="24"/>
  <c r="P229" i="24"/>
  <c r="P230" i="24"/>
  <c r="P231" i="24"/>
  <c r="P232" i="24"/>
  <c r="P233" i="24"/>
  <c r="P234" i="24"/>
  <c r="P235" i="24"/>
  <c r="P236" i="24"/>
  <c r="P237" i="24"/>
  <c r="P238" i="24"/>
  <c r="P239" i="24"/>
  <c r="P240" i="24"/>
  <c r="P241" i="24"/>
  <c r="P242" i="24"/>
  <c r="P243" i="24"/>
  <c r="P244" i="24"/>
  <c r="P245" i="24"/>
  <c r="P246" i="24"/>
  <c r="P247" i="24"/>
  <c r="P248" i="24"/>
  <c r="P249" i="24"/>
  <c r="P8" i="24"/>
  <c r="O9" i="24"/>
  <c r="O10" i="24"/>
  <c r="O11" i="24"/>
  <c r="O12" i="24"/>
  <c r="O13" i="24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5" i="24"/>
  <c r="O56" i="24"/>
  <c r="O57" i="24"/>
  <c r="O58" i="24"/>
  <c r="O59" i="24"/>
  <c r="O60" i="24"/>
  <c r="O61" i="24"/>
  <c r="O62" i="24"/>
  <c r="O63" i="24"/>
  <c r="O64" i="24"/>
  <c r="O65" i="24"/>
  <c r="O66" i="24"/>
  <c r="O67" i="24"/>
  <c r="O68" i="24"/>
  <c r="O69" i="24"/>
  <c r="O70" i="24"/>
  <c r="O71" i="24"/>
  <c r="O72" i="24"/>
  <c r="O73" i="24"/>
  <c r="O74" i="24"/>
  <c r="O75" i="24"/>
  <c r="O76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115" i="24"/>
  <c r="O116" i="24"/>
  <c r="O117" i="24"/>
  <c r="O118" i="24"/>
  <c r="O119" i="24"/>
  <c r="O120" i="24"/>
  <c r="O121" i="24"/>
  <c r="O122" i="24"/>
  <c r="O123" i="24"/>
  <c r="O124" i="24"/>
  <c r="O125" i="24"/>
  <c r="O126" i="24"/>
  <c r="O127" i="24"/>
  <c r="O128" i="24"/>
  <c r="O129" i="24"/>
  <c r="O130" i="24"/>
  <c r="O131" i="24"/>
  <c r="O132" i="24"/>
  <c r="O133" i="24"/>
  <c r="O134" i="24"/>
  <c r="O135" i="24"/>
  <c r="O136" i="24"/>
  <c r="O137" i="24"/>
  <c r="O138" i="24"/>
  <c r="O139" i="24"/>
  <c r="O140" i="24"/>
  <c r="O141" i="24"/>
  <c r="O142" i="24"/>
  <c r="O143" i="24"/>
  <c r="O144" i="24"/>
  <c r="O145" i="24"/>
  <c r="O146" i="24"/>
  <c r="O147" i="24"/>
  <c r="O148" i="24"/>
  <c r="O149" i="24"/>
  <c r="O150" i="24"/>
  <c r="O151" i="24"/>
  <c r="O152" i="24"/>
  <c r="O153" i="24"/>
  <c r="O154" i="24"/>
  <c r="O155" i="24"/>
  <c r="O156" i="24"/>
  <c r="O157" i="24"/>
  <c r="O158" i="24"/>
  <c r="O159" i="24"/>
  <c r="O160" i="24"/>
  <c r="O161" i="24"/>
  <c r="O162" i="24"/>
  <c r="O163" i="24"/>
  <c r="O164" i="24"/>
  <c r="O165" i="24"/>
  <c r="O166" i="24"/>
  <c r="O167" i="24"/>
  <c r="O168" i="24"/>
  <c r="O169" i="24"/>
  <c r="O170" i="24"/>
  <c r="O171" i="24"/>
  <c r="O172" i="24"/>
  <c r="O173" i="24"/>
  <c r="O174" i="24"/>
  <c r="O175" i="24"/>
  <c r="O176" i="24"/>
  <c r="O177" i="24"/>
  <c r="O178" i="24"/>
  <c r="O179" i="24"/>
  <c r="O180" i="24"/>
  <c r="O181" i="24"/>
  <c r="O182" i="24"/>
  <c r="O183" i="24"/>
  <c r="O184" i="24"/>
  <c r="O185" i="24"/>
  <c r="O186" i="24"/>
  <c r="O187" i="24"/>
  <c r="O188" i="24"/>
  <c r="O189" i="24"/>
  <c r="O190" i="24"/>
  <c r="O191" i="24"/>
  <c r="O192" i="24"/>
  <c r="O193" i="24"/>
  <c r="O194" i="24"/>
  <c r="O195" i="24"/>
  <c r="O196" i="24"/>
  <c r="O197" i="24"/>
  <c r="O198" i="24"/>
  <c r="O199" i="24"/>
  <c r="O200" i="24"/>
  <c r="O201" i="24"/>
  <c r="O202" i="24"/>
  <c r="O203" i="24"/>
  <c r="O204" i="24"/>
  <c r="O205" i="24"/>
  <c r="O206" i="24"/>
  <c r="O207" i="24"/>
  <c r="O208" i="24"/>
  <c r="O209" i="24"/>
  <c r="O210" i="24"/>
  <c r="O211" i="24"/>
  <c r="O212" i="24"/>
  <c r="O213" i="24"/>
  <c r="O214" i="24"/>
  <c r="O215" i="24"/>
  <c r="O216" i="24"/>
  <c r="O217" i="24"/>
  <c r="O218" i="24"/>
  <c r="O219" i="24"/>
  <c r="O220" i="24"/>
  <c r="O221" i="24"/>
  <c r="O222" i="24"/>
  <c r="O223" i="24"/>
  <c r="O224" i="24"/>
  <c r="O225" i="24"/>
  <c r="O226" i="24"/>
  <c r="O227" i="24"/>
  <c r="O228" i="24"/>
  <c r="O229" i="24"/>
  <c r="O230" i="24"/>
  <c r="O231" i="24"/>
  <c r="O232" i="24"/>
  <c r="O233" i="24"/>
  <c r="O234" i="24"/>
  <c r="O235" i="24"/>
  <c r="O236" i="24"/>
  <c r="O237" i="24"/>
  <c r="O238" i="24"/>
  <c r="O239" i="24"/>
  <c r="O240" i="24"/>
  <c r="O241" i="24"/>
  <c r="O242" i="24"/>
  <c r="O243" i="24"/>
  <c r="O244" i="24"/>
  <c r="O245" i="24"/>
  <c r="O246" i="24"/>
  <c r="O247" i="24"/>
  <c r="O248" i="24"/>
  <c r="O249" i="24"/>
  <c r="I9" i="24"/>
  <c r="I10" i="24"/>
  <c r="I11" i="24"/>
  <c r="I12" i="24"/>
  <c r="I13" i="24"/>
  <c r="I14" i="24"/>
  <c r="I15" i="24"/>
  <c r="I16" i="24"/>
  <c r="I17" i="24"/>
  <c r="I18" i="24"/>
  <c r="I19" i="24"/>
  <c r="I20" i="24"/>
  <c r="I21" i="24"/>
  <c r="I22" i="24"/>
  <c r="I23" i="24"/>
  <c r="I24" i="24"/>
  <c r="I25" i="24"/>
  <c r="I26" i="24"/>
  <c r="I27" i="24"/>
  <c r="I28" i="24"/>
  <c r="I29" i="24"/>
  <c r="I30" i="24"/>
  <c r="I31" i="24"/>
  <c r="I32" i="24"/>
  <c r="I33" i="24"/>
  <c r="I34" i="24"/>
  <c r="I35" i="24"/>
  <c r="I36" i="24"/>
  <c r="I37" i="24"/>
  <c r="I38" i="24"/>
  <c r="I39" i="24"/>
  <c r="I40" i="24"/>
  <c r="I41" i="24"/>
  <c r="I42" i="24"/>
  <c r="I43" i="24"/>
  <c r="I44" i="24"/>
  <c r="I45" i="24"/>
  <c r="I46" i="24"/>
  <c r="I47" i="24"/>
  <c r="I48" i="24"/>
  <c r="I49" i="24"/>
  <c r="I50" i="24"/>
  <c r="I51" i="24"/>
  <c r="I52" i="24"/>
  <c r="I53" i="24"/>
  <c r="I54" i="24"/>
  <c r="I55" i="24"/>
  <c r="I56" i="24"/>
  <c r="I57" i="24"/>
  <c r="I58" i="24"/>
  <c r="I59" i="24"/>
  <c r="I60" i="24"/>
  <c r="I61" i="24"/>
  <c r="I62" i="24"/>
  <c r="I63" i="24"/>
  <c r="I64" i="24"/>
  <c r="I65" i="24"/>
  <c r="I66" i="24"/>
  <c r="I67" i="24"/>
  <c r="I68" i="24"/>
  <c r="I69" i="24"/>
  <c r="I70" i="24"/>
  <c r="I71" i="24"/>
  <c r="I72" i="24"/>
  <c r="I73" i="24"/>
  <c r="I74" i="24"/>
  <c r="I75" i="24"/>
  <c r="I76" i="24"/>
  <c r="I77" i="24"/>
  <c r="I78" i="24"/>
  <c r="I79" i="24"/>
  <c r="I80" i="24"/>
  <c r="I81" i="24"/>
  <c r="I82" i="24"/>
  <c r="I83" i="24"/>
  <c r="I84" i="24"/>
  <c r="I85" i="24"/>
  <c r="I86" i="24"/>
  <c r="I87" i="24"/>
  <c r="I88" i="24"/>
  <c r="I89" i="24"/>
  <c r="I90" i="24"/>
  <c r="I91" i="24"/>
  <c r="I92" i="24"/>
  <c r="I93" i="24"/>
  <c r="I94" i="24"/>
  <c r="I95" i="24"/>
  <c r="I96" i="24"/>
  <c r="I97" i="24"/>
  <c r="I98" i="24"/>
  <c r="I99" i="24"/>
  <c r="I100" i="24"/>
  <c r="I101" i="24"/>
  <c r="I102" i="24"/>
  <c r="I103" i="24"/>
  <c r="I104" i="24"/>
  <c r="I105" i="24"/>
  <c r="I106" i="24"/>
  <c r="I107" i="24"/>
  <c r="I108" i="24"/>
  <c r="I109" i="24"/>
  <c r="I110" i="24"/>
  <c r="I111" i="24"/>
  <c r="I112" i="24"/>
  <c r="I113" i="24"/>
  <c r="I114" i="24"/>
  <c r="I115" i="24"/>
  <c r="I116" i="24"/>
  <c r="I117" i="24"/>
  <c r="I118" i="24"/>
  <c r="I119" i="24"/>
  <c r="I120" i="24"/>
  <c r="I121" i="24"/>
  <c r="I122" i="24"/>
  <c r="I123" i="24"/>
  <c r="I124" i="24"/>
  <c r="I125" i="24"/>
  <c r="I126" i="24"/>
  <c r="I127" i="24"/>
  <c r="I128" i="24"/>
  <c r="I129" i="24"/>
  <c r="I130" i="24"/>
  <c r="I131" i="24"/>
  <c r="I132" i="24"/>
  <c r="I133" i="24"/>
  <c r="I134" i="24"/>
  <c r="I135" i="24"/>
  <c r="I136" i="24"/>
  <c r="I137" i="24"/>
  <c r="I138" i="24"/>
  <c r="I139" i="24"/>
  <c r="I140" i="24"/>
  <c r="I141" i="24"/>
  <c r="I142" i="24"/>
  <c r="I143" i="24"/>
  <c r="I144" i="24"/>
  <c r="I145" i="24"/>
  <c r="I146" i="24"/>
  <c r="I147" i="24"/>
  <c r="I148" i="24"/>
  <c r="I149" i="24"/>
  <c r="I150" i="24"/>
  <c r="I151" i="24"/>
  <c r="I152" i="24"/>
  <c r="I153" i="24"/>
  <c r="I154" i="24"/>
  <c r="I155" i="24"/>
  <c r="I156" i="24"/>
  <c r="I157" i="24"/>
  <c r="I158" i="24"/>
  <c r="I159" i="24"/>
  <c r="I160" i="24"/>
  <c r="I161" i="24"/>
  <c r="I162" i="24"/>
  <c r="I163" i="24"/>
  <c r="I164" i="24"/>
  <c r="I165" i="24"/>
  <c r="I166" i="24"/>
  <c r="I167" i="24"/>
  <c r="I168" i="24"/>
  <c r="I169" i="24"/>
  <c r="I170" i="24"/>
  <c r="I171" i="24"/>
  <c r="I172" i="24"/>
  <c r="I173" i="24"/>
  <c r="I174" i="24"/>
  <c r="I175" i="24"/>
  <c r="I176" i="24"/>
  <c r="I177" i="24"/>
  <c r="I178" i="24"/>
  <c r="I179" i="24"/>
  <c r="I180" i="24"/>
  <c r="I181" i="24"/>
  <c r="I182" i="24"/>
  <c r="I183" i="24"/>
  <c r="I184" i="24"/>
  <c r="I185" i="24"/>
  <c r="I186" i="24"/>
  <c r="I187" i="24"/>
  <c r="I188" i="24"/>
  <c r="I189" i="24"/>
  <c r="I190" i="24"/>
  <c r="I191" i="24"/>
  <c r="I192" i="24"/>
  <c r="I193" i="24"/>
  <c r="I194" i="24"/>
  <c r="I195" i="24"/>
  <c r="I196" i="24"/>
  <c r="I197" i="24"/>
  <c r="I198" i="24"/>
  <c r="I199" i="24"/>
  <c r="I200" i="24"/>
  <c r="I201" i="24"/>
  <c r="I202" i="24"/>
  <c r="I203" i="24"/>
  <c r="I204" i="24"/>
  <c r="I205" i="24"/>
  <c r="I206" i="24"/>
  <c r="I207" i="24"/>
  <c r="I208" i="24"/>
  <c r="I209" i="24"/>
  <c r="I210" i="24"/>
  <c r="I211" i="24"/>
  <c r="I212" i="24"/>
  <c r="I213" i="24"/>
  <c r="I214" i="24"/>
  <c r="I215" i="24"/>
  <c r="I216" i="24"/>
  <c r="I217" i="24"/>
  <c r="I218" i="24"/>
  <c r="I219" i="24"/>
  <c r="I220" i="24"/>
  <c r="I221" i="24"/>
  <c r="I222" i="24"/>
  <c r="I223" i="24"/>
  <c r="I224" i="24"/>
  <c r="I225" i="24"/>
  <c r="I226" i="24"/>
  <c r="I227" i="24"/>
  <c r="I228" i="24"/>
  <c r="I229" i="24"/>
  <c r="I230" i="24"/>
  <c r="I231" i="24"/>
  <c r="I232" i="24"/>
  <c r="I233" i="24"/>
  <c r="I234" i="24"/>
  <c r="I235" i="24"/>
  <c r="I236" i="24"/>
  <c r="I237" i="24"/>
  <c r="I238" i="24"/>
  <c r="I239" i="24"/>
  <c r="I240" i="24"/>
  <c r="I241" i="24"/>
  <c r="I242" i="24"/>
  <c r="I243" i="24"/>
  <c r="I244" i="24"/>
  <c r="I245" i="24"/>
  <c r="I246" i="24"/>
  <c r="I247" i="24"/>
  <c r="I248" i="24"/>
  <c r="I249" i="24"/>
  <c r="I8" i="24"/>
  <c r="O8" i="24"/>
  <c r="H9" i="24"/>
  <c r="H10" i="24"/>
  <c r="H11" i="24"/>
  <c r="H12" i="24"/>
  <c r="H13" i="24"/>
  <c r="H14" i="24"/>
  <c r="H15" i="24"/>
  <c r="H16" i="24"/>
  <c r="H17" i="24"/>
  <c r="H18" i="24"/>
  <c r="H19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8" i="24"/>
  <c r="G9" i="24"/>
  <c r="G10" i="24"/>
  <c r="G11" i="24"/>
  <c r="G12" i="24"/>
  <c r="G13" i="24"/>
  <c r="G14" i="24"/>
  <c r="G15" i="24"/>
  <c r="G16" i="24"/>
  <c r="G17" i="24"/>
  <c r="G18" i="24"/>
  <c r="G19" i="24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7" i="24"/>
  <c r="G58" i="24"/>
  <c r="G59" i="24"/>
  <c r="G60" i="24"/>
  <c r="G61" i="24"/>
  <c r="G62" i="24"/>
  <c r="G63" i="24"/>
  <c r="G64" i="24"/>
  <c r="G65" i="24"/>
  <c r="G66" i="24"/>
  <c r="G67" i="24"/>
  <c r="G68" i="24"/>
  <c r="G69" i="24"/>
  <c r="G70" i="24"/>
  <c r="G71" i="24"/>
  <c r="G72" i="24"/>
  <c r="G73" i="24"/>
  <c r="G74" i="24"/>
  <c r="G75" i="24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8" i="24"/>
  <c r="F9" i="24"/>
  <c r="F10" i="24"/>
  <c r="F11" i="24"/>
  <c r="F12" i="24"/>
  <c r="F13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6" i="24"/>
  <c r="F57" i="24"/>
  <c r="F58" i="24"/>
  <c r="F59" i="24"/>
  <c r="F60" i="24"/>
  <c r="F61" i="24"/>
  <c r="F62" i="24"/>
  <c r="F63" i="24"/>
  <c r="F64" i="24"/>
  <c r="F65" i="24"/>
  <c r="F66" i="24"/>
  <c r="F67" i="24"/>
  <c r="F68" i="24"/>
  <c r="F69" i="24"/>
  <c r="F70" i="24"/>
  <c r="F71" i="24"/>
  <c r="F72" i="24"/>
  <c r="F73" i="24"/>
  <c r="F74" i="24"/>
  <c r="F75" i="24"/>
  <c r="F76" i="24"/>
  <c r="F77" i="24"/>
  <c r="F78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4" i="24"/>
  <c r="F185" i="24"/>
  <c r="F186" i="24"/>
  <c r="F187" i="24"/>
  <c r="F188" i="24"/>
  <c r="F189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8" i="24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69" i="24"/>
  <c r="D70" i="24"/>
  <c r="D71" i="24"/>
  <c r="D72" i="24"/>
  <c r="D73" i="24"/>
  <c r="D74" i="24"/>
  <c r="D75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3" i="24"/>
  <c r="D154" i="24"/>
  <c r="D155" i="24"/>
  <c r="D156" i="24"/>
  <c r="D157" i="24"/>
  <c r="D158" i="24"/>
  <c r="D159" i="24"/>
  <c r="D160" i="24"/>
  <c r="D161" i="24"/>
  <c r="D162" i="24"/>
  <c r="D163" i="24"/>
  <c r="D164" i="24"/>
  <c r="D165" i="24"/>
  <c r="D166" i="24"/>
  <c r="D167" i="24"/>
  <c r="D168" i="24"/>
  <c r="D169" i="24"/>
  <c r="D170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0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5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29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8" i="24"/>
  <c r="W9" i="51"/>
  <c r="W10" i="51"/>
  <c r="W8" i="51"/>
  <c r="V9" i="51"/>
  <c r="V10" i="51"/>
  <c r="V8" i="51"/>
  <c r="U9" i="51"/>
  <c r="U10" i="51"/>
  <c r="U8" i="51"/>
  <c r="T9" i="51"/>
  <c r="T10" i="51"/>
  <c r="T8" i="51"/>
  <c r="S10" i="51"/>
  <c r="S9" i="51"/>
  <c r="S8" i="51"/>
  <c r="H8" i="51"/>
  <c r="I9" i="51"/>
  <c r="I10" i="51"/>
  <c r="I8" i="51"/>
  <c r="O9" i="51"/>
  <c r="O10" i="51"/>
  <c r="O8" i="51"/>
  <c r="P9" i="51"/>
  <c r="P10" i="51"/>
  <c r="P8" i="51"/>
  <c r="Q9" i="51"/>
  <c r="Q10" i="51"/>
  <c r="Q8" i="51"/>
  <c r="R9" i="51"/>
  <c r="R10" i="51"/>
  <c r="R8" i="51"/>
  <c r="H9" i="51"/>
  <c r="H10" i="51"/>
  <c r="G9" i="51"/>
  <c r="G10" i="51"/>
  <c r="G8" i="51"/>
  <c r="F9" i="51"/>
  <c r="F10" i="51"/>
  <c r="F8" i="51"/>
  <c r="D9" i="51"/>
  <c r="D10" i="51"/>
  <c r="D8" i="51"/>
  <c r="W9" i="52"/>
  <c r="W10" i="52"/>
  <c r="W11" i="52"/>
  <c r="W8" i="52"/>
  <c r="V9" i="52"/>
  <c r="V10" i="52"/>
  <c r="V11" i="52"/>
  <c r="V8" i="52"/>
  <c r="U9" i="52"/>
  <c r="U10" i="52"/>
  <c r="U11" i="52"/>
  <c r="U8" i="52"/>
  <c r="T9" i="52"/>
  <c r="T10" i="52"/>
  <c r="T11" i="52"/>
  <c r="S9" i="52"/>
  <c r="S10" i="52"/>
  <c r="S11" i="52"/>
  <c r="S8" i="52"/>
  <c r="T8" i="52"/>
  <c r="R9" i="52"/>
  <c r="R10" i="52"/>
  <c r="R11" i="52"/>
  <c r="R8" i="52"/>
  <c r="Q9" i="52"/>
  <c r="Q10" i="52"/>
  <c r="Q11" i="52"/>
  <c r="Q8" i="52"/>
  <c r="P9" i="52"/>
  <c r="P10" i="52"/>
  <c r="P11" i="52"/>
  <c r="P8" i="52"/>
  <c r="O9" i="52"/>
  <c r="O10" i="52"/>
  <c r="O11" i="52"/>
  <c r="O8" i="52"/>
  <c r="I9" i="52"/>
  <c r="I10" i="52"/>
  <c r="I11" i="52"/>
  <c r="I8" i="52"/>
  <c r="H9" i="52"/>
  <c r="H10" i="52"/>
  <c r="H11" i="52"/>
  <c r="H8" i="52"/>
  <c r="G9" i="52"/>
  <c r="G10" i="52"/>
  <c r="G11" i="52"/>
  <c r="G8" i="52"/>
  <c r="F9" i="52"/>
  <c r="F10" i="52"/>
  <c r="F11" i="52"/>
  <c r="F8" i="52"/>
  <c r="D10" i="52"/>
  <c r="D11" i="52"/>
  <c r="D9" i="52"/>
  <c r="D8" i="52"/>
  <c r="W10" i="47"/>
  <c r="W11" i="47"/>
  <c r="W12" i="47"/>
  <c r="W13" i="47"/>
  <c r="W14" i="47"/>
  <c r="W15" i="47"/>
  <c r="W16" i="47"/>
  <c r="W17" i="47"/>
  <c r="W18" i="47"/>
  <c r="W19" i="47"/>
  <c r="W20" i="47"/>
  <c r="W21" i="47"/>
  <c r="W9" i="47"/>
  <c r="W8" i="47"/>
  <c r="V9" i="47"/>
  <c r="V10" i="47"/>
  <c r="V11" i="47"/>
  <c r="V12" i="47"/>
  <c r="V13" i="47"/>
  <c r="V14" i="47"/>
  <c r="V15" i="47"/>
  <c r="V16" i="47"/>
  <c r="V17" i="47"/>
  <c r="V18" i="47"/>
  <c r="V19" i="47"/>
  <c r="V20" i="47"/>
  <c r="V21" i="47"/>
  <c r="V8" i="47"/>
  <c r="U9" i="47"/>
  <c r="U10" i="47"/>
  <c r="U11" i="47"/>
  <c r="U12" i="47"/>
  <c r="U13" i="47"/>
  <c r="U14" i="47"/>
  <c r="U15" i="47"/>
  <c r="U16" i="47"/>
  <c r="U17" i="47"/>
  <c r="U18" i="47"/>
  <c r="U19" i="47"/>
  <c r="U20" i="47"/>
  <c r="U21" i="47"/>
  <c r="U8" i="47"/>
  <c r="T10" i="47"/>
  <c r="T11" i="47"/>
  <c r="T12" i="47"/>
  <c r="T13" i="47"/>
  <c r="T14" i="47"/>
  <c r="T15" i="47"/>
  <c r="T16" i="47"/>
  <c r="T17" i="47"/>
  <c r="T18" i="47"/>
  <c r="T19" i="47"/>
  <c r="T20" i="47"/>
  <c r="T21" i="47"/>
  <c r="T9" i="47"/>
  <c r="T8" i="47"/>
  <c r="S9" i="47"/>
  <c r="S10" i="47"/>
  <c r="S11" i="47"/>
  <c r="S12" i="47"/>
  <c r="S13" i="47"/>
  <c r="S14" i="47"/>
  <c r="S15" i="47"/>
  <c r="S16" i="47"/>
  <c r="S17" i="47"/>
  <c r="S18" i="47"/>
  <c r="S19" i="47"/>
  <c r="S20" i="47"/>
  <c r="S21" i="47"/>
  <c r="S8" i="47"/>
  <c r="R9" i="47"/>
  <c r="R10" i="47"/>
  <c r="R11" i="47"/>
  <c r="R12" i="47"/>
  <c r="R13" i="47"/>
  <c r="R14" i="47"/>
  <c r="R15" i="47"/>
  <c r="R16" i="47"/>
  <c r="R17" i="47"/>
  <c r="R18" i="47"/>
  <c r="R19" i="47"/>
  <c r="R20" i="47"/>
  <c r="R21" i="47"/>
  <c r="R8" i="47"/>
  <c r="Q9" i="47"/>
  <c r="Q10" i="47"/>
  <c r="Q11" i="47"/>
  <c r="Q12" i="47"/>
  <c r="Q13" i="47"/>
  <c r="Q14" i="47"/>
  <c r="Q15" i="47"/>
  <c r="Q16" i="47"/>
  <c r="Q17" i="47"/>
  <c r="Q18" i="47"/>
  <c r="Q19" i="47"/>
  <c r="Q20" i="47"/>
  <c r="Q21" i="47"/>
  <c r="Q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P21" i="47"/>
  <c r="P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O21" i="47"/>
  <c r="O8" i="47"/>
  <c r="I9" i="47"/>
  <c r="I10" i="47"/>
  <c r="I11" i="47"/>
  <c r="I12" i="47"/>
  <c r="I13" i="47"/>
  <c r="I14" i="47"/>
  <c r="I15" i="47"/>
  <c r="I16" i="47"/>
  <c r="I17" i="47"/>
  <c r="I18" i="47"/>
  <c r="I19" i="47"/>
  <c r="I20" i="47"/>
  <c r="I21" i="47"/>
  <c r="I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8" i="47"/>
  <c r="G9" i="47"/>
  <c r="G10" i="47"/>
  <c r="G11" i="47"/>
  <c r="G12" i="47"/>
  <c r="G13" i="47"/>
  <c r="G14" i="47"/>
  <c r="G15" i="47"/>
  <c r="G16" i="47"/>
  <c r="G17" i="47"/>
  <c r="G18" i="47"/>
  <c r="G19" i="47"/>
  <c r="G20" i="47"/>
  <c r="G21" i="47"/>
  <c r="G8" i="47"/>
  <c r="F9" i="47"/>
  <c r="F10" i="47"/>
  <c r="F11" i="47"/>
  <c r="F12" i="47"/>
  <c r="F13" i="47"/>
  <c r="F14" i="47"/>
  <c r="F15" i="47"/>
  <c r="F16" i="47"/>
  <c r="F17" i="47"/>
  <c r="F18" i="47"/>
  <c r="F19" i="47"/>
  <c r="F20" i="47"/>
  <c r="F21" i="47"/>
  <c r="F8" i="47"/>
  <c r="D8" i="47"/>
  <c r="D10" i="47"/>
  <c r="D11" i="47"/>
  <c r="D12" i="47"/>
  <c r="D13" i="47"/>
  <c r="D14" i="47"/>
  <c r="D15" i="47"/>
  <c r="D16" i="47"/>
  <c r="D17" i="47"/>
  <c r="D18" i="47"/>
  <c r="D19" i="47"/>
  <c r="D20" i="47"/>
  <c r="D21" i="47"/>
  <c r="D9" i="47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304" i="9"/>
  <c r="W305" i="9"/>
  <c r="W306" i="9"/>
  <c r="W307" i="9"/>
  <c r="W308" i="9"/>
  <c r="W309" i="9"/>
  <c r="W310" i="9"/>
  <c r="W311" i="9"/>
  <c r="W312" i="9"/>
  <c r="W313" i="9"/>
  <c r="W314" i="9"/>
  <c r="W315" i="9"/>
  <c r="W316" i="9"/>
  <c r="W317" i="9"/>
  <c r="W318" i="9"/>
  <c r="W319" i="9"/>
  <c r="W320" i="9"/>
  <c r="W321" i="9"/>
  <c r="W322" i="9"/>
  <c r="W323" i="9"/>
  <c r="W324" i="9"/>
  <c r="W325" i="9"/>
  <c r="W326" i="9"/>
  <c r="W327" i="9"/>
  <c r="W328" i="9"/>
  <c r="W329" i="9"/>
  <c r="W330" i="9"/>
  <c r="W331" i="9"/>
  <c r="W332" i="9"/>
  <c r="W333" i="9"/>
  <c r="W334" i="9"/>
  <c r="W335" i="9"/>
  <c r="W336" i="9"/>
  <c r="W337" i="9"/>
  <c r="W338" i="9"/>
  <c r="W339" i="9"/>
  <c r="W340" i="9"/>
  <c r="W341" i="9"/>
  <c r="W342" i="9"/>
  <c r="W343" i="9"/>
  <c r="W344" i="9"/>
  <c r="W345" i="9"/>
  <c r="W346" i="9"/>
  <c r="W347" i="9"/>
  <c r="W348" i="9"/>
  <c r="W349" i="9"/>
  <c r="W350" i="9"/>
  <c r="W351" i="9"/>
  <c r="W352" i="9"/>
  <c r="W353" i="9"/>
  <c r="W354" i="9"/>
  <c r="W355" i="9"/>
  <c r="W356" i="9"/>
  <c r="W357" i="9"/>
  <c r="W358" i="9"/>
  <c r="W359" i="9"/>
  <c r="W360" i="9"/>
  <c r="W361" i="9"/>
  <c r="W362" i="9"/>
  <c r="W363" i="9"/>
  <c r="W364" i="9"/>
  <c r="W365" i="9"/>
  <c r="W366" i="9"/>
  <c r="W367" i="9"/>
  <c r="W368" i="9"/>
  <c r="W369" i="9"/>
  <c r="W370" i="9"/>
  <c r="W371" i="9"/>
  <c r="W372" i="9"/>
  <c r="W373" i="9"/>
  <c r="W374" i="9"/>
  <c r="W375" i="9"/>
  <c r="W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86" i="9"/>
  <c r="V87" i="9"/>
  <c r="V88" i="9"/>
  <c r="V89" i="9"/>
  <c r="V90" i="9"/>
  <c r="V91" i="9"/>
  <c r="V92" i="9"/>
  <c r="V93" i="9"/>
  <c r="V94" i="9"/>
  <c r="V95" i="9"/>
  <c r="V96" i="9"/>
  <c r="V97" i="9"/>
  <c r="V98" i="9"/>
  <c r="V99" i="9"/>
  <c r="V100" i="9"/>
  <c r="V101" i="9"/>
  <c r="V102" i="9"/>
  <c r="V103" i="9"/>
  <c r="V104" i="9"/>
  <c r="V105" i="9"/>
  <c r="V106" i="9"/>
  <c r="V107" i="9"/>
  <c r="V108" i="9"/>
  <c r="V109" i="9"/>
  <c r="V110" i="9"/>
  <c r="V111" i="9"/>
  <c r="V112" i="9"/>
  <c r="V113" i="9"/>
  <c r="V114" i="9"/>
  <c r="V115" i="9"/>
  <c r="V116" i="9"/>
  <c r="V117" i="9"/>
  <c r="V118" i="9"/>
  <c r="V119" i="9"/>
  <c r="V120" i="9"/>
  <c r="V121" i="9"/>
  <c r="V122" i="9"/>
  <c r="V123" i="9"/>
  <c r="V124" i="9"/>
  <c r="V125" i="9"/>
  <c r="V126" i="9"/>
  <c r="V127" i="9"/>
  <c r="V128" i="9"/>
  <c r="V129" i="9"/>
  <c r="V130" i="9"/>
  <c r="V131" i="9"/>
  <c r="V132" i="9"/>
  <c r="V133" i="9"/>
  <c r="V134" i="9"/>
  <c r="V135" i="9"/>
  <c r="V136" i="9"/>
  <c r="V137" i="9"/>
  <c r="V138" i="9"/>
  <c r="V139" i="9"/>
  <c r="V140" i="9"/>
  <c r="V141" i="9"/>
  <c r="V142" i="9"/>
  <c r="V143" i="9"/>
  <c r="V144" i="9"/>
  <c r="V145" i="9"/>
  <c r="V146" i="9"/>
  <c r="V147" i="9"/>
  <c r="V148" i="9"/>
  <c r="V149" i="9"/>
  <c r="V150" i="9"/>
  <c r="V151" i="9"/>
  <c r="V152" i="9"/>
  <c r="V153" i="9"/>
  <c r="V154" i="9"/>
  <c r="V155" i="9"/>
  <c r="V156" i="9"/>
  <c r="V157" i="9"/>
  <c r="V158" i="9"/>
  <c r="V159" i="9"/>
  <c r="V160" i="9"/>
  <c r="V161" i="9"/>
  <c r="V162" i="9"/>
  <c r="V163" i="9"/>
  <c r="V164" i="9"/>
  <c r="V165" i="9"/>
  <c r="V166" i="9"/>
  <c r="V167" i="9"/>
  <c r="V168" i="9"/>
  <c r="V169" i="9"/>
  <c r="V170" i="9"/>
  <c r="V171" i="9"/>
  <c r="V172" i="9"/>
  <c r="V173" i="9"/>
  <c r="V174" i="9"/>
  <c r="V175" i="9"/>
  <c r="V176" i="9"/>
  <c r="V177" i="9"/>
  <c r="V178" i="9"/>
  <c r="V179" i="9"/>
  <c r="V180" i="9"/>
  <c r="V181" i="9"/>
  <c r="V182" i="9"/>
  <c r="V183" i="9"/>
  <c r="V184" i="9"/>
  <c r="V185" i="9"/>
  <c r="V186" i="9"/>
  <c r="V187" i="9"/>
  <c r="V188" i="9"/>
  <c r="V189" i="9"/>
  <c r="V190" i="9"/>
  <c r="V191" i="9"/>
  <c r="V192" i="9"/>
  <c r="V193" i="9"/>
  <c r="V194" i="9"/>
  <c r="V195" i="9"/>
  <c r="V196" i="9"/>
  <c r="V197" i="9"/>
  <c r="V198" i="9"/>
  <c r="V199" i="9"/>
  <c r="V200" i="9"/>
  <c r="V201" i="9"/>
  <c r="V202" i="9"/>
  <c r="V203" i="9"/>
  <c r="V204" i="9"/>
  <c r="V205" i="9"/>
  <c r="V206" i="9"/>
  <c r="V207" i="9"/>
  <c r="V208" i="9"/>
  <c r="V209" i="9"/>
  <c r="V210" i="9"/>
  <c r="V211" i="9"/>
  <c r="V212" i="9"/>
  <c r="V213" i="9"/>
  <c r="V214" i="9"/>
  <c r="V215" i="9"/>
  <c r="V216" i="9"/>
  <c r="V217" i="9"/>
  <c r="V218" i="9"/>
  <c r="V219" i="9"/>
  <c r="V220" i="9"/>
  <c r="V221" i="9"/>
  <c r="V222" i="9"/>
  <c r="V223" i="9"/>
  <c r="V224" i="9"/>
  <c r="V225" i="9"/>
  <c r="V226" i="9"/>
  <c r="V227" i="9"/>
  <c r="V228" i="9"/>
  <c r="V229" i="9"/>
  <c r="V230" i="9"/>
  <c r="V231" i="9"/>
  <c r="V232" i="9"/>
  <c r="V233" i="9"/>
  <c r="V234" i="9"/>
  <c r="V235" i="9"/>
  <c r="V236" i="9"/>
  <c r="V237" i="9"/>
  <c r="V238" i="9"/>
  <c r="V239" i="9"/>
  <c r="V240" i="9"/>
  <c r="V241" i="9"/>
  <c r="V242" i="9"/>
  <c r="V243" i="9"/>
  <c r="V244" i="9"/>
  <c r="V245" i="9"/>
  <c r="V246" i="9"/>
  <c r="V247" i="9"/>
  <c r="V248" i="9"/>
  <c r="V249" i="9"/>
  <c r="V250" i="9"/>
  <c r="V251" i="9"/>
  <c r="V252" i="9"/>
  <c r="V253" i="9"/>
  <c r="V254" i="9"/>
  <c r="V255" i="9"/>
  <c r="V256" i="9"/>
  <c r="V257" i="9"/>
  <c r="V258" i="9"/>
  <c r="V259" i="9"/>
  <c r="V260" i="9"/>
  <c r="V261" i="9"/>
  <c r="V262" i="9"/>
  <c r="V263" i="9"/>
  <c r="V264" i="9"/>
  <c r="V265" i="9"/>
  <c r="V266" i="9"/>
  <c r="V267" i="9"/>
  <c r="V268" i="9"/>
  <c r="V269" i="9"/>
  <c r="V270" i="9"/>
  <c r="V271" i="9"/>
  <c r="V272" i="9"/>
  <c r="V273" i="9"/>
  <c r="V274" i="9"/>
  <c r="V275" i="9"/>
  <c r="V276" i="9"/>
  <c r="V277" i="9"/>
  <c r="V278" i="9"/>
  <c r="V279" i="9"/>
  <c r="V280" i="9"/>
  <c r="V281" i="9"/>
  <c r="V282" i="9"/>
  <c r="V283" i="9"/>
  <c r="V284" i="9"/>
  <c r="V285" i="9"/>
  <c r="V286" i="9"/>
  <c r="V287" i="9"/>
  <c r="V288" i="9"/>
  <c r="V289" i="9"/>
  <c r="V290" i="9"/>
  <c r="V291" i="9"/>
  <c r="V292" i="9"/>
  <c r="V293" i="9"/>
  <c r="V294" i="9"/>
  <c r="V295" i="9"/>
  <c r="V296" i="9"/>
  <c r="V297" i="9"/>
  <c r="V298" i="9"/>
  <c r="V299" i="9"/>
  <c r="V300" i="9"/>
  <c r="V301" i="9"/>
  <c r="V302" i="9"/>
  <c r="V303" i="9"/>
  <c r="V304" i="9"/>
  <c r="V305" i="9"/>
  <c r="V306" i="9"/>
  <c r="V307" i="9"/>
  <c r="V308" i="9"/>
  <c r="V309" i="9"/>
  <c r="V310" i="9"/>
  <c r="V311" i="9"/>
  <c r="V312" i="9"/>
  <c r="V313" i="9"/>
  <c r="V314" i="9"/>
  <c r="V315" i="9"/>
  <c r="V316" i="9"/>
  <c r="V317" i="9"/>
  <c r="V318" i="9"/>
  <c r="V319" i="9"/>
  <c r="V320" i="9"/>
  <c r="V321" i="9"/>
  <c r="V322" i="9"/>
  <c r="V323" i="9"/>
  <c r="V324" i="9"/>
  <c r="V325" i="9"/>
  <c r="V326" i="9"/>
  <c r="V327" i="9"/>
  <c r="V328" i="9"/>
  <c r="V329" i="9"/>
  <c r="V330" i="9"/>
  <c r="V331" i="9"/>
  <c r="V332" i="9"/>
  <c r="V333" i="9"/>
  <c r="V334" i="9"/>
  <c r="V335" i="9"/>
  <c r="V336" i="9"/>
  <c r="V337" i="9"/>
  <c r="V338" i="9"/>
  <c r="V339" i="9"/>
  <c r="V340" i="9"/>
  <c r="V341" i="9"/>
  <c r="V342" i="9"/>
  <c r="V343" i="9"/>
  <c r="V344" i="9"/>
  <c r="V345" i="9"/>
  <c r="V346" i="9"/>
  <c r="V347" i="9"/>
  <c r="V348" i="9"/>
  <c r="V349" i="9"/>
  <c r="V350" i="9"/>
  <c r="V351" i="9"/>
  <c r="V352" i="9"/>
  <c r="V353" i="9"/>
  <c r="V354" i="9"/>
  <c r="V355" i="9"/>
  <c r="V356" i="9"/>
  <c r="V357" i="9"/>
  <c r="V358" i="9"/>
  <c r="V359" i="9"/>
  <c r="V360" i="9"/>
  <c r="V361" i="9"/>
  <c r="V362" i="9"/>
  <c r="V363" i="9"/>
  <c r="V364" i="9"/>
  <c r="V365" i="9"/>
  <c r="V366" i="9"/>
  <c r="V367" i="9"/>
  <c r="V368" i="9"/>
  <c r="V369" i="9"/>
  <c r="V370" i="9"/>
  <c r="V371" i="9"/>
  <c r="V372" i="9"/>
  <c r="V373" i="9"/>
  <c r="V374" i="9"/>
  <c r="V375" i="9"/>
  <c r="V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214" i="9"/>
  <c r="T215" i="9"/>
  <c r="T216" i="9"/>
  <c r="T217" i="9"/>
  <c r="T218" i="9"/>
  <c r="T219" i="9"/>
  <c r="T220" i="9"/>
  <c r="T221" i="9"/>
  <c r="T222" i="9"/>
  <c r="T223" i="9"/>
  <c r="T224" i="9"/>
  <c r="T225" i="9"/>
  <c r="T226" i="9"/>
  <c r="T227" i="9"/>
  <c r="T228" i="9"/>
  <c r="T229" i="9"/>
  <c r="T230" i="9"/>
  <c r="T231" i="9"/>
  <c r="T232" i="9"/>
  <c r="T233" i="9"/>
  <c r="T234" i="9"/>
  <c r="T235" i="9"/>
  <c r="T236" i="9"/>
  <c r="T237" i="9"/>
  <c r="T238" i="9"/>
  <c r="T239" i="9"/>
  <c r="T240" i="9"/>
  <c r="T241" i="9"/>
  <c r="T242" i="9"/>
  <c r="T243" i="9"/>
  <c r="T244" i="9"/>
  <c r="T245" i="9"/>
  <c r="T246" i="9"/>
  <c r="T247" i="9"/>
  <c r="T248" i="9"/>
  <c r="T249" i="9"/>
  <c r="T250" i="9"/>
  <c r="T251" i="9"/>
  <c r="T252" i="9"/>
  <c r="T253" i="9"/>
  <c r="T254" i="9"/>
  <c r="T255" i="9"/>
  <c r="T256" i="9"/>
  <c r="T257" i="9"/>
  <c r="T258" i="9"/>
  <c r="T259" i="9"/>
  <c r="T260" i="9"/>
  <c r="T261" i="9"/>
  <c r="T262" i="9"/>
  <c r="T263" i="9"/>
  <c r="T264" i="9"/>
  <c r="T265" i="9"/>
  <c r="T266" i="9"/>
  <c r="T267" i="9"/>
  <c r="T268" i="9"/>
  <c r="T269" i="9"/>
  <c r="T270" i="9"/>
  <c r="T271" i="9"/>
  <c r="T272" i="9"/>
  <c r="T273" i="9"/>
  <c r="T274" i="9"/>
  <c r="T275" i="9"/>
  <c r="T276" i="9"/>
  <c r="T277" i="9"/>
  <c r="T278" i="9"/>
  <c r="T279" i="9"/>
  <c r="T280" i="9"/>
  <c r="T281" i="9"/>
  <c r="T282" i="9"/>
  <c r="T283" i="9"/>
  <c r="T284" i="9"/>
  <c r="T285" i="9"/>
  <c r="T286" i="9"/>
  <c r="T287" i="9"/>
  <c r="T288" i="9"/>
  <c r="T289" i="9"/>
  <c r="T290" i="9"/>
  <c r="T291" i="9"/>
  <c r="T292" i="9"/>
  <c r="T293" i="9"/>
  <c r="T294" i="9"/>
  <c r="T295" i="9"/>
  <c r="T296" i="9"/>
  <c r="T297" i="9"/>
  <c r="T298" i="9"/>
  <c r="T299" i="9"/>
  <c r="T300" i="9"/>
  <c r="T301" i="9"/>
  <c r="T302" i="9"/>
  <c r="T303" i="9"/>
  <c r="T304" i="9"/>
  <c r="T305" i="9"/>
  <c r="T306" i="9"/>
  <c r="T307" i="9"/>
  <c r="T308" i="9"/>
  <c r="T309" i="9"/>
  <c r="T310" i="9"/>
  <c r="T311" i="9"/>
  <c r="T312" i="9"/>
  <c r="T313" i="9"/>
  <c r="T314" i="9"/>
  <c r="T315" i="9"/>
  <c r="T316" i="9"/>
  <c r="T317" i="9"/>
  <c r="T318" i="9"/>
  <c r="T319" i="9"/>
  <c r="T320" i="9"/>
  <c r="T321" i="9"/>
  <c r="T322" i="9"/>
  <c r="T323" i="9"/>
  <c r="T324" i="9"/>
  <c r="T325" i="9"/>
  <c r="T326" i="9"/>
  <c r="T327" i="9"/>
  <c r="T328" i="9"/>
  <c r="T329" i="9"/>
  <c r="T330" i="9"/>
  <c r="T331" i="9"/>
  <c r="T332" i="9"/>
  <c r="T333" i="9"/>
  <c r="T334" i="9"/>
  <c r="T335" i="9"/>
  <c r="T336" i="9"/>
  <c r="T337" i="9"/>
  <c r="T338" i="9"/>
  <c r="T339" i="9"/>
  <c r="T340" i="9"/>
  <c r="T341" i="9"/>
  <c r="T342" i="9"/>
  <c r="T343" i="9"/>
  <c r="T344" i="9"/>
  <c r="T345" i="9"/>
  <c r="T346" i="9"/>
  <c r="T347" i="9"/>
  <c r="T348" i="9"/>
  <c r="T349" i="9"/>
  <c r="T350" i="9"/>
  <c r="T351" i="9"/>
  <c r="T352" i="9"/>
  <c r="T353" i="9"/>
  <c r="T354" i="9"/>
  <c r="T355" i="9"/>
  <c r="T356" i="9"/>
  <c r="T357" i="9"/>
  <c r="T358" i="9"/>
  <c r="T359" i="9"/>
  <c r="T360" i="9"/>
  <c r="T361" i="9"/>
  <c r="T362" i="9"/>
  <c r="T363" i="9"/>
  <c r="T364" i="9"/>
  <c r="T365" i="9"/>
  <c r="T366" i="9"/>
  <c r="T367" i="9"/>
  <c r="T368" i="9"/>
  <c r="T369" i="9"/>
  <c r="T370" i="9"/>
  <c r="T371" i="9"/>
  <c r="T372" i="9"/>
  <c r="T373" i="9"/>
  <c r="T374" i="9"/>
  <c r="T375" i="9"/>
  <c r="T8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S49" i="9"/>
  <c r="S50" i="9"/>
  <c r="S51" i="9"/>
  <c r="S52" i="9"/>
  <c r="S53" i="9"/>
  <c r="S54" i="9"/>
  <c r="S55" i="9"/>
  <c r="S56" i="9"/>
  <c r="S57" i="9"/>
  <c r="S58" i="9"/>
  <c r="S59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8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9" i="9"/>
  <c r="S8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78" i="9"/>
  <c r="R79" i="9"/>
  <c r="R80" i="9"/>
  <c r="R81" i="9"/>
  <c r="R82" i="9"/>
  <c r="R83" i="9"/>
  <c r="R84" i="9"/>
  <c r="R85" i="9"/>
  <c r="R86" i="9"/>
  <c r="R87" i="9"/>
  <c r="R88" i="9"/>
  <c r="R89" i="9"/>
  <c r="R90" i="9"/>
  <c r="R91" i="9"/>
  <c r="R92" i="9"/>
  <c r="R93" i="9"/>
  <c r="R94" i="9"/>
  <c r="R95" i="9"/>
  <c r="R96" i="9"/>
  <c r="R97" i="9"/>
  <c r="R98" i="9"/>
  <c r="R99" i="9"/>
  <c r="R100" i="9"/>
  <c r="R101" i="9"/>
  <c r="R102" i="9"/>
  <c r="R103" i="9"/>
  <c r="R104" i="9"/>
  <c r="R105" i="9"/>
  <c r="R106" i="9"/>
  <c r="R107" i="9"/>
  <c r="R108" i="9"/>
  <c r="R109" i="9"/>
  <c r="R110" i="9"/>
  <c r="R111" i="9"/>
  <c r="R112" i="9"/>
  <c r="R113" i="9"/>
  <c r="R114" i="9"/>
  <c r="R115" i="9"/>
  <c r="R116" i="9"/>
  <c r="R117" i="9"/>
  <c r="R118" i="9"/>
  <c r="R119" i="9"/>
  <c r="R120" i="9"/>
  <c r="R121" i="9"/>
  <c r="R122" i="9"/>
  <c r="R123" i="9"/>
  <c r="R124" i="9"/>
  <c r="R125" i="9"/>
  <c r="R126" i="9"/>
  <c r="R127" i="9"/>
  <c r="R128" i="9"/>
  <c r="R129" i="9"/>
  <c r="R130" i="9"/>
  <c r="R131" i="9"/>
  <c r="R132" i="9"/>
  <c r="R133" i="9"/>
  <c r="R134" i="9"/>
  <c r="R135" i="9"/>
  <c r="R136" i="9"/>
  <c r="R137" i="9"/>
  <c r="R138" i="9"/>
  <c r="R139" i="9"/>
  <c r="R140" i="9"/>
  <c r="R141" i="9"/>
  <c r="R142" i="9"/>
  <c r="R143" i="9"/>
  <c r="R144" i="9"/>
  <c r="R145" i="9"/>
  <c r="R146" i="9"/>
  <c r="R147" i="9"/>
  <c r="R148" i="9"/>
  <c r="R149" i="9"/>
  <c r="R150" i="9"/>
  <c r="R151" i="9"/>
  <c r="R152" i="9"/>
  <c r="R153" i="9"/>
  <c r="R154" i="9"/>
  <c r="R155" i="9"/>
  <c r="R156" i="9"/>
  <c r="R157" i="9"/>
  <c r="R158" i="9"/>
  <c r="R159" i="9"/>
  <c r="R160" i="9"/>
  <c r="R161" i="9"/>
  <c r="R162" i="9"/>
  <c r="R163" i="9"/>
  <c r="R164" i="9"/>
  <c r="R165" i="9"/>
  <c r="R166" i="9"/>
  <c r="R167" i="9"/>
  <c r="R168" i="9"/>
  <c r="R169" i="9"/>
  <c r="R170" i="9"/>
  <c r="R171" i="9"/>
  <c r="R172" i="9"/>
  <c r="R173" i="9"/>
  <c r="R174" i="9"/>
  <c r="R175" i="9"/>
  <c r="R176" i="9"/>
  <c r="R177" i="9"/>
  <c r="R178" i="9"/>
  <c r="R179" i="9"/>
  <c r="R180" i="9"/>
  <c r="R181" i="9"/>
  <c r="R182" i="9"/>
  <c r="R183" i="9"/>
  <c r="R184" i="9"/>
  <c r="R185" i="9"/>
  <c r="R186" i="9"/>
  <c r="R187" i="9"/>
  <c r="R188" i="9"/>
  <c r="R189" i="9"/>
  <c r="R190" i="9"/>
  <c r="R191" i="9"/>
  <c r="R192" i="9"/>
  <c r="R193" i="9"/>
  <c r="R194" i="9"/>
  <c r="R195" i="9"/>
  <c r="R196" i="9"/>
  <c r="R197" i="9"/>
  <c r="R198" i="9"/>
  <c r="R199" i="9"/>
  <c r="R200" i="9"/>
  <c r="R201" i="9"/>
  <c r="R202" i="9"/>
  <c r="R203" i="9"/>
  <c r="R204" i="9"/>
  <c r="R205" i="9"/>
  <c r="R206" i="9"/>
  <c r="R207" i="9"/>
  <c r="R208" i="9"/>
  <c r="R209" i="9"/>
  <c r="R210" i="9"/>
  <c r="R211" i="9"/>
  <c r="R212" i="9"/>
  <c r="R213" i="9"/>
  <c r="R214" i="9"/>
  <c r="R215" i="9"/>
  <c r="R216" i="9"/>
  <c r="R217" i="9"/>
  <c r="R218" i="9"/>
  <c r="R219" i="9"/>
  <c r="R220" i="9"/>
  <c r="R221" i="9"/>
  <c r="R222" i="9"/>
  <c r="R223" i="9"/>
  <c r="R224" i="9"/>
  <c r="R225" i="9"/>
  <c r="R226" i="9"/>
  <c r="R227" i="9"/>
  <c r="R228" i="9"/>
  <c r="R229" i="9"/>
  <c r="R230" i="9"/>
  <c r="R231" i="9"/>
  <c r="R232" i="9"/>
  <c r="R233" i="9"/>
  <c r="R234" i="9"/>
  <c r="R235" i="9"/>
  <c r="R236" i="9"/>
  <c r="R237" i="9"/>
  <c r="R238" i="9"/>
  <c r="R239" i="9"/>
  <c r="R240" i="9"/>
  <c r="R241" i="9"/>
  <c r="R242" i="9"/>
  <c r="R243" i="9"/>
  <c r="R244" i="9"/>
  <c r="R245" i="9"/>
  <c r="R246" i="9"/>
  <c r="R247" i="9"/>
  <c r="R248" i="9"/>
  <c r="R249" i="9"/>
  <c r="R250" i="9"/>
  <c r="R251" i="9"/>
  <c r="R252" i="9"/>
  <c r="R253" i="9"/>
  <c r="R254" i="9"/>
  <c r="R255" i="9"/>
  <c r="R256" i="9"/>
  <c r="R257" i="9"/>
  <c r="R258" i="9"/>
  <c r="R259" i="9"/>
  <c r="R260" i="9"/>
  <c r="R261" i="9"/>
  <c r="R262" i="9"/>
  <c r="R263" i="9"/>
  <c r="R264" i="9"/>
  <c r="R265" i="9"/>
  <c r="R266" i="9"/>
  <c r="R267" i="9"/>
  <c r="R268" i="9"/>
  <c r="R269" i="9"/>
  <c r="R270" i="9"/>
  <c r="R271" i="9"/>
  <c r="R272" i="9"/>
  <c r="R273" i="9"/>
  <c r="R274" i="9"/>
  <c r="R275" i="9"/>
  <c r="R276" i="9"/>
  <c r="R277" i="9"/>
  <c r="R278" i="9"/>
  <c r="R279" i="9"/>
  <c r="R280" i="9"/>
  <c r="R281" i="9"/>
  <c r="R282" i="9"/>
  <c r="R283" i="9"/>
  <c r="R284" i="9"/>
  <c r="R285" i="9"/>
  <c r="R286" i="9"/>
  <c r="R287" i="9"/>
  <c r="R288" i="9"/>
  <c r="R289" i="9"/>
  <c r="R290" i="9"/>
  <c r="R291" i="9"/>
  <c r="R292" i="9"/>
  <c r="R293" i="9"/>
  <c r="R294" i="9"/>
  <c r="R295" i="9"/>
  <c r="R296" i="9"/>
  <c r="R297" i="9"/>
  <c r="R298" i="9"/>
  <c r="R299" i="9"/>
  <c r="R300" i="9"/>
  <c r="R301" i="9"/>
  <c r="R302" i="9"/>
  <c r="R303" i="9"/>
  <c r="R304" i="9"/>
  <c r="R305" i="9"/>
  <c r="R306" i="9"/>
  <c r="R307" i="9"/>
  <c r="R308" i="9"/>
  <c r="R309" i="9"/>
  <c r="R310" i="9"/>
  <c r="R311" i="9"/>
  <c r="R312" i="9"/>
  <c r="R313" i="9"/>
  <c r="R314" i="9"/>
  <c r="R315" i="9"/>
  <c r="R316" i="9"/>
  <c r="R317" i="9"/>
  <c r="R318" i="9"/>
  <c r="R319" i="9"/>
  <c r="R320" i="9"/>
  <c r="R321" i="9"/>
  <c r="R322" i="9"/>
  <c r="R323" i="9"/>
  <c r="R324" i="9"/>
  <c r="R325" i="9"/>
  <c r="R326" i="9"/>
  <c r="R327" i="9"/>
  <c r="R328" i="9"/>
  <c r="R329" i="9"/>
  <c r="R330" i="9"/>
  <c r="R331" i="9"/>
  <c r="R332" i="9"/>
  <c r="R333" i="9"/>
  <c r="R334" i="9"/>
  <c r="R335" i="9"/>
  <c r="R336" i="9"/>
  <c r="R337" i="9"/>
  <c r="R338" i="9"/>
  <c r="R339" i="9"/>
  <c r="R340" i="9"/>
  <c r="R341" i="9"/>
  <c r="R342" i="9"/>
  <c r="R343" i="9"/>
  <c r="R344" i="9"/>
  <c r="R345" i="9"/>
  <c r="R346" i="9"/>
  <c r="R347" i="9"/>
  <c r="R348" i="9"/>
  <c r="R349" i="9"/>
  <c r="R350" i="9"/>
  <c r="R351" i="9"/>
  <c r="R352" i="9"/>
  <c r="R353" i="9"/>
  <c r="R354" i="9"/>
  <c r="R355" i="9"/>
  <c r="R356" i="9"/>
  <c r="R357" i="9"/>
  <c r="R358" i="9"/>
  <c r="R359" i="9"/>
  <c r="R360" i="9"/>
  <c r="R361" i="9"/>
  <c r="R362" i="9"/>
  <c r="R363" i="9"/>
  <c r="R364" i="9"/>
  <c r="R365" i="9"/>
  <c r="R366" i="9"/>
  <c r="R367" i="9"/>
  <c r="R368" i="9"/>
  <c r="R369" i="9"/>
  <c r="R370" i="9"/>
  <c r="R371" i="9"/>
  <c r="R372" i="9"/>
  <c r="R373" i="9"/>
  <c r="R374" i="9"/>
  <c r="R375" i="9"/>
  <c r="R9" i="9"/>
  <c r="R8" i="9"/>
  <c r="Q374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Q92" i="9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Q140" i="9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Q156" i="9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Q172" i="9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Q188" i="9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Q220" i="9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Q252" i="9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Q268" i="9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Q348" i="9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Q364" i="9"/>
  <c r="Q365" i="9"/>
  <c r="Q366" i="9"/>
  <c r="Q367" i="9"/>
  <c r="Q368" i="9"/>
  <c r="Q369" i="9"/>
  <c r="Q370" i="9"/>
  <c r="Q371" i="9"/>
  <c r="Q372" i="9"/>
  <c r="Q373" i="9"/>
  <c r="Q375" i="9"/>
  <c r="Q9" i="9"/>
  <c r="Q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8" i="9"/>
  <c r="I9" i="9" l="1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8" i="9"/>
  <c r="J8" i="9" s="1"/>
  <c r="H8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123" i="9"/>
  <c r="H124" i="9"/>
  <c r="H125" i="9"/>
  <c r="H126" i="9"/>
  <c r="H127" i="9"/>
  <c r="H128" i="9"/>
  <c r="H129" i="9"/>
  <c r="H130" i="9"/>
  <c r="H131" i="9"/>
  <c r="H132" i="9"/>
  <c r="H133" i="9"/>
  <c r="H134" i="9"/>
  <c r="H135" i="9"/>
  <c r="H136" i="9"/>
  <c r="H137" i="9"/>
  <c r="H138" i="9"/>
  <c r="H139" i="9"/>
  <c r="H140" i="9"/>
  <c r="H141" i="9"/>
  <c r="H142" i="9"/>
  <c r="H143" i="9"/>
  <c r="H144" i="9"/>
  <c r="H145" i="9"/>
  <c r="H146" i="9"/>
  <c r="H147" i="9"/>
  <c r="H148" i="9"/>
  <c r="H149" i="9"/>
  <c r="H150" i="9"/>
  <c r="H151" i="9"/>
  <c r="H152" i="9"/>
  <c r="H153" i="9"/>
  <c r="H154" i="9"/>
  <c r="H155" i="9"/>
  <c r="H156" i="9"/>
  <c r="H157" i="9"/>
  <c r="H158" i="9"/>
  <c r="H159" i="9"/>
  <c r="H160" i="9"/>
  <c r="H161" i="9"/>
  <c r="H162" i="9"/>
  <c r="H163" i="9"/>
  <c r="H164" i="9"/>
  <c r="H165" i="9"/>
  <c r="H166" i="9"/>
  <c r="H167" i="9"/>
  <c r="H168" i="9"/>
  <c r="H169" i="9"/>
  <c r="H170" i="9"/>
  <c r="H171" i="9"/>
  <c r="H172" i="9"/>
  <c r="H173" i="9"/>
  <c r="H174" i="9"/>
  <c r="H175" i="9"/>
  <c r="H176" i="9"/>
  <c r="H177" i="9"/>
  <c r="H178" i="9"/>
  <c r="H179" i="9"/>
  <c r="H180" i="9"/>
  <c r="H181" i="9"/>
  <c r="H182" i="9"/>
  <c r="H183" i="9"/>
  <c r="H184" i="9"/>
  <c r="H185" i="9"/>
  <c r="H186" i="9"/>
  <c r="H187" i="9"/>
  <c r="H188" i="9"/>
  <c r="H189" i="9"/>
  <c r="H190" i="9"/>
  <c r="H191" i="9"/>
  <c r="H192" i="9"/>
  <c r="H193" i="9"/>
  <c r="H194" i="9"/>
  <c r="H195" i="9"/>
  <c r="H196" i="9"/>
  <c r="H197" i="9"/>
  <c r="H198" i="9"/>
  <c r="H199" i="9"/>
  <c r="H200" i="9"/>
  <c r="H201" i="9"/>
  <c r="H202" i="9"/>
  <c r="H203" i="9"/>
  <c r="H204" i="9"/>
  <c r="H205" i="9"/>
  <c r="H206" i="9"/>
  <c r="H207" i="9"/>
  <c r="H208" i="9"/>
  <c r="H209" i="9"/>
  <c r="H210" i="9"/>
  <c r="H211" i="9"/>
  <c r="H212" i="9"/>
  <c r="H213" i="9"/>
  <c r="H214" i="9"/>
  <c r="H215" i="9"/>
  <c r="H216" i="9"/>
  <c r="H217" i="9"/>
  <c r="H218" i="9"/>
  <c r="H219" i="9"/>
  <c r="H220" i="9"/>
  <c r="H221" i="9"/>
  <c r="H222" i="9"/>
  <c r="H223" i="9"/>
  <c r="H224" i="9"/>
  <c r="H225" i="9"/>
  <c r="H226" i="9"/>
  <c r="H227" i="9"/>
  <c r="H228" i="9"/>
  <c r="H229" i="9"/>
  <c r="H230" i="9"/>
  <c r="H231" i="9"/>
  <c r="H232" i="9"/>
  <c r="H233" i="9"/>
  <c r="H234" i="9"/>
  <c r="H235" i="9"/>
  <c r="H236" i="9"/>
  <c r="H237" i="9"/>
  <c r="H238" i="9"/>
  <c r="H239" i="9"/>
  <c r="H240" i="9"/>
  <c r="H241" i="9"/>
  <c r="H242" i="9"/>
  <c r="H243" i="9"/>
  <c r="H244" i="9"/>
  <c r="H245" i="9"/>
  <c r="H246" i="9"/>
  <c r="H247" i="9"/>
  <c r="H248" i="9"/>
  <c r="H249" i="9"/>
  <c r="H250" i="9"/>
  <c r="H251" i="9"/>
  <c r="H252" i="9"/>
  <c r="H253" i="9"/>
  <c r="H254" i="9"/>
  <c r="H255" i="9"/>
  <c r="H256" i="9"/>
  <c r="H257" i="9"/>
  <c r="H258" i="9"/>
  <c r="H259" i="9"/>
  <c r="H260" i="9"/>
  <c r="H261" i="9"/>
  <c r="H262" i="9"/>
  <c r="H263" i="9"/>
  <c r="H264" i="9"/>
  <c r="H265" i="9"/>
  <c r="H266" i="9"/>
  <c r="H267" i="9"/>
  <c r="H268" i="9"/>
  <c r="H269" i="9"/>
  <c r="H270" i="9"/>
  <c r="H271" i="9"/>
  <c r="H272" i="9"/>
  <c r="H273" i="9"/>
  <c r="H274" i="9"/>
  <c r="H275" i="9"/>
  <c r="H276" i="9"/>
  <c r="H277" i="9"/>
  <c r="H278" i="9"/>
  <c r="H279" i="9"/>
  <c r="H280" i="9"/>
  <c r="H281" i="9"/>
  <c r="H282" i="9"/>
  <c r="H283" i="9"/>
  <c r="H284" i="9"/>
  <c r="H285" i="9"/>
  <c r="H286" i="9"/>
  <c r="H287" i="9"/>
  <c r="H288" i="9"/>
  <c r="H289" i="9"/>
  <c r="H290" i="9"/>
  <c r="H291" i="9"/>
  <c r="H292" i="9"/>
  <c r="H293" i="9"/>
  <c r="H294" i="9"/>
  <c r="H295" i="9"/>
  <c r="H296" i="9"/>
  <c r="H297" i="9"/>
  <c r="H298" i="9"/>
  <c r="H299" i="9"/>
  <c r="H300" i="9"/>
  <c r="H301" i="9"/>
  <c r="H302" i="9"/>
  <c r="H303" i="9"/>
  <c r="H304" i="9"/>
  <c r="H305" i="9"/>
  <c r="H306" i="9"/>
  <c r="H307" i="9"/>
  <c r="H308" i="9"/>
  <c r="H309" i="9"/>
  <c r="H310" i="9"/>
  <c r="H311" i="9"/>
  <c r="H312" i="9"/>
  <c r="H313" i="9"/>
  <c r="H314" i="9"/>
  <c r="H315" i="9"/>
  <c r="H316" i="9"/>
  <c r="H317" i="9"/>
  <c r="H318" i="9"/>
  <c r="H319" i="9"/>
  <c r="H320" i="9"/>
  <c r="H321" i="9"/>
  <c r="H322" i="9"/>
  <c r="H323" i="9"/>
  <c r="H324" i="9"/>
  <c r="H325" i="9"/>
  <c r="H326" i="9"/>
  <c r="H327" i="9"/>
  <c r="H328" i="9"/>
  <c r="H329" i="9"/>
  <c r="H330" i="9"/>
  <c r="H331" i="9"/>
  <c r="H332" i="9"/>
  <c r="H333" i="9"/>
  <c r="H334" i="9"/>
  <c r="H335" i="9"/>
  <c r="H336" i="9"/>
  <c r="H337" i="9"/>
  <c r="H338" i="9"/>
  <c r="H339" i="9"/>
  <c r="H340" i="9"/>
  <c r="H341" i="9"/>
  <c r="H342" i="9"/>
  <c r="H343" i="9"/>
  <c r="H344" i="9"/>
  <c r="H345" i="9"/>
  <c r="H346" i="9"/>
  <c r="H347" i="9"/>
  <c r="H348" i="9"/>
  <c r="H349" i="9"/>
  <c r="H350" i="9"/>
  <c r="H351" i="9"/>
  <c r="H352" i="9"/>
  <c r="H353" i="9"/>
  <c r="H354" i="9"/>
  <c r="H355" i="9"/>
  <c r="H356" i="9"/>
  <c r="H357" i="9"/>
  <c r="H358" i="9"/>
  <c r="H359" i="9"/>
  <c r="H360" i="9"/>
  <c r="H361" i="9"/>
  <c r="H362" i="9"/>
  <c r="H363" i="9"/>
  <c r="H364" i="9"/>
  <c r="H365" i="9"/>
  <c r="H366" i="9"/>
  <c r="H367" i="9"/>
  <c r="H368" i="9"/>
  <c r="H369" i="9"/>
  <c r="H370" i="9"/>
  <c r="H371" i="9"/>
  <c r="H372" i="9"/>
  <c r="H373" i="9"/>
  <c r="H374" i="9"/>
  <c r="H375" i="9"/>
  <c r="H9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8" i="9"/>
  <c r="V8" i="8"/>
  <c r="V9" i="8"/>
  <c r="V10" i="8"/>
  <c r="V11" i="8"/>
  <c r="V12" i="8"/>
  <c r="V13" i="8"/>
  <c r="V14" i="8"/>
  <c r="V15" i="8"/>
  <c r="V16" i="8"/>
  <c r="V17" i="8"/>
  <c r="V18" i="8"/>
  <c r="V19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40" i="8"/>
  <c r="V41" i="8"/>
  <c r="V42" i="8"/>
  <c r="V43" i="8"/>
  <c r="V44" i="8"/>
  <c r="V45" i="8"/>
  <c r="V46" i="8"/>
  <c r="V47" i="8"/>
  <c r="V48" i="8"/>
  <c r="V49" i="8"/>
  <c r="V50" i="8"/>
  <c r="V51" i="8"/>
  <c r="V52" i="8"/>
  <c r="V53" i="8"/>
  <c r="V54" i="8"/>
  <c r="V55" i="8"/>
  <c r="V56" i="8"/>
  <c r="V57" i="8"/>
  <c r="V58" i="8"/>
  <c r="V59" i="8"/>
  <c r="V60" i="8"/>
  <c r="V61" i="8"/>
  <c r="V62" i="8"/>
  <c r="V63" i="8"/>
  <c r="V64" i="8"/>
  <c r="V65" i="8"/>
  <c r="V66" i="8"/>
  <c r="V67" i="8"/>
  <c r="V68" i="8"/>
  <c r="V69" i="8"/>
  <c r="V70" i="8"/>
  <c r="V71" i="8"/>
  <c r="V72" i="8"/>
  <c r="V73" i="8"/>
  <c r="V74" i="8"/>
  <c r="V75" i="8"/>
  <c r="V76" i="8"/>
  <c r="V77" i="8"/>
  <c r="V78" i="8"/>
  <c r="V79" i="8"/>
  <c r="V80" i="8"/>
  <c r="V81" i="8"/>
  <c r="V82" i="8"/>
  <c r="V83" i="8"/>
  <c r="V84" i="8"/>
  <c r="V85" i="8"/>
  <c r="V86" i="8"/>
  <c r="V87" i="8"/>
  <c r="V88" i="8"/>
  <c r="V89" i="8"/>
  <c r="V90" i="8"/>
  <c r="V91" i="8"/>
  <c r="V92" i="8"/>
  <c r="V93" i="8"/>
  <c r="V94" i="8"/>
  <c r="V95" i="8"/>
  <c r="V96" i="8"/>
  <c r="V97" i="8"/>
  <c r="V98" i="8"/>
  <c r="V99" i="8"/>
  <c r="V100" i="8"/>
  <c r="V101" i="8"/>
  <c r="V102" i="8"/>
  <c r="V103" i="8"/>
  <c r="V104" i="8"/>
  <c r="V105" i="8"/>
  <c r="V106" i="8"/>
  <c r="V107" i="8"/>
  <c r="V108" i="8"/>
  <c r="V109" i="8"/>
  <c r="V110" i="8"/>
  <c r="V111" i="8"/>
  <c r="V112" i="8"/>
  <c r="V113" i="8"/>
  <c r="V114" i="8"/>
  <c r="V115" i="8"/>
  <c r="V116" i="8"/>
  <c r="V117" i="8"/>
  <c r="V118" i="8"/>
  <c r="V119" i="8"/>
  <c r="V120" i="8"/>
  <c r="V121" i="8"/>
  <c r="V122" i="8"/>
  <c r="V123" i="8"/>
  <c r="V124" i="8"/>
  <c r="V125" i="8"/>
  <c r="V126" i="8"/>
  <c r="V127" i="8"/>
  <c r="V128" i="8"/>
  <c r="V129" i="8"/>
  <c r="V130" i="8"/>
  <c r="V131" i="8"/>
  <c r="V132" i="8"/>
  <c r="V133" i="8"/>
  <c r="V134" i="8"/>
  <c r="V135" i="8"/>
  <c r="V136" i="8"/>
  <c r="V137" i="8"/>
  <c r="V138" i="8"/>
  <c r="V139" i="8"/>
  <c r="V140" i="8"/>
  <c r="V141" i="8"/>
  <c r="V142" i="8"/>
  <c r="V143" i="8"/>
  <c r="V144" i="8"/>
  <c r="V145" i="8"/>
  <c r="V146" i="8"/>
  <c r="V147" i="8"/>
  <c r="V148" i="8"/>
  <c r="V149" i="8"/>
  <c r="V150" i="8"/>
  <c r="V151" i="8"/>
  <c r="V152" i="8"/>
  <c r="V153" i="8"/>
  <c r="V154" i="8"/>
  <c r="V155" i="8"/>
  <c r="V156" i="8"/>
  <c r="V157" i="8"/>
  <c r="V158" i="8"/>
  <c r="V159" i="8"/>
  <c r="V160" i="8"/>
  <c r="V161" i="8"/>
  <c r="V162" i="8"/>
  <c r="V163" i="8"/>
  <c r="V164" i="8"/>
  <c r="V165" i="8"/>
  <c r="V166" i="8"/>
  <c r="V167" i="8"/>
  <c r="V168" i="8"/>
  <c r="V169" i="8"/>
  <c r="V170" i="8"/>
  <c r="V171" i="8"/>
  <c r="V172" i="8"/>
  <c r="V173" i="8"/>
  <c r="V174" i="8"/>
  <c r="V175" i="8"/>
  <c r="V176" i="8"/>
  <c r="V177" i="8"/>
  <c r="V178" i="8"/>
  <c r="V179" i="8"/>
  <c r="V180" i="8"/>
  <c r="V181" i="8"/>
  <c r="V182" i="8"/>
  <c r="V183" i="8"/>
  <c r="V184" i="8"/>
  <c r="V185" i="8"/>
  <c r="V186" i="8"/>
  <c r="V187" i="8"/>
  <c r="V188" i="8"/>
  <c r="V189" i="8"/>
  <c r="V190" i="8"/>
  <c r="V191" i="8"/>
  <c r="V192" i="8"/>
  <c r="V193" i="8"/>
  <c r="V194" i="8"/>
  <c r="V195" i="8"/>
  <c r="V196" i="8"/>
  <c r="V197" i="8"/>
  <c r="V198" i="8"/>
  <c r="V199" i="8"/>
  <c r="V200" i="8"/>
  <c r="V201" i="8"/>
  <c r="V202" i="8"/>
  <c r="V203" i="8"/>
  <c r="V204" i="8"/>
  <c r="V205" i="8"/>
  <c r="V206" i="8"/>
  <c r="V207" i="8"/>
  <c r="V208" i="8"/>
  <c r="V209" i="8"/>
  <c r="V210" i="8"/>
  <c r="V211" i="8"/>
  <c r="V212" i="8"/>
  <c r="V213" i="8"/>
  <c r="V214" i="8"/>
  <c r="V215" i="8"/>
  <c r="V216" i="8"/>
  <c r="V217" i="8"/>
  <c r="V218" i="8"/>
  <c r="V219" i="8"/>
  <c r="V220" i="8"/>
  <c r="V221" i="8"/>
  <c r="V222" i="8"/>
  <c r="V223" i="8"/>
  <c r="V224" i="8"/>
  <c r="V225" i="8"/>
  <c r="V226" i="8"/>
  <c r="V227" i="8"/>
  <c r="V228" i="8"/>
  <c r="V229" i="8"/>
  <c r="V230" i="8"/>
  <c r="V231" i="8"/>
  <c r="V232" i="8"/>
  <c r="V233" i="8"/>
  <c r="V234" i="8"/>
  <c r="V235" i="8"/>
  <c r="V236" i="8"/>
  <c r="V237" i="8"/>
  <c r="V238" i="8"/>
  <c r="V239" i="8"/>
  <c r="V240" i="8"/>
  <c r="V241" i="8"/>
  <c r="V242" i="8"/>
  <c r="V243" i="8"/>
  <c r="V244" i="8"/>
  <c r="V245" i="8"/>
  <c r="V246" i="8"/>
  <c r="V247" i="8"/>
  <c r="V248" i="8"/>
  <c r="V249" i="8"/>
  <c r="V250" i="8"/>
  <c r="V251" i="8"/>
  <c r="V252" i="8"/>
  <c r="V253" i="8"/>
  <c r="V254" i="8"/>
  <c r="V255" i="8"/>
  <c r="V256" i="8"/>
  <c r="V257" i="8"/>
  <c r="V258" i="8"/>
  <c r="V259" i="8"/>
  <c r="V260" i="8"/>
  <c r="V261" i="8"/>
  <c r="V262" i="8"/>
  <c r="V263" i="8"/>
  <c r="V264" i="8"/>
  <c r="V265" i="8"/>
  <c r="V266" i="8"/>
  <c r="V267" i="8"/>
  <c r="V268" i="8"/>
  <c r="V269" i="8"/>
  <c r="V270" i="8"/>
  <c r="V271" i="8"/>
  <c r="V272" i="8"/>
  <c r="V273" i="8"/>
  <c r="V274" i="8"/>
  <c r="V275" i="8"/>
  <c r="V276" i="8"/>
  <c r="V277" i="8"/>
  <c r="V278" i="8"/>
  <c r="V279" i="8"/>
  <c r="V280" i="8"/>
  <c r="V281" i="8"/>
  <c r="V282" i="8"/>
  <c r="V283" i="8"/>
  <c r="V284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U49" i="8"/>
  <c r="U50" i="8"/>
  <c r="U51" i="8"/>
  <c r="U52" i="8"/>
  <c r="U53" i="8"/>
  <c r="U54" i="8"/>
  <c r="U55" i="8"/>
  <c r="U56" i="8"/>
  <c r="U57" i="8"/>
  <c r="U58" i="8"/>
  <c r="U59" i="8"/>
  <c r="U60" i="8"/>
  <c r="U61" i="8"/>
  <c r="U62" i="8"/>
  <c r="U63" i="8"/>
  <c r="U64" i="8"/>
  <c r="U65" i="8"/>
  <c r="U66" i="8"/>
  <c r="U67" i="8"/>
  <c r="U68" i="8"/>
  <c r="U69" i="8"/>
  <c r="U70" i="8"/>
  <c r="U71" i="8"/>
  <c r="U72" i="8"/>
  <c r="U73" i="8"/>
  <c r="U74" i="8"/>
  <c r="U75" i="8"/>
  <c r="U76" i="8"/>
  <c r="U77" i="8"/>
  <c r="U78" i="8"/>
  <c r="U79" i="8"/>
  <c r="U80" i="8"/>
  <c r="U81" i="8"/>
  <c r="U82" i="8"/>
  <c r="U83" i="8"/>
  <c r="U84" i="8"/>
  <c r="U85" i="8"/>
  <c r="U86" i="8"/>
  <c r="U87" i="8"/>
  <c r="U88" i="8"/>
  <c r="U89" i="8"/>
  <c r="U90" i="8"/>
  <c r="U91" i="8"/>
  <c r="U92" i="8"/>
  <c r="U93" i="8"/>
  <c r="U94" i="8"/>
  <c r="U95" i="8"/>
  <c r="U96" i="8"/>
  <c r="U97" i="8"/>
  <c r="U98" i="8"/>
  <c r="U99" i="8"/>
  <c r="U100" i="8"/>
  <c r="U101" i="8"/>
  <c r="U102" i="8"/>
  <c r="U103" i="8"/>
  <c r="U104" i="8"/>
  <c r="U105" i="8"/>
  <c r="U106" i="8"/>
  <c r="U107" i="8"/>
  <c r="U108" i="8"/>
  <c r="U109" i="8"/>
  <c r="U110" i="8"/>
  <c r="U111" i="8"/>
  <c r="U112" i="8"/>
  <c r="U113" i="8"/>
  <c r="U114" i="8"/>
  <c r="U115" i="8"/>
  <c r="U116" i="8"/>
  <c r="U117" i="8"/>
  <c r="U118" i="8"/>
  <c r="U119" i="8"/>
  <c r="U120" i="8"/>
  <c r="U121" i="8"/>
  <c r="U122" i="8"/>
  <c r="U123" i="8"/>
  <c r="U124" i="8"/>
  <c r="U125" i="8"/>
  <c r="U126" i="8"/>
  <c r="U127" i="8"/>
  <c r="U128" i="8"/>
  <c r="U129" i="8"/>
  <c r="U130" i="8"/>
  <c r="U131" i="8"/>
  <c r="U132" i="8"/>
  <c r="U133" i="8"/>
  <c r="U134" i="8"/>
  <c r="U135" i="8"/>
  <c r="U136" i="8"/>
  <c r="U137" i="8"/>
  <c r="U138" i="8"/>
  <c r="U139" i="8"/>
  <c r="U140" i="8"/>
  <c r="U141" i="8"/>
  <c r="U142" i="8"/>
  <c r="U143" i="8"/>
  <c r="U144" i="8"/>
  <c r="U145" i="8"/>
  <c r="U146" i="8"/>
  <c r="U147" i="8"/>
  <c r="U148" i="8"/>
  <c r="U149" i="8"/>
  <c r="U150" i="8"/>
  <c r="U151" i="8"/>
  <c r="U152" i="8"/>
  <c r="U153" i="8"/>
  <c r="U154" i="8"/>
  <c r="U155" i="8"/>
  <c r="U156" i="8"/>
  <c r="U157" i="8"/>
  <c r="U158" i="8"/>
  <c r="U159" i="8"/>
  <c r="U160" i="8"/>
  <c r="U161" i="8"/>
  <c r="U162" i="8"/>
  <c r="U163" i="8"/>
  <c r="U164" i="8"/>
  <c r="U165" i="8"/>
  <c r="U166" i="8"/>
  <c r="U167" i="8"/>
  <c r="U168" i="8"/>
  <c r="U169" i="8"/>
  <c r="U170" i="8"/>
  <c r="U171" i="8"/>
  <c r="U172" i="8"/>
  <c r="U173" i="8"/>
  <c r="U174" i="8"/>
  <c r="U175" i="8"/>
  <c r="U176" i="8"/>
  <c r="U177" i="8"/>
  <c r="U178" i="8"/>
  <c r="U179" i="8"/>
  <c r="U180" i="8"/>
  <c r="U181" i="8"/>
  <c r="U182" i="8"/>
  <c r="U183" i="8"/>
  <c r="U184" i="8"/>
  <c r="U185" i="8"/>
  <c r="U186" i="8"/>
  <c r="U187" i="8"/>
  <c r="U188" i="8"/>
  <c r="U189" i="8"/>
  <c r="U190" i="8"/>
  <c r="U191" i="8"/>
  <c r="U192" i="8"/>
  <c r="U193" i="8"/>
  <c r="U194" i="8"/>
  <c r="U195" i="8"/>
  <c r="U196" i="8"/>
  <c r="U197" i="8"/>
  <c r="U198" i="8"/>
  <c r="U199" i="8"/>
  <c r="U200" i="8"/>
  <c r="U201" i="8"/>
  <c r="U202" i="8"/>
  <c r="U203" i="8"/>
  <c r="U204" i="8"/>
  <c r="U205" i="8"/>
  <c r="U206" i="8"/>
  <c r="U207" i="8"/>
  <c r="U208" i="8"/>
  <c r="U209" i="8"/>
  <c r="U210" i="8"/>
  <c r="U211" i="8"/>
  <c r="U212" i="8"/>
  <c r="U213" i="8"/>
  <c r="U214" i="8"/>
  <c r="U215" i="8"/>
  <c r="U216" i="8"/>
  <c r="U217" i="8"/>
  <c r="U218" i="8"/>
  <c r="U219" i="8"/>
  <c r="U220" i="8"/>
  <c r="U221" i="8"/>
  <c r="U222" i="8"/>
  <c r="U223" i="8"/>
  <c r="U224" i="8"/>
  <c r="U225" i="8"/>
  <c r="U226" i="8"/>
  <c r="U227" i="8"/>
  <c r="U228" i="8"/>
  <c r="U229" i="8"/>
  <c r="U230" i="8"/>
  <c r="U231" i="8"/>
  <c r="U232" i="8"/>
  <c r="U233" i="8"/>
  <c r="U234" i="8"/>
  <c r="U235" i="8"/>
  <c r="U236" i="8"/>
  <c r="U237" i="8"/>
  <c r="U238" i="8"/>
  <c r="U239" i="8"/>
  <c r="U240" i="8"/>
  <c r="U241" i="8"/>
  <c r="U242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2" i="8"/>
  <c r="U273" i="8"/>
  <c r="U274" i="8"/>
  <c r="U275" i="8"/>
  <c r="U276" i="8"/>
  <c r="U277" i="8"/>
  <c r="U278" i="8"/>
  <c r="U279" i="8"/>
  <c r="U280" i="8"/>
  <c r="U281" i="8"/>
  <c r="U282" i="8"/>
  <c r="U283" i="8"/>
  <c r="U284" i="8"/>
  <c r="U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T251" i="8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8" i="8"/>
  <c r="S9" i="8"/>
  <c r="S10" i="8"/>
  <c r="S11" i="8"/>
  <c r="S12" i="8"/>
  <c r="S13" i="8"/>
  <c r="S14" i="8"/>
  <c r="S15" i="8"/>
  <c r="S16" i="8"/>
  <c r="S17" i="8"/>
  <c r="S18" i="8"/>
  <c r="S19" i="8"/>
  <c r="S20" i="8"/>
  <c r="S21" i="8"/>
  <c r="S22" i="8"/>
  <c r="S23" i="8"/>
  <c r="S24" i="8"/>
  <c r="S25" i="8"/>
  <c r="S26" i="8"/>
  <c r="S27" i="8"/>
  <c r="S28" i="8"/>
  <c r="S29" i="8"/>
  <c r="S30" i="8"/>
  <c r="S31" i="8"/>
  <c r="S32" i="8"/>
  <c r="S33" i="8"/>
  <c r="S34" i="8"/>
  <c r="S35" i="8"/>
  <c r="S36" i="8"/>
  <c r="S37" i="8"/>
  <c r="S38" i="8"/>
  <c r="S39" i="8"/>
  <c r="S40" i="8"/>
  <c r="S41" i="8"/>
  <c r="S42" i="8"/>
  <c r="S43" i="8"/>
  <c r="S44" i="8"/>
  <c r="S45" i="8"/>
  <c r="S46" i="8"/>
  <c r="S47" i="8"/>
  <c r="S48" i="8"/>
  <c r="S49" i="8"/>
  <c r="S50" i="8"/>
  <c r="S51" i="8"/>
  <c r="S52" i="8"/>
  <c r="S53" i="8"/>
  <c r="S54" i="8"/>
  <c r="S55" i="8"/>
  <c r="S56" i="8"/>
  <c r="S57" i="8"/>
  <c r="S58" i="8"/>
  <c r="S59" i="8"/>
  <c r="S60" i="8"/>
  <c r="S61" i="8"/>
  <c r="S62" i="8"/>
  <c r="S63" i="8"/>
  <c r="S64" i="8"/>
  <c r="S65" i="8"/>
  <c r="S66" i="8"/>
  <c r="S67" i="8"/>
  <c r="S68" i="8"/>
  <c r="S69" i="8"/>
  <c r="S70" i="8"/>
  <c r="S71" i="8"/>
  <c r="S72" i="8"/>
  <c r="S73" i="8"/>
  <c r="S74" i="8"/>
  <c r="S75" i="8"/>
  <c r="S76" i="8"/>
  <c r="S77" i="8"/>
  <c r="S78" i="8"/>
  <c r="S79" i="8"/>
  <c r="S80" i="8"/>
  <c r="S81" i="8"/>
  <c r="S82" i="8"/>
  <c r="S83" i="8"/>
  <c r="S84" i="8"/>
  <c r="S85" i="8"/>
  <c r="S86" i="8"/>
  <c r="S87" i="8"/>
  <c r="S88" i="8"/>
  <c r="S89" i="8"/>
  <c r="S90" i="8"/>
  <c r="S91" i="8"/>
  <c r="S92" i="8"/>
  <c r="S93" i="8"/>
  <c r="S94" i="8"/>
  <c r="S95" i="8"/>
  <c r="S96" i="8"/>
  <c r="S97" i="8"/>
  <c r="S98" i="8"/>
  <c r="S99" i="8"/>
  <c r="S100" i="8"/>
  <c r="S101" i="8"/>
  <c r="S102" i="8"/>
  <c r="S103" i="8"/>
  <c r="S104" i="8"/>
  <c r="S105" i="8"/>
  <c r="S106" i="8"/>
  <c r="S107" i="8"/>
  <c r="S108" i="8"/>
  <c r="S109" i="8"/>
  <c r="S110" i="8"/>
  <c r="S111" i="8"/>
  <c r="S112" i="8"/>
  <c r="S113" i="8"/>
  <c r="S114" i="8"/>
  <c r="S115" i="8"/>
  <c r="S116" i="8"/>
  <c r="S117" i="8"/>
  <c r="S118" i="8"/>
  <c r="S119" i="8"/>
  <c r="S120" i="8"/>
  <c r="S121" i="8"/>
  <c r="S122" i="8"/>
  <c r="S123" i="8"/>
  <c r="S124" i="8"/>
  <c r="S125" i="8"/>
  <c r="S126" i="8"/>
  <c r="S127" i="8"/>
  <c r="S128" i="8"/>
  <c r="S129" i="8"/>
  <c r="S130" i="8"/>
  <c r="S131" i="8"/>
  <c r="S132" i="8"/>
  <c r="S133" i="8"/>
  <c r="S134" i="8"/>
  <c r="S135" i="8"/>
  <c r="S136" i="8"/>
  <c r="S137" i="8"/>
  <c r="S138" i="8"/>
  <c r="S139" i="8"/>
  <c r="S140" i="8"/>
  <c r="S141" i="8"/>
  <c r="S142" i="8"/>
  <c r="S143" i="8"/>
  <c r="S144" i="8"/>
  <c r="S145" i="8"/>
  <c r="S146" i="8"/>
  <c r="S147" i="8"/>
  <c r="S148" i="8"/>
  <c r="S149" i="8"/>
  <c r="S150" i="8"/>
  <c r="S151" i="8"/>
  <c r="S152" i="8"/>
  <c r="S153" i="8"/>
  <c r="S154" i="8"/>
  <c r="S155" i="8"/>
  <c r="S156" i="8"/>
  <c r="S157" i="8"/>
  <c r="S158" i="8"/>
  <c r="S159" i="8"/>
  <c r="S160" i="8"/>
  <c r="S161" i="8"/>
  <c r="S162" i="8"/>
  <c r="S163" i="8"/>
  <c r="S164" i="8"/>
  <c r="S165" i="8"/>
  <c r="S166" i="8"/>
  <c r="S167" i="8"/>
  <c r="S168" i="8"/>
  <c r="S169" i="8"/>
  <c r="S170" i="8"/>
  <c r="S171" i="8"/>
  <c r="S172" i="8"/>
  <c r="S173" i="8"/>
  <c r="S174" i="8"/>
  <c r="S175" i="8"/>
  <c r="S176" i="8"/>
  <c r="S177" i="8"/>
  <c r="S178" i="8"/>
  <c r="S179" i="8"/>
  <c r="S180" i="8"/>
  <c r="S181" i="8"/>
  <c r="S182" i="8"/>
  <c r="S183" i="8"/>
  <c r="S184" i="8"/>
  <c r="S185" i="8"/>
  <c r="S186" i="8"/>
  <c r="S187" i="8"/>
  <c r="S188" i="8"/>
  <c r="S189" i="8"/>
  <c r="S190" i="8"/>
  <c r="S191" i="8"/>
  <c r="S192" i="8"/>
  <c r="S193" i="8"/>
  <c r="S194" i="8"/>
  <c r="S195" i="8"/>
  <c r="S196" i="8"/>
  <c r="S197" i="8"/>
  <c r="S198" i="8"/>
  <c r="S199" i="8"/>
  <c r="S200" i="8"/>
  <c r="S201" i="8"/>
  <c r="S202" i="8"/>
  <c r="S203" i="8"/>
  <c r="S204" i="8"/>
  <c r="S205" i="8"/>
  <c r="S206" i="8"/>
  <c r="S207" i="8"/>
  <c r="S208" i="8"/>
  <c r="S209" i="8"/>
  <c r="S210" i="8"/>
  <c r="S211" i="8"/>
  <c r="S212" i="8"/>
  <c r="S213" i="8"/>
  <c r="S214" i="8"/>
  <c r="S215" i="8"/>
  <c r="S216" i="8"/>
  <c r="S217" i="8"/>
  <c r="S218" i="8"/>
  <c r="S219" i="8"/>
  <c r="S220" i="8"/>
  <c r="S221" i="8"/>
  <c r="S222" i="8"/>
  <c r="S223" i="8"/>
  <c r="S224" i="8"/>
  <c r="S225" i="8"/>
  <c r="S226" i="8"/>
  <c r="S227" i="8"/>
  <c r="S228" i="8"/>
  <c r="S229" i="8"/>
  <c r="S230" i="8"/>
  <c r="S231" i="8"/>
  <c r="S232" i="8"/>
  <c r="S233" i="8"/>
  <c r="S234" i="8"/>
  <c r="S235" i="8"/>
  <c r="S236" i="8"/>
  <c r="S237" i="8"/>
  <c r="S238" i="8"/>
  <c r="S239" i="8"/>
  <c r="S240" i="8"/>
  <c r="S241" i="8"/>
  <c r="S242" i="8"/>
  <c r="S243" i="8"/>
  <c r="S244" i="8"/>
  <c r="S245" i="8"/>
  <c r="S246" i="8"/>
  <c r="S247" i="8"/>
  <c r="S248" i="8"/>
  <c r="S249" i="8"/>
  <c r="S250" i="8"/>
  <c r="S251" i="8"/>
  <c r="S252" i="8"/>
  <c r="S253" i="8"/>
  <c r="S254" i="8"/>
  <c r="S255" i="8"/>
  <c r="S256" i="8"/>
  <c r="S257" i="8"/>
  <c r="S258" i="8"/>
  <c r="S259" i="8"/>
  <c r="S260" i="8"/>
  <c r="S261" i="8"/>
  <c r="S262" i="8"/>
  <c r="S263" i="8"/>
  <c r="S264" i="8"/>
  <c r="S265" i="8"/>
  <c r="S266" i="8"/>
  <c r="S267" i="8"/>
  <c r="S268" i="8"/>
  <c r="S269" i="8"/>
  <c r="S270" i="8"/>
  <c r="S271" i="8"/>
  <c r="S272" i="8"/>
  <c r="S273" i="8"/>
  <c r="S274" i="8"/>
  <c r="S275" i="8"/>
  <c r="S276" i="8"/>
  <c r="S277" i="8"/>
  <c r="S278" i="8"/>
  <c r="S279" i="8"/>
  <c r="S280" i="8"/>
  <c r="S281" i="8"/>
  <c r="S282" i="8"/>
  <c r="S283" i="8"/>
  <c r="S284" i="8"/>
  <c r="S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250" i="8"/>
  <c r="R251" i="8"/>
  <c r="R252" i="8"/>
  <c r="R253" i="8"/>
  <c r="R254" i="8"/>
  <c r="R255" i="8"/>
  <c r="R256" i="8"/>
  <c r="R257" i="8"/>
  <c r="R258" i="8"/>
  <c r="R259" i="8"/>
  <c r="R260" i="8"/>
  <c r="R261" i="8"/>
  <c r="R262" i="8"/>
  <c r="R263" i="8"/>
  <c r="R264" i="8"/>
  <c r="R265" i="8"/>
  <c r="R266" i="8"/>
  <c r="R267" i="8"/>
  <c r="R268" i="8"/>
  <c r="R269" i="8"/>
  <c r="R270" i="8"/>
  <c r="R271" i="8"/>
  <c r="R272" i="8"/>
  <c r="R273" i="8"/>
  <c r="R274" i="8"/>
  <c r="R275" i="8"/>
  <c r="R276" i="8"/>
  <c r="R277" i="8"/>
  <c r="R278" i="8"/>
  <c r="R279" i="8"/>
  <c r="R280" i="8"/>
  <c r="R281" i="8"/>
  <c r="R282" i="8"/>
  <c r="R283" i="8"/>
  <c r="R284" i="8"/>
  <c r="R8" i="8"/>
  <c r="D8" i="8"/>
  <c r="P9" i="8"/>
  <c r="P10" i="8"/>
  <c r="P11" i="8"/>
  <c r="P12" i="8"/>
  <c r="P13" i="8"/>
  <c r="P14" i="8"/>
  <c r="P15" i="8"/>
  <c r="P16" i="8"/>
  <c r="P17" i="8"/>
  <c r="P18" i="8"/>
  <c r="P19" i="8"/>
  <c r="P20" i="8"/>
  <c r="P21" i="8"/>
  <c r="P22" i="8"/>
  <c r="P23" i="8"/>
  <c r="P24" i="8"/>
  <c r="P25" i="8"/>
  <c r="P26" i="8"/>
  <c r="P27" i="8"/>
  <c r="P28" i="8"/>
  <c r="P29" i="8"/>
  <c r="P30" i="8"/>
  <c r="P31" i="8"/>
  <c r="P32" i="8"/>
  <c r="P33" i="8"/>
  <c r="P34" i="8"/>
  <c r="P35" i="8"/>
  <c r="P36" i="8"/>
  <c r="P37" i="8"/>
  <c r="P38" i="8"/>
  <c r="P39" i="8"/>
  <c r="P40" i="8"/>
  <c r="P41" i="8"/>
  <c r="P42" i="8"/>
  <c r="P43" i="8"/>
  <c r="P44" i="8"/>
  <c r="P45" i="8"/>
  <c r="P46" i="8"/>
  <c r="P47" i="8"/>
  <c r="P48" i="8"/>
  <c r="P49" i="8"/>
  <c r="P50" i="8"/>
  <c r="P51" i="8"/>
  <c r="P52" i="8"/>
  <c r="P53" i="8"/>
  <c r="P54" i="8"/>
  <c r="P55" i="8"/>
  <c r="P56" i="8"/>
  <c r="P57" i="8"/>
  <c r="P58" i="8"/>
  <c r="P59" i="8"/>
  <c r="P60" i="8"/>
  <c r="P61" i="8"/>
  <c r="P62" i="8"/>
  <c r="P63" i="8"/>
  <c r="P64" i="8"/>
  <c r="P65" i="8"/>
  <c r="P66" i="8"/>
  <c r="P67" i="8"/>
  <c r="P68" i="8"/>
  <c r="P69" i="8"/>
  <c r="P70" i="8"/>
  <c r="P71" i="8"/>
  <c r="P72" i="8"/>
  <c r="P73" i="8"/>
  <c r="P74" i="8"/>
  <c r="P75" i="8"/>
  <c r="P76" i="8"/>
  <c r="P77" i="8"/>
  <c r="P78" i="8"/>
  <c r="P79" i="8"/>
  <c r="P80" i="8"/>
  <c r="P81" i="8"/>
  <c r="P82" i="8"/>
  <c r="P83" i="8"/>
  <c r="P84" i="8"/>
  <c r="P85" i="8"/>
  <c r="P86" i="8"/>
  <c r="P87" i="8"/>
  <c r="P88" i="8"/>
  <c r="P89" i="8"/>
  <c r="P90" i="8"/>
  <c r="P91" i="8"/>
  <c r="P92" i="8"/>
  <c r="P93" i="8"/>
  <c r="P94" i="8"/>
  <c r="P95" i="8"/>
  <c r="P96" i="8"/>
  <c r="P97" i="8"/>
  <c r="P98" i="8"/>
  <c r="P99" i="8"/>
  <c r="P100" i="8"/>
  <c r="P101" i="8"/>
  <c r="P102" i="8"/>
  <c r="P103" i="8"/>
  <c r="P104" i="8"/>
  <c r="P105" i="8"/>
  <c r="P106" i="8"/>
  <c r="P107" i="8"/>
  <c r="P108" i="8"/>
  <c r="P109" i="8"/>
  <c r="P110" i="8"/>
  <c r="P111" i="8"/>
  <c r="P112" i="8"/>
  <c r="P113" i="8"/>
  <c r="P114" i="8"/>
  <c r="P115" i="8"/>
  <c r="P116" i="8"/>
  <c r="P117" i="8"/>
  <c r="P118" i="8"/>
  <c r="P119" i="8"/>
  <c r="P120" i="8"/>
  <c r="P121" i="8"/>
  <c r="P122" i="8"/>
  <c r="P123" i="8"/>
  <c r="P124" i="8"/>
  <c r="P125" i="8"/>
  <c r="P126" i="8"/>
  <c r="P127" i="8"/>
  <c r="P128" i="8"/>
  <c r="P129" i="8"/>
  <c r="P130" i="8"/>
  <c r="P131" i="8"/>
  <c r="P132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P184" i="8"/>
  <c r="P185" i="8"/>
  <c r="P186" i="8"/>
  <c r="P187" i="8"/>
  <c r="P188" i="8"/>
  <c r="P189" i="8"/>
  <c r="P190" i="8"/>
  <c r="P191" i="8"/>
  <c r="P192" i="8"/>
  <c r="P193" i="8"/>
  <c r="P194" i="8"/>
  <c r="P195" i="8"/>
  <c r="P196" i="8"/>
  <c r="P197" i="8"/>
  <c r="P198" i="8"/>
  <c r="P199" i="8"/>
  <c r="P200" i="8"/>
  <c r="P201" i="8"/>
  <c r="P202" i="8"/>
  <c r="P203" i="8"/>
  <c r="P204" i="8"/>
  <c r="P205" i="8"/>
  <c r="P206" i="8"/>
  <c r="P207" i="8"/>
  <c r="P208" i="8"/>
  <c r="P209" i="8"/>
  <c r="P210" i="8"/>
  <c r="P211" i="8"/>
  <c r="P212" i="8"/>
  <c r="P213" i="8"/>
  <c r="P214" i="8"/>
  <c r="P215" i="8"/>
  <c r="P216" i="8"/>
  <c r="P217" i="8"/>
  <c r="P218" i="8"/>
  <c r="P219" i="8"/>
  <c r="P220" i="8"/>
  <c r="P221" i="8"/>
  <c r="P222" i="8"/>
  <c r="P223" i="8"/>
  <c r="P224" i="8"/>
  <c r="P225" i="8"/>
  <c r="P226" i="8"/>
  <c r="P227" i="8"/>
  <c r="P228" i="8"/>
  <c r="P229" i="8"/>
  <c r="P230" i="8"/>
  <c r="P231" i="8"/>
  <c r="P232" i="8"/>
  <c r="P233" i="8"/>
  <c r="P234" i="8"/>
  <c r="P235" i="8"/>
  <c r="P236" i="8"/>
  <c r="P237" i="8"/>
  <c r="P238" i="8"/>
  <c r="P239" i="8"/>
  <c r="P240" i="8"/>
  <c r="P241" i="8"/>
  <c r="P242" i="8"/>
  <c r="P243" i="8"/>
  <c r="P244" i="8"/>
  <c r="P245" i="8"/>
  <c r="P246" i="8"/>
  <c r="P247" i="8"/>
  <c r="P248" i="8"/>
  <c r="P249" i="8"/>
  <c r="P250" i="8"/>
  <c r="P251" i="8"/>
  <c r="P252" i="8"/>
  <c r="P253" i="8"/>
  <c r="P254" i="8"/>
  <c r="P255" i="8"/>
  <c r="P256" i="8"/>
  <c r="P257" i="8"/>
  <c r="P258" i="8"/>
  <c r="P259" i="8"/>
  <c r="P260" i="8"/>
  <c r="P261" i="8"/>
  <c r="P262" i="8"/>
  <c r="P263" i="8"/>
  <c r="P264" i="8"/>
  <c r="P265" i="8"/>
  <c r="P266" i="8"/>
  <c r="P267" i="8"/>
  <c r="P268" i="8"/>
  <c r="P269" i="8"/>
  <c r="P270" i="8"/>
  <c r="P271" i="8"/>
  <c r="P272" i="8"/>
  <c r="P273" i="8"/>
  <c r="P274" i="8"/>
  <c r="P275" i="8"/>
  <c r="P276" i="8"/>
  <c r="P277" i="8"/>
  <c r="P278" i="8"/>
  <c r="P279" i="8"/>
  <c r="P280" i="8"/>
  <c r="P281" i="8"/>
  <c r="P282" i="8"/>
  <c r="P283" i="8"/>
  <c r="P284" i="8"/>
  <c r="P8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O282" i="8"/>
  <c r="O283" i="8"/>
  <c r="O284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8" i="8"/>
  <c r="I10" i="8"/>
  <c r="I11" i="8"/>
  <c r="I12" i="8"/>
  <c r="I13" i="8"/>
  <c r="I14" i="8"/>
  <c r="I15" i="8"/>
  <c r="I16" i="8"/>
  <c r="I17" i="8"/>
  <c r="I18" i="8"/>
  <c r="I19" i="8"/>
  <c r="I20" i="8"/>
  <c r="I21" i="8"/>
  <c r="I22" i="8"/>
  <c r="I23" i="8"/>
  <c r="I24" i="8"/>
  <c r="I25" i="8"/>
  <c r="I26" i="8"/>
  <c r="I27" i="8"/>
  <c r="I28" i="8"/>
  <c r="I29" i="8"/>
  <c r="I30" i="8"/>
  <c r="I31" i="8"/>
  <c r="I32" i="8"/>
  <c r="I33" i="8"/>
  <c r="I34" i="8"/>
  <c r="I35" i="8"/>
  <c r="I36" i="8"/>
  <c r="I37" i="8"/>
  <c r="I38" i="8"/>
  <c r="I39" i="8"/>
  <c r="I40" i="8"/>
  <c r="I41" i="8"/>
  <c r="I42" i="8"/>
  <c r="I43" i="8"/>
  <c r="I44" i="8"/>
  <c r="I45" i="8"/>
  <c r="I46" i="8"/>
  <c r="I47" i="8"/>
  <c r="I48" i="8"/>
  <c r="I49" i="8"/>
  <c r="I50" i="8"/>
  <c r="I51" i="8"/>
  <c r="I52" i="8"/>
  <c r="I53" i="8"/>
  <c r="I54" i="8"/>
  <c r="I55" i="8"/>
  <c r="I56" i="8"/>
  <c r="I57" i="8"/>
  <c r="I58" i="8"/>
  <c r="I59" i="8"/>
  <c r="I60" i="8"/>
  <c r="I61" i="8"/>
  <c r="I62" i="8"/>
  <c r="I63" i="8"/>
  <c r="I64" i="8"/>
  <c r="I65" i="8"/>
  <c r="I66" i="8"/>
  <c r="I67" i="8"/>
  <c r="I68" i="8"/>
  <c r="I69" i="8"/>
  <c r="I70" i="8"/>
  <c r="I71" i="8"/>
  <c r="I72" i="8"/>
  <c r="I73" i="8"/>
  <c r="I74" i="8"/>
  <c r="I75" i="8"/>
  <c r="I76" i="8"/>
  <c r="I77" i="8"/>
  <c r="I78" i="8"/>
  <c r="I79" i="8"/>
  <c r="I80" i="8"/>
  <c r="I81" i="8"/>
  <c r="I82" i="8"/>
  <c r="I83" i="8"/>
  <c r="I84" i="8"/>
  <c r="I85" i="8"/>
  <c r="I86" i="8"/>
  <c r="I87" i="8"/>
  <c r="I88" i="8"/>
  <c r="I89" i="8"/>
  <c r="I90" i="8"/>
  <c r="I91" i="8"/>
  <c r="I92" i="8"/>
  <c r="I93" i="8"/>
  <c r="I94" i="8"/>
  <c r="I95" i="8"/>
  <c r="I96" i="8"/>
  <c r="I97" i="8"/>
  <c r="I98" i="8"/>
  <c r="I99" i="8"/>
  <c r="I100" i="8"/>
  <c r="I101" i="8"/>
  <c r="I102" i="8"/>
  <c r="I103" i="8"/>
  <c r="I104" i="8"/>
  <c r="I105" i="8"/>
  <c r="I106" i="8"/>
  <c r="I107" i="8"/>
  <c r="I108" i="8"/>
  <c r="I109" i="8"/>
  <c r="I110" i="8"/>
  <c r="I111" i="8"/>
  <c r="I112" i="8"/>
  <c r="I113" i="8"/>
  <c r="I114" i="8"/>
  <c r="I115" i="8"/>
  <c r="I116" i="8"/>
  <c r="I117" i="8"/>
  <c r="I118" i="8"/>
  <c r="I119" i="8"/>
  <c r="I120" i="8"/>
  <c r="I121" i="8"/>
  <c r="I122" i="8"/>
  <c r="I123" i="8"/>
  <c r="I124" i="8"/>
  <c r="I125" i="8"/>
  <c r="I126" i="8"/>
  <c r="I127" i="8"/>
  <c r="I128" i="8"/>
  <c r="I129" i="8"/>
  <c r="I130" i="8"/>
  <c r="I131" i="8"/>
  <c r="I132" i="8"/>
  <c r="I133" i="8"/>
  <c r="I134" i="8"/>
  <c r="I135" i="8"/>
  <c r="I136" i="8"/>
  <c r="I137" i="8"/>
  <c r="I138" i="8"/>
  <c r="I139" i="8"/>
  <c r="I140" i="8"/>
  <c r="I141" i="8"/>
  <c r="I142" i="8"/>
  <c r="I143" i="8"/>
  <c r="I144" i="8"/>
  <c r="I145" i="8"/>
  <c r="I146" i="8"/>
  <c r="I147" i="8"/>
  <c r="I148" i="8"/>
  <c r="I149" i="8"/>
  <c r="I150" i="8"/>
  <c r="I151" i="8"/>
  <c r="I152" i="8"/>
  <c r="I153" i="8"/>
  <c r="I154" i="8"/>
  <c r="I155" i="8"/>
  <c r="I156" i="8"/>
  <c r="I157" i="8"/>
  <c r="I158" i="8"/>
  <c r="I159" i="8"/>
  <c r="I160" i="8"/>
  <c r="I161" i="8"/>
  <c r="I162" i="8"/>
  <c r="I163" i="8"/>
  <c r="I164" i="8"/>
  <c r="I165" i="8"/>
  <c r="I166" i="8"/>
  <c r="I167" i="8"/>
  <c r="I168" i="8"/>
  <c r="I169" i="8"/>
  <c r="I170" i="8"/>
  <c r="I171" i="8"/>
  <c r="I172" i="8"/>
  <c r="I173" i="8"/>
  <c r="I174" i="8"/>
  <c r="I175" i="8"/>
  <c r="I176" i="8"/>
  <c r="I177" i="8"/>
  <c r="I178" i="8"/>
  <c r="I179" i="8"/>
  <c r="I180" i="8"/>
  <c r="I181" i="8"/>
  <c r="I182" i="8"/>
  <c r="I183" i="8"/>
  <c r="I184" i="8"/>
  <c r="I185" i="8"/>
  <c r="I186" i="8"/>
  <c r="I187" i="8"/>
  <c r="I188" i="8"/>
  <c r="I189" i="8"/>
  <c r="I190" i="8"/>
  <c r="I191" i="8"/>
  <c r="I192" i="8"/>
  <c r="I193" i="8"/>
  <c r="I194" i="8"/>
  <c r="I195" i="8"/>
  <c r="I196" i="8"/>
  <c r="I197" i="8"/>
  <c r="I198" i="8"/>
  <c r="I199" i="8"/>
  <c r="I200" i="8"/>
  <c r="I201" i="8"/>
  <c r="I202" i="8"/>
  <c r="I203" i="8"/>
  <c r="I204" i="8"/>
  <c r="I205" i="8"/>
  <c r="I206" i="8"/>
  <c r="I207" i="8"/>
  <c r="I208" i="8"/>
  <c r="I209" i="8"/>
  <c r="I210" i="8"/>
  <c r="I211" i="8"/>
  <c r="I212" i="8"/>
  <c r="I213" i="8"/>
  <c r="I214" i="8"/>
  <c r="I215" i="8"/>
  <c r="I216" i="8"/>
  <c r="I217" i="8"/>
  <c r="I218" i="8"/>
  <c r="I219" i="8"/>
  <c r="I220" i="8"/>
  <c r="I221" i="8"/>
  <c r="I222" i="8"/>
  <c r="I223" i="8"/>
  <c r="I224" i="8"/>
  <c r="I225" i="8"/>
  <c r="I226" i="8"/>
  <c r="I227" i="8"/>
  <c r="I228" i="8"/>
  <c r="I229" i="8"/>
  <c r="I230" i="8"/>
  <c r="I231" i="8"/>
  <c r="I232" i="8"/>
  <c r="I233" i="8"/>
  <c r="I234" i="8"/>
  <c r="I235" i="8"/>
  <c r="I236" i="8"/>
  <c r="I237" i="8"/>
  <c r="I238" i="8"/>
  <c r="I239" i="8"/>
  <c r="I240" i="8"/>
  <c r="I241" i="8"/>
  <c r="I242" i="8"/>
  <c r="I243" i="8"/>
  <c r="I244" i="8"/>
  <c r="I245" i="8"/>
  <c r="I246" i="8"/>
  <c r="I247" i="8"/>
  <c r="I248" i="8"/>
  <c r="I249" i="8"/>
  <c r="I250" i="8"/>
  <c r="I251" i="8"/>
  <c r="I252" i="8"/>
  <c r="I253" i="8"/>
  <c r="I254" i="8"/>
  <c r="I255" i="8"/>
  <c r="I256" i="8"/>
  <c r="I257" i="8"/>
  <c r="I258" i="8"/>
  <c r="I259" i="8"/>
  <c r="I260" i="8"/>
  <c r="I261" i="8"/>
  <c r="I262" i="8"/>
  <c r="I263" i="8"/>
  <c r="I264" i="8"/>
  <c r="I265" i="8"/>
  <c r="I266" i="8"/>
  <c r="I267" i="8"/>
  <c r="I268" i="8"/>
  <c r="I269" i="8"/>
  <c r="I270" i="8"/>
  <c r="I271" i="8"/>
  <c r="I272" i="8"/>
  <c r="I273" i="8"/>
  <c r="I274" i="8"/>
  <c r="I275" i="8"/>
  <c r="I276" i="8"/>
  <c r="I277" i="8"/>
  <c r="I278" i="8"/>
  <c r="I279" i="8"/>
  <c r="I280" i="8"/>
  <c r="I281" i="8"/>
  <c r="I282" i="8"/>
  <c r="I283" i="8"/>
  <c r="I284" i="8"/>
  <c r="I9" i="8"/>
  <c r="I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F9" i="8"/>
  <c r="Q9" i="8" s="1"/>
  <c r="F10" i="8"/>
  <c r="Q10" i="8" s="1"/>
  <c r="F11" i="8"/>
  <c r="Q11" i="8" s="1"/>
  <c r="F12" i="8"/>
  <c r="Q12" i="8" s="1"/>
  <c r="F13" i="8"/>
  <c r="Q13" i="8" s="1"/>
  <c r="F14" i="8"/>
  <c r="Q14" i="8" s="1"/>
  <c r="F15" i="8"/>
  <c r="Q15" i="8" s="1"/>
  <c r="F16" i="8"/>
  <c r="Q16" i="8" s="1"/>
  <c r="F17" i="8"/>
  <c r="Q17" i="8" s="1"/>
  <c r="F18" i="8"/>
  <c r="Q18" i="8" s="1"/>
  <c r="F19" i="8"/>
  <c r="Q19" i="8" s="1"/>
  <c r="F20" i="8"/>
  <c r="Q20" i="8" s="1"/>
  <c r="F21" i="8"/>
  <c r="Q21" i="8" s="1"/>
  <c r="F22" i="8"/>
  <c r="Q22" i="8" s="1"/>
  <c r="F23" i="8"/>
  <c r="Q23" i="8" s="1"/>
  <c r="F24" i="8"/>
  <c r="Q24" i="8" s="1"/>
  <c r="F25" i="8"/>
  <c r="Q25" i="8" s="1"/>
  <c r="F26" i="8"/>
  <c r="Q26" i="8" s="1"/>
  <c r="F27" i="8"/>
  <c r="Q27" i="8" s="1"/>
  <c r="F28" i="8"/>
  <c r="Q28" i="8" s="1"/>
  <c r="F29" i="8"/>
  <c r="Q29" i="8" s="1"/>
  <c r="F30" i="8"/>
  <c r="Q30" i="8" s="1"/>
  <c r="F31" i="8"/>
  <c r="Q31" i="8" s="1"/>
  <c r="F32" i="8"/>
  <c r="Q32" i="8" s="1"/>
  <c r="F33" i="8"/>
  <c r="Q33" i="8" s="1"/>
  <c r="F34" i="8"/>
  <c r="Q34" i="8" s="1"/>
  <c r="F35" i="8"/>
  <c r="Q35" i="8" s="1"/>
  <c r="F36" i="8"/>
  <c r="Q36" i="8" s="1"/>
  <c r="F37" i="8"/>
  <c r="Q37" i="8" s="1"/>
  <c r="F38" i="8"/>
  <c r="Q38" i="8" s="1"/>
  <c r="F39" i="8"/>
  <c r="Q39" i="8" s="1"/>
  <c r="F40" i="8"/>
  <c r="Q40" i="8" s="1"/>
  <c r="F41" i="8"/>
  <c r="Q41" i="8" s="1"/>
  <c r="F42" i="8"/>
  <c r="Q42" i="8" s="1"/>
  <c r="F43" i="8"/>
  <c r="Q43" i="8" s="1"/>
  <c r="F44" i="8"/>
  <c r="Q44" i="8" s="1"/>
  <c r="F45" i="8"/>
  <c r="Q45" i="8" s="1"/>
  <c r="F46" i="8"/>
  <c r="Q46" i="8" s="1"/>
  <c r="F47" i="8"/>
  <c r="Q47" i="8" s="1"/>
  <c r="F48" i="8"/>
  <c r="Q48" i="8" s="1"/>
  <c r="F49" i="8"/>
  <c r="Q49" i="8" s="1"/>
  <c r="F50" i="8"/>
  <c r="Q50" i="8" s="1"/>
  <c r="F51" i="8"/>
  <c r="Q51" i="8" s="1"/>
  <c r="F52" i="8"/>
  <c r="Q52" i="8" s="1"/>
  <c r="F53" i="8"/>
  <c r="Q53" i="8" s="1"/>
  <c r="F54" i="8"/>
  <c r="Q54" i="8" s="1"/>
  <c r="F55" i="8"/>
  <c r="Q55" i="8" s="1"/>
  <c r="F56" i="8"/>
  <c r="Q56" i="8" s="1"/>
  <c r="F57" i="8"/>
  <c r="Q57" i="8" s="1"/>
  <c r="F58" i="8"/>
  <c r="Q58" i="8" s="1"/>
  <c r="F59" i="8"/>
  <c r="Q59" i="8" s="1"/>
  <c r="F60" i="8"/>
  <c r="Q60" i="8" s="1"/>
  <c r="F61" i="8"/>
  <c r="Q61" i="8" s="1"/>
  <c r="F62" i="8"/>
  <c r="Q62" i="8" s="1"/>
  <c r="F63" i="8"/>
  <c r="Q63" i="8" s="1"/>
  <c r="F64" i="8"/>
  <c r="Q64" i="8" s="1"/>
  <c r="F65" i="8"/>
  <c r="Q65" i="8" s="1"/>
  <c r="F66" i="8"/>
  <c r="Q66" i="8" s="1"/>
  <c r="F67" i="8"/>
  <c r="Q67" i="8" s="1"/>
  <c r="F68" i="8"/>
  <c r="Q68" i="8" s="1"/>
  <c r="F69" i="8"/>
  <c r="Q69" i="8" s="1"/>
  <c r="F70" i="8"/>
  <c r="Q70" i="8" s="1"/>
  <c r="F71" i="8"/>
  <c r="Q71" i="8" s="1"/>
  <c r="F72" i="8"/>
  <c r="Q72" i="8" s="1"/>
  <c r="F73" i="8"/>
  <c r="Q73" i="8" s="1"/>
  <c r="F74" i="8"/>
  <c r="Q74" i="8" s="1"/>
  <c r="F75" i="8"/>
  <c r="Q75" i="8" s="1"/>
  <c r="F76" i="8"/>
  <c r="Q76" i="8" s="1"/>
  <c r="F77" i="8"/>
  <c r="Q77" i="8" s="1"/>
  <c r="F78" i="8"/>
  <c r="Q78" i="8" s="1"/>
  <c r="F79" i="8"/>
  <c r="Q79" i="8" s="1"/>
  <c r="F80" i="8"/>
  <c r="Q80" i="8" s="1"/>
  <c r="F81" i="8"/>
  <c r="Q81" i="8" s="1"/>
  <c r="F82" i="8"/>
  <c r="Q82" i="8" s="1"/>
  <c r="F83" i="8"/>
  <c r="Q83" i="8" s="1"/>
  <c r="F84" i="8"/>
  <c r="Q84" i="8" s="1"/>
  <c r="F85" i="8"/>
  <c r="Q85" i="8" s="1"/>
  <c r="F86" i="8"/>
  <c r="Q86" i="8" s="1"/>
  <c r="F87" i="8"/>
  <c r="Q87" i="8" s="1"/>
  <c r="F88" i="8"/>
  <c r="Q88" i="8" s="1"/>
  <c r="F89" i="8"/>
  <c r="Q89" i="8" s="1"/>
  <c r="F90" i="8"/>
  <c r="Q90" i="8" s="1"/>
  <c r="F91" i="8"/>
  <c r="Q91" i="8" s="1"/>
  <c r="F92" i="8"/>
  <c r="Q92" i="8" s="1"/>
  <c r="F93" i="8"/>
  <c r="Q93" i="8" s="1"/>
  <c r="F94" i="8"/>
  <c r="Q94" i="8" s="1"/>
  <c r="F95" i="8"/>
  <c r="Q95" i="8" s="1"/>
  <c r="F96" i="8"/>
  <c r="Q96" i="8" s="1"/>
  <c r="F97" i="8"/>
  <c r="Q97" i="8" s="1"/>
  <c r="F98" i="8"/>
  <c r="Q98" i="8" s="1"/>
  <c r="F99" i="8"/>
  <c r="Q99" i="8" s="1"/>
  <c r="F100" i="8"/>
  <c r="Q100" i="8" s="1"/>
  <c r="F101" i="8"/>
  <c r="Q101" i="8" s="1"/>
  <c r="F102" i="8"/>
  <c r="Q102" i="8" s="1"/>
  <c r="F103" i="8"/>
  <c r="Q103" i="8" s="1"/>
  <c r="F104" i="8"/>
  <c r="Q104" i="8" s="1"/>
  <c r="F105" i="8"/>
  <c r="Q105" i="8" s="1"/>
  <c r="F106" i="8"/>
  <c r="Q106" i="8" s="1"/>
  <c r="F107" i="8"/>
  <c r="Q107" i="8" s="1"/>
  <c r="F108" i="8"/>
  <c r="Q108" i="8" s="1"/>
  <c r="F109" i="8"/>
  <c r="Q109" i="8" s="1"/>
  <c r="F110" i="8"/>
  <c r="Q110" i="8" s="1"/>
  <c r="F111" i="8"/>
  <c r="Q111" i="8" s="1"/>
  <c r="F112" i="8"/>
  <c r="Q112" i="8" s="1"/>
  <c r="F113" i="8"/>
  <c r="Q113" i="8" s="1"/>
  <c r="F114" i="8"/>
  <c r="Q114" i="8" s="1"/>
  <c r="F115" i="8"/>
  <c r="Q115" i="8" s="1"/>
  <c r="F116" i="8"/>
  <c r="Q116" i="8" s="1"/>
  <c r="F117" i="8"/>
  <c r="Q117" i="8" s="1"/>
  <c r="F118" i="8"/>
  <c r="Q118" i="8" s="1"/>
  <c r="F119" i="8"/>
  <c r="Q119" i="8" s="1"/>
  <c r="F120" i="8"/>
  <c r="Q120" i="8" s="1"/>
  <c r="F121" i="8"/>
  <c r="Q121" i="8" s="1"/>
  <c r="F122" i="8"/>
  <c r="Q122" i="8" s="1"/>
  <c r="F123" i="8"/>
  <c r="Q123" i="8" s="1"/>
  <c r="F124" i="8"/>
  <c r="Q124" i="8" s="1"/>
  <c r="F125" i="8"/>
  <c r="Q125" i="8" s="1"/>
  <c r="F126" i="8"/>
  <c r="Q126" i="8" s="1"/>
  <c r="F127" i="8"/>
  <c r="Q127" i="8" s="1"/>
  <c r="F128" i="8"/>
  <c r="Q128" i="8" s="1"/>
  <c r="F129" i="8"/>
  <c r="Q129" i="8" s="1"/>
  <c r="F130" i="8"/>
  <c r="Q130" i="8" s="1"/>
  <c r="F131" i="8"/>
  <c r="Q131" i="8" s="1"/>
  <c r="F132" i="8"/>
  <c r="Q132" i="8" s="1"/>
  <c r="F133" i="8"/>
  <c r="Q133" i="8" s="1"/>
  <c r="F134" i="8"/>
  <c r="Q134" i="8" s="1"/>
  <c r="F135" i="8"/>
  <c r="Q135" i="8" s="1"/>
  <c r="F136" i="8"/>
  <c r="Q136" i="8" s="1"/>
  <c r="F137" i="8"/>
  <c r="Q137" i="8" s="1"/>
  <c r="F138" i="8"/>
  <c r="Q138" i="8" s="1"/>
  <c r="F139" i="8"/>
  <c r="Q139" i="8" s="1"/>
  <c r="F140" i="8"/>
  <c r="Q140" i="8" s="1"/>
  <c r="F141" i="8"/>
  <c r="Q141" i="8" s="1"/>
  <c r="F142" i="8"/>
  <c r="Q142" i="8" s="1"/>
  <c r="F143" i="8"/>
  <c r="Q143" i="8" s="1"/>
  <c r="F144" i="8"/>
  <c r="Q144" i="8" s="1"/>
  <c r="F145" i="8"/>
  <c r="Q145" i="8" s="1"/>
  <c r="F146" i="8"/>
  <c r="Q146" i="8" s="1"/>
  <c r="F147" i="8"/>
  <c r="Q147" i="8" s="1"/>
  <c r="F148" i="8"/>
  <c r="Q148" i="8" s="1"/>
  <c r="F149" i="8"/>
  <c r="Q149" i="8" s="1"/>
  <c r="F150" i="8"/>
  <c r="Q150" i="8" s="1"/>
  <c r="F151" i="8"/>
  <c r="Q151" i="8" s="1"/>
  <c r="F152" i="8"/>
  <c r="Q152" i="8" s="1"/>
  <c r="F153" i="8"/>
  <c r="Q153" i="8" s="1"/>
  <c r="F154" i="8"/>
  <c r="Q154" i="8" s="1"/>
  <c r="F155" i="8"/>
  <c r="Q155" i="8" s="1"/>
  <c r="F156" i="8"/>
  <c r="Q156" i="8" s="1"/>
  <c r="F157" i="8"/>
  <c r="Q157" i="8" s="1"/>
  <c r="F158" i="8"/>
  <c r="Q158" i="8" s="1"/>
  <c r="F159" i="8"/>
  <c r="Q159" i="8" s="1"/>
  <c r="F160" i="8"/>
  <c r="Q160" i="8" s="1"/>
  <c r="F161" i="8"/>
  <c r="Q161" i="8" s="1"/>
  <c r="F162" i="8"/>
  <c r="Q162" i="8" s="1"/>
  <c r="F163" i="8"/>
  <c r="Q163" i="8" s="1"/>
  <c r="F164" i="8"/>
  <c r="Q164" i="8" s="1"/>
  <c r="F165" i="8"/>
  <c r="Q165" i="8" s="1"/>
  <c r="F166" i="8"/>
  <c r="Q166" i="8" s="1"/>
  <c r="F167" i="8"/>
  <c r="Q167" i="8" s="1"/>
  <c r="F168" i="8"/>
  <c r="Q168" i="8" s="1"/>
  <c r="F169" i="8"/>
  <c r="Q169" i="8" s="1"/>
  <c r="F170" i="8"/>
  <c r="Q170" i="8" s="1"/>
  <c r="F171" i="8"/>
  <c r="Q171" i="8" s="1"/>
  <c r="F172" i="8"/>
  <c r="Q172" i="8" s="1"/>
  <c r="F173" i="8"/>
  <c r="Q173" i="8" s="1"/>
  <c r="F174" i="8"/>
  <c r="Q174" i="8" s="1"/>
  <c r="F175" i="8"/>
  <c r="Q175" i="8" s="1"/>
  <c r="F176" i="8"/>
  <c r="Q176" i="8" s="1"/>
  <c r="F177" i="8"/>
  <c r="Q177" i="8" s="1"/>
  <c r="F178" i="8"/>
  <c r="Q178" i="8" s="1"/>
  <c r="F179" i="8"/>
  <c r="Q179" i="8" s="1"/>
  <c r="F180" i="8"/>
  <c r="Q180" i="8" s="1"/>
  <c r="F181" i="8"/>
  <c r="Q181" i="8" s="1"/>
  <c r="F182" i="8"/>
  <c r="Q182" i="8" s="1"/>
  <c r="F183" i="8"/>
  <c r="Q183" i="8" s="1"/>
  <c r="F184" i="8"/>
  <c r="Q184" i="8" s="1"/>
  <c r="F185" i="8"/>
  <c r="Q185" i="8" s="1"/>
  <c r="F186" i="8"/>
  <c r="Q186" i="8" s="1"/>
  <c r="F187" i="8"/>
  <c r="Q187" i="8" s="1"/>
  <c r="F188" i="8"/>
  <c r="Q188" i="8" s="1"/>
  <c r="F189" i="8"/>
  <c r="Q189" i="8" s="1"/>
  <c r="F190" i="8"/>
  <c r="Q190" i="8" s="1"/>
  <c r="F191" i="8"/>
  <c r="Q191" i="8" s="1"/>
  <c r="F192" i="8"/>
  <c r="Q192" i="8" s="1"/>
  <c r="F193" i="8"/>
  <c r="Q193" i="8" s="1"/>
  <c r="F194" i="8"/>
  <c r="Q194" i="8" s="1"/>
  <c r="F195" i="8"/>
  <c r="Q195" i="8" s="1"/>
  <c r="F196" i="8"/>
  <c r="Q196" i="8" s="1"/>
  <c r="F197" i="8"/>
  <c r="Q197" i="8" s="1"/>
  <c r="F198" i="8"/>
  <c r="Q198" i="8" s="1"/>
  <c r="F199" i="8"/>
  <c r="Q199" i="8" s="1"/>
  <c r="F200" i="8"/>
  <c r="Q200" i="8" s="1"/>
  <c r="F201" i="8"/>
  <c r="Q201" i="8" s="1"/>
  <c r="F202" i="8"/>
  <c r="Q202" i="8" s="1"/>
  <c r="F203" i="8"/>
  <c r="Q203" i="8" s="1"/>
  <c r="F204" i="8"/>
  <c r="Q204" i="8" s="1"/>
  <c r="F205" i="8"/>
  <c r="Q205" i="8" s="1"/>
  <c r="F206" i="8"/>
  <c r="Q206" i="8" s="1"/>
  <c r="F207" i="8"/>
  <c r="Q207" i="8" s="1"/>
  <c r="F208" i="8"/>
  <c r="Q208" i="8" s="1"/>
  <c r="F209" i="8"/>
  <c r="Q209" i="8" s="1"/>
  <c r="F210" i="8"/>
  <c r="Q210" i="8" s="1"/>
  <c r="F211" i="8"/>
  <c r="Q211" i="8" s="1"/>
  <c r="F212" i="8"/>
  <c r="Q212" i="8" s="1"/>
  <c r="F213" i="8"/>
  <c r="Q213" i="8" s="1"/>
  <c r="F214" i="8"/>
  <c r="Q214" i="8" s="1"/>
  <c r="F215" i="8"/>
  <c r="Q215" i="8" s="1"/>
  <c r="F216" i="8"/>
  <c r="Q216" i="8" s="1"/>
  <c r="F217" i="8"/>
  <c r="Q217" i="8" s="1"/>
  <c r="F218" i="8"/>
  <c r="Q218" i="8" s="1"/>
  <c r="F219" i="8"/>
  <c r="Q219" i="8" s="1"/>
  <c r="F220" i="8"/>
  <c r="Q220" i="8" s="1"/>
  <c r="F221" i="8"/>
  <c r="Q221" i="8" s="1"/>
  <c r="F222" i="8"/>
  <c r="Q222" i="8" s="1"/>
  <c r="F223" i="8"/>
  <c r="Q223" i="8" s="1"/>
  <c r="F224" i="8"/>
  <c r="Q224" i="8" s="1"/>
  <c r="F225" i="8"/>
  <c r="Q225" i="8" s="1"/>
  <c r="F226" i="8"/>
  <c r="Q226" i="8" s="1"/>
  <c r="F227" i="8"/>
  <c r="Q227" i="8" s="1"/>
  <c r="F228" i="8"/>
  <c r="Q228" i="8" s="1"/>
  <c r="F229" i="8"/>
  <c r="Q229" i="8" s="1"/>
  <c r="F230" i="8"/>
  <c r="Q230" i="8" s="1"/>
  <c r="F231" i="8"/>
  <c r="Q231" i="8" s="1"/>
  <c r="F232" i="8"/>
  <c r="Q232" i="8" s="1"/>
  <c r="F233" i="8"/>
  <c r="Q233" i="8" s="1"/>
  <c r="F234" i="8"/>
  <c r="Q234" i="8" s="1"/>
  <c r="F235" i="8"/>
  <c r="Q235" i="8" s="1"/>
  <c r="F236" i="8"/>
  <c r="Q236" i="8" s="1"/>
  <c r="F237" i="8"/>
  <c r="Q237" i="8" s="1"/>
  <c r="F238" i="8"/>
  <c r="Q238" i="8" s="1"/>
  <c r="F239" i="8"/>
  <c r="Q239" i="8" s="1"/>
  <c r="F240" i="8"/>
  <c r="Q240" i="8" s="1"/>
  <c r="F241" i="8"/>
  <c r="Q241" i="8" s="1"/>
  <c r="F242" i="8"/>
  <c r="Q242" i="8" s="1"/>
  <c r="F243" i="8"/>
  <c r="Q243" i="8" s="1"/>
  <c r="F244" i="8"/>
  <c r="Q244" i="8" s="1"/>
  <c r="F245" i="8"/>
  <c r="Q245" i="8" s="1"/>
  <c r="F246" i="8"/>
  <c r="Q246" i="8" s="1"/>
  <c r="F247" i="8"/>
  <c r="Q247" i="8" s="1"/>
  <c r="F248" i="8"/>
  <c r="Q248" i="8" s="1"/>
  <c r="F249" i="8"/>
  <c r="Q249" i="8" s="1"/>
  <c r="F250" i="8"/>
  <c r="Q250" i="8" s="1"/>
  <c r="F251" i="8"/>
  <c r="Q251" i="8" s="1"/>
  <c r="F252" i="8"/>
  <c r="Q252" i="8" s="1"/>
  <c r="F253" i="8"/>
  <c r="Q253" i="8" s="1"/>
  <c r="F254" i="8"/>
  <c r="Q254" i="8" s="1"/>
  <c r="F255" i="8"/>
  <c r="Q255" i="8" s="1"/>
  <c r="F256" i="8"/>
  <c r="Q256" i="8" s="1"/>
  <c r="F257" i="8"/>
  <c r="Q257" i="8" s="1"/>
  <c r="F258" i="8"/>
  <c r="Q258" i="8" s="1"/>
  <c r="F259" i="8"/>
  <c r="Q259" i="8" s="1"/>
  <c r="F260" i="8"/>
  <c r="Q260" i="8" s="1"/>
  <c r="F261" i="8"/>
  <c r="Q261" i="8" s="1"/>
  <c r="F262" i="8"/>
  <c r="Q262" i="8" s="1"/>
  <c r="F263" i="8"/>
  <c r="Q263" i="8" s="1"/>
  <c r="F264" i="8"/>
  <c r="Q264" i="8" s="1"/>
  <c r="F265" i="8"/>
  <c r="Q265" i="8" s="1"/>
  <c r="F266" i="8"/>
  <c r="Q266" i="8" s="1"/>
  <c r="F267" i="8"/>
  <c r="Q267" i="8" s="1"/>
  <c r="F268" i="8"/>
  <c r="Q268" i="8" s="1"/>
  <c r="F269" i="8"/>
  <c r="Q269" i="8" s="1"/>
  <c r="F270" i="8"/>
  <c r="Q270" i="8" s="1"/>
  <c r="F271" i="8"/>
  <c r="Q271" i="8" s="1"/>
  <c r="F272" i="8"/>
  <c r="Q272" i="8" s="1"/>
  <c r="F273" i="8"/>
  <c r="Q273" i="8" s="1"/>
  <c r="F274" i="8"/>
  <c r="Q274" i="8" s="1"/>
  <c r="F275" i="8"/>
  <c r="Q275" i="8" s="1"/>
  <c r="F276" i="8"/>
  <c r="Q276" i="8" s="1"/>
  <c r="F277" i="8"/>
  <c r="Q277" i="8" s="1"/>
  <c r="F278" i="8"/>
  <c r="Q278" i="8" s="1"/>
  <c r="F279" i="8"/>
  <c r="Q279" i="8" s="1"/>
  <c r="F280" i="8"/>
  <c r="Q280" i="8" s="1"/>
  <c r="F281" i="8"/>
  <c r="Q281" i="8" s="1"/>
  <c r="F282" i="8"/>
  <c r="Q282" i="8" s="1"/>
  <c r="F283" i="8"/>
  <c r="Q283" i="8" s="1"/>
  <c r="F284" i="8"/>
  <c r="Q284" i="8" s="1"/>
  <c r="F8" i="8"/>
  <c r="Q8" i="8" s="1"/>
  <c r="K163" i="55"/>
  <c r="K164" i="55"/>
  <c r="K162" i="55"/>
  <c r="K158" i="55"/>
  <c r="K159" i="55"/>
  <c r="K160" i="55"/>
  <c r="K157" i="55"/>
  <c r="K155" i="55"/>
  <c r="K140" i="55"/>
  <c r="K141" i="55"/>
  <c r="K142" i="55"/>
  <c r="K143" i="55"/>
  <c r="K144" i="55"/>
  <c r="K145" i="55"/>
  <c r="K146" i="55"/>
  <c r="K147" i="55"/>
  <c r="K148" i="55"/>
  <c r="K149" i="55"/>
  <c r="K150" i="55"/>
  <c r="K151" i="55"/>
  <c r="K139" i="55"/>
  <c r="K133" i="55"/>
  <c r="K134" i="55"/>
  <c r="K135" i="55"/>
  <c r="K132" i="55"/>
  <c r="K127" i="55"/>
  <c r="K128" i="55"/>
  <c r="K126" i="55"/>
  <c r="K120" i="55"/>
  <c r="K121" i="55"/>
  <c r="K122" i="55"/>
  <c r="K119" i="55"/>
  <c r="K116" i="55"/>
  <c r="K117" i="55"/>
  <c r="K115" i="55"/>
  <c r="K96" i="55"/>
  <c r="K97" i="55"/>
  <c r="K98" i="55"/>
  <c r="K99" i="55"/>
  <c r="K100" i="55"/>
  <c r="K101" i="55"/>
  <c r="K102" i="55"/>
  <c r="K103" i="55"/>
  <c r="K104" i="55"/>
  <c r="K105" i="55"/>
  <c r="K106" i="55"/>
  <c r="K107" i="55"/>
  <c r="K108" i="55"/>
  <c r="K109" i="55"/>
  <c r="K110" i="55"/>
  <c r="K111" i="55"/>
  <c r="K95" i="55"/>
  <c r="K90" i="55"/>
  <c r="K91" i="55"/>
  <c r="K89" i="55"/>
  <c r="K85" i="55"/>
  <c r="K84" i="55"/>
  <c r="K82" i="55"/>
  <c r="K81" i="55"/>
  <c r="K74" i="55"/>
  <c r="K75" i="55"/>
  <c r="K76" i="55"/>
  <c r="K77" i="55"/>
  <c r="K73" i="55"/>
  <c r="K70" i="55"/>
  <c r="K71" i="55"/>
  <c r="K69" i="55"/>
  <c r="K52" i="55"/>
  <c r="K53" i="55"/>
  <c r="K54" i="55"/>
  <c r="K55" i="55"/>
  <c r="K56" i="55"/>
  <c r="K57" i="55"/>
  <c r="K58" i="55"/>
  <c r="K59" i="55"/>
  <c r="K60" i="55"/>
  <c r="K61" i="55"/>
  <c r="K62" i="55"/>
  <c r="K63" i="55"/>
  <c r="K64" i="55"/>
  <c r="K65" i="55"/>
  <c r="K51" i="55"/>
  <c r="K46" i="55"/>
  <c r="K47" i="55"/>
  <c r="K48" i="55"/>
  <c r="K49" i="55"/>
  <c r="K45" i="55"/>
  <c r="K32" i="55"/>
  <c r="K33" i="55"/>
  <c r="K34" i="55"/>
  <c r="K35" i="55"/>
  <c r="K36" i="55"/>
  <c r="K37" i="55"/>
  <c r="K38" i="55"/>
  <c r="K39" i="55"/>
  <c r="K40" i="55"/>
  <c r="K41" i="55"/>
  <c r="K31" i="55"/>
  <c r="K29" i="55"/>
  <c r="K28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10" i="55"/>
  <c r="A10" i="54" l="1"/>
  <c r="A11" i="54"/>
  <c r="A12" i="54"/>
  <c r="A13" i="54"/>
  <c r="A14" i="54"/>
  <c r="A15" i="54"/>
  <c r="A16" i="54"/>
  <c r="A17" i="54"/>
  <c r="A18" i="54"/>
  <c r="A19" i="54"/>
  <c r="A20" i="54"/>
  <c r="A21" i="54"/>
  <c r="A22" i="54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81" i="54"/>
  <c r="A82" i="54"/>
  <c r="A83" i="54"/>
  <c r="A84" i="54"/>
  <c r="A85" i="54"/>
  <c r="A86" i="54"/>
  <c r="A87" i="54"/>
  <c r="A88" i="54"/>
  <c r="A89" i="54"/>
  <c r="A90" i="54"/>
  <c r="A91" i="54"/>
  <c r="A92" i="54"/>
  <c r="A93" i="54"/>
  <c r="A94" i="54"/>
  <c r="A95" i="54"/>
  <c r="A96" i="54"/>
  <c r="A97" i="54"/>
  <c r="A98" i="54"/>
  <c r="A99" i="54"/>
  <c r="A100" i="54"/>
  <c r="A101" i="54"/>
  <c r="A102" i="54"/>
  <c r="A103" i="54"/>
  <c r="A104" i="54"/>
  <c r="A105" i="54"/>
  <c r="A106" i="54"/>
  <c r="A107" i="54"/>
  <c r="A108" i="54"/>
  <c r="A109" i="54"/>
  <c r="A110" i="54"/>
  <c r="A111" i="54"/>
  <c r="A112" i="54"/>
  <c r="A113" i="54"/>
  <c r="A114" i="54"/>
  <c r="A115" i="54"/>
  <c r="A116" i="54"/>
  <c r="A117" i="54"/>
  <c r="A118" i="54"/>
  <c r="A119" i="54"/>
  <c r="A120" i="54"/>
  <c r="A121" i="54"/>
  <c r="A122" i="54"/>
  <c r="A123" i="54"/>
  <c r="A124" i="54"/>
  <c r="A125" i="54"/>
  <c r="A126" i="54"/>
  <c r="A127" i="54"/>
  <c r="A128" i="54"/>
  <c r="A129" i="54"/>
  <c r="A130" i="54"/>
  <c r="A131" i="54"/>
  <c r="A132" i="54"/>
  <c r="A133" i="54"/>
  <c r="A134" i="54"/>
  <c r="A9" i="54"/>
  <c r="A10" i="37"/>
  <c r="A11" i="37"/>
  <c r="A12" i="37"/>
  <c r="A13" i="37"/>
  <c r="A14" i="37"/>
  <c r="A15" i="37"/>
  <c r="A16" i="37"/>
  <c r="A17" i="37"/>
  <c r="A18" i="37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7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331" i="37"/>
  <c r="A332" i="37"/>
  <c r="A333" i="37"/>
  <c r="A334" i="37"/>
  <c r="A335" i="37"/>
  <c r="A336" i="37"/>
  <c r="A337" i="37"/>
  <c r="A338" i="37"/>
  <c r="A339" i="37"/>
  <c r="A340" i="37"/>
  <c r="A341" i="37"/>
  <c r="A342" i="37"/>
  <c r="A343" i="37"/>
  <c r="A344" i="37"/>
  <c r="A345" i="37"/>
  <c r="A346" i="37"/>
  <c r="A347" i="37"/>
  <c r="A348" i="37"/>
  <c r="A349" i="37"/>
  <c r="A350" i="37"/>
  <c r="A351" i="37"/>
  <c r="A352" i="37"/>
  <c r="A353" i="37"/>
  <c r="A354" i="37"/>
  <c r="A355" i="37"/>
  <c r="A356" i="37"/>
  <c r="A357" i="37"/>
  <c r="A358" i="37"/>
  <c r="A359" i="37"/>
  <c r="A360" i="37"/>
  <c r="A361" i="37"/>
  <c r="A362" i="37"/>
  <c r="A363" i="37"/>
  <c r="A364" i="37"/>
  <c r="A365" i="37"/>
  <c r="A366" i="37"/>
  <c r="A367" i="37"/>
  <c r="A368" i="37"/>
  <c r="A369" i="37"/>
  <c r="A370" i="37"/>
  <c r="A371" i="37"/>
  <c r="A372" i="37"/>
  <c r="A373" i="37"/>
  <c r="A374" i="37"/>
  <c r="A375" i="37"/>
  <c r="A376" i="37"/>
  <c r="A377" i="37"/>
  <c r="A378" i="37"/>
  <c r="A379" i="37"/>
  <c r="A380" i="37"/>
  <c r="A381" i="37"/>
  <c r="A382" i="37"/>
  <c r="A383" i="37"/>
  <c r="A384" i="37"/>
  <c r="A385" i="37"/>
  <c r="A386" i="37"/>
  <c r="A387" i="37"/>
  <c r="A388" i="37"/>
  <c r="A389" i="37"/>
  <c r="A390" i="37"/>
  <c r="A391" i="37"/>
  <c r="A392" i="37"/>
  <c r="A393" i="37"/>
  <c r="A394" i="37"/>
  <c r="A395" i="37"/>
  <c r="A396" i="37"/>
  <c r="A397" i="37"/>
  <c r="A398" i="37"/>
  <c r="A399" i="37"/>
  <c r="A400" i="37"/>
  <c r="A401" i="37"/>
  <c r="A402" i="37"/>
  <c r="A403" i="37"/>
  <c r="A404" i="37"/>
  <c r="A405" i="37"/>
  <c r="A406" i="37"/>
  <c r="A407" i="37"/>
  <c r="A408" i="37"/>
  <c r="A409" i="37"/>
  <c r="A410" i="37"/>
  <c r="A411" i="37"/>
  <c r="A412" i="37"/>
  <c r="A413" i="37"/>
  <c r="A414" i="37"/>
  <c r="A415" i="37"/>
  <c r="A416" i="37"/>
  <c r="A417" i="37"/>
  <c r="A418" i="37"/>
  <c r="A419" i="37"/>
  <c r="A420" i="37"/>
  <c r="A421" i="37"/>
  <c r="A422" i="37"/>
  <c r="A423" i="37"/>
  <c r="A424" i="37"/>
  <c r="A425" i="37"/>
  <c r="A426" i="37"/>
  <c r="A427" i="37"/>
  <c r="A428" i="37"/>
  <c r="A429" i="37"/>
  <c r="A430" i="37"/>
  <c r="A431" i="37"/>
  <c r="A432" i="37"/>
  <c r="A433" i="37"/>
  <c r="A434" i="37"/>
  <c r="A435" i="37"/>
  <c r="A436" i="37"/>
  <c r="A437" i="37"/>
  <c r="A438" i="37"/>
  <c r="A439" i="37"/>
  <c r="A440" i="37"/>
  <c r="A441" i="37"/>
  <c r="A442" i="37"/>
  <c r="A443" i="37"/>
  <c r="A444" i="37"/>
  <c r="A445" i="37"/>
  <c r="A446" i="37"/>
  <c r="A447" i="37"/>
  <c r="A448" i="37"/>
  <c r="A449" i="37"/>
  <c r="A450" i="37"/>
  <c r="A451" i="37"/>
  <c r="A452" i="37"/>
  <c r="A453" i="37"/>
  <c r="A454" i="37"/>
  <c r="A455" i="37"/>
  <c r="A456" i="37"/>
  <c r="A457" i="37"/>
  <c r="A458" i="37"/>
  <c r="A459" i="37"/>
  <c r="A460" i="37"/>
  <c r="A461" i="37"/>
  <c r="A462" i="37"/>
  <c r="A463" i="37"/>
  <c r="A464" i="37"/>
  <c r="A465" i="37"/>
  <c r="A466" i="37"/>
  <c r="A467" i="37"/>
  <c r="A468" i="37"/>
  <c r="A469" i="37"/>
  <c r="A470" i="37"/>
  <c r="A471" i="37"/>
  <c r="A472" i="37"/>
  <c r="A473" i="37"/>
  <c r="A474" i="37"/>
  <c r="A475" i="37"/>
  <c r="A476" i="37"/>
  <c r="A477" i="37"/>
  <c r="A478" i="37"/>
  <c r="A479" i="37"/>
  <c r="A480" i="37"/>
  <c r="A481" i="37"/>
  <c r="A482" i="37"/>
  <c r="A483" i="37"/>
  <c r="A484" i="37"/>
  <c r="A485" i="37"/>
  <c r="A486" i="37"/>
  <c r="A487" i="37"/>
  <c r="A488" i="37"/>
  <c r="A489" i="37"/>
  <c r="A490" i="37"/>
  <c r="A491" i="37"/>
  <c r="A492" i="37"/>
  <c r="A493" i="37"/>
  <c r="A494" i="37"/>
  <c r="A495" i="37"/>
  <c r="A9" i="37"/>
  <c r="A99" i="21"/>
  <c r="A13" i="32"/>
  <c r="A14" i="32"/>
  <c r="A15" i="32"/>
  <c r="A16" i="32"/>
  <c r="A17" i="32"/>
  <c r="A18" i="32"/>
  <c r="A19" i="32"/>
  <c r="A20" i="32"/>
  <c r="A21" i="32"/>
  <c r="A22" i="32"/>
  <c r="A23" i="32"/>
  <c r="A25" i="32"/>
  <c r="A26" i="32"/>
  <c r="A27" i="32"/>
  <c r="A28" i="32"/>
  <c r="A29" i="32"/>
  <c r="A30" i="32"/>
  <c r="A31" i="32"/>
  <c r="A32" i="32"/>
  <c r="A33" i="32"/>
  <c r="A34" i="32"/>
  <c r="A35" i="32"/>
  <c r="A36" i="32"/>
  <c r="A37" i="32"/>
  <c r="A38" i="32"/>
  <c r="A39" i="32"/>
  <c r="A40" i="32"/>
  <c r="A41" i="32"/>
  <c r="A42" i="32"/>
  <c r="A43" i="32"/>
  <c r="A44" i="32"/>
  <c r="A45" i="32"/>
  <c r="A46" i="32"/>
  <c r="A47" i="32"/>
  <c r="A48" i="32"/>
  <c r="A49" i="32"/>
  <c r="A50" i="32"/>
  <c r="A51" i="32"/>
  <c r="A52" i="32"/>
  <c r="A53" i="32"/>
  <c r="A54" i="32"/>
  <c r="A55" i="32"/>
  <c r="A56" i="32"/>
  <c r="A57" i="32"/>
  <c r="A58" i="32"/>
  <c r="A59" i="32"/>
  <c r="A60" i="32"/>
  <c r="A61" i="32"/>
  <c r="A62" i="32"/>
  <c r="A63" i="32"/>
  <c r="A64" i="32"/>
  <c r="A65" i="32"/>
  <c r="A66" i="32"/>
  <c r="A67" i="32"/>
  <c r="A68" i="32"/>
  <c r="A69" i="32"/>
  <c r="A70" i="32"/>
  <c r="A71" i="32"/>
  <c r="A72" i="32"/>
  <c r="A73" i="32"/>
  <c r="A74" i="32"/>
  <c r="A75" i="32"/>
  <c r="A76" i="32"/>
  <c r="A77" i="32"/>
  <c r="A78" i="32"/>
  <c r="A79" i="32"/>
  <c r="A80" i="32"/>
  <c r="A81" i="32"/>
  <c r="A82" i="32"/>
  <c r="A83" i="32"/>
  <c r="A84" i="32"/>
  <c r="A85" i="32"/>
  <c r="A86" i="32"/>
  <c r="A87" i="32"/>
  <c r="A88" i="32"/>
  <c r="A89" i="32"/>
  <c r="A90" i="32"/>
  <c r="A91" i="32"/>
  <c r="A92" i="32"/>
  <c r="A93" i="32"/>
  <c r="A94" i="32"/>
  <c r="A95" i="32"/>
  <c r="A96" i="32"/>
  <c r="A97" i="32"/>
  <c r="A98" i="32"/>
  <c r="A99" i="32"/>
  <c r="A100" i="32"/>
  <c r="A101" i="32"/>
  <c r="A102" i="32"/>
  <c r="A103" i="32"/>
  <c r="A104" i="32"/>
  <c r="A105" i="32"/>
  <c r="A106" i="32"/>
  <c r="A107" i="32"/>
  <c r="A108" i="32"/>
  <c r="A109" i="32"/>
  <c r="A110" i="32"/>
  <c r="A111" i="32"/>
  <c r="A112" i="32"/>
  <c r="A113" i="32"/>
  <c r="A114" i="32"/>
  <c r="A115" i="32"/>
  <c r="A116" i="32"/>
  <c r="A117" i="32"/>
  <c r="A118" i="32"/>
  <c r="A119" i="32"/>
  <c r="A120" i="32"/>
  <c r="A121" i="32"/>
  <c r="A122" i="32"/>
  <c r="A123" i="32"/>
  <c r="A124" i="32"/>
  <c r="A125" i="32"/>
  <c r="A126" i="32"/>
  <c r="A127" i="32"/>
  <c r="A128" i="32"/>
  <c r="A129" i="32"/>
  <c r="A130" i="32"/>
  <c r="A131" i="32"/>
  <c r="A132" i="32"/>
  <c r="A133" i="32"/>
  <c r="A134" i="32"/>
  <c r="A135" i="32"/>
  <c r="A136" i="32"/>
  <c r="A137" i="32"/>
  <c r="A138" i="32"/>
  <c r="A139" i="32"/>
  <c r="A140" i="32"/>
  <c r="A141" i="32"/>
  <c r="A142" i="32"/>
  <c r="A143" i="32"/>
  <c r="A144" i="32"/>
  <c r="A145" i="32"/>
  <c r="A146" i="32"/>
  <c r="A147" i="32"/>
  <c r="A148" i="32"/>
  <c r="A149" i="32"/>
  <c r="A150" i="32"/>
  <c r="A151" i="32"/>
  <c r="A152" i="32"/>
  <c r="A153" i="32"/>
  <c r="A154" i="32"/>
  <c r="A155" i="32"/>
  <c r="A156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169" i="32"/>
  <c r="A170" i="32"/>
  <c r="A171" i="32"/>
  <c r="A172" i="32"/>
  <c r="A173" i="32"/>
  <c r="A174" i="32"/>
  <c r="A175" i="32"/>
  <c r="A176" i="32"/>
  <c r="A177" i="32"/>
  <c r="A178" i="32"/>
  <c r="A179" i="32"/>
  <c r="A180" i="32"/>
  <c r="A181" i="32"/>
  <c r="A182" i="32"/>
  <c r="A183" i="32"/>
  <c r="A184" i="32"/>
  <c r="A185" i="32"/>
  <c r="A186" i="32"/>
  <c r="A187" i="32"/>
  <c r="A188" i="32"/>
  <c r="A189" i="32"/>
  <c r="A190" i="32"/>
  <c r="A191" i="32"/>
  <c r="A192" i="32"/>
  <c r="A193" i="32"/>
  <c r="A194" i="32"/>
  <c r="A195" i="32"/>
  <c r="A196" i="32"/>
  <c r="A197" i="32"/>
  <c r="A198" i="32"/>
  <c r="A199" i="32"/>
  <c r="A200" i="32"/>
  <c r="A201" i="32"/>
  <c r="A202" i="32"/>
  <c r="A203" i="32"/>
  <c r="A204" i="32"/>
  <c r="A205" i="32"/>
  <c r="A206" i="32"/>
  <c r="A207" i="32"/>
  <c r="A208" i="32"/>
  <c r="A209" i="32"/>
  <c r="A210" i="32"/>
  <c r="A211" i="32"/>
  <c r="A212" i="32"/>
  <c r="A213" i="32"/>
  <c r="A214" i="32"/>
  <c r="A215" i="32"/>
  <c r="A216" i="32"/>
  <c r="A217" i="32"/>
  <c r="A218" i="32"/>
  <c r="A219" i="32"/>
  <c r="A220" i="32"/>
  <c r="A221" i="32"/>
  <c r="A222" i="32"/>
  <c r="A223" i="32"/>
  <c r="A224" i="32"/>
  <c r="A225" i="32"/>
  <c r="A226" i="32"/>
  <c r="A227" i="32"/>
  <c r="A228" i="32"/>
  <c r="A229" i="32"/>
  <c r="A230" i="32"/>
  <c r="A231" i="32"/>
  <c r="A232" i="32"/>
  <c r="A233" i="32"/>
  <c r="A234" i="32"/>
  <c r="A235" i="32"/>
  <c r="A236" i="32"/>
  <c r="A8" i="21"/>
  <c r="M81" i="38" l="1"/>
  <c r="M80" i="38"/>
  <c r="M79" i="38"/>
  <c r="M78" i="38"/>
  <c r="M77" i="38"/>
  <c r="M76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61" i="38"/>
  <c r="M60" i="38"/>
  <c r="M59" i="38"/>
  <c r="M58" i="38"/>
  <c r="M57" i="38"/>
  <c r="M56" i="38"/>
  <c r="M55" i="38"/>
  <c r="M54" i="38"/>
  <c r="M53" i="38"/>
  <c r="M52" i="38"/>
  <c r="M51" i="38"/>
  <c r="M50" i="38"/>
  <c r="M49" i="38"/>
  <c r="M48" i="38"/>
  <c r="M47" i="38"/>
  <c r="M46" i="38"/>
  <c r="M45" i="38"/>
  <c r="M44" i="38"/>
  <c r="M43" i="38"/>
  <c r="M42" i="38"/>
  <c r="M41" i="38"/>
  <c r="M40" i="38"/>
  <c r="M39" i="38"/>
  <c r="M38" i="38"/>
  <c r="M37" i="38"/>
  <c r="M36" i="38"/>
  <c r="M35" i="38"/>
  <c r="M34" i="38"/>
  <c r="M33" i="38"/>
  <c r="M32" i="38"/>
  <c r="M31" i="38"/>
  <c r="M30" i="38"/>
  <c r="M29" i="38"/>
  <c r="M28" i="38"/>
  <c r="M27" i="38"/>
  <c r="M26" i="38"/>
  <c r="M25" i="38"/>
  <c r="M24" i="38"/>
  <c r="M23" i="38"/>
  <c r="M22" i="38"/>
  <c r="M21" i="38"/>
  <c r="M20" i="38"/>
  <c r="M19" i="38"/>
  <c r="M18" i="38"/>
  <c r="M17" i="38"/>
  <c r="M16" i="38"/>
  <c r="M15" i="38"/>
  <c r="M14" i="38"/>
  <c r="M13" i="38"/>
  <c r="M12" i="38"/>
  <c r="M10" i="38"/>
  <c r="M9" i="38"/>
  <c r="K142" i="29"/>
  <c r="K141" i="29"/>
  <c r="K140" i="29"/>
  <c r="K136" i="29"/>
  <c r="K135" i="29"/>
  <c r="K134" i="29"/>
  <c r="K133" i="29"/>
  <c r="K132" i="29"/>
  <c r="K131" i="29"/>
  <c r="K130" i="29"/>
  <c r="K129" i="29"/>
  <c r="K127" i="29"/>
  <c r="K126" i="29"/>
  <c r="K125" i="29"/>
  <c r="K121" i="29"/>
  <c r="K120" i="29"/>
  <c r="K119" i="29"/>
  <c r="K118" i="29"/>
  <c r="K117" i="29"/>
  <c r="K116" i="29"/>
  <c r="K115" i="29"/>
  <c r="K111" i="29"/>
  <c r="K110" i="29"/>
  <c r="K109" i="29"/>
  <c r="K108" i="29"/>
  <c r="K104" i="29"/>
  <c r="K103" i="29"/>
  <c r="K102" i="29"/>
  <c r="K101" i="29"/>
  <c r="K100" i="29"/>
  <c r="K99" i="29"/>
  <c r="K98" i="29"/>
  <c r="K97" i="29"/>
  <c r="K96" i="29"/>
  <c r="K95" i="29"/>
  <c r="K94" i="29"/>
  <c r="K93" i="29"/>
  <c r="K92" i="29"/>
  <c r="K91" i="29"/>
  <c r="K90" i="29"/>
  <c r="K89" i="29"/>
  <c r="K88" i="29"/>
  <c r="K87" i="29"/>
  <c r="K86" i="29"/>
  <c r="K85" i="29"/>
  <c r="K84" i="29"/>
  <c r="K83" i="29"/>
  <c r="K82" i="29"/>
  <c r="K80" i="29"/>
  <c r="K79" i="29"/>
  <c r="K78" i="29"/>
  <c r="K77" i="29"/>
  <c r="K76" i="29"/>
  <c r="K75" i="29"/>
  <c r="K74" i="29"/>
  <c r="K73" i="29"/>
  <c r="K72" i="29"/>
  <c r="K71" i="29"/>
  <c r="K70" i="29"/>
  <c r="K66" i="29"/>
  <c r="K65" i="29"/>
  <c r="K64" i="29"/>
  <c r="K60" i="29"/>
  <c r="K59" i="29"/>
  <c r="K58" i="29"/>
  <c r="K57" i="29"/>
  <c r="K56" i="29"/>
  <c r="K55" i="29"/>
  <c r="K51" i="29"/>
  <c r="K50" i="29"/>
  <c r="K49" i="29"/>
  <c r="K48" i="29"/>
  <c r="K47" i="29"/>
  <c r="K46" i="29"/>
  <c r="K45" i="29"/>
  <c r="K44" i="29"/>
  <c r="K43" i="29"/>
  <c r="K42" i="29"/>
  <c r="K41" i="29"/>
  <c r="K40" i="29"/>
  <c r="K39" i="29"/>
  <c r="K38" i="29"/>
  <c r="K37" i="29"/>
  <c r="K36" i="29"/>
  <c r="K35" i="29"/>
  <c r="K34" i="29"/>
  <c r="K33" i="29"/>
  <c r="K32" i="29"/>
  <c r="K28" i="29"/>
  <c r="K27" i="29"/>
  <c r="K26" i="29"/>
  <c r="K25" i="29"/>
  <c r="K24" i="29"/>
  <c r="K23" i="29"/>
  <c r="K19" i="29"/>
  <c r="K18" i="29"/>
  <c r="K17" i="29"/>
  <c r="K16" i="29"/>
  <c r="K15" i="29"/>
  <c r="K14" i="29"/>
  <c r="K13" i="29"/>
  <c r="K12" i="29"/>
  <c r="K11" i="29"/>
  <c r="K10" i="29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M69" i="22"/>
  <c r="M70" i="22"/>
  <c r="M71" i="22"/>
  <c r="M72" i="22"/>
  <c r="M73" i="22"/>
  <c r="M74" i="22"/>
  <c r="M75" i="22"/>
  <c r="M76" i="22"/>
  <c r="M77" i="22"/>
  <c r="M78" i="22"/>
  <c r="M79" i="22"/>
  <c r="M80" i="22"/>
  <c r="M81" i="22"/>
  <c r="M82" i="22"/>
  <c r="M83" i="22"/>
  <c r="M84" i="22"/>
  <c r="M85" i="22"/>
  <c r="M86" i="22"/>
  <c r="M87" i="22"/>
  <c r="M88" i="22"/>
  <c r="M89" i="22"/>
  <c r="M90" i="22"/>
  <c r="M91" i="22"/>
  <c r="M92" i="22"/>
  <c r="M93" i="22"/>
  <c r="M94" i="22"/>
  <c r="M95" i="22"/>
  <c r="M96" i="22"/>
  <c r="M97" i="22"/>
  <c r="M98" i="22"/>
  <c r="M99" i="22"/>
  <c r="M9" i="22"/>
  <c r="M8" i="22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8" i="10"/>
  <c r="I134" i="54"/>
  <c r="I133" i="54"/>
  <c r="I132" i="54"/>
  <c r="I131" i="54"/>
  <c r="I130" i="54"/>
  <c r="I129" i="54"/>
  <c r="I128" i="54"/>
  <c r="I127" i="54"/>
  <c r="I126" i="54"/>
  <c r="I125" i="54"/>
  <c r="I124" i="54"/>
  <c r="I123" i="54"/>
  <c r="I122" i="54"/>
  <c r="I121" i="54"/>
  <c r="I120" i="54"/>
  <c r="I119" i="54"/>
  <c r="I118" i="54"/>
  <c r="I117" i="54"/>
  <c r="I116" i="54"/>
  <c r="I115" i="54"/>
  <c r="I114" i="54"/>
  <c r="I113" i="54"/>
  <c r="I112" i="54"/>
  <c r="I111" i="54"/>
  <c r="I110" i="54"/>
  <c r="I109" i="54"/>
  <c r="I108" i="54"/>
  <c r="I107" i="54"/>
  <c r="I106" i="54"/>
  <c r="I105" i="54"/>
  <c r="I104" i="54"/>
  <c r="I103" i="54"/>
  <c r="I102" i="54"/>
  <c r="I101" i="54"/>
  <c r="I100" i="54"/>
  <c r="I99" i="54"/>
  <c r="I98" i="54"/>
  <c r="I97" i="54"/>
  <c r="I96" i="54"/>
  <c r="I95" i="54"/>
  <c r="I94" i="54"/>
  <c r="I93" i="54"/>
  <c r="I92" i="54"/>
  <c r="I91" i="54"/>
  <c r="I90" i="54"/>
  <c r="I89" i="54"/>
  <c r="I88" i="54"/>
  <c r="I87" i="54"/>
  <c r="I86" i="54"/>
  <c r="I85" i="54"/>
  <c r="I84" i="54"/>
  <c r="I83" i="54"/>
  <c r="I82" i="54"/>
  <c r="I81" i="54"/>
  <c r="I80" i="54"/>
  <c r="I79" i="54"/>
  <c r="I78" i="54"/>
  <c r="I77" i="54"/>
  <c r="I76" i="54"/>
  <c r="I75" i="54"/>
  <c r="I74" i="54"/>
  <c r="I73" i="54"/>
  <c r="I72" i="54"/>
  <c r="I71" i="54"/>
  <c r="I70" i="54"/>
  <c r="I69" i="54"/>
  <c r="I68" i="54"/>
  <c r="I67" i="54"/>
  <c r="I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3" i="54"/>
  <c r="I52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9" i="54"/>
  <c r="I38" i="54"/>
  <c r="I37" i="54"/>
  <c r="I36" i="54"/>
  <c r="I35" i="54"/>
  <c r="I34" i="54"/>
  <c r="I33" i="54"/>
  <c r="I32" i="54"/>
  <c r="I31" i="54"/>
  <c r="I30" i="54"/>
  <c r="I29" i="54"/>
  <c r="I28" i="54"/>
  <c r="I27" i="54"/>
  <c r="I26" i="54"/>
  <c r="I25" i="54"/>
  <c r="I24" i="54"/>
  <c r="I23" i="54"/>
  <c r="I22" i="54"/>
  <c r="I21" i="54"/>
  <c r="I20" i="54"/>
  <c r="I19" i="54"/>
  <c r="I18" i="54"/>
  <c r="I17" i="54"/>
  <c r="I16" i="54"/>
  <c r="I15" i="54"/>
  <c r="I14" i="54"/>
  <c r="I13" i="54"/>
  <c r="I12" i="54"/>
  <c r="I11" i="54"/>
  <c r="I10" i="54"/>
  <c r="I9" i="54"/>
  <c r="I495" i="37"/>
  <c r="I494" i="37"/>
  <c r="I493" i="37"/>
  <c r="I492" i="37"/>
  <c r="I491" i="37"/>
  <c r="I490" i="37"/>
  <c r="I489" i="37"/>
  <c r="I488" i="37"/>
  <c r="I487" i="37"/>
  <c r="I486" i="37"/>
  <c r="I485" i="37"/>
  <c r="I484" i="37"/>
  <c r="I483" i="37"/>
  <c r="I482" i="37"/>
  <c r="I481" i="37"/>
  <c r="I480" i="37"/>
  <c r="I479" i="37"/>
  <c r="I478" i="37"/>
  <c r="I477" i="37"/>
  <c r="I476" i="37"/>
  <c r="I475" i="37"/>
  <c r="I474" i="37"/>
  <c r="I473" i="37"/>
  <c r="I472" i="37"/>
  <c r="I471" i="37"/>
  <c r="I470" i="37"/>
  <c r="I469" i="37"/>
  <c r="I468" i="37"/>
  <c r="I467" i="37"/>
  <c r="I466" i="37"/>
  <c r="I465" i="37"/>
  <c r="I464" i="37"/>
  <c r="I463" i="37"/>
  <c r="I462" i="37"/>
  <c r="I461" i="37"/>
  <c r="I460" i="37"/>
  <c r="I459" i="37"/>
  <c r="I458" i="37"/>
  <c r="I457" i="37"/>
  <c r="I456" i="37"/>
  <c r="I455" i="37"/>
  <c r="I454" i="37"/>
  <c r="I453" i="37"/>
  <c r="I452" i="37"/>
  <c r="I451" i="37"/>
  <c r="I450" i="37"/>
  <c r="I449" i="37"/>
  <c r="I448" i="37"/>
  <c r="I447" i="37"/>
  <c r="I446" i="37"/>
  <c r="I445" i="37"/>
  <c r="I444" i="37"/>
  <c r="I443" i="37"/>
  <c r="I442" i="37"/>
  <c r="I441" i="37"/>
  <c r="I440" i="37"/>
  <c r="I439" i="37"/>
  <c r="I438" i="37"/>
  <c r="I437" i="37"/>
  <c r="I436" i="37"/>
  <c r="I435" i="37"/>
  <c r="I434" i="37"/>
  <c r="I433" i="37"/>
  <c r="I432" i="37"/>
  <c r="I431" i="37"/>
  <c r="I430" i="37"/>
  <c r="I429" i="37"/>
  <c r="I428" i="37"/>
  <c r="I427" i="37"/>
  <c r="I426" i="37"/>
  <c r="I425" i="37"/>
  <c r="I424" i="37"/>
  <c r="I423" i="37"/>
  <c r="I422" i="37"/>
  <c r="I421" i="37"/>
  <c r="I420" i="37"/>
  <c r="I419" i="37"/>
  <c r="I418" i="37"/>
  <c r="I417" i="37"/>
  <c r="I416" i="37"/>
  <c r="I415" i="37"/>
  <c r="I414" i="37"/>
  <c r="I413" i="37"/>
  <c r="I412" i="37"/>
  <c r="I411" i="37"/>
  <c r="I410" i="37"/>
  <c r="I409" i="37"/>
  <c r="I408" i="37"/>
  <c r="I407" i="37"/>
  <c r="I406" i="37"/>
  <c r="I405" i="37"/>
  <c r="I404" i="37"/>
  <c r="I403" i="37"/>
  <c r="I402" i="37"/>
  <c r="I401" i="37"/>
  <c r="I400" i="37"/>
  <c r="I399" i="37"/>
  <c r="I398" i="37"/>
  <c r="I397" i="37"/>
  <c r="I396" i="37"/>
  <c r="I395" i="37"/>
  <c r="I394" i="37"/>
  <c r="I393" i="37"/>
  <c r="I392" i="37"/>
  <c r="I391" i="37"/>
  <c r="I390" i="37"/>
  <c r="I389" i="37"/>
  <c r="I388" i="37"/>
  <c r="I387" i="37"/>
  <c r="I386" i="37"/>
  <c r="I385" i="37"/>
  <c r="I384" i="37"/>
  <c r="I383" i="37"/>
  <c r="I382" i="37"/>
  <c r="I381" i="37"/>
  <c r="I380" i="37"/>
  <c r="I379" i="37"/>
  <c r="I378" i="37"/>
  <c r="I377" i="37"/>
  <c r="I376" i="37"/>
  <c r="I375" i="37"/>
  <c r="I374" i="37"/>
  <c r="I373" i="37"/>
  <c r="I372" i="37"/>
  <c r="I371" i="37"/>
  <c r="I370" i="37"/>
  <c r="I369" i="37"/>
  <c r="I368" i="37"/>
  <c r="I367" i="37"/>
  <c r="I366" i="37"/>
  <c r="I365" i="37"/>
  <c r="I364" i="37"/>
  <c r="I363" i="37"/>
  <c r="I362" i="37"/>
  <c r="I361" i="37"/>
  <c r="I360" i="37"/>
  <c r="I359" i="37"/>
  <c r="I358" i="37"/>
  <c r="I357" i="37"/>
  <c r="I356" i="37"/>
  <c r="I355" i="37"/>
  <c r="I354" i="37"/>
  <c r="I353" i="37"/>
  <c r="I352" i="37"/>
  <c r="I351" i="37"/>
  <c r="I350" i="37"/>
  <c r="I349" i="37"/>
  <c r="I348" i="37"/>
  <c r="I347" i="37"/>
  <c r="I346" i="37"/>
  <c r="I345" i="37"/>
  <c r="I344" i="37"/>
  <c r="I343" i="37"/>
  <c r="I342" i="37"/>
  <c r="I341" i="37"/>
  <c r="I340" i="37"/>
  <c r="I339" i="37"/>
  <c r="I338" i="37"/>
  <c r="I337" i="37"/>
  <c r="I336" i="37"/>
  <c r="I335" i="37"/>
  <c r="I334" i="37"/>
  <c r="I333" i="37"/>
  <c r="I332" i="37"/>
  <c r="I331" i="37"/>
  <c r="I330" i="37"/>
  <c r="I329" i="37"/>
  <c r="I328" i="37"/>
  <c r="I327" i="37"/>
  <c r="I326" i="37"/>
  <c r="I325" i="37"/>
  <c r="I324" i="37"/>
  <c r="I323" i="37"/>
  <c r="I322" i="37"/>
  <c r="I321" i="37"/>
  <c r="I320" i="37"/>
  <c r="I319" i="37"/>
  <c r="I318" i="37"/>
  <c r="I317" i="37"/>
  <c r="I316" i="37"/>
  <c r="I315" i="37"/>
  <c r="I314" i="37"/>
  <c r="I313" i="37"/>
  <c r="I312" i="37"/>
  <c r="I311" i="37"/>
  <c r="I310" i="37"/>
  <c r="I309" i="37"/>
  <c r="I308" i="37"/>
  <c r="I307" i="37"/>
  <c r="I306" i="37"/>
  <c r="I305" i="37"/>
  <c r="I304" i="37"/>
  <c r="I303" i="37"/>
  <c r="I302" i="37"/>
  <c r="I301" i="37"/>
  <c r="I300" i="37"/>
  <c r="I299" i="37"/>
  <c r="I298" i="37"/>
  <c r="I297" i="37"/>
  <c r="I296" i="37"/>
  <c r="I295" i="37"/>
  <c r="I294" i="37"/>
  <c r="I293" i="37"/>
  <c r="I292" i="37"/>
  <c r="I291" i="37"/>
  <c r="I290" i="37"/>
  <c r="I289" i="37"/>
  <c r="I288" i="37"/>
  <c r="I287" i="37"/>
  <c r="I286" i="37"/>
  <c r="I285" i="37"/>
  <c r="I284" i="37"/>
  <c r="I283" i="37"/>
  <c r="I282" i="37"/>
  <c r="I281" i="37"/>
  <c r="I280" i="37"/>
  <c r="I279" i="37"/>
  <c r="I278" i="37"/>
  <c r="I277" i="37"/>
  <c r="I276" i="37"/>
  <c r="I275" i="37"/>
  <c r="I274" i="37"/>
  <c r="I273" i="37"/>
  <c r="I272" i="37"/>
  <c r="I271" i="37"/>
  <c r="I270" i="37"/>
  <c r="I269" i="37"/>
  <c r="I268" i="37"/>
  <c r="I267" i="37"/>
  <c r="I266" i="37"/>
  <c r="I265" i="37"/>
  <c r="I264" i="37"/>
  <c r="I263" i="37"/>
  <c r="I262" i="37"/>
  <c r="I261" i="37"/>
  <c r="I260" i="37"/>
  <c r="I259" i="37"/>
  <c r="I258" i="37"/>
  <c r="I257" i="37"/>
  <c r="I256" i="37"/>
  <c r="I255" i="37"/>
  <c r="I254" i="37"/>
  <c r="I253" i="37"/>
  <c r="I252" i="37"/>
  <c r="I251" i="37"/>
  <c r="I250" i="37"/>
  <c r="I249" i="37"/>
  <c r="I248" i="37"/>
  <c r="I247" i="37"/>
  <c r="I246" i="37"/>
  <c r="I245" i="37"/>
  <c r="I244" i="37"/>
  <c r="I243" i="37"/>
  <c r="I242" i="37"/>
  <c r="I241" i="37"/>
  <c r="I240" i="37"/>
  <c r="I239" i="37"/>
  <c r="I238" i="37"/>
  <c r="I237" i="37"/>
  <c r="I236" i="37"/>
  <c r="I235" i="37"/>
  <c r="I234" i="37"/>
  <c r="I233" i="37"/>
  <c r="I232" i="37"/>
  <c r="I231" i="37"/>
  <c r="I230" i="37"/>
  <c r="I229" i="37"/>
  <c r="I228" i="37"/>
  <c r="I227" i="37"/>
  <c r="I226" i="37"/>
  <c r="I225" i="37"/>
  <c r="I224" i="37"/>
  <c r="I223" i="37"/>
  <c r="I222" i="37"/>
  <c r="I221" i="37"/>
  <c r="I220" i="37"/>
  <c r="I219" i="37"/>
  <c r="I218" i="37"/>
  <c r="I217" i="37"/>
  <c r="I216" i="37"/>
  <c r="I215" i="37"/>
  <c r="I214" i="37"/>
  <c r="I213" i="37"/>
  <c r="I212" i="37"/>
  <c r="I211" i="37"/>
  <c r="I210" i="37"/>
  <c r="I209" i="37"/>
  <c r="I208" i="37"/>
  <c r="I207" i="37"/>
  <c r="I206" i="37"/>
  <c r="I205" i="37"/>
  <c r="I204" i="37"/>
  <c r="I203" i="37"/>
  <c r="I202" i="37"/>
  <c r="I201" i="37"/>
  <c r="I200" i="37"/>
  <c r="I199" i="37"/>
  <c r="I198" i="37"/>
  <c r="I197" i="37"/>
  <c r="I196" i="37"/>
  <c r="I195" i="37"/>
  <c r="I194" i="37"/>
  <c r="I193" i="37"/>
  <c r="I192" i="37"/>
  <c r="I191" i="37"/>
  <c r="I190" i="37"/>
  <c r="I189" i="37"/>
  <c r="I188" i="37"/>
  <c r="I187" i="37"/>
  <c r="I186" i="37"/>
  <c r="I185" i="37"/>
  <c r="I184" i="37"/>
  <c r="I183" i="37"/>
  <c r="I182" i="37"/>
  <c r="I181" i="37"/>
  <c r="I180" i="37"/>
  <c r="I179" i="37"/>
  <c r="I178" i="37"/>
  <c r="I177" i="37"/>
  <c r="I176" i="37"/>
  <c r="I175" i="37"/>
  <c r="I174" i="37"/>
  <c r="I173" i="37"/>
  <c r="I172" i="37"/>
  <c r="I171" i="37"/>
  <c r="I170" i="37"/>
  <c r="I169" i="37"/>
  <c r="I168" i="37"/>
  <c r="I167" i="37"/>
  <c r="I166" i="37"/>
  <c r="I165" i="37"/>
  <c r="I164" i="37"/>
  <c r="I163" i="37"/>
  <c r="I162" i="37"/>
  <c r="I161" i="37"/>
  <c r="I160" i="37"/>
  <c r="I159" i="37"/>
  <c r="I158" i="37"/>
  <c r="I157" i="37"/>
  <c r="I156" i="37"/>
  <c r="I155" i="37"/>
  <c r="I154" i="37"/>
  <c r="I153" i="37"/>
  <c r="I152" i="37"/>
  <c r="I151" i="37"/>
  <c r="I150" i="37"/>
  <c r="I149" i="37"/>
  <c r="I148" i="37"/>
  <c r="I147" i="37"/>
  <c r="I146" i="37"/>
  <c r="I145" i="37"/>
  <c r="I144" i="37"/>
  <c r="I143" i="37"/>
  <c r="I142" i="37"/>
  <c r="I141" i="37"/>
  <c r="I140" i="37"/>
  <c r="I139" i="37"/>
  <c r="I138" i="37"/>
  <c r="I137" i="37"/>
  <c r="I136" i="37"/>
  <c r="I135" i="37"/>
  <c r="I134" i="37"/>
  <c r="I133" i="37"/>
  <c r="I132" i="37"/>
  <c r="I131" i="37"/>
  <c r="I130" i="37"/>
  <c r="I129" i="37"/>
  <c r="I128" i="37"/>
  <c r="I127" i="37"/>
  <c r="I126" i="37"/>
  <c r="I125" i="37"/>
  <c r="I124" i="37"/>
  <c r="I123" i="37"/>
  <c r="I122" i="37"/>
  <c r="I121" i="37"/>
  <c r="I120" i="37"/>
  <c r="I119" i="37"/>
  <c r="I118" i="37"/>
  <c r="I117" i="37"/>
  <c r="I116" i="37"/>
  <c r="I115" i="37"/>
  <c r="I114" i="37"/>
  <c r="I113" i="37"/>
  <c r="I112" i="37"/>
  <c r="I111" i="37"/>
  <c r="I110" i="37"/>
  <c r="I109" i="37"/>
  <c r="I108" i="37"/>
  <c r="I107" i="37"/>
  <c r="I106" i="37"/>
  <c r="I105" i="37"/>
  <c r="I104" i="37"/>
  <c r="I103" i="37"/>
  <c r="I102" i="37"/>
  <c r="I101" i="37"/>
  <c r="I100" i="37"/>
  <c r="I99" i="37"/>
  <c r="I98" i="37"/>
  <c r="I97" i="37"/>
  <c r="I96" i="37"/>
  <c r="I95" i="37"/>
  <c r="I94" i="37"/>
  <c r="I93" i="37"/>
  <c r="I92" i="37"/>
  <c r="I91" i="37"/>
  <c r="I90" i="37"/>
  <c r="I89" i="37"/>
  <c r="I88" i="37"/>
  <c r="I87" i="37"/>
  <c r="I86" i="37"/>
  <c r="I85" i="37"/>
  <c r="I84" i="37"/>
  <c r="I83" i="37"/>
  <c r="I82" i="37"/>
  <c r="I81" i="37"/>
  <c r="I80" i="37"/>
  <c r="I79" i="37"/>
  <c r="I78" i="37"/>
  <c r="I77" i="37"/>
  <c r="I76" i="37"/>
  <c r="I75" i="37"/>
  <c r="I74" i="37"/>
  <c r="I73" i="37"/>
  <c r="I72" i="37"/>
  <c r="I71" i="37"/>
  <c r="I70" i="37"/>
  <c r="I69" i="37"/>
  <c r="I68" i="37"/>
  <c r="I67" i="37"/>
  <c r="I66" i="37"/>
  <c r="I65" i="37"/>
  <c r="I64" i="37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9" i="37"/>
  <c r="I29" i="46"/>
  <c r="I28" i="46"/>
  <c r="I27" i="46"/>
  <c r="I26" i="46"/>
  <c r="I25" i="46"/>
  <c r="I24" i="46"/>
  <c r="I23" i="46"/>
  <c r="I22" i="46"/>
  <c r="I21" i="46"/>
  <c r="I20" i="46"/>
  <c r="I19" i="46"/>
  <c r="I18" i="46"/>
  <c r="I17" i="46"/>
  <c r="I16" i="46"/>
  <c r="I15" i="46"/>
  <c r="I14" i="46"/>
  <c r="I13" i="46"/>
  <c r="I12" i="46"/>
  <c r="I11" i="46"/>
  <c r="I10" i="46"/>
  <c r="I9" i="46"/>
  <c r="I8" i="46"/>
  <c r="I15" i="45"/>
  <c r="I14" i="45"/>
  <c r="I13" i="45"/>
  <c r="I12" i="45"/>
  <c r="I11" i="45"/>
  <c r="I10" i="45"/>
  <c r="I9" i="45"/>
  <c r="I8" i="45"/>
  <c r="I14" i="40"/>
  <c r="I13" i="40"/>
  <c r="I12" i="40"/>
  <c r="I11" i="40"/>
  <c r="I10" i="40"/>
  <c r="I9" i="40"/>
  <c r="I12" i="33"/>
  <c r="I11" i="33"/>
  <c r="I10" i="33"/>
  <c r="I32" i="39"/>
  <c r="I31" i="39"/>
  <c r="I30" i="39"/>
  <c r="I29" i="39"/>
  <c r="I28" i="39"/>
  <c r="I27" i="39"/>
  <c r="I26" i="39"/>
  <c r="I25" i="39"/>
  <c r="I24" i="39"/>
  <c r="I23" i="39"/>
  <c r="I22" i="39"/>
  <c r="I21" i="39"/>
  <c r="I20" i="39"/>
  <c r="I19" i="39"/>
  <c r="I18" i="39"/>
  <c r="I17" i="39"/>
  <c r="I16" i="39"/>
  <c r="I15" i="39"/>
  <c r="I14" i="39"/>
  <c r="I13" i="39"/>
  <c r="I12" i="39"/>
  <c r="I11" i="39"/>
  <c r="I10" i="39"/>
  <c r="I9" i="39"/>
  <c r="I91" i="34"/>
  <c r="I90" i="34"/>
  <c r="I89" i="34"/>
  <c r="I88" i="34"/>
  <c r="I87" i="34"/>
  <c r="I86" i="34"/>
  <c r="I85" i="34"/>
  <c r="I84" i="34"/>
  <c r="I83" i="34"/>
  <c r="I82" i="34"/>
  <c r="I81" i="34"/>
  <c r="I80" i="34"/>
  <c r="I79" i="34"/>
  <c r="I78" i="34"/>
  <c r="I77" i="34"/>
  <c r="I76" i="34"/>
  <c r="I75" i="34"/>
  <c r="I74" i="34"/>
  <c r="I73" i="34"/>
  <c r="I72" i="34"/>
  <c r="I71" i="34"/>
  <c r="I70" i="34"/>
  <c r="I69" i="34"/>
  <c r="I68" i="34"/>
  <c r="I67" i="34"/>
  <c r="I66" i="34"/>
  <c r="I65" i="34"/>
  <c r="I64" i="34"/>
  <c r="I63" i="34"/>
  <c r="I62" i="34"/>
  <c r="I61" i="34"/>
  <c r="I60" i="34"/>
  <c r="I59" i="34"/>
  <c r="I58" i="34"/>
  <c r="I57" i="34"/>
  <c r="I56" i="34"/>
  <c r="I53" i="34"/>
  <c r="I52" i="34"/>
  <c r="I51" i="34"/>
  <c r="I55" i="34" s="1"/>
  <c r="I50" i="34"/>
  <c r="I54" i="34" s="1"/>
  <c r="I49" i="34"/>
  <c r="I48" i="34"/>
  <c r="I47" i="34"/>
  <c r="I46" i="34"/>
  <c r="I45" i="34"/>
  <c r="I44" i="34"/>
  <c r="I43" i="34"/>
  <c r="I42" i="34"/>
  <c r="I41" i="34"/>
  <c r="I40" i="34"/>
  <c r="I39" i="34"/>
  <c r="I38" i="34"/>
  <c r="I37" i="34"/>
  <c r="I36" i="34"/>
  <c r="I35" i="34"/>
  <c r="I34" i="34"/>
  <c r="I33" i="34"/>
  <c r="I32" i="34"/>
  <c r="I31" i="34"/>
  <c r="I30" i="34"/>
  <c r="I29" i="34"/>
  <c r="I28" i="34"/>
  <c r="I27" i="34"/>
  <c r="I26" i="34"/>
  <c r="I25" i="34"/>
  <c r="I24" i="34"/>
  <c r="I23" i="34"/>
  <c r="I22" i="34"/>
  <c r="I21" i="34"/>
  <c r="I20" i="34"/>
  <c r="I19" i="34"/>
  <c r="I18" i="34"/>
  <c r="I17" i="34"/>
  <c r="I16" i="34"/>
  <c r="I15" i="34"/>
  <c r="I14" i="34"/>
  <c r="I13" i="34"/>
  <c r="I12" i="34"/>
  <c r="I11" i="34"/>
  <c r="I10" i="34"/>
  <c r="I9" i="34"/>
  <c r="I8" i="34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12" i="11"/>
  <c r="I11" i="11"/>
  <c r="I10" i="11"/>
  <c r="I9" i="11"/>
  <c r="I8" i="11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236" i="32"/>
  <c r="I235" i="32"/>
  <c r="I234" i="32"/>
  <c r="I233" i="32"/>
  <c r="I232" i="32"/>
  <c r="I231" i="32"/>
  <c r="I227" i="32"/>
  <c r="I226" i="32"/>
  <c r="I225" i="32"/>
  <c r="I224" i="32"/>
  <c r="I223" i="32"/>
  <c r="I222" i="32"/>
  <c r="I221" i="32"/>
  <c r="I220" i="32"/>
  <c r="I218" i="32"/>
  <c r="I217" i="32"/>
  <c r="I216" i="32"/>
  <c r="I215" i="32"/>
  <c r="I214" i="32"/>
  <c r="I213" i="32"/>
  <c r="I209" i="32"/>
  <c r="I208" i="32"/>
  <c r="I207" i="32"/>
  <c r="I206" i="32"/>
  <c r="I205" i="32"/>
  <c r="I204" i="32"/>
  <c r="I200" i="32"/>
  <c r="I199" i="32"/>
  <c r="I198" i="32"/>
  <c r="I197" i="32"/>
  <c r="I196" i="32"/>
  <c r="I195" i="32"/>
  <c r="I191" i="32"/>
  <c r="I190" i="32"/>
  <c r="I189" i="32"/>
  <c r="I188" i="32"/>
  <c r="I187" i="32"/>
  <c r="I186" i="32"/>
  <c r="I185" i="32"/>
  <c r="I184" i="32"/>
  <c r="I183" i="32"/>
  <c r="I182" i="32"/>
  <c r="I181" i="32"/>
  <c r="I180" i="32"/>
  <c r="I179" i="32"/>
  <c r="I178" i="32"/>
  <c r="I177" i="32"/>
  <c r="I173" i="32"/>
  <c r="I172" i="32"/>
  <c r="I168" i="32"/>
  <c r="I166" i="32"/>
  <c r="I165" i="32"/>
  <c r="I164" i="32"/>
  <c r="I163" i="32"/>
  <c r="I162" i="32"/>
  <c r="I161" i="32"/>
  <c r="I160" i="32"/>
  <c r="I159" i="32"/>
  <c r="I155" i="32"/>
  <c r="I154" i="32"/>
  <c r="I153" i="32"/>
  <c r="I152" i="32"/>
  <c r="I151" i="32"/>
  <c r="I150" i="32"/>
  <c r="I146" i="32"/>
  <c r="I142" i="32"/>
  <c r="I141" i="32"/>
  <c r="I140" i="32"/>
  <c r="I136" i="32"/>
  <c r="I135" i="32"/>
  <c r="I134" i="32"/>
  <c r="I129" i="32"/>
  <c r="I128" i="32"/>
  <c r="I127" i="32"/>
  <c r="I123" i="32"/>
  <c r="I122" i="32"/>
  <c r="I121" i="32"/>
  <c r="I120" i="32"/>
  <c r="I119" i="32"/>
  <c r="I118" i="32"/>
  <c r="I117" i="32"/>
  <c r="I116" i="32"/>
  <c r="I115" i="32"/>
  <c r="I114" i="32"/>
  <c r="I110" i="32"/>
  <c r="I109" i="32"/>
  <c r="I108" i="32"/>
  <c r="I107" i="32"/>
  <c r="I106" i="32"/>
  <c r="I105" i="32"/>
  <c r="I101" i="32"/>
  <c r="I100" i="32"/>
  <c r="I99" i="32"/>
  <c r="I98" i="32"/>
  <c r="I97" i="32"/>
  <c r="I96" i="32"/>
  <c r="I92" i="32"/>
  <c r="I91" i="32"/>
  <c r="I87" i="32"/>
  <c r="I83" i="32"/>
  <c r="I82" i="32"/>
  <c r="I81" i="32"/>
  <c r="I80" i="32"/>
  <c r="I79" i="32"/>
  <c r="I78" i="32"/>
  <c r="I74" i="32"/>
  <c r="I73" i="32"/>
  <c r="I72" i="32"/>
  <c r="I71" i="32"/>
  <c r="I67" i="32"/>
  <c r="I63" i="32"/>
  <c r="I62" i="32"/>
  <c r="I61" i="32"/>
  <c r="I60" i="32"/>
  <c r="I59" i="32"/>
  <c r="I58" i="32"/>
  <c r="I57" i="32"/>
  <c r="I56" i="32"/>
  <c r="I55" i="32"/>
  <c r="I54" i="32"/>
  <c r="I53" i="32"/>
  <c r="I52" i="32"/>
  <c r="I48" i="32"/>
  <c r="I47" i="32"/>
  <c r="I46" i="32"/>
  <c r="I45" i="32"/>
  <c r="I44" i="32"/>
  <c r="I40" i="32"/>
  <c r="I39" i="32"/>
  <c r="I35" i="32"/>
  <c r="I34" i="32"/>
  <c r="I33" i="32"/>
  <c r="I29" i="32"/>
  <c r="I27" i="32"/>
  <c r="I26" i="32"/>
  <c r="I25" i="32"/>
  <c r="I24" i="32"/>
  <c r="I23" i="32"/>
  <c r="I22" i="32"/>
  <c r="I21" i="32"/>
  <c r="I20" i="32"/>
  <c r="I16" i="32"/>
  <c r="I15" i="32"/>
  <c r="I14" i="32"/>
  <c r="I13" i="32"/>
  <c r="I12" i="32"/>
  <c r="I11" i="32"/>
  <c r="I131" i="28"/>
  <c r="I130" i="28"/>
  <c r="I129" i="28"/>
  <c r="I128" i="28"/>
  <c r="I127" i="28"/>
  <c r="I126" i="28"/>
  <c r="I125" i="28"/>
  <c r="I124" i="28"/>
  <c r="I123" i="28"/>
  <c r="I122" i="28"/>
  <c r="I121" i="28"/>
  <c r="I120" i="28"/>
  <c r="I119" i="28"/>
  <c r="I118" i="28"/>
  <c r="I117" i="28"/>
  <c r="I116" i="28"/>
  <c r="I115" i="28"/>
  <c r="I114" i="28"/>
  <c r="I113" i="28"/>
  <c r="I112" i="28"/>
  <c r="I111" i="28"/>
  <c r="I110" i="28"/>
  <c r="I109" i="28"/>
  <c r="I108" i="28"/>
  <c r="I107" i="28"/>
  <c r="I106" i="28"/>
  <c r="I105" i="28"/>
  <c r="I104" i="28"/>
  <c r="I103" i="28"/>
  <c r="I102" i="28"/>
  <c r="I101" i="28"/>
  <c r="I100" i="28"/>
  <c r="I99" i="28"/>
  <c r="I98" i="28"/>
  <c r="I97" i="28"/>
  <c r="I95" i="28"/>
  <c r="I94" i="28"/>
  <c r="I93" i="28"/>
  <c r="I92" i="28"/>
  <c r="I91" i="28"/>
  <c r="I90" i="28"/>
  <c r="I89" i="28"/>
  <c r="I88" i="28"/>
  <c r="I87" i="28"/>
  <c r="I86" i="28"/>
  <c r="I85" i="28"/>
  <c r="I84" i="28"/>
  <c r="I83" i="28"/>
  <c r="I82" i="28"/>
  <c r="I81" i="28"/>
  <c r="I80" i="28"/>
  <c r="I79" i="28"/>
  <c r="I78" i="28"/>
  <c r="I77" i="28"/>
  <c r="I76" i="28"/>
  <c r="I75" i="28"/>
  <c r="I74" i="28"/>
  <c r="I73" i="28"/>
  <c r="I72" i="28"/>
  <c r="I71" i="28"/>
  <c r="I70" i="28"/>
  <c r="I69" i="28"/>
  <c r="I68" i="28"/>
  <c r="I67" i="28"/>
  <c r="I66" i="28"/>
  <c r="I65" i="28"/>
  <c r="I64" i="28"/>
  <c r="I63" i="28"/>
  <c r="I62" i="28"/>
  <c r="I61" i="28"/>
  <c r="I60" i="28"/>
  <c r="I59" i="28"/>
  <c r="I58" i="28"/>
  <c r="I57" i="28"/>
  <c r="I56" i="28"/>
  <c r="I55" i="28"/>
  <c r="I54" i="28"/>
  <c r="I53" i="28"/>
  <c r="I52" i="28"/>
  <c r="I51" i="28"/>
  <c r="I50" i="28"/>
  <c r="I49" i="28"/>
  <c r="I48" i="28"/>
  <c r="I47" i="28"/>
  <c r="I46" i="28"/>
  <c r="I45" i="28"/>
  <c r="I44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9" i="28"/>
  <c r="I18" i="28"/>
  <c r="I17" i="28"/>
  <c r="I16" i="28"/>
  <c r="I15" i="28"/>
  <c r="I14" i="28"/>
  <c r="I13" i="28"/>
  <c r="I12" i="28"/>
  <c r="I11" i="28"/>
  <c r="I10" i="28"/>
  <c r="I9" i="28"/>
  <c r="I8" i="28"/>
  <c r="I9" i="42"/>
  <c r="I10" i="42"/>
  <c r="I11" i="42"/>
  <c r="I12" i="42"/>
  <c r="I13" i="42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8" i="42"/>
  <c r="K17" i="18" l="1"/>
  <c r="J134" i="54" l="1"/>
  <c r="J133" i="54"/>
  <c r="J132" i="54"/>
  <c r="J131" i="54"/>
  <c r="J130" i="54"/>
  <c r="J129" i="54"/>
  <c r="J128" i="54"/>
  <c r="J127" i="54"/>
  <c r="J126" i="54"/>
  <c r="J125" i="54"/>
  <c r="J124" i="54"/>
  <c r="J123" i="54"/>
  <c r="J122" i="54"/>
  <c r="J121" i="54"/>
  <c r="J120" i="54"/>
  <c r="J119" i="54"/>
  <c r="J118" i="54"/>
  <c r="J117" i="54"/>
  <c r="J116" i="54"/>
  <c r="J115" i="54"/>
  <c r="J114" i="54"/>
  <c r="J113" i="54"/>
  <c r="J112" i="54"/>
  <c r="J111" i="54"/>
  <c r="J110" i="54"/>
  <c r="J109" i="54"/>
  <c r="J108" i="54"/>
  <c r="J107" i="54"/>
  <c r="J106" i="54"/>
  <c r="J105" i="54"/>
  <c r="J104" i="54"/>
  <c r="J103" i="54"/>
  <c r="J102" i="54"/>
  <c r="J101" i="54"/>
  <c r="J100" i="54"/>
  <c r="J99" i="54"/>
  <c r="J98" i="54"/>
  <c r="J97" i="54"/>
  <c r="J96" i="54"/>
  <c r="J95" i="54"/>
  <c r="J94" i="54"/>
  <c r="J93" i="54"/>
  <c r="J92" i="54"/>
  <c r="J91" i="54"/>
  <c r="J90" i="54"/>
  <c r="J89" i="54"/>
  <c r="J88" i="54"/>
  <c r="J87" i="54"/>
  <c r="J86" i="54"/>
  <c r="J85" i="54"/>
  <c r="J84" i="54"/>
  <c r="J83" i="54"/>
  <c r="J82" i="54"/>
  <c r="J81" i="54"/>
  <c r="J80" i="54"/>
  <c r="J79" i="54"/>
  <c r="J78" i="54"/>
  <c r="J77" i="54"/>
  <c r="J76" i="54"/>
  <c r="J75" i="54"/>
  <c r="J74" i="54"/>
  <c r="J73" i="54"/>
  <c r="J72" i="54"/>
  <c r="J71" i="54"/>
  <c r="J70" i="54"/>
  <c r="J69" i="54"/>
  <c r="J68" i="54"/>
  <c r="J67" i="54"/>
  <c r="J66" i="54"/>
  <c r="J65" i="54"/>
  <c r="J64" i="54"/>
  <c r="J63" i="54"/>
  <c r="J62" i="54"/>
  <c r="J61" i="54"/>
  <c r="J60" i="54"/>
  <c r="J59" i="54"/>
  <c r="J58" i="54"/>
  <c r="J57" i="54"/>
  <c r="J56" i="54"/>
  <c r="J55" i="54"/>
  <c r="J54" i="54"/>
  <c r="J53" i="54"/>
  <c r="J52" i="54"/>
  <c r="J51" i="54"/>
  <c r="J50" i="54"/>
  <c r="J49" i="54"/>
  <c r="J48" i="54"/>
  <c r="J47" i="54"/>
  <c r="J46" i="54"/>
  <c r="J45" i="54"/>
  <c r="J44" i="54"/>
  <c r="J43" i="54"/>
  <c r="J42" i="54"/>
  <c r="J41" i="54"/>
  <c r="J40" i="54"/>
  <c r="J39" i="54"/>
  <c r="J38" i="54"/>
  <c r="J37" i="54"/>
  <c r="J36" i="54"/>
  <c r="J35" i="54"/>
  <c r="J34" i="54"/>
  <c r="J33" i="54"/>
  <c r="J32" i="54"/>
  <c r="J31" i="54"/>
  <c r="J30" i="54"/>
  <c r="J29" i="54"/>
  <c r="J28" i="54"/>
  <c r="J27" i="54"/>
  <c r="J26" i="54"/>
  <c r="J25" i="54"/>
  <c r="J24" i="54"/>
  <c r="J23" i="54"/>
  <c r="J22" i="54"/>
  <c r="J21" i="54"/>
  <c r="J20" i="54"/>
  <c r="J19" i="54"/>
  <c r="J18" i="54"/>
  <c r="J17" i="54"/>
  <c r="J16" i="54"/>
  <c r="J15" i="54"/>
  <c r="J14" i="54"/>
  <c r="J13" i="54"/>
  <c r="J12" i="54"/>
  <c r="J11" i="54"/>
  <c r="J10" i="54"/>
  <c r="J495" i="37"/>
  <c r="J494" i="37"/>
  <c r="J493" i="37"/>
  <c r="J492" i="37"/>
  <c r="J491" i="37"/>
  <c r="J490" i="37"/>
  <c r="J489" i="37"/>
  <c r="J488" i="37"/>
  <c r="J487" i="37"/>
  <c r="J486" i="37"/>
  <c r="J485" i="37"/>
  <c r="J484" i="37"/>
  <c r="J483" i="37"/>
  <c r="J482" i="37"/>
  <c r="J481" i="37"/>
  <c r="J480" i="37"/>
  <c r="J479" i="37"/>
  <c r="J478" i="37"/>
  <c r="J477" i="37"/>
  <c r="J476" i="37"/>
  <c r="J475" i="37"/>
  <c r="J474" i="37"/>
  <c r="J473" i="37"/>
  <c r="J472" i="37"/>
  <c r="J471" i="37"/>
  <c r="J470" i="37"/>
  <c r="J469" i="37"/>
  <c r="J468" i="37"/>
  <c r="J467" i="37"/>
  <c r="J466" i="37"/>
  <c r="J465" i="37"/>
  <c r="J464" i="37"/>
  <c r="J463" i="37"/>
  <c r="J462" i="37"/>
  <c r="J461" i="37"/>
  <c r="J460" i="37"/>
  <c r="J459" i="37"/>
  <c r="J458" i="37"/>
  <c r="J457" i="37"/>
  <c r="J456" i="37"/>
  <c r="J455" i="37"/>
  <c r="J454" i="37"/>
  <c r="J453" i="37"/>
  <c r="J452" i="37"/>
  <c r="J451" i="37"/>
  <c r="J450" i="37"/>
  <c r="J449" i="37"/>
  <c r="J448" i="37"/>
  <c r="J447" i="37"/>
  <c r="J446" i="37"/>
  <c r="J445" i="37"/>
  <c r="J444" i="37"/>
  <c r="J443" i="37"/>
  <c r="J442" i="37"/>
  <c r="J441" i="37"/>
  <c r="J440" i="37"/>
  <c r="J439" i="37"/>
  <c r="J438" i="37"/>
  <c r="J437" i="37"/>
  <c r="J436" i="37"/>
  <c r="J435" i="37"/>
  <c r="J434" i="37"/>
  <c r="J433" i="37"/>
  <c r="J432" i="37"/>
  <c r="J431" i="37"/>
  <c r="J430" i="37"/>
  <c r="J429" i="37"/>
  <c r="J428" i="37"/>
  <c r="J427" i="37"/>
  <c r="J426" i="37"/>
  <c r="J425" i="37"/>
  <c r="J424" i="37"/>
  <c r="J423" i="37"/>
  <c r="J422" i="37"/>
  <c r="J421" i="37"/>
  <c r="J420" i="37"/>
  <c r="J419" i="37"/>
  <c r="J418" i="37"/>
  <c r="J417" i="37"/>
  <c r="J416" i="37"/>
  <c r="J415" i="37"/>
  <c r="J414" i="37"/>
  <c r="J413" i="37"/>
  <c r="J412" i="37"/>
  <c r="J411" i="37"/>
  <c r="J410" i="37"/>
  <c r="J409" i="37"/>
  <c r="J408" i="37"/>
  <c r="J407" i="37"/>
  <c r="J406" i="37"/>
  <c r="J405" i="37"/>
  <c r="J404" i="37"/>
  <c r="J403" i="37"/>
  <c r="J402" i="37"/>
  <c r="J401" i="37"/>
  <c r="J400" i="37"/>
  <c r="J399" i="37"/>
  <c r="J398" i="37"/>
  <c r="J397" i="37"/>
  <c r="J396" i="37"/>
  <c r="J395" i="37"/>
  <c r="J394" i="37"/>
  <c r="J393" i="37"/>
  <c r="J392" i="37"/>
  <c r="J391" i="37"/>
  <c r="J390" i="37"/>
  <c r="J389" i="37"/>
  <c r="J388" i="37"/>
  <c r="J387" i="37"/>
  <c r="J386" i="37"/>
  <c r="J385" i="37"/>
  <c r="J384" i="37"/>
  <c r="J383" i="37"/>
  <c r="J382" i="37"/>
  <c r="J381" i="37"/>
  <c r="J380" i="37"/>
  <c r="J379" i="37"/>
  <c r="J378" i="37"/>
  <c r="J377" i="37"/>
  <c r="J376" i="37"/>
  <c r="J375" i="37"/>
  <c r="J374" i="37"/>
  <c r="J373" i="37"/>
  <c r="J372" i="37"/>
  <c r="J371" i="37"/>
  <c r="J370" i="37"/>
  <c r="J369" i="37"/>
  <c r="J368" i="37"/>
  <c r="J367" i="37"/>
  <c r="J366" i="37"/>
  <c r="J365" i="37"/>
  <c r="J364" i="37"/>
  <c r="J363" i="37"/>
  <c r="J362" i="37"/>
  <c r="J361" i="37"/>
  <c r="J360" i="37"/>
  <c r="J359" i="37"/>
  <c r="J358" i="37"/>
  <c r="J357" i="37"/>
  <c r="J356" i="37"/>
  <c r="J355" i="37"/>
  <c r="J354" i="37"/>
  <c r="J353" i="37"/>
  <c r="J352" i="37"/>
  <c r="J351" i="37"/>
  <c r="J350" i="37"/>
  <c r="J349" i="37"/>
  <c r="J348" i="37"/>
  <c r="J347" i="37"/>
  <c r="J346" i="37"/>
  <c r="J345" i="37"/>
  <c r="J344" i="37"/>
  <c r="J343" i="37"/>
  <c r="J342" i="37"/>
  <c r="J341" i="37"/>
  <c r="J340" i="37"/>
  <c r="J339" i="37"/>
  <c r="J338" i="37"/>
  <c r="J337" i="37"/>
  <c r="J336" i="37"/>
  <c r="J335" i="37"/>
  <c r="J334" i="37"/>
  <c r="J333" i="37"/>
  <c r="J332" i="37"/>
  <c r="J331" i="37"/>
  <c r="J330" i="37"/>
  <c r="J329" i="37"/>
  <c r="J328" i="37"/>
  <c r="J327" i="37"/>
  <c r="J326" i="37"/>
  <c r="J325" i="37"/>
  <c r="J324" i="37"/>
  <c r="J323" i="37"/>
  <c r="J322" i="37"/>
  <c r="J321" i="37"/>
  <c r="J320" i="37"/>
  <c r="J319" i="37"/>
  <c r="J318" i="37"/>
  <c r="J317" i="37"/>
  <c r="J316" i="37"/>
  <c r="J315" i="37"/>
  <c r="J314" i="37"/>
  <c r="J313" i="37"/>
  <c r="J312" i="37"/>
  <c r="J311" i="37"/>
  <c r="J310" i="37"/>
  <c r="J309" i="37"/>
  <c r="J308" i="37"/>
  <c r="J307" i="37"/>
  <c r="J306" i="37"/>
  <c r="J305" i="37"/>
  <c r="J304" i="37"/>
  <c r="J303" i="37"/>
  <c r="J302" i="37"/>
  <c r="J301" i="37"/>
  <c r="J300" i="37"/>
  <c r="J299" i="37"/>
  <c r="J298" i="37"/>
  <c r="J297" i="37"/>
  <c r="J296" i="37"/>
  <c r="J295" i="37"/>
  <c r="J294" i="37"/>
  <c r="J293" i="37"/>
  <c r="J292" i="37"/>
  <c r="J291" i="37"/>
  <c r="J290" i="37"/>
  <c r="J289" i="37"/>
  <c r="J288" i="37"/>
  <c r="J287" i="37"/>
  <c r="J286" i="37"/>
  <c r="J285" i="37"/>
  <c r="J284" i="37"/>
  <c r="J283" i="37"/>
  <c r="J282" i="37"/>
  <c r="J281" i="37"/>
  <c r="J280" i="37"/>
  <c r="J279" i="37"/>
  <c r="J278" i="37"/>
  <c r="J277" i="37"/>
  <c r="J276" i="37"/>
  <c r="J275" i="37"/>
  <c r="J274" i="37"/>
  <c r="J273" i="37"/>
  <c r="J272" i="37"/>
  <c r="J271" i="37"/>
  <c r="J270" i="37"/>
  <c r="J269" i="37"/>
  <c r="J268" i="37"/>
  <c r="J267" i="37"/>
  <c r="J266" i="37"/>
  <c r="J265" i="37"/>
  <c r="J264" i="37"/>
  <c r="J263" i="37"/>
  <c r="J262" i="37"/>
  <c r="J261" i="37"/>
  <c r="J260" i="37"/>
  <c r="J259" i="37"/>
  <c r="J258" i="37"/>
  <c r="J257" i="37"/>
  <c r="J256" i="37"/>
  <c r="J255" i="37"/>
  <c r="J254" i="37"/>
  <c r="J253" i="37"/>
  <c r="J252" i="37"/>
  <c r="J251" i="37"/>
  <c r="J250" i="37"/>
  <c r="J249" i="37"/>
  <c r="J248" i="37"/>
  <c r="J247" i="37"/>
  <c r="J246" i="37"/>
  <c r="J245" i="37"/>
  <c r="J244" i="37"/>
  <c r="J243" i="37"/>
  <c r="J242" i="37"/>
  <c r="J241" i="37"/>
  <c r="J240" i="37"/>
  <c r="J239" i="37"/>
  <c r="J238" i="37"/>
  <c r="J237" i="37"/>
  <c r="J236" i="37"/>
  <c r="J235" i="37"/>
  <c r="J234" i="37"/>
  <c r="J233" i="37"/>
  <c r="J232" i="37"/>
  <c r="J231" i="37"/>
  <c r="J230" i="37"/>
  <c r="J229" i="37"/>
  <c r="J228" i="37"/>
  <c r="J227" i="37"/>
  <c r="J226" i="37"/>
  <c r="J225" i="37"/>
  <c r="J224" i="37"/>
  <c r="J223" i="37"/>
  <c r="J222" i="37"/>
  <c r="J221" i="37"/>
  <c r="J220" i="37"/>
  <c r="J219" i="37"/>
  <c r="J218" i="37"/>
  <c r="J217" i="37"/>
  <c r="J216" i="37"/>
  <c r="J215" i="37"/>
  <c r="J214" i="37"/>
  <c r="J213" i="37"/>
  <c r="J212" i="37"/>
  <c r="J211" i="37"/>
  <c r="J210" i="37"/>
  <c r="J209" i="37"/>
  <c r="J208" i="37"/>
  <c r="J207" i="37"/>
  <c r="J206" i="37"/>
  <c r="J205" i="37"/>
  <c r="J204" i="37"/>
  <c r="J203" i="37"/>
  <c r="J202" i="37"/>
  <c r="J201" i="37"/>
  <c r="J200" i="37"/>
  <c r="J199" i="37"/>
  <c r="J198" i="37"/>
  <c r="J197" i="37"/>
  <c r="J196" i="37"/>
  <c r="J195" i="37"/>
  <c r="J194" i="37"/>
  <c r="J193" i="37"/>
  <c r="J192" i="37"/>
  <c r="J191" i="37"/>
  <c r="J190" i="37"/>
  <c r="J189" i="37"/>
  <c r="J188" i="37"/>
  <c r="J187" i="37"/>
  <c r="J186" i="37"/>
  <c r="J185" i="37"/>
  <c r="J184" i="37"/>
  <c r="J183" i="37"/>
  <c r="J182" i="37"/>
  <c r="J181" i="37"/>
  <c r="J180" i="37"/>
  <c r="J179" i="37"/>
  <c r="J178" i="37"/>
  <c r="J177" i="37"/>
  <c r="J176" i="37"/>
  <c r="J175" i="37"/>
  <c r="J174" i="37"/>
  <c r="J173" i="37"/>
  <c r="J172" i="37"/>
  <c r="J171" i="37"/>
  <c r="J170" i="37"/>
  <c r="J169" i="37"/>
  <c r="J168" i="37"/>
  <c r="J167" i="37"/>
  <c r="J166" i="37"/>
  <c r="J165" i="37"/>
  <c r="J164" i="37"/>
  <c r="J163" i="37"/>
  <c r="J162" i="37"/>
  <c r="J161" i="37"/>
  <c r="J160" i="37"/>
  <c r="J159" i="37"/>
  <c r="J158" i="37"/>
  <c r="J157" i="37"/>
  <c r="J156" i="37"/>
  <c r="J155" i="37"/>
  <c r="J154" i="37"/>
  <c r="J153" i="37"/>
  <c r="J152" i="37"/>
  <c r="J151" i="37"/>
  <c r="J150" i="37"/>
  <c r="J149" i="37"/>
  <c r="J148" i="37"/>
  <c r="J147" i="37"/>
  <c r="J146" i="37"/>
  <c r="J145" i="37"/>
  <c r="J144" i="37"/>
  <c r="J143" i="37"/>
  <c r="J142" i="37"/>
  <c r="J141" i="37"/>
  <c r="J140" i="37"/>
  <c r="J139" i="37"/>
  <c r="J138" i="37"/>
  <c r="J137" i="37"/>
  <c r="J136" i="37"/>
  <c r="J135" i="37"/>
  <c r="J134" i="37"/>
  <c r="J133" i="37"/>
  <c r="J132" i="37"/>
  <c r="J131" i="37"/>
  <c r="J130" i="37"/>
  <c r="J129" i="37"/>
  <c r="J128" i="37"/>
  <c r="J127" i="37"/>
  <c r="J126" i="37"/>
  <c r="J125" i="37"/>
  <c r="J124" i="37"/>
  <c r="J123" i="37"/>
  <c r="J122" i="37"/>
  <c r="J121" i="37"/>
  <c r="J120" i="37"/>
  <c r="J119" i="37"/>
  <c r="J118" i="37"/>
  <c r="J117" i="37"/>
  <c r="J116" i="37"/>
  <c r="J115" i="37"/>
  <c r="J114" i="37"/>
  <c r="J113" i="37"/>
  <c r="J112" i="37"/>
  <c r="J111" i="37"/>
  <c r="J110" i="37"/>
  <c r="J109" i="37"/>
  <c r="J108" i="37"/>
  <c r="J107" i="37"/>
  <c r="J106" i="37"/>
  <c r="J105" i="37"/>
  <c r="J104" i="37"/>
  <c r="J103" i="37"/>
  <c r="J102" i="37"/>
  <c r="J101" i="37"/>
  <c r="J100" i="37"/>
  <c r="J99" i="37"/>
  <c r="J98" i="37"/>
  <c r="J97" i="37"/>
  <c r="J96" i="37"/>
  <c r="J95" i="37"/>
  <c r="J94" i="37"/>
  <c r="J93" i="37"/>
  <c r="J92" i="37"/>
  <c r="J91" i="37"/>
  <c r="J90" i="37"/>
  <c r="J89" i="37"/>
  <c r="J88" i="37"/>
  <c r="J87" i="37"/>
  <c r="J86" i="37"/>
  <c r="J85" i="37"/>
  <c r="J84" i="37"/>
  <c r="J83" i="37"/>
  <c r="J82" i="37"/>
  <c r="J81" i="37"/>
  <c r="J80" i="37"/>
  <c r="J79" i="37"/>
  <c r="J78" i="37"/>
  <c r="J77" i="37"/>
  <c r="J76" i="37"/>
  <c r="J75" i="37"/>
  <c r="J74" i="37"/>
  <c r="J73" i="37"/>
  <c r="J72" i="37"/>
  <c r="J71" i="37"/>
  <c r="J70" i="37"/>
  <c r="J69" i="37"/>
  <c r="J68" i="37"/>
  <c r="J67" i="37"/>
  <c r="J66" i="37"/>
  <c r="J65" i="37"/>
  <c r="J64" i="37"/>
  <c r="J63" i="37"/>
  <c r="J62" i="37"/>
  <c r="J61" i="37"/>
  <c r="J60" i="37"/>
  <c r="J59" i="37"/>
  <c r="J58" i="37"/>
  <c r="J57" i="37"/>
  <c r="J56" i="37"/>
  <c r="J55" i="37"/>
  <c r="J54" i="37"/>
  <c r="J53" i="37"/>
  <c r="J52" i="37"/>
  <c r="J51" i="37"/>
  <c r="J50" i="37"/>
  <c r="J49" i="37"/>
  <c r="J48" i="37"/>
  <c r="J47" i="37"/>
  <c r="J46" i="37"/>
  <c r="J45" i="37"/>
  <c r="J44" i="37"/>
  <c r="J43" i="37"/>
  <c r="J42" i="37"/>
  <c r="J41" i="37"/>
  <c r="J40" i="37"/>
  <c r="J39" i="37"/>
  <c r="J38" i="37"/>
  <c r="J37" i="37"/>
  <c r="J36" i="37"/>
  <c r="J35" i="37"/>
  <c r="J34" i="37"/>
  <c r="J33" i="37"/>
  <c r="J32" i="37"/>
  <c r="J31" i="37"/>
  <c r="J30" i="37"/>
  <c r="J29" i="37"/>
  <c r="J28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46"/>
  <c r="J10" i="46"/>
  <c r="J11" i="46"/>
  <c r="J12" i="46"/>
  <c r="J13" i="46"/>
  <c r="J14" i="46"/>
  <c r="J15" i="46"/>
  <c r="J16" i="46"/>
  <c r="J17" i="46"/>
  <c r="J18" i="46"/>
  <c r="J19" i="46"/>
  <c r="J20" i="46"/>
  <c r="J21" i="46"/>
  <c r="J22" i="46"/>
  <c r="J23" i="46"/>
  <c r="J24" i="46"/>
  <c r="J25" i="46"/>
  <c r="J26" i="46"/>
  <c r="J27" i="46"/>
  <c r="J28" i="46"/>
  <c r="J29" i="46"/>
  <c r="J9" i="54"/>
  <c r="J9" i="37"/>
  <c r="J8" i="46"/>
  <c r="J9" i="45"/>
  <c r="J10" i="45"/>
  <c r="J11" i="45"/>
  <c r="J12" i="45"/>
  <c r="J13" i="45"/>
  <c r="J14" i="45"/>
  <c r="J15" i="45"/>
  <c r="J8" i="45"/>
  <c r="J10" i="40"/>
  <c r="J11" i="40"/>
  <c r="J12" i="40"/>
  <c r="J13" i="40"/>
  <c r="J14" i="40"/>
  <c r="J11" i="33"/>
  <c r="J12" i="33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J11" i="39"/>
  <c r="J10" i="39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62" i="38"/>
  <c r="N61" i="38"/>
  <c r="N60" i="38"/>
  <c r="N59" i="38"/>
  <c r="N58" i="38"/>
  <c r="N57" i="38"/>
  <c r="N56" i="38"/>
  <c r="N55" i="38"/>
  <c r="N54" i="38"/>
  <c r="N53" i="38"/>
  <c r="N52" i="38"/>
  <c r="N51" i="38"/>
  <c r="N50" i="38"/>
  <c r="N49" i="38"/>
  <c r="N48" i="38"/>
  <c r="N47" i="38"/>
  <c r="N46" i="38"/>
  <c r="N45" i="38"/>
  <c r="N44" i="38"/>
  <c r="N43" i="38"/>
  <c r="N42" i="38"/>
  <c r="N41" i="38"/>
  <c r="N40" i="38"/>
  <c r="N39" i="38"/>
  <c r="N38" i="38"/>
  <c r="N37" i="38"/>
  <c r="N36" i="38"/>
  <c r="N35" i="38"/>
  <c r="N34" i="38"/>
  <c r="N33" i="38"/>
  <c r="N32" i="38"/>
  <c r="N31" i="38"/>
  <c r="N30" i="38"/>
  <c r="N29" i="38"/>
  <c r="N28" i="38"/>
  <c r="N27" i="38"/>
  <c r="N26" i="38"/>
  <c r="N25" i="38"/>
  <c r="N24" i="38"/>
  <c r="N23" i="38"/>
  <c r="N22" i="38"/>
  <c r="N21" i="38"/>
  <c r="N20" i="38"/>
  <c r="N19" i="38"/>
  <c r="N18" i="38"/>
  <c r="N17" i="38"/>
  <c r="N16" i="38"/>
  <c r="N15" i="38"/>
  <c r="N14" i="38"/>
  <c r="N13" i="38"/>
  <c r="N12" i="38"/>
  <c r="N11" i="38"/>
  <c r="N10" i="38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L164" i="55"/>
  <c r="L163" i="55"/>
  <c r="L162" i="55"/>
  <c r="L160" i="55"/>
  <c r="L159" i="55"/>
  <c r="L158" i="55"/>
  <c r="L157" i="55"/>
  <c r="L155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5" i="55"/>
  <c r="L134" i="55"/>
  <c r="L133" i="55"/>
  <c r="L132" i="55"/>
  <c r="L128" i="55"/>
  <c r="L127" i="55"/>
  <c r="L126" i="55"/>
  <c r="L122" i="55"/>
  <c r="L121" i="55"/>
  <c r="L120" i="55"/>
  <c r="L119" i="55"/>
  <c r="L117" i="55"/>
  <c r="L116" i="55"/>
  <c r="L115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1" i="55"/>
  <c r="L90" i="55"/>
  <c r="L89" i="55"/>
  <c r="L85" i="55"/>
  <c r="L84" i="55"/>
  <c r="L82" i="55"/>
  <c r="L81" i="55"/>
  <c r="L77" i="55"/>
  <c r="L76" i="55"/>
  <c r="L75" i="55"/>
  <c r="L74" i="55"/>
  <c r="L73" i="55"/>
  <c r="L71" i="55"/>
  <c r="L70" i="55"/>
  <c r="L69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49" i="55"/>
  <c r="L48" i="55"/>
  <c r="L47" i="55"/>
  <c r="L46" i="55"/>
  <c r="L45" i="55"/>
  <c r="L41" i="55"/>
  <c r="L40" i="55"/>
  <c r="L39" i="55"/>
  <c r="L38" i="55"/>
  <c r="L37" i="55"/>
  <c r="L36" i="55"/>
  <c r="L35" i="55"/>
  <c r="L34" i="55"/>
  <c r="L33" i="55"/>
  <c r="L32" i="55"/>
  <c r="L31" i="55"/>
  <c r="L29" i="55"/>
  <c r="L28" i="55"/>
  <c r="L24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42" i="29"/>
  <c r="L141" i="29"/>
  <c r="L140" i="29"/>
  <c r="L136" i="29"/>
  <c r="L135" i="29"/>
  <c r="L134" i="29"/>
  <c r="L133" i="29"/>
  <c r="L132" i="29"/>
  <c r="L131" i="29"/>
  <c r="L130" i="29"/>
  <c r="L129" i="29"/>
  <c r="L127" i="29"/>
  <c r="L126" i="29"/>
  <c r="L125" i="29"/>
  <c r="L121" i="29"/>
  <c r="L120" i="29"/>
  <c r="L119" i="29"/>
  <c r="L118" i="29"/>
  <c r="L117" i="29"/>
  <c r="L116" i="29"/>
  <c r="L115" i="29"/>
  <c r="L111" i="29"/>
  <c r="L110" i="29"/>
  <c r="L109" i="29"/>
  <c r="L108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0" i="29"/>
  <c r="L79" i="29"/>
  <c r="L78" i="29"/>
  <c r="L77" i="29"/>
  <c r="L76" i="29"/>
  <c r="L75" i="29"/>
  <c r="L74" i="29"/>
  <c r="L73" i="29"/>
  <c r="L72" i="29"/>
  <c r="L71" i="29"/>
  <c r="L70" i="29"/>
  <c r="L66" i="29"/>
  <c r="L65" i="29"/>
  <c r="L64" i="29"/>
  <c r="L60" i="29"/>
  <c r="L59" i="29"/>
  <c r="L58" i="29"/>
  <c r="L57" i="29"/>
  <c r="L56" i="29"/>
  <c r="L55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28" i="29"/>
  <c r="L27" i="29"/>
  <c r="L26" i="29"/>
  <c r="L25" i="29"/>
  <c r="L24" i="29"/>
  <c r="L23" i="29"/>
  <c r="L19" i="29"/>
  <c r="L18" i="29"/>
  <c r="L17" i="29"/>
  <c r="L16" i="29"/>
  <c r="L15" i="29"/>
  <c r="L14" i="29"/>
  <c r="L13" i="29"/>
  <c r="L12" i="29"/>
  <c r="L11" i="29"/>
  <c r="N9" i="22"/>
  <c r="N10" i="22"/>
  <c r="N11" i="22"/>
  <c r="N12" i="22"/>
  <c r="N13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0" i="22"/>
  <c r="N41" i="22"/>
  <c r="N42" i="22"/>
  <c r="N43" i="22"/>
  <c r="N44" i="22"/>
  <c r="N45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4" i="22"/>
  <c r="N85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N98" i="22"/>
  <c r="N99" i="22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9" i="40"/>
  <c r="J10" i="33"/>
  <c r="J9" i="39"/>
  <c r="N9" i="38"/>
  <c r="J8" i="34"/>
  <c r="L10" i="55"/>
  <c r="L10" i="29"/>
  <c r="N8" i="22"/>
  <c r="K8" i="10"/>
  <c r="J8" i="11"/>
  <c r="J8" i="12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8" i="28"/>
  <c r="J236" i="32"/>
  <c r="J235" i="32"/>
  <c r="J234" i="32"/>
  <c r="J233" i="32"/>
  <c r="J232" i="32"/>
  <c r="J231" i="32"/>
  <c r="J227" i="32"/>
  <c r="J226" i="32"/>
  <c r="J225" i="32"/>
  <c r="J224" i="32"/>
  <c r="J223" i="32"/>
  <c r="J222" i="32"/>
  <c r="J221" i="32"/>
  <c r="J220" i="32"/>
  <c r="J218" i="32"/>
  <c r="J217" i="32"/>
  <c r="J216" i="32"/>
  <c r="J215" i="32"/>
  <c r="J214" i="32"/>
  <c r="J213" i="32"/>
  <c r="J209" i="32"/>
  <c r="J208" i="32"/>
  <c r="J207" i="32"/>
  <c r="J206" i="32"/>
  <c r="J205" i="32"/>
  <c r="J204" i="32"/>
  <c r="J200" i="32"/>
  <c r="J199" i="32"/>
  <c r="J198" i="32"/>
  <c r="J197" i="32"/>
  <c r="J196" i="32"/>
  <c r="J195" i="32"/>
  <c r="J191" i="32"/>
  <c r="J190" i="32"/>
  <c r="J189" i="32"/>
  <c r="J188" i="32"/>
  <c r="J187" i="32"/>
  <c r="J186" i="32"/>
  <c r="J185" i="32"/>
  <c r="J184" i="32"/>
  <c r="J183" i="32"/>
  <c r="J182" i="32"/>
  <c r="J181" i="32"/>
  <c r="J180" i="32"/>
  <c r="J179" i="32"/>
  <c r="J178" i="32"/>
  <c r="J177" i="32"/>
  <c r="J173" i="32"/>
  <c r="J172" i="32"/>
  <c r="J168" i="32"/>
  <c r="J166" i="32"/>
  <c r="J165" i="32"/>
  <c r="J164" i="32"/>
  <c r="J163" i="32"/>
  <c r="J162" i="32"/>
  <c r="J161" i="32"/>
  <c r="J160" i="32"/>
  <c r="J159" i="32"/>
  <c r="J155" i="32"/>
  <c r="J154" i="32"/>
  <c r="J153" i="32"/>
  <c r="J152" i="32"/>
  <c r="J151" i="32"/>
  <c r="J150" i="32"/>
  <c r="J146" i="32"/>
  <c r="J142" i="32"/>
  <c r="J141" i="32"/>
  <c r="J140" i="32"/>
  <c r="J136" i="32"/>
  <c r="J135" i="32"/>
  <c r="J134" i="32"/>
  <c r="J130" i="32"/>
  <c r="J129" i="32"/>
  <c r="J128" i="32"/>
  <c r="J127" i="32"/>
  <c r="J123" i="32"/>
  <c r="J122" i="32"/>
  <c r="J121" i="32"/>
  <c r="J120" i="32"/>
  <c r="J119" i="32"/>
  <c r="J118" i="32"/>
  <c r="J117" i="32"/>
  <c r="J116" i="32"/>
  <c r="J115" i="32"/>
  <c r="J114" i="32"/>
  <c r="J110" i="32"/>
  <c r="J109" i="32"/>
  <c r="J108" i="32"/>
  <c r="J107" i="32"/>
  <c r="J106" i="32"/>
  <c r="J105" i="32"/>
  <c r="J101" i="32"/>
  <c r="J100" i="32"/>
  <c r="J99" i="32"/>
  <c r="J98" i="32"/>
  <c r="J97" i="32"/>
  <c r="J96" i="32"/>
  <c r="J92" i="32"/>
  <c r="J91" i="32"/>
  <c r="J87" i="32"/>
  <c r="J83" i="32"/>
  <c r="J82" i="32"/>
  <c r="J81" i="32"/>
  <c r="J80" i="32"/>
  <c r="J79" i="32"/>
  <c r="J78" i="32"/>
  <c r="J74" i="32"/>
  <c r="J73" i="32"/>
  <c r="J72" i="32"/>
  <c r="J71" i="32"/>
  <c r="J67" i="32"/>
  <c r="J63" i="32"/>
  <c r="J62" i="32"/>
  <c r="J61" i="32"/>
  <c r="J60" i="32"/>
  <c r="J59" i="32"/>
  <c r="J58" i="32"/>
  <c r="J57" i="32"/>
  <c r="J56" i="32"/>
  <c r="J55" i="32"/>
  <c r="J54" i="32"/>
  <c r="J53" i="32"/>
  <c r="J52" i="32"/>
  <c r="J48" i="32"/>
  <c r="J47" i="32"/>
  <c r="J46" i="32"/>
  <c r="J45" i="32"/>
  <c r="J44" i="32"/>
  <c r="J40" i="32"/>
  <c r="J39" i="32"/>
  <c r="J35" i="32"/>
  <c r="J34" i="32"/>
  <c r="J33" i="32"/>
  <c r="J29" i="32"/>
  <c r="J27" i="32"/>
  <c r="J26" i="32"/>
  <c r="J25" i="32"/>
  <c r="J24" i="32"/>
  <c r="J23" i="32"/>
  <c r="J22" i="32"/>
  <c r="J21" i="32"/>
  <c r="J20" i="32"/>
  <c r="J16" i="32"/>
  <c r="J15" i="32"/>
  <c r="J14" i="32"/>
  <c r="J13" i="32"/>
  <c r="J12" i="32"/>
  <c r="J11" i="32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0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8" i="21"/>
  <c r="J9" i="25"/>
  <c r="J10" i="25"/>
  <c r="J11" i="25"/>
  <c r="J12" i="25"/>
  <c r="J13" i="25"/>
  <c r="J14" i="25"/>
  <c r="J15" i="25"/>
  <c r="J16" i="25"/>
  <c r="J8" i="25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J32" i="53"/>
  <c r="J33" i="53"/>
  <c r="J34" i="53"/>
  <c r="J35" i="53"/>
  <c r="J36" i="53"/>
  <c r="J37" i="53"/>
  <c r="J38" i="53"/>
  <c r="J39" i="53"/>
  <c r="J40" i="53"/>
  <c r="J41" i="53"/>
  <c r="J42" i="53"/>
  <c r="J43" i="53"/>
  <c r="J44" i="53"/>
  <c r="J45" i="53"/>
  <c r="J46" i="53"/>
  <c r="J47" i="53"/>
  <c r="J48" i="53"/>
  <c r="J8" i="53"/>
  <c r="J9" i="24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55" i="24"/>
  <c r="J56" i="24"/>
  <c r="J57" i="24"/>
  <c r="J58" i="24"/>
  <c r="J59" i="24"/>
  <c r="J60" i="24"/>
  <c r="J61" i="24"/>
  <c r="J62" i="24"/>
  <c r="J63" i="24"/>
  <c r="J64" i="24"/>
  <c r="J65" i="24"/>
  <c r="J66" i="24"/>
  <c r="J67" i="24"/>
  <c r="J68" i="24"/>
  <c r="J69" i="24"/>
  <c r="J70" i="24"/>
  <c r="J71" i="24"/>
  <c r="J72" i="24"/>
  <c r="J73" i="24"/>
  <c r="J74" i="24"/>
  <c r="J75" i="24"/>
  <c r="J76" i="24"/>
  <c r="J77" i="24"/>
  <c r="J78" i="24"/>
  <c r="J79" i="24"/>
  <c r="J80" i="24"/>
  <c r="J81" i="24"/>
  <c r="J82" i="24"/>
  <c r="J83" i="24"/>
  <c r="J84" i="24"/>
  <c r="J85" i="24"/>
  <c r="J86" i="24"/>
  <c r="J87" i="24"/>
  <c r="J88" i="24"/>
  <c r="J89" i="24"/>
  <c r="J90" i="24"/>
  <c r="J91" i="24"/>
  <c r="J92" i="24"/>
  <c r="J93" i="24"/>
  <c r="J94" i="24"/>
  <c r="J95" i="24"/>
  <c r="J96" i="24"/>
  <c r="J97" i="24"/>
  <c r="J98" i="24"/>
  <c r="J99" i="24"/>
  <c r="J100" i="24"/>
  <c r="J101" i="24"/>
  <c r="J102" i="24"/>
  <c r="J103" i="24"/>
  <c r="J104" i="24"/>
  <c r="J105" i="24"/>
  <c r="J106" i="24"/>
  <c r="J107" i="24"/>
  <c r="J108" i="24"/>
  <c r="J109" i="24"/>
  <c r="J110" i="24"/>
  <c r="J111" i="24"/>
  <c r="J112" i="24"/>
  <c r="J113" i="24"/>
  <c r="J114" i="24"/>
  <c r="J115" i="24"/>
  <c r="J116" i="24"/>
  <c r="J117" i="24"/>
  <c r="J118" i="24"/>
  <c r="J119" i="24"/>
  <c r="J120" i="24"/>
  <c r="J121" i="24"/>
  <c r="J122" i="24"/>
  <c r="J123" i="24"/>
  <c r="J124" i="24"/>
  <c r="J125" i="24"/>
  <c r="J126" i="24"/>
  <c r="J127" i="24"/>
  <c r="J128" i="24"/>
  <c r="J129" i="24"/>
  <c r="J130" i="24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J147" i="24"/>
  <c r="J148" i="24"/>
  <c r="J149" i="24"/>
  <c r="J150" i="24"/>
  <c r="J151" i="24"/>
  <c r="J152" i="24"/>
  <c r="J153" i="24"/>
  <c r="J154" i="24"/>
  <c r="J155" i="24"/>
  <c r="J156" i="24"/>
  <c r="J157" i="24"/>
  <c r="J158" i="24"/>
  <c r="J159" i="24"/>
  <c r="J160" i="24"/>
  <c r="J161" i="24"/>
  <c r="J162" i="24"/>
  <c r="J163" i="24"/>
  <c r="J164" i="24"/>
  <c r="J165" i="24"/>
  <c r="J166" i="24"/>
  <c r="J167" i="24"/>
  <c r="J168" i="24"/>
  <c r="J169" i="24"/>
  <c r="J170" i="24"/>
  <c r="J171" i="24"/>
  <c r="J172" i="24"/>
  <c r="J173" i="24"/>
  <c r="J174" i="24"/>
  <c r="J175" i="24"/>
  <c r="J176" i="24"/>
  <c r="J177" i="24"/>
  <c r="J178" i="24"/>
  <c r="J179" i="24"/>
  <c r="J180" i="24"/>
  <c r="J181" i="24"/>
  <c r="J182" i="24"/>
  <c r="J183" i="24"/>
  <c r="J184" i="24"/>
  <c r="J185" i="24"/>
  <c r="J186" i="24"/>
  <c r="J187" i="24"/>
  <c r="J188" i="24"/>
  <c r="J189" i="24"/>
  <c r="J190" i="24"/>
  <c r="J191" i="24"/>
  <c r="J192" i="24"/>
  <c r="J193" i="24"/>
  <c r="J194" i="24"/>
  <c r="J195" i="24"/>
  <c r="J196" i="24"/>
  <c r="J197" i="24"/>
  <c r="J198" i="24"/>
  <c r="J199" i="24"/>
  <c r="J200" i="24"/>
  <c r="J201" i="24"/>
  <c r="J202" i="24"/>
  <c r="J203" i="24"/>
  <c r="J204" i="24"/>
  <c r="J205" i="24"/>
  <c r="J206" i="24"/>
  <c r="J207" i="24"/>
  <c r="J208" i="24"/>
  <c r="J209" i="24"/>
  <c r="J210" i="24"/>
  <c r="J211" i="24"/>
  <c r="J212" i="24"/>
  <c r="J213" i="24"/>
  <c r="J214" i="24"/>
  <c r="J215" i="24"/>
  <c r="J216" i="24"/>
  <c r="J217" i="24"/>
  <c r="J218" i="24"/>
  <c r="J219" i="24"/>
  <c r="J220" i="24"/>
  <c r="J221" i="24"/>
  <c r="J222" i="24"/>
  <c r="J223" i="24"/>
  <c r="J224" i="24"/>
  <c r="J225" i="24"/>
  <c r="J226" i="24"/>
  <c r="J227" i="24"/>
  <c r="J228" i="24"/>
  <c r="J229" i="24"/>
  <c r="J230" i="24"/>
  <c r="J231" i="24"/>
  <c r="J232" i="24"/>
  <c r="J233" i="24"/>
  <c r="J234" i="24"/>
  <c r="J235" i="24"/>
  <c r="J236" i="24"/>
  <c r="J237" i="24"/>
  <c r="J238" i="24"/>
  <c r="J239" i="24"/>
  <c r="J240" i="24"/>
  <c r="J241" i="24"/>
  <c r="J242" i="24"/>
  <c r="J243" i="24"/>
  <c r="J244" i="24"/>
  <c r="J245" i="24"/>
  <c r="J246" i="24"/>
  <c r="J247" i="24"/>
  <c r="J248" i="24"/>
  <c r="J249" i="24"/>
  <c r="J8" i="24"/>
  <c r="J9" i="51"/>
  <c r="J10" i="51"/>
  <c r="J8" i="51"/>
  <c r="J9" i="52"/>
  <c r="J10" i="52"/>
  <c r="J11" i="52"/>
  <c r="J8" i="52"/>
  <c r="J9" i="47"/>
  <c r="J10" i="47"/>
  <c r="J11" i="47"/>
  <c r="J12" i="47"/>
  <c r="J13" i="47"/>
  <c r="J14" i="47"/>
  <c r="J15" i="47"/>
  <c r="J16" i="47"/>
  <c r="J17" i="47"/>
  <c r="J18" i="47"/>
  <c r="J19" i="47"/>
  <c r="J20" i="47"/>
  <c r="J21" i="47"/>
  <c r="J8" i="47"/>
  <c r="K28" i="19"/>
  <c r="M28" i="18" s="1"/>
  <c r="K19" i="19"/>
  <c r="M19" i="18" s="1"/>
  <c r="K10" i="19"/>
  <c r="M10" i="18" s="1"/>
  <c r="K7" i="19"/>
  <c r="M7" i="18" s="1"/>
  <c r="K6" i="19"/>
  <c r="M6" i="18" s="1"/>
  <c r="K5" i="19"/>
  <c r="M5" i="18" s="1"/>
  <c r="K27" i="19"/>
  <c r="M27" i="18" s="1"/>
  <c r="A34" i="19"/>
  <c r="A35" i="19"/>
  <c r="A36" i="19"/>
  <c r="A37" i="19"/>
  <c r="A38" i="19"/>
  <c r="A39" i="19"/>
  <c r="A40" i="19"/>
  <c r="A41" i="19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8" i="46"/>
  <c r="A9" i="45"/>
  <c r="A10" i="45"/>
  <c r="A11" i="45"/>
  <c r="A12" i="45"/>
  <c r="A13" i="45"/>
  <c r="A14" i="45"/>
  <c r="A15" i="45"/>
  <c r="A8" i="45"/>
  <c r="A10" i="40"/>
  <c r="A11" i="40"/>
  <c r="A12" i="40"/>
  <c r="A13" i="40"/>
  <c r="A11" i="33"/>
  <c r="A12" i="33"/>
  <c r="A10" i="33"/>
  <c r="A10" i="39"/>
  <c r="A11" i="39"/>
  <c r="A12" i="39"/>
  <c r="A13" i="39"/>
  <c r="A14" i="39"/>
  <c r="A15" i="39"/>
  <c r="A16" i="39"/>
  <c r="A17" i="39"/>
  <c r="A18" i="39"/>
  <c r="A19" i="39"/>
  <c r="A20" i="39"/>
  <c r="A21" i="39"/>
  <c r="A22" i="39"/>
  <c r="A23" i="39"/>
  <c r="A24" i="39"/>
  <c r="A25" i="39"/>
  <c r="A26" i="39"/>
  <c r="A27" i="39"/>
  <c r="A28" i="39"/>
  <c r="A29" i="39"/>
  <c r="A30" i="39"/>
  <c r="A31" i="39"/>
  <c r="A32" i="39"/>
  <c r="A9" i="39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8" i="34"/>
  <c r="A11" i="55"/>
  <c r="A12" i="55"/>
  <c r="A13" i="55"/>
  <c r="A14" i="55"/>
  <c r="A15" i="55"/>
  <c r="A16" i="55"/>
  <c r="A17" i="55"/>
  <c r="A18" i="55"/>
  <c r="A19" i="55"/>
  <c r="A20" i="55"/>
  <c r="A21" i="55"/>
  <c r="A22" i="55"/>
  <c r="A23" i="55"/>
  <c r="A24" i="55"/>
  <c r="A25" i="55"/>
  <c r="A26" i="55"/>
  <c r="A27" i="55"/>
  <c r="A28" i="55"/>
  <c r="A29" i="55"/>
  <c r="A30" i="55"/>
  <c r="A31" i="55"/>
  <c r="A32" i="55"/>
  <c r="A33" i="55"/>
  <c r="A34" i="55"/>
  <c r="A35" i="55"/>
  <c r="A36" i="55"/>
  <c r="A37" i="55"/>
  <c r="A38" i="55"/>
  <c r="A39" i="55"/>
  <c r="A40" i="55"/>
  <c r="A41" i="55"/>
  <c r="A42" i="55"/>
  <c r="A43" i="55"/>
  <c r="A44" i="55"/>
  <c r="A45" i="55"/>
  <c r="A46" i="55"/>
  <c r="A47" i="55"/>
  <c r="A48" i="55"/>
  <c r="A49" i="55"/>
  <c r="A50" i="55"/>
  <c r="A51" i="55"/>
  <c r="A52" i="55"/>
  <c r="A53" i="55"/>
  <c r="A54" i="55"/>
  <c r="A55" i="55"/>
  <c r="A56" i="55"/>
  <c r="A57" i="55"/>
  <c r="A58" i="55"/>
  <c r="A59" i="55"/>
  <c r="A60" i="55"/>
  <c r="A61" i="55"/>
  <c r="A62" i="55"/>
  <c r="A63" i="55"/>
  <c r="A64" i="55"/>
  <c r="A65" i="55"/>
  <c r="A66" i="55"/>
  <c r="A67" i="55"/>
  <c r="A68" i="55"/>
  <c r="A69" i="55"/>
  <c r="A70" i="55"/>
  <c r="A71" i="55"/>
  <c r="A72" i="55"/>
  <c r="A73" i="55"/>
  <c r="A74" i="55"/>
  <c r="A75" i="55"/>
  <c r="A76" i="55"/>
  <c r="A77" i="55"/>
  <c r="A78" i="55"/>
  <c r="A79" i="55"/>
  <c r="A80" i="55"/>
  <c r="A81" i="55"/>
  <c r="A82" i="55"/>
  <c r="A83" i="55"/>
  <c r="A84" i="55"/>
  <c r="A85" i="55"/>
  <c r="A86" i="55"/>
  <c r="A87" i="55"/>
  <c r="A88" i="55"/>
  <c r="A89" i="55"/>
  <c r="A90" i="55"/>
  <c r="A91" i="55"/>
  <c r="A92" i="55"/>
  <c r="A93" i="55"/>
  <c r="A94" i="55"/>
  <c r="A95" i="55"/>
  <c r="A96" i="55"/>
  <c r="A97" i="55"/>
  <c r="A98" i="55"/>
  <c r="A99" i="55"/>
  <c r="A100" i="55"/>
  <c r="A101" i="55"/>
  <c r="A102" i="55"/>
  <c r="A103" i="55"/>
  <c r="A104" i="55"/>
  <c r="A105" i="55"/>
  <c r="A106" i="55"/>
  <c r="A107" i="55"/>
  <c r="A108" i="55"/>
  <c r="A109" i="55"/>
  <c r="A110" i="55"/>
  <c r="A111" i="55"/>
  <c r="A112" i="55"/>
  <c r="A113" i="55"/>
  <c r="A114" i="55"/>
  <c r="A115" i="55"/>
  <c r="A116" i="55"/>
  <c r="A117" i="55"/>
  <c r="A118" i="55"/>
  <c r="A119" i="55"/>
  <c r="A120" i="55"/>
  <c r="A121" i="55"/>
  <c r="A122" i="55"/>
  <c r="A123" i="55"/>
  <c r="A124" i="55"/>
  <c r="A125" i="55"/>
  <c r="A126" i="55"/>
  <c r="A127" i="55"/>
  <c r="A128" i="55"/>
  <c r="A129" i="55"/>
  <c r="A130" i="55"/>
  <c r="A131" i="55"/>
  <c r="A132" i="55"/>
  <c r="A133" i="55"/>
  <c r="A134" i="55"/>
  <c r="A135" i="55"/>
  <c r="A136" i="55"/>
  <c r="A137" i="55"/>
  <c r="A138" i="55"/>
  <c r="A139" i="55"/>
  <c r="A140" i="55"/>
  <c r="A141" i="55"/>
  <c r="A142" i="55"/>
  <c r="A143" i="55"/>
  <c r="A144" i="55"/>
  <c r="A145" i="55"/>
  <c r="A146" i="55"/>
  <c r="A147" i="55"/>
  <c r="A148" i="55"/>
  <c r="A149" i="55"/>
  <c r="A150" i="55"/>
  <c r="A151" i="55"/>
  <c r="A152" i="55"/>
  <c r="A153" i="55"/>
  <c r="A154" i="55"/>
  <c r="A155" i="55"/>
  <c r="A156" i="55"/>
  <c r="A157" i="55"/>
  <c r="A158" i="55"/>
  <c r="A159" i="55"/>
  <c r="A160" i="55"/>
  <c r="A161" i="55"/>
  <c r="A162" i="55"/>
  <c r="A163" i="55"/>
  <c r="A10" i="55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A64" i="29"/>
  <c r="A65" i="29"/>
  <c r="A66" i="29"/>
  <c r="A67" i="29"/>
  <c r="A68" i="29"/>
  <c r="A69" i="29"/>
  <c r="A70" i="29"/>
  <c r="A71" i="29"/>
  <c r="A72" i="29"/>
  <c r="A73" i="29"/>
  <c r="A74" i="29"/>
  <c r="A75" i="29"/>
  <c r="A76" i="29"/>
  <c r="A77" i="29"/>
  <c r="A78" i="29"/>
  <c r="A79" i="29"/>
  <c r="A80" i="29"/>
  <c r="A81" i="29"/>
  <c r="A82" i="29"/>
  <c r="A83" i="29"/>
  <c r="A84" i="29"/>
  <c r="A85" i="29"/>
  <c r="A86" i="29"/>
  <c r="A87" i="29"/>
  <c r="A88" i="29"/>
  <c r="A89" i="29"/>
  <c r="A90" i="29"/>
  <c r="A91" i="29"/>
  <c r="A92" i="29"/>
  <c r="A93" i="29"/>
  <c r="A94" i="29"/>
  <c r="A95" i="29"/>
  <c r="A96" i="29"/>
  <c r="A97" i="29"/>
  <c r="A98" i="29"/>
  <c r="A99" i="29"/>
  <c r="A100" i="29"/>
  <c r="A101" i="29"/>
  <c r="A102" i="29"/>
  <c r="A103" i="29"/>
  <c r="A104" i="29"/>
  <c r="A105" i="29"/>
  <c r="A106" i="29"/>
  <c r="A107" i="29"/>
  <c r="A108" i="29"/>
  <c r="A109" i="29"/>
  <c r="A110" i="29"/>
  <c r="A111" i="29"/>
  <c r="A112" i="29"/>
  <c r="A113" i="29"/>
  <c r="A114" i="29"/>
  <c r="A115" i="29"/>
  <c r="A116" i="29"/>
  <c r="A117" i="29"/>
  <c r="A118" i="29"/>
  <c r="A119" i="29"/>
  <c r="A120" i="29"/>
  <c r="A121" i="29"/>
  <c r="A122" i="29"/>
  <c r="A123" i="29"/>
  <c r="A124" i="29"/>
  <c r="A125" i="29"/>
  <c r="A126" i="29"/>
  <c r="A127" i="29"/>
  <c r="A128" i="29"/>
  <c r="A129" i="29"/>
  <c r="A130" i="29"/>
  <c r="A131" i="29"/>
  <c r="A132" i="29"/>
  <c r="A133" i="29"/>
  <c r="A134" i="29"/>
  <c r="A135" i="29"/>
  <c r="A136" i="29"/>
  <c r="A137" i="29"/>
  <c r="A138" i="29"/>
  <c r="A139" i="29"/>
  <c r="A140" i="29"/>
  <c r="A141" i="29"/>
  <c r="A9" i="22"/>
  <c r="A10" i="22"/>
  <c r="A11" i="22"/>
  <c r="A12" i="22"/>
  <c r="A13" i="22"/>
  <c r="A14" i="22"/>
  <c r="A15" i="22"/>
  <c r="A16" i="22"/>
  <c r="A17" i="22"/>
  <c r="A18" i="22"/>
  <c r="A19" i="22"/>
  <c r="A20" i="22"/>
  <c r="A21" i="22"/>
  <c r="A22" i="22"/>
  <c r="A23" i="22"/>
  <c r="A24" i="22"/>
  <c r="A25" i="22"/>
  <c r="A26" i="22"/>
  <c r="A27" i="22"/>
  <c r="A28" i="22"/>
  <c r="A29" i="22"/>
  <c r="A30" i="22"/>
  <c r="A31" i="22"/>
  <c r="A32" i="22"/>
  <c r="A33" i="22"/>
  <c r="A34" i="22"/>
  <c r="A35" i="22"/>
  <c r="A36" i="22"/>
  <c r="A37" i="22"/>
  <c r="A38" i="22"/>
  <c r="A39" i="22"/>
  <c r="A40" i="22"/>
  <c r="A41" i="22"/>
  <c r="A42" i="22"/>
  <c r="A43" i="22"/>
  <c r="A44" i="22"/>
  <c r="A45" i="22"/>
  <c r="A46" i="22"/>
  <c r="A47" i="22"/>
  <c r="A48" i="22"/>
  <c r="A49" i="22"/>
  <c r="A50" i="22"/>
  <c r="A51" i="22"/>
  <c r="A52" i="22"/>
  <c r="A53" i="22"/>
  <c r="A54" i="22"/>
  <c r="A55" i="22"/>
  <c r="A56" i="22"/>
  <c r="A57" i="22"/>
  <c r="A58" i="22"/>
  <c r="A59" i="22"/>
  <c r="A60" i="22"/>
  <c r="A61" i="22"/>
  <c r="A62" i="22"/>
  <c r="A63" i="22"/>
  <c r="A64" i="22"/>
  <c r="A65" i="22"/>
  <c r="A66" i="22"/>
  <c r="A67" i="22"/>
  <c r="A68" i="22"/>
  <c r="A69" i="22"/>
  <c r="A70" i="22"/>
  <c r="A71" i="22"/>
  <c r="A72" i="22"/>
  <c r="A73" i="22"/>
  <c r="A74" i="22"/>
  <c r="A75" i="22"/>
  <c r="A76" i="22"/>
  <c r="A77" i="22"/>
  <c r="A78" i="22"/>
  <c r="A79" i="22"/>
  <c r="A80" i="22"/>
  <c r="A81" i="22"/>
  <c r="A82" i="22"/>
  <c r="A83" i="22"/>
  <c r="A84" i="22"/>
  <c r="A85" i="22"/>
  <c r="A86" i="22"/>
  <c r="A87" i="22"/>
  <c r="A88" i="22"/>
  <c r="A89" i="22"/>
  <c r="A90" i="22"/>
  <c r="A91" i="22"/>
  <c r="A92" i="22"/>
  <c r="A93" i="22"/>
  <c r="A94" i="22"/>
  <c r="A95" i="22"/>
  <c r="A96" i="22"/>
  <c r="A97" i="22"/>
  <c r="A98" i="22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8" i="11"/>
  <c r="A10" i="12"/>
  <c r="A11" i="12"/>
  <c r="A12" i="12"/>
  <c r="A13" i="12"/>
  <c r="A14" i="12"/>
  <c r="A15" i="12"/>
  <c r="A16" i="12"/>
  <c r="A17" i="12"/>
  <c r="A18" i="12"/>
  <c r="A19" i="12"/>
  <c r="A20" i="12"/>
  <c r="A21" i="12"/>
  <c r="A22" i="12"/>
  <c r="A23" i="12"/>
  <c r="A24" i="12"/>
  <c r="A25" i="12"/>
  <c r="A28" i="12"/>
  <c r="A29" i="12"/>
  <c r="A30" i="12"/>
  <c r="A31" i="12"/>
  <c r="A32" i="12"/>
  <c r="A33" i="12"/>
  <c r="A34" i="12"/>
  <c r="A35" i="12"/>
  <c r="A36" i="12"/>
  <c r="A37" i="12"/>
  <c r="A38" i="12"/>
  <c r="A39" i="12"/>
  <c r="A40" i="12"/>
  <c r="A41" i="12"/>
  <c r="A42" i="12"/>
  <c r="A43" i="12"/>
  <c r="A44" i="12"/>
  <c r="A45" i="12"/>
  <c r="A46" i="12"/>
  <c r="A47" i="12"/>
  <c r="A48" i="12"/>
  <c r="A49" i="12"/>
  <c r="A50" i="12"/>
  <c r="A51" i="12"/>
  <c r="A52" i="12"/>
  <c r="A53" i="12"/>
  <c r="A54" i="12"/>
  <c r="A55" i="12"/>
  <c r="A56" i="12"/>
  <c r="A57" i="12"/>
  <c r="A58" i="12"/>
  <c r="A59" i="12"/>
  <c r="A60" i="12"/>
  <c r="A61" i="12"/>
  <c r="A62" i="12"/>
  <c r="A63" i="12"/>
  <c r="A64" i="12"/>
  <c r="A65" i="12"/>
  <c r="A66" i="12"/>
  <c r="A67" i="12"/>
  <c r="A68" i="12"/>
  <c r="A69" i="12"/>
  <c r="A70" i="12"/>
  <c r="A71" i="12"/>
  <c r="A72" i="12"/>
  <c r="A73" i="12"/>
  <c r="A74" i="12"/>
  <c r="A75" i="12"/>
  <c r="A76" i="12"/>
  <c r="A77" i="12"/>
  <c r="A78" i="12"/>
  <c r="A79" i="12"/>
  <c r="A80" i="12"/>
  <c r="A81" i="12"/>
  <c r="A82" i="12"/>
  <c r="A83" i="12"/>
  <c r="A84" i="12"/>
  <c r="A85" i="12"/>
  <c r="A86" i="12"/>
  <c r="A87" i="12"/>
  <c r="A88" i="12"/>
  <c r="A89" i="12"/>
  <c r="A90" i="12"/>
  <c r="A91" i="12"/>
  <c r="A92" i="12"/>
  <c r="A93" i="12"/>
  <c r="A94" i="12"/>
  <c r="A95" i="12"/>
  <c r="A96" i="12"/>
  <c r="A97" i="12"/>
  <c r="A98" i="12"/>
  <c r="A99" i="12"/>
  <c r="A100" i="12"/>
  <c r="A101" i="12"/>
  <c r="A102" i="12"/>
  <c r="A103" i="12"/>
  <c r="A104" i="12"/>
  <c r="A105" i="12"/>
  <c r="A106" i="12"/>
  <c r="A107" i="12"/>
  <c r="A108" i="12"/>
  <c r="A109" i="12"/>
  <c r="A110" i="12"/>
  <c r="A111" i="12"/>
  <c r="A112" i="12"/>
  <c r="A113" i="12"/>
  <c r="A114" i="12"/>
  <c r="A115" i="12"/>
  <c r="A116" i="12"/>
  <c r="A117" i="12"/>
  <c r="A118" i="12"/>
  <c r="A119" i="12"/>
  <c r="A120" i="12"/>
  <c r="A121" i="12"/>
  <c r="A122" i="12"/>
  <c r="A123" i="12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9" i="21"/>
  <c r="A11" i="32" s="1"/>
  <c r="A12" i="32" s="1"/>
  <c r="A24" i="32" s="1"/>
  <c r="A10" i="21"/>
  <c r="A11" i="21"/>
  <c r="A12" i="21"/>
  <c r="A13" i="21"/>
  <c r="A14" i="21"/>
  <c r="A15" i="21"/>
  <c r="A16" i="21"/>
  <c r="A17" i="21"/>
  <c r="A18" i="21"/>
  <c r="A19" i="21"/>
  <c r="A20" i="21"/>
  <c r="A21" i="21"/>
  <c r="A22" i="21"/>
  <c r="A23" i="21"/>
  <c r="A24" i="21"/>
  <c r="A25" i="21"/>
  <c r="A26" i="21"/>
  <c r="A27" i="21"/>
  <c r="A28" i="21"/>
  <c r="A29" i="21"/>
  <c r="A30" i="21"/>
  <c r="A31" i="21"/>
  <c r="A32" i="21"/>
  <c r="A33" i="21"/>
  <c r="A34" i="21"/>
  <c r="A35" i="21"/>
  <c r="A36" i="21"/>
  <c r="A37" i="21"/>
  <c r="A38" i="21"/>
  <c r="A39" i="21"/>
  <c r="A40" i="21"/>
  <c r="A41" i="21"/>
  <c r="A42" i="21"/>
  <c r="A43" i="21"/>
  <c r="A44" i="21"/>
  <c r="A45" i="21"/>
  <c r="A46" i="21"/>
  <c r="A47" i="21"/>
  <c r="A48" i="21"/>
  <c r="A49" i="21"/>
  <c r="A50" i="21"/>
  <c r="A51" i="21"/>
  <c r="A52" i="21"/>
  <c r="A53" i="21"/>
  <c r="A54" i="21"/>
  <c r="A55" i="21"/>
  <c r="A56" i="21"/>
  <c r="A57" i="21"/>
  <c r="A58" i="21"/>
  <c r="A59" i="21"/>
  <c r="A60" i="21"/>
  <c r="A61" i="21"/>
  <c r="A62" i="21"/>
  <c r="A63" i="21"/>
  <c r="A64" i="21"/>
  <c r="A65" i="21"/>
  <c r="A66" i="21"/>
  <c r="A67" i="21"/>
  <c r="A68" i="21"/>
  <c r="A69" i="21"/>
  <c r="A70" i="21"/>
  <c r="A71" i="21"/>
  <c r="A72" i="21"/>
  <c r="A73" i="21"/>
  <c r="A74" i="21"/>
  <c r="A75" i="21"/>
  <c r="A76" i="21"/>
  <c r="A77" i="21"/>
  <c r="A78" i="21"/>
  <c r="A79" i="21"/>
  <c r="A80" i="21"/>
  <c r="A81" i="21"/>
  <c r="A82" i="21"/>
  <c r="A83" i="21"/>
  <c r="A84" i="21"/>
  <c r="A85" i="21"/>
  <c r="A86" i="21"/>
  <c r="A87" i="21"/>
  <c r="A88" i="21"/>
  <c r="A89" i="21"/>
  <c r="A90" i="21"/>
  <c r="A91" i="21"/>
  <c r="A92" i="21"/>
  <c r="A93" i="21"/>
  <c r="A94" i="21"/>
  <c r="A95" i="21"/>
  <c r="A96" i="21"/>
  <c r="A97" i="21"/>
  <c r="A98" i="21"/>
  <c r="A9" i="25"/>
  <c r="A10" i="25"/>
  <c r="A11" i="25"/>
  <c r="A12" i="25"/>
  <c r="A13" i="25"/>
  <c r="A14" i="25"/>
  <c r="A15" i="25"/>
  <c r="A16" i="25"/>
  <c r="A8" i="25"/>
  <c r="A9" i="53"/>
  <c r="A10" i="53"/>
  <c r="A11" i="53"/>
  <c r="A12" i="53"/>
  <c r="A13" i="53"/>
  <c r="A14" i="53"/>
  <c r="A15" i="53"/>
  <c r="A16" i="53"/>
  <c r="A17" i="53"/>
  <c r="A18" i="53"/>
  <c r="A19" i="53"/>
  <c r="A20" i="53"/>
  <c r="A21" i="53"/>
  <c r="A22" i="53"/>
  <c r="A23" i="53"/>
  <c r="A24" i="53"/>
  <c r="A25" i="53"/>
  <c r="A26" i="53"/>
  <c r="A27" i="53"/>
  <c r="A28" i="53"/>
  <c r="A29" i="53"/>
  <c r="A30" i="53"/>
  <c r="A31" i="53"/>
  <c r="A32" i="53"/>
  <c r="A33" i="53"/>
  <c r="A34" i="53"/>
  <c r="A35" i="53"/>
  <c r="A36" i="53"/>
  <c r="A37" i="53"/>
  <c r="A38" i="53"/>
  <c r="A39" i="53"/>
  <c r="A40" i="53"/>
  <c r="A41" i="53"/>
  <c r="A42" i="53"/>
  <c r="A43" i="53"/>
  <c r="A44" i="53"/>
  <c r="A45" i="53"/>
  <c r="A46" i="53"/>
  <c r="A47" i="53"/>
  <c r="A48" i="53"/>
  <c r="A9" i="24"/>
  <c r="A10" i="24"/>
  <c r="A11" i="24"/>
  <c r="A12" i="24"/>
  <c r="A13" i="24"/>
  <c r="A14" i="24"/>
  <c r="A15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8" i="24"/>
  <c r="M61" i="54"/>
  <c r="M60" i="54"/>
  <c r="M59" i="54"/>
  <c r="M58" i="54"/>
  <c r="M57" i="54"/>
  <c r="M56" i="54"/>
  <c r="M55" i="54"/>
  <c r="M54" i="54"/>
  <c r="M53" i="54"/>
  <c r="M52" i="54"/>
  <c r="M51" i="54"/>
  <c r="M50" i="54"/>
  <c r="M49" i="54"/>
  <c r="M48" i="54"/>
  <c r="M47" i="54"/>
  <c r="M46" i="54"/>
  <c r="M45" i="54"/>
  <c r="M44" i="54"/>
  <c r="M43" i="54"/>
  <c r="M42" i="54"/>
  <c r="M41" i="54"/>
  <c r="M40" i="54"/>
  <c r="K8" i="18"/>
  <c r="K7" i="18"/>
  <c r="K6" i="18"/>
  <c r="K5" i="18"/>
  <c r="K4" i="18"/>
  <c r="K3" i="18"/>
  <c r="K9" i="18"/>
  <c r="K19" i="18"/>
  <c r="K18" i="18"/>
  <c r="K16" i="18"/>
  <c r="K15" i="18"/>
  <c r="K14" i="18"/>
  <c r="K13" i="18"/>
  <c r="K12" i="18"/>
  <c r="K11" i="18"/>
  <c r="K10" i="18"/>
  <c r="K20" i="18"/>
  <c r="K28" i="18"/>
  <c r="K27" i="18"/>
  <c r="K26" i="18"/>
  <c r="K25" i="18"/>
  <c r="K24" i="18"/>
  <c r="K23" i="18"/>
  <c r="K22" i="18"/>
  <c r="K21" i="18"/>
  <c r="K2" i="18"/>
  <c r="A135" i="54" l="1"/>
  <c r="A9" i="51"/>
  <c r="A10" i="51"/>
  <c r="A9" i="52"/>
  <c r="A10" i="52"/>
  <c r="A11" i="52"/>
  <c r="A8" i="52"/>
  <c r="A9" i="47"/>
  <c r="A10" i="47"/>
  <c r="A11" i="47"/>
  <c r="A12" i="47"/>
  <c r="A13" i="47"/>
  <c r="A14" i="47"/>
  <c r="A15" i="47"/>
  <c r="A16" i="47"/>
  <c r="A17" i="47"/>
  <c r="A18" i="47"/>
  <c r="A19" i="47"/>
  <c r="A20" i="47"/>
  <c r="A21" i="47"/>
  <c r="A12" i="52" l="1"/>
  <c r="A250" i="24"/>
  <c r="O164" i="55" l="1"/>
  <c r="O163" i="55"/>
  <c r="O162" i="55"/>
  <c r="O160" i="55"/>
  <c r="O159" i="55"/>
  <c r="O158" i="55"/>
  <c r="O157" i="55"/>
  <c r="O155" i="55"/>
  <c r="O151" i="55"/>
  <c r="O150" i="55"/>
  <c r="O149" i="55"/>
  <c r="O148" i="55"/>
  <c r="O147" i="55"/>
  <c r="O146" i="55"/>
  <c r="O145" i="55"/>
  <c r="O144" i="55"/>
  <c r="O143" i="55"/>
  <c r="O142" i="55"/>
  <c r="O141" i="55"/>
  <c r="O140" i="55"/>
  <c r="O139" i="55"/>
  <c r="O135" i="55"/>
  <c r="O134" i="55"/>
  <c r="O133" i="55"/>
  <c r="O132" i="55"/>
  <c r="O128" i="55"/>
  <c r="O127" i="55"/>
  <c r="O126" i="55"/>
  <c r="O122" i="55"/>
  <c r="O121" i="55"/>
  <c r="O120" i="55"/>
  <c r="O119" i="55"/>
  <c r="O117" i="55"/>
  <c r="O116" i="55"/>
  <c r="O115" i="55"/>
  <c r="O111" i="55"/>
  <c r="O110" i="55"/>
  <c r="O109" i="55"/>
  <c r="O108" i="55"/>
  <c r="O107" i="55"/>
  <c r="O106" i="55"/>
  <c r="O105" i="55"/>
  <c r="O104" i="55"/>
  <c r="O103" i="55"/>
  <c r="O102" i="55"/>
  <c r="O101" i="55"/>
  <c r="O100" i="55"/>
  <c r="O99" i="55"/>
  <c r="O98" i="55"/>
  <c r="O97" i="55"/>
  <c r="O96" i="55"/>
  <c r="O95" i="55"/>
  <c r="O91" i="55"/>
  <c r="O90" i="55"/>
  <c r="O89" i="55"/>
  <c r="O85" i="55"/>
  <c r="O84" i="55"/>
  <c r="O82" i="55"/>
  <c r="O81" i="55"/>
  <c r="O77" i="55"/>
  <c r="O76" i="55"/>
  <c r="O75" i="55"/>
  <c r="O74" i="55"/>
  <c r="O73" i="55"/>
  <c r="O71" i="55"/>
  <c r="O70" i="55"/>
  <c r="O69" i="55"/>
  <c r="O65" i="55"/>
  <c r="O64" i="55"/>
  <c r="O63" i="55"/>
  <c r="O62" i="55"/>
  <c r="O61" i="55"/>
  <c r="O60" i="55"/>
  <c r="O59" i="55"/>
  <c r="O58" i="55"/>
  <c r="O57" i="55"/>
  <c r="O56" i="55"/>
  <c r="O55" i="55"/>
  <c r="O54" i="55"/>
  <c r="O53" i="55"/>
  <c r="O52" i="55"/>
  <c r="O51" i="55"/>
  <c r="O49" i="55"/>
  <c r="O48" i="55"/>
  <c r="O47" i="55"/>
  <c r="O46" i="55"/>
  <c r="O45" i="55"/>
  <c r="O29" i="55"/>
  <c r="O28" i="55"/>
  <c r="O24" i="55"/>
  <c r="O23" i="55"/>
  <c r="O22" i="55"/>
  <c r="O21" i="55"/>
  <c r="O20" i="55"/>
  <c r="O19" i="55"/>
  <c r="O18" i="55"/>
  <c r="O17" i="55"/>
  <c r="O16" i="55"/>
  <c r="O15" i="55"/>
  <c r="O14" i="55"/>
  <c r="O13" i="55"/>
  <c r="O12" i="55"/>
  <c r="O11" i="55"/>
  <c r="O10" i="55"/>
  <c r="M84" i="54"/>
  <c r="M83" i="54"/>
  <c r="M82" i="54"/>
  <c r="M81" i="54"/>
  <c r="M80" i="54"/>
  <c r="M79" i="54"/>
  <c r="M78" i="54"/>
  <c r="M77" i="54"/>
  <c r="M76" i="54"/>
  <c r="M75" i="54"/>
  <c r="M74" i="54"/>
  <c r="M73" i="54"/>
  <c r="M72" i="54"/>
  <c r="M71" i="54"/>
  <c r="M70" i="54"/>
  <c r="M69" i="54"/>
  <c r="M68" i="54"/>
  <c r="M67" i="54"/>
  <c r="M66" i="54"/>
  <c r="M65" i="54"/>
  <c r="M64" i="54"/>
  <c r="M63" i="54"/>
  <c r="M62" i="54"/>
  <c r="M39" i="54"/>
  <c r="M38" i="54"/>
  <c r="M37" i="54"/>
  <c r="M36" i="54"/>
  <c r="M35" i="54"/>
  <c r="M34" i="54"/>
  <c r="M33" i="54"/>
  <c r="M32" i="54"/>
  <c r="M31" i="54"/>
  <c r="M30" i="54"/>
  <c r="M29" i="54"/>
  <c r="M28" i="54"/>
  <c r="M27" i="54"/>
  <c r="M26" i="54"/>
  <c r="M25" i="54"/>
  <c r="M24" i="54"/>
  <c r="M23" i="54"/>
  <c r="M22" i="54"/>
  <c r="M21" i="54"/>
  <c r="M20" i="54"/>
  <c r="M106" i="54"/>
  <c r="M105" i="54"/>
  <c r="M104" i="54"/>
  <c r="M103" i="54"/>
  <c r="M102" i="54"/>
  <c r="M101" i="54"/>
  <c r="M100" i="54"/>
  <c r="M99" i="54"/>
  <c r="M98" i="54"/>
  <c r="M97" i="54"/>
  <c r="M96" i="54"/>
  <c r="M95" i="54"/>
  <c r="M94" i="54"/>
  <c r="M93" i="54"/>
  <c r="M92" i="54"/>
  <c r="M91" i="54"/>
  <c r="M90" i="54"/>
  <c r="M89" i="54"/>
  <c r="M88" i="54"/>
  <c r="M87" i="54"/>
  <c r="M86" i="54"/>
  <c r="M134" i="54"/>
  <c r="M133" i="54"/>
  <c r="M132" i="54"/>
  <c r="M131" i="54"/>
  <c r="M130" i="54"/>
  <c r="M129" i="54"/>
  <c r="M128" i="54"/>
  <c r="M127" i="54"/>
  <c r="M126" i="54"/>
  <c r="M125" i="54"/>
  <c r="M124" i="54"/>
  <c r="M123" i="54"/>
  <c r="M122" i="54"/>
  <c r="M121" i="54"/>
  <c r="M120" i="54"/>
  <c r="M119" i="54"/>
  <c r="M118" i="54"/>
  <c r="M117" i="54"/>
  <c r="M116" i="54"/>
  <c r="M115" i="54"/>
  <c r="M114" i="54"/>
  <c r="M113" i="54"/>
  <c r="M112" i="54"/>
  <c r="M110" i="54"/>
  <c r="M109" i="54"/>
  <c r="M108" i="54"/>
  <c r="M18" i="54"/>
  <c r="M17" i="54"/>
  <c r="M16" i="54"/>
  <c r="M15" i="54"/>
  <c r="M14" i="54"/>
  <c r="M13" i="54"/>
  <c r="M12" i="54"/>
  <c r="M11" i="54"/>
  <c r="M10" i="54"/>
  <c r="M9" i="54"/>
  <c r="M48" i="53"/>
  <c r="M47" i="53"/>
  <c r="M46" i="53"/>
  <c r="M45" i="53"/>
  <c r="M44" i="53"/>
  <c r="M43" i="53"/>
  <c r="M42" i="53"/>
  <c r="M41" i="53"/>
  <c r="M40" i="53"/>
  <c r="M39" i="53"/>
  <c r="M38" i="53"/>
  <c r="M37" i="53"/>
  <c r="M36" i="53"/>
  <c r="M35" i="53"/>
  <c r="M34" i="53"/>
  <c r="M33" i="53"/>
  <c r="M32" i="53"/>
  <c r="M31" i="53"/>
  <c r="M30" i="53"/>
  <c r="M29" i="53"/>
  <c r="M28" i="53"/>
  <c r="M27" i="53"/>
  <c r="M26" i="53"/>
  <c r="M25" i="53"/>
  <c r="M24" i="53"/>
  <c r="M23" i="53"/>
  <c r="M22" i="53"/>
  <c r="M21" i="53"/>
  <c r="M20" i="53"/>
  <c r="M19" i="53"/>
  <c r="M18" i="53"/>
  <c r="M17" i="53"/>
  <c r="M16" i="53"/>
  <c r="M15" i="53"/>
  <c r="M14" i="53"/>
  <c r="M13" i="53"/>
  <c r="M12" i="53"/>
  <c r="M11" i="53"/>
  <c r="M10" i="53"/>
  <c r="M9" i="53"/>
  <c r="M8" i="53"/>
  <c r="M11" i="52"/>
  <c r="M10" i="52"/>
  <c r="M9" i="52"/>
  <c r="M8" i="52"/>
  <c r="M10" i="51"/>
  <c r="M9" i="51"/>
  <c r="M8" i="51"/>
  <c r="M21" i="47"/>
  <c r="M20" i="47"/>
  <c r="M19" i="47"/>
  <c r="M18" i="47"/>
  <c r="M17" i="47"/>
  <c r="M16" i="47"/>
  <c r="M15" i="47"/>
  <c r="M14" i="47"/>
  <c r="M11" i="47"/>
  <c r="M10" i="47"/>
  <c r="M9" i="47"/>
  <c r="M8" i="47"/>
  <c r="M46" i="28" l="1"/>
  <c r="M44" i="28"/>
  <c r="M53" i="28"/>
  <c r="M47" i="28"/>
  <c r="M56" i="28"/>
  <c r="M57" i="28"/>
  <c r="M58" i="28"/>
  <c r="M59" i="28"/>
  <c r="M60" i="28"/>
  <c r="M61" i="28"/>
  <c r="M62" i="28"/>
  <c r="M65" i="28"/>
  <c r="M66" i="28"/>
  <c r="M68" i="28"/>
  <c r="M69" i="28"/>
  <c r="M70" i="28"/>
  <c r="M71" i="28"/>
  <c r="M75" i="28"/>
  <c r="M76" i="28"/>
  <c r="M77" i="28"/>
  <c r="M78" i="28"/>
  <c r="M79" i="28"/>
  <c r="M80" i="28"/>
  <c r="M81" i="28"/>
  <c r="M82" i="28"/>
  <c r="M83" i="28"/>
  <c r="M84" i="28"/>
  <c r="M85" i="28"/>
  <c r="A12" i="8" l="1"/>
  <c r="A14" i="8" s="1"/>
  <c r="A13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4" i="8"/>
  <c r="A16" i="8" l="1"/>
  <c r="A15" i="8"/>
  <c r="K23" i="19"/>
  <c r="M23" i="18" s="1"/>
  <c r="K26" i="19"/>
  <c r="M26" i="18" s="1"/>
  <c r="K25" i="19"/>
  <c r="M25" i="18" s="1"/>
  <c r="K22" i="19"/>
  <c r="M22" i="18" s="1"/>
  <c r="K21" i="19"/>
  <c r="M21" i="18" s="1"/>
  <c r="K20" i="19"/>
  <c r="M20" i="18" s="1"/>
  <c r="K24" i="19"/>
  <c r="M24" i="18" s="1"/>
  <c r="K17" i="19"/>
  <c r="M17" i="18" s="1"/>
  <c r="K9" i="19"/>
  <c r="M9" i="18" s="1"/>
  <c r="K16" i="19"/>
  <c r="M16" i="18" s="1"/>
  <c r="K15" i="19"/>
  <c r="M15" i="18" s="1"/>
  <c r="K14" i="19"/>
  <c r="M14" i="18" s="1"/>
  <c r="K13" i="19"/>
  <c r="M13" i="18" s="1"/>
  <c r="K12" i="19"/>
  <c r="M12" i="18" s="1"/>
  <c r="K11" i="19"/>
  <c r="M11" i="18" s="1"/>
  <c r="K8" i="19"/>
  <c r="M8" i="18" s="1"/>
  <c r="K4" i="19"/>
  <c r="M4" i="18" s="1"/>
  <c r="K3" i="19"/>
  <c r="M3" i="18" s="1"/>
  <c r="K2" i="19"/>
  <c r="A17" i="8" l="1"/>
  <c r="A18" i="8" l="1"/>
  <c r="A19" i="8"/>
  <c r="A20" i="8" s="1"/>
  <c r="A283" i="8" l="1"/>
  <c r="M11" i="32" l="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M112" i="42"/>
  <c r="A11" i="9"/>
  <c r="A12" i="9"/>
  <c r="A13" i="9"/>
  <c r="A14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10" i="42"/>
  <c r="A11" i="42"/>
  <c r="A12" i="42"/>
  <c r="A13" i="42"/>
  <c r="A14" i="42"/>
  <c r="A15" i="42"/>
  <c r="A16" i="42"/>
  <c r="A17" i="42"/>
  <c r="A18" i="42"/>
  <c r="A19" i="42"/>
  <c r="A20" i="42"/>
  <c r="A21" i="42"/>
  <c r="A22" i="42"/>
  <c r="A23" i="42"/>
  <c r="A24" i="42"/>
  <c r="A25" i="42"/>
  <c r="A26" i="42"/>
  <c r="A27" i="42"/>
  <c r="A28" i="42"/>
  <c r="A29" i="42"/>
  <c r="A30" i="42"/>
  <c r="A31" i="42"/>
  <c r="A32" i="42"/>
  <c r="A33" i="42"/>
  <c r="A34" i="42"/>
  <c r="A35" i="42"/>
  <c r="A36" i="42"/>
  <c r="A37" i="42"/>
  <c r="A38" i="42"/>
  <c r="A39" i="42"/>
  <c r="A40" i="42"/>
  <c r="A41" i="42"/>
  <c r="A42" i="42"/>
  <c r="A43" i="42"/>
  <c r="A44" i="42"/>
  <c r="A45" i="42"/>
  <c r="A46" i="42"/>
  <c r="A47" i="42"/>
  <c r="A48" i="42"/>
  <c r="A49" i="42"/>
  <c r="A50" i="42"/>
  <c r="A51" i="42"/>
  <c r="A52" i="42"/>
  <c r="A53" i="42"/>
  <c r="A54" i="42"/>
  <c r="A55" i="42"/>
  <c r="A56" i="42"/>
  <c r="A57" i="42"/>
  <c r="A58" i="42"/>
  <c r="A59" i="42"/>
  <c r="A60" i="42"/>
  <c r="A61" i="42"/>
  <c r="A62" i="42"/>
  <c r="A63" i="42"/>
  <c r="A64" i="42"/>
  <c r="A65" i="42"/>
  <c r="A66" i="42"/>
  <c r="A67" i="42"/>
  <c r="A68" i="42"/>
  <c r="A69" i="42"/>
  <c r="A70" i="42"/>
  <c r="A71" i="42"/>
  <c r="A72" i="42"/>
  <c r="A73" i="42"/>
  <c r="A74" i="42"/>
  <c r="A75" i="42"/>
  <c r="A76" i="42"/>
  <c r="A77" i="42"/>
  <c r="A78" i="42"/>
  <c r="A79" i="42"/>
  <c r="A80" i="42"/>
  <c r="A81" i="42"/>
  <c r="A82" i="42"/>
  <c r="A83" i="42"/>
  <c r="A84" i="42"/>
  <c r="A85" i="42"/>
  <c r="A86" i="42"/>
  <c r="A87" i="42"/>
  <c r="A88" i="42"/>
  <c r="A89" i="42"/>
  <c r="A90" i="42"/>
  <c r="A91" i="42"/>
  <c r="A92" i="42"/>
  <c r="A93" i="42"/>
  <c r="A94" i="42"/>
  <c r="A95" i="42"/>
  <c r="A96" i="42"/>
  <c r="A97" i="42"/>
  <c r="A98" i="42"/>
  <c r="A99" i="42"/>
  <c r="A100" i="42"/>
  <c r="A101" i="42"/>
  <c r="A102" i="42"/>
  <c r="A103" i="42"/>
  <c r="A104" i="42"/>
  <c r="A105" i="42"/>
  <c r="A106" i="42"/>
  <c r="A107" i="42"/>
  <c r="A108" i="42"/>
  <c r="A109" i="42"/>
  <c r="A110" i="42"/>
  <c r="A111" i="42"/>
  <c r="A113" i="42"/>
  <c r="A114" i="42"/>
  <c r="A115" i="42"/>
  <c r="A116" i="42"/>
  <c r="A9" i="42" l="1"/>
  <c r="M12" i="45" l="1"/>
  <c r="M11" i="45"/>
  <c r="M10" i="45"/>
  <c r="M9" i="45"/>
  <c r="M8" i="45"/>
  <c r="M17" i="46" l="1"/>
  <c r="M18" i="46"/>
  <c r="M27" i="46"/>
  <c r="M15" i="46"/>
  <c r="M25" i="46"/>
  <c r="M28" i="46"/>
  <c r="M12" i="46"/>
  <c r="M11" i="46"/>
  <c r="M13" i="46"/>
  <c r="M16" i="46"/>
  <c r="M23" i="46"/>
  <c r="M29" i="46"/>
  <c r="M19" i="46"/>
  <c r="M20" i="46"/>
  <c r="M10" i="46"/>
  <c r="M22" i="46"/>
  <c r="M9" i="46"/>
  <c r="M26" i="46"/>
  <c r="M21" i="46"/>
  <c r="M24" i="46"/>
  <c r="M8" i="46"/>
  <c r="M14" i="46"/>
  <c r="M15" i="45"/>
  <c r="M14" i="45"/>
  <c r="M13" i="45"/>
  <c r="Q28" i="22" l="1"/>
  <c r="Q31" i="22"/>
  <c r="Q30" i="22"/>
  <c r="Q36" i="22"/>
  <c r="Q29" i="22"/>
  <c r="M96" i="28" l="1"/>
  <c r="M20" i="21" l="1"/>
  <c r="M19" i="21"/>
  <c r="M32" i="12" l="1"/>
  <c r="M33" i="12" l="1"/>
  <c r="M34" i="12"/>
  <c r="M112" i="12"/>
  <c r="M109" i="12"/>
  <c r="M108" i="12"/>
  <c r="M107" i="12"/>
  <c r="M106" i="12"/>
  <c r="M105" i="12"/>
  <c r="M104" i="12"/>
  <c r="M59" i="21" l="1"/>
  <c r="M60" i="21"/>
  <c r="M58" i="21"/>
  <c r="M57" i="21"/>
  <c r="M49" i="21"/>
  <c r="M50" i="21"/>
  <c r="M48" i="21"/>
  <c r="M47" i="21"/>
  <c r="M46" i="21"/>
  <c r="M45" i="28"/>
  <c r="M27" i="28"/>
  <c r="M28" i="28"/>
  <c r="M363" i="9" l="1"/>
  <c r="M208" i="9"/>
  <c r="M194" i="9"/>
  <c r="M309" i="9"/>
  <c r="M184" i="9"/>
  <c r="M182" i="9"/>
  <c r="M180" i="9"/>
  <c r="M179" i="9"/>
  <c r="M178" i="9"/>
  <c r="M177" i="9"/>
  <c r="M176" i="9"/>
  <c r="M175" i="9"/>
  <c r="M183" i="9"/>
  <c r="M181" i="9"/>
  <c r="M174" i="9"/>
  <c r="M173" i="9"/>
  <c r="M167" i="9"/>
  <c r="M155" i="9"/>
  <c r="M139" i="9"/>
  <c r="M136" i="9"/>
  <c r="M135" i="9"/>
  <c r="M118" i="9"/>
  <c r="M95" i="9"/>
  <c r="M52" i="9"/>
  <c r="M41" i="9"/>
  <c r="M18" i="9"/>
  <c r="J11" i="42" l="1"/>
  <c r="J12" i="42"/>
  <c r="J16" i="42"/>
  <c r="J19" i="42"/>
  <c r="J21" i="42"/>
  <c r="J22" i="42"/>
  <c r="J24" i="42"/>
  <c r="J29" i="42"/>
  <c r="J32" i="42"/>
  <c r="J43" i="42"/>
  <c r="J44" i="42"/>
  <c r="J45" i="42"/>
  <c r="J48" i="42"/>
  <c r="J51" i="42"/>
  <c r="J53" i="42"/>
  <c r="J54" i="42"/>
  <c r="J56" i="42"/>
  <c r="J61" i="42"/>
  <c r="J64" i="42"/>
  <c r="J75" i="42"/>
  <c r="J76" i="42"/>
  <c r="J77" i="42"/>
  <c r="J80" i="42"/>
  <c r="J84" i="42"/>
  <c r="J85" i="42"/>
  <c r="J86" i="42"/>
  <c r="J88" i="42"/>
  <c r="J91" i="42"/>
  <c r="J93" i="42"/>
  <c r="J99" i="42"/>
  <c r="J100" i="42"/>
  <c r="J101" i="42"/>
  <c r="J102" i="42"/>
  <c r="J108" i="42"/>
  <c r="J109" i="42"/>
  <c r="J112" i="42"/>
  <c r="J115" i="42"/>
  <c r="J15" i="42"/>
  <c r="J23" i="42"/>
  <c r="J31" i="42"/>
  <c r="J39" i="42"/>
  <c r="J40" i="42"/>
  <c r="J47" i="42"/>
  <c r="J55" i="42"/>
  <c r="J63" i="42"/>
  <c r="J71" i="42"/>
  <c r="J72" i="42"/>
  <c r="J79" i="42"/>
  <c r="J82" i="42"/>
  <c r="J90" i="42"/>
  <c r="J92" i="42"/>
  <c r="J96" i="42"/>
  <c r="J98" i="42"/>
  <c r="J104" i="42"/>
  <c r="J106" i="42"/>
  <c r="J113" i="42"/>
  <c r="J114" i="42"/>
  <c r="J81" i="42"/>
  <c r="J116" i="42"/>
  <c r="J13" i="42"/>
  <c r="J14" i="42"/>
  <c r="J17" i="42"/>
  <c r="J18" i="42"/>
  <c r="J20" i="42"/>
  <c r="J25" i="42"/>
  <c r="J26" i="42"/>
  <c r="J27" i="42"/>
  <c r="J28" i="42"/>
  <c r="J30" i="42"/>
  <c r="J33" i="42"/>
  <c r="J34" i="42"/>
  <c r="J35" i="42"/>
  <c r="J36" i="42"/>
  <c r="J37" i="42"/>
  <c r="J38" i="42"/>
  <c r="J41" i="42"/>
  <c r="J42" i="42"/>
  <c r="J46" i="42"/>
  <c r="J49" i="42"/>
  <c r="J50" i="42"/>
  <c r="J52" i="42"/>
  <c r="J57" i="42"/>
  <c r="J58" i="42"/>
  <c r="J59" i="42"/>
  <c r="J60" i="42"/>
  <c r="J62" i="42"/>
  <c r="J65" i="42"/>
  <c r="J66" i="42"/>
  <c r="J67" i="42"/>
  <c r="J68" i="42"/>
  <c r="J69" i="42"/>
  <c r="J70" i="42"/>
  <c r="J73" i="42"/>
  <c r="J74" i="42"/>
  <c r="J78" i="42"/>
  <c r="J83" i="42"/>
  <c r="J87" i="42"/>
  <c r="J89" i="42"/>
  <c r="J94" i="42"/>
  <c r="J95" i="42"/>
  <c r="J97" i="42"/>
  <c r="J103" i="42"/>
  <c r="J105" i="42"/>
  <c r="J107" i="42"/>
  <c r="J110" i="42"/>
  <c r="J111" i="42"/>
  <c r="J8" i="8"/>
  <c r="J9" i="42" l="1"/>
  <c r="J10" i="42"/>
  <c r="J8" i="42"/>
  <c r="M116" i="42"/>
  <c r="M115" i="42"/>
  <c r="M114" i="42"/>
  <c r="M113" i="42"/>
  <c r="M111" i="42"/>
  <c r="M110" i="42"/>
  <c r="M109" i="42"/>
  <c r="M108" i="42"/>
  <c r="M107" i="42"/>
  <c r="M106" i="42"/>
  <c r="M105" i="42"/>
  <c r="M104" i="42"/>
  <c r="M103" i="42"/>
  <c r="M102" i="42"/>
  <c r="M101" i="42"/>
  <c r="M100" i="42"/>
  <c r="M99" i="42"/>
  <c r="M98" i="42"/>
  <c r="M97" i="42"/>
  <c r="M96" i="42"/>
  <c r="M95" i="42"/>
  <c r="M94" i="42"/>
  <c r="M93" i="42"/>
  <c r="M92" i="42"/>
  <c r="M91" i="42"/>
  <c r="M90" i="42"/>
  <c r="M89" i="42"/>
  <c r="M88" i="42"/>
  <c r="M87" i="42"/>
  <c r="M86" i="42"/>
  <c r="M85" i="42"/>
  <c r="M84" i="42"/>
  <c r="M83" i="42"/>
  <c r="M82" i="42"/>
  <c r="M81" i="42"/>
  <c r="M80" i="42"/>
  <c r="M79" i="42"/>
  <c r="M78" i="42"/>
  <c r="M77" i="42"/>
  <c r="M76" i="42"/>
  <c r="M75" i="42"/>
  <c r="M74" i="42"/>
  <c r="M73" i="42"/>
  <c r="M72" i="42"/>
  <c r="M71" i="42"/>
  <c r="M70" i="42"/>
  <c r="M69" i="42"/>
  <c r="M68" i="42"/>
  <c r="M67" i="42"/>
  <c r="M66" i="42"/>
  <c r="M65" i="42"/>
  <c r="M64" i="42"/>
  <c r="M63" i="42"/>
  <c r="M62" i="42"/>
  <c r="M61" i="42"/>
  <c r="M60" i="42"/>
  <c r="M59" i="42"/>
  <c r="M58" i="42"/>
  <c r="M57" i="42"/>
  <c r="M56" i="42"/>
  <c r="M55" i="42"/>
  <c r="M54" i="42"/>
  <c r="M53" i="42"/>
  <c r="M52" i="42"/>
  <c r="M51" i="42"/>
  <c r="M50" i="42"/>
  <c r="M49" i="42"/>
  <c r="M48" i="42"/>
  <c r="M47" i="42"/>
  <c r="M46" i="42"/>
  <c r="M45" i="42"/>
  <c r="M44" i="42"/>
  <c r="M43" i="42"/>
  <c r="M42" i="42"/>
  <c r="M41" i="42"/>
  <c r="M40" i="42"/>
  <c r="M39" i="42"/>
  <c r="M38" i="42"/>
  <c r="M37" i="42"/>
  <c r="M36" i="42"/>
  <c r="M35" i="42"/>
  <c r="M34" i="42"/>
  <c r="M33" i="42"/>
  <c r="M32" i="42"/>
  <c r="M31" i="42"/>
  <c r="M30" i="42"/>
  <c r="M29" i="42"/>
  <c r="M28" i="42"/>
  <c r="M27" i="42"/>
  <c r="M26" i="42"/>
  <c r="M25" i="42"/>
  <c r="M24" i="42"/>
  <c r="M23" i="42"/>
  <c r="M22" i="42"/>
  <c r="M21" i="42"/>
  <c r="M20" i="42"/>
  <c r="M19" i="42"/>
  <c r="M18" i="42"/>
  <c r="M17" i="42"/>
  <c r="M16" i="42"/>
  <c r="M15" i="42"/>
  <c r="M14" i="42"/>
  <c r="M13" i="42"/>
  <c r="M12" i="42"/>
  <c r="M11" i="42"/>
  <c r="M10" i="42"/>
  <c r="M9" i="42"/>
  <c r="M8" i="42"/>
  <c r="O66" i="29"/>
  <c r="O65" i="29"/>
  <c r="O64" i="29"/>
  <c r="Q83" i="22" l="1"/>
  <c r="Q82" i="22"/>
  <c r="Q81" i="22"/>
  <c r="Q80" i="22"/>
  <c r="Q79" i="22"/>
  <c r="Q90" i="22" l="1"/>
  <c r="Q89" i="22"/>
  <c r="Q99" i="22"/>
  <c r="Q98" i="22"/>
  <c r="Q97" i="22"/>
  <c r="Q96" i="22"/>
  <c r="Q95" i="22"/>
  <c r="Q94" i="22"/>
  <c r="Q93" i="22"/>
  <c r="Q92" i="22"/>
  <c r="Q91" i="22"/>
  <c r="Q52" i="22"/>
  <c r="Q55" i="22"/>
  <c r="Q53" i="22"/>
  <c r="Q54" i="22"/>
  <c r="Q48" i="22"/>
  <c r="Q51" i="22"/>
  <c r="Q49" i="22"/>
  <c r="Q50" i="22"/>
  <c r="Q47" i="22"/>
  <c r="Q85" i="22"/>
  <c r="Q88" i="22"/>
  <c r="Q86" i="22"/>
  <c r="Q87" i="22"/>
  <c r="Q84" i="22"/>
  <c r="Q75" i="22"/>
  <c r="Q78" i="22"/>
  <c r="Q76" i="22"/>
  <c r="Q77" i="22"/>
  <c r="Q74" i="22"/>
  <c r="Q60" i="22"/>
  <c r="Q63" i="22"/>
  <c r="Q61" i="22"/>
  <c r="Q62" i="22"/>
  <c r="Q56" i="22"/>
  <c r="Q59" i="22"/>
  <c r="Q57" i="22"/>
  <c r="Q58" i="22"/>
  <c r="Q70" i="22"/>
  <c r="Q73" i="22"/>
  <c r="Q71" i="22"/>
  <c r="Q72" i="22"/>
  <c r="Q69" i="22"/>
  <c r="Q65" i="22"/>
  <c r="Q68" i="22"/>
  <c r="Q66" i="22"/>
  <c r="Q67" i="22"/>
  <c r="Q64" i="22"/>
  <c r="Q38" i="22"/>
  <c r="Q41" i="22"/>
  <c r="Q39" i="22"/>
  <c r="Q40" i="22"/>
  <c r="Q37" i="22"/>
  <c r="Q43" i="22"/>
  <c r="Q46" i="22"/>
  <c r="Q44" i="22"/>
  <c r="Q45" i="22"/>
  <c r="Q42" i="22"/>
  <c r="Q35" i="22"/>
  <c r="Q34" i="22"/>
  <c r="Q33" i="22"/>
  <c r="Q32" i="22"/>
  <c r="Q24" i="22"/>
  <c r="Q27" i="22"/>
  <c r="Q25" i="22"/>
  <c r="Q26" i="22"/>
  <c r="Q23" i="22"/>
  <c r="Q19" i="22"/>
  <c r="Q22" i="22"/>
  <c r="Q20" i="22"/>
  <c r="Q21" i="22"/>
  <c r="Q18" i="22"/>
  <c r="Q14" i="22"/>
  <c r="Q17" i="22"/>
  <c r="Q15" i="22"/>
  <c r="Q16" i="22"/>
  <c r="Q13" i="22"/>
  <c r="Q9" i="22"/>
  <c r="Q12" i="22"/>
  <c r="Q11" i="22"/>
  <c r="Q8" i="22"/>
  <c r="Q10" i="22"/>
  <c r="K18" i="19" l="1"/>
  <c r="M18" i="18" s="1"/>
  <c r="M2" i="18" l="1"/>
  <c r="M14" i="40" l="1"/>
  <c r="M13" i="40"/>
  <c r="M12" i="40"/>
  <c r="M11" i="40"/>
  <c r="M10" i="40"/>
  <c r="M89" i="37"/>
  <c r="M29" i="39"/>
  <c r="M32" i="39"/>
  <c r="M31" i="39"/>
  <c r="M30" i="39"/>
  <c r="M27" i="39"/>
  <c r="M26" i="39"/>
  <c r="M25" i="39"/>
  <c r="M24" i="39"/>
  <c r="M23" i="39"/>
  <c r="M22" i="39"/>
  <c r="M21" i="39"/>
  <c r="M20" i="39"/>
  <c r="M18" i="39"/>
  <c r="M19" i="39"/>
  <c r="M17" i="39"/>
  <c r="M16" i="39"/>
  <c r="M15" i="39"/>
  <c r="M14" i="39"/>
  <c r="M13" i="39"/>
  <c r="M12" i="39"/>
  <c r="M11" i="39"/>
  <c r="M10" i="39"/>
  <c r="Q81" i="38"/>
  <c r="Q80" i="38"/>
  <c r="Q79" i="38"/>
  <c r="Q78" i="38"/>
  <c r="Q77" i="38"/>
  <c r="Q76" i="38"/>
  <c r="Q74" i="38"/>
  <c r="Q73" i="38"/>
  <c r="Q72" i="38"/>
  <c r="Q71" i="38"/>
  <c r="Q70" i="38"/>
  <c r="Q69" i="38"/>
  <c r="Q68" i="38"/>
  <c r="Q67" i="38"/>
  <c r="Q66" i="38"/>
  <c r="Q65" i="38"/>
  <c r="Q64" i="38"/>
  <c r="Q63" i="38"/>
  <c r="Q62" i="38"/>
  <c r="Q61" i="38"/>
  <c r="Q60" i="38"/>
  <c r="Q59" i="38"/>
  <c r="Q58" i="38"/>
  <c r="Q57" i="38"/>
  <c r="Q56" i="38"/>
  <c r="Q55" i="38"/>
  <c r="Q54" i="38"/>
  <c r="Q53" i="38"/>
  <c r="Q52" i="38"/>
  <c r="Q51" i="38"/>
  <c r="Q50" i="38"/>
  <c r="Q49" i="38"/>
  <c r="Q48" i="38"/>
  <c r="Q47" i="38"/>
  <c r="Q46" i="38"/>
  <c r="Q45" i="38"/>
  <c r="Q44" i="38"/>
  <c r="Q43" i="38"/>
  <c r="Q42" i="38"/>
  <c r="Q41" i="38"/>
  <c r="Q40" i="38"/>
  <c r="Q39" i="38"/>
  <c r="Q38" i="38"/>
  <c r="Q37" i="38"/>
  <c r="Q36" i="38"/>
  <c r="Q35" i="38"/>
  <c r="Q34" i="38"/>
  <c r="Q33" i="38"/>
  <c r="Q32" i="38"/>
  <c r="Q31" i="38"/>
  <c r="Q30" i="38"/>
  <c r="Q29" i="38"/>
  <c r="Q28" i="38"/>
  <c r="Q27" i="38"/>
  <c r="Q26" i="38"/>
  <c r="Q25" i="38"/>
  <c r="Q24" i="38"/>
  <c r="Q23" i="38"/>
  <c r="Q22" i="38"/>
  <c r="Q21" i="38"/>
  <c r="Q20" i="38"/>
  <c r="Q19" i="38"/>
  <c r="Q18" i="38"/>
  <c r="Q17" i="38"/>
  <c r="Q16" i="38"/>
  <c r="Q15" i="38"/>
  <c r="Q14" i="38"/>
  <c r="Q13" i="38"/>
  <c r="Q12" i="38"/>
  <c r="Q10" i="38"/>
  <c r="Q9" i="38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M63" i="34"/>
  <c r="M62" i="34"/>
  <c r="M61" i="34"/>
  <c r="M60" i="34"/>
  <c r="M59" i="34"/>
  <c r="M58" i="34"/>
  <c r="M57" i="34"/>
  <c r="M56" i="34"/>
  <c r="M55" i="34"/>
  <c r="M54" i="34"/>
  <c r="M53" i="34"/>
  <c r="M52" i="34"/>
  <c r="M51" i="34"/>
  <c r="M50" i="34"/>
  <c r="M49" i="34"/>
  <c r="M48" i="34"/>
  <c r="M47" i="34"/>
  <c r="M46" i="34"/>
  <c r="M45" i="34"/>
  <c r="M44" i="34"/>
  <c r="M43" i="34"/>
  <c r="M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9" i="34"/>
  <c r="M28" i="34"/>
  <c r="M27" i="34"/>
  <c r="M26" i="34"/>
  <c r="M25" i="34"/>
  <c r="M24" i="34"/>
  <c r="M23" i="34"/>
  <c r="M22" i="34"/>
  <c r="M21" i="34"/>
  <c r="M20" i="34"/>
  <c r="M19" i="34"/>
  <c r="M18" i="34"/>
  <c r="M17" i="34"/>
  <c r="M16" i="34"/>
  <c r="M15" i="34"/>
  <c r="M14" i="34"/>
  <c r="M13" i="34"/>
  <c r="M12" i="34"/>
  <c r="M11" i="34"/>
  <c r="M10" i="34"/>
  <c r="M9" i="34"/>
  <c r="M495" i="37"/>
  <c r="M494" i="37"/>
  <c r="M493" i="37"/>
  <c r="M492" i="37"/>
  <c r="M491" i="37"/>
  <c r="M489" i="37"/>
  <c r="M487" i="37"/>
  <c r="M486" i="37"/>
  <c r="M485" i="37"/>
  <c r="M484" i="37"/>
  <c r="M483" i="37"/>
  <c r="M482" i="37"/>
  <c r="M481" i="37"/>
  <c r="M480" i="37"/>
  <c r="M479" i="37"/>
  <c r="M478" i="37"/>
  <c r="M477" i="37"/>
  <c r="M476" i="37"/>
  <c r="M475" i="37"/>
  <c r="M474" i="37"/>
  <c r="M473" i="37"/>
  <c r="M471" i="37"/>
  <c r="M470" i="37"/>
  <c r="M469" i="37"/>
  <c r="M468" i="37"/>
  <c r="M467" i="37"/>
  <c r="M466" i="37"/>
  <c r="M465" i="37"/>
  <c r="M464" i="37"/>
  <c r="M463" i="37"/>
  <c r="M462" i="37"/>
  <c r="M461" i="37"/>
  <c r="M460" i="37"/>
  <c r="M459" i="37"/>
  <c r="M458" i="37"/>
  <c r="M457" i="37"/>
  <c r="M456" i="37"/>
  <c r="M455" i="37"/>
  <c r="M454" i="37"/>
  <c r="M453" i="37"/>
  <c r="M451" i="37"/>
  <c r="M450" i="37"/>
  <c r="M449" i="37"/>
  <c r="M448" i="37"/>
  <c r="M447" i="37"/>
  <c r="M446" i="37"/>
  <c r="M445" i="37"/>
  <c r="M444" i="37"/>
  <c r="M443" i="37"/>
  <c r="M442" i="37"/>
  <c r="M441" i="37"/>
  <c r="M440" i="37"/>
  <c r="M439" i="37"/>
  <c r="M438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20" i="37"/>
  <c r="M419" i="37"/>
  <c r="M418" i="37"/>
  <c r="M417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7" i="37"/>
  <c r="M396" i="37"/>
  <c r="M395" i="37"/>
  <c r="M394" i="37"/>
  <c r="M393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6" i="37"/>
  <c r="M375" i="37"/>
  <c r="M374" i="37"/>
  <c r="M373" i="37"/>
  <c r="M372" i="37"/>
  <c r="M371" i="37"/>
  <c r="M370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9" i="37"/>
  <c r="M348" i="37"/>
  <c r="M347" i="37"/>
  <c r="M346" i="37"/>
  <c r="M345" i="37"/>
  <c r="M344" i="37"/>
  <c r="M343" i="37"/>
  <c r="M342" i="37"/>
  <c r="M341" i="37"/>
  <c r="M340" i="37"/>
  <c r="M338" i="37"/>
  <c r="M337" i="37"/>
  <c r="M336" i="37"/>
  <c r="M335" i="37"/>
  <c r="M334" i="37"/>
  <c r="M333" i="37"/>
  <c r="M332" i="37"/>
  <c r="M331" i="37"/>
  <c r="M330" i="37"/>
  <c r="M329" i="37"/>
  <c r="M328" i="37"/>
  <c r="M327" i="37"/>
  <c r="M326" i="37"/>
  <c r="M325" i="37"/>
  <c r="M324" i="37"/>
  <c r="M323" i="37"/>
  <c r="M322" i="37"/>
  <c r="M320" i="37"/>
  <c r="M319" i="37"/>
  <c r="M318" i="37"/>
  <c r="M317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6" i="37"/>
  <c r="M295" i="37"/>
  <c r="M294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73" i="37"/>
  <c r="M272" i="37"/>
  <c r="M271" i="37"/>
  <c r="M270" i="37"/>
  <c r="M269" i="37"/>
  <c r="M268" i="37"/>
  <c r="M267" i="37"/>
  <c r="M266" i="37"/>
  <c r="M265" i="37"/>
  <c r="M264" i="37"/>
  <c r="M263" i="37"/>
  <c r="M262" i="37"/>
  <c r="M261" i="37"/>
  <c r="M260" i="37"/>
  <c r="M259" i="37"/>
  <c r="M258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8" i="37"/>
  <c r="M217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5" i="37"/>
  <c r="M164" i="37"/>
  <c r="M163" i="37"/>
  <c r="M162" i="37"/>
  <c r="M161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40" i="37"/>
  <c r="M139" i="37"/>
  <c r="M138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7" i="37"/>
  <c r="M116" i="37"/>
  <c r="M115" i="37"/>
  <c r="M114" i="37"/>
  <c r="M113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62" i="37"/>
  <c r="M61" i="37"/>
  <c r="M60" i="37"/>
  <c r="M59" i="37"/>
  <c r="M58" i="37"/>
  <c r="M57" i="37"/>
  <c r="M56" i="37"/>
  <c r="M55" i="37"/>
  <c r="M54" i="37"/>
  <c r="M53" i="37"/>
  <c r="M52" i="37"/>
  <c r="M51" i="37"/>
  <c r="M50" i="37"/>
  <c r="M49" i="37"/>
  <c r="M48" i="37"/>
  <c r="M47" i="37"/>
  <c r="M46" i="37"/>
  <c r="M45" i="37"/>
  <c r="M44" i="37"/>
  <c r="M43" i="37"/>
  <c r="M42" i="37"/>
  <c r="M41" i="37"/>
  <c r="M40" i="37"/>
  <c r="M39" i="37"/>
  <c r="M38" i="37"/>
  <c r="M37" i="37"/>
  <c r="M36" i="37"/>
  <c r="M35" i="37"/>
  <c r="M34" i="37"/>
  <c r="M33" i="37"/>
  <c r="M32" i="37"/>
  <c r="M31" i="37"/>
  <c r="M30" i="37"/>
  <c r="M29" i="37"/>
  <c r="M28" i="37"/>
  <c r="M27" i="37"/>
  <c r="M26" i="37"/>
  <c r="M25" i="37"/>
  <c r="M24" i="37"/>
  <c r="M23" i="37"/>
  <c r="M22" i="37"/>
  <c r="M21" i="37"/>
  <c r="M20" i="37"/>
  <c r="M19" i="37"/>
  <c r="M18" i="37"/>
  <c r="M17" i="37"/>
  <c r="M16" i="37"/>
  <c r="M15" i="37"/>
  <c r="M14" i="37"/>
  <c r="M13" i="37"/>
  <c r="M12" i="37"/>
  <c r="M11" i="37"/>
  <c r="M10" i="37"/>
  <c r="M9" i="39" l="1"/>
  <c r="M9" i="37"/>
  <c r="M9" i="40"/>
  <c r="M8" i="34"/>
  <c r="O142" i="29"/>
  <c r="O141" i="29"/>
  <c r="O140" i="29"/>
  <c r="O136" i="29"/>
  <c r="O135" i="29"/>
  <c r="O134" i="29"/>
  <c r="O133" i="29"/>
  <c r="O132" i="29"/>
  <c r="O131" i="29"/>
  <c r="O130" i="29"/>
  <c r="O129" i="29"/>
  <c r="O127" i="29"/>
  <c r="O126" i="29"/>
  <c r="O125" i="29"/>
  <c r="O121" i="29"/>
  <c r="O120" i="29"/>
  <c r="O119" i="29"/>
  <c r="O118" i="29"/>
  <c r="O117" i="29"/>
  <c r="O116" i="29"/>
  <c r="O115" i="29"/>
  <c r="O111" i="29"/>
  <c r="O110" i="29"/>
  <c r="O109" i="29"/>
  <c r="O108" i="29"/>
  <c r="O104" i="29"/>
  <c r="O103" i="29"/>
  <c r="O102" i="29"/>
  <c r="O101" i="29"/>
  <c r="O100" i="29"/>
  <c r="O99" i="29"/>
  <c r="O98" i="29"/>
  <c r="O97" i="29"/>
  <c r="O96" i="29"/>
  <c r="O95" i="29"/>
  <c r="O94" i="29"/>
  <c r="O93" i="29"/>
  <c r="O92" i="29"/>
  <c r="O91" i="29"/>
  <c r="O90" i="29"/>
  <c r="O89" i="29"/>
  <c r="O88" i="29"/>
  <c r="O87" i="29"/>
  <c r="O86" i="29"/>
  <c r="O85" i="29"/>
  <c r="O84" i="29"/>
  <c r="O83" i="29"/>
  <c r="O82" i="29"/>
  <c r="O80" i="29"/>
  <c r="O79" i="29"/>
  <c r="O78" i="29"/>
  <c r="O77" i="29"/>
  <c r="O76" i="29"/>
  <c r="O75" i="29"/>
  <c r="O74" i="29"/>
  <c r="O73" i="29"/>
  <c r="O72" i="29"/>
  <c r="O71" i="29"/>
  <c r="O70" i="29"/>
  <c r="O60" i="29"/>
  <c r="O59" i="29"/>
  <c r="O58" i="29"/>
  <c r="O57" i="29"/>
  <c r="O56" i="29"/>
  <c r="O55" i="29"/>
  <c r="O51" i="29"/>
  <c r="O50" i="29"/>
  <c r="O49" i="29"/>
  <c r="O48" i="29"/>
  <c r="O47" i="29"/>
  <c r="O46" i="29"/>
  <c r="O45" i="29"/>
  <c r="O44" i="29"/>
  <c r="O43" i="29"/>
  <c r="O42" i="29"/>
  <c r="O41" i="29"/>
  <c r="O40" i="29"/>
  <c r="O39" i="29"/>
  <c r="O38" i="29"/>
  <c r="O37" i="29"/>
  <c r="O36" i="29"/>
  <c r="O35" i="29"/>
  <c r="O34" i="29"/>
  <c r="O33" i="29"/>
  <c r="O32" i="29"/>
  <c r="O19" i="29"/>
  <c r="O18" i="29"/>
  <c r="O17" i="29"/>
  <c r="O16" i="29"/>
  <c r="O15" i="29"/>
  <c r="O14" i="29"/>
  <c r="O13" i="29"/>
  <c r="O12" i="29"/>
  <c r="O11" i="29"/>
  <c r="O28" i="29"/>
  <c r="O27" i="29"/>
  <c r="O26" i="29"/>
  <c r="O25" i="29"/>
  <c r="O24" i="29"/>
  <c r="O23" i="29"/>
  <c r="O10" i="29"/>
  <c r="M12" i="33"/>
  <c r="M11" i="33"/>
  <c r="M10" i="33"/>
  <c r="M99" i="21"/>
  <c r="M236" i="32"/>
  <c r="M235" i="32"/>
  <c r="M234" i="32"/>
  <c r="M233" i="32"/>
  <c r="M232" i="32"/>
  <c r="M231" i="32"/>
  <c r="M227" i="32"/>
  <c r="M226" i="32"/>
  <c r="M225" i="32"/>
  <c r="M224" i="32"/>
  <c r="M223" i="32"/>
  <c r="M222" i="32"/>
  <c r="M221" i="32"/>
  <c r="M220" i="32"/>
  <c r="M218" i="32"/>
  <c r="M217" i="32"/>
  <c r="M216" i="32"/>
  <c r="M215" i="32"/>
  <c r="M214" i="32"/>
  <c r="M213" i="32"/>
  <c r="M209" i="32"/>
  <c r="M208" i="32"/>
  <c r="M207" i="32"/>
  <c r="M206" i="32"/>
  <c r="M205" i="32"/>
  <c r="M204" i="32"/>
  <c r="M200" i="32"/>
  <c r="M199" i="32"/>
  <c r="M198" i="32"/>
  <c r="M197" i="32"/>
  <c r="M196" i="32"/>
  <c r="M195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3" i="32"/>
  <c r="M172" i="32"/>
  <c r="M168" i="32"/>
  <c r="M166" i="32"/>
  <c r="M165" i="32"/>
  <c r="M164" i="32"/>
  <c r="M163" i="32"/>
  <c r="M162" i="32"/>
  <c r="M161" i="32"/>
  <c r="M160" i="32"/>
  <c r="M159" i="32"/>
  <c r="M155" i="32"/>
  <c r="M154" i="32"/>
  <c r="M153" i="32"/>
  <c r="M152" i="32"/>
  <c r="M151" i="32"/>
  <c r="M150" i="32"/>
  <c r="M146" i="32"/>
  <c r="M142" i="32"/>
  <c r="M141" i="32"/>
  <c r="M140" i="32"/>
  <c r="M136" i="32"/>
  <c r="M135" i="32"/>
  <c r="M134" i="32"/>
  <c r="M130" i="32"/>
  <c r="M129" i="32"/>
  <c r="M128" i="32"/>
  <c r="M127" i="32"/>
  <c r="M123" i="32"/>
  <c r="M122" i="32"/>
  <c r="M121" i="32"/>
  <c r="M120" i="32"/>
  <c r="M119" i="32"/>
  <c r="M118" i="32"/>
  <c r="M117" i="32"/>
  <c r="M116" i="32"/>
  <c r="M115" i="32"/>
  <c r="M114" i="32"/>
  <c r="M110" i="32"/>
  <c r="M109" i="32"/>
  <c r="M108" i="32"/>
  <c r="M107" i="32"/>
  <c r="M106" i="32"/>
  <c r="M105" i="32"/>
  <c r="M101" i="32"/>
  <c r="M100" i="32"/>
  <c r="M99" i="32"/>
  <c r="M98" i="32"/>
  <c r="M97" i="32"/>
  <c r="M96" i="32"/>
  <c r="M92" i="32"/>
  <c r="M91" i="32"/>
  <c r="M87" i="32"/>
  <c r="M83" i="32"/>
  <c r="M82" i="32"/>
  <c r="M81" i="32"/>
  <c r="M80" i="32"/>
  <c r="M79" i="32"/>
  <c r="M78" i="32"/>
  <c r="M74" i="32"/>
  <c r="M73" i="32"/>
  <c r="M72" i="32"/>
  <c r="M71" i="32"/>
  <c r="M67" i="32"/>
  <c r="M63" i="32"/>
  <c r="M62" i="32"/>
  <c r="M61" i="32"/>
  <c r="M60" i="32"/>
  <c r="M59" i="32"/>
  <c r="M58" i="32"/>
  <c r="M57" i="32"/>
  <c r="M56" i="32"/>
  <c r="M55" i="32"/>
  <c r="M54" i="32"/>
  <c r="M53" i="32"/>
  <c r="M52" i="32"/>
  <c r="M48" i="32"/>
  <c r="M47" i="32"/>
  <c r="M46" i="32"/>
  <c r="M45" i="32"/>
  <c r="M44" i="32"/>
  <c r="M40" i="32"/>
  <c r="M39" i="32"/>
  <c r="M35" i="32"/>
  <c r="M34" i="32"/>
  <c r="M33" i="32"/>
  <c r="M29" i="32"/>
  <c r="M27" i="32"/>
  <c r="M26" i="32"/>
  <c r="M25" i="32"/>
  <c r="M24" i="32"/>
  <c r="M23" i="32"/>
  <c r="M22" i="32"/>
  <c r="M21" i="32"/>
  <c r="M20" i="32"/>
  <c r="M16" i="32"/>
  <c r="M15" i="32"/>
  <c r="M14" i="32"/>
  <c r="M13" i="32"/>
  <c r="M12" i="32"/>
  <c r="A8" i="8"/>
  <c r="M8" i="28"/>
  <c r="A9" i="8" l="1"/>
  <c r="A10" i="8"/>
  <c r="A11" i="8" s="1"/>
  <c r="M127" i="28"/>
  <c r="M103" i="28"/>
  <c r="M104" i="28"/>
  <c r="M105" i="28"/>
  <c r="M92" i="28"/>
  <c r="M93" i="28"/>
  <c r="M94" i="28"/>
  <c r="M95" i="28"/>
  <c r="M97" i="28"/>
  <c r="M98" i="28"/>
  <c r="M128" i="28"/>
  <c r="M129" i="28"/>
  <c r="M130" i="28"/>
  <c r="M118" i="28"/>
  <c r="M131" i="28"/>
  <c r="M119" i="28"/>
  <c r="M120" i="28"/>
  <c r="M121" i="28"/>
  <c r="M122" i="28"/>
  <c r="M123" i="28"/>
  <c r="M124" i="28"/>
  <c r="M125" i="28"/>
  <c r="M126" i="28"/>
  <c r="M116" i="28"/>
  <c r="M117" i="28"/>
  <c r="M110" i="28"/>
  <c r="M111" i="28"/>
  <c r="M112" i="28"/>
  <c r="M113" i="28"/>
  <c r="M114" i="28"/>
  <c r="M115" i="28"/>
  <c r="M109" i="28"/>
  <c r="M90" i="28"/>
  <c r="M91" i="28"/>
  <c r="M86" i="28"/>
  <c r="M87" i="28"/>
  <c r="M88" i="28"/>
  <c r="M89" i="28"/>
  <c r="M17" i="28"/>
  <c r="M18" i="28"/>
  <c r="M9" i="28"/>
  <c r="M19" i="28"/>
  <c r="M10" i="28"/>
  <c r="M20" i="28"/>
  <c r="M11" i="28"/>
  <c r="M21" i="28"/>
  <c r="M12" i="28"/>
  <c r="M22" i="28"/>
  <c r="M13" i="28"/>
  <c r="M23" i="28"/>
  <c r="M14" i="28"/>
  <c r="M24" i="28"/>
  <c r="M15" i="28"/>
  <c r="M25" i="28"/>
  <c r="M16" i="28"/>
  <c r="M72" i="28"/>
  <c r="M73" i="28"/>
  <c r="M63" i="28"/>
  <c r="M64" i="28"/>
  <c r="M67" i="28"/>
  <c r="M48" i="28"/>
  <c r="M49" i="28"/>
  <c r="M50" i="28"/>
  <c r="M51" i="28"/>
  <c r="M52" i="28"/>
  <c r="M54" i="28"/>
  <c r="M55" i="28"/>
  <c r="M35" i="28"/>
  <c r="M36" i="28"/>
  <c r="M37" i="28"/>
  <c r="M26" i="28"/>
  <c r="M38" i="28"/>
  <c r="M29" i="28"/>
  <c r="M39" i="28"/>
  <c r="M30" i="28"/>
  <c r="M40" i="28"/>
  <c r="M31" i="28"/>
  <c r="M41" i="28"/>
  <c r="M32" i="28"/>
  <c r="M42" i="28"/>
  <c r="M33" i="28"/>
  <c r="M43" i="28"/>
  <c r="M34" i="28"/>
  <c r="M74" i="28"/>
  <c r="M106" i="28"/>
  <c r="M107" i="28"/>
  <c r="M108" i="28"/>
  <c r="M99" i="28"/>
  <c r="M100" i="28"/>
  <c r="M101" i="28"/>
  <c r="M102" i="28"/>
  <c r="A285" i="8" l="1"/>
  <c r="A8" i="42" l="1"/>
  <c r="A112" i="42" l="1"/>
  <c r="A375" i="9"/>
  <c r="A117" i="42" l="1"/>
  <c r="A8" i="9"/>
  <c r="A8" i="47"/>
  <c r="A9" i="9" l="1"/>
  <c r="A10" i="9"/>
  <c r="A15" i="9"/>
  <c r="A22" i="47"/>
  <c r="A8" i="51"/>
  <c r="A376" i="9" l="1"/>
  <c r="A11" i="51"/>
  <c r="A8" i="53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36" i="21"/>
  <c r="M37" i="21"/>
  <c r="M38" i="21"/>
  <c r="M39" i="21"/>
  <c r="M41" i="21"/>
  <c r="M42" i="21"/>
  <c r="M43" i="21"/>
  <c r="M44" i="21"/>
  <c r="M45" i="21"/>
  <c r="M51" i="21"/>
  <c r="M52" i="21"/>
  <c r="M53" i="21"/>
  <c r="M54" i="21"/>
  <c r="M55" i="21"/>
  <c r="M56" i="21"/>
  <c r="M61" i="21"/>
  <c r="M62" i="21"/>
  <c r="M63" i="21"/>
  <c r="M64" i="21"/>
  <c r="M65" i="21"/>
  <c r="M66" i="21"/>
  <c r="M67" i="21"/>
  <c r="M68" i="21"/>
  <c r="M69" i="21"/>
  <c r="M70" i="21"/>
  <c r="M72" i="21"/>
  <c r="M73" i="21"/>
  <c r="M74" i="21"/>
  <c r="M75" i="21"/>
  <c r="M76" i="21"/>
  <c r="M77" i="21"/>
  <c r="M78" i="21"/>
  <c r="M40" i="21"/>
  <c r="M71" i="21"/>
  <c r="M79" i="21"/>
  <c r="A49" i="53" l="1"/>
  <c r="A9" i="12" l="1"/>
  <c r="J104" i="8"/>
  <c r="A26" i="12" l="1"/>
  <c r="A27" i="12"/>
  <c r="M375" i="9"/>
  <c r="M374" i="9"/>
  <c r="M373" i="9"/>
  <c r="M372" i="9"/>
  <c r="A164" i="55" l="1"/>
  <c r="A165" i="55" s="1"/>
  <c r="M191" i="8"/>
  <c r="A8" i="28" l="1"/>
  <c r="A8" i="12" s="1"/>
  <c r="A237" i="32"/>
  <c r="A9" i="38"/>
  <c r="A81" i="38" s="1"/>
  <c r="A9" i="40" s="1"/>
  <c r="A14" i="40" s="1"/>
  <c r="M109" i="11"/>
  <c r="M9" i="25"/>
  <c r="M10" i="25"/>
  <c r="M11" i="25"/>
  <c r="M12" i="25"/>
  <c r="M13" i="25"/>
  <c r="M14" i="25"/>
  <c r="M15" i="25"/>
  <c r="M16" i="25"/>
  <c r="M12" i="24"/>
  <c r="M13" i="24"/>
  <c r="M14" i="24"/>
  <c r="M15" i="24"/>
  <c r="M16" i="24"/>
  <c r="M17" i="24"/>
  <c r="M18" i="24"/>
  <c r="M19" i="24"/>
  <c r="M20" i="24"/>
  <c r="M21" i="24"/>
  <c r="M22" i="24"/>
  <c r="M23" i="24"/>
  <c r="M24" i="24"/>
  <c r="M25" i="24"/>
  <c r="M26" i="24"/>
  <c r="M27" i="24"/>
  <c r="M28" i="24"/>
  <c r="M29" i="24"/>
  <c r="M30" i="24"/>
  <c r="M31" i="24"/>
  <c r="M32" i="24"/>
  <c r="M33" i="24"/>
  <c r="M34" i="24"/>
  <c r="M35" i="24"/>
  <c r="M36" i="24"/>
  <c r="M37" i="24"/>
  <c r="M38" i="24"/>
  <c r="M39" i="24"/>
  <c r="M40" i="24"/>
  <c r="M41" i="24"/>
  <c r="M42" i="24"/>
  <c r="M43" i="24"/>
  <c r="M44" i="24"/>
  <c r="M45" i="24"/>
  <c r="M46" i="24"/>
  <c r="M47" i="24"/>
  <c r="M48" i="24"/>
  <c r="M49" i="24"/>
  <c r="M50" i="24"/>
  <c r="M51" i="24"/>
  <c r="M52" i="24"/>
  <c r="M53" i="24"/>
  <c r="M54" i="24"/>
  <c r="M55" i="24"/>
  <c r="M56" i="24"/>
  <c r="M57" i="24"/>
  <c r="M58" i="24"/>
  <c r="M59" i="24"/>
  <c r="M60" i="24"/>
  <c r="M61" i="24"/>
  <c r="M62" i="24"/>
  <c r="M63" i="24"/>
  <c r="M64" i="24"/>
  <c r="M65" i="24"/>
  <c r="M66" i="24"/>
  <c r="M67" i="24"/>
  <c r="M68" i="24"/>
  <c r="M69" i="24"/>
  <c r="M70" i="24"/>
  <c r="M71" i="24"/>
  <c r="M72" i="24"/>
  <c r="M73" i="24"/>
  <c r="M74" i="24"/>
  <c r="M75" i="24"/>
  <c r="M76" i="24"/>
  <c r="M77" i="24"/>
  <c r="M78" i="24"/>
  <c r="M79" i="24"/>
  <c r="M80" i="24"/>
  <c r="M81" i="24"/>
  <c r="M82" i="24"/>
  <c r="M83" i="24"/>
  <c r="M84" i="24"/>
  <c r="M85" i="24"/>
  <c r="M86" i="24"/>
  <c r="M87" i="24"/>
  <c r="M88" i="24"/>
  <c r="M89" i="24"/>
  <c r="M90" i="24"/>
  <c r="M91" i="24"/>
  <c r="M92" i="24"/>
  <c r="M93" i="24"/>
  <c r="M94" i="24"/>
  <c r="M95" i="24"/>
  <c r="M96" i="24"/>
  <c r="M97" i="24"/>
  <c r="M98" i="24"/>
  <c r="M99" i="24"/>
  <c r="M100" i="24"/>
  <c r="M101" i="24"/>
  <c r="M102" i="24"/>
  <c r="M103" i="24"/>
  <c r="M104" i="24"/>
  <c r="M105" i="24"/>
  <c r="M106" i="24"/>
  <c r="M107" i="24"/>
  <c r="M108" i="24"/>
  <c r="M109" i="24"/>
  <c r="M110" i="24"/>
  <c r="M111" i="24"/>
  <c r="M112" i="24"/>
  <c r="M113" i="24"/>
  <c r="M114" i="24"/>
  <c r="M115" i="24"/>
  <c r="M116" i="24"/>
  <c r="M117" i="24"/>
  <c r="M118" i="24"/>
  <c r="M119" i="24"/>
  <c r="M120" i="24"/>
  <c r="M121" i="24"/>
  <c r="M122" i="24"/>
  <c r="M123" i="24"/>
  <c r="M124" i="24"/>
  <c r="M125" i="24"/>
  <c r="M126" i="24"/>
  <c r="M127" i="24"/>
  <c r="M128" i="24"/>
  <c r="M129" i="24"/>
  <c r="M130" i="24"/>
  <c r="M131" i="24"/>
  <c r="M132" i="24"/>
  <c r="M133" i="24"/>
  <c r="M134" i="24"/>
  <c r="M135" i="24"/>
  <c r="M136" i="24"/>
  <c r="M137" i="24"/>
  <c r="M138" i="24"/>
  <c r="M139" i="24"/>
  <c r="M140" i="24"/>
  <c r="M141" i="24"/>
  <c r="M142" i="24"/>
  <c r="M143" i="24"/>
  <c r="M144" i="24"/>
  <c r="M145" i="24"/>
  <c r="M146" i="24"/>
  <c r="M147" i="24"/>
  <c r="M148" i="24"/>
  <c r="M149" i="24"/>
  <c r="M150" i="24"/>
  <c r="M151" i="24"/>
  <c r="M152" i="24"/>
  <c r="M153" i="24"/>
  <c r="M154" i="24"/>
  <c r="M155" i="24"/>
  <c r="M156" i="24"/>
  <c r="M157" i="24"/>
  <c r="M158" i="24"/>
  <c r="M159" i="24"/>
  <c r="M160" i="24"/>
  <c r="M161" i="24"/>
  <c r="M162" i="24"/>
  <c r="M163" i="24"/>
  <c r="M164" i="24"/>
  <c r="M165" i="24"/>
  <c r="M166" i="24"/>
  <c r="M167" i="24"/>
  <c r="M168" i="24"/>
  <c r="M169" i="24"/>
  <c r="M170" i="24"/>
  <c r="M171" i="24"/>
  <c r="M172" i="24"/>
  <c r="M173" i="24"/>
  <c r="M174" i="24"/>
  <c r="M175" i="24"/>
  <c r="M176" i="24"/>
  <c r="M177" i="24"/>
  <c r="M178" i="24"/>
  <c r="M179" i="24"/>
  <c r="M180" i="24"/>
  <c r="M181" i="24"/>
  <c r="M182" i="24"/>
  <c r="M183" i="24"/>
  <c r="M184" i="24"/>
  <c r="M185" i="24"/>
  <c r="M186" i="24"/>
  <c r="M187" i="24"/>
  <c r="M188" i="24"/>
  <c r="M189" i="24"/>
  <c r="M190" i="24"/>
  <c r="M191" i="24"/>
  <c r="M192" i="24"/>
  <c r="M193" i="24"/>
  <c r="M194" i="24"/>
  <c r="M195" i="24"/>
  <c r="M196" i="24"/>
  <c r="M197" i="24"/>
  <c r="M198" i="24"/>
  <c r="M199" i="24"/>
  <c r="M200" i="24"/>
  <c r="M201" i="24"/>
  <c r="M202" i="24"/>
  <c r="M203" i="24"/>
  <c r="M204" i="24"/>
  <c r="M205" i="24"/>
  <c r="M206" i="24"/>
  <c r="M207" i="24"/>
  <c r="M208" i="24"/>
  <c r="M209" i="24"/>
  <c r="M210" i="24"/>
  <c r="M211" i="24"/>
  <c r="M212" i="24"/>
  <c r="M213" i="24"/>
  <c r="M214" i="24"/>
  <c r="M215" i="24"/>
  <c r="M216" i="24"/>
  <c r="M217" i="24"/>
  <c r="M218" i="24"/>
  <c r="M219" i="24"/>
  <c r="M220" i="24"/>
  <c r="M221" i="24"/>
  <c r="M222" i="24"/>
  <c r="M223" i="24"/>
  <c r="M224" i="24"/>
  <c r="M225" i="24"/>
  <c r="M226" i="24"/>
  <c r="M227" i="24"/>
  <c r="M228" i="24"/>
  <c r="M229" i="24"/>
  <c r="M230" i="24"/>
  <c r="M231" i="24"/>
  <c r="M232" i="24"/>
  <c r="M233" i="24"/>
  <c r="M234" i="24"/>
  <c r="M235" i="24"/>
  <c r="M236" i="24"/>
  <c r="M237" i="24"/>
  <c r="M238" i="24"/>
  <c r="M239" i="24"/>
  <c r="M240" i="24"/>
  <c r="M241" i="24"/>
  <c r="M242" i="24"/>
  <c r="M243" i="24"/>
  <c r="M244" i="24"/>
  <c r="M245" i="24"/>
  <c r="M246" i="24"/>
  <c r="M247" i="24"/>
  <c r="M248" i="24"/>
  <c r="M249" i="24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91" i="12"/>
  <c r="M92" i="12"/>
  <c r="M93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8" i="12"/>
  <c r="M9" i="12"/>
  <c r="M10" i="12"/>
  <c r="M11" i="12"/>
  <c r="M94" i="12"/>
  <c r="M95" i="12"/>
  <c r="M96" i="12"/>
  <c r="M97" i="12"/>
  <c r="M98" i="12"/>
  <c r="M99" i="12"/>
  <c r="M100" i="12"/>
  <c r="M101" i="12"/>
  <c r="M102" i="12"/>
  <c r="M103" i="12"/>
  <c r="M110" i="12"/>
  <c r="M111" i="12"/>
  <c r="M113" i="12"/>
  <c r="M114" i="12"/>
  <c r="M115" i="12"/>
  <c r="M116" i="12"/>
  <c r="M117" i="12"/>
  <c r="M118" i="12"/>
  <c r="M119" i="12"/>
  <c r="M120" i="12"/>
  <c r="M121" i="12"/>
  <c r="M122" i="12"/>
  <c r="M123" i="12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96" i="11"/>
  <c r="M97" i="11"/>
  <c r="M98" i="11"/>
  <c r="M99" i="11"/>
  <c r="M100" i="11"/>
  <c r="M110" i="11"/>
  <c r="M111" i="11"/>
  <c r="M102" i="11"/>
  <c r="M103" i="11"/>
  <c r="M104" i="11"/>
  <c r="M105" i="11"/>
  <c r="M106" i="11"/>
  <c r="M107" i="11"/>
  <c r="M108" i="11"/>
  <c r="M101" i="11"/>
  <c r="M112" i="11"/>
  <c r="M113" i="11"/>
  <c r="M114" i="11"/>
  <c r="M115" i="11"/>
  <c r="M116" i="11"/>
  <c r="M117" i="11"/>
  <c r="M118" i="11"/>
  <c r="M119" i="11"/>
  <c r="M120" i="11"/>
  <c r="M121" i="11"/>
  <c r="M122" i="1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M139" i="11"/>
  <c r="M140" i="11"/>
  <c r="M141" i="11"/>
  <c r="M142" i="11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8" i="10"/>
  <c r="M12" i="21"/>
  <c r="M13" i="21"/>
  <c r="M14" i="21"/>
  <c r="M15" i="21"/>
  <c r="M16" i="21"/>
  <c r="M17" i="21"/>
  <c r="M18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11" i="9"/>
  <c r="M12" i="9"/>
  <c r="M13" i="9"/>
  <c r="M14" i="9"/>
  <c r="M15" i="9"/>
  <c r="M16" i="9"/>
  <c r="M17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2" i="9"/>
  <c r="M43" i="9"/>
  <c r="M44" i="9"/>
  <c r="M45" i="9"/>
  <c r="M46" i="9"/>
  <c r="M47" i="9"/>
  <c r="M48" i="9"/>
  <c r="M49" i="9"/>
  <c r="M50" i="9"/>
  <c r="M51" i="9"/>
  <c r="M53" i="9"/>
  <c r="M54" i="9"/>
  <c r="M55" i="9"/>
  <c r="M56" i="9"/>
  <c r="M57" i="9"/>
  <c r="M58" i="9"/>
  <c r="M59" i="9"/>
  <c r="M60" i="9"/>
  <c r="M61" i="9"/>
  <c r="M62" i="9"/>
  <c r="M63" i="9"/>
  <c r="M64" i="9"/>
  <c r="M65" i="9"/>
  <c r="M66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7" i="9"/>
  <c r="M138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6" i="9"/>
  <c r="M157" i="9"/>
  <c r="M158" i="9"/>
  <c r="M159" i="9"/>
  <c r="M160" i="9"/>
  <c r="M161" i="9"/>
  <c r="M162" i="9"/>
  <c r="M163" i="9"/>
  <c r="M164" i="9"/>
  <c r="M165" i="9"/>
  <c r="M166" i="9"/>
  <c r="M168" i="9"/>
  <c r="M169" i="9"/>
  <c r="M170" i="9"/>
  <c r="M171" i="9"/>
  <c r="M172" i="9"/>
  <c r="M185" i="9"/>
  <c r="M186" i="9"/>
  <c r="M187" i="9"/>
  <c r="M188" i="9"/>
  <c r="M189" i="9"/>
  <c r="M190" i="9"/>
  <c r="M191" i="9"/>
  <c r="M192" i="9"/>
  <c r="M193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9" i="9"/>
  <c r="M210" i="9"/>
  <c r="M211" i="9"/>
  <c r="M212" i="9"/>
  <c r="M213" i="9"/>
  <c r="M214" i="9"/>
  <c r="M215" i="9"/>
  <c r="M216" i="9"/>
  <c r="M217" i="9"/>
  <c r="M218" i="9"/>
  <c r="M219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4" i="9"/>
  <c r="M365" i="9"/>
  <c r="M366" i="9"/>
  <c r="M367" i="9"/>
  <c r="M368" i="9"/>
  <c r="M369" i="9"/>
  <c r="M370" i="9"/>
  <c r="M371" i="9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M49" i="8"/>
  <c r="M50" i="8"/>
  <c r="M51" i="8"/>
  <c r="M52" i="8"/>
  <c r="M53" i="8"/>
  <c r="M54" i="8"/>
  <c r="M55" i="8"/>
  <c r="M56" i="8"/>
  <c r="M57" i="8"/>
  <c r="M58" i="8"/>
  <c r="M59" i="8"/>
  <c r="M60" i="8"/>
  <c r="M61" i="8"/>
  <c r="M62" i="8"/>
  <c r="M63" i="8"/>
  <c r="M64" i="8"/>
  <c r="M65" i="8"/>
  <c r="M66" i="8"/>
  <c r="M67" i="8"/>
  <c r="M68" i="8"/>
  <c r="M69" i="8"/>
  <c r="M70" i="8"/>
  <c r="M71" i="8"/>
  <c r="M72" i="8"/>
  <c r="M73" i="8"/>
  <c r="M74" i="8"/>
  <c r="M75" i="8"/>
  <c r="M76" i="8"/>
  <c r="M77" i="8"/>
  <c r="M78" i="8"/>
  <c r="M79" i="8"/>
  <c r="M80" i="8"/>
  <c r="M81" i="8"/>
  <c r="M82" i="8"/>
  <c r="M83" i="8"/>
  <c r="M84" i="8"/>
  <c r="M85" i="8"/>
  <c r="M86" i="8"/>
  <c r="M87" i="8"/>
  <c r="M88" i="8"/>
  <c r="M89" i="8"/>
  <c r="M90" i="8"/>
  <c r="M91" i="8"/>
  <c r="M92" i="8"/>
  <c r="M93" i="8"/>
  <c r="M94" i="8"/>
  <c r="M95" i="8"/>
  <c r="M96" i="8"/>
  <c r="M97" i="8"/>
  <c r="M98" i="8"/>
  <c r="M99" i="8"/>
  <c r="M100" i="8"/>
  <c r="M101" i="8"/>
  <c r="M102" i="8"/>
  <c r="M103" i="8"/>
  <c r="M104" i="8"/>
  <c r="M105" i="8"/>
  <c r="M106" i="8"/>
  <c r="M107" i="8"/>
  <c r="M108" i="8"/>
  <c r="M109" i="8"/>
  <c r="M110" i="8"/>
  <c r="M111" i="8"/>
  <c r="M112" i="8"/>
  <c r="M113" i="8"/>
  <c r="M114" i="8"/>
  <c r="M115" i="8"/>
  <c r="M116" i="8"/>
  <c r="M117" i="8"/>
  <c r="M118" i="8"/>
  <c r="M119" i="8"/>
  <c r="M120" i="8"/>
  <c r="M121" i="8"/>
  <c r="M122" i="8"/>
  <c r="M123" i="8"/>
  <c r="M124" i="8"/>
  <c r="M125" i="8"/>
  <c r="M126" i="8"/>
  <c r="M127" i="8"/>
  <c r="M128" i="8"/>
  <c r="M129" i="8"/>
  <c r="M130" i="8"/>
  <c r="M131" i="8"/>
  <c r="M132" i="8"/>
  <c r="M133" i="8"/>
  <c r="M134" i="8"/>
  <c r="M135" i="8"/>
  <c r="M136" i="8"/>
  <c r="M137" i="8"/>
  <c r="M138" i="8"/>
  <c r="M139" i="8"/>
  <c r="M140" i="8"/>
  <c r="M141" i="8"/>
  <c r="M142" i="8"/>
  <c r="M143" i="8"/>
  <c r="M144" i="8"/>
  <c r="M145" i="8"/>
  <c r="M146" i="8"/>
  <c r="M147" i="8"/>
  <c r="M148" i="8"/>
  <c r="M149" i="8"/>
  <c r="M150" i="8"/>
  <c r="M151" i="8"/>
  <c r="M152" i="8"/>
  <c r="M153" i="8"/>
  <c r="M154" i="8"/>
  <c r="M155" i="8"/>
  <c r="M156" i="8"/>
  <c r="M157" i="8"/>
  <c r="M158" i="8"/>
  <c r="M159" i="8"/>
  <c r="M160" i="8"/>
  <c r="M161" i="8"/>
  <c r="M162" i="8"/>
  <c r="M163" i="8"/>
  <c r="M164" i="8"/>
  <c r="M165" i="8"/>
  <c r="M166" i="8"/>
  <c r="M167" i="8"/>
  <c r="M168" i="8"/>
  <c r="M169" i="8"/>
  <c r="M170" i="8"/>
  <c r="M171" i="8"/>
  <c r="M172" i="8"/>
  <c r="M173" i="8"/>
  <c r="M174" i="8"/>
  <c r="M175" i="8"/>
  <c r="M176" i="8"/>
  <c r="M177" i="8"/>
  <c r="M178" i="8"/>
  <c r="M179" i="8"/>
  <c r="M180" i="8"/>
  <c r="M181" i="8"/>
  <c r="M182" i="8"/>
  <c r="M183" i="8"/>
  <c r="M184" i="8"/>
  <c r="M185" i="8"/>
  <c r="M186" i="8"/>
  <c r="M187" i="8"/>
  <c r="M188" i="8"/>
  <c r="M189" i="8"/>
  <c r="M190" i="8"/>
  <c r="M192" i="8"/>
  <c r="M193" i="8"/>
  <c r="M194" i="8"/>
  <c r="M195" i="8"/>
  <c r="M196" i="8"/>
  <c r="M197" i="8"/>
  <c r="M198" i="8"/>
  <c r="M199" i="8"/>
  <c r="M200" i="8"/>
  <c r="M201" i="8"/>
  <c r="M202" i="8"/>
  <c r="M203" i="8"/>
  <c r="M204" i="8"/>
  <c r="M205" i="8"/>
  <c r="M206" i="8"/>
  <c r="M207" i="8"/>
  <c r="M208" i="8"/>
  <c r="M209" i="8"/>
  <c r="M212" i="8"/>
  <c r="M213" i="8"/>
  <c r="M214" i="8"/>
  <c r="M215" i="8"/>
  <c r="M216" i="8"/>
  <c r="M217" i="8"/>
  <c r="M218" i="8"/>
  <c r="M219" i="8"/>
  <c r="M220" i="8"/>
  <c r="M221" i="8"/>
  <c r="M222" i="8"/>
  <c r="M223" i="8"/>
  <c r="M224" i="8"/>
  <c r="M225" i="8"/>
  <c r="M226" i="8"/>
  <c r="M227" i="8"/>
  <c r="M228" i="8"/>
  <c r="M229" i="8"/>
  <c r="M230" i="8"/>
  <c r="M231" i="8"/>
  <c r="M232" i="8"/>
  <c r="M233" i="8"/>
  <c r="M234" i="8"/>
  <c r="M235" i="8"/>
  <c r="M236" i="8"/>
  <c r="M237" i="8"/>
  <c r="M238" i="8"/>
  <c r="M239" i="8"/>
  <c r="M240" i="8"/>
  <c r="M241" i="8"/>
  <c r="M242" i="8"/>
  <c r="M243" i="8"/>
  <c r="M244" i="8"/>
  <c r="M245" i="8"/>
  <c r="M246" i="8"/>
  <c r="M247" i="8"/>
  <c r="M248" i="8"/>
  <c r="M249" i="8"/>
  <c r="M250" i="8"/>
  <c r="M251" i="8"/>
  <c r="M252" i="8"/>
  <c r="M253" i="8"/>
  <c r="M254" i="8"/>
  <c r="M255" i="8"/>
  <c r="M256" i="8"/>
  <c r="M257" i="8"/>
  <c r="M258" i="8"/>
  <c r="M259" i="8"/>
  <c r="M260" i="8"/>
  <c r="M261" i="8"/>
  <c r="M262" i="8"/>
  <c r="M263" i="8"/>
  <c r="M264" i="8"/>
  <c r="M265" i="8"/>
  <c r="M266" i="8"/>
  <c r="M267" i="8"/>
  <c r="M268" i="8"/>
  <c r="M269" i="8"/>
  <c r="M270" i="8"/>
  <c r="M271" i="8"/>
  <c r="M272" i="8"/>
  <c r="M273" i="8"/>
  <c r="M274" i="8"/>
  <c r="M275" i="8"/>
  <c r="M276" i="8"/>
  <c r="M277" i="8"/>
  <c r="M278" i="8"/>
  <c r="M279" i="8"/>
  <c r="M280" i="8"/>
  <c r="M281" i="8"/>
  <c r="M282" i="8"/>
  <c r="M283" i="8"/>
  <c r="M284" i="8"/>
  <c r="A8" i="10" l="1"/>
  <c r="A60" i="10" s="1"/>
  <c r="A8" i="22"/>
  <c r="A99" i="22" s="1"/>
  <c r="A29" i="46"/>
  <c r="M12" i="12"/>
  <c r="A10" i="29" l="1"/>
  <c r="A142" i="29" s="1"/>
  <c r="A33" i="19"/>
  <c r="A496" i="37"/>
  <c r="J34" i="19"/>
  <c r="K34" i="19" s="1"/>
  <c r="J35" i="19"/>
  <c r="K35" i="19" s="1"/>
  <c r="J36" i="19"/>
  <c r="K36" i="19" s="1"/>
  <c r="J37" i="19"/>
  <c r="K37" i="19" s="1"/>
  <c r="J38" i="19"/>
  <c r="K38" i="19" s="1"/>
  <c r="J39" i="19"/>
  <c r="K39" i="19" s="1"/>
  <c r="J40" i="19"/>
  <c r="K40" i="19" s="1"/>
  <c r="J41" i="19"/>
  <c r="K41" i="19" s="1"/>
  <c r="J33" i="19"/>
  <c r="K33" i="19" s="1"/>
  <c r="M12" i="8" l="1"/>
  <c r="M11" i="21" l="1"/>
  <c r="M10" i="21"/>
  <c r="M9" i="21"/>
  <c r="M8" i="21"/>
  <c r="M11" i="24"/>
  <c r="M10" i="24"/>
  <c r="M9" i="24"/>
  <c r="M8" i="24"/>
  <c r="M8" i="25"/>
  <c r="M8" i="9" l="1"/>
  <c r="M9" i="9"/>
  <c r="M10" i="9"/>
  <c r="M14" i="12" l="1"/>
  <c r="M15" i="12"/>
  <c r="M9" i="11"/>
  <c r="N9" i="10"/>
  <c r="M9" i="8"/>
  <c r="M10" i="8"/>
  <c r="M11" i="8"/>
  <c r="M8" i="11"/>
  <c r="M13" i="12"/>
  <c r="M8" i="8"/>
  <c r="K42" i="19" l="1"/>
  <c r="A100" i="21" l="1"/>
  <c r="J281" i="8" l="1"/>
  <c r="J211" i="8"/>
  <c r="J210" i="8"/>
  <c r="J215" i="8"/>
  <c r="J216" i="8"/>
  <c r="J217" i="8"/>
  <c r="J218" i="8"/>
  <c r="J219" i="8"/>
  <c r="J221" i="8"/>
  <c r="J75" i="8"/>
  <c r="J38" i="8"/>
  <c r="J39" i="8"/>
  <c r="J41" i="8"/>
  <c r="J42" i="8"/>
  <c r="J70" i="8"/>
  <c r="J57" i="8"/>
  <c r="J58" i="8"/>
  <c r="J32" i="8"/>
  <c r="J27" i="8"/>
  <c r="J28" i="8"/>
  <c r="J30" i="8"/>
  <c r="J26" i="8"/>
  <c r="J25" i="8"/>
  <c r="J62" i="8"/>
  <c r="J63" i="8"/>
  <c r="J64" i="8"/>
  <c r="J65" i="8"/>
  <c r="J112" i="8"/>
  <c r="J113" i="8"/>
  <c r="J141" i="8"/>
  <c r="J142" i="8"/>
  <c r="J88" i="8"/>
  <c r="J89" i="8"/>
  <c r="J90" i="8"/>
  <c r="J91" i="8"/>
  <c r="J92" i="8"/>
  <c r="J273" i="8"/>
  <c r="J274" i="8"/>
  <c r="J68" i="8"/>
  <c r="J29" i="8"/>
  <c r="J124" i="8"/>
  <c r="J125" i="8"/>
  <c r="J126" i="8"/>
  <c r="J115" i="8"/>
  <c r="J116" i="8"/>
  <c r="J117" i="8"/>
  <c r="J277" i="8"/>
  <c r="J94" i="8"/>
  <c r="J95" i="8"/>
  <c r="J96" i="8"/>
  <c r="J136" i="8"/>
  <c r="J137" i="8"/>
  <c r="J107" i="8"/>
  <c r="J108" i="8"/>
  <c r="J109" i="8"/>
  <c r="J146" i="8"/>
  <c r="J147" i="8"/>
  <c r="J148" i="8"/>
  <c r="J195" i="8"/>
  <c r="J151" i="8"/>
  <c r="J152" i="8"/>
  <c r="J233" i="8"/>
  <c r="J232" i="8"/>
  <c r="J235" i="8"/>
  <c r="J236" i="8"/>
  <c r="J238" i="8"/>
  <c r="J231" i="8"/>
  <c r="J241" i="8"/>
  <c r="J252" i="8"/>
  <c r="J253" i="8"/>
  <c r="J256" i="8"/>
  <c r="J246" i="8"/>
  <c r="J257" i="8"/>
  <c r="J24" i="8"/>
  <c r="J19" i="8"/>
  <c r="J23" i="8"/>
  <c r="J82" i="8"/>
  <c r="J81" i="8"/>
  <c r="J80" i="8"/>
  <c r="J249" i="8"/>
  <c r="J250" i="8"/>
  <c r="J251" i="8"/>
  <c r="J275" i="8"/>
  <c r="J255" i="8"/>
  <c r="J43" i="8"/>
  <c r="J268" i="8"/>
  <c r="J154" i="8"/>
  <c r="J157" i="8"/>
  <c r="J158" i="8"/>
  <c r="J161" i="8"/>
  <c r="J163" i="8"/>
  <c r="J164" i="8"/>
  <c r="J166" i="8"/>
  <c r="J183" i="8"/>
  <c r="J186" i="8"/>
  <c r="J48" i="8"/>
  <c r="J49" i="8"/>
  <c r="J53" i="8"/>
  <c r="J171" i="8"/>
  <c r="J206" i="8"/>
  <c r="J61" i="8"/>
  <c r="J225" i="8"/>
  <c r="J247" i="8"/>
  <c r="J248" i="8"/>
  <c r="J196" i="8"/>
  <c r="J197" i="8"/>
  <c r="J178" i="8"/>
  <c r="J179" i="8"/>
  <c r="J185" i="8"/>
  <c r="J167" i="8"/>
  <c r="J169" i="8"/>
  <c r="J170" i="8"/>
  <c r="J201" i="8"/>
  <c r="J173" i="8"/>
  <c r="J200" i="8"/>
  <c r="J226" i="8"/>
  <c r="J254" i="8"/>
  <c r="J240" i="8"/>
  <c r="J237" i="8"/>
  <c r="J278" i="8"/>
  <c r="J279" i="8"/>
  <c r="J271" i="8"/>
  <c r="J60" i="8"/>
  <c r="J284" i="8"/>
  <c r="J282" i="8"/>
  <c r="J86" i="8"/>
  <c r="J85" i="8"/>
  <c r="J69" i="8"/>
  <c r="J59" i="8"/>
  <c r="J76" i="8"/>
  <c r="J192" i="8"/>
  <c r="J191" i="8"/>
  <c r="J150" i="8"/>
  <c r="J212" i="8"/>
  <c r="J9" i="8"/>
  <c r="J21" i="8"/>
  <c r="J22" i="8"/>
  <c r="J83" i="8"/>
  <c r="J153" i="8"/>
  <c r="J155" i="8"/>
  <c r="J159" i="8"/>
  <c r="J160" i="8"/>
  <c r="J165" i="8"/>
  <c r="J51" i="8"/>
  <c r="J205" i="8"/>
  <c r="J223" i="8"/>
  <c r="J224" i="8"/>
  <c r="J127" i="8"/>
  <c r="J174" i="8"/>
  <c r="J177" i="8"/>
  <c r="J14" i="8"/>
  <c r="J15" i="8"/>
  <c r="J16" i="8"/>
  <c r="J17" i="8"/>
  <c r="J18" i="8"/>
  <c r="J213" i="8"/>
  <c r="J214" i="8"/>
  <c r="J220" i="8"/>
  <c r="J71" i="8"/>
  <c r="J72" i="8"/>
  <c r="J33" i="8"/>
  <c r="J34" i="8"/>
  <c r="J35" i="8"/>
  <c r="J36" i="8"/>
  <c r="J37" i="8"/>
  <c r="J55" i="8"/>
  <c r="J54" i="8"/>
  <c r="J56" i="8"/>
  <c r="J31" i="8"/>
  <c r="J66" i="8"/>
  <c r="J84" i="8"/>
  <c r="J118" i="8"/>
  <c r="J119" i="8"/>
  <c r="J120" i="8"/>
  <c r="J121" i="8"/>
  <c r="J122" i="8"/>
  <c r="J110" i="8"/>
  <c r="J111" i="8"/>
  <c r="J139" i="8"/>
  <c r="J140" i="8"/>
  <c r="J87" i="8"/>
  <c r="J276" i="8"/>
  <c r="J283" i="8"/>
  <c r="J272" i="8"/>
  <c r="J144" i="8"/>
  <c r="J145" i="8"/>
  <c r="J101" i="8"/>
  <c r="J102" i="8"/>
  <c r="J103" i="8"/>
  <c r="J67" i="8"/>
  <c r="J123" i="8"/>
  <c r="J114" i="8"/>
  <c r="J97" i="8"/>
  <c r="J98" i="8"/>
  <c r="J128" i="8"/>
  <c r="J129" i="8"/>
  <c r="J130" i="8"/>
  <c r="J131" i="8"/>
  <c r="J132" i="8"/>
  <c r="J133" i="8"/>
  <c r="J134" i="8"/>
  <c r="J135" i="8"/>
  <c r="J106" i="8"/>
  <c r="J99" i="8"/>
  <c r="J242" i="8"/>
  <c r="J243" i="8"/>
  <c r="J244" i="8"/>
  <c r="J245" i="8"/>
  <c r="J227" i="8"/>
  <c r="J40" i="8"/>
  <c r="J228" i="8"/>
  <c r="J229" i="8"/>
  <c r="J230" i="8"/>
  <c r="J234" i="8"/>
  <c r="J239" i="8"/>
  <c r="J258" i="8"/>
  <c r="J259" i="8"/>
  <c r="J260" i="8"/>
  <c r="J261" i="8"/>
  <c r="J262" i="8"/>
  <c r="J263" i="8"/>
  <c r="J10" i="8"/>
  <c r="J12" i="8"/>
  <c r="J11" i="8"/>
  <c r="J13" i="8"/>
  <c r="J20" i="8"/>
  <c r="J79" i="8"/>
  <c r="J44" i="8"/>
  <c r="J45" i="8"/>
  <c r="J46" i="8"/>
  <c r="J47" i="8"/>
  <c r="J264" i="8"/>
  <c r="J265" i="8"/>
  <c r="J266" i="8"/>
  <c r="J267" i="8"/>
  <c r="J269" i="8"/>
  <c r="J270" i="8"/>
  <c r="J156" i="8"/>
  <c r="J162" i="8"/>
  <c r="J189" i="8"/>
  <c r="J187" i="8"/>
  <c r="J190" i="8"/>
  <c r="J184" i="8"/>
  <c r="J188" i="8"/>
  <c r="J182" i="8"/>
  <c r="J222" i="8"/>
  <c r="J50" i="8"/>
  <c r="J52" i="8"/>
  <c r="J172" i="8"/>
  <c r="J198" i="8"/>
  <c r="J199" i="8"/>
  <c r="J202" i="8"/>
  <c r="J203" i="8"/>
  <c r="J204" i="8"/>
  <c r="J207" i="8"/>
  <c r="J208" i="8"/>
  <c r="J209" i="8"/>
  <c r="J175" i="8"/>
  <c r="J176" i="8"/>
  <c r="J180" i="8"/>
  <c r="J181" i="8"/>
  <c r="J168" i="8"/>
  <c r="J138" i="8"/>
  <c r="J78" i="8"/>
  <c r="J77" i="8"/>
  <c r="J194" i="8"/>
  <c r="J193" i="8"/>
  <c r="J149" i="8"/>
  <c r="J93" i="8"/>
  <c r="J100" i="8"/>
  <c r="J280" i="8"/>
  <c r="J143" i="8"/>
  <c r="J105" i="8"/>
  <c r="J74" i="8"/>
  <c r="J73" i="8"/>
  <c r="A132" i="28" l="1"/>
  <c r="A124" i="12" l="1"/>
  <c r="A143" i="11" l="1"/>
  <c r="A17" i="25" l="1"/>
  <c r="A100" i="22" l="1"/>
  <c r="A61" i="10" l="1"/>
  <c r="A143" i="29"/>
  <c r="A92" i="34" l="1"/>
  <c r="A82" i="38" l="1"/>
  <c r="A33" i="39" l="1"/>
  <c r="A13" i="33" l="1"/>
  <c r="A15" i="40"/>
  <c r="A16" i="45" l="1"/>
  <c r="A30" i="46" l="1"/>
  <c r="A42" i="19" l="1"/>
  <c r="G34" i="18" s="1"/>
  <c r="G36" i="18" l="1"/>
  <c r="D47" i="18"/>
  <c r="G42" i="18"/>
  <c r="G33" i="18"/>
  <c r="D33" i="18"/>
  <c r="G35" i="18"/>
  <c r="C34" i="18"/>
  <c r="G37" i="18"/>
  <c r="H34" i="18"/>
  <c r="B37" i="18"/>
  <c r="D34" i="18"/>
  <c r="F36" i="18"/>
  <c r="F33" i="18"/>
  <c r="K34" i="18"/>
  <c r="B34" i="18"/>
  <c r="K33" i="18"/>
  <c r="K35" i="18"/>
  <c r="C33" i="18"/>
  <c r="B33" i="18"/>
  <c r="F37" i="18"/>
  <c r="B36" i="18"/>
  <c r="H33" i="18"/>
  <c r="F34" i="18"/>
  <c r="H35" i="18"/>
  <c r="C35" i="18"/>
  <c r="D36" i="18"/>
  <c r="H144" i="18"/>
  <c r="K36" i="18"/>
  <c r="B35" i="18"/>
  <c r="D35" i="18"/>
  <c r="H36" i="18"/>
  <c r="D37" i="18"/>
  <c r="F35" i="18"/>
  <c r="B38" i="18"/>
  <c r="C36" i="18"/>
  <c r="F38" i="18"/>
  <c r="H38" i="18"/>
  <c r="G38" i="18"/>
  <c r="C37" i="18"/>
  <c r="D204" i="18"/>
  <c r="K38" i="18"/>
  <c r="D38" i="18"/>
  <c r="F67" i="18"/>
  <c r="C38" i="18"/>
  <c r="H37" i="18"/>
  <c r="K37" i="18"/>
  <c r="G172" i="18"/>
  <c r="L172" i="18" s="1"/>
  <c r="K209" i="18"/>
  <c r="H44" i="18"/>
  <c r="D144" i="18"/>
  <c r="C77" i="18"/>
  <c r="C110" i="18"/>
  <c r="K217" i="18"/>
  <c r="G76" i="18"/>
  <c r="F157" i="18"/>
  <c r="K59" i="18"/>
  <c r="G165" i="18"/>
  <c r="L165" i="18" s="1"/>
  <c r="C64" i="18"/>
  <c r="C149" i="18"/>
  <c r="B157" i="18"/>
  <c r="G146" i="18"/>
  <c r="L146" i="18" s="1"/>
  <c r="K40" i="18"/>
  <c r="H52" i="18"/>
  <c r="C51" i="18"/>
  <c r="H96" i="18"/>
  <c r="D91" i="18"/>
  <c r="B112" i="18"/>
  <c r="B60" i="18"/>
  <c r="D168" i="18"/>
  <c r="F85" i="18"/>
  <c r="G187" i="18"/>
  <c r="L187" i="18" s="1"/>
  <c r="G143" i="18"/>
  <c r="D201" i="18"/>
  <c r="H185" i="18"/>
  <c r="K115" i="18"/>
  <c r="C219" i="18"/>
  <c r="B81" i="18"/>
  <c r="G145" i="18"/>
  <c r="L145" i="18" s="1"/>
  <c r="C75" i="18"/>
  <c r="F204" i="18"/>
  <c r="C65" i="18"/>
  <c r="C160" i="18"/>
  <c r="B131" i="18"/>
  <c r="G125" i="18"/>
  <c r="D105" i="18"/>
  <c r="D53" i="18"/>
  <c r="D141" i="18"/>
  <c r="K197" i="18"/>
  <c r="G215" i="18"/>
  <c r="L215" i="18" s="1"/>
  <c r="H175" i="18"/>
  <c r="B124" i="18"/>
  <c r="H121" i="18"/>
  <c r="C220" i="18"/>
  <c r="F111" i="18"/>
  <c r="K54" i="18"/>
  <c r="F176" i="18"/>
  <c r="H189" i="18"/>
  <c r="D90" i="18"/>
  <c r="C182" i="18"/>
  <c r="F90" i="18"/>
  <c r="G179" i="18"/>
  <c r="K166" i="18"/>
  <c r="H119" i="18"/>
  <c r="H55" i="18"/>
  <c r="F39" i="18"/>
  <c r="H39" i="18"/>
  <c r="D39" i="18"/>
  <c r="H141" i="18"/>
  <c r="G182" i="18"/>
  <c r="L182" i="18" s="1"/>
  <c r="B178" i="18"/>
  <c r="G48" i="18"/>
  <c r="B209" i="18"/>
  <c r="B215" i="18"/>
  <c r="F131" i="18"/>
  <c r="K144" i="18"/>
  <c r="B184" i="18"/>
  <c r="B114" i="18"/>
  <c r="B152" i="18"/>
  <c r="D194" i="18"/>
  <c r="D64" i="18"/>
  <c r="H162" i="18"/>
  <c r="D125" i="18"/>
  <c r="K158" i="18"/>
  <c r="D87" i="18"/>
  <c r="H106" i="18"/>
  <c r="C137" i="18"/>
  <c r="H221" i="18"/>
  <c r="F185" i="18"/>
  <c r="C166" i="18"/>
  <c r="C69" i="18"/>
  <c r="B220" i="18"/>
  <c r="K56" i="18"/>
  <c r="B142" i="18"/>
  <c r="H101" i="18"/>
  <c r="C39" i="18"/>
  <c r="B145" i="18"/>
  <c r="D184" i="18"/>
  <c r="H113" i="18"/>
  <c r="B117" i="18"/>
  <c r="B211" i="18"/>
  <c r="C82" i="18"/>
  <c r="D103" i="18"/>
  <c r="F187" i="18"/>
  <c r="B67" i="18"/>
  <c r="D112" i="18"/>
  <c r="D41" i="18"/>
  <c r="F108" i="18"/>
  <c r="B161" i="18"/>
  <c r="C84" i="18"/>
  <c r="B166" i="18"/>
  <c r="K90" i="18"/>
  <c r="D162" i="18"/>
  <c r="H59" i="18"/>
  <c r="C136" i="18"/>
  <c r="B168" i="18"/>
  <c r="D48" i="18"/>
  <c r="G162" i="18"/>
  <c r="L162" i="18" s="1"/>
  <c r="K49" i="18"/>
  <c r="G200" i="18"/>
  <c r="B123" i="18"/>
  <c r="K212" i="18"/>
  <c r="B143" i="18"/>
  <c r="K198" i="18"/>
  <c r="B39" i="18"/>
  <c r="H217" i="18"/>
  <c r="K63" i="18"/>
  <c r="G85" i="18"/>
  <c r="L85" i="18" s="1"/>
  <c r="G49" i="18"/>
  <c r="C47" i="18"/>
  <c r="K113" i="18"/>
  <c r="B128" i="18"/>
  <c r="F218" i="18"/>
  <c r="D92" i="18"/>
  <c r="G171" i="18"/>
  <c r="C144" i="18"/>
  <c r="D107" i="18"/>
  <c r="F91" i="18"/>
  <c r="K129" i="18"/>
  <c r="D54" i="18"/>
  <c r="F212" i="18"/>
  <c r="G147" i="18"/>
  <c r="L147" i="18" s="1"/>
  <c r="G198" i="18"/>
  <c r="L198" i="18" s="1"/>
  <c r="B135" i="18"/>
  <c r="H77" i="18"/>
  <c r="K111" i="18"/>
  <c r="K182" i="18"/>
  <c r="K39" i="18"/>
  <c r="F93" i="18"/>
  <c r="C176" i="18"/>
  <c r="C118" i="18"/>
  <c r="B182" i="18"/>
  <c r="C101" i="18"/>
  <c r="D68" i="18"/>
  <c r="B204" i="18"/>
  <c r="H153" i="18"/>
  <c r="K221" i="18"/>
  <c r="G39" i="18"/>
  <c r="K151" i="18"/>
  <c r="C108" i="18"/>
  <c r="D158" i="18"/>
  <c r="K175" i="18"/>
  <c r="H159" i="18"/>
  <c r="C168" i="18"/>
  <c r="C169" i="18"/>
  <c r="B58" i="18"/>
  <c r="G163" i="18"/>
  <c r="L163" i="18" s="1"/>
  <c r="C71" i="18"/>
  <c r="C184" i="18"/>
  <c r="B156" i="18"/>
  <c r="D132" i="18"/>
  <c r="B198" i="18"/>
  <c r="G117" i="18"/>
  <c r="D42" i="18"/>
  <c r="G89" i="18"/>
  <c r="L89" i="18" s="1"/>
  <c r="H110" i="18"/>
  <c r="D49" i="18"/>
  <c r="G109" i="18"/>
  <c r="K70" i="18"/>
  <c r="F57" i="18"/>
  <c r="C157" i="18"/>
  <c r="D179" i="18"/>
  <c r="D108" i="18"/>
  <c r="C116" i="18"/>
  <c r="F179" i="18"/>
  <c r="B127" i="18"/>
  <c r="F194" i="18"/>
  <c r="K101" i="18"/>
  <c r="K44" i="18"/>
  <c r="D61" i="18"/>
  <c r="G113" i="18"/>
  <c r="L113" i="18" s="1"/>
  <c r="K213" i="18"/>
  <c r="F54" i="18"/>
  <c r="K185" i="18"/>
  <c r="K73" i="18"/>
  <c r="C97" i="18"/>
  <c r="G78" i="18"/>
  <c r="L78" i="18" s="1"/>
  <c r="G92" i="18"/>
  <c r="L92" i="18" s="1"/>
  <c r="F70" i="18"/>
  <c r="G61" i="18"/>
  <c r="K155" i="18"/>
  <c r="D183" i="18"/>
  <c r="H197" i="18"/>
  <c r="H199" i="18"/>
  <c r="F182" i="18"/>
  <c r="B191" i="18"/>
  <c r="C167" i="18"/>
  <c r="B194" i="18"/>
  <c r="D193" i="18"/>
  <c r="G158" i="18"/>
  <c r="L158" i="18" s="1"/>
  <c r="G164" i="18"/>
  <c r="L164" i="18" s="1"/>
  <c r="K165" i="18"/>
  <c r="G73" i="18"/>
  <c r="L73" i="18" s="1"/>
  <c r="D191" i="18"/>
  <c r="F107" i="18"/>
  <c r="C43" i="18"/>
  <c r="H140" i="18"/>
  <c r="G174" i="18"/>
  <c r="L174" i="18" s="1"/>
  <c r="F160" i="18"/>
  <c r="H122" i="18"/>
  <c r="F114" i="18"/>
  <c r="D118" i="18"/>
  <c r="D126" i="18"/>
  <c r="B47" i="18"/>
  <c r="D111" i="18"/>
  <c r="F209" i="18"/>
  <c r="B116" i="18"/>
  <c r="K75" i="18"/>
  <c r="K138" i="18"/>
  <c r="D196" i="18"/>
  <c r="H60" i="18"/>
  <c r="B149" i="18"/>
  <c r="G101" i="18"/>
  <c r="G123" i="18"/>
  <c r="L123" i="18" s="1"/>
  <c r="G138" i="18"/>
  <c r="L138" i="18" s="1"/>
  <c r="C55" i="18"/>
  <c r="H203" i="18"/>
  <c r="G197" i="18"/>
  <c r="L197" i="18" s="1"/>
  <c r="B155" i="18"/>
  <c r="C120" i="18"/>
  <c r="F143" i="18"/>
  <c r="C173" i="18"/>
  <c r="F170" i="18"/>
  <c r="K203" i="18"/>
  <c r="C53" i="18"/>
  <c r="F43" i="18"/>
  <c r="H118" i="18"/>
  <c r="H62" i="18"/>
  <c r="K170" i="18"/>
  <c r="F73" i="18"/>
  <c r="C179" i="18"/>
  <c r="B120" i="18"/>
  <c r="K83" i="18"/>
  <c r="B89" i="18"/>
  <c r="K180" i="18"/>
  <c r="F49" i="18"/>
  <c r="H188" i="18"/>
  <c r="C171" i="18"/>
  <c r="B118" i="18"/>
  <c r="H92" i="18"/>
  <c r="F140" i="18"/>
  <c r="D140" i="18"/>
  <c r="F121" i="18"/>
  <c r="H40" i="18"/>
  <c r="G167" i="18"/>
  <c r="L167" i="18" s="1"/>
  <c r="F147" i="18"/>
  <c r="F56" i="18"/>
  <c r="H83" i="18"/>
  <c r="K96" i="18"/>
  <c r="F135" i="18"/>
  <c r="C198" i="18"/>
  <c r="F75" i="18"/>
  <c r="G97" i="18"/>
  <c r="L97" i="18" s="1"/>
  <c r="K78" i="18"/>
  <c r="D185" i="18"/>
  <c r="G176" i="18"/>
  <c r="L176" i="18" s="1"/>
  <c r="D75" i="18"/>
  <c r="F141" i="18"/>
  <c r="B201" i="18"/>
  <c r="D186" i="18"/>
  <c r="H103" i="18"/>
  <c r="F132" i="18"/>
  <c r="C52" i="18"/>
  <c r="H120" i="18"/>
  <c r="G62" i="18"/>
  <c r="G52" i="18"/>
  <c r="D80" i="18"/>
  <c r="K167" i="18"/>
  <c r="G151" i="18"/>
  <c r="L151" i="18" s="1"/>
  <c r="B164" i="18"/>
  <c r="B84" i="18"/>
  <c r="K147" i="18"/>
  <c r="D60" i="18"/>
  <c r="H76" i="18"/>
  <c r="G168" i="18"/>
  <c r="L168" i="18" s="1"/>
  <c r="C61" i="18"/>
  <c r="C181" i="18"/>
  <c r="H85" i="18"/>
  <c r="D94" i="18"/>
  <c r="K156" i="18"/>
  <c r="B196" i="18"/>
  <c r="C214" i="18"/>
  <c r="B140" i="18"/>
  <c r="D150" i="18"/>
  <c r="F89" i="18"/>
  <c r="H70" i="18"/>
  <c r="H180" i="18"/>
  <c r="G137" i="18"/>
  <c r="C130" i="18"/>
  <c r="K103" i="18"/>
  <c r="G98" i="18"/>
  <c r="L98" i="18" s="1"/>
  <c r="D211" i="18"/>
  <c r="G193" i="18"/>
  <c r="L193" i="18" s="1"/>
  <c r="G156" i="18"/>
  <c r="L156" i="18" s="1"/>
  <c r="F168" i="18"/>
  <c r="D212" i="18"/>
  <c r="H181" i="18"/>
  <c r="H67" i="18"/>
  <c r="F100" i="18"/>
  <c r="D147" i="18"/>
  <c r="K146" i="18"/>
  <c r="B203" i="18"/>
  <c r="B48" i="18"/>
  <c r="F219" i="18"/>
  <c r="D192" i="18"/>
  <c r="K50" i="18"/>
  <c r="D114" i="18"/>
  <c r="G104" i="18"/>
  <c r="C205" i="18"/>
  <c r="D59" i="18"/>
  <c r="K97" i="18"/>
  <c r="K89" i="18"/>
  <c r="G142" i="18"/>
  <c r="G68" i="18"/>
  <c r="L68" i="18" s="1"/>
  <c r="H183" i="18"/>
  <c r="C63" i="18"/>
  <c r="C60" i="18"/>
  <c r="G219" i="18"/>
  <c r="H187" i="18"/>
  <c r="C203" i="18"/>
  <c r="G77" i="18"/>
  <c r="L77" i="18" s="1"/>
  <c r="G71" i="18"/>
  <c r="L71" i="18" s="1"/>
  <c r="H218" i="18"/>
  <c r="H51" i="18"/>
  <c r="H160" i="18"/>
  <c r="F122" i="18"/>
  <c r="K134" i="18"/>
  <c r="G108" i="18"/>
  <c r="L108" i="18" s="1"/>
  <c r="H49" i="18"/>
  <c r="D44" i="18"/>
  <c r="C56" i="18"/>
  <c r="H139" i="18"/>
  <c r="B78" i="18"/>
  <c r="F205" i="18"/>
  <c r="C148" i="18"/>
  <c r="D195" i="18"/>
  <c r="K168" i="18"/>
  <c r="K207" i="18"/>
  <c r="K176" i="18"/>
  <c r="C170" i="18"/>
  <c r="G203" i="18"/>
  <c r="L203" i="18" s="1"/>
  <c r="H201" i="18"/>
  <c r="F161" i="18"/>
  <c r="H184" i="18"/>
  <c r="K117" i="18"/>
  <c r="D121" i="18"/>
  <c r="D63" i="18"/>
  <c r="D216" i="18"/>
  <c r="F139" i="18"/>
  <c r="D131" i="18"/>
  <c r="F102" i="18"/>
  <c r="C133" i="18"/>
  <c r="K76" i="18"/>
  <c r="C192" i="18"/>
  <c r="H206" i="18"/>
  <c r="F192" i="18"/>
  <c r="D96" i="18"/>
  <c r="H209" i="18"/>
  <c r="H127" i="18"/>
  <c r="C89" i="18"/>
  <c r="B202" i="18"/>
  <c r="C154" i="18"/>
  <c r="F181" i="18"/>
  <c r="K186" i="18"/>
  <c r="H104" i="18"/>
  <c r="B134" i="18"/>
  <c r="K169" i="18"/>
  <c r="C216" i="18"/>
  <c r="C221" i="18"/>
  <c r="K114" i="18"/>
  <c r="F41" i="18"/>
  <c r="B160" i="18"/>
  <c r="D199" i="18"/>
  <c r="F123" i="18"/>
  <c r="D50" i="18"/>
  <c r="G202" i="18"/>
  <c r="L202" i="18" s="1"/>
  <c r="G190" i="18"/>
  <c r="K199" i="18"/>
  <c r="K60" i="18"/>
  <c r="K162" i="18"/>
  <c r="F128" i="18"/>
  <c r="H211" i="18"/>
  <c r="D142" i="18"/>
  <c r="K74" i="18"/>
  <c r="B46" i="18"/>
  <c r="B83" i="18"/>
  <c r="C111" i="18"/>
  <c r="C206" i="18"/>
  <c r="K193" i="18"/>
  <c r="D77" i="18"/>
  <c r="C127" i="18"/>
  <c r="H58" i="18"/>
  <c r="D57" i="18"/>
  <c r="G118" i="18"/>
  <c r="L118" i="18" s="1"/>
  <c r="B137" i="18"/>
  <c r="C209" i="18"/>
  <c r="K52" i="18"/>
  <c r="D83" i="18"/>
  <c r="H105" i="18"/>
  <c r="C99" i="18"/>
  <c r="G81" i="18"/>
  <c r="F174" i="18"/>
  <c r="G63" i="18"/>
  <c r="L63" i="18" s="1"/>
  <c r="B70" i="18"/>
  <c r="F215" i="18"/>
  <c r="H69" i="18"/>
  <c r="B45" i="18"/>
  <c r="B185" i="18"/>
  <c r="G124" i="18"/>
  <c r="L124" i="18" s="1"/>
  <c r="D217" i="18"/>
  <c r="B180" i="18"/>
  <c r="D52" i="18"/>
  <c r="K127" i="18"/>
  <c r="C72" i="18"/>
  <c r="K82" i="18"/>
  <c r="K187" i="18"/>
  <c r="K152" i="18"/>
  <c r="B101" i="18"/>
  <c r="B158" i="18"/>
  <c r="B205" i="18"/>
  <c r="B75" i="18"/>
  <c r="B136" i="18"/>
  <c r="G107" i="18"/>
  <c r="L107" i="18" s="1"/>
  <c r="D97" i="18"/>
  <c r="F58" i="18"/>
  <c r="B147" i="18"/>
  <c r="K179" i="18"/>
  <c r="K65" i="18"/>
  <c r="H143" i="18"/>
  <c r="C50" i="18"/>
  <c r="D86" i="18"/>
  <c r="C135" i="18"/>
  <c r="D208" i="18"/>
  <c r="H90" i="18"/>
  <c r="K51" i="18"/>
  <c r="C119" i="18"/>
  <c r="K100" i="18"/>
  <c r="C215" i="18"/>
  <c r="G192" i="18"/>
  <c r="K141" i="18"/>
  <c r="C188" i="18"/>
  <c r="H150" i="18"/>
  <c r="H165" i="18"/>
  <c r="B174" i="18"/>
  <c r="D122" i="18"/>
  <c r="C80" i="18"/>
  <c r="G195" i="18"/>
  <c r="L195" i="18" s="1"/>
  <c r="F104" i="18"/>
  <c r="F207" i="18"/>
  <c r="D93" i="18"/>
  <c r="C140" i="18"/>
  <c r="C195" i="18"/>
  <c r="F51" i="18"/>
  <c r="D188" i="18"/>
  <c r="B76" i="18"/>
  <c r="G133" i="18"/>
  <c r="K150" i="18"/>
  <c r="H173" i="18"/>
  <c r="H220" i="18"/>
  <c r="B167" i="18"/>
  <c r="H163" i="18"/>
  <c r="K183" i="18"/>
  <c r="B51" i="18"/>
  <c r="B139" i="18"/>
  <c r="G105" i="18"/>
  <c r="F216" i="18"/>
  <c r="B103" i="18"/>
  <c r="F81" i="18"/>
  <c r="C185" i="18"/>
  <c r="C106" i="18"/>
  <c r="G160" i="18"/>
  <c r="L160" i="18" s="1"/>
  <c r="K153" i="18"/>
  <c r="K68" i="18"/>
  <c r="K189" i="18"/>
  <c r="D130" i="18"/>
  <c r="D58" i="18"/>
  <c r="G196" i="18"/>
  <c r="L196" i="18" s="1"/>
  <c r="H94" i="18"/>
  <c r="D99" i="18"/>
  <c r="D146" i="18"/>
  <c r="F83" i="18"/>
  <c r="C165" i="18"/>
  <c r="K55" i="18"/>
  <c r="G178" i="18"/>
  <c r="F71" i="18"/>
  <c r="H54" i="18"/>
  <c r="C83" i="18"/>
  <c r="C143" i="18"/>
  <c r="C67" i="18"/>
  <c r="G41" i="18"/>
  <c r="C162" i="18"/>
  <c r="K172" i="18"/>
  <c r="G140" i="18"/>
  <c r="B169" i="18"/>
  <c r="H129" i="18"/>
  <c r="D149" i="18"/>
  <c r="D95" i="18"/>
  <c r="H123" i="18"/>
  <c r="K110" i="18"/>
  <c r="B146" i="18"/>
  <c r="B41" i="18"/>
  <c r="F133" i="18"/>
  <c r="F136" i="18"/>
  <c r="B62" i="18"/>
  <c r="H198" i="18"/>
  <c r="B208" i="18"/>
  <c r="F115" i="18"/>
  <c r="F110" i="18"/>
  <c r="B181" i="18"/>
  <c r="G83" i="18"/>
  <c r="L83" i="18" s="1"/>
  <c r="C212" i="18"/>
  <c r="C187" i="18"/>
  <c r="H134" i="18"/>
  <c r="B65" i="18"/>
  <c r="F153" i="18"/>
  <c r="K122" i="18"/>
  <c r="K118" i="18"/>
  <c r="B44" i="18"/>
  <c r="K85" i="18"/>
  <c r="F163" i="18"/>
  <c r="D138" i="18"/>
  <c r="H84" i="18"/>
  <c r="C129" i="18"/>
  <c r="F66" i="18"/>
  <c r="C155" i="18"/>
  <c r="C113" i="18"/>
  <c r="H216" i="18"/>
  <c r="B88" i="18"/>
  <c r="F213" i="18"/>
  <c r="B154" i="18"/>
  <c r="H46" i="18"/>
  <c r="G216" i="18"/>
  <c r="L216" i="18" s="1"/>
  <c r="F63" i="18"/>
  <c r="B130" i="18"/>
  <c r="C150" i="18"/>
  <c r="C178" i="18"/>
  <c r="C122" i="18"/>
  <c r="D206" i="18"/>
  <c r="B186" i="18"/>
  <c r="K124" i="18"/>
  <c r="G212" i="18"/>
  <c r="L212" i="18" s="1"/>
  <c r="F74" i="18"/>
  <c r="G155" i="18"/>
  <c r="D189" i="18"/>
  <c r="K160" i="18"/>
  <c r="K95" i="18"/>
  <c r="H108" i="18"/>
  <c r="G60" i="18"/>
  <c r="C87" i="18"/>
  <c r="G131" i="18"/>
  <c r="K77" i="18"/>
  <c r="F175" i="18"/>
  <c r="F79" i="18"/>
  <c r="D69" i="18"/>
  <c r="K178" i="18"/>
  <c r="C76" i="18"/>
  <c r="G217" i="18"/>
  <c r="D210" i="18"/>
  <c r="D66" i="18"/>
  <c r="F82" i="18"/>
  <c r="C100" i="18"/>
  <c r="F171" i="18"/>
  <c r="F88" i="18"/>
  <c r="H157" i="18"/>
  <c r="K136" i="18"/>
  <c r="C194" i="18"/>
  <c r="C40" i="18"/>
  <c r="G44" i="18"/>
  <c r="F60" i="18"/>
  <c r="B214" i="18"/>
  <c r="C78" i="18"/>
  <c r="H61" i="18"/>
  <c r="D174" i="18"/>
  <c r="D71" i="18"/>
  <c r="D214" i="18"/>
  <c r="K80" i="18"/>
  <c r="F95" i="18"/>
  <c r="F117" i="18"/>
  <c r="H115" i="18"/>
  <c r="F47" i="18"/>
  <c r="K105" i="18"/>
  <c r="D129" i="18"/>
  <c r="G194" i="18"/>
  <c r="L194" i="18" s="1"/>
  <c r="B133" i="18"/>
  <c r="G121" i="18"/>
  <c r="D173" i="18"/>
  <c r="K135" i="18"/>
  <c r="H111" i="18"/>
  <c r="H64" i="18"/>
  <c r="K188" i="18"/>
  <c r="F76" i="18"/>
  <c r="B80" i="18"/>
  <c r="H100" i="18"/>
  <c r="B96" i="18"/>
  <c r="H107" i="18"/>
  <c r="D182" i="18"/>
  <c r="F80" i="18"/>
  <c r="K157" i="18"/>
  <c r="D62" i="18"/>
  <c r="D156" i="18"/>
  <c r="F55" i="18"/>
  <c r="F164" i="18"/>
  <c r="H130" i="18"/>
  <c r="G87" i="18"/>
  <c r="L87" i="18" s="1"/>
  <c r="G207" i="18"/>
  <c r="B90" i="18"/>
  <c r="F87" i="18"/>
  <c r="C141" i="18"/>
  <c r="K86" i="18"/>
  <c r="G43" i="18"/>
  <c r="G90" i="18"/>
  <c r="L90" i="18" s="1"/>
  <c r="K66" i="18"/>
  <c r="F188" i="18"/>
  <c r="G201" i="18"/>
  <c r="L201" i="18" s="1"/>
  <c r="B218" i="18"/>
  <c r="K48" i="18"/>
  <c r="C62" i="18"/>
  <c r="G205" i="18"/>
  <c r="H179" i="18"/>
  <c r="G136" i="18"/>
  <c r="L136" i="18" s="1"/>
  <c r="K159" i="18"/>
  <c r="K102" i="18"/>
  <c r="C115" i="18"/>
  <c r="H75" i="18"/>
  <c r="G213" i="18"/>
  <c r="L213" i="18" s="1"/>
  <c r="D51" i="18"/>
  <c r="C48" i="18"/>
  <c r="C196" i="18"/>
  <c r="D119" i="18"/>
  <c r="C207" i="18"/>
  <c r="G181" i="18"/>
  <c r="D123" i="18"/>
  <c r="C105" i="18"/>
  <c r="H45" i="18"/>
  <c r="G66" i="18"/>
  <c r="L66" i="18" s="1"/>
  <c r="B189" i="18"/>
  <c r="G69" i="18"/>
  <c r="L69" i="18" s="1"/>
  <c r="D124" i="18"/>
  <c r="F186" i="18"/>
  <c r="K81" i="18"/>
  <c r="C151" i="18"/>
  <c r="B77" i="18"/>
  <c r="F142" i="18"/>
  <c r="F78" i="18"/>
  <c r="B163" i="18"/>
  <c r="D133" i="18"/>
  <c r="D98" i="18"/>
  <c r="F103" i="18"/>
  <c r="F184" i="18"/>
  <c r="C161" i="18"/>
  <c r="G141" i="18"/>
  <c r="L141" i="18" s="1"/>
  <c r="H164" i="18"/>
  <c r="C210" i="18"/>
  <c r="B92" i="18"/>
  <c r="G208" i="18"/>
  <c r="L208" i="18" s="1"/>
  <c r="F158" i="18"/>
  <c r="B115" i="18"/>
  <c r="C81" i="18"/>
  <c r="B200" i="18"/>
  <c r="K200" i="18"/>
  <c r="C201" i="18"/>
  <c r="B162" i="18"/>
  <c r="C180" i="18"/>
  <c r="C44" i="18"/>
  <c r="H176" i="18"/>
  <c r="H133" i="18"/>
  <c r="B171" i="18"/>
  <c r="F64" i="18"/>
  <c r="D169" i="18"/>
  <c r="H149" i="18"/>
  <c r="G119" i="18"/>
  <c r="L119" i="18" s="1"/>
  <c r="H191" i="18"/>
  <c r="G161" i="18"/>
  <c r="L161" i="18" s="1"/>
  <c r="D221" i="18"/>
  <c r="D88" i="18"/>
  <c r="C88" i="18"/>
  <c r="F127" i="18"/>
  <c r="K164" i="18"/>
  <c r="D120" i="18"/>
  <c r="B98" i="18"/>
  <c r="C189" i="18"/>
  <c r="D215" i="18"/>
  <c r="D116" i="18"/>
  <c r="K72" i="18"/>
  <c r="G51" i="18"/>
  <c r="H109" i="18"/>
  <c r="D43" i="18"/>
  <c r="F44" i="18"/>
  <c r="H190" i="18"/>
  <c r="D81" i="18"/>
  <c r="H79" i="18"/>
  <c r="C85" i="18"/>
  <c r="H169" i="18"/>
  <c r="H194" i="18"/>
  <c r="D56" i="18"/>
  <c r="H98" i="18"/>
  <c r="C79" i="18"/>
  <c r="G135" i="18"/>
  <c r="L135" i="18" s="1"/>
  <c r="C54" i="18"/>
  <c r="F154" i="18"/>
  <c r="K171" i="18"/>
  <c r="K99" i="18"/>
  <c r="D160" i="18"/>
  <c r="H80" i="18"/>
  <c r="D55" i="18"/>
  <c r="D178" i="18"/>
  <c r="H151" i="18"/>
  <c r="B153" i="18"/>
  <c r="H53" i="18"/>
  <c r="C121" i="18"/>
  <c r="H170" i="18"/>
  <c r="C107" i="18"/>
  <c r="H99" i="18"/>
  <c r="F72" i="18"/>
  <c r="G220" i="18"/>
  <c r="L220" i="18" s="1"/>
  <c r="H89" i="18"/>
  <c r="C109" i="18"/>
  <c r="B109" i="18"/>
  <c r="B106" i="18"/>
  <c r="C164" i="18"/>
  <c r="H200" i="18"/>
  <c r="B125" i="18"/>
  <c r="H178" i="18"/>
  <c r="G114" i="18"/>
  <c r="L114" i="18" s="1"/>
  <c r="K194" i="18"/>
  <c r="K219" i="18"/>
  <c r="D137" i="18"/>
  <c r="C177" i="18"/>
  <c r="F52" i="18"/>
  <c r="G149" i="18"/>
  <c r="L149" i="18" s="1"/>
  <c r="H88" i="18"/>
  <c r="B110" i="18"/>
  <c r="B217" i="18"/>
  <c r="K204" i="18"/>
  <c r="G80" i="18"/>
  <c r="L80" i="18" s="1"/>
  <c r="D84" i="18"/>
  <c r="F189" i="18"/>
  <c r="H47" i="18"/>
  <c r="H204" i="18"/>
  <c r="B148" i="18"/>
  <c r="C41" i="18"/>
  <c r="G56" i="18"/>
  <c r="K91" i="18"/>
  <c r="G154" i="18"/>
  <c r="L154" i="18" s="1"/>
  <c r="D79" i="18"/>
  <c r="K215" i="18"/>
  <c r="B68" i="18"/>
  <c r="C126" i="18"/>
  <c r="H112" i="18"/>
  <c r="G45" i="18"/>
  <c r="G186" i="18"/>
  <c r="F84" i="18"/>
  <c r="K149" i="18"/>
  <c r="C158" i="18"/>
  <c r="H158" i="18"/>
  <c r="G40" i="18"/>
  <c r="D177" i="18"/>
  <c r="G169" i="18"/>
  <c r="L169" i="18" s="1"/>
  <c r="F130" i="18"/>
  <c r="K126" i="18"/>
  <c r="C131" i="18"/>
  <c r="F190" i="18"/>
  <c r="G120" i="18"/>
  <c r="L120" i="18" s="1"/>
  <c r="F149" i="18"/>
  <c r="D135" i="18"/>
  <c r="K109" i="18"/>
  <c r="F211" i="18"/>
  <c r="D197" i="18"/>
  <c r="F191" i="18"/>
  <c r="F77" i="18"/>
  <c r="K71" i="18"/>
  <c r="F220" i="18"/>
  <c r="F167" i="18"/>
  <c r="K190" i="18"/>
  <c r="F210" i="18"/>
  <c r="B74" i="18"/>
  <c r="H56" i="18"/>
  <c r="D176" i="18"/>
  <c r="F45" i="18"/>
  <c r="D161" i="18"/>
  <c r="C98" i="18"/>
  <c r="G88" i="18"/>
  <c r="L88" i="18" s="1"/>
  <c r="F138" i="18"/>
  <c r="K107" i="18"/>
  <c r="K133" i="18"/>
  <c r="C104" i="18"/>
  <c r="C117" i="18"/>
  <c r="D145" i="18"/>
  <c r="F68" i="18"/>
  <c r="C90" i="18"/>
  <c r="H86" i="18"/>
  <c r="C92" i="18"/>
  <c r="G93" i="18"/>
  <c r="L93" i="18" s="1"/>
  <c r="K128" i="18"/>
  <c r="F40" i="18"/>
  <c r="G65" i="18"/>
  <c r="L65" i="18" s="1"/>
  <c r="D200" i="18"/>
  <c r="K88" i="18"/>
  <c r="D202" i="18"/>
  <c r="H212" i="18"/>
  <c r="F208" i="18"/>
  <c r="G150" i="18"/>
  <c r="L150" i="18" s="1"/>
  <c r="D207" i="18"/>
  <c r="B69" i="18"/>
  <c r="H207" i="18"/>
  <c r="C172" i="18"/>
  <c r="F200" i="18"/>
  <c r="K184" i="18"/>
  <c r="F195" i="18"/>
  <c r="B119" i="18"/>
  <c r="H171" i="18"/>
  <c r="D109" i="18"/>
  <c r="B55" i="18"/>
  <c r="C200" i="18"/>
  <c r="H148" i="18"/>
  <c r="C112" i="18"/>
  <c r="D209" i="18"/>
  <c r="G100" i="18"/>
  <c r="L100" i="18" s="1"/>
  <c r="H125" i="18"/>
  <c r="D76" i="18"/>
  <c r="H210" i="18"/>
  <c r="B85" i="18"/>
  <c r="F206" i="18"/>
  <c r="F129" i="18"/>
  <c r="D198" i="18"/>
  <c r="D205" i="18"/>
  <c r="B94" i="18"/>
  <c r="C145" i="18"/>
  <c r="F201" i="18"/>
  <c r="C197" i="18"/>
  <c r="G47" i="18"/>
  <c r="K53" i="18"/>
  <c r="C49" i="18"/>
  <c r="B188" i="18"/>
  <c r="B56" i="18"/>
  <c r="H41" i="18"/>
  <c r="C125" i="18"/>
  <c r="K45" i="18"/>
  <c r="C138" i="18"/>
  <c r="F69" i="18"/>
  <c r="H142" i="18"/>
  <c r="G209" i="18"/>
  <c r="L209" i="18" s="1"/>
  <c r="C190" i="18"/>
  <c r="H214" i="18"/>
  <c r="F124" i="18"/>
  <c r="K145" i="18"/>
  <c r="H156" i="18"/>
  <c r="H135" i="18"/>
  <c r="C217" i="18"/>
  <c r="D73" i="18"/>
  <c r="K216" i="18"/>
  <c r="F48" i="18"/>
  <c r="G110" i="18"/>
  <c r="L110" i="18" s="1"/>
  <c r="B82" i="18"/>
  <c r="K163" i="18"/>
  <c r="G157" i="18"/>
  <c r="L157" i="18" s="1"/>
  <c r="H116" i="18"/>
  <c r="K214" i="18"/>
  <c r="G159" i="18"/>
  <c r="F144" i="18"/>
  <c r="H74" i="18"/>
  <c r="F162" i="18"/>
  <c r="F169" i="18"/>
  <c r="G126" i="18"/>
  <c r="D74" i="18"/>
  <c r="H57" i="18"/>
  <c r="K108" i="18"/>
  <c r="K92" i="18"/>
  <c r="D159" i="18"/>
  <c r="G183" i="18"/>
  <c r="B141" i="18"/>
  <c r="K94" i="18"/>
  <c r="G53" i="18"/>
  <c r="B100" i="18"/>
  <c r="F165" i="18"/>
  <c r="K202" i="18"/>
  <c r="F198" i="18"/>
  <c r="K191" i="18"/>
  <c r="C73" i="18"/>
  <c r="G54" i="18"/>
  <c r="L54" i="18" s="1"/>
  <c r="H182" i="18"/>
  <c r="H65" i="18"/>
  <c r="G130" i="18"/>
  <c r="L130" i="18" s="1"/>
  <c r="F65" i="18"/>
  <c r="B121" i="18"/>
  <c r="B72" i="18"/>
  <c r="D167" i="18"/>
  <c r="K130" i="18"/>
  <c r="H97" i="18"/>
  <c r="H73" i="18"/>
  <c r="F42" i="18"/>
  <c r="K132" i="18"/>
  <c r="B129" i="18"/>
  <c r="G184" i="18"/>
  <c r="B91" i="18"/>
  <c r="F98" i="18"/>
  <c r="G57" i="18"/>
  <c r="H186" i="18"/>
  <c r="G148" i="18"/>
  <c r="L148" i="18" s="1"/>
  <c r="H219" i="18"/>
  <c r="G122" i="18"/>
  <c r="B102" i="18"/>
  <c r="G74" i="18"/>
  <c r="L74" i="18" s="1"/>
  <c r="D113" i="18"/>
  <c r="K58" i="18"/>
  <c r="C183" i="18"/>
  <c r="H172" i="18"/>
  <c r="K137" i="18"/>
  <c r="F134" i="18"/>
  <c r="B159" i="18"/>
  <c r="H147" i="18"/>
  <c r="C68" i="18"/>
  <c r="G116" i="18"/>
  <c r="D101" i="18"/>
  <c r="K87" i="18"/>
  <c r="B197" i="18"/>
  <c r="B95" i="18"/>
  <c r="K42" i="18"/>
  <c r="D172" i="18"/>
  <c r="H136" i="18"/>
  <c r="K79" i="18"/>
  <c r="F155" i="18"/>
  <c r="B40" i="18"/>
  <c r="K218" i="18"/>
  <c r="F99" i="18"/>
  <c r="H66" i="18"/>
  <c r="D175" i="18"/>
  <c r="C46" i="18"/>
  <c r="G94" i="18"/>
  <c r="L94" i="18" s="1"/>
  <c r="H43" i="18"/>
  <c r="K220" i="18"/>
  <c r="D89" i="18"/>
  <c r="G170" i="18"/>
  <c r="B172" i="18"/>
  <c r="K62" i="18"/>
  <c r="H131" i="18"/>
  <c r="C218" i="18"/>
  <c r="G152" i="18"/>
  <c r="L152" i="18" s="1"/>
  <c r="B50" i="18"/>
  <c r="B43" i="18"/>
  <c r="G115" i="18"/>
  <c r="L115" i="18" s="1"/>
  <c r="B165" i="18"/>
  <c r="G214" i="18"/>
  <c r="C74" i="18"/>
  <c r="F119" i="18"/>
  <c r="B221" i="18"/>
  <c r="H161" i="18"/>
  <c r="K46" i="18"/>
  <c r="F172" i="18"/>
  <c r="K125" i="18"/>
  <c r="B73" i="18"/>
  <c r="B79" i="18"/>
  <c r="D117" i="18"/>
  <c r="H102" i="18"/>
  <c r="G173" i="18"/>
  <c r="L173" i="18" s="1"/>
  <c r="B66" i="18"/>
  <c r="D171" i="18"/>
  <c r="G86" i="18"/>
  <c r="L86" i="18" s="1"/>
  <c r="K140" i="18"/>
  <c r="G99" i="18"/>
  <c r="L99" i="18" s="1"/>
  <c r="F137" i="18"/>
  <c r="B176" i="18"/>
  <c r="D155" i="18"/>
  <c r="H174" i="18"/>
  <c r="F50" i="18"/>
  <c r="F178" i="18"/>
  <c r="G82" i="18"/>
  <c r="L82" i="18" s="1"/>
  <c r="C175" i="18"/>
  <c r="B99" i="18"/>
  <c r="B216" i="18"/>
  <c r="H95" i="18"/>
  <c r="H71" i="18"/>
  <c r="K208" i="18"/>
  <c r="B97" i="18"/>
  <c r="D67" i="18"/>
  <c r="C208" i="18"/>
  <c r="C102" i="18"/>
  <c r="C199" i="18"/>
  <c r="D219" i="18"/>
  <c r="K67" i="18"/>
  <c r="C58" i="18"/>
  <c r="G70" i="18"/>
  <c r="G79" i="18"/>
  <c r="L79" i="18" s="1"/>
  <c r="G221" i="18"/>
  <c r="L221" i="18" s="1"/>
  <c r="D40" i="18"/>
  <c r="G106" i="18"/>
  <c r="C204" i="18"/>
  <c r="K177" i="18"/>
  <c r="B104" i="18"/>
  <c r="G55" i="18"/>
  <c r="K119" i="18"/>
  <c r="B206" i="18"/>
  <c r="K201" i="18"/>
  <c r="H205" i="18"/>
  <c r="C103" i="18"/>
  <c r="H72" i="18"/>
  <c r="B190" i="18"/>
  <c r="F221" i="18"/>
  <c r="C134" i="18"/>
  <c r="B170" i="18"/>
  <c r="B175" i="18"/>
  <c r="C96" i="18"/>
  <c r="B150" i="18"/>
  <c r="D70" i="18"/>
  <c r="B122" i="18"/>
  <c r="K181" i="18"/>
  <c r="D134" i="18"/>
  <c r="F173" i="18"/>
  <c r="F217" i="18"/>
  <c r="C86" i="18"/>
  <c r="D110" i="18"/>
  <c r="H63" i="18"/>
  <c r="G139" i="18"/>
  <c r="K143" i="18"/>
  <c r="K210" i="18"/>
  <c r="B193" i="18"/>
  <c r="G127" i="18"/>
  <c r="K195" i="18"/>
  <c r="G50" i="18"/>
  <c r="C163" i="18"/>
  <c r="D190" i="18"/>
  <c r="F202" i="18"/>
  <c r="H177" i="18"/>
  <c r="C94" i="18"/>
  <c r="D128" i="18"/>
  <c r="C186" i="18"/>
  <c r="G204" i="18"/>
  <c r="L204" i="18" s="1"/>
  <c r="G91" i="18"/>
  <c r="C42" i="18"/>
  <c r="H137" i="18"/>
  <c r="C66" i="18"/>
  <c r="B177" i="18"/>
  <c r="K139" i="18"/>
  <c r="H193" i="18"/>
  <c r="B93" i="18"/>
  <c r="G185" i="18"/>
  <c r="L185" i="18" s="1"/>
  <c r="B207" i="18"/>
  <c r="G177" i="18"/>
  <c r="L177" i="18" s="1"/>
  <c r="D218" i="18"/>
  <c r="C128" i="18"/>
  <c r="G64" i="18"/>
  <c r="H50" i="18"/>
  <c r="G58" i="18"/>
  <c r="K121" i="18"/>
  <c r="C91" i="18"/>
  <c r="B108" i="18"/>
  <c r="F126" i="18"/>
  <c r="K98" i="18"/>
  <c r="C174" i="18"/>
  <c r="C114" i="18"/>
  <c r="H82" i="18"/>
  <c r="C191" i="18"/>
  <c r="B210" i="18"/>
  <c r="C45" i="18"/>
  <c r="B179" i="18"/>
  <c r="K206" i="18"/>
  <c r="K205" i="18"/>
  <c r="G180" i="18"/>
  <c r="L180" i="18" s="1"/>
  <c r="D170" i="18"/>
  <c r="K61" i="18"/>
  <c r="D148" i="18"/>
  <c r="H126" i="18"/>
  <c r="H132" i="18"/>
  <c r="K148" i="18"/>
  <c r="K43" i="18"/>
  <c r="G96" i="18"/>
  <c r="L96" i="18" s="1"/>
  <c r="H152" i="18"/>
  <c r="D100" i="18"/>
  <c r="F156" i="18"/>
  <c r="K174" i="18"/>
  <c r="D104" i="18"/>
  <c r="F197" i="18"/>
  <c r="F101" i="18"/>
  <c r="H93" i="18"/>
  <c r="G128" i="18"/>
  <c r="L128" i="18" s="1"/>
  <c r="G175" i="18"/>
  <c r="L175" i="18" s="1"/>
  <c r="H167" i="18"/>
  <c r="G132" i="18"/>
  <c r="L132" i="18" s="1"/>
  <c r="F159" i="18"/>
  <c r="B132" i="18"/>
  <c r="G218" i="18"/>
  <c r="L218" i="18" s="1"/>
  <c r="C146" i="18"/>
  <c r="B87" i="18"/>
  <c r="B187" i="18"/>
  <c r="G102" i="18"/>
  <c r="G67" i="18"/>
  <c r="C213" i="18"/>
  <c r="H78" i="18"/>
  <c r="B195" i="18"/>
  <c r="B52" i="18"/>
  <c r="H168" i="18"/>
  <c r="B192" i="18"/>
  <c r="D213" i="18"/>
  <c r="G95" i="18"/>
  <c r="L95" i="18" s="1"/>
  <c r="H166" i="18"/>
  <c r="C193" i="18"/>
  <c r="D203" i="18"/>
  <c r="H192" i="18"/>
  <c r="F94" i="18"/>
  <c r="D181" i="18"/>
  <c r="D220" i="18"/>
  <c r="G112" i="18"/>
  <c r="G206" i="18"/>
  <c r="L206" i="18" s="1"/>
  <c r="F193" i="18"/>
  <c r="B42" i="18"/>
  <c r="D143" i="18"/>
  <c r="D154" i="18"/>
  <c r="H128" i="18"/>
  <c r="F120" i="18"/>
  <c r="H87" i="18"/>
  <c r="G153" i="18"/>
  <c r="D85" i="18"/>
  <c r="H48" i="18"/>
  <c r="F177" i="18"/>
  <c r="B49" i="18"/>
  <c r="B151" i="18"/>
  <c r="B61" i="18"/>
  <c r="H202" i="18"/>
  <c r="H145" i="18"/>
  <c r="K173" i="18"/>
  <c r="B64" i="18"/>
  <c r="H124" i="18"/>
  <c r="F62" i="18"/>
  <c r="F152" i="18"/>
  <c r="H114" i="18"/>
  <c r="G75" i="18"/>
  <c r="L75" i="18" s="1"/>
  <c r="F96" i="18"/>
  <c r="H138" i="18"/>
  <c r="K154" i="18"/>
  <c r="G111" i="18"/>
  <c r="D72" i="18"/>
  <c r="F148" i="18"/>
  <c r="G72" i="18"/>
  <c r="L72" i="18" s="1"/>
  <c r="F183" i="18"/>
  <c r="C139" i="18"/>
  <c r="K116" i="18"/>
  <c r="K161" i="18"/>
  <c r="G199" i="18"/>
  <c r="C95" i="18"/>
  <c r="H146" i="18"/>
  <c r="B71" i="18"/>
  <c r="F118" i="18"/>
  <c r="C70" i="18"/>
  <c r="C123" i="18"/>
  <c r="B54" i="18"/>
  <c r="B212" i="18"/>
  <c r="H195" i="18"/>
  <c r="K120" i="18"/>
  <c r="F112" i="18"/>
  <c r="K57" i="18"/>
  <c r="K84" i="18"/>
  <c r="B63" i="18"/>
  <c r="C153" i="18"/>
  <c r="C59" i="18"/>
  <c r="D163" i="18"/>
  <c r="G189" i="18"/>
  <c r="L189" i="18" s="1"/>
  <c r="K93" i="18"/>
  <c r="F116" i="18"/>
  <c r="F196" i="18"/>
  <c r="F113" i="18"/>
  <c r="G210" i="18"/>
  <c r="L210" i="18" s="1"/>
  <c r="C124" i="18"/>
  <c r="K64" i="18"/>
  <c r="C57" i="18"/>
  <c r="F166" i="18"/>
  <c r="K142" i="18"/>
  <c r="C147" i="18"/>
  <c r="D187" i="18"/>
  <c r="H42" i="18"/>
  <c r="D151" i="18"/>
  <c r="B57" i="18"/>
  <c r="K106" i="18"/>
  <c r="F86" i="18"/>
  <c r="F145" i="18"/>
  <c r="F105" i="18"/>
  <c r="B213" i="18"/>
  <c r="F180" i="18"/>
  <c r="F92" i="18"/>
  <c r="C156" i="18"/>
  <c r="G166" i="18"/>
  <c r="L166" i="18" s="1"/>
  <c r="D166" i="18"/>
  <c r="F151" i="18"/>
  <c r="G59" i="18"/>
  <c r="L59" i="18" s="1"/>
  <c r="B219" i="18"/>
  <c r="K112" i="18"/>
  <c r="G103" i="18"/>
  <c r="L103" i="18" s="1"/>
  <c r="D65" i="18"/>
  <c r="F199" i="18"/>
  <c r="D78" i="18"/>
  <c r="D45" i="18"/>
  <c r="C202" i="18"/>
  <c r="C159" i="18"/>
  <c r="B126" i="18"/>
  <c r="B105" i="18"/>
  <c r="H117" i="18"/>
  <c r="H154" i="18"/>
  <c r="F150" i="18"/>
  <c r="D152" i="18"/>
  <c r="H215" i="18"/>
  <c r="B59" i="18"/>
  <c r="K196" i="18"/>
  <c r="D164" i="18"/>
  <c r="B113" i="18"/>
  <c r="F46" i="18"/>
  <c r="G134" i="18"/>
  <c r="L134" i="18" s="1"/>
  <c r="D139" i="18"/>
  <c r="B144" i="18"/>
  <c r="H68" i="18"/>
  <c r="K41" i="18"/>
  <c r="F125" i="18"/>
  <c r="C211" i="18"/>
  <c r="C132" i="18"/>
  <c r="G129" i="18"/>
  <c r="D180" i="18"/>
  <c r="F146" i="18"/>
  <c r="B183" i="18"/>
  <c r="B107" i="18"/>
  <c r="D46" i="18"/>
  <c r="F109" i="18"/>
  <c r="F53" i="18"/>
  <c r="F203" i="18"/>
  <c r="H155" i="18"/>
  <c r="G188" i="18"/>
  <c r="L188" i="18" s="1"/>
  <c r="F97" i="18"/>
  <c r="D136" i="18"/>
  <c r="G191" i="18"/>
  <c r="L191" i="18" s="1"/>
  <c r="B86" i="18"/>
  <c r="F61" i="18"/>
  <c r="C142" i="18"/>
  <c r="D157" i="18"/>
  <c r="F59" i="18"/>
  <c r="K211" i="18"/>
  <c r="H81" i="18"/>
  <c r="H196" i="18"/>
  <c r="K47" i="18"/>
  <c r="B53" i="18"/>
  <c r="C93" i="18"/>
  <c r="K69" i="18"/>
  <c r="K104" i="18"/>
  <c r="K131" i="18"/>
  <c r="G84" i="18"/>
  <c r="L84" i="18" s="1"/>
  <c r="G46" i="18"/>
  <c r="H208" i="18"/>
  <c r="B173" i="18"/>
  <c r="D106" i="18"/>
  <c r="D127" i="18"/>
  <c r="D165" i="18"/>
  <c r="D102" i="18"/>
  <c r="H213" i="18"/>
  <c r="G211" i="18"/>
  <c r="L211" i="18" s="1"/>
  <c r="D115" i="18"/>
  <c r="B138" i="18"/>
  <c r="D82" i="18"/>
  <c r="C152" i="18"/>
  <c r="B199" i="18"/>
  <c r="F106" i="18"/>
  <c r="F214" i="18"/>
  <c r="D153" i="18"/>
  <c r="G144" i="18"/>
  <c r="B111" i="18"/>
  <c r="H91" i="18"/>
  <c r="K123" i="18"/>
  <c r="K192" i="18"/>
  <c r="L61" i="18" l="1"/>
  <c r="L56" i="18"/>
  <c r="L60" i="18"/>
  <c r="L57" i="18"/>
  <c r="L53" i="18"/>
  <c r="L52" i="18"/>
  <c r="L43" i="18"/>
  <c r="J136" i="18"/>
  <c r="J101" i="18"/>
  <c r="J133" i="18"/>
  <c r="J180" i="18"/>
  <c r="J171" i="18"/>
  <c r="J111" i="18"/>
  <c r="J127" i="18"/>
  <c r="J204" i="18"/>
  <c r="J161" i="18"/>
  <c r="J60" i="18"/>
  <c r="J130" i="18"/>
  <c r="J188" i="18"/>
  <c r="J124" i="18"/>
  <c r="J131" i="18"/>
  <c r="J193" i="18"/>
  <c r="J102" i="18"/>
  <c r="J214" i="18"/>
  <c r="L131" i="18"/>
  <c r="J162" i="18"/>
  <c r="J54" i="18"/>
  <c r="J99" i="18"/>
  <c r="L133" i="18"/>
  <c r="J143" i="18"/>
  <c r="J177" i="18"/>
  <c r="J113" i="18"/>
  <c r="J92" i="18"/>
  <c r="J207" i="18"/>
  <c r="J184" i="18"/>
  <c r="J56" i="18"/>
  <c r="L33" i="18"/>
  <c r="J33" i="18"/>
  <c r="J35" i="18"/>
  <c r="L35" i="18"/>
  <c r="J34" i="18"/>
  <c r="L34" i="18"/>
  <c r="J36" i="18"/>
  <c r="L36" i="18"/>
  <c r="L37" i="18"/>
  <c r="J37" i="18"/>
  <c r="L38" i="18"/>
  <c r="J38" i="18"/>
  <c r="J39" i="18"/>
  <c r="L39" i="18"/>
  <c r="J40" i="18"/>
  <c r="L40" i="18"/>
  <c r="L111" i="18"/>
  <c r="J67" i="18"/>
  <c r="J74" i="18"/>
  <c r="J119" i="18"/>
  <c r="J153" i="18"/>
  <c r="J160" i="18"/>
  <c r="L67" i="18"/>
  <c r="J203" i="18"/>
  <c r="L143" i="18"/>
  <c r="J190" i="18"/>
  <c r="J126" i="18"/>
  <c r="J175" i="18"/>
  <c r="J205" i="18"/>
  <c r="J105" i="18"/>
  <c r="J112" i="18"/>
  <c r="J221" i="18"/>
  <c r="L112" i="18"/>
  <c r="J176" i="18"/>
  <c r="J199" i="18"/>
  <c r="L105" i="18"/>
  <c r="L190" i="18"/>
  <c r="J51" i="18"/>
  <c r="J122" i="18"/>
  <c r="J189" i="18"/>
  <c r="L51" i="18"/>
  <c r="J208" i="18"/>
  <c r="J71" i="18"/>
  <c r="J107" i="18"/>
  <c r="J106" i="18"/>
  <c r="J215" i="18"/>
  <c r="J192" i="18"/>
  <c r="J173" i="18"/>
  <c r="J78" i="18"/>
  <c r="J206" i="18"/>
  <c r="J128" i="18"/>
  <c r="L106" i="18"/>
  <c r="L126" i="18"/>
  <c r="J100" i="18"/>
  <c r="L192" i="18"/>
  <c r="J116" i="18"/>
  <c r="J186" i="18"/>
  <c r="J58" i="18"/>
  <c r="J103" i="18"/>
  <c r="J137" i="18"/>
  <c r="J174" i="18"/>
  <c r="J144" i="18"/>
  <c r="J125" i="18"/>
  <c r="J211" i="18"/>
  <c r="J140" i="18"/>
  <c r="J76" i="18"/>
  <c r="J134" i="18"/>
  <c r="J213" i="18"/>
  <c r="J75" i="18"/>
  <c r="L205" i="18"/>
  <c r="J195" i="18"/>
  <c r="L58" i="18"/>
  <c r="L140" i="18"/>
  <c r="L186" i="18"/>
  <c r="J73" i="18"/>
  <c r="L199" i="18"/>
  <c r="L207" i="18"/>
  <c r="J104" i="18"/>
  <c r="L127" i="18"/>
  <c r="L116" i="18"/>
  <c r="J152" i="18"/>
  <c r="J94" i="18"/>
  <c r="L171" i="18"/>
  <c r="J196" i="18"/>
  <c r="J218" i="18"/>
  <c r="J170" i="18"/>
  <c r="L104" i="18"/>
  <c r="J110" i="18"/>
  <c r="J165" i="18"/>
  <c r="J83" i="18"/>
  <c r="J85" i="18"/>
  <c r="J123" i="18"/>
  <c r="J57" i="18"/>
  <c r="J53" i="18"/>
  <c r="J197" i="18"/>
  <c r="J72" i="18"/>
  <c r="J108" i="18"/>
  <c r="J178" i="18"/>
  <c r="J61" i="18"/>
  <c r="J145" i="18"/>
  <c r="J80" i="18"/>
  <c r="J220" i="18"/>
  <c r="J118" i="18"/>
  <c r="J202" i="18"/>
  <c r="J148" i="18"/>
  <c r="J172" i="18"/>
  <c r="J62" i="18"/>
  <c r="J66" i="18"/>
  <c r="J182" i="18"/>
  <c r="J159" i="18"/>
  <c r="J142" i="18"/>
  <c r="J139" i="18"/>
  <c r="J194" i="18"/>
  <c r="J157" i="18"/>
  <c r="J86" i="18"/>
  <c r="L125" i="18"/>
  <c r="L214" i="18"/>
  <c r="L159" i="18"/>
  <c r="J88" i="18"/>
  <c r="J63" i="18"/>
  <c r="J191" i="18"/>
  <c r="J164" i="18"/>
  <c r="J198" i="18"/>
  <c r="J129" i="18"/>
  <c r="J77" i="18"/>
  <c r="J87" i="18"/>
  <c r="J219" i="18"/>
  <c r="J209" i="18"/>
  <c r="J169" i="18"/>
  <c r="J158" i="18"/>
  <c r="J217" i="18"/>
  <c r="J70" i="18"/>
  <c r="J150" i="18"/>
  <c r="J84" i="18"/>
  <c r="J120" i="18"/>
  <c r="J200" i="18"/>
  <c r="L62" i="18"/>
  <c r="J79" i="18"/>
  <c r="J151" i="18"/>
  <c r="J166" i="18"/>
  <c r="J163" i="18"/>
  <c r="L137" i="18"/>
  <c r="L142" i="18"/>
  <c r="L139" i="18"/>
  <c r="J98" i="18"/>
  <c r="L129" i="18"/>
  <c r="J132" i="18"/>
  <c r="J168" i="18"/>
  <c r="J149" i="18"/>
  <c r="J138" i="18"/>
  <c r="L217" i="18"/>
  <c r="J187" i="18"/>
  <c r="J181" i="18"/>
  <c r="J117" i="18"/>
  <c r="J121" i="18"/>
  <c r="J82" i="18"/>
  <c r="J55" i="18"/>
  <c r="J91" i="18"/>
  <c r="J155" i="18"/>
  <c r="J154" i="18"/>
  <c r="J146" i="18"/>
  <c r="J109" i="18"/>
  <c r="J212" i="18"/>
  <c r="J183" i="18"/>
  <c r="L153" i="18"/>
  <c r="L70" i="18"/>
  <c r="L101" i="18"/>
  <c r="L102" i="18"/>
  <c r="J90" i="18"/>
  <c r="L76" i="18"/>
  <c r="L219" i="18"/>
  <c r="L91" i="18"/>
  <c r="L155" i="18"/>
  <c r="L117" i="18"/>
  <c r="L178" i="18"/>
  <c r="L181" i="18"/>
  <c r="L55" i="18"/>
  <c r="L122" i="18"/>
  <c r="L109" i="18"/>
  <c r="J64" i="18"/>
  <c r="J81" i="18"/>
  <c r="J167" i="18"/>
  <c r="J201" i="18"/>
  <c r="J93" i="18"/>
  <c r="J59" i="18"/>
  <c r="J179" i="18"/>
  <c r="J96" i="18"/>
  <c r="L170" i="18"/>
  <c r="L184" i="18"/>
  <c r="L121" i="18"/>
  <c r="L183" i="18"/>
  <c r="J95" i="18"/>
  <c r="J65" i="18"/>
  <c r="L64" i="18"/>
  <c r="J135" i="18"/>
  <c r="J185" i="18"/>
  <c r="J210" i="18"/>
  <c r="J97" i="18"/>
  <c r="L200" i="18"/>
  <c r="J89" i="18"/>
  <c r="L144" i="18"/>
  <c r="J114" i="18"/>
  <c r="J141" i="18"/>
  <c r="J69" i="18"/>
  <c r="J147" i="18"/>
  <c r="J216" i="18"/>
  <c r="J115" i="18"/>
  <c r="J68" i="18"/>
  <c r="L179" i="18"/>
  <c r="J52" i="18"/>
  <c r="L81" i="18"/>
  <c r="J156" i="18"/>
  <c r="J50" i="18"/>
  <c r="L50" i="18"/>
  <c r="L41" i="18"/>
  <c r="J41" i="18"/>
  <c r="L48" i="18"/>
  <c r="J48" i="18"/>
  <c r="J42" i="18"/>
  <c r="L42" i="18"/>
  <c r="L46" i="18"/>
  <c r="J46" i="18"/>
  <c r="L49" i="18"/>
  <c r="J49" i="18"/>
  <c r="L44" i="18"/>
  <c r="J44" i="18"/>
  <c r="J47" i="18"/>
  <c r="L47" i="18"/>
  <c r="J43" i="18"/>
  <c r="L45" i="18"/>
  <c r="J45" i="18"/>
  <c r="L222" i="18" l="1"/>
  <c r="L30" i="18" s="1"/>
</calcChain>
</file>

<file path=xl/sharedStrings.xml><?xml version="1.0" encoding="utf-8"?>
<sst xmlns="http://schemas.openxmlformats.org/spreadsheetml/2006/main" count="39373" uniqueCount="11328">
  <si>
    <t>Order Date:</t>
  </si>
  <si>
    <r>
      <rPr>
        <b/>
        <sz val="12"/>
        <color indexed="8"/>
        <rFont val="Calibri"/>
        <family val="2"/>
        <scheme val="minor"/>
      </rPr>
      <t>*Note</t>
    </r>
    <r>
      <rPr>
        <sz val="12"/>
        <color indexed="8"/>
        <rFont val="Calibri"/>
        <family val="2"/>
        <scheme val="minor"/>
      </rPr>
      <t xml:space="preserve">: All order/quote quantites are </t>
    </r>
    <r>
      <rPr>
        <b/>
        <u/>
        <sz val="12"/>
        <color indexed="8"/>
        <rFont val="Calibri"/>
        <family val="2"/>
        <scheme val="minor"/>
      </rPr>
      <t>Piece Quantity</t>
    </r>
  </si>
  <si>
    <t>Product Line</t>
  </si>
  <si>
    <t>Price List</t>
  </si>
  <si>
    <t>Multiplier</t>
  </si>
  <si>
    <t>Non-Standard</t>
  </si>
  <si>
    <t>DWV PVC</t>
  </si>
  <si>
    <t>DWV ABS</t>
  </si>
  <si>
    <t>Company:</t>
  </si>
  <si>
    <t>Payment Terms:</t>
  </si>
  <si>
    <t>PVC SCH40</t>
  </si>
  <si>
    <t>Contact name:</t>
  </si>
  <si>
    <t xml:space="preserve"> </t>
  </si>
  <si>
    <t>FFA $:</t>
  </si>
  <si>
    <t>PVC SCH40 LD</t>
  </si>
  <si>
    <t>P.O. Number:</t>
  </si>
  <si>
    <t>Ship To Phone:</t>
  </si>
  <si>
    <t>Pool &amp; SPA Sweep Elbows</t>
  </si>
  <si>
    <t>Job Name:</t>
  </si>
  <si>
    <t>Fax:</t>
  </si>
  <si>
    <t>Pool &amp; SPA Pipe Extender</t>
  </si>
  <si>
    <t>Sales Representative:</t>
  </si>
  <si>
    <t>Email:</t>
  </si>
  <si>
    <t>PVC SCH80</t>
  </si>
  <si>
    <t>PVC SCH80 Flange</t>
  </si>
  <si>
    <t>PVC SCH80 LD Flange</t>
  </si>
  <si>
    <t>Ship To:</t>
  </si>
  <si>
    <t>Bill To:</t>
  </si>
  <si>
    <t>CPVC</t>
  </si>
  <si>
    <t>Insert Fittings</t>
  </si>
  <si>
    <t>Valves</t>
  </si>
  <si>
    <t>SDR35SW</t>
  </si>
  <si>
    <t>SDR35G</t>
  </si>
  <si>
    <t>SDR26G</t>
  </si>
  <si>
    <t>Cements</t>
  </si>
  <si>
    <t>Valve Box</t>
  </si>
  <si>
    <t>Valve Box Components</t>
  </si>
  <si>
    <t>Drainage</t>
  </si>
  <si>
    <t>Nipples</t>
  </si>
  <si>
    <t>Manifold</t>
  </si>
  <si>
    <t>Flexible Repair Couplings</t>
  </si>
  <si>
    <t>Dura Fix</t>
  </si>
  <si>
    <t>Compression Fittings</t>
  </si>
  <si>
    <t>Hose Fittings</t>
  </si>
  <si>
    <t>Swing Joints</t>
  </si>
  <si>
    <t>Swing Joints Components</t>
  </si>
  <si>
    <t xml:space="preserve">Quote to Order Acceptance Signature: </t>
  </si>
  <si>
    <t>Product Total:</t>
  </si>
  <si>
    <t>Part Number</t>
  </si>
  <si>
    <t>SAP Code</t>
  </si>
  <si>
    <t>Product Description</t>
  </si>
  <si>
    <t>List Price</t>
  </si>
  <si>
    <t>Quantity Ordered*</t>
  </si>
  <si>
    <t>Box Quantity</t>
  </si>
  <si>
    <t>Boxes Ordered</t>
  </si>
  <si>
    <t>Net/Unit $</t>
  </si>
  <si>
    <t>Line Total $</t>
  </si>
  <si>
    <t>Received Quantity</t>
  </si>
  <si>
    <t>ABS Drain Waste and Vent</t>
  </si>
  <si>
    <t>Enter Piece Quantity Here</t>
  </si>
  <si>
    <t>List Price ABS DWV (Drain Waste and Vent)</t>
  </si>
  <si>
    <t>ABSDWV092024</t>
  </si>
  <si>
    <t>Effective JAN 02 2026</t>
  </si>
  <si>
    <t>*In Stock - Within 2 days</t>
  </si>
  <si>
    <t>UPC-A / ITF-14</t>
  </si>
  <si>
    <t>Box Qty</t>
  </si>
  <si>
    <t>Pallet Qty</t>
  </si>
  <si>
    <r>
      <rPr>
        <b/>
        <sz val="11"/>
        <color theme="0"/>
        <rFont val="Wingdings 2"/>
        <family val="1"/>
        <charset val="2"/>
      </rPr>
      <t>P</t>
    </r>
    <r>
      <rPr>
        <b/>
        <sz val="11"/>
        <color theme="0"/>
        <rFont val="Calibri"/>
        <family val="2"/>
      </rPr>
      <t xml:space="preserve"> Box Quantity</t>
    </r>
  </si>
  <si>
    <t>Availability</t>
  </si>
  <si>
    <t>Origin</t>
  </si>
  <si>
    <t>Piece</t>
  </si>
  <si>
    <t>Bag</t>
  </si>
  <si>
    <t>Carton</t>
  </si>
  <si>
    <t>Item Weight
(LB)</t>
  </si>
  <si>
    <t>600-015</t>
  </si>
  <si>
    <t>SANITARY TEE HXHXH 1-1/2 ABS</t>
  </si>
  <si>
    <t>In Stock</t>
  </si>
  <si>
    <t>Sourced</t>
  </si>
  <si>
    <t>600-023</t>
  </si>
  <si>
    <t>SANITARY TEE HXHXH 2 ABS</t>
  </si>
  <si>
    <t>600-031</t>
  </si>
  <si>
    <t>SANITARY TEE HXHXH 3 ABS</t>
  </si>
  <si>
    <t>600-049</t>
  </si>
  <si>
    <t>SANITARY TEE HXHXH 4 ABS</t>
  </si>
  <si>
    <t>600-080</t>
  </si>
  <si>
    <t>SANITARY TEE HXHXH 2X1-1/2X1-1/2 ABS</t>
  </si>
  <si>
    <t>600-098</t>
  </si>
  <si>
    <t>SANITARY TEE HXHXH 2X1-1/2X2 ABS</t>
  </si>
  <si>
    <t>600-114</t>
  </si>
  <si>
    <t>SANITARY TEE HXHXH 2X2X1-1/2 ABS</t>
  </si>
  <si>
    <t>600-130</t>
  </si>
  <si>
    <t>SANITARY TEE HXHXH 3X1-1/2 ABS</t>
  </si>
  <si>
    <t>600-148</t>
  </si>
  <si>
    <t>SANITARY TEE HXHXH 3X3X2 ABS</t>
  </si>
  <si>
    <t>600-155</t>
  </si>
  <si>
    <t>SANITARY TEE HXHXH 4X4X2 ABS</t>
  </si>
  <si>
    <t>604-314</t>
  </si>
  <si>
    <t>SANITARY TEE STREET SXHXH 1-1/2 ABS</t>
  </si>
  <si>
    <t>600-395</t>
  </si>
  <si>
    <t>WYE HXHXH 1-1/2 ABS</t>
  </si>
  <si>
    <t>600-403</t>
  </si>
  <si>
    <t>WYE HXHXH 2 ABS</t>
  </si>
  <si>
    <t>Manufactured</t>
  </si>
  <si>
    <t>816842028764</t>
  </si>
  <si>
    <t>816842028771</t>
  </si>
  <si>
    <t>600-411</t>
  </si>
  <si>
    <t>WYE HXHXH 3 ABS</t>
  </si>
  <si>
    <t>816842029310</t>
  </si>
  <si>
    <t>816842029327</t>
  </si>
  <si>
    <t>600-429</t>
  </si>
  <si>
    <t>WYE HXHXH 4 ABS</t>
  </si>
  <si>
    <t>600-478</t>
  </si>
  <si>
    <t>WYE HXHXH 3X1-1/2 ABS</t>
  </si>
  <si>
    <t>600-486</t>
  </si>
  <si>
    <t>WYE HXHXH 3X3X2 ABS</t>
  </si>
  <si>
    <t>605-139</t>
  </si>
  <si>
    <t>WYE HXHXH 4X4X2 ABS</t>
  </si>
  <si>
    <t>605-147</t>
  </si>
  <si>
    <t>WYE HXHXH 4X4X3 ABS</t>
  </si>
  <si>
    <t>816842027644</t>
  </si>
  <si>
    <t>816842029563</t>
  </si>
  <si>
    <t>600-528</t>
  </si>
  <si>
    <t>DOUBLE WYE HXHXH 1-1/2 ABS</t>
  </si>
  <si>
    <t>600-536</t>
  </si>
  <si>
    <t>DOUBLE WYE HXHXH 2 ABS</t>
  </si>
  <si>
    <t>600-544</t>
  </si>
  <si>
    <t>DOUBLE WYE HXHXH 3 ABS</t>
  </si>
  <si>
    <t>604-264</t>
  </si>
  <si>
    <t>COMBINATION TEE-WYE HXHXH 1-1/2 ABS</t>
  </si>
  <si>
    <t>604-272</t>
  </si>
  <si>
    <t>COMBINATION TEE-WYE HXHXH 2 ABS</t>
  </si>
  <si>
    <t>604-280</t>
  </si>
  <si>
    <t>COMBINATION TEE-WYE HXHXH 3 ABS</t>
  </si>
  <si>
    <t>604-298</t>
  </si>
  <si>
    <t>COMBINATION TEE-WYE HXHXH 4 ABS</t>
  </si>
  <si>
    <t>604-603</t>
  </si>
  <si>
    <t>COMBINATION TEE-WYE HXHXH 3X3X2 ABS</t>
  </si>
  <si>
    <t>816842029884</t>
  </si>
  <si>
    <t>600-213</t>
  </si>
  <si>
    <t>CLEANOUT TEE W/O PLUG HXHXFPT 1-1/2 ABS</t>
  </si>
  <si>
    <t>600-676</t>
  </si>
  <si>
    <t>90 ELBOW ASTM HXH 4 ABS</t>
  </si>
  <si>
    <t>816842028634</t>
  </si>
  <si>
    <t>816842028627</t>
  </si>
  <si>
    <t>600-601</t>
  </si>
  <si>
    <t>90 ELBOW HXH 1-1/2 ABS</t>
  </si>
  <si>
    <t>600-627</t>
  </si>
  <si>
    <t>90 ELBOW HXH 2 ABS</t>
  </si>
  <si>
    <t>600-643</t>
  </si>
  <si>
    <t>90 ELBOW HXH 3 ABS</t>
  </si>
  <si>
    <t>816842028504</t>
  </si>
  <si>
    <t>816842028511</t>
  </si>
  <si>
    <t>604-074</t>
  </si>
  <si>
    <t>90 VENT ELBOW HXH  1-1/2 ABS</t>
  </si>
  <si>
    <t>604-082</t>
  </si>
  <si>
    <t>90 VENT ELBOW HXH  2 ABS</t>
  </si>
  <si>
    <t>604-090</t>
  </si>
  <si>
    <t>90 VENT ELBOW HXH  3 ABS</t>
  </si>
  <si>
    <t>600-700</t>
  </si>
  <si>
    <t>90 LONG SWEEP ELBOW HXH 1-1/2 ABS</t>
  </si>
  <si>
    <t>604-116</t>
  </si>
  <si>
    <t>90 LONG SWEEP ELBOW HXH 2 ABS</t>
  </si>
  <si>
    <t>604-124</t>
  </si>
  <si>
    <t>90 LONG SWEEP ELBOW HXH 3 ABS</t>
  </si>
  <si>
    <t>604-132</t>
  </si>
  <si>
    <t>90 LONG SWEEP ELBOW HXH 4 ABS</t>
  </si>
  <si>
    <t>600-734</t>
  </si>
  <si>
    <t>90 ELBOW STREET SXH 1-1/2 ABS</t>
  </si>
  <si>
    <t>604-207</t>
  </si>
  <si>
    <t>90 ELBOW STREET SXH 2 ABS</t>
  </si>
  <si>
    <t>604-215</t>
  </si>
  <si>
    <t>90 ELBOW STREET SXH 3 ABS</t>
  </si>
  <si>
    <t>816842028740</t>
  </si>
  <si>
    <t>816842028757</t>
  </si>
  <si>
    <t>604-728</t>
  </si>
  <si>
    <t>90 LONG SWEEP ELBOW STREET SXH 1-1/2 ABS</t>
  </si>
  <si>
    <t>604-744</t>
  </si>
  <si>
    <t>90 LONG SWEEP ELBOW STREET SXH 3 ABS</t>
  </si>
  <si>
    <t>285-300</t>
  </si>
  <si>
    <t>90 DOUBLE ELBOW HXHXH 1-1/2 ABS</t>
  </si>
  <si>
    <t>285-400</t>
  </si>
  <si>
    <t>90 DOUBLE ELBOW HXHXH 2 ABS</t>
  </si>
  <si>
    <t>285-550</t>
  </si>
  <si>
    <t>90 DOUBLE ELBOW HXHXH 3 ABS</t>
  </si>
  <si>
    <t>600-841</t>
  </si>
  <si>
    <t>60 ELBOW HXH 1-1/2 ABS</t>
  </si>
  <si>
    <t>600-866</t>
  </si>
  <si>
    <t>60 ELBOW HXH 3 ABS</t>
  </si>
  <si>
    <t>604-967</t>
  </si>
  <si>
    <t>60 ELBOW STREET SXH 1-1/2 ABS</t>
  </si>
  <si>
    <t>600-940</t>
  </si>
  <si>
    <t>45 ELBOW ASTM HXH 4 ABS</t>
  </si>
  <si>
    <t>600-890</t>
  </si>
  <si>
    <t>45 ELBOW HXH 1-1/2 ABS</t>
  </si>
  <si>
    <t>816842027576</t>
  </si>
  <si>
    <t>816842029174</t>
  </si>
  <si>
    <t>600-916</t>
  </si>
  <si>
    <t>45 ELBOW HXH 2 ABS</t>
  </si>
  <si>
    <t>816842028603</t>
  </si>
  <si>
    <t>816842028610</t>
  </si>
  <si>
    <t>600-932</t>
  </si>
  <si>
    <t>45 ELBOW HXH 3 ABS</t>
  </si>
  <si>
    <t>816842028962</t>
  </si>
  <si>
    <t>816842028979</t>
  </si>
  <si>
    <t>600-981</t>
  </si>
  <si>
    <t>45 ELBOW STREET ASTM SXH 1-1/2 ABS</t>
  </si>
  <si>
    <t>601-013</t>
  </si>
  <si>
    <t>45 ELBOW STREET ASTM SXH 4 ABS</t>
  </si>
  <si>
    <t>600-999</t>
  </si>
  <si>
    <t>45 ELBOW STREET SXH 2 ABS</t>
  </si>
  <si>
    <t>816842029532</t>
  </si>
  <si>
    <t>816842029549</t>
  </si>
  <si>
    <t>601-005</t>
  </si>
  <si>
    <t>45 ELBOW STREET SXH 3 ABS</t>
  </si>
  <si>
    <t>816842028320</t>
  </si>
  <si>
    <t>816842028337</t>
  </si>
  <si>
    <t>601-047</t>
  </si>
  <si>
    <t>22.5 ELBOW HXH 1-1/2 ABS</t>
  </si>
  <si>
    <t>601-054</t>
  </si>
  <si>
    <t>22.5 ELBOW HXH 2 ABS</t>
  </si>
  <si>
    <t>601-062</t>
  </si>
  <si>
    <t>22.5 ELBOW HXH 3 ABS</t>
  </si>
  <si>
    <t>601-070</t>
  </si>
  <si>
    <t>22.5 ELBOW HXH 4 ABS</t>
  </si>
  <si>
    <t>601-096</t>
  </si>
  <si>
    <t>22.5 ELBOW STREET SXH 1-1/2 ABS</t>
  </si>
  <si>
    <t>816842027552</t>
  </si>
  <si>
    <t>816842028849</t>
  </si>
  <si>
    <t>605-030</t>
  </si>
  <si>
    <t>22.5 ELBOW STREET SXH 2 ABS</t>
  </si>
  <si>
    <t>816842027569</t>
  </si>
  <si>
    <t>816842029778</t>
  </si>
  <si>
    <t>601-120</t>
  </si>
  <si>
    <t>COUPLING HXH 1-1/2 ABS</t>
  </si>
  <si>
    <t>601-112</t>
  </si>
  <si>
    <t>COUPLING HXH 1-1/4 ABS</t>
  </si>
  <si>
    <t>601-138</t>
  </si>
  <si>
    <t>COUPLING HXH 2 ABS</t>
  </si>
  <si>
    <t>601-146</t>
  </si>
  <si>
    <t>COUPLING HXH 3 ABS</t>
  </si>
  <si>
    <t>601-153</t>
  </si>
  <si>
    <t>COUPLING HXH 4 ABS</t>
  </si>
  <si>
    <t>816842027583</t>
  </si>
  <si>
    <t>816842028955</t>
  </si>
  <si>
    <t>601-195</t>
  </si>
  <si>
    <t>REDUCING COUPLING HXH 2X1-1/2 ABS</t>
  </si>
  <si>
    <t>601-211</t>
  </si>
  <si>
    <t>REDUCING COUPLING HXH 3X2 ABS</t>
  </si>
  <si>
    <t>601-252</t>
  </si>
  <si>
    <t>REDUCING COUPLING HXH 4X3 ABS</t>
  </si>
  <si>
    <t>601-286</t>
  </si>
  <si>
    <t>MALE ADAPT HXMPT 1-1/2 ABS</t>
  </si>
  <si>
    <t>601-294</t>
  </si>
  <si>
    <t>MALE ADAPT HXMPT 2 ABS</t>
  </si>
  <si>
    <t>601-302</t>
  </si>
  <si>
    <t>MALE ADAPT HXMPT 3 ABS</t>
  </si>
  <si>
    <t>601-344</t>
  </si>
  <si>
    <t>MALE FITTING ADAPT SPGXMPT 1-1/2 ABS</t>
  </si>
  <si>
    <t>601-385</t>
  </si>
  <si>
    <t>FEMALE ADAPT HXFPT 1-1/2 ABS</t>
  </si>
  <si>
    <t>601-393</t>
  </si>
  <si>
    <t>FEMALE ADAPT HXFPT 2 ABS</t>
  </si>
  <si>
    <t>601-401</t>
  </si>
  <si>
    <t>FEMALE ADAPT HXFPT 3 ABS</t>
  </si>
  <si>
    <t>601-419</t>
  </si>
  <si>
    <t>FEMALE ADAPT HXFPT 4 ABS</t>
  </si>
  <si>
    <t>816842027934</t>
  </si>
  <si>
    <t>816842027941</t>
  </si>
  <si>
    <t>601-450</t>
  </si>
  <si>
    <t>FITTING CLEANOUT ADAPT SPGXFPT 1-1/2 ABS</t>
  </si>
  <si>
    <t>601-468</t>
  </si>
  <si>
    <t>FITTING CLEANOUT ADAPT SPGXFPT 2 ABS</t>
  </si>
  <si>
    <t>601-476</t>
  </si>
  <si>
    <t>FITTING CLEANOUT ADAPT SPGXFPT 3 ABS</t>
  </si>
  <si>
    <t>601-484</t>
  </si>
  <si>
    <t>FITTING CLEANOUT ADAPT SPGXFPT 4 ABS</t>
  </si>
  <si>
    <t>601-567</t>
  </si>
  <si>
    <t>BUSHING SPGXH 2X1-1/2 ABS</t>
  </si>
  <si>
    <t>601-583</t>
  </si>
  <si>
    <t>BUSHING SPGXH 3X2 ABS</t>
  </si>
  <si>
    <t>601-617</t>
  </si>
  <si>
    <t>BUSHING SPGXH 4X3 ABS</t>
  </si>
  <si>
    <t>601-948</t>
  </si>
  <si>
    <t>PIPE TRAP ADAPT FEM HXSJ 1-1/2 ABS</t>
  </si>
  <si>
    <t>601-930</t>
  </si>
  <si>
    <t>PIPE TRAP ADAPT FEM HXSJ 1-1/2X1-1/4 ABS</t>
  </si>
  <si>
    <t>18-200</t>
  </si>
  <si>
    <t>PIPE TRAP ADAPT FEM HXSJ 2 ABS</t>
  </si>
  <si>
    <t>601-997</t>
  </si>
  <si>
    <t>FITING TRAP ADAPT SPGXSJ 1-1/2 LONG ABS</t>
  </si>
  <si>
    <t>601-989</t>
  </si>
  <si>
    <t>FITING TRAP ADAPT SPGXSJ 1-1/2X1-1/4 ABS</t>
  </si>
  <si>
    <t>602-193</t>
  </si>
  <si>
    <t>CLOSET FLANGE HUB 4X3 ABS</t>
  </si>
  <si>
    <t>605-352</t>
  </si>
  <si>
    <t>CLOSET FLANGE HUB W/ METAL RING 4X3 ABS</t>
  </si>
  <si>
    <t>602-227</t>
  </si>
  <si>
    <t>CLOSET FLANGE SPGT 4X3 ABS</t>
  </si>
  <si>
    <t>602-326</t>
  </si>
  <si>
    <t>P-TRAP HXH 1-1/2 ABS</t>
  </si>
  <si>
    <t>602-334</t>
  </si>
  <si>
    <t>P-TRAP HXH 2 ABS</t>
  </si>
  <si>
    <t>602-375</t>
  </si>
  <si>
    <t>P-TRAP W/ CLEANOUT HXH 1-1/2 ABS</t>
  </si>
  <si>
    <t>602-383</t>
  </si>
  <si>
    <t>P-TRAP W/ CLEANOUT HXH 2 ABS</t>
  </si>
  <si>
    <t>602-409</t>
  </si>
  <si>
    <t>P-TRAP WITH UNION HXH 1-1/2 ABS</t>
  </si>
  <si>
    <t>602-417</t>
  </si>
  <si>
    <t>P-TRAP WITH UNION HXH 2 ABS</t>
  </si>
  <si>
    <t>602-540</t>
  </si>
  <si>
    <t>CAP HUB 1-1/2 ABS</t>
  </si>
  <si>
    <t>602-557</t>
  </si>
  <si>
    <t>CAP HUB 2 ABS</t>
  </si>
  <si>
    <t>602-565</t>
  </si>
  <si>
    <t>CAP HUB 3 ABS</t>
  </si>
  <si>
    <t>602-573</t>
  </si>
  <si>
    <t>CAP HUB 4 ABS</t>
  </si>
  <si>
    <t>602-714</t>
  </si>
  <si>
    <t>PLUG MIPT 1-1/2 ABS</t>
  </si>
  <si>
    <t>602-722</t>
  </si>
  <si>
    <t>PLUG MIPT 2 ABS</t>
  </si>
  <si>
    <t>602-730</t>
  </si>
  <si>
    <t>PLUG MIPT 3 ABS</t>
  </si>
  <si>
    <t>602-748</t>
  </si>
  <si>
    <t>PLUG MIPT 4 ABS</t>
  </si>
  <si>
    <t>PVC DWV (Drain Waste and Vent)</t>
  </si>
  <si>
    <t>List Price DWV (Drain Waste and Vent)</t>
  </si>
  <si>
    <t>DWV042024</t>
  </si>
  <si>
    <t>Effective April, 18, 2026</t>
  </si>
  <si>
    <t>Box Weight
(LB)</t>
  </si>
  <si>
    <t>Box Cube
(FT)</t>
  </si>
  <si>
    <t>PVC Schedule 40 Pressure</t>
  </si>
  <si>
    <t>List Price PVC Schedule 40</t>
  </si>
  <si>
    <t>SCH400422024</t>
  </si>
  <si>
    <t>PVCSCH400422024</t>
  </si>
  <si>
    <t>Bag Qty</t>
  </si>
  <si>
    <t>PVC Schedule 40 LD</t>
  </si>
  <si>
    <t>List Price PVC Schedule 40 LD</t>
  </si>
  <si>
    <t>LDPVCSCH400422024</t>
  </si>
  <si>
    <t>List Price Pool &amp; SPA Sweep Elbows</t>
  </si>
  <si>
    <t>POOLSWEEPELBOW0422024</t>
  </si>
  <si>
    <t>List Price Pool &amp; SPA Pipe Extender</t>
  </si>
  <si>
    <t>POOLPIPEEXT0422024</t>
  </si>
  <si>
    <t xml:space="preserve"> PVC Schedule 80</t>
  </si>
  <si>
    <t>List Price PVC SCH80</t>
  </si>
  <si>
    <t>SCH80042024</t>
  </si>
  <si>
    <t>PVCSCH80042024</t>
  </si>
  <si>
    <t xml:space="preserve"> PVC Schedule 80 Flange</t>
  </si>
  <si>
    <t>List Price PVC SCH80 Flange</t>
  </si>
  <si>
    <t>FLANGESSCH80042024</t>
  </si>
  <si>
    <t>Effective Apr, 18, 2026</t>
  </si>
  <si>
    <t>PVC Schedule 80 LD Flanges</t>
  </si>
  <si>
    <t>List Price Flanges Schedule 80</t>
  </si>
  <si>
    <t>LSCH80042024</t>
  </si>
  <si>
    <t>LDFLANGESSCH80042024</t>
  </si>
  <si>
    <t>CPVC CTS</t>
  </si>
  <si>
    <t>List Price CPVC CTS</t>
  </si>
  <si>
    <t>CPVCCTS042024</t>
  </si>
  <si>
    <t>Within 3 Weeks</t>
  </si>
  <si>
    <t>810673012404</t>
  </si>
  <si>
    <t>10810673012401</t>
  </si>
  <si>
    <t>810673012411</t>
  </si>
  <si>
    <t>10810673012418</t>
  </si>
  <si>
    <t>816842024353</t>
  </si>
  <si>
    <t>816842024155</t>
  </si>
  <si>
    <t>816842024018</t>
  </si>
  <si>
    <t>810673012428</t>
  </si>
  <si>
    <t>10810673012425</t>
  </si>
  <si>
    <t>Within 4 Months</t>
  </si>
  <si>
    <t>810673012381</t>
  </si>
  <si>
    <t>10810673012388</t>
  </si>
  <si>
    <t>810673012398</t>
  </si>
  <si>
    <t>10810673012395</t>
  </si>
  <si>
    <t>816842023615</t>
  </si>
  <si>
    <t>816842023752</t>
  </si>
  <si>
    <t>810673012367</t>
  </si>
  <si>
    <t>10810673012364</t>
  </si>
  <si>
    <t>810673012374</t>
  </si>
  <si>
    <t>10810673012371</t>
  </si>
  <si>
    <t>810116843732</t>
  </si>
  <si>
    <t>810116843695</t>
  </si>
  <si>
    <t>810673012206</t>
  </si>
  <si>
    <t>10810673012203</t>
  </si>
  <si>
    <t>810673012213</t>
  </si>
  <si>
    <t>10810673012210</t>
  </si>
  <si>
    <t>810116843749</t>
  </si>
  <si>
    <t>810116843657</t>
  </si>
  <si>
    <t>810116843701</t>
  </si>
  <si>
    <t>810673012268</t>
  </si>
  <si>
    <t>10810673012265</t>
  </si>
  <si>
    <t>810673012275</t>
  </si>
  <si>
    <t>10810673012272</t>
  </si>
  <si>
    <t>810116843602</t>
  </si>
  <si>
    <t>810116843640</t>
  </si>
  <si>
    <t>810673012282</t>
  </si>
  <si>
    <t>10810673012289</t>
  </si>
  <si>
    <t>810673012350</t>
  </si>
  <si>
    <t>10810673012357</t>
  </si>
  <si>
    <t>810673012251</t>
  </si>
  <si>
    <t>10810673012258</t>
  </si>
  <si>
    <t>810116843718</t>
  </si>
  <si>
    <t>810116843725</t>
  </si>
  <si>
    <t>810116843633</t>
  </si>
  <si>
    <t>810673012220</t>
  </si>
  <si>
    <t>10810673012227</t>
  </si>
  <si>
    <t>810673012244</t>
  </si>
  <si>
    <t>10810673012241</t>
  </si>
  <si>
    <t>810673012435</t>
  </si>
  <si>
    <t>10810673012432</t>
  </si>
  <si>
    <t>810673012442</t>
  </si>
  <si>
    <t>10810673012449</t>
  </si>
  <si>
    <t>810116843626</t>
  </si>
  <si>
    <t>List Price Insert Fittings</t>
  </si>
  <si>
    <t>INSERTFITTINGS042024</t>
  </si>
  <si>
    <t xml:space="preserve">TEE </t>
  </si>
  <si>
    <t>(Insert x Insert x Insert)</t>
  </si>
  <si>
    <t>1401-005</t>
  </si>
  <si>
    <t>1/2 TEE INSERT</t>
  </si>
  <si>
    <t>049081106331</t>
  </si>
  <si>
    <t>049081606336</t>
  </si>
  <si>
    <t>40049081106339</t>
  </si>
  <si>
    <t>1401-007</t>
  </si>
  <si>
    <t>3/4 TEE INSERT</t>
  </si>
  <si>
    <t>049081106348</t>
  </si>
  <si>
    <t>049081606343</t>
  </si>
  <si>
    <t>40049081106346</t>
  </si>
  <si>
    <t>1401-010</t>
  </si>
  <si>
    <t>1 TEE INSERT</t>
  </si>
  <si>
    <t>049081106355</t>
  </si>
  <si>
    <t>049081606350</t>
  </si>
  <si>
    <t>40049081106353</t>
  </si>
  <si>
    <t>1401-012</t>
  </si>
  <si>
    <t>1-1/4 TEE INSERT</t>
  </si>
  <si>
    <t>049081106362</t>
  </si>
  <si>
    <t>049081606367</t>
  </si>
  <si>
    <t>40049081106360</t>
  </si>
  <si>
    <t>1401-015</t>
  </si>
  <si>
    <t>1-1/2 TEE INSERT</t>
  </si>
  <si>
    <t>049081106379</t>
  </si>
  <si>
    <t>049081606374</t>
  </si>
  <si>
    <t>40049081106377</t>
  </si>
  <si>
    <t>1401-020</t>
  </si>
  <si>
    <t>2 TEE INSERT</t>
  </si>
  <si>
    <t>049081106386</t>
  </si>
  <si>
    <t>049081606381</t>
  </si>
  <si>
    <t>40049081106384</t>
  </si>
  <si>
    <t xml:space="preserve">REDUCING TEE </t>
  </si>
  <si>
    <t>(Insert x Insert x Reducing Insert)</t>
  </si>
  <si>
    <t>1401-101</t>
  </si>
  <si>
    <t>3/4X3/4X1/2 TEE INSERT</t>
  </si>
  <si>
    <t>049081106485</t>
  </si>
  <si>
    <t>049081606480</t>
  </si>
  <si>
    <t>40049081106483</t>
  </si>
  <si>
    <t>1401-125</t>
  </si>
  <si>
    <t>1X3/4X3/4 TEE INSERT</t>
  </si>
  <si>
    <t>049081106669</t>
  </si>
  <si>
    <t>049081606664</t>
  </si>
  <si>
    <t>40049081106667</t>
  </si>
  <si>
    <t>1401-130</t>
  </si>
  <si>
    <t>1X1X1/2 TEE INSERT</t>
  </si>
  <si>
    <t>049081106492</t>
  </si>
  <si>
    <t>049081606497</t>
  </si>
  <si>
    <t>40049081106490</t>
  </si>
  <si>
    <t>1401-131</t>
  </si>
  <si>
    <t>1X1X3/4 TEE INSERT</t>
  </si>
  <si>
    <t>049081106508</t>
  </si>
  <si>
    <t>049081606503</t>
  </si>
  <si>
    <t>40049081106506</t>
  </si>
  <si>
    <t>1401-168</t>
  </si>
  <si>
    <t>1-1/4X1-1/4X1 TEE INSERT</t>
  </si>
  <si>
    <t>049081106539</t>
  </si>
  <si>
    <t>049081606534</t>
  </si>
  <si>
    <t>40049081106537</t>
  </si>
  <si>
    <t>1401-210</t>
  </si>
  <si>
    <t>1-1/2X1-1/2X3/4 TEE INSERT</t>
  </si>
  <si>
    <t>049081106553</t>
  </si>
  <si>
    <t>049081606558</t>
  </si>
  <si>
    <t>40049081106551</t>
  </si>
  <si>
    <t>1401-211</t>
  </si>
  <si>
    <t>1-1/2X1-1/2X1 TEE INSERT</t>
  </si>
  <si>
    <t>049081106560</t>
  </si>
  <si>
    <t>049081606565</t>
  </si>
  <si>
    <t>40049081106568</t>
  </si>
  <si>
    <t>1401-249</t>
  </si>
  <si>
    <t>2X2X1 TEE INSERT</t>
  </si>
  <si>
    <t>049081106607</t>
  </si>
  <si>
    <t>049081606602</t>
  </si>
  <si>
    <t>40049081106605</t>
  </si>
  <si>
    <t>(Insert x Reducing Insert x Reducing Insert)</t>
  </si>
  <si>
    <t>1401-158</t>
  </si>
  <si>
    <t>1-1/4X1X1 TEE INSERT</t>
  </si>
  <si>
    <t>049081106690</t>
  </si>
  <si>
    <t>049081606695</t>
  </si>
  <si>
    <t>40049081106698</t>
  </si>
  <si>
    <t xml:space="preserve">BULL HEAD TEE </t>
  </si>
  <si>
    <t>(Insert x Insert x Bullhead Insert)</t>
  </si>
  <si>
    <t>1401-074</t>
  </si>
  <si>
    <t>1/2X1/2X3/4 BULLHEAD INSERT</t>
  </si>
  <si>
    <t>049081106744</t>
  </si>
  <si>
    <t>049081606749</t>
  </si>
  <si>
    <t>40049081106742</t>
  </si>
  <si>
    <t>1401-102</t>
  </si>
  <si>
    <t>3/4X3/4X1 TEE INSERT</t>
  </si>
  <si>
    <t>049081106751</t>
  </si>
  <si>
    <t>049081606756</t>
  </si>
  <si>
    <t>40049081106759</t>
  </si>
  <si>
    <t>1401-132</t>
  </si>
  <si>
    <t>1X1X1-1/4 BULLHEAD INSERT</t>
  </si>
  <si>
    <t>049081106768</t>
  </si>
  <si>
    <t>049081606763</t>
  </si>
  <si>
    <t>40049081106766</t>
  </si>
  <si>
    <t>FUNNY PIPE TEE</t>
  </si>
  <si>
    <t>(Insert x Insert x Funny Pipe)</t>
  </si>
  <si>
    <t>1401-099</t>
  </si>
  <si>
    <t>3/4X3/4X3/8 FUNNY PIPE TEE INS</t>
  </si>
  <si>
    <t>049081106638</t>
  </si>
  <si>
    <t>049081606633</t>
  </si>
  <si>
    <t>40049081106636</t>
  </si>
  <si>
    <t>1401-129</t>
  </si>
  <si>
    <t>1X1X3/8 FUNNY PIPE TEE INSERT</t>
  </si>
  <si>
    <t>049081106737</t>
  </si>
  <si>
    <t>049081606732</t>
  </si>
  <si>
    <t>40049081106735</t>
  </si>
  <si>
    <t>COMBINATION TEE</t>
  </si>
  <si>
    <t>(Insert x Insert x FIPT)</t>
  </si>
  <si>
    <t>1402-005</t>
  </si>
  <si>
    <t>1/2 TEE INS/FPT</t>
  </si>
  <si>
    <t>049081106782</t>
  </si>
  <si>
    <t>049081606787</t>
  </si>
  <si>
    <t>40049081106780</t>
  </si>
  <si>
    <t>1402-007</t>
  </si>
  <si>
    <t>3/4 TEE INS/FPT</t>
  </si>
  <si>
    <t>049081106805</t>
  </si>
  <si>
    <t>049081606800</t>
  </si>
  <si>
    <t>40049081106803</t>
  </si>
  <si>
    <t>1402-010</t>
  </si>
  <si>
    <t>1 TEE INS/FPT</t>
  </si>
  <si>
    <t>049081106836</t>
  </si>
  <si>
    <t>049081606831</t>
  </si>
  <si>
    <t>40049081106834</t>
  </si>
  <si>
    <t>1402-015</t>
  </si>
  <si>
    <t>1-1/2 TEE INS/FPT</t>
  </si>
  <si>
    <t>049081106928</t>
  </si>
  <si>
    <t>049081606923</t>
  </si>
  <si>
    <t>40049081106926</t>
  </si>
  <si>
    <t>1402-020</t>
  </si>
  <si>
    <t>2 TEE INS/FPT</t>
  </si>
  <si>
    <t>049081106973</t>
  </si>
  <si>
    <t>049081606978</t>
  </si>
  <si>
    <t>40049081106971</t>
  </si>
  <si>
    <t>COMBINATION AND REDUCING TEE</t>
  </si>
  <si>
    <t>1402-101</t>
  </si>
  <si>
    <t>3/4X3/4X1/2 TEE INS/FPT</t>
  </si>
  <si>
    <t>049081106799</t>
  </si>
  <si>
    <t>049081606794</t>
  </si>
  <si>
    <t>40049081106797</t>
  </si>
  <si>
    <t>1402-130</t>
  </si>
  <si>
    <t>1X1X1/2 TEE INS/FPT</t>
  </si>
  <si>
    <t>049081106812</t>
  </si>
  <si>
    <t>049081606817</t>
  </si>
  <si>
    <t>40049081106810</t>
  </si>
  <si>
    <t>1402-131</t>
  </si>
  <si>
    <t>1X1X3/4 TEE INS/FPT</t>
  </si>
  <si>
    <t>049081106829</t>
  </si>
  <si>
    <t>049081606824</t>
  </si>
  <si>
    <t>40049081106827</t>
  </si>
  <si>
    <t>1402-166</t>
  </si>
  <si>
    <t>1-1/4X1-1/4X1/2 TEE INS/FPT</t>
  </si>
  <si>
    <t>049081106843</t>
  </si>
  <si>
    <t>049081606848</t>
  </si>
  <si>
    <t>40049081106841</t>
  </si>
  <si>
    <t>1402-167</t>
  </si>
  <si>
    <t>1-1/4X1-1/4X3/4 TEE INS/FPT</t>
  </si>
  <si>
    <t>049081106850</t>
  </si>
  <si>
    <t>049081606855</t>
  </si>
  <si>
    <t>40049081106858</t>
  </si>
  <si>
    <t>1402-168</t>
  </si>
  <si>
    <t>1-1/4X1-1/4X1 TEE INS/FPT</t>
  </si>
  <si>
    <t>049081106867</t>
  </si>
  <si>
    <t>049081606862</t>
  </si>
  <si>
    <t>40049081106865</t>
  </si>
  <si>
    <t>1402-209</t>
  </si>
  <si>
    <t>1-1/2X1-1/2X1/2 TEE INS/FPT</t>
  </si>
  <si>
    <t>049081106881</t>
  </si>
  <si>
    <t>049081606886</t>
  </si>
  <si>
    <t>40049081106889</t>
  </si>
  <si>
    <t>1402-210</t>
  </si>
  <si>
    <t>1-1/2X1-1/2X3/4 TEE INS/FPT</t>
  </si>
  <si>
    <t>049081106898</t>
  </si>
  <si>
    <t>049081606893</t>
  </si>
  <si>
    <t>40049081106896</t>
  </si>
  <si>
    <t>1402-211</t>
  </si>
  <si>
    <t>1-1/2X1-1/2X1 TEE INS FPT</t>
  </si>
  <si>
    <t>049081106904</t>
  </si>
  <si>
    <t>049081606909</t>
  </si>
  <si>
    <t>40049081106902</t>
  </si>
  <si>
    <t>1402-247</t>
  </si>
  <si>
    <t>2X2X1/2 TEE INS/FPT</t>
  </si>
  <si>
    <t>049081106935</t>
  </si>
  <si>
    <t>049081606930</t>
  </si>
  <si>
    <t>40049081106933</t>
  </si>
  <si>
    <t>1402-248</t>
  </si>
  <si>
    <t>2X2X3/4 TEE INS/FPT</t>
  </si>
  <si>
    <t>049081106942</t>
  </si>
  <si>
    <t>049081606947</t>
  </si>
  <si>
    <t>40049081106940</t>
  </si>
  <si>
    <t>1402-249</t>
  </si>
  <si>
    <t>2X2X1 TEE INS/FPT</t>
  </si>
  <si>
    <t>049081106959</t>
  </si>
  <si>
    <t>049081606954</t>
  </si>
  <si>
    <t>40049081106957</t>
  </si>
  <si>
    <t>COMBINATION REDUCING TEE</t>
  </si>
  <si>
    <t>(Insert x Reducing Insert x Reducing FIPT)</t>
  </si>
  <si>
    <t>1402-125</t>
  </si>
  <si>
    <t>1X3/4X3/4 TEE  INS/FPT</t>
  </si>
  <si>
    <t>049081107017</t>
  </si>
  <si>
    <t>049081607012</t>
  </si>
  <si>
    <t>40049081107015</t>
  </si>
  <si>
    <t>(Insert x Insert x MIPT)</t>
  </si>
  <si>
    <t>1403-005</t>
  </si>
  <si>
    <t>1/2 TEE INS/MPT</t>
  </si>
  <si>
    <t>049081107086</t>
  </si>
  <si>
    <t>049081607081</t>
  </si>
  <si>
    <t>40049081107084</t>
  </si>
  <si>
    <t>1403-007</t>
  </si>
  <si>
    <t>3/4 TEE INS/MPT</t>
  </si>
  <si>
    <t>049081107093</t>
  </si>
  <si>
    <t>049081607098</t>
  </si>
  <si>
    <t>40049081107091</t>
  </si>
  <si>
    <t>1403-010</t>
  </si>
  <si>
    <t>1 TEE INS/MPT</t>
  </si>
  <si>
    <t>049081107109</t>
  </si>
  <si>
    <t>049081607104</t>
  </si>
  <si>
    <t>40049081107107</t>
  </si>
  <si>
    <t>1403-012</t>
  </si>
  <si>
    <t>1-1/4 TEE INS/MPT</t>
  </si>
  <si>
    <t>049081107116</t>
  </si>
  <si>
    <t>049081607111</t>
  </si>
  <si>
    <t>40049081107114</t>
  </si>
  <si>
    <t>90 DEGREE ELBOW</t>
  </si>
  <si>
    <t>(Insert x Insert)</t>
  </si>
  <si>
    <t>1406-005</t>
  </si>
  <si>
    <t>1/2 ELL INSERT</t>
  </si>
  <si>
    <t>049081105747</t>
  </si>
  <si>
    <t>049081605742</t>
  </si>
  <si>
    <t>40049081105745</t>
  </si>
  <si>
    <t>1406-007</t>
  </si>
  <si>
    <t>3/4 ELL INSERT</t>
  </si>
  <si>
    <t>049081105754</t>
  </si>
  <si>
    <t>049081605759</t>
  </si>
  <si>
    <t>40049081105752</t>
  </si>
  <si>
    <t>1406-010</t>
  </si>
  <si>
    <t>1 ELL INSERT</t>
  </si>
  <si>
    <t>049081105761</t>
  </si>
  <si>
    <t>049081605766</t>
  </si>
  <si>
    <t>40049081105769</t>
  </si>
  <si>
    <t>1406-012</t>
  </si>
  <si>
    <t>1-1/4 ELL INSERT</t>
  </si>
  <si>
    <t>049081105778</t>
  </si>
  <si>
    <t>049081605773</t>
  </si>
  <si>
    <t>40049081105776</t>
  </si>
  <si>
    <t>1406-015</t>
  </si>
  <si>
    <t>1-1/2 ELL INSERT</t>
  </si>
  <si>
    <t>049081105785</t>
  </si>
  <si>
    <t>049081605780</t>
  </si>
  <si>
    <t>40049081105783</t>
  </si>
  <si>
    <t>1406-020</t>
  </si>
  <si>
    <t>2 ELL INSERT</t>
  </si>
  <si>
    <t>049081105792</t>
  </si>
  <si>
    <t>049081605797</t>
  </si>
  <si>
    <t>40049081105790</t>
  </si>
  <si>
    <t>FUNNY PIPE ELBOW</t>
  </si>
  <si>
    <t>(Insert x Funny Pipe)</t>
  </si>
  <si>
    <t>1406-129</t>
  </si>
  <si>
    <t>1X3/8 FUNNY PIPE ELL INSERT</t>
  </si>
  <si>
    <t>049081105518</t>
  </si>
  <si>
    <t>049081605513</t>
  </si>
  <si>
    <t>40049081105516</t>
  </si>
  <si>
    <t>REDUCING 90 DEGREE ELBOW</t>
  </si>
  <si>
    <t>(Insert x Reducing Insert)</t>
  </si>
  <si>
    <t>1406-101</t>
  </si>
  <si>
    <t>3/4x1/2 ELL INSERT</t>
  </si>
  <si>
    <t>049081105907</t>
  </si>
  <si>
    <t>049081605902</t>
  </si>
  <si>
    <t>40049081105905</t>
  </si>
  <si>
    <t>1406-131</t>
  </si>
  <si>
    <t>1X3/4 ELL INSERT</t>
  </si>
  <si>
    <t>049081105914</t>
  </si>
  <si>
    <t>049081605919</t>
  </si>
  <si>
    <t>40049081105912</t>
  </si>
  <si>
    <t>COMBINATION 90 DEGREE ELBOW</t>
  </si>
  <si>
    <t>(Insert x FIPT)</t>
  </si>
  <si>
    <t>1407-005</t>
  </si>
  <si>
    <t>1/2 ELL INS/FPT</t>
  </si>
  <si>
    <t>049081105952</t>
  </si>
  <si>
    <t>049081605957</t>
  </si>
  <si>
    <t>40049081105950</t>
  </si>
  <si>
    <t>1407-007</t>
  </si>
  <si>
    <t>3/4 ELL INS/FPT</t>
  </si>
  <si>
    <t>049081105976</t>
  </si>
  <si>
    <t>049081605971</t>
  </si>
  <si>
    <t>40049081105974</t>
  </si>
  <si>
    <t>1407-010</t>
  </si>
  <si>
    <t>1 ELL INS/FPT</t>
  </si>
  <si>
    <t>049081106003</t>
  </si>
  <si>
    <t>049081606008</t>
  </si>
  <si>
    <t>40049081106001</t>
  </si>
  <si>
    <t>1407-012</t>
  </si>
  <si>
    <t>1-1/4 ELL INS/FPT</t>
  </si>
  <si>
    <t>049081106041</t>
  </si>
  <si>
    <t>049081606046</t>
  </si>
  <si>
    <t>40049081106049</t>
  </si>
  <si>
    <t>1407-015</t>
  </si>
  <si>
    <t>1-1/2 ELL INS/FPT</t>
  </si>
  <si>
    <t>049081106072</t>
  </si>
  <si>
    <t>049081606077</t>
  </si>
  <si>
    <t>40049081106070</t>
  </si>
  <si>
    <t>1407-020</t>
  </si>
  <si>
    <t>2 ELL INS/FPT</t>
  </si>
  <si>
    <t>049081106096</t>
  </si>
  <si>
    <t>049081606091</t>
  </si>
  <si>
    <t>40049081106094</t>
  </si>
  <si>
    <t>COMBINATION REDUCING 90 DEGREE ELBOW</t>
  </si>
  <si>
    <t>1407-101</t>
  </si>
  <si>
    <t>3/4X1/2 ELL INS/FPT</t>
  </si>
  <si>
    <t>049081105969</t>
  </si>
  <si>
    <t>049081605964</t>
  </si>
  <si>
    <t>40049081105967</t>
  </si>
  <si>
    <t>1407-130</t>
  </si>
  <si>
    <t>1X1/2 ELL INS/FPT</t>
  </si>
  <si>
    <t>049081105983</t>
  </si>
  <si>
    <t>049081605988</t>
  </si>
  <si>
    <t>40049081105981</t>
  </si>
  <si>
    <t>1407-131</t>
  </si>
  <si>
    <t>1X3/4 ELL INS/FPT</t>
  </si>
  <si>
    <t>049081105990</t>
  </si>
  <si>
    <t>049081605995</t>
  </si>
  <si>
    <t>40049081105998</t>
  </si>
  <si>
    <t>1407-166</t>
  </si>
  <si>
    <t>1-1/4X1/2 ELL INS/FPT</t>
  </si>
  <si>
    <t>049081106010</t>
  </si>
  <si>
    <t>049081606015</t>
  </si>
  <si>
    <t>40049081106018</t>
  </si>
  <si>
    <t>1407-167</t>
  </si>
  <si>
    <t>1-1/4X3/4 ELL INS/FPT</t>
  </si>
  <si>
    <t>049081106027</t>
  </si>
  <si>
    <t>049081606022</t>
  </si>
  <si>
    <t>40049081106025</t>
  </si>
  <si>
    <t>1407-168</t>
  </si>
  <si>
    <t>1-1/4X1 ELL INS/FPT</t>
  </si>
  <si>
    <t>049081106034</t>
  </si>
  <si>
    <t>049081606039</t>
  </si>
  <si>
    <t>40049081106032</t>
  </si>
  <si>
    <t>(Insert x MIPT)</t>
  </si>
  <si>
    <t>1413-005</t>
  </si>
  <si>
    <t>1/2 ELL INS/MPT</t>
  </si>
  <si>
    <t>049081106119</t>
  </si>
  <si>
    <t>049081606114</t>
  </si>
  <si>
    <t>40049081106117</t>
  </si>
  <si>
    <t>1413-007</t>
  </si>
  <si>
    <t>3/4 ELL INS/MPT</t>
  </si>
  <si>
    <t>049081106126</t>
  </si>
  <si>
    <t>049081606121</t>
  </si>
  <si>
    <t>40049081106124</t>
  </si>
  <si>
    <t>1413-010</t>
  </si>
  <si>
    <t>1 ELL INS/MPT</t>
  </si>
  <si>
    <t>049081106133</t>
  </si>
  <si>
    <t>049081606138</t>
  </si>
  <si>
    <t>40049081106131</t>
  </si>
  <si>
    <t>1413-012</t>
  </si>
  <si>
    <t>1-1/4 ELL INS/MPT</t>
  </si>
  <si>
    <t>049081106140</t>
  </si>
  <si>
    <t>049081606145</t>
  </si>
  <si>
    <t>40049081106148</t>
  </si>
  <si>
    <t>1413-015</t>
  </si>
  <si>
    <t>1-1/2 ELL INS/MPT</t>
  </si>
  <si>
    <t>049081106157</t>
  </si>
  <si>
    <t>049081606152</t>
  </si>
  <si>
    <t>40049081106155</t>
  </si>
  <si>
    <t>1413-020</t>
  </si>
  <si>
    <t>2 ELL INS/MPT</t>
  </si>
  <si>
    <t>049081106164</t>
  </si>
  <si>
    <t>049081606169</t>
  </si>
  <si>
    <t>40049081106162</t>
  </si>
  <si>
    <t>1413-074</t>
  </si>
  <si>
    <t>1/2X3/4 ELL INS/MPT</t>
  </si>
  <si>
    <t>049081105730</t>
  </si>
  <si>
    <t>049081605735</t>
  </si>
  <si>
    <t>40049081105738</t>
  </si>
  <si>
    <t>1413-101</t>
  </si>
  <si>
    <t>3/4X1/2 ELL INS/MPT</t>
  </si>
  <si>
    <t>049081105945</t>
  </si>
  <si>
    <t>049081605940</t>
  </si>
  <si>
    <t>40049081105943</t>
  </si>
  <si>
    <t>1413-130</t>
  </si>
  <si>
    <t>1X1/2 ELL INS/MPT</t>
  </si>
  <si>
    <t>049081106102</t>
  </si>
  <si>
    <t>049081606107</t>
  </si>
  <si>
    <t>40049081106100</t>
  </si>
  <si>
    <t>1413-131</t>
  </si>
  <si>
    <t>1X3/4 ELL INS/MPT</t>
  </si>
  <si>
    <t>049081106171</t>
  </si>
  <si>
    <t>049081606176</t>
  </si>
  <si>
    <t>40049081106179</t>
  </si>
  <si>
    <t>SIDE OUTLET 90 DEGREE ELBOW</t>
  </si>
  <si>
    <t>1414-007</t>
  </si>
  <si>
    <t>3/4X3/4X3/4 SID OUTLET 90 ELL</t>
  </si>
  <si>
    <t>049081104436</t>
  </si>
  <si>
    <t>049081604431</t>
  </si>
  <si>
    <t>40049081104434</t>
  </si>
  <si>
    <t>1414-101</t>
  </si>
  <si>
    <t>3/4X3/4X1/2 SIDE OUTLET 90 ELL</t>
  </si>
  <si>
    <t>049081104443</t>
  </si>
  <si>
    <t>049081604448</t>
  </si>
  <si>
    <t>40049081104441</t>
  </si>
  <si>
    <t>1414-130</t>
  </si>
  <si>
    <t>1X1X1/2 SIDE OUTLET 90 ELL</t>
  </si>
  <si>
    <t>049081104412</t>
  </si>
  <si>
    <t>049081604417</t>
  </si>
  <si>
    <t>40049081104410</t>
  </si>
  <si>
    <t>1414-131</t>
  </si>
  <si>
    <t>1X1X3/4 SIDE OUTLET 90 ELL</t>
  </si>
  <si>
    <t>049081104429</t>
  </si>
  <si>
    <t>049081604424</t>
  </si>
  <si>
    <t>40049081104427</t>
  </si>
  <si>
    <t xml:space="preserve">SIDE OUTLET TEE </t>
  </si>
  <si>
    <t>(Insert x Insert x Insert x FIPT)</t>
  </si>
  <si>
    <t>1416-101</t>
  </si>
  <si>
    <t>3/4X3/4X3/4X1/2 SIDE OUTLET TEE</t>
  </si>
  <si>
    <t>049081104474</t>
  </si>
  <si>
    <t>049081604479</t>
  </si>
  <si>
    <t>40049081104472</t>
  </si>
  <si>
    <t>1416-130</t>
  </si>
  <si>
    <t>1X1X1X1/2 SIDE OUTLET TEE</t>
  </si>
  <si>
    <t>049081104481</t>
  </si>
  <si>
    <t>049081604486</t>
  </si>
  <si>
    <t>40049081104489</t>
  </si>
  <si>
    <t>1416-131</t>
  </si>
  <si>
    <t>1X1X1X3/4 SIDE OUTLET TEE</t>
  </si>
  <si>
    <t>049081104498</t>
  </si>
  <si>
    <t>049081604493</t>
  </si>
  <si>
    <t>40049081104496</t>
  </si>
  <si>
    <t>CROSS</t>
  </si>
  <si>
    <t>(Insert x Insert x Insert x Insert)</t>
  </si>
  <si>
    <t>1420-005</t>
  </si>
  <si>
    <t>1/2 CROSS INSERT</t>
  </si>
  <si>
    <t>049081105709</t>
  </si>
  <si>
    <t>049081605704</t>
  </si>
  <si>
    <t>40049081105707</t>
  </si>
  <si>
    <t>1420-007</t>
  </si>
  <si>
    <t>3/4 CROSS INSERT</t>
  </si>
  <si>
    <t>049081105716</t>
  </si>
  <si>
    <t>049081605711</t>
  </si>
  <si>
    <t>40049081105714</t>
  </si>
  <si>
    <t>1420-010</t>
  </si>
  <si>
    <t>1 CROSS INSERT</t>
  </si>
  <si>
    <t>049081105723</t>
  </si>
  <si>
    <t>049081605728</t>
  </si>
  <si>
    <t>40049081105721</t>
  </si>
  <si>
    <t>REDUCING CROSS</t>
  </si>
  <si>
    <t>(Insert x Insert x Reducing Insert x Reducing Insert)</t>
  </si>
  <si>
    <t>1420-130</t>
  </si>
  <si>
    <t>1X1X1/2X1/2 CROSS INSERT</t>
  </si>
  <si>
    <t>049081104535</t>
  </si>
  <si>
    <t>049081604530</t>
  </si>
  <si>
    <t>40049081104533</t>
  </si>
  <si>
    <t>COUPLING</t>
  </si>
  <si>
    <t>1429-005</t>
  </si>
  <si>
    <t>1/2 COUPL INSERT</t>
  </si>
  <si>
    <t>049081105426</t>
  </si>
  <si>
    <t>049081605421</t>
  </si>
  <si>
    <t>40049081105424</t>
  </si>
  <si>
    <t>1429-007</t>
  </si>
  <si>
    <t>3/4 COUPL INSERT</t>
  </si>
  <si>
    <t>049081105433</t>
  </si>
  <si>
    <t>049081605438</t>
  </si>
  <si>
    <t>40049081105431</t>
  </si>
  <si>
    <t>1429-010</t>
  </si>
  <si>
    <t>1 COUPL INSERT</t>
  </si>
  <si>
    <t>049081105457</t>
  </si>
  <si>
    <t>049081605452</t>
  </si>
  <si>
    <t>40049081105455</t>
  </si>
  <si>
    <t>1429-012</t>
  </si>
  <si>
    <t>1-1/4 COUPL INSERT</t>
  </si>
  <si>
    <t>049081105464</t>
  </si>
  <si>
    <t>049081605469</t>
  </si>
  <si>
    <t>40049081105462</t>
  </si>
  <si>
    <t>1429-015</t>
  </si>
  <si>
    <t>1-1/2 COUPL INSERT</t>
  </si>
  <si>
    <t>049081105471</t>
  </si>
  <si>
    <t>049081605476</t>
  </si>
  <si>
    <t>40049081105479</t>
  </si>
  <si>
    <t>1429-020</t>
  </si>
  <si>
    <t>2 COUPL INSERT</t>
  </si>
  <si>
    <t>049081105488</t>
  </si>
  <si>
    <t>049081605483</t>
  </si>
  <si>
    <t>40049081105486</t>
  </si>
  <si>
    <t xml:space="preserve">REDUCING COUPLING </t>
  </si>
  <si>
    <t>1429-101</t>
  </si>
  <si>
    <t>3/4X1/2 COUPL INSERT</t>
  </si>
  <si>
    <t>049081105594</t>
  </si>
  <si>
    <t>049081605599</t>
  </si>
  <si>
    <t>40049081105592</t>
  </si>
  <si>
    <t>1429-130</t>
  </si>
  <si>
    <t>1X1/2 COUPL INSERT</t>
  </si>
  <si>
    <t>049081105600</t>
  </si>
  <si>
    <t>049081605605</t>
  </si>
  <si>
    <t>40049081105608</t>
  </si>
  <si>
    <t>1429-131</t>
  </si>
  <si>
    <t>1X3/4 COUPL INSERT</t>
  </si>
  <si>
    <t>049081105617</t>
  </si>
  <si>
    <t>049081605612</t>
  </si>
  <si>
    <t>40049081105615</t>
  </si>
  <si>
    <t>1429-168</t>
  </si>
  <si>
    <t>1-1/4X1 COUPL INSERT</t>
  </si>
  <si>
    <t>049081105631</t>
  </si>
  <si>
    <t>049081605636</t>
  </si>
  <si>
    <t>40049081105639</t>
  </si>
  <si>
    <t>1429-210</t>
  </si>
  <si>
    <t>1-1/2X3/4 COUPL INSERT</t>
  </si>
  <si>
    <t>049081105648</t>
  </si>
  <si>
    <t>049081605643</t>
  </si>
  <si>
    <t>40049081105646</t>
  </si>
  <si>
    <t>1429-211</t>
  </si>
  <si>
    <t>1-1/2X1 COUPL INSERT</t>
  </si>
  <si>
    <t>049081105655</t>
  </si>
  <si>
    <t>049081605650</t>
  </si>
  <si>
    <t>40049081105653</t>
  </si>
  <si>
    <t>1429-212</t>
  </si>
  <si>
    <t>1-1/2X1-1/4 COUPL INSERT</t>
  </si>
  <si>
    <t>049081105662</t>
  </si>
  <si>
    <t>049081605667</t>
  </si>
  <si>
    <t>40049081105660</t>
  </si>
  <si>
    <t>1429-251</t>
  </si>
  <si>
    <t>2X1-1/2 COUPL INSERT</t>
  </si>
  <si>
    <t>049081105693</t>
  </si>
  <si>
    <t>049081605698</t>
  </si>
  <si>
    <t>40049081105691</t>
  </si>
  <si>
    <t>1429-137</t>
  </si>
  <si>
    <t>1 X 7/8 COUPL INSERT</t>
  </si>
  <si>
    <t>049081402532</t>
  </si>
  <si>
    <t>049081602536</t>
  </si>
  <si>
    <t>40049081402530</t>
  </si>
  <si>
    <t>FUNNY PIPE COUPLING</t>
  </si>
  <si>
    <t>1429-099</t>
  </si>
  <si>
    <t>3/4 X 3/8 INSERT X FUNNY PIPE</t>
  </si>
  <si>
    <t>049081402501</t>
  </si>
  <si>
    <t>049081602505</t>
  </si>
  <si>
    <t>40049081402509</t>
  </si>
  <si>
    <t>1429-129</t>
  </si>
  <si>
    <t>1X3/8 INSERT X FUNNY PIPE CPLG</t>
  </si>
  <si>
    <t>049081402518</t>
  </si>
  <si>
    <t>049081602512</t>
  </si>
  <si>
    <t>40049081402516</t>
  </si>
  <si>
    <t>FITTING ADAPTER</t>
  </si>
  <si>
    <t>(Spigot x Insert)</t>
  </si>
  <si>
    <t>1432-005</t>
  </si>
  <si>
    <t>1/2 FTG ADAP SPG/INS</t>
  </si>
  <si>
    <t>049081104504</t>
  </si>
  <si>
    <t>049081604509</t>
  </si>
  <si>
    <t>40049081104502</t>
  </si>
  <si>
    <t>1432-007</t>
  </si>
  <si>
    <t>3/4 FTG ADAP SPG/INS</t>
  </si>
  <si>
    <t>049081104528</t>
  </si>
  <si>
    <t>049081604523</t>
  </si>
  <si>
    <t>40049081104526</t>
  </si>
  <si>
    <t>1432-010</t>
  </si>
  <si>
    <t>1 FTG ADAP SPG/INS</t>
  </si>
  <si>
    <t>049081104542</t>
  </si>
  <si>
    <t>049081604547</t>
  </si>
  <si>
    <t>40049081104540</t>
  </si>
  <si>
    <t>1432-012</t>
  </si>
  <si>
    <t>1-1/4 ADAP SPG/INS</t>
  </si>
  <si>
    <t>049081104566</t>
  </si>
  <si>
    <t>049081604561</t>
  </si>
  <si>
    <t>40049081104564</t>
  </si>
  <si>
    <t>1432-015</t>
  </si>
  <si>
    <t>1-1/2 FTG ADAP SPG/INS</t>
  </si>
  <si>
    <t>049081104580</t>
  </si>
  <si>
    <t>049081604585</t>
  </si>
  <si>
    <t>40049081104588</t>
  </si>
  <si>
    <t>1432-020</t>
  </si>
  <si>
    <t>2 FTG ADAP SPG/INS</t>
  </si>
  <si>
    <t>049081104603</t>
  </si>
  <si>
    <t>049081604608</t>
  </si>
  <si>
    <t>40049081104601</t>
  </si>
  <si>
    <t>1432-030</t>
  </si>
  <si>
    <t>3 FTG ADAP SPG/INS</t>
  </si>
  <si>
    <t>049081104641</t>
  </si>
  <si>
    <t>049081604646</t>
  </si>
  <si>
    <t>40049081104649</t>
  </si>
  <si>
    <t>1432-101</t>
  </si>
  <si>
    <t>3/4X1/2 FTG ADAP SPG/INS</t>
  </si>
  <si>
    <t>049081104702</t>
  </si>
  <si>
    <t>049081604707</t>
  </si>
  <si>
    <t>40049081104700</t>
  </si>
  <si>
    <t>1432-130</t>
  </si>
  <si>
    <t>1X1/2 FTG ADAP SPG/INS</t>
  </si>
  <si>
    <t>049081104726</t>
  </si>
  <si>
    <t>049081604721</t>
  </si>
  <si>
    <t>40049081104724</t>
  </si>
  <si>
    <t>1432-131</t>
  </si>
  <si>
    <t>1X3/4 SPG/INSERT FITT ADPT</t>
  </si>
  <si>
    <t>049081104740</t>
  </si>
  <si>
    <t>049081604745</t>
  </si>
  <si>
    <t>40049081104748</t>
  </si>
  <si>
    <t>1432-166</t>
  </si>
  <si>
    <t>1-1/4X1/2 FTG ADAP SPG/INS</t>
  </si>
  <si>
    <t>049081104764</t>
  </si>
  <si>
    <t>049081604769</t>
  </si>
  <si>
    <t>40049081104762</t>
  </si>
  <si>
    <t>1432-167</t>
  </si>
  <si>
    <t>1-1/4X3/4 FTG ADAP SPG/INS</t>
  </si>
  <si>
    <t>049081104788</t>
  </si>
  <si>
    <t>049081604783</t>
  </si>
  <si>
    <t>40049081104786</t>
  </si>
  <si>
    <t>1432-168</t>
  </si>
  <si>
    <t>1-1/4X1 FTG ADAP SPG/INS</t>
  </si>
  <si>
    <t>049081104801</t>
  </si>
  <si>
    <t>049081604806</t>
  </si>
  <si>
    <t>40049081104809</t>
  </si>
  <si>
    <t>1432-211</t>
  </si>
  <si>
    <t>1-1/2X1 FTG ADAP SPG/INS</t>
  </si>
  <si>
    <t>049081104863</t>
  </si>
  <si>
    <t>049081604868</t>
  </si>
  <si>
    <t>40049081104861</t>
  </si>
  <si>
    <t>1432-212</t>
  </si>
  <si>
    <t>1-1/2X1-1/4 FTG ADAP SPG/INS</t>
  </si>
  <si>
    <t>049081104887</t>
  </si>
  <si>
    <t>049081604882</t>
  </si>
  <si>
    <t>40049081104885</t>
  </si>
  <si>
    <t>FEMALE ADAPTER</t>
  </si>
  <si>
    <t>(FIPT x Insert)</t>
  </si>
  <si>
    <t>1435-005</t>
  </si>
  <si>
    <t>1/2 FA INSERT</t>
  </si>
  <si>
    <t>049081105006</t>
  </si>
  <si>
    <t>049081605001</t>
  </si>
  <si>
    <t>40049081105004</t>
  </si>
  <si>
    <t>1435-007</t>
  </si>
  <si>
    <t>3/4 FA INSERT</t>
  </si>
  <si>
    <t>049081105013</t>
  </si>
  <si>
    <t>049081605018</t>
  </si>
  <si>
    <t>40049081105011</t>
  </si>
  <si>
    <t>1435-010</t>
  </si>
  <si>
    <t>1 FA INSERT</t>
  </si>
  <si>
    <t>049081105020</t>
  </si>
  <si>
    <t>049081605025</t>
  </si>
  <si>
    <t>40049081105028</t>
  </si>
  <si>
    <t>1435-012</t>
  </si>
  <si>
    <t>1-1/4 FA INSERT</t>
  </si>
  <si>
    <t>049081105037</t>
  </si>
  <si>
    <t>049081605032</t>
  </si>
  <si>
    <t>40049081105035</t>
  </si>
  <si>
    <t>1435-015</t>
  </si>
  <si>
    <t>1-1/2 FA INSERT</t>
  </si>
  <si>
    <t>049081105044</t>
  </si>
  <si>
    <t>049081605049</t>
  </si>
  <si>
    <t>40049081105042</t>
  </si>
  <si>
    <t>1435-020</t>
  </si>
  <si>
    <t>2 FA INSERT</t>
  </si>
  <si>
    <t>049081105051</t>
  </si>
  <si>
    <t>049081605056</t>
  </si>
  <si>
    <t>40049081105059</t>
  </si>
  <si>
    <t>MALE ADAPTER</t>
  </si>
  <si>
    <t>(MIPT x Insert)</t>
  </si>
  <si>
    <t>1436-005</t>
  </si>
  <si>
    <t>1/2 MA INSERT</t>
  </si>
  <si>
    <t>049081105075</t>
  </si>
  <si>
    <t>049081605070</t>
  </si>
  <si>
    <t>40049081105073</t>
  </si>
  <si>
    <t>1436-007</t>
  </si>
  <si>
    <t>3/4 MA INSERT</t>
  </si>
  <si>
    <t>049081105082</t>
  </si>
  <si>
    <t>049081605087</t>
  </si>
  <si>
    <t>40049081105080</t>
  </si>
  <si>
    <t>1436-010</t>
  </si>
  <si>
    <t>1 MA INSERT</t>
  </si>
  <si>
    <t>049081105099</t>
  </si>
  <si>
    <t>049081605094</t>
  </si>
  <si>
    <t>40049081105097</t>
  </si>
  <si>
    <t>1436-012</t>
  </si>
  <si>
    <t>1-1/4 MA INSERT</t>
  </si>
  <si>
    <t>049081105105</t>
  </si>
  <si>
    <t>049081605100</t>
  </si>
  <si>
    <t>40049081105103</t>
  </si>
  <si>
    <t>1436-015</t>
  </si>
  <si>
    <t>1-1/2 MA INSERT</t>
  </si>
  <si>
    <t>049081105112</t>
  </si>
  <si>
    <t>049081605117</t>
  </si>
  <si>
    <t>40049081105110</t>
  </si>
  <si>
    <t>1436-020</t>
  </si>
  <si>
    <t>2 MA INSERT</t>
  </si>
  <si>
    <t>049081105129</t>
  </si>
  <si>
    <t>049081605124</t>
  </si>
  <si>
    <t>40049081105127</t>
  </si>
  <si>
    <t>REDUCING MALE ADAPTER</t>
  </si>
  <si>
    <t>(Reducing MIPT x Insert)</t>
  </si>
  <si>
    <t>1436-074</t>
  </si>
  <si>
    <t>1/2X3/4 MA INSERT</t>
  </si>
  <si>
    <t>049081105266</t>
  </si>
  <si>
    <t>049081605261</t>
  </si>
  <si>
    <t>40049081105264</t>
  </si>
  <si>
    <t>1436-075</t>
  </si>
  <si>
    <t>1/2X1 MA INSERT</t>
  </si>
  <si>
    <t>049081105273</t>
  </si>
  <si>
    <t>049081605278</t>
  </si>
  <si>
    <t>40049081105271</t>
  </si>
  <si>
    <t>1436-102</t>
  </si>
  <si>
    <t>3/4X1 MA INSERT</t>
  </si>
  <si>
    <t>049081105280</t>
  </si>
  <si>
    <t>049081605285</t>
  </si>
  <si>
    <t>40049081105288</t>
  </si>
  <si>
    <t>1436-132</t>
  </si>
  <si>
    <t>1X1-1/4 MA INSERT</t>
  </si>
  <si>
    <t>049081105297</t>
  </si>
  <si>
    <t>049081605292</t>
  </si>
  <si>
    <t>40049081105295</t>
  </si>
  <si>
    <t>1436-133</t>
  </si>
  <si>
    <t>1X1-1/2 MA INSERT</t>
  </si>
  <si>
    <t>049081105303</t>
  </si>
  <si>
    <t>049081605308</t>
  </si>
  <si>
    <t>40049081105301</t>
  </si>
  <si>
    <t>1436-213</t>
  </si>
  <si>
    <t>1-1/2X2 MA INSERT</t>
  </si>
  <si>
    <t>049081105327</t>
  </si>
  <si>
    <t>049081605322</t>
  </si>
  <si>
    <t>40049081105325</t>
  </si>
  <si>
    <t>(MIPT x Reducing Insert)</t>
  </si>
  <si>
    <t>1436-072</t>
  </si>
  <si>
    <t>1/2X1/4 MA INSERT</t>
  </si>
  <si>
    <t>049081105334</t>
  </si>
  <si>
    <t>049081605339</t>
  </si>
  <si>
    <t>40049081105332</t>
  </si>
  <si>
    <t>1436-101</t>
  </si>
  <si>
    <t>3/4X1/2 MA INSERT</t>
  </si>
  <si>
    <t>049081105341</t>
  </si>
  <si>
    <t>049081605346</t>
  </si>
  <si>
    <t>40049081105349</t>
  </si>
  <si>
    <t>1436-130</t>
  </si>
  <si>
    <t>1X1/2 MA INSERT</t>
  </si>
  <si>
    <t>049081105419</t>
  </si>
  <si>
    <t>049081605414</t>
  </si>
  <si>
    <t>40049081105417</t>
  </si>
  <si>
    <t>1436-131</t>
  </si>
  <si>
    <t>1X3/4 MA INSERT</t>
  </si>
  <si>
    <t>049081105358</t>
  </si>
  <si>
    <t>049081605353</t>
  </si>
  <si>
    <t>40049081105356</t>
  </si>
  <si>
    <t>1436-168</t>
  </si>
  <si>
    <t>1-1/4X1 MA INSERT</t>
  </si>
  <si>
    <t>049081105372</t>
  </si>
  <si>
    <t>049081605377</t>
  </si>
  <si>
    <t>40049081105370</t>
  </si>
  <si>
    <t>1436-211</t>
  </si>
  <si>
    <t>1-1/2X1 MA INSERT</t>
  </si>
  <si>
    <t>049081105389</t>
  </si>
  <si>
    <t>049081605384</t>
  </si>
  <si>
    <t>40049081105387</t>
  </si>
  <si>
    <t>1436-212</t>
  </si>
  <si>
    <t>1-1/2X1-1/4 MA INSERT</t>
  </si>
  <si>
    <t>049081105396</t>
  </si>
  <si>
    <t>049081605391</t>
  </si>
  <si>
    <t>40049081105394</t>
  </si>
  <si>
    <t>1436-251</t>
  </si>
  <si>
    <t>2X1-1/2 MA INSERT</t>
  </si>
  <si>
    <t>049081105402</t>
  </si>
  <si>
    <t>049081605407</t>
  </si>
  <si>
    <t>40049081105400</t>
  </si>
  <si>
    <t>PLUG</t>
  </si>
  <si>
    <t>(Insert)</t>
  </si>
  <si>
    <t>1449-005</t>
  </si>
  <si>
    <t>1/2 PLUG INSERT</t>
  </si>
  <si>
    <t>049081106263</t>
  </si>
  <si>
    <t>049081606268</t>
  </si>
  <si>
    <t>40049081106261</t>
  </si>
  <si>
    <t>1449-007</t>
  </si>
  <si>
    <t>3/4 PLUG INSERT</t>
  </si>
  <si>
    <t>049081106270</t>
  </si>
  <si>
    <t>049081606275</t>
  </si>
  <si>
    <t>40049081106278</t>
  </si>
  <si>
    <t>1449-010</t>
  </si>
  <si>
    <t>1 PLUG INSERT</t>
  </si>
  <si>
    <t>049081106287</t>
  </si>
  <si>
    <t>049081606282</t>
  </si>
  <si>
    <t>40049081106285</t>
  </si>
  <si>
    <t>1449-012</t>
  </si>
  <si>
    <t>1-1/4 PLUG INSERT</t>
  </si>
  <si>
    <t>049081106294</t>
  </si>
  <si>
    <t>049081606299</t>
  </si>
  <si>
    <t>40049081106292</t>
  </si>
  <si>
    <t>1449-015</t>
  </si>
  <si>
    <t>1-1/2 PLUG INSERT</t>
  </si>
  <si>
    <t>049081106300</t>
  </si>
  <si>
    <t>049081606305</t>
  </si>
  <si>
    <t>40049081106308</t>
  </si>
  <si>
    <t>1449-020</t>
  </si>
  <si>
    <t>2 PLUG INSERT</t>
  </si>
  <si>
    <t>049081106317</t>
  </si>
  <si>
    <t>049081606312</t>
  </si>
  <si>
    <t>40049081106315</t>
  </si>
  <si>
    <t>List Price Valves</t>
  </si>
  <si>
    <t>VALVES042024</t>
  </si>
  <si>
    <t>S1-005W</t>
  </si>
  <si>
    <t>1/2 PVC BALL VALVE(SXS)</t>
  </si>
  <si>
    <t>-</t>
  </si>
  <si>
    <t>In stock</t>
  </si>
  <si>
    <t>049081350024</t>
  </si>
  <si>
    <t>40049081350022</t>
  </si>
  <si>
    <t>S1-007W</t>
  </si>
  <si>
    <t>3/4 PVC BALL VALVE(SXS)</t>
  </si>
  <si>
    <t>049081350062</t>
  </si>
  <si>
    <t>40049081350060</t>
  </si>
  <si>
    <t>S1-010W</t>
  </si>
  <si>
    <t>1 PVC BALL VALVE(SXS)</t>
  </si>
  <si>
    <t>049081350109</t>
  </si>
  <si>
    <t>40049081350107</t>
  </si>
  <si>
    <t>S1-012W</t>
  </si>
  <si>
    <t>11/4PVC BALL VALVE(SXS)</t>
  </si>
  <si>
    <t>049081350147</t>
  </si>
  <si>
    <t>40049081350145</t>
  </si>
  <si>
    <t>S1-015W</t>
  </si>
  <si>
    <t>11/2PVC BALL VALVE(SXS)</t>
  </si>
  <si>
    <t>049081350185</t>
  </si>
  <si>
    <t>40049081350183</t>
  </si>
  <si>
    <t>S1-020W</t>
  </si>
  <si>
    <t>2 PVC BALL VALVE(SXS)</t>
  </si>
  <si>
    <t>049081350222</t>
  </si>
  <si>
    <t>40049081350220</t>
  </si>
  <si>
    <t>S1-025W</t>
  </si>
  <si>
    <t>2-1/2 SS WHITE COMP BALL VLV 37059002</t>
  </si>
  <si>
    <t>049081350260</t>
  </si>
  <si>
    <t>40049081350268</t>
  </si>
  <si>
    <t>S1-030W</t>
  </si>
  <si>
    <t>3 SS WHITE COMP BALL VLV 37059003</t>
  </si>
  <si>
    <t>049081350307</t>
  </si>
  <si>
    <t>40049081350305</t>
  </si>
  <si>
    <t>S1-040W</t>
  </si>
  <si>
    <t>4 SS WHITE COMP BALL VLV 37059004</t>
  </si>
  <si>
    <t>049081350345</t>
  </si>
  <si>
    <t>40049081350343</t>
  </si>
  <si>
    <t>S1-005G</t>
  </si>
  <si>
    <t>1/2 SS GRAY COMP BALL VLV 37059005</t>
  </si>
  <si>
    <t>049081350000</t>
  </si>
  <si>
    <t>40049081350008</t>
  </si>
  <si>
    <t>S1-007G</t>
  </si>
  <si>
    <t>3/4 SS GREY COMP BALL VLV 37059006</t>
  </si>
  <si>
    <t>049081350048</t>
  </si>
  <si>
    <t>40049081350046</t>
  </si>
  <si>
    <t>S1-010G</t>
  </si>
  <si>
    <t>1 SS GRAY COMP BALL VLV 37059007</t>
  </si>
  <si>
    <t>049081350086</t>
  </si>
  <si>
    <t>40049081350084</t>
  </si>
  <si>
    <t>S1-012G</t>
  </si>
  <si>
    <t>1-1/4 SS GRAY COMP BALL VLV 37059008</t>
  </si>
  <si>
    <t>049081350123</t>
  </si>
  <si>
    <t>40049081350121</t>
  </si>
  <si>
    <t>S1-015G</t>
  </si>
  <si>
    <t>1-1/2 GRAY COMP BALL VLV 37059009</t>
  </si>
  <si>
    <t>049081350161</t>
  </si>
  <si>
    <t>40049081350169</t>
  </si>
  <si>
    <t>S1-020G</t>
  </si>
  <si>
    <t>2 SS GRAY COMP BALL VLV 37059010</t>
  </si>
  <si>
    <t>049081350208</t>
  </si>
  <si>
    <t>40049081350206</t>
  </si>
  <si>
    <t>S1-025G</t>
  </si>
  <si>
    <t>2-1/2 SS GRAY COMP BALL VLV 37059011</t>
  </si>
  <si>
    <t>049081350246</t>
  </si>
  <si>
    <t>40049081350244</t>
  </si>
  <si>
    <t>S1-030G</t>
  </si>
  <si>
    <t>3 SS GRAY COMP BALL VLV 37059012</t>
  </si>
  <si>
    <t>049081350284</t>
  </si>
  <si>
    <t>40049081350282</t>
  </si>
  <si>
    <t>S1-040G</t>
  </si>
  <si>
    <t>4 SS GRAY COMP BALL VLV 37059013</t>
  </si>
  <si>
    <t>049081350321</t>
  </si>
  <si>
    <t>40049081350329</t>
  </si>
  <si>
    <t>T1-005W</t>
  </si>
  <si>
    <t>1/2 PVC BALL VALVE(FIPXFIP)</t>
  </si>
  <si>
    <t>049081355029</t>
  </si>
  <si>
    <t>40049081355027</t>
  </si>
  <si>
    <t>T1-007W</t>
  </si>
  <si>
    <t>3/4 PVC BALL VALVE(FIPXFIP)</t>
  </si>
  <si>
    <t>049081355067</t>
  </si>
  <si>
    <t>40049081355065</t>
  </si>
  <si>
    <t>T1-010W</t>
  </si>
  <si>
    <t>1 PVC BALL VALVE(FIPXFIP)</t>
  </si>
  <si>
    <t>049081355104</t>
  </si>
  <si>
    <t>40049081355102</t>
  </si>
  <si>
    <t>T1-012W</t>
  </si>
  <si>
    <t>11/4 PVC BALL VALVE(FXF)</t>
  </si>
  <si>
    <t>049081355142</t>
  </si>
  <si>
    <t>40049081355140</t>
  </si>
  <si>
    <t>T1-015W</t>
  </si>
  <si>
    <t>11/2 PVC BALL VALVE(FXF)</t>
  </si>
  <si>
    <t>049081355180</t>
  </si>
  <si>
    <t>40049081355188</t>
  </si>
  <si>
    <t>T1-020W</t>
  </si>
  <si>
    <t>2 PVC BALL VALVE(FIPXFIP)</t>
  </si>
  <si>
    <t>049081355227</t>
  </si>
  <si>
    <t>40049081355225</t>
  </si>
  <si>
    <t>T1-025W</t>
  </si>
  <si>
    <t>2-1/2 TT WHITE COMP BALL VLV 37059022</t>
  </si>
  <si>
    <t>049081355265</t>
  </si>
  <si>
    <t>40049081355263</t>
  </si>
  <si>
    <t>T1-030W</t>
  </si>
  <si>
    <t>3 TT WHITE COMP BALL VLV 37059023</t>
  </si>
  <si>
    <t>049081355302</t>
  </si>
  <si>
    <t>40049081355300</t>
  </si>
  <si>
    <t>T1-040W</t>
  </si>
  <si>
    <t>4 TT WHITE COMP BALL VLV 37059024</t>
  </si>
  <si>
    <t>049081355340</t>
  </si>
  <si>
    <t>40049081355348</t>
  </si>
  <si>
    <t>T1-005G</t>
  </si>
  <si>
    <t>1/2 TT GRAY COMP BALL VLV 37059025</t>
  </si>
  <si>
    <t>049081355005</t>
  </si>
  <si>
    <t>40049081355003</t>
  </si>
  <si>
    <t>T1-007G</t>
  </si>
  <si>
    <t>3/4 GRAY COMP BALL VLV 37059026</t>
  </si>
  <si>
    <t>049081355043</t>
  </si>
  <si>
    <t>40049081355041</t>
  </si>
  <si>
    <t>T1-010G</t>
  </si>
  <si>
    <t>1 TT GRAY COMP BALL VLV 37059027</t>
  </si>
  <si>
    <t>049081355081</t>
  </si>
  <si>
    <t>40049081355089</t>
  </si>
  <si>
    <t>T1-012G</t>
  </si>
  <si>
    <t>1-1/4 TT GRAY COMP BALL VLV 37059028</t>
  </si>
  <si>
    <t>049081355128</t>
  </si>
  <si>
    <t>40049081355126</t>
  </si>
  <si>
    <t>T1-015G</t>
  </si>
  <si>
    <t>1-1/2" GRAY COMP BALL VLV 37059029</t>
  </si>
  <si>
    <t>049081355166</t>
  </si>
  <si>
    <t>40049081355164</t>
  </si>
  <si>
    <t>T1-020G</t>
  </si>
  <si>
    <t>2 TT GRAY COMP BALL VLV 37059030</t>
  </si>
  <si>
    <t>049081355203</t>
  </si>
  <si>
    <t>40049081355201</t>
  </si>
  <si>
    <t>T1-025G</t>
  </si>
  <si>
    <t>2-1/2 TT GRAY COMP BALL VLV 37059031</t>
  </si>
  <si>
    <t>049081355241</t>
  </si>
  <si>
    <t>40049081355249</t>
  </si>
  <si>
    <t>T1-030G</t>
  </si>
  <si>
    <t>3 TT GRAY COMP BALL VLV 37059032</t>
  </si>
  <si>
    <t>049081355289</t>
  </si>
  <si>
    <t>40049081355287</t>
  </si>
  <si>
    <t>T1-040G</t>
  </si>
  <si>
    <t>4 TT GRAY COMP BALL VLV 37059033</t>
  </si>
  <si>
    <t>049081355326</t>
  </si>
  <si>
    <t>40049081355324</t>
  </si>
  <si>
    <t>CTS-005</t>
  </si>
  <si>
    <t>1/2 CPVC BALL VALVE (SXS)</t>
  </si>
  <si>
    <t>Limited Stock</t>
  </si>
  <si>
    <t>049081400002</t>
  </si>
  <si>
    <t>40049081400000</t>
  </si>
  <si>
    <t>CTS-007</t>
  </si>
  <si>
    <t>3/4 CPVC BALL VALVE(SXS)</t>
  </si>
  <si>
    <t>049081400040</t>
  </si>
  <si>
    <t>40049081400048</t>
  </si>
  <si>
    <t>CTS-010</t>
  </si>
  <si>
    <t>1" CMPT B/V COPPER TUBE SIZE</t>
  </si>
  <si>
    <t>049081400088</t>
  </si>
  <si>
    <t>40049081400086</t>
  </si>
  <si>
    <t>ST8-005</t>
  </si>
  <si>
    <t>1/2 SL OR TH SB-TUBV EPDM 37059055</t>
  </si>
  <si>
    <t>049081358006</t>
  </si>
  <si>
    <t>40049081358004</t>
  </si>
  <si>
    <t>ST8-007</t>
  </si>
  <si>
    <t>3/4 SL OR TH SB-TUBV EPDM 37059056</t>
  </si>
  <si>
    <t>049081358044</t>
  </si>
  <si>
    <t>40049081358042</t>
  </si>
  <si>
    <t>ST8-010</t>
  </si>
  <si>
    <t>1 SL OR TH-TUBV EPDM 37059057</t>
  </si>
  <si>
    <t>049081358082</t>
  </si>
  <si>
    <t>40049081358080</t>
  </si>
  <si>
    <t>ST8-012</t>
  </si>
  <si>
    <t>1-1/4 SL OR TH SB-TUBV EPDM 37059058</t>
  </si>
  <si>
    <t>049081358129</t>
  </si>
  <si>
    <t>40049081358127</t>
  </si>
  <si>
    <t>ST8-015</t>
  </si>
  <si>
    <t>1-1/2 SL OR TH SB-TUBV 37059059</t>
  </si>
  <si>
    <t>049081358167</t>
  </si>
  <si>
    <t>40049081358165</t>
  </si>
  <si>
    <t>ST8-020</t>
  </si>
  <si>
    <t>2 SL OR TH SB-TUBV EPDM 37059060</t>
  </si>
  <si>
    <t>049081358204</t>
  </si>
  <si>
    <t>40049081358202</t>
  </si>
  <si>
    <t>ST8-025</t>
  </si>
  <si>
    <t>2-1/2 SL OR TH SB-TUBV EPDM 37059061</t>
  </si>
  <si>
    <t>049081358242</t>
  </si>
  <si>
    <t>40049081358240</t>
  </si>
  <si>
    <t>ST8-030</t>
  </si>
  <si>
    <t>3 SL OR TH SB-TUBV EPDM 37059062</t>
  </si>
  <si>
    <t>049081358280</t>
  </si>
  <si>
    <t>40049081358288</t>
  </si>
  <si>
    <t>ST8-040</t>
  </si>
  <si>
    <t>4 SL OR TH SB-TUBV EPDM 37059063</t>
  </si>
  <si>
    <t>049081358327</t>
  </si>
  <si>
    <t>40049081358325</t>
  </si>
  <si>
    <t>VST8-010</t>
  </si>
  <si>
    <t>1 SL OR TH SB-TUBV VITON 37059064</t>
  </si>
  <si>
    <t>049081358105</t>
  </si>
  <si>
    <t>40049081358103</t>
  </si>
  <si>
    <t>VST8-012</t>
  </si>
  <si>
    <t>1-1/4 SL OR TH SB-TUBV VITON 37059065</t>
  </si>
  <si>
    <t>049081358143</t>
  </si>
  <si>
    <t>40049081358141</t>
  </si>
  <si>
    <t>VST8-015</t>
  </si>
  <si>
    <t>1-1/2 SL OR TH SB-TUBV VITON 37059066</t>
  </si>
  <si>
    <t>049081358181</t>
  </si>
  <si>
    <t>40049081358189</t>
  </si>
  <si>
    <t>VST8-020</t>
  </si>
  <si>
    <t>2 SL OR TH SB-TUBV VITON 37059067</t>
  </si>
  <si>
    <t>049081358228</t>
  </si>
  <si>
    <t>40049081358226</t>
  </si>
  <si>
    <t>VST8-025</t>
  </si>
  <si>
    <t>2-1/2 SL OR TH SB-TUBV VITON 37059068</t>
  </si>
  <si>
    <t>049081358266</t>
  </si>
  <si>
    <t>40049081358264</t>
  </si>
  <si>
    <t>VST8-030</t>
  </si>
  <si>
    <t>3 SL OR TH SB-TUBV VITON 37059069</t>
  </si>
  <si>
    <t>049081358303</t>
  </si>
  <si>
    <t>40049081358301</t>
  </si>
  <si>
    <t>VST8-040</t>
  </si>
  <si>
    <t>4 SL OR TH SB-TUBV VITON 37059070</t>
  </si>
  <si>
    <t>049081358341</t>
  </si>
  <si>
    <t>40049081358349</t>
  </si>
  <si>
    <t>S12-007</t>
  </si>
  <si>
    <t>3/4 IN LINE SPNG CHK VLV PVC 37059089</t>
  </si>
  <si>
    <t>049081402020</t>
  </si>
  <si>
    <t>40049081402028</t>
  </si>
  <si>
    <t>S12-010</t>
  </si>
  <si>
    <t>1 IN LINE SPNG CHK VLV PVC 37059090</t>
  </si>
  <si>
    <t>049081402044</t>
  </si>
  <si>
    <t>40049081402042</t>
  </si>
  <si>
    <t>S12-012</t>
  </si>
  <si>
    <t>1-1/4 IN LINE SPNG CHK VLV PVC 37059091</t>
  </si>
  <si>
    <t>049081402068</t>
  </si>
  <si>
    <t>40049081402066</t>
  </si>
  <si>
    <t>S12-015</t>
  </si>
  <si>
    <t>1-1/2 IN LINE SPNG CHK VLV PVC 37059092</t>
  </si>
  <si>
    <t>049081402082</t>
  </si>
  <si>
    <t>40049081402080</t>
  </si>
  <si>
    <t>S12-020</t>
  </si>
  <si>
    <t>2 IN LINE SPNG CHK VLV PVC 37059093</t>
  </si>
  <si>
    <t>049081402105</t>
  </si>
  <si>
    <t>40049081402103</t>
  </si>
  <si>
    <t>S13-010</t>
  </si>
  <si>
    <t>1 IN LINE SPNG CHK FOOT VLV 37059094</t>
  </si>
  <si>
    <t>049081403041</t>
  </si>
  <si>
    <t>40049081403049</t>
  </si>
  <si>
    <t>S13-012</t>
  </si>
  <si>
    <t>1-1/4 IN LINE SPNG CHK FOOT VLV 37059095</t>
  </si>
  <si>
    <t>049081403065</t>
  </si>
  <si>
    <t>40049081403063</t>
  </si>
  <si>
    <t>S13-015</t>
  </si>
  <si>
    <t>1-1/2 IN LINE SPNG CHK FOOT VLV 37059096</t>
  </si>
  <si>
    <t>049081403089</t>
  </si>
  <si>
    <t>40049081403087</t>
  </si>
  <si>
    <t>S13-020</t>
  </si>
  <si>
    <t>2 IN LINE SPNG CHK FOOT VLV 37059097</t>
  </si>
  <si>
    <t>049081403102</t>
  </si>
  <si>
    <t>40049081403100</t>
  </si>
  <si>
    <t>S11-030</t>
  </si>
  <si>
    <t>3 ECON SWING CHK VLV PVC 37059087</t>
  </si>
  <si>
    <t>049081401146</t>
  </si>
  <si>
    <t>40049081401144</t>
  </si>
  <si>
    <t>S11-040</t>
  </si>
  <si>
    <t>4 ECON SWING CHK VLV PVC 37059088</t>
  </si>
  <si>
    <t>049081401160</t>
  </si>
  <si>
    <t>40049081401168</t>
  </si>
  <si>
    <t>T4-005</t>
  </si>
  <si>
    <t>1/2 TT WHITE SFTY BLOCK SUBV 37059049</t>
  </si>
  <si>
    <t>049081357009</t>
  </si>
  <si>
    <t>40049081357007</t>
  </si>
  <si>
    <t>T4-007</t>
  </si>
  <si>
    <t>3/4 TT WHITE SFTY BLOCK SUBV 37059050</t>
  </si>
  <si>
    <t>049081357023</t>
  </si>
  <si>
    <t>40049081357021</t>
  </si>
  <si>
    <t>T4-010</t>
  </si>
  <si>
    <t>1 TT WHITE SFTY BLOCK SUBV 37059051</t>
  </si>
  <si>
    <t>049081357047</t>
  </si>
  <si>
    <t>40049081357045</t>
  </si>
  <si>
    <t>T4-012</t>
  </si>
  <si>
    <t>1-1/4 TT WHITE SFTY BLOCK SUBV 37059052</t>
  </si>
  <si>
    <t>049081357054</t>
  </si>
  <si>
    <t>40049081357052</t>
  </si>
  <si>
    <t>T4-015</t>
  </si>
  <si>
    <t>1-1/2 TT WHITE SFTY BLOCK SUBV 37059053</t>
  </si>
  <si>
    <t>049081357061</t>
  </si>
  <si>
    <t>40049081357069</t>
  </si>
  <si>
    <t>T4-020</t>
  </si>
  <si>
    <t>2 TT WHITE SFTY BLOCK SUBV 37059054</t>
  </si>
  <si>
    <t>049081357085</t>
  </si>
  <si>
    <t>40049081357083</t>
  </si>
  <si>
    <t>S4-005</t>
  </si>
  <si>
    <t>1/2 SS WHITE SFTY BLOCK SUBV 37059043</t>
  </si>
  <si>
    <t>049081356002</t>
  </si>
  <si>
    <t>40049081356000</t>
  </si>
  <si>
    <t>S4-007</t>
  </si>
  <si>
    <t>3/4 SS WHITE SFTY BLOCK SUBV 37059044</t>
  </si>
  <si>
    <t>049081356026</t>
  </si>
  <si>
    <t>40049081356024</t>
  </si>
  <si>
    <t>S4-010</t>
  </si>
  <si>
    <t>1 SS WHITE SFTY BLOCK SUBV 37059045</t>
  </si>
  <si>
    <t>049081356040</t>
  </si>
  <si>
    <t>40049081356048</t>
  </si>
  <si>
    <t>S4-012</t>
  </si>
  <si>
    <t>1-1/4 SS WHITE SFTY BLOCK SUBV 37059046</t>
  </si>
  <si>
    <t>049081356057</t>
  </si>
  <si>
    <t>40049081356055</t>
  </si>
  <si>
    <t>S4-015</t>
  </si>
  <si>
    <t>1-1/2 SS WHITE SFTY BLOCK SUBV 37059047</t>
  </si>
  <si>
    <t>049081356064</t>
  </si>
  <si>
    <t>40049081356062</t>
  </si>
  <si>
    <t>S4-020</t>
  </si>
  <si>
    <t>2 SS WHITE SFTY BLOCK SUBV 37059048</t>
  </si>
  <si>
    <t>049081356088</t>
  </si>
  <si>
    <t>40049081356086</t>
  </si>
  <si>
    <t>PS4-015</t>
  </si>
  <si>
    <t>1-1/2 SS SGLE UN BALL VLV P&amp;S 37059037</t>
  </si>
  <si>
    <t>049081356071</t>
  </si>
  <si>
    <t>40049081356079</t>
  </si>
  <si>
    <t>PS4-020</t>
  </si>
  <si>
    <t>2 SS SGLE UN BALL VLV P&amp;S 37059038</t>
  </si>
  <si>
    <t>049081356095</t>
  </si>
  <si>
    <t>40049081356093</t>
  </si>
  <si>
    <t>PT4-015</t>
  </si>
  <si>
    <t>1-1/2 TT SGLE UN BALL VLV P&amp;S 37059039</t>
  </si>
  <si>
    <t>049081357078</t>
  </si>
  <si>
    <t>40049081357076</t>
  </si>
  <si>
    <t>PT4-020</t>
  </si>
  <si>
    <t>2 TT SGLE UN BALL VLV P&amp;S 37059040</t>
  </si>
  <si>
    <t>049081357092</t>
  </si>
  <si>
    <t>40049081357090</t>
  </si>
  <si>
    <t>PN4-015</t>
  </si>
  <si>
    <t>1-1/2 SNGL SLP UNION BV NIP END 37059041</t>
  </si>
  <si>
    <t>049081357108</t>
  </si>
  <si>
    <t>40049081357106</t>
  </si>
  <si>
    <t>PNT4-015</t>
  </si>
  <si>
    <t>1-1/2 SNGL THD UNION BV NIP END 37059042</t>
  </si>
  <si>
    <t>049081357115</t>
  </si>
  <si>
    <t>40049081357113</t>
  </si>
  <si>
    <t>H10-020</t>
  </si>
  <si>
    <t>2 BTRFLY VLV HNDL LVR PVC-EPDM 37059071</t>
  </si>
  <si>
    <t>049081310004</t>
  </si>
  <si>
    <t>40049081310002</t>
  </si>
  <si>
    <t>H10-025</t>
  </si>
  <si>
    <t>2-1/2 BTRFLY VLV HNDL LVR-EDPM 37059072</t>
  </si>
  <si>
    <t>049081310042</t>
  </si>
  <si>
    <t>40049081310040</t>
  </si>
  <si>
    <t>H10-030</t>
  </si>
  <si>
    <t>3 BTRFLY VLV HNDL LVR PVC-EPDM 37059073</t>
  </si>
  <si>
    <t>049081310080</t>
  </si>
  <si>
    <t>40049081310088</t>
  </si>
  <si>
    <t>H10-040</t>
  </si>
  <si>
    <t>4 BTRFLY VLV HNDL LVR PVC-EPDM 37059074</t>
  </si>
  <si>
    <t>049081310127</t>
  </si>
  <si>
    <t>40049081310125</t>
  </si>
  <si>
    <t>H10-050</t>
  </si>
  <si>
    <t>5" BTRFLY VLV HNDL LVR PVE-EPDM</t>
  </si>
  <si>
    <t>049081310189</t>
  </si>
  <si>
    <t>40049081310187</t>
  </si>
  <si>
    <t>H10-060</t>
  </si>
  <si>
    <t>6BTRFLY VLV HNDL LVR PVC-EPDM 37059075</t>
  </si>
  <si>
    <t>049081310202</t>
  </si>
  <si>
    <t>40049081310200</t>
  </si>
  <si>
    <t>H10-080</t>
  </si>
  <si>
    <t>8 BTRFLY VLV HNDL LVR PVC-EPDM 37059076</t>
  </si>
  <si>
    <t>049081310240</t>
  </si>
  <si>
    <t>40049081310248</t>
  </si>
  <si>
    <t>VH10-020</t>
  </si>
  <si>
    <t>2 BTRFLY VLV LVR HNDL VITON 37059077</t>
  </si>
  <si>
    <t>049081310028</t>
  </si>
  <si>
    <t>40049081310026</t>
  </si>
  <si>
    <t>VH10-030</t>
  </si>
  <si>
    <t>3 BTRFLY VLV LVR HNDL VITON 37059078</t>
  </si>
  <si>
    <t>049081310103</t>
  </si>
  <si>
    <t>40049081310101</t>
  </si>
  <si>
    <t>VH10-040</t>
  </si>
  <si>
    <t>4 BTRFLY VLV LVR HNDL VITON 37059079</t>
  </si>
  <si>
    <t>049081310141</t>
  </si>
  <si>
    <t>40049081310149</t>
  </si>
  <si>
    <t>VH10-060</t>
  </si>
  <si>
    <t>6 BTRFLY VLV LVR HNDL VITON 37059080</t>
  </si>
  <si>
    <t>049081310226</t>
  </si>
  <si>
    <t>40049081310224</t>
  </si>
  <si>
    <t>G10-080</t>
  </si>
  <si>
    <t>8 BTRFLY VLV GEAR OP PVC-EPDM 37059081</t>
  </si>
  <si>
    <t>049081305000</t>
  </si>
  <si>
    <t>40049081305008</t>
  </si>
  <si>
    <t>G10-100</t>
  </si>
  <si>
    <t>10 BTRFLY VLV GEAR OP PVC-EPDM 37059082</t>
  </si>
  <si>
    <t>049081305048</t>
  </si>
  <si>
    <t>40049081305046</t>
  </si>
  <si>
    <t>G10-120</t>
  </si>
  <si>
    <t>12 BTRFLY VLV GEAR OP PVC-EPDM 37059083</t>
  </si>
  <si>
    <t>049081305086</t>
  </si>
  <si>
    <t>40049081305084</t>
  </si>
  <si>
    <t>VG10-080</t>
  </si>
  <si>
    <t>8 BTRFLY VLV GEAR OP VITON 37059084</t>
  </si>
  <si>
    <t>049081305024</t>
  </si>
  <si>
    <t>40049081305022</t>
  </si>
  <si>
    <t>VG10-100</t>
  </si>
  <si>
    <t>10 BTRFLY VLV GEAR OP VITON 37059085</t>
  </si>
  <si>
    <t>049081305062</t>
  </si>
  <si>
    <t>40049081305060</t>
  </si>
  <si>
    <t>VG10-120</t>
  </si>
  <si>
    <t>12 BTRFLY VLV GEAR OP VITON 37059086</t>
  </si>
  <si>
    <t>049081305109</t>
  </si>
  <si>
    <t>40049081305107</t>
  </si>
  <si>
    <t>KP4-20E</t>
  </si>
  <si>
    <t>2 EPDM PS4-PT4 REPAIR KIT 37059129</t>
  </si>
  <si>
    <t>K8-07E</t>
  </si>
  <si>
    <t>3/4 EPDM ST8 VLV REPAIR KIT 37059111</t>
  </si>
  <si>
    <t>K8-07V</t>
  </si>
  <si>
    <t>3/4 VITON ST8 VLV REPAIR KIT 37059120</t>
  </si>
  <si>
    <t>K8-10V</t>
  </si>
  <si>
    <t>1 VITON ST8 VLV REPAIR KIT 37059121</t>
  </si>
  <si>
    <t>K8-20V</t>
  </si>
  <si>
    <t>2 VITON ST8 VLV REPAIR KIT 37059124</t>
  </si>
  <si>
    <t>K8-25V</t>
  </si>
  <si>
    <t>2-1/2 VITON ST8 VLV REPAIR KIT 37059125</t>
  </si>
  <si>
    <t>K8-30V</t>
  </si>
  <si>
    <t>3 VITON ST8 VLV REPAIR KIT 37059126</t>
  </si>
  <si>
    <t>K4-07E</t>
  </si>
  <si>
    <t>3/4 EDPM S4-T4 REAPIR KIT 37059099</t>
  </si>
  <si>
    <t>K4-07V</t>
  </si>
  <si>
    <t>3/4 VITON S4-T4 REPAIR KIT 37059105</t>
  </si>
  <si>
    <t>H1-05</t>
  </si>
  <si>
    <t>1/2 S1-T1 REPL HANDLES 37059130</t>
  </si>
  <si>
    <t>H1-07</t>
  </si>
  <si>
    <t>3/4 S1-T1 REPL HANDLES 37059131</t>
  </si>
  <si>
    <t>H1-10</t>
  </si>
  <si>
    <t>1 S1-T1 REPL HANDLES 37059132</t>
  </si>
  <si>
    <t>H1-12</t>
  </si>
  <si>
    <t>1-1/4 S1-T1 REPL HANDLES 37059133</t>
  </si>
  <si>
    <t>H1-15</t>
  </si>
  <si>
    <t>1-1/2 S1-T1 REPL HANDLES 37059134</t>
  </si>
  <si>
    <t>H1-20</t>
  </si>
  <si>
    <t>2 S1-T1 REPL HANDLES 37059135</t>
  </si>
  <si>
    <t>H1-25</t>
  </si>
  <si>
    <t>2-1/2 S1-T1 REPL HANDLES 37059136</t>
  </si>
  <si>
    <t>H1-30</t>
  </si>
  <si>
    <t>3 S1-T1 REPL HANDLES 37059137</t>
  </si>
  <si>
    <t>H1-40</t>
  </si>
  <si>
    <t>4 S1-T1 REPL HANDLES 37059138</t>
  </si>
  <si>
    <t>H10-20</t>
  </si>
  <si>
    <t>2 BTRFLY VLV REPL HANDLES ONLY 37059139</t>
  </si>
  <si>
    <t>H10-25</t>
  </si>
  <si>
    <t>2-1/2 BTRFLY VLV REPL HANDLES ONLY 37059140</t>
  </si>
  <si>
    <t>H10-30</t>
  </si>
  <si>
    <t>3 BTRFLY VLV REPL HANDLES ONLY  37059141</t>
  </si>
  <si>
    <t>H10-40</t>
  </si>
  <si>
    <t>4 BTRFLY VLV REPL HANDLES ONLY 37059142</t>
  </si>
  <si>
    <t>H10-60</t>
  </si>
  <si>
    <t>6 BTRFLY VLV REPL HANDLES ONLY 37059143</t>
  </si>
  <si>
    <t>SDR 35 SW (Solvent Weld)</t>
  </si>
  <si>
    <t>List Price SDR35 SW (Solvent Weld)</t>
  </si>
  <si>
    <t>SDR35SW042024</t>
  </si>
  <si>
    <t>36-2011</t>
  </si>
  <si>
    <t>3 CAP SDR35 SW</t>
  </si>
  <si>
    <t>810673010851</t>
  </si>
  <si>
    <t>10810673010858</t>
  </si>
  <si>
    <t>36-6568</t>
  </si>
  <si>
    <t>4 CAP SDR35 SW</t>
  </si>
  <si>
    <t>816842022595</t>
  </si>
  <si>
    <t>816842022601</t>
  </si>
  <si>
    <t>36-6565</t>
  </si>
  <si>
    <t>6 CAP SDR35 SW</t>
  </si>
  <si>
    <t>816842022533</t>
  </si>
  <si>
    <t>816842022540</t>
  </si>
  <si>
    <t>36-688</t>
  </si>
  <si>
    <t>8 CAP SDR35 SW</t>
  </si>
  <si>
    <t>812361010334</t>
  </si>
  <si>
    <t>812361010341</t>
  </si>
  <si>
    <t>36-6594</t>
  </si>
  <si>
    <t>3 TEE HXHXH SDR35 SW</t>
  </si>
  <si>
    <t>816842023011</t>
  </si>
  <si>
    <t>816842023028</t>
  </si>
  <si>
    <t>36-6557</t>
  </si>
  <si>
    <t>4 TEE HXHXH SDR35 SW</t>
  </si>
  <si>
    <t>816842022373</t>
  </si>
  <si>
    <t>816842022380</t>
  </si>
  <si>
    <t>36-1084</t>
  </si>
  <si>
    <t>6X4 TEE HXHXH SDR35 SW</t>
  </si>
  <si>
    <t>810673019458</t>
  </si>
  <si>
    <t>10810673019455</t>
  </si>
  <si>
    <t>36-1085</t>
  </si>
  <si>
    <t>6 TEE HXHXH SDR35 SW</t>
  </si>
  <si>
    <t>810673019472</t>
  </si>
  <si>
    <t>10810673019479</t>
  </si>
  <si>
    <t>36-1086</t>
  </si>
  <si>
    <t>8X4 TEE HXHXH SDR35 SW</t>
  </si>
  <si>
    <t>Within 6 Weeks</t>
  </si>
  <si>
    <t>810673019496</t>
  </si>
  <si>
    <t>36-1088</t>
  </si>
  <si>
    <t>8 TEE HXHXH SDR35 SW</t>
  </si>
  <si>
    <t>810673019533</t>
  </si>
  <si>
    <t>812361011997</t>
  </si>
  <si>
    <t>36-6583</t>
  </si>
  <si>
    <t>3 TEE WYE HXHXH SDR35 SW</t>
  </si>
  <si>
    <t>816842022793</t>
  </si>
  <si>
    <t>816842022809</t>
  </si>
  <si>
    <t>36-6559</t>
  </si>
  <si>
    <t>4 TEE WYE HXHXH SDR35 SW</t>
  </si>
  <si>
    <t>816842022410</t>
  </si>
  <si>
    <t>816842022427</t>
  </si>
  <si>
    <t>36-722</t>
  </si>
  <si>
    <t>6X4 TEE WYE HXHXH SDR35 SW</t>
  </si>
  <si>
    <t>812361014271</t>
  </si>
  <si>
    <t>36-723</t>
  </si>
  <si>
    <t>6 TEE WYE HXHXH SDR35 SW</t>
  </si>
  <si>
    <t>812361014257</t>
  </si>
  <si>
    <t>10812361014254</t>
  </si>
  <si>
    <t>36-724</t>
  </si>
  <si>
    <t>8X4 TEE WYE HXHXH SDR35 SW</t>
  </si>
  <si>
    <t>812361014707</t>
  </si>
  <si>
    <t>36-725</t>
  </si>
  <si>
    <t>8X6 TEE WYE HXHXH SDR35 SW</t>
  </si>
  <si>
    <t>812361014721</t>
  </si>
  <si>
    <t>36-726</t>
  </si>
  <si>
    <t>8 TEE WYE HXHXH SDR35 SW</t>
  </si>
  <si>
    <t>812361014684</t>
  </si>
  <si>
    <t>36-715</t>
  </si>
  <si>
    <t>4 CROSS HXHXHXH SDR35 SW</t>
  </si>
  <si>
    <t>810673019557</t>
  </si>
  <si>
    <t>10810673019554</t>
  </si>
  <si>
    <t>36-6558</t>
  </si>
  <si>
    <t>4 WYE HXHXH SDR35 SW</t>
  </si>
  <si>
    <t>816842022397</t>
  </si>
  <si>
    <t>816842022403</t>
  </si>
  <si>
    <t>36-6566</t>
  </si>
  <si>
    <t>6X4 WYE HXHXH SDR35 SW</t>
  </si>
  <si>
    <t>816842022557</t>
  </si>
  <si>
    <t>816842022564</t>
  </si>
  <si>
    <t>36-6563</t>
  </si>
  <si>
    <t>6 WYE HXHXH SDR35 SW</t>
  </si>
  <si>
    <t>816842022496</t>
  </si>
  <si>
    <t>816842022502</t>
  </si>
  <si>
    <t>36-733</t>
  </si>
  <si>
    <t>8X4 WYE HXHXH SDR35 SW</t>
  </si>
  <si>
    <t>810673019373</t>
  </si>
  <si>
    <t>36-734</t>
  </si>
  <si>
    <t>8X6 WYE HXHXH SDR35 SW</t>
  </si>
  <si>
    <t>810673019397</t>
  </si>
  <si>
    <t>36-735</t>
  </si>
  <si>
    <t>8 WYE HXHXH SDR35 SW</t>
  </si>
  <si>
    <t>812361014745</t>
  </si>
  <si>
    <t>36-327</t>
  </si>
  <si>
    <t>6 WYE SXHXH SDR35 SW</t>
  </si>
  <si>
    <t>812361015346</t>
  </si>
  <si>
    <t>36-737</t>
  </si>
  <si>
    <t>6 DOUBLE WYE HXHXHXH SDR35 SW</t>
  </si>
  <si>
    <t>816842021161</t>
  </si>
  <si>
    <t>36-736</t>
  </si>
  <si>
    <t>6X4 DOUBLE WYE HXHXHXH SDR35 SW</t>
  </si>
  <si>
    <t>812361015629</t>
  </si>
  <si>
    <t>36-727</t>
  </si>
  <si>
    <t>4 TWO WAY C/O TEE HXHXH SDR35 SW</t>
  </si>
  <si>
    <t>812361010600</t>
  </si>
  <si>
    <t>10812361010607</t>
  </si>
  <si>
    <t>36-729</t>
  </si>
  <si>
    <t>6 TWO WAY C/O TEE HXHXH SDR35 SW</t>
  </si>
  <si>
    <t>36-2064</t>
  </si>
  <si>
    <t>4 CLEAN OUT TEE HXHXFIPT SDR35 SW</t>
  </si>
  <si>
    <t>36-404</t>
  </si>
  <si>
    <t>4 FEMALE ADAP HXFPT W/PLUG SDR35SW</t>
  </si>
  <si>
    <t>816842021147</t>
  </si>
  <si>
    <t>10816842021144</t>
  </si>
  <si>
    <t>36-406</t>
  </si>
  <si>
    <t>6 FEMALE ADAP HXFPT W/PLUG SDR35SW</t>
  </si>
  <si>
    <t>816842021154</t>
  </si>
  <si>
    <t>812361015957</t>
  </si>
  <si>
    <t>36-805</t>
  </si>
  <si>
    <t>4 ADAPTER CORR SPGXSWR HUB SDR35SW</t>
  </si>
  <si>
    <t>816842022083</t>
  </si>
  <si>
    <t>36-2059</t>
  </si>
  <si>
    <t>3 ADAPTER DWV SPGXSWR HUB SDR35SW</t>
  </si>
  <si>
    <t>810673012480</t>
  </si>
  <si>
    <t>10810673012487</t>
  </si>
  <si>
    <t>36-566</t>
  </si>
  <si>
    <t>4 ADAPTER DWV SPGXSWR HUB SDR35SW</t>
  </si>
  <si>
    <t>812361012079</t>
  </si>
  <si>
    <t>816842020102</t>
  </si>
  <si>
    <t>36-567</t>
  </si>
  <si>
    <t>6 ADAPTER DWV SPGXSWR HUB SDR35SW</t>
  </si>
  <si>
    <t>810116843404</t>
  </si>
  <si>
    <t>36-6570</t>
  </si>
  <si>
    <t>4 FITTING CLEANOUT SXFIPT SDR35 SW</t>
  </si>
  <si>
    <t>816842022632</t>
  </si>
  <si>
    <t>816842022649</t>
  </si>
  <si>
    <t>36-642</t>
  </si>
  <si>
    <t>6 FITTING CLEANOUT SXFIPT SDR35 SW</t>
  </si>
  <si>
    <t>812361011119</t>
  </si>
  <si>
    <t>10812361011116</t>
  </si>
  <si>
    <t>36-643</t>
  </si>
  <si>
    <t>8 FITTING CLEANOUT SXFIPT SDR35 SW</t>
  </si>
  <si>
    <t>812361010884</t>
  </si>
  <si>
    <t>36-644</t>
  </si>
  <si>
    <t>4 FEMALE ADAPTER HXFIPT SDR35 SW</t>
  </si>
  <si>
    <t>812361010419</t>
  </si>
  <si>
    <t>10812361010416</t>
  </si>
  <si>
    <t>36-6571</t>
  </si>
  <si>
    <t>6 FEMALE ADAPTER HXFIPT SDR35 SW</t>
  </si>
  <si>
    <t>816842022656</t>
  </si>
  <si>
    <t>816842022663</t>
  </si>
  <si>
    <t>36-333</t>
  </si>
  <si>
    <t>8 FEMALE ADAPTER HXFIPT SDR35 SW</t>
  </si>
  <si>
    <t>812361010860</t>
  </si>
  <si>
    <t>36-1062</t>
  </si>
  <si>
    <t>4 MALE ADAPTER HXMIPT SDR35 SW</t>
  </si>
  <si>
    <t>812361010952</t>
  </si>
  <si>
    <t>36-1063</t>
  </si>
  <si>
    <t>6 MALE ADAPTER HXMIPT SDR35 SW</t>
  </si>
  <si>
    <t>812361010976</t>
  </si>
  <si>
    <t>36-2070</t>
  </si>
  <si>
    <t>3 DRAIN GRATE SPIGOT SDR35 SW</t>
  </si>
  <si>
    <t>36-6593</t>
  </si>
  <si>
    <t>4 DRAIN GRATE SPIGOT SDR35 SW</t>
  </si>
  <si>
    <t>810673012190</t>
  </si>
  <si>
    <t>10810673012197</t>
  </si>
  <si>
    <t>36-806</t>
  </si>
  <si>
    <t>6 DRAIN GRATE SPIGOT SDR35 SW</t>
  </si>
  <si>
    <t>810116843428</t>
  </si>
  <si>
    <t>36-647</t>
  </si>
  <si>
    <t>2X3X3 FLUSH DOWNSPOUT ADAPTER X H</t>
  </si>
  <si>
    <t>812361014387</t>
  </si>
  <si>
    <t>36-6588</t>
  </si>
  <si>
    <t>2X3X4 FLUSH DOWNSPOUT ADAPTER X H</t>
  </si>
  <si>
    <t>816842022892</t>
  </si>
  <si>
    <t>816842022908</t>
  </si>
  <si>
    <t>36-6585</t>
  </si>
  <si>
    <t>3X4X4 FLUSH DOWNSPOUT ADAPTER X H</t>
  </si>
  <si>
    <t>816842022830</t>
  </si>
  <si>
    <t>816842022847</t>
  </si>
  <si>
    <t>36-650</t>
  </si>
  <si>
    <t>4X6X6 FLUSH DOWNSPOUT ADAPTER X H</t>
  </si>
  <si>
    <t>812361014073</t>
  </si>
  <si>
    <t>36-651</t>
  </si>
  <si>
    <t>2X3X3 DOWNSPOUT ADAPTER X H SDR35SW</t>
  </si>
  <si>
    <t>812361014448</t>
  </si>
  <si>
    <t>10812361014445</t>
  </si>
  <si>
    <t>36-652</t>
  </si>
  <si>
    <t>2X3X4 DOWNSPOUT ADAPTER X H SDR35SW</t>
  </si>
  <si>
    <t>812361014462</t>
  </si>
  <si>
    <t>10812361014469</t>
  </si>
  <si>
    <t>36-653</t>
  </si>
  <si>
    <t>3X4X3 DOWNSPOUT ADAPTER X H SDR35SW</t>
  </si>
  <si>
    <t>812361014486</t>
  </si>
  <si>
    <t>36-654</t>
  </si>
  <si>
    <t>3X4X4 DOWNSPOUT ADAPTER X H SDR35SW</t>
  </si>
  <si>
    <t>812361014509</t>
  </si>
  <si>
    <t>10812361014506</t>
  </si>
  <si>
    <t>36-2073</t>
  </si>
  <si>
    <t>4 REPAIR COUPLING SDR35 SW</t>
  </si>
  <si>
    <t>812361018620</t>
  </si>
  <si>
    <t>36-1043</t>
  </si>
  <si>
    <t>4 ELBOW 22.5 HXS SDR35 SW</t>
  </si>
  <si>
    <t>810673019830</t>
  </si>
  <si>
    <t>810673019847</t>
  </si>
  <si>
    <t>36-1044</t>
  </si>
  <si>
    <t>6 ELBOW 22.5 HXS SDR35 SW</t>
  </si>
  <si>
    <t>810673019854</t>
  </si>
  <si>
    <t>810673019861</t>
  </si>
  <si>
    <t>36-1075</t>
  </si>
  <si>
    <t>8 ELBOW 22.5 HXS SDR35 SW</t>
  </si>
  <si>
    <t>812361014363</t>
  </si>
  <si>
    <t>36-1702</t>
  </si>
  <si>
    <t>3 ELBOW 22.5 HXH SDR35 SW</t>
  </si>
  <si>
    <t>36-6564</t>
  </si>
  <si>
    <t>4 ELBOW 22.5 HXH SDR35 SW</t>
  </si>
  <si>
    <t>816842022519</t>
  </si>
  <si>
    <t>816842022526</t>
  </si>
  <si>
    <t>36-669</t>
  </si>
  <si>
    <t>6 ELBOW 22.5 HXH SDR35 SW</t>
  </si>
  <si>
    <t>810673019816</t>
  </si>
  <si>
    <t>10810673019813</t>
  </si>
  <si>
    <t>36-670</t>
  </si>
  <si>
    <t>8 ELBOW 22.5 HXH SDR35 SW</t>
  </si>
  <si>
    <t>812361014349</t>
  </si>
  <si>
    <t>36-6556</t>
  </si>
  <si>
    <t>4 ELBOW 45 HXH SDR35 SW</t>
  </si>
  <si>
    <t>816842022359</t>
  </si>
  <si>
    <t>816842022366</t>
  </si>
  <si>
    <t>36-6562</t>
  </si>
  <si>
    <t>6 ELBOW 45 HXH SDR35 SW</t>
  </si>
  <si>
    <t>816842022472</t>
  </si>
  <si>
    <t>816842022489</t>
  </si>
  <si>
    <t>36-673</t>
  </si>
  <si>
    <t>8 ELBOW 45 HXH SDR35 SW</t>
  </si>
  <si>
    <t>812361014301</t>
  </si>
  <si>
    <t>36-1692</t>
  </si>
  <si>
    <t>3 ELBOW 45 HXS SDR35 SW</t>
  </si>
  <si>
    <t>810673011391</t>
  </si>
  <si>
    <t>10810673011398</t>
  </si>
  <si>
    <t>36-6561</t>
  </si>
  <si>
    <t>4 ELBOW 45 HXS SDR35 SW</t>
  </si>
  <si>
    <t>816842022458</t>
  </si>
  <si>
    <t>816842022465</t>
  </si>
  <si>
    <t>36-6569</t>
  </si>
  <si>
    <t>6 ELBOW 45 HXS SDR35 SW</t>
  </si>
  <si>
    <t>816842022618</t>
  </si>
  <si>
    <t>816842022625</t>
  </si>
  <si>
    <t>36-676</t>
  </si>
  <si>
    <t>8 ELBOW 45 HXS SDR35 SW</t>
  </si>
  <si>
    <t>812361014325</t>
  </si>
  <si>
    <t>36-6590</t>
  </si>
  <si>
    <t>3 ELBOW 90 LONG TURN HXH SDR35 SW</t>
  </si>
  <si>
    <t>816842022939</t>
  </si>
  <si>
    <t>816842022946</t>
  </si>
  <si>
    <t>36-6553</t>
  </si>
  <si>
    <t>4 ELBOW 90 LONG TURN HXH SDR35 SW</t>
  </si>
  <si>
    <t>816842022298</t>
  </si>
  <si>
    <t>816842022304</t>
  </si>
  <si>
    <t>36-678</t>
  </si>
  <si>
    <t>6 ELBOW 90 LONG TURN HXH SDR35 SW</t>
  </si>
  <si>
    <t>812361014097</t>
  </si>
  <si>
    <t>10812361014094</t>
  </si>
  <si>
    <t>36-679</t>
  </si>
  <si>
    <t>8 ELBOW 90 LONG TURN HXH SDR35 SW</t>
  </si>
  <si>
    <t>812361014523</t>
  </si>
  <si>
    <t>36-6554</t>
  </si>
  <si>
    <t>4 ELBOW 90 LONG TURN HXS SDR35 SW</t>
  </si>
  <si>
    <t>816842022311</t>
  </si>
  <si>
    <t>816842022328</t>
  </si>
  <si>
    <t>36-681</t>
  </si>
  <si>
    <t>6 ELBOW 90 LONG TURN HXS SDR35 SW</t>
  </si>
  <si>
    <t>812361014110</t>
  </si>
  <si>
    <t>10812361014117</t>
  </si>
  <si>
    <t>36-6555</t>
  </si>
  <si>
    <t>4 ELBOW 90 HXH SDR35 SW</t>
  </si>
  <si>
    <t>816842022335</t>
  </si>
  <si>
    <t>816842022342</t>
  </si>
  <si>
    <t>36-6560</t>
  </si>
  <si>
    <t>6 ELBOW 90 HXH SDR35 SW</t>
  </si>
  <si>
    <t>816842022434</t>
  </si>
  <si>
    <t>816842022441</t>
  </si>
  <si>
    <t>36-685</t>
  </si>
  <si>
    <t>8 ELBOW 90 HXH SDR35 SW</t>
  </si>
  <si>
    <t>810673019618</t>
  </si>
  <si>
    <t>810673019625</t>
  </si>
  <si>
    <t>36-2060</t>
  </si>
  <si>
    <t>3 ELBOW 90 HXS SDR35 SW</t>
  </si>
  <si>
    <t>810673010455</t>
  </si>
  <si>
    <t>20810673010459</t>
  </si>
  <si>
    <t>36-2062</t>
  </si>
  <si>
    <t>4 ELBOW 90 HXS SDR35 SW</t>
  </si>
  <si>
    <t>810673010752</t>
  </si>
  <si>
    <t>10810673010759</t>
  </si>
  <si>
    <t>36-742</t>
  </si>
  <si>
    <t>6 ELBOW 90 HXS SDR35 SW</t>
  </si>
  <si>
    <t>810673019632</t>
  </si>
  <si>
    <t>36-743</t>
  </si>
  <si>
    <t>8 ELBOW 90 HXS SDR35 SW</t>
  </si>
  <si>
    <t>810673019656</t>
  </si>
  <si>
    <t>36-665</t>
  </si>
  <si>
    <t>4 STOP COUPLING HXH SDR35 SW</t>
  </si>
  <si>
    <t>812361010518</t>
  </si>
  <si>
    <t>10812361010515</t>
  </si>
  <si>
    <t>36-6567</t>
  </si>
  <si>
    <t>6 STOP COUPLING HXH SDR35 SW</t>
  </si>
  <si>
    <t>816842022571</t>
  </si>
  <si>
    <t>816842022588</t>
  </si>
  <si>
    <t>36-667</t>
  </si>
  <si>
    <t>8 STOP COUPLING HXH SDR35 SW</t>
  </si>
  <si>
    <t>812361010556</t>
  </si>
  <si>
    <t>812361010754</t>
  </si>
  <si>
    <t>36-2021</t>
  </si>
  <si>
    <t>3 CLEANOUT THREADED PLUG SDR35SW</t>
  </si>
  <si>
    <t>810673011353</t>
  </si>
  <si>
    <t>10810673011350</t>
  </si>
  <si>
    <t>36-6572</t>
  </si>
  <si>
    <t>4 CLEANOUT THREADED PLUG SDR35SW</t>
  </si>
  <si>
    <t>816842022670</t>
  </si>
  <si>
    <t>816842022687</t>
  </si>
  <si>
    <t>36-6573</t>
  </si>
  <si>
    <t>6 CLEANOUT THREADED PLUG SDR35SW</t>
  </si>
  <si>
    <t>816842022694</t>
  </si>
  <si>
    <t>816842022700</t>
  </si>
  <si>
    <t>36-697</t>
  </si>
  <si>
    <t>8 CLEANOUT THREADED PLUG SDR35SW</t>
  </si>
  <si>
    <t>812361010921</t>
  </si>
  <si>
    <t>36-699</t>
  </si>
  <si>
    <t>6 CLEANOUT THREADED RECESSED PLUG</t>
  </si>
  <si>
    <t>812361010495</t>
  </si>
  <si>
    <t>812361012246</t>
  </si>
  <si>
    <t>36-2024</t>
  </si>
  <si>
    <t>8 CLEANOUT THREADED RECESSED PLUG</t>
  </si>
  <si>
    <t>36-6592</t>
  </si>
  <si>
    <t>3X4 INC COUPLING CON HXH SDR35 SW</t>
  </si>
  <si>
    <t>816842022977</t>
  </si>
  <si>
    <t>816842022984</t>
  </si>
  <si>
    <t>36-6586</t>
  </si>
  <si>
    <t>4X6 INC COUPLING CON HXH SDR35 SW</t>
  </si>
  <si>
    <t>816842022854</t>
  </si>
  <si>
    <t>816842022861</t>
  </si>
  <si>
    <t>36-701</t>
  </si>
  <si>
    <t>4X8 INC COUPLING CON HXH SDR35 SW</t>
  </si>
  <si>
    <t>812361014646</t>
  </si>
  <si>
    <t>36-702</t>
  </si>
  <si>
    <t>6X8 INC COUPLING CON HXH SDR35 SW</t>
  </si>
  <si>
    <t>812361014660</t>
  </si>
  <si>
    <t>36-656</t>
  </si>
  <si>
    <t>4 ADAPTER SPGXDWV H SDR35 SW</t>
  </si>
  <si>
    <t>812361010624</t>
  </si>
  <si>
    <t>10812361010621</t>
  </si>
  <si>
    <t>36-658</t>
  </si>
  <si>
    <t>6 ADAPTER SPGXDWV H SDR35 SW</t>
  </si>
  <si>
    <t>812361010648</t>
  </si>
  <si>
    <t>812361015551</t>
  </si>
  <si>
    <t>36-6551</t>
  </si>
  <si>
    <t>4X1-1/2 ADAPTER SPGXDWV H SDR35 SW</t>
  </si>
  <si>
    <t>812361017456</t>
  </si>
  <si>
    <t>10812361017453</t>
  </si>
  <si>
    <t>36-6552</t>
  </si>
  <si>
    <t>4X2 ADAPTER SPGXDWV H SDR35 SW</t>
  </si>
  <si>
    <t>812361017470</t>
  </si>
  <si>
    <t>36-655</t>
  </si>
  <si>
    <t>4X3 ADAPTER SPGXDWV H SDR35 SW</t>
  </si>
  <si>
    <t>812361011720</t>
  </si>
  <si>
    <t>36-657</t>
  </si>
  <si>
    <t>6X4 ADAPTER SPGXDWV H SDR35 SW</t>
  </si>
  <si>
    <t>812361011751</t>
  </si>
  <si>
    <t>10812361011758</t>
  </si>
  <si>
    <t>36-6574</t>
  </si>
  <si>
    <t>4 ADAPTER SWR HXDWV H SDR35 SW</t>
  </si>
  <si>
    <t>810116843008</t>
  </si>
  <si>
    <t>810116843015</t>
  </si>
  <si>
    <t>36-662</t>
  </si>
  <si>
    <t>6 ADAPTER SWR HXDWV H SDR35 SW</t>
  </si>
  <si>
    <t>812361014172</t>
  </si>
  <si>
    <t>10812361014179</t>
  </si>
  <si>
    <t>36-659</t>
  </si>
  <si>
    <t>4X3 ADAPTER SWR HXDWV H SDR35 SW</t>
  </si>
  <si>
    <t>812361010563</t>
  </si>
  <si>
    <t>812361015384</t>
  </si>
  <si>
    <t>36-661</t>
  </si>
  <si>
    <t>6X4 ADAPTER SWR HXDWV H SDR35 SW</t>
  </si>
  <si>
    <t>812361019757</t>
  </si>
  <si>
    <t>10812361019754</t>
  </si>
  <si>
    <t>36-6581</t>
  </si>
  <si>
    <t>4X3 RED BUSHING CON SXH SDR35 SW</t>
  </si>
  <si>
    <t>816842022755</t>
  </si>
  <si>
    <t>36-706</t>
  </si>
  <si>
    <t>6X4 RED BUSHING CON SXH SDR35 SW</t>
  </si>
  <si>
    <t>812361014134</t>
  </si>
  <si>
    <t>10812361014131</t>
  </si>
  <si>
    <t>36-707</t>
  </si>
  <si>
    <t>8X4 RED BUSHING CON SXH SDR35 SW</t>
  </si>
  <si>
    <t>812361014585</t>
  </si>
  <si>
    <t>36-708</t>
  </si>
  <si>
    <t>8X6 RED BUSHING CON SXH SDR35 SW</t>
  </si>
  <si>
    <t>812361014608</t>
  </si>
  <si>
    <t>36-812</t>
  </si>
  <si>
    <t>6X4 RED BUSHING ECC SXH SDR35 SW</t>
  </si>
  <si>
    <t>812361010358</t>
  </si>
  <si>
    <t>36-813</t>
  </si>
  <si>
    <t>8X4 RED BUSHING ECC SXH SDR35 SW</t>
  </si>
  <si>
    <t>812361010372</t>
  </si>
  <si>
    <t>36-814</t>
  </si>
  <si>
    <t>8X6 RED BUSHING ECC SXH SDR35 SW</t>
  </si>
  <si>
    <t>812361010396</t>
  </si>
  <si>
    <t>36-710</t>
  </si>
  <si>
    <t>8X4 SADDLE TEE W/SS STRAP SDR35 SW</t>
  </si>
  <si>
    <t>812361011034</t>
  </si>
  <si>
    <t>36-712</t>
  </si>
  <si>
    <t>6X4 SADDLE WYE W/SS STRAPS SDR35 SW</t>
  </si>
  <si>
    <t>812361014196</t>
  </si>
  <si>
    <t>36-713</t>
  </si>
  <si>
    <t>8X4 SADDLE WYE W/SS STRAPS SDR35 SW</t>
  </si>
  <si>
    <t>812361014219</t>
  </si>
  <si>
    <t>SDR 35 G (Gasketed)</t>
  </si>
  <si>
    <t>List Price SDR35 G (Gasketed)</t>
  </si>
  <si>
    <t>SDR35G042024</t>
  </si>
  <si>
    <t>SDR35G0420204</t>
  </si>
  <si>
    <t>35-1311</t>
  </si>
  <si>
    <t>4 ADAPTER SWR SPGXDWV GSK SDR35</t>
  </si>
  <si>
    <t>812361011645</t>
  </si>
  <si>
    <t>35-1314</t>
  </si>
  <si>
    <t>4 ADAPTER SWR H X DWV GSK SDR35</t>
  </si>
  <si>
    <t>812361013953</t>
  </si>
  <si>
    <t>35-1316</t>
  </si>
  <si>
    <t>6 ADAPTER SWR H X DWV GKTD SDR35</t>
  </si>
  <si>
    <t>812361013977</t>
  </si>
  <si>
    <t>35-1500</t>
  </si>
  <si>
    <t>4 WYE GXGXG SDR35</t>
  </si>
  <si>
    <t>810673016112</t>
  </si>
  <si>
    <t>810673016136</t>
  </si>
  <si>
    <t>35-1501</t>
  </si>
  <si>
    <t>6X4 WYE GXGXG SDR35</t>
  </si>
  <si>
    <t>810673016143</t>
  </si>
  <si>
    <t>812361016381</t>
  </si>
  <si>
    <t>35-1502</t>
  </si>
  <si>
    <t>6 WYE GXGXG SDR35</t>
  </si>
  <si>
    <t>810673016167</t>
  </si>
  <si>
    <t>812361016473</t>
  </si>
  <si>
    <t>35-1503</t>
  </si>
  <si>
    <t>8X4 WYE GXGXG SDR35</t>
  </si>
  <si>
    <t>810673016181</t>
  </si>
  <si>
    <t>812361019863</t>
  </si>
  <si>
    <t>35-1504</t>
  </si>
  <si>
    <t>8X6 WYE GXGXG SDR35</t>
  </si>
  <si>
    <t>810673016204</t>
  </si>
  <si>
    <t>812361019894</t>
  </si>
  <si>
    <t>35-451</t>
  </si>
  <si>
    <t>8 WYE GXGXG SDR35</t>
  </si>
  <si>
    <t>810673016228</t>
  </si>
  <si>
    <t>812361016992</t>
  </si>
  <si>
    <t>35-452</t>
  </si>
  <si>
    <t>10X4 WYE GXGXG SDR35</t>
  </si>
  <si>
    <t>810673016242</t>
  </si>
  <si>
    <t>812361016749</t>
  </si>
  <si>
    <t>35-453</t>
  </si>
  <si>
    <t>10X6 WYE GXGXG SDR35</t>
  </si>
  <si>
    <t>810673016259</t>
  </si>
  <si>
    <t>812361016756</t>
  </si>
  <si>
    <t>35-455</t>
  </si>
  <si>
    <t>10 WYE GXGXG SDR35</t>
  </si>
  <si>
    <t>816842021055</t>
  </si>
  <si>
    <t>35-456</t>
  </si>
  <si>
    <t>12X4 WYE GXGXG SDR35</t>
  </si>
  <si>
    <t>810673016266</t>
  </si>
  <si>
    <t>35-457</t>
  </si>
  <si>
    <t>12X6 WYE GXGXG SDR35</t>
  </si>
  <si>
    <t>810673016273</t>
  </si>
  <si>
    <t>812361016763</t>
  </si>
  <si>
    <t>35-460</t>
  </si>
  <si>
    <t>12 WYE GXGXG SDR35</t>
  </si>
  <si>
    <t>816842021062</t>
  </si>
  <si>
    <t>35-1505</t>
  </si>
  <si>
    <t>4 WYE SXGXG SDR35</t>
  </si>
  <si>
    <t>810673016280</t>
  </si>
  <si>
    <t>35-1506</t>
  </si>
  <si>
    <t>6 X 4 WYE SXGXG SDR35</t>
  </si>
  <si>
    <t>810673016303</t>
  </si>
  <si>
    <t>35-1507</t>
  </si>
  <si>
    <t>6 WYE SXGXG SDR35</t>
  </si>
  <si>
    <t>810673016327</t>
  </si>
  <si>
    <t>35-1508</t>
  </si>
  <si>
    <t>8X4 WYE SXGXG DR 35 SDR35</t>
  </si>
  <si>
    <t>810673016341</t>
  </si>
  <si>
    <t>35-1509</t>
  </si>
  <si>
    <t>8X6 WYE SXGXG SDR35</t>
  </si>
  <si>
    <t>810673016365</t>
  </si>
  <si>
    <t>35-1510</t>
  </si>
  <si>
    <t>6X4 DOUBLE WYE GXGXGXG SDR35</t>
  </si>
  <si>
    <t>810673016389</t>
  </si>
  <si>
    <t>816842021543</t>
  </si>
  <si>
    <t>35-1511</t>
  </si>
  <si>
    <t>6 DOUBLE WYE GXGXGXG SDR35</t>
  </si>
  <si>
    <t>810673016402</t>
  </si>
  <si>
    <t>35-48</t>
  </si>
  <si>
    <t>8X6 DOUBLE WYE GXGXGXG SDR35</t>
  </si>
  <si>
    <t>810673016433</t>
  </si>
  <si>
    <t>35-1528</t>
  </si>
  <si>
    <t>4 TEE GXGXG SDR35</t>
  </si>
  <si>
    <t>810673016440</t>
  </si>
  <si>
    <t>812361019870</t>
  </si>
  <si>
    <t>35-1529</t>
  </si>
  <si>
    <t>6X4 TEE GXGXG SDR35</t>
  </si>
  <si>
    <t>810673016464</t>
  </si>
  <si>
    <t>812361016152</t>
  </si>
  <si>
    <t>35-1530</t>
  </si>
  <si>
    <t>6 TEE GXGXG SDR35</t>
  </si>
  <si>
    <t>810673016488</t>
  </si>
  <si>
    <t>812361016497</t>
  </si>
  <si>
    <t>35-1531</t>
  </si>
  <si>
    <t>8X4 TEE GXGXG SDR35</t>
  </si>
  <si>
    <t>810673016501</t>
  </si>
  <si>
    <t>816842027491</t>
  </si>
  <si>
    <t>35-1532</t>
  </si>
  <si>
    <t>8X6 TEE GXGXG SDR35</t>
  </si>
  <si>
    <t>810673016549</t>
  </si>
  <si>
    <t>816842027293</t>
  </si>
  <si>
    <t>35-367</t>
  </si>
  <si>
    <t>8 TEE GXGXG SDR35</t>
  </si>
  <si>
    <t>810673016563</t>
  </si>
  <si>
    <t>812361016589</t>
  </si>
  <si>
    <t>35-368</t>
  </si>
  <si>
    <t>10 X 4 TEE GXGXG SDR35</t>
  </si>
  <si>
    <t>812361013687</t>
  </si>
  <si>
    <t>35-369</t>
  </si>
  <si>
    <t>10X6 TEE GXGXG SDR35</t>
  </si>
  <si>
    <t>810673016587</t>
  </si>
  <si>
    <t>35-371</t>
  </si>
  <si>
    <t>10 TEE GXGXG SDR35</t>
  </si>
  <si>
    <t>816842021048</t>
  </si>
  <si>
    <t>35-372</t>
  </si>
  <si>
    <t>12 X 4 TEE GXGXG SDR35</t>
  </si>
  <si>
    <t>812361013694</t>
  </si>
  <si>
    <t>35-373</t>
  </si>
  <si>
    <t>12X6 TEE GXGXG SDR35</t>
  </si>
  <si>
    <t>810673016594</t>
  </si>
  <si>
    <t>35-376</t>
  </si>
  <si>
    <t>12 TEE GXGXG SDR35</t>
  </si>
  <si>
    <t>812361010839</t>
  </si>
  <si>
    <t>35-1546</t>
  </si>
  <si>
    <t>4 STOP COUPLING GXG SDR35</t>
  </si>
  <si>
    <t>810673016600</t>
  </si>
  <si>
    <t>812361012185</t>
  </si>
  <si>
    <t>35-1547</t>
  </si>
  <si>
    <t>6 STOP COUPLING GXG SDR35</t>
  </si>
  <si>
    <t>810673016624</t>
  </si>
  <si>
    <t>812361016626</t>
  </si>
  <si>
    <t>35-1548</t>
  </si>
  <si>
    <t>8 STOP COUPLING GXG SDR35</t>
  </si>
  <si>
    <t>810673016648</t>
  </si>
  <si>
    <t>812361016442</t>
  </si>
  <si>
    <t>35-236</t>
  </si>
  <si>
    <t>10 STOP COUPLING GXG SDR35</t>
  </si>
  <si>
    <t>810673016662</t>
  </si>
  <si>
    <t>35-237</t>
  </si>
  <si>
    <t>12 STOP COUPLING GXG SDR35</t>
  </si>
  <si>
    <t>810673016686</t>
  </si>
  <si>
    <t>35-1549</t>
  </si>
  <si>
    <t>4 REPAIR COUPLING GXG SDR35</t>
  </si>
  <si>
    <t>810673016693</t>
  </si>
  <si>
    <t>812361012192</t>
  </si>
  <si>
    <t>35-1550</t>
  </si>
  <si>
    <t>6 REPAIR COUPLING GXG SDR35</t>
  </si>
  <si>
    <t>810673016716</t>
  </si>
  <si>
    <t>812361016848</t>
  </si>
  <si>
    <t>35-1551</t>
  </si>
  <si>
    <t>8 REPAIR COUPLING GXG SDR35</t>
  </si>
  <si>
    <t>810673016730</t>
  </si>
  <si>
    <t>812361016176</t>
  </si>
  <si>
    <t>35-230</t>
  </si>
  <si>
    <t>10 REPAIR COUPLING GXG SDR35</t>
  </si>
  <si>
    <t>810673016754</t>
  </si>
  <si>
    <t>812361016855</t>
  </si>
  <si>
    <t>35-231</t>
  </si>
  <si>
    <t>12 REPAIR COUPLING GXG SDR35</t>
  </si>
  <si>
    <t>810673016778</t>
  </si>
  <si>
    <t>35-1586</t>
  </si>
  <si>
    <t>4 ELBOW 90 LONG SWEEP GXG SDR35</t>
  </si>
  <si>
    <t>810673017317</t>
  </si>
  <si>
    <t>35-1587</t>
  </si>
  <si>
    <t>6 ELBOW 90 LONG SWEEP GXG SDR35</t>
  </si>
  <si>
    <t>812361013878</t>
  </si>
  <si>
    <t>35-1588</t>
  </si>
  <si>
    <t>8 ELBOW 90 LONG SWEEP GXG SDR35</t>
  </si>
  <si>
    <t>812361013892</t>
  </si>
  <si>
    <t>35-1591</t>
  </si>
  <si>
    <t>4 ELBOW 90 LONG SWEEP GXS SDR35</t>
  </si>
  <si>
    <t>810673017331</t>
  </si>
  <si>
    <t>35-1592</t>
  </si>
  <si>
    <t>6 ELBOW 90 LONG SWEEP GXS SDR35</t>
  </si>
  <si>
    <t>812361013915</t>
  </si>
  <si>
    <t>35-1596</t>
  </si>
  <si>
    <t>4 ELBOW 90 GXG SDR35</t>
  </si>
  <si>
    <t>810673017355</t>
  </si>
  <si>
    <t>810673017362</t>
  </si>
  <si>
    <t>35-1597</t>
  </si>
  <si>
    <t>6 ELBOW 90 GXG SDR35</t>
  </si>
  <si>
    <t>810673017379</t>
  </si>
  <si>
    <t>812361016459</t>
  </si>
  <si>
    <t>35-96</t>
  </si>
  <si>
    <t>8 ELBOW 90 GXG SDR35</t>
  </si>
  <si>
    <t>810673017393</t>
  </si>
  <si>
    <t>812361016701</t>
  </si>
  <si>
    <t>35-105</t>
  </si>
  <si>
    <t>10 ELBOW 90 GXG SDR35</t>
  </si>
  <si>
    <t>810673017416</t>
  </si>
  <si>
    <t>812361016718</t>
  </si>
  <si>
    <t>35-114</t>
  </si>
  <si>
    <t>12 ELBOW 90 GXG SDR35</t>
  </si>
  <si>
    <t>810673017423</t>
  </si>
  <si>
    <t>812361016466</t>
  </si>
  <si>
    <t>35-1598</t>
  </si>
  <si>
    <t>4 ELBOW 90 GXS SDR35</t>
  </si>
  <si>
    <t>810673017430</t>
  </si>
  <si>
    <t>812361015544</t>
  </si>
  <si>
    <t>35-1599</t>
  </si>
  <si>
    <t>6 ELBOW 90 GXS SDR35</t>
  </si>
  <si>
    <t>810673017454</t>
  </si>
  <si>
    <t>812361016435</t>
  </si>
  <si>
    <t>35-97</t>
  </si>
  <si>
    <t>8 ELBOW 90 GXS SDR35</t>
  </si>
  <si>
    <t>810673017478</t>
  </si>
  <si>
    <t>812361016541</t>
  </si>
  <si>
    <t>35-1600</t>
  </si>
  <si>
    <t>4 ELBOW 45 GXG SDR35</t>
  </si>
  <si>
    <t>810673017492</t>
  </si>
  <si>
    <t>35-1709</t>
  </si>
  <si>
    <t>5 ELBOW 45 GXG SDR35</t>
  </si>
  <si>
    <t>810673017515</t>
  </si>
  <si>
    <t>812361016084</t>
  </si>
  <si>
    <t>35-1601</t>
  </si>
  <si>
    <t>6 ELBOW 45 GXG SDR35</t>
  </si>
  <si>
    <t>810673017539</t>
  </si>
  <si>
    <t>812361017135</t>
  </si>
  <si>
    <t>35-94</t>
  </si>
  <si>
    <t>8 ELBOW 45 GXG SDR35</t>
  </si>
  <si>
    <t>810673017553</t>
  </si>
  <si>
    <t>812361016657</t>
  </si>
  <si>
    <t>35-103</t>
  </si>
  <si>
    <t>10 ELBOW 45 GXG SDR35</t>
  </si>
  <si>
    <t>810673017577</t>
  </si>
  <si>
    <t>812361016794</t>
  </si>
  <si>
    <t>35-112</t>
  </si>
  <si>
    <t>12 ELBOW 45 GXG SDR35</t>
  </si>
  <si>
    <t>810673017584</t>
  </si>
  <si>
    <t>812361016480</t>
  </si>
  <si>
    <t>35-1602</t>
  </si>
  <si>
    <t>4 ELBOW 45 GXS SDR35</t>
  </si>
  <si>
    <t>810673017591</t>
  </si>
  <si>
    <t>35-1710</t>
  </si>
  <si>
    <t>5 ELBOW 45 GXS SDR35</t>
  </si>
  <si>
    <t>810673017614</t>
  </si>
  <si>
    <t>812361016183</t>
  </si>
  <si>
    <t>35-1603</t>
  </si>
  <si>
    <t>6 ELBOW 45 GXS SDR35</t>
  </si>
  <si>
    <t>810673017638</t>
  </si>
  <si>
    <t>812361016503</t>
  </si>
  <si>
    <t>35-95</t>
  </si>
  <si>
    <t>8 ELBOW 45 GXS SDR35</t>
  </si>
  <si>
    <t>810673017652</t>
  </si>
  <si>
    <t>812361016510</t>
  </si>
  <si>
    <t>35-113</t>
  </si>
  <si>
    <t>12 ELBOW 45 GXS SDR35</t>
  </si>
  <si>
    <t>810673017683</t>
  </si>
  <si>
    <t>35-1604</t>
  </si>
  <si>
    <t>4 ELBOW 22.5 GXG SDR35</t>
  </si>
  <si>
    <t>810673017690</t>
  </si>
  <si>
    <t>35-1707</t>
  </si>
  <si>
    <t>5 ELBOW 22.5 GXG SDR35</t>
  </si>
  <si>
    <t>810673017713</t>
  </si>
  <si>
    <t>812361016091</t>
  </si>
  <si>
    <t>35-1605</t>
  </si>
  <si>
    <t>6 ELBOW 22.5 GXG SDR35</t>
  </si>
  <si>
    <t>810673017737</t>
  </si>
  <si>
    <t>812361016671</t>
  </si>
  <si>
    <t>35-90</t>
  </si>
  <si>
    <t>8 ELBOW 22.5 GXG SDR35</t>
  </si>
  <si>
    <t>810673017751</t>
  </si>
  <si>
    <t>812361016688</t>
  </si>
  <si>
    <t>35-99</t>
  </si>
  <si>
    <t>10 ELBOW 22.5 GXG SDR35</t>
  </si>
  <si>
    <t>816842021116</t>
  </si>
  <si>
    <t>35-108</t>
  </si>
  <si>
    <t>12 ELBOW 22.5 GXG SDR35</t>
  </si>
  <si>
    <t>812361019276</t>
  </si>
  <si>
    <t>35-1606</t>
  </si>
  <si>
    <t>4 ELBOW 22.5 GXS SDR35</t>
  </si>
  <si>
    <t>810673017775</t>
  </si>
  <si>
    <t>35-1607</t>
  </si>
  <si>
    <t>6 ELBOW 22.5 GXS SDR35</t>
  </si>
  <si>
    <t>810673017812</t>
  </si>
  <si>
    <t>812361016527</t>
  </si>
  <si>
    <t>35-91</t>
  </si>
  <si>
    <t>8 ELBOW 22.5 GXS SDR35</t>
  </si>
  <si>
    <t>810673017836</t>
  </si>
  <si>
    <t>812361016534</t>
  </si>
  <si>
    <t>35-1609</t>
  </si>
  <si>
    <t>6 SAND MANHOLE ADAPT NOSTOP GXSLIP</t>
  </si>
  <si>
    <t>810673017850</t>
  </si>
  <si>
    <t>35-217</t>
  </si>
  <si>
    <t>8 SAND MANHOLE ADAPT NOSTOP GXSLIP</t>
  </si>
  <si>
    <t>810673017867</t>
  </si>
  <si>
    <t>35-218</t>
  </si>
  <si>
    <t>10 SAND MANHOLE ADAPT NOSTOP GXSLIP</t>
  </si>
  <si>
    <t>810673017874</t>
  </si>
  <si>
    <t>35-219</t>
  </si>
  <si>
    <t>12 SAND MANHOLE ADAPT NOSTOP GXSLIP</t>
  </si>
  <si>
    <t>810673017881</t>
  </si>
  <si>
    <t>35-1610</t>
  </si>
  <si>
    <t>4 TEMP PLUG SDR35</t>
  </si>
  <si>
    <t>810673017898</t>
  </si>
  <si>
    <t>35-1613</t>
  </si>
  <si>
    <t>4 PERMANENT PLUG SDR35</t>
  </si>
  <si>
    <t>810673018338</t>
  </si>
  <si>
    <t>810673018345</t>
  </si>
  <si>
    <t>35-1614</t>
  </si>
  <si>
    <t>6 PERMANENT PLUG SDR35</t>
  </si>
  <si>
    <t>810673018352</t>
  </si>
  <si>
    <t>812361012277</t>
  </si>
  <si>
    <t>35-1615</t>
  </si>
  <si>
    <t>8 PERMANENT PLUG SDR35</t>
  </si>
  <si>
    <t>810673018376</t>
  </si>
  <si>
    <t>812361012376</t>
  </si>
  <si>
    <t>35-224</t>
  </si>
  <si>
    <t>10 PERMANENT PLUG SDR35</t>
  </si>
  <si>
    <t>810673018390</t>
  </si>
  <si>
    <t>35-225</t>
  </si>
  <si>
    <t>12 PERMANENT PLUG SDR35</t>
  </si>
  <si>
    <t>810673018413</t>
  </si>
  <si>
    <t>35-1623</t>
  </si>
  <si>
    <t>4 CAP SDR35</t>
  </si>
  <si>
    <t>810673018437</t>
  </si>
  <si>
    <t>812361019825</t>
  </si>
  <si>
    <t>35-1624</t>
  </si>
  <si>
    <t>6 CAP SDR35</t>
  </si>
  <si>
    <t>810673018451</t>
  </si>
  <si>
    <t>812361019801</t>
  </si>
  <si>
    <t>35-1625</t>
  </si>
  <si>
    <t>8 CAP SDR35</t>
  </si>
  <si>
    <t>810673018475</t>
  </si>
  <si>
    <t>810673018482</t>
  </si>
  <si>
    <t>35-83</t>
  </si>
  <si>
    <t>10 CAP SDR35</t>
  </si>
  <si>
    <t>816842021109</t>
  </si>
  <si>
    <t>35-84</t>
  </si>
  <si>
    <t>12 CAP SDR35</t>
  </si>
  <si>
    <t>812361011966</t>
  </si>
  <si>
    <t>35-1630</t>
  </si>
  <si>
    <t>6X4 INCR COUPLING ECC GXG SDR35</t>
  </si>
  <si>
    <t>810673018086</t>
  </si>
  <si>
    <t>35-1626</t>
  </si>
  <si>
    <t>6X4 REDUCER BUSHING ECC SXG SDR35</t>
  </si>
  <si>
    <t>810673018024</t>
  </si>
  <si>
    <t>812361019917</t>
  </si>
  <si>
    <t>35-885</t>
  </si>
  <si>
    <t>8X4 REDUCER BUSHING ECC SXG SDR35</t>
  </si>
  <si>
    <t>810673018048</t>
  </si>
  <si>
    <t>35-895</t>
  </si>
  <si>
    <t>8X6 REDUCER BUSHING ECC SXG SDR35</t>
  </si>
  <si>
    <t>810673018062</t>
  </si>
  <si>
    <t>812361016596</t>
  </si>
  <si>
    <t>35-1627</t>
  </si>
  <si>
    <t>6X4 RED BUSHING CON SXG SDR35</t>
  </si>
  <si>
    <t>812361013816</t>
  </si>
  <si>
    <t>35-181</t>
  </si>
  <si>
    <t>8X4 RED BUSHING CON SXG SDR35</t>
  </si>
  <si>
    <t>812361013830</t>
  </si>
  <si>
    <t>35-182</t>
  </si>
  <si>
    <t>8X6 RED BUSHING CON SXG SDR35</t>
  </si>
  <si>
    <t>812361013854</t>
  </si>
  <si>
    <t>35-183</t>
  </si>
  <si>
    <t>10X4 RED BUSHING CON SXG SDR35</t>
  </si>
  <si>
    <t>812361012055</t>
  </si>
  <si>
    <t>35-1640</t>
  </si>
  <si>
    <t>6X4 INCR COUPLING CON GXG 35 SDR35</t>
  </si>
  <si>
    <t>810116843435</t>
  </si>
  <si>
    <t>35-1641</t>
  </si>
  <si>
    <t>8X4 INCR COUPLING CON GXG 35 SDR35</t>
  </si>
  <si>
    <t>35-1642</t>
  </si>
  <si>
    <t>8X6 INCR COUPLING CON GXG 35 SDR35</t>
  </si>
  <si>
    <t>35-1664</t>
  </si>
  <si>
    <t>4 2-WAY C/O TEE GXGXG SDR35</t>
  </si>
  <si>
    <t>812361013731</t>
  </si>
  <si>
    <t>35-1666</t>
  </si>
  <si>
    <t>6 2-WAY C/O TEE GXGXG SDR35</t>
  </si>
  <si>
    <t>812361013793</t>
  </si>
  <si>
    <t>816842027361</t>
  </si>
  <si>
    <t>35-1665</t>
  </si>
  <si>
    <t>4 2-WAY C/O TEE GXGXDWV G SDR35</t>
  </si>
  <si>
    <t>812361013779</t>
  </si>
  <si>
    <t>35-1679</t>
  </si>
  <si>
    <t>4 ADAP SWR GSKT BY DWV H SDR35</t>
  </si>
  <si>
    <t>810673018185</t>
  </si>
  <si>
    <t>35-1689</t>
  </si>
  <si>
    <t>6 ADAP SWR GSKT X DWV SPGT SDR35</t>
  </si>
  <si>
    <t>812361014059</t>
  </si>
  <si>
    <t>35-1755</t>
  </si>
  <si>
    <t>8x4 WYE W/DWV BRANCH GXGXDWVG</t>
  </si>
  <si>
    <t>35-1800</t>
  </si>
  <si>
    <t>4 TEE WYE GXGXG SDR35</t>
  </si>
  <si>
    <t>810673016785</t>
  </si>
  <si>
    <t>810673016792</t>
  </si>
  <si>
    <t>35-1801</t>
  </si>
  <si>
    <t>6X4 TEE WYE GXGXG SDR35</t>
  </si>
  <si>
    <t>810673016808</t>
  </si>
  <si>
    <t>812361018743</t>
  </si>
  <si>
    <t>35-1802</t>
  </si>
  <si>
    <t>6 TEE WYE GXGXG SDR35</t>
  </si>
  <si>
    <t>810673016068</t>
  </si>
  <si>
    <t>812361018675</t>
  </si>
  <si>
    <t>35-1803</t>
  </si>
  <si>
    <t>8X4 TEE WYE GXGXG SDR35</t>
  </si>
  <si>
    <t>810673016822</t>
  </si>
  <si>
    <t>35-1804</t>
  </si>
  <si>
    <t>8X6 TEE WYE GXGXG SDR35</t>
  </si>
  <si>
    <t>810673016846</t>
  </si>
  <si>
    <t>812361016770</t>
  </si>
  <si>
    <t>35-1805</t>
  </si>
  <si>
    <t>8 TEE WYE GXGXG SDR35</t>
  </si>
  <si>
    <t>812361018033</t>
  </si>
  <si>
    <t>812361019252</t>
  </si>
  <si>
    <t>35-1813</t>
  </si>
  <si>
    <t>10X6 TEE WYE GXGXG SDR35</t>
  </si>
  <si>
    <t>810673016860</t>
  </si>
  <si>
    <t>812361016787</t>
  </si>
  <si>
    <t>35-100</t>
  </si>
  <si>
    <t>6 TEE WYE SXGXG SDR35G</t>
  </si>
  <si>
    <t>812361019115</t>
  </si>
  <si>
    <t>35-1811</t>
  </si>
  <si>
    <t>8X6 TEE WYE SXGXG SDR35</t>
  </si>
  <si>
    <t>810673016914</t>
  </si>
  <si>
    <t>35-1579</t>
  </si>
  <si>
    <t>6X4 SADDLE TEE SDR35</t>
  </si>
  <si>
    <t>810673017119</t>
  </si>
  <si>
    <t>812361018705</t>
  </si>
  <si>
    <t>35-245</t>
  </si>
  <si>
    <t>8X4 SADDLE TEE SDR35</t>
  </si>
  <si>
    <t>810673017133</t>
  </si>
  <si>
    <t>35-246</t>
  </si>
  <si>
    <t>8X6 SADDLE TEE SDR35</t>
  </si>
  <si>
    <t>810673017157</t>
  </si>
  <si>
    <t>812361016312</t>
  </si>
  <si>
    <t>35-247</t>
  </si>
  <si>
    <t>10X4 SADDLE TEE SDR35</t>
  </si>
  <si>
    <t>810673017171</t>
  </si>
  <si>
    <t>812361015520</t>
  </si>
  <si>
    <t>35-248</t>
  </si>
  <si>
    <t>10X6 SADDLE TEE SDR35</t>
  </si>
  <si>
    <t>810673017195</t>
  </si>
  <si>
    <t>35-250</t>
  </si>
  <si>
    <t>12X4 SADDLE TEE SDR35</t>
  </si>
  <si>
    <t>810673017218</t>
  </si>
  <si>
    <t>35-251</t>
  </si>
  <si>
    <t>12X6 SADDLE TEE SDR35</t>
  </si>
  <si>
    <t>810673017232</t>
  </si>
  <si>
    <t>35-255</t>
  </si>
  <si>
    <t>15X6 SADDLE TEE SDR35</t>
  </si>
  <si>
    <t>810673017270</t>
  </si>
  <si>
    <t>35-1578</t>
  </si>
  <si>
    <t>6X4 SADDLE WYE SDR35</t>
  </si>
  <si>
    <t>810673016938</t>
  </si>
  <si>
    <t>35-285</t>
  </si>
  <si>
    <t>8X4 SADDLE WYE SDR35</t>
  </si>
  <si>
    <t>810673016952</t>
  </si>
  <si>
    <t>35-286</t>
  </si>
  <si>
    <t>8X6 SADDLE WYE SDR35</t>
  </si>
  <si>
    <t>810673016976</t>
  </si>
  <si>
    <t>35-287</t>
  </si>
  <si>
    <t>10X4 SADDLE WYE SDR35</t>
  </si>
  <si>
    <t>810673016990</t>
  </si>
  <si>
    <t>35-288</t>
  </si>
  <si>
    <t>10X6 SADDLE WYE SDR35</t>
  </si>
  <si>
    <t>810673017010</t>
  </si>
  <si>
    <t>35-291</t>
  </si>
  <si>
    <t>12X4 SADDLE WYE SDR35</t>
  </si>
  <si>
    <t>810673017034</t>
  </si>
  <si>
    <t>35-292</t>
  </si>
  <si>
    <t>12X6 SADDLE WYE SDR35</t>
  </si>
  <si>
    <t>810673017058</t>
  </si>
  <si>
    <t>35-300</t>
  </si>
  <si>
    <t>18X4 SADDLE WYE SDR35</t>
  </si>
  <si>
    <t>SDR 26 G (Gasketed)</t>
  </si>
  <si>
    <t>List Price SDR26 G (Gasketed)</t>
  </si>
  <si>
    <t>SDR26G042024</t>
  </si>
  <si>
    <t>Description</t>
  </si>
  <si>
    <t>Pallet Quantity</t>
  </si>
  <si>
    <t>Fab (*)</t>
  </si>
  <si>
    <t>37-1001</t>
  </si>
  <si>
    <t>6 CAP GASKET SDR26</t>
  </si>
  <si>
    <t/>
  </si>
  <si>
    <t>812361014776</t>
  </si>
  <si>
    <t>37-1002</t>
  </si>
  <si>
    <t>4 REPAIR COUPLING GXG SDR26</t>
  </si>
  <si>
    <t>812361014936</t>
  </si>
  <si>
    <t>37-1003</t>
  </si>
  <si>
    <t>6 REPAIR COUPLING GXG SDR26</t>
  </si>
  <si>
    <t>812361014950</t>
  </si>
  <si>
    <t>37-1004</t>
  </si>
  <si>
    <t>8 REPAIR COUPLING GXG SDR26</t>
  </si>
  <si>
    <t>812361014974</t>
  </si>
  <si>
    <t>37-1005</t>
  </si>
  <si>
    <t>4 STOP COUPLING GXG SDR26</t>
  </si>
  <si>
    <t>812361014813</t>
  </si>
  <si>
    <t>37-1006</t>
  </si>
  <si>
    <t>6 STOP COUPLING GXG SDR26</t>
  </si>
  <si>
    <t>812361014844</t>
  </si>
  <si>
    <t>37-1008</t>
  </si>
  <si>
    <t>4 ELBOW 22.5 GXG SDR26</t>
  </si>
  <si>
    <t>810673019090</t>
  </si>
  <si>
    <t>812361018651</t>
  </si>
  <si>
    <t>37-1009</t>
  </si>
  <si>
    <t>6 ELBOW 22.5 GXG SDR26</t>
  </si>
  <si>
    <t>810673019113</t>
  </si>
  <si>
    <t>812361015834</t>
  </si>
  <si>
    <t>37-155</t>
  </si>
  <si>
    <t>8 ELBOW 22.5 GXG SDR26</t>
  </si>
  <si>
    <t>810673019137</t>
  </si>
  <si>
    <t>37-1010</t>
  </si>
  <si>
    <t>4 ELBOW 22.5 GXS SDR26</t>
  </si>
  <si>
    <t>810673019151</t>
  </si>
  <si>
    <t>812361018699</t>
  </si>
  <si>
    <t>37-1011</t>
  </si>
  <si>
    <t>6 ELBOW 22.5 GXS SDR26</t>
  </si>
  <si>
    <t>810673019175</t>
  </si>
  <si>
    <t>812361015643</t>
  </si>
  <si>
    <t>37-174</t>
  </si>
  <si>
    <t>8 ELBOW 22.5 GXS SDR26</t>
  </si>
  <si>
    <t>810673019199</t>
  </si>
  <si>
    <t>37-1012</t>
  </si>
  <si>
    <t>4 ELBOW 45 GXG SDR26</t>
  </si>
  <si>
    <t>810673018963</t>
  </si>
  <si>
    <t>812361018644</t>
  </si>
  <si>
    <t>37-1013</t>
  </si>
  <si>
    <t>6 ELBOW 45 GXG SDR26</t>
  </si>
  <si>
    <t>810673018987</t>
  </si>
  <si>
    <t>812361017128</t>
  </si>
  <si>
    <t>37-156</t>
  </si>
  <si>
    <t>8 ELBOW 45 GXG SDR26</t>
  </si>
  <si>
    <t>810673019007</t>
  </si>
  <si>
    <t>812361015797</t>
  </si>
  <si>
    <t>37-1014</t>
  </si>
  <si>
    <t>4 ELBOW 45 GXS SDR26</t>
  </si>
  <si>
    <t>810673019021</t>
  </si>
  <si>
    <t>812361018668</t>
  </si>
  <si>
    <t>37-1015</t>
  </si>
  <si>
    <t>6 ELBOW 45 GXS SDR26</t>
  </si>
  <si>
    <t>810673019052</t>
  </si>
  <si>
    <t>812361015650</t>
  </si>
  <si>
    <t>37-175</t>
  </si>
  <si>
    <t>8 ELBOW 45 GXS SDR26</t>
  </si>
  <si>
    <t>810673019076</t>
  </si>
  <si>
    <t>812361015766</t>
  </si>
  <si>
    <t>37-1016</t>
  </si>
  <si>
    <t>4 ELBOW 90 GXG SDR26</t>
  </si>
  <si>
    <t>810673018840</t>
  </si>
  <si>
    <t>810673018857</t>
  </si>
  <si>
    <t>37-1017</t>
  </si>
  <si>
    <t>6 ELBOW 90 GXG SDR26</t>
  </si>
  <si>
    <t>810673018864</t>
  </si>
  <si>
    <t>812361015636</t>
  </si>
  <si>
    <t>37-157</t>
  </si>
  <si>
    <t>8 ELBOW 90 GXG SDR26</t>
  </si>
  <si>
    <t>810673018888</t>
  </si>
  <si>
    <t>37-3690</t>
  </si>
  <si>
    <t>6 ELBOW 90 LONG TURN GXG SDR26</t>
  </si>
  <si>
    <t>810116843671</t>
  </si>
  <si>
    <t>37-781</t>
  </si>
  <si>
    <t>8 ELBOW 90 LONG TURN GXG SDR26</t>
  </si>
  <si>
    <t>812361011249</t>
  </si>
  <si>
    <t>37-1020</t>
  </si>
  <si>
    <t>4 ELBOW 90 GXS SDR26</t>
  </si>
  <si>
    <t>810673018901</t>
  </si>
  <si>
    <t>37-1021</t>
  </si>
  <si>
    <t>6 ELBOW 90 GXS SDR26</t>
  </si>
  <si>
    <t>810673018925</t>
  </si>
  <si>
    <t>37-176</t>
  </si>
  <si>
    <t>8 ELBOW 90 GXS SDR26</t>
  </si>
  <si>
    <t>810673018949</t>
  </si>
  <si>
    <t>37-782</t>
  </si>
  <si>
    <t>4 ELBOW 90 LONG TURN GXS SDR26</t>
  </si>
  <si>
    <t>812361011263</t>
  </si>
  <si>
    <t>37-1022</t>
  </si>
  <si>
    <t>6X4 INCR COUPLING CONC GXG SDR26</t>
  </si>
  <si>
    <t>812361014875</t>
  </si>
  <si>
    <t>37-55</t>
  </si>
  <si>
    <t>8X4 INCR COUPLING CONC GXG SDR26</t>
  </si>
  <si>
    <t>812361014899</t>
  </si>
  <si>
    <t>37-59</t>
  </si>
  <si>
    <t>8X6 INCR COUPLING CONC GXG SDR26</t>
  </si>
  <si>
    <t>812361014912</t>
  </si>
  <si>
    <t>37-2003</t>
  </si>
  <si>
    <t>6X4 REDUCER BUSHING ECC SXG SDR26</t>
  </si>
  <si>
    <t>812361019993</t>
  </si>
  <si>
    <t>37-1024</t>
  </si>
  <si>
    <t>4 TEE GXGXG SDR26</t>
  </si>
  <si>
    <t>812361015117</t>
  </si>
  <si>
    <t>816842021680</t>
  </si>
  <si>
    <t>37-1025</t>
  </si>
  <si>
    <t>6X4 TEE GXGXG SDR26</t>
  </si>
  <si>
    <t>812361015131</t>
  </si>
  <si>
    <t>37-1026</t>
  </si>
  <si>
    <t>6 TEE GXGXG SDR26</t>
  </si>
  <si>
    <t>812361015322</t>
  </si>
  <si>
    <t>812361015667</t>
  </si>
  <si>
    <t>37-88</t>
  </si>
  <si>
    <t>8X6 TEE GXGXG SDR26</t>
  </si>
  <si>
    <t>810673018789</t>
  </si>
  <si>
    <t>812361015896</t>
  </si>
  <si>
    <t>37-89</t>
  </si>
  <si>
    <t>8 TEE GXGXG SDR26</t>
  </si>
  <si>
    <t>812361014790</t>
  </si>
  <si>
    <t>37-2004</t>
  </si>
  <si>
    <t>4 TWO WAY CLEANOUT TEE GXGXG SDR 26</t>
  </si>
  <si>
    <t>810116843664</t>
  </si>
  <si>
    <t>37-2001</t>
  </si>
  <si>
    <t>6 TWO WAY CLEANOUT TEE GXGXG SDR 26</t>
  </si>
  <si>
    <t>816842026050</t>
  </si>
  <si>
    <t>816842027378</t>
  </si>
  <si>
    <t>37-1028</t>
  </si>
  <si>
    <t>6X4 TEE WYE GXGXG SDR26</t>
  </si>
  <si>
    <t>810673019243</t>
  </si>
  <si>
    <t>37-1029</t>
  </si>
  <si>
    <t>6 TEE WYE GXGXG SDR26</t>
  </si>
  <si>
    <t>812361015056</t>
  </si>
  <si>
    <t>812361018859</t>
  </si>
  <si>
    <t>37-808</t>
  </si>
  <si>
    <t>8X4 TEE WYE GXGXG SDR26</t>
  </si>
  <si>
    <t>810673018802</t>
  </si>
  <si>
    <t>37-809</t>
  </si>
  <si>
    <t>8X6 TEE WYE GXGXG SDR26</t>
  </si>
  <si>
    <t>810673018826</t>
  </si>
  <si>
    <t>816842021871</t>
  </si>
  <si>
    <t>37-786</t>
  </si>
  <si>
    <t>8X4 TEE SDR26 CLASS 160 X SCH40 GLUE</t>
  </si>
  <si>
    <t>*</t>
  </si>
  <si>
    <t>810116843756</t>
  </si>
  <si>
    <t>37-1033</t>
  </si>
  <si>
    <t>4 WYE GXGXG SDR26</t>
  </si>
  <si>
    <t>810673018642</t>
  </si>
  <si>
    <t>810673018659</t>
  </si>
  <si>
    <t>37-1034</t>
  </si>
  <si>
    <t>6X4 WYE GXGXG SDR26</t>
  </si>
  <si>
    <t>810673018666</t>
  </si>
  <si>
    <t>812361015827</t>
  </si>
  <si>
    <t>37-1035</t>
  </si>
  <si>
    <t>6 WYE GXGXG SDR26</t>
  </si>
  <si>
    <t>812361012222</t>
  </si>
  <si>
    <t>812361015674</t>
  </si>
  <si>
    <t>37-1036</t>
  </si>
  <si>
    <t>8X4 WYE GXGXG SDR26</t>
  </si>
  <si>
    <t>810673018680</t>
  </si>
  <si>
    <t>816842021642</t>
  </si>
  <si>
    <t>37-1037</t>
  </si>
  <si>
    <t>8X6 WYE GXGXG SDR26</t>
  </si>
  <si>
    <t>810673018703</t>
  </si>
  <si>
    <t>816842021628</t>
  </si>
  <si>
    <t>37-1410</t>
  </si>
  <si>
    <t>8 WYE GXGXG SDR26</t>
  </si>
  <si>
    <t>812361017999</t>
  </si>
  <si>
    <t>37-116</t>
  </si>
  <si>
    <t>10X4 WYE GXGXG SDR26</t>
  </si>
  <si>
    <t>810673018727</t>
  </si>
  <si>
    <t>37-117</t>
  </si>
  <si>
    <t>10X6 WYE GXGXG SDR26</t>
  </si>
  <si>
    <t>810673018734</t>
  </si>
  <si>
    <t>37-1038</t>
  </si>
  <si>
    <t>6X4 DOUBLE WYE GXGXGXG SDR26</t>
  </si>
  <si>
    <t>37-1039</t>
  </si>
  <si>
    <t>6 DOUBLE WYE GXGXGXG SDR26</t>
  </si>
  <si>
    <t>Solvent Cements</t>
  </si>
  <si>
    <t>List Price Solvent Cements</t>
  </si>
  <si>
    <t>Cements042024</t>
  </si>
  <si>
    <t>CEMENTS042024</t>
  </si>
  <si>
    <t>Size</t>
  </si>
  <si>
    <t>Application</t>
  </si>
  <si>
    <t>Color</t>
  </si>
  <si>
    <t>Setting Speed</t>
  </si>
  <si>
    <t>IFGA100</t>
  </si>
  <si>
    <t>IFUSE IRR PVC GA CLR REGULAR</t>
  </si>
  <si>
    <t>GALLON</t>
  </si>
  <si>
    <t>PVC - REGULAR</t>
  </si>
  <si>
    <t>CLEAR</t>
  </si>
  <si>
    <t>FAST</t>
  </si>
  <si>
    <t>IFQT100</t>
  </si>
  <si>
    <t>IFUSE IRR PVC QT CLR REGULAR</t>
  </si>
  <si>
    <t>QUART</t>
  </si>
  <si>
    <t>049081071004</t>
  </si>
  <si>
    <t>IFPT100</t>
  </si>
  <si>
    <t>IFUSE IRR PVC PT CLR REGULAR</t>
  </si>
  <si>
    <t>PINT</t>
  </si>
  <si>
    <t>049081071011</t>
  </si>
  <si>
    <t>IFHP100</t>
  </si>
  <si>
    <t>IFUSE IRR PVC HP CLR REGULAR</t>
  </si>
  <si>
    <t>1/2 PINT</t>
  </si>
  <si>
    <t>049081071028</t>
  </si>
  <si>
    <t>IFQP100</t>
  </si>
  <si>
    <t>IFUSE IRR PVC QP CLR REGULAR</t>
  </si>
  <si>
    <t>1/4 PINT</t>
  </si>
  <si>
    <t>049081071035</t>
  </si>
  <si>
    <t>IFGA170</t>
  </si>
  <si>
    <t>IFUSE IRR PVC GA GRY REGULAR</t>
  </si>
  <si>
    <t>GRAY</t>
  </si>
  <si>
    <t>IFQT170</t>
  </si>
  <si>
    <t>IFUSE IRR PVC QT GRY REGULAR</t>
  </si>
  <si>
    <t>IFPT170</t>
  </si>
  <si>
    <t>IFUSE IRR PVC PT GRY REGULAR</t>
  </si>
  <si>
    <t>IFHP170</t>
  </si>
  <si>
    <t>IFUSE IRR PVC HP GRY REGULAR</t>
  </si>
  <si>
    <t>IFQP170</t>
  </si>
  <si>
    <t>IFUSE IRR PVC QP GRY REGULAR</t>
  </si>
  <si>
    <t>IFGA105</t>
  </si>
  <si>
    <t>IFUSE IRR PVC GA CLR MEDIUM</t>
  </si>
  <si>
    <t>PVC - MEDIUM</t>
  </si>
  <si>
    <t>049081071042</t>
  </si>
  <si>
    <t>IFQT105</t>
  </si>
  <si>
    <t>IFUSE IRR PVC QT CLR MEDIUM</t>
  </si>
  <si>
    <t>049081071059</t>
  </si>
  <si>
    <t>IFPT105</t>
  </si>
  <si>
    <t>IFUSE IRR PVC PT CLR MEDIUM</t>
  </si>
  <si>
    <t>049081071066</t>
  </si>
  <si>
    <t>IFHP105</t>
  </si>
  <si>
    <t>IFUSE IRR PVC HP CLR MEDIUM</t>
  </si>
  <si>
    <t>049081071073</t>
  </si>
  <si>
    <t>IFQP105</t>
  </si>
  <si>
    <t>IFUSE IRR PVC QP CLR MEDIUM</t>
  </si>
  <si>
    <t>049081071080</t>
  </si>
  <si>
    <t>IFGA110</t>
  </si>
  <si>
    <t>IFUSE IRR PVC GA GRY MEDIUM</t>
  </si>
  <si>
    <t>049081071097</t>
  </si>
  <si>
    <t>IFQT110</t>
  </si>
  <si>
    <t>IFUSE IRR PVC QT GRY MEDIUM</t>
  </si>
  <si>
    <t>049081071103</t>
  </si>
  <si>
    <t>IFPT110</t>
  </si>
  <si>
    <t>IFUSE IRR PVC PT GRY MEDIUM</t>
  </si>
  <si>
    <t>049081071110</t>
  </si>
  <si>
    <t>IFHP110</t>
  </si>
  <si>
    <t>IFUSE IRR PVC HP GRY MEDIUM</t>
  </si>
  <si>
    <t>049081071127</t>
  </si>
  <si>
    <t>IFQP110</t>
  </si>
  <si>
    <t>IFUSE IRR PVC QP GRY MEDIUM</t>
  </si>
  <si>
    <t>049081071134</t>
  </si>
  <si>
    <t>IFGA115</t>
  </si>
  <si>
    <t>IFUSE IRR PVC GA CLR HV</t>
  </si>
  <si>
    <t>PVC - HEAVY</t>
  </si>
  <si>
    <t>MEDIUM</t>
  </si>
  <si>
    <t>049081071141</t>
  </si>
  <si>
    <t>N/A</t>
  </si>
  <si>
    <t>IFQT115</t>
  </si>
  <si>
    <t>IFUSE IRR PVC QT CLR HV</t>
  </si>
  <si>
    <t>049081071158</t>
  </si>
  <si>
    <t>IFPT115</t>
  </si>
  <si>
    <t>IFUSE IRR PVC PT CLR HV</t>
  </si>
  <si>
    <t>049081071165</t>
  </si>
  <si>
    <t>IFHP115</t>
  </si>
  <si>
    <t>IFUSE IRR PVC HP CLR HV</t>
  </si>
  <si>
    <t>049081071172</t>
  </si>
  <si>
    <t>IFGA120</t>
  </si>
  <si>
    <t>IFUSE IRR PVC GA GRY HV</t>
  </si>
  <si>
    <t>049091071196</t>
  </si>
  <si>
    <t>IFQT120</t>
  </si>
  <si>
    <t>IFUSE IRR PVC QT GRY HV</t>
  </si>
  <si>
    <t>049081071202</t>
  </si>
  <si>
    <t>IFPT120</t>
  </si>
  <si>
    <t>IFUSE IRR PVC PT GRY HV</t>
  </si>
  <si>
    <t>049081071219</t>
  </si>
  <si>
    <t>IFHP120</t>
  </si>
  <si>
    <t>IFUSE IRR PVC HP GRY HV</t>
  </si>
  <si>
    <t>049081071226</t>
  </si>
  <si>
    <t>IFQP120</t>
  </si>
  <si>
    <t>IFUSE IRR PVC QP GRY HV</t>
  </si>
  <si>
    <t>IFGA125</t>
  </si>
  <si>
    <t>IFUSE IRR HOT PRO GA</t>
  </si>
  <si>
    <t>BLUE</t>
  </si>
  <si>
    <t>EXTREMELY FAST</t>
  </si>
  <si>
    <t>049081071233</t>
  </si>
  <si>
    <t>IFQT125</t>
  </si>
  <si>
    <t>IFUSE IRR HOT PRO QT</t>
  </si>
  <si>
    <t>049081071240</t>
  </si>
  <si>
    <t>IFPT125</t>
  </si>
  <si>
    <t>IFUSE IRR HOT PRO PT</t>
  </si>
  <si>
    <t>049081071257</t>
  </si>
  <si>
    <t>IFHP125</t>
  </si>
  <si>
    <t>IFUSE IRR HOT PRO HP</t>
  </si>
  <si>
    <t>049081071264</t>
  </si>
  <si>
    <t>IFQP125</t>
  </si>
  <si>
    <t>IFUSE IRR HOT PRO QP</t>
  </si>
  <si>
    <t>049081071271</t>
  </si>
  <si>
    <t>IFGA130</t>
  </si>
  <si>
    <t>IFUSE IRR WET R DRY GA</t>
  </si>
  <si>
    <t>ACQUA BLUE</t>
  </si>
  <si>
    <t>VERY FAST</t>
  </si>
  <si>
    <t>049081071288</t>
  </si>
  <si>
    <t>IFQT130</t>
  </si>
  <si>
    <t>IFUSE IRR WET R DRY QT</t>
  </si>
  <si>
    <t>049081071295</t>
  </si>
  <si>
    <t>IFPT130</t>
  </si>
  <si>
    <t>IFUSE IRR WET R DRY PT</t>
  </si>
  <si>
    <t>049081071301</t>
  </si>
  <si>
    <t>IFHP130</t>
  </si>
  <si>
    <t>IFUSE IRR WET R DRY HP</t>
  </si>
  <si>
    <t>049081071318</t>
  </si>
  <si>
    <t>IFQP130</t>
  </si>
  <si>
    <t>IFUSE IRR WET R DRY QP</t>
  </si>
  <si>
    <t>049081071325</t>
  </si>
  <si>
    <t>IFGA160</t>
  </si>
  <si>
    <t>ifuse IRR FLEX PRO CLR GA</t>
  </si>
  <si>
    <t>049081071981</t>
  </si>
  <si>
    <t>IFQT160</t>
  </si>
  <si>
    <t>IFUSE IRR FLEX PRO CLR QT</t>
  </si>
  <si>
    <t>049081071998</t>
  </si>
  <si>
    <t>IFPT160</t>
  </si>
  <si>
    <t>IFUSE IRR FLEX PRO CLR PT</t>
  </si>
  <si>
    <t>049081072001</t>
  </si>
  <si>
    <t>IFHP160</t>
  </si>
  <si>
    <t>IFUSE IRR FLEX PRO CLR HP</t>
  </si>
  <si>
    <t>049081072018</t>
  </si>
  <si>
    <t>IFQP160</t>
  </si>
  <si>
    <t>IFUSE IRR FLEX PRO CLR QP</t>
  </si>
  <si>
    <t>049081072025</t>
  </si>
  <si>
    <t>IFQT225</t>
  </si>
  <si>
    <t>IFUSE POOL PRO PVC QT</t>
  </si>
  <si>
    <t>POOL &amp; SPA - MEDIUM</t>
  </si>
  <si>
    <t>049081071783</t>
  </si>
  <si>
    <t>IFPT225</t>
  </si>
  <si>
    <t>IFUSE POOL PRO PVC PT</t>
  </si>
  <si>
    <t>049081071790</t>
  </si>
  <si>
    <t>IFHP225</t>
  </si>
  <si>
    <t>ifuse POOL PRO PVC HP</t>
  </si>
  <si>
    <t>049081071806</t>
  </si>
  <si>
    <t>IFQP225</t>
  </si>
  <si>
    <t>IFUSE POOL PRO PVC QP</t>
  </si>
  <si>
    <t>049081071813</t>
  </si>
  <si>
    <t>IFQT135</t>
  </si>
  <si>
    <t>IFUSE IRR HOTNCOLD CPVC QT</t>
  </si>
  <si>
    <t>CPVC CTS - MEDIUM</t>
  </si>
  <si>
    <t>YELLOW</t>
  </si>
  <si>
    <t>049081071349</t>
  </si>
  <si>
    <t>IFPT135</t>
  </si>
  <si>
    <t>IFUSE IRR HOTNCOLD CPVC PT</t>
  </si>
  <si>
    <t>049081071356</t>
  </si>
  <si>
    <t>IFHP135</t>
  </si>
  <si>
    <t>IFUSE IRR HOTNCOLD CPVC HP</t>
  </si>
  <si>
    <t>049081071363</t>
  </si>
  <si>
    <t>IFQP135</t>
  </si>
  <si>
    <t>IFUSE IRR HOTNCOLD CPVC QP</t>
  </si>
  <si>
    <t>049081071370</t>
  </si>
  <si>
    <t>IFQT140</t>
  </si>
  <si>
    <t>IFUSE IRR CPVC QT HV ORG</t>
  </si>
  <si>
    <t>CPVC - HEAVY</t>
  </si>
  <si>
    <t>ORANGE</t>
  </si>
  <si>
    <t>049081071387</t>
  </si>
  <si>
    <t>IFPT140</t>
  </si>
  <si>
    <t>IFUSE IRR CPVC PT HV ORG</t>
  </si>
  <si>
    <t>049081071394</t>
  </si>
  <si>
    <t>IFHP140</t>
  </si>
  <si>
    <t>IFUSE IRR CPVC HP HV ORG</t>
  </si>
  <si>
    <t>049081071400</t>
  </si>
  <si>
    <t>IFQP140</t>
  </si>
  <si>
    <t>IFUSE IRR CPVC QP HV ORG</t>
  </si>
  <si>
    <t>IFGA175</t>
  </si>
  <si>
    <t>IFUSE IRR ABS GA YLW MEDIUM</t>
  </si>
  <si>
    <t>ABS - MEDIUM</t>
  </si>
  <si>
    <t>IFQT175</t>
  </si>
  <si>
    <t>IFUSE IRR ABS QT YLW MEDIUM</t>
  </si>
  <si>
    <t>IFPT175</t>
  </si>
  <si>
    <t>IFUSE IRR ABS PT YLW MEDIUM</t>
  </si>
  <si>
    <t>IFHP175</t>
  </si>
  <si>
    <t>IFUSE IRR ABS HP YLW MEDIUM</t>
  </si>
  <si>
    <t>IFQP175</t>
  </si>
  <si>
    <t>IFUSE IRR ABS QP YLW MEDIUM</t>
  </si>
  <si>
    <t>IFGA180</t>
  </si>
  <si>
    <t>IFUSE IRR ABS GA BLK MEDIUM</t>
  </si>
  <si>
    <t>BLACK</t>
  </si>
  <si>
    <t>IFQT180</t>
  </si>
  <si>
    <t>IFUSE IRR ABS QT BLK MEDIUM</t>
  </si>
  <si>
    <t>IFPT180</t>
  </si>
  <si>
    <t>IFUSE IRR ABS PT BLK MEDIUM</t>
  </si>
  <si>
    <t>IFHP180</t>
  </si>
  <si>
    <t>IFUSE IRR ABS HP BLK MEDIUM</t>
  </si>
  <si>
    <t>IFQP180</t>
  </si>
  <si>
    <t>IFUSE IRR ABS QP BLK MEDIUM</t>
  </si>
  <si>
    <t>IFGA150</t>
  </si>
  <si>
    <t>IFUSE IRR PRM PUR GA</t>
  </si>
  <si>
    <t>PRIMER</t>
  </si>
  <si>
    <t>PURPLE</t>
  </si>
  <si>
    <t>049081071462</t>
  </si>
  <si>
    <t>IFQT150</t>
  </si>
  <si>
    <t>IFUSE IRR PRM PUR QT</t>
  </si>
  <si>
    <t>049081071479</t>
  </si>
  <si>
    <t>IFPT150</t>
  </si>
  <si>
    <t>IFUSE IRR PRM PUR PT</t>
  </si>
  <si>
    <t>049081071486</t>
  </si>
  <si>
    <t>IFHP150</t>
  </si>
  <si>
    <t>IFUSE IRR PRM PUR HP</t>
  </si>
  <si>
    <t>049081071493</t>
  </si>
  <si>
    <t>IFQP150</t>
  </si>
  <si>
    <t>IFUSE IRR PRM PUR QP</t>
  </si>
  <si>
    <t>049081071509</t>
  </si>
  <si>
    <t>IFGA145</t>
  </si>
  <si>
    <t>IFUSE IRR PRM CLR GA</t>
  </si>
  <si>
    <t>049081071417</t>
  </si>
  <si>
    <t>IFQT145</t>
  </si>
  <si>
    <t>IFUSE IRR PRM CLR QT</t>
  </si>
  <si>
    <t>049081071424</t>
  </si>
  <si>
    <t>IFPT145</t>
  </si>
  <si>
    <t>IFUSE IRR PRM CLR PT</t>
  </si>
  <si>
    <t>049081071431</t>
  </si>
  <si>
    <t>IFHP145</t>
  </si>
  <si>
    <t>IFUSE IRR PRM CLR HP</t>
  </si>
  <si>
    <t>049081071448</t>
  </si>
  <si>
    <t>IFQP145</t>
  </si>
  <si>
    <t>IFUSE IRR PRM CLR QP</t>
  </si>
  <si>
    <t>049081071455</t>
  </si>
  <si>
    <t>IFGA155</t>
  </si>
  <si>
    <t>IFUSE IRR CLEANER GA</t>
  </si>
  <si>
    <t>CLEANER</t>
  </si>
  <si>
    <t>049081071516</t>
  </si>
  <si>
    <t>IFQT155</t>
  </si>
  <si>
    <t>IFUSE IRR CLEANER QT</t>
  </si>
  <si>
    <t>049081071523</t>
  </si>
  <si>
    <t>IFPT155</t>
  </si>
  <si>
    <t>IFUSE IRR CLEANER PT</t>
  </si>
  <si>
    <t>049081071530</t>
  </si>
  <si>
    <t>IFHP155</t>
  </si>
  <si>
    <t>IFUSE IRR CLEANER HP</t>
  </si>
  <si>
    <t>049081071547</t>
  </si>
  <si>
    <t>IFQP155</t>
  </si>
  <si>
    <t>IFUSE IRR CLEANER QP</t>
  </si>
  <si>
    <t>049081071554</t>
  </si>
  <si>
    <t>IFHP-TS</t>
  </si>
  <si>
    <t>IFUSE THREAD SEALANT HP</t>
  </si>
  <si>
    <t>THREAD
SEALANT</t>
  </si>
  <si>
    <t>n/a</t>
  </si>
  <si>
    <t>049081072186</t>
  </si>
  <si>
    <t>IFQT-E</t>
  </si>
  <si>
    <t>IFUSE EMPTY CAN QUART</t>
  </si>
  <si>
    <t>EMPTY CAN</t>
  </si>
  <si>
    <t>049081072162</t>
  </si>
  <si>
    <t>GD-200</t>
  </si>
  <si>
    <t>IFUSE 3/4" SCREW CAP DAUBER PINT</t>
  </si>
  <si>
    <t>DAUBER</t>
  </si>
  <si>
    <t>049081070113</t>
  </si>
  <si>
    <t>GD-300</t>
  </si>
  <si>
    <t>IFUSE 1.1/2" SCREW CAP DAUBER PINT</t>
  </si>
  <si>
    <t>049081070120</t>
  </si>
  <si>
    <t>GD-400</t>
  </si>
  <si>
    <t>IFUSE 3/4" SCREW CAP DAUBER QUART</t>
  </si>
  <si>
    <t>049081070137</t>
  </si>
  <si>
    <t>GD-500</t>
  </si>
  <si>
    <t>IFUSE 1.1/2" SCREW CAP DAUBER QUART</t>
  </si>
  <si>
    <t>049081070144</t>
  </si>
  <si>
    <t>GD-560</t>
  </si>
  <si>
    <t>IFUSE 7 CAP ROLLER GALLON</t>
  </si>
  <si>
    <t>ROLLER</t>
  </si>
  <si>
    <t>049081070182</t>
  </si>
  <si>
    <t>GD-600</t>
  </si>
  <si>
    <t>IFUSE 4 QUART SWAB</t>
  </si>
  <si>
    <t>SWAB</t>
  </si>
  <si>
    <t>049081070151</t>
  </si>
  <si>
    <t>GD-700</t>
  </si>
  <si>
    <t>IFUSE 4 GALLON SWAB</t>
  </si>
  <si>
    <t>049081070168</t>
  </si>
  <si>
    <t>GD-800</t>
  </si>
  <si>
    <t>IFUSE 3/4" EXPAND DAUBER STEM, PINT/QT</t>
  </si>
  <si>
    <t>EXPANDABLE
DAUBER</t>
  </si>
  <si>
    <t>049081070199</t>
  </si>
  <si>
    <t>GD-810</t>
  </si>
  <si>
    <t>IFUSE 1.1/4" EXPAND DAUBER STEM, PINT/QT</t>
  </si>
  <si>
    <t>049081070205</t>
  </si>
  <si>
    <t>Valve Boxes</t>
  </si>
  <si>
    <t>List Price Valve Box</t>
  </si>
  <si>
    <t>VALVEBOX042024</t>
  </si>
  <si>
    <t>Part
Number</t>
  </si>
  <si>
    <t>Body Color</t>
  </si>
  <si>
    <t>Lid Color</t>
  </si>
  <si>
    <r>
      <rPr>
        <b/>
        <sz val="11"/>
        <color theme="0"/>
        <rFont val="Wingdings 2"/>
        <family val="1"/>
        <charset val="2"/>
      </rPr>
      <t>P</t>
    </r>
    <r>
      <rPr>
        <b/>
        <sz val="11"/>
        <color theme="0"/>
        <rFont val="Calibri"/>
        <family val="2"/>
      </rPr>
      <t xml:space="preserve"> Palle Quantity</t>
    </r>
  </si>
  <si>
    <t>Item Cube
(FT)</t>
  </si>
  <si>
    <t>ROUND VALVE BOX 6"</t>
  </si>
  <si>
    <t>Round Valve Box 6"</t>
  </si>
  <si>
    <t>6" RND VLV BOX W/LID BLK/GRN</t>
  </si>
  <si>
    <t>GREEN</t>
  </si>
  <si>
    <t>IRRIG CONTROL VALVE</t>
  </si>
  <si>
    <t>049081801540</t>
  </si>
  <si>
    <t>6" RND VLV BOX W/LID GRN/GRN</t>
  </si>
  <si>
    <t>049081801588</t>
  </si>
  <si>
    <t>6" RND VLV BOX W/LID TAN/TAN</t>
  </si>
  <si>
    <t>TAN</t>
  </si>
  <si>
    <t>049081801625</t>
  </si>
  <si>
    <t>6" RND VLV BOX W/LID BLK/BLK</t>
  </si>
  <si>
    <t>049081804442</t>
  </si>
  <si>
    <t>6" RND VLV BOX W/LID PRP/PRP</t>
  </si>
  <si>
    <t>RECLAIMED WATER</t>
  </si>
  <si>
    <t>049081801663</t>
  </si>
  <si>
    <t>60-S</t>
  </si>
  <si>
    <t>6" RD VLV BX W/LID SWR, BLK/GRN</t>
  </si>
  <si>
    <t>SEWER</t>
  </si>
  <si>
    <t>049081804657</t>
  </si>
  <si>
    <t>61-S</t>
  </si>
  <si>
    <t>6" RND VLV BOX SWR LID GRN/GRN</t>
  </si>
  <si>
    <t>049081804435</t>
  </si>
  <si>
    <t>60-W</t>
  </si>
  <si>
    <t>6" RND VLV BOX W/LID WTR BLK/GR</t>
  </si>
  <si>
    <t>WATER</t>
  </si>
  <si>
    <t>049081807252</t>
  </si>
  <si>
    <t>60-E</t>
  </si>
  <si>
    <t>6" RND VLV BOX W/ELECT LID B/G</t>
  </si>
  <si>
    <t>ELECTRIC JUNCTION</t>
  </si>
  <si>
    <t>049081801557</t>
  </si>
  <si>
    <t>61-E</t>
  </si>
  <si>
    <t>6" RND VLV BOX ELECT JUNCT GRN</t>
  </si>
  <si>
    <t>049081801595</t>
  </si>
  <si>
    <t>ROUND VALVE BOX 7"</t>
  </si>
  <si>
    <t>Round Valve Box 7"</t>
  </si>
  <si>
    <t>7" RND VLV BOX W/LID BLK/GRN</t>
  </si>
  <si>
    <t>049081801670</t>
  </si>
  <si>
    <t>7" RND VLV BOX W/LID GRN/GRN</t>
  </si>
  <si>
    <t>049081801717</t>
  </si>
  <si>
    <t>7" RND VLV BOX W/LID BLK/BLK</t>
  </si>
  <si>
    <t>049081801809</t>
  </si>
  <si>
    <t>7" RND VLV BOX W/LID PRP/PRP</t>
  </si>
  <si>
    <t>049081801793</t>
  </si>
  <si>
    <t>74-E</t>
  </si>
  <si>
    <t>7" RND VLV BOX W/ELECT LID B/B</t>
  </si>
  <si>
    <t>049081801816</t>
  </si>
  <si>
    <t>74-L</t>
  </si>
  <si>
    <t>7" RND LOW VOLTAGE LANDSCPE BLK</t>
  </si>
  <si>
    <t>LOW VOLT LANDSCAPE LIGHT</t>
  </si>
  <si>
    <t>049081801823</t>
  </si>
  <si>
    <t>ROUND VALVE BOX 10"</t>
  </si>
  <si>
    <t>Round Valve Box 10"</t>
  </si>
  <si>
    <t>10" RND VLV BOX W/LID BLK/GRN</t>
  </si>
  <si>
    <t>049081801885</t>
  </si>
  <si>
    <t>10" RND VLV BOX W/LID GRN/GRN</t>
  </si>
  <si>
    <t>049081801946</t>
  </si>
  <si>
    <t>10" RND VLV BOX W/LID TAN/TAN</t>
  </si>
  <si>
    <t>049081802004</t>
  </si>
  <si>
    <t>10" RND VLV BOX W/LID BLK/BLK</t>
  </si>
  <si>
    <t>049081802073</t>
  </si>
  <si>
    <t>100-NMH</t>
  </si>
  <si>
    <t>10" RND VLV BOX W/LID B/G NMH</t>
  </si>
  <si>
    <t>NO MOUSE HOLES + 
IRRIG CONTROL VALVE</t>
  </si>
  <si>
    <t>049081807344</t>
  </si>
  <si>
    <t>101-NMH</t>
  </si>
  <si>
    <t>10" RND BOX W/LID GRN/GRN NHM</t>
  </si>
  <si>
    <t>049081804404</t>
  </si>
  <si>
    <t>10" RND VLV BOX W/LID PRP/PRP</t>
  </si>
  <si>
    <t>049081802066</t>
  </si>
  <si>
    <t>100-S</t>
  </si>
  <si>
    <t>10" R VLV BX W-SWR LID/BLK-GRN</t>
  </si>
  <si>
    <t>049081801915</t>
  </si>
  <si>
    <t>101-S</t>
  </si>
  <si>
    <t>10" RND VLV BOX W/SEWER LID GRN</t>
  </si>
  <si>
    <t>049081801977</t>
  </si>
  <si>
    <t>100-W</t>
  </si>
  <si>
    <t>10" R VLV BX W-WTR LID/BLK-GRN</t>
  </si>
  <si>
    <t>049081801939</t>
  </si>
  <si>
    <t>101-W</t>
  </si>
  <si>
    <t>10" RND VLV BX W-WATER LID/GRN</t>
  </si>
  <si>
    <t>049081801991</t>
  </si>
  <si>
    <t>104-W</t>
  </si>
  <si>
    <t>10" RND VLV BX W-WATER LID/BLK</t>
  </si>
  <si>
    <t>049081802127</t>
  </si>
  <si>
    <t>101-NMH-W</t>
  </si>
  <si>
    <t>10" RND BOX W/WATER LID G/G NMH</t>
  </si>
  <si>
    <t>NO MOUSE HOLES + WATER</t>
  </si>
  <si>
    <t>049081804817</t>
  </si>
  <si>
    <t>104-M</t>
  </si>
  <si>
    <t>10" ROUND MTR BOX/LID BL</t>
  </si>
  <si>
    <t>METER</t>
  </si>
  <si>
    <t>049081804770</t>
  </si>
  <si>
    <t>100-E</t>
  </si>
  <si>
    <t>10" RND VLV BOX W/ELECT LID B/G</t>
  </si>
  <si>
    <t>049081801892</t>
  </si>
  <si>
    <t>101-E</t>
  </si>
  <si>
    <t>10" RND VLV BOX/ ELECTRIC GRN</t>
  </si>
  <si>
    <t>049081801953</t>
  </si>
  <si>
    <t>104-E</t>
  </si>
  <si>
    <t>10" RND ELECTRIC JUNCTION BLK</t>
  </si>
  <si>
    <t>049081802080</t>
  </si>
  <si>
    <t>100-L</t>
  </si>
  <si>
    <t>10" R VLV BX W-L VLT,LL BLK/GRN</t>
  </si>
  <si>
    <t>049081801908</t>
  </si>
  <si>
    <t>101-L</t>
  </si>
  <si>
    <t>10" RND VLV BOX/ L VLT,LL  GRN</t>
  </si>
  <si>
    <t>049081801960</t>
  </si>
  <si>
    <t>101-T</t>
  </si>
  <si>
    <t>10" RND VLV BOX TELEPHONE/GRN</t>
  </si>
  <si>
    <t>TELEPHONE</t>
  </si>
  <si>
    <t>049081801984</t>
  </si>
  <si>
    <t>ROUND DRY BOX 12"</t>
  </si>
  <si>
    <t>Round Dry Box 12"</t>
  </si>
  <si>
    <t>1200-R-DB</t>
  </si>
  <si>
    <t>12" RND DRY BOX BLK/GRN</t>
  </si>
  <si>
    <t>1201-R-DB</t>
  </si>
  <si>
    <t>12" RND DRY BOX GRN/GRN</t>
  </si>
  <si>
    <t>1204-R-DB</t>
  </si>
  <si>
    <t>12" RND DRY BOX BLK/BLK</t>
  </si>
  <si>
    <t>1203-R-DB</t>
  </si>
  <si>
    <t>12" RND DRY BOX PRP/PRP</t>
  </si>
  <si>
    <t>1200-R-DB-E</t>
  </si>
  <si>
    <t>12" RND DRY BOX W/ELECT LID B/G</t>
  </si>
  <si>
    <t>ELECTRIC</t>
  </si>
  <si>
    <t>1205-R-DB-E</t>
  </si>
  <si>
    <t>12" RND DRY BOX W/ELECT LID GRY</t>
  </si>
  <si>
    <t>GREY</t>
  </si>
  <si>
    <t>RECTANGULAR VALVE BOX 10" X 15"</t>
  </si>
  <si>
    <t>Rectangular Valve Box 10" X 15" - 10" Deep</t>
  </si>
  <si>
    <t>10 X 15 X 10" RCT BOX W/LID BLK/GRN</t>
  </si>
  <si>
    <t>10 X 15 X 10" RCT BOX W/LID GRN/GRN</t>
  </si>
  <si>
    <t>10 X 15 X 10" RCT BOX W/LID PRP/PRP</t>
  </si>
  <si>
    <t>RECTANGULAR VALVE BOX 12" X 17"</t>
  </si>
  <si>
    <t>Rectangular Valve Box 12" X 17" - 6" Deep</t>
  </si>
  <si>
    <t>120-6</t>
  </si>
  <si>
    <t>12X17X6 RCT BOX W/LID BLK/GRN</t>
  </si>
  <si>
    <t>049081802554</t>
  </si>
  <si>
    <t>50049081802559</t>
  </si>
  <si>
    <t>121-6</t>
  </si>
  <si>
    <t>12X17X6 RCT BOX W/LID GRN/GRN</t>
  </si>
  <si>
    <t>049081802622</t>
  </si>
  <si>
    <t>50049081802627</t>
  </si>
  <si>
    <t>122-6</t>
  </si>
  <si>
    <t>12X17X6 RCT BOX W/LID TAN/TAN</t>
  </si>
  <si>
    <t>049081802691</t>
  </si>
  <si>
    <t>50049081802696</t>
  </si>
  <si>
    <t>123-6</t>
  </si>
  <si>
    <t>12X17X6 RCT BOX W/LID PRP/PRP</t>
  </si>
  <si>
    <t>049081802769</t>
  </si>
  <si>
    <t>50049081802764</t>
  </si>
  <si>
    <t>124-6</t>
  </si>
  <si>
    <t>12X17X6 RCT BOX W/LID BLK/BLK</t>
  </si>
  <si>
    <t>049081802776</t>
  </si>
  <si>
    <t>50049081802771</t>
  </si>
  <si>
    <t>120-6-MR</t>
  </si>
  <si>
    <t>12X17X6 RCT MTR RDR BOX/LID</t>
  </si>
  <si>
    <t>METER READER</t>
  </si>
  <si>
    <t>049081804602</t>
  </si>
  <si>
    <t>124-6-MR</t>
  </si>
  <si>
    <t>12X17X6 RCT MTR RDR BOX/LID BLK</t>
  </si>
  <si>
    <t>049081804633</t>
  </si>
  <si>
    <t>121-6-E</t>
  </si>
  <si>
    <t>12X17X6 RCT BOX W/ELECT LID G/G</t>
  </si>
  <si>
    <t>049081802639</t>
  </si>
  <si>
    <t>50049081802634</t>
  </si>
  <si>
    <t>124-6-E</t>
  </si>
  <si>
    <t>12X17X6 BOX W/ELECT LID BLK/BLK</t>
  </si>
  <si>
    <t>049081802783</t>
  </si>
  <si>
    <t>50049081802788</t>
  </si>
  <si>
    <t>121-6-T</t>
  </si>
  <si>
    <t>12X17X6 RCT BOX W/TELEPHONE LID</t>
  </si>
  <si>
    <t>049081802677</t>
  </si>
  <si>
    <t>50049081802672</t>
  </si>
  <si>
    <t>DS120-6</t>
  </si>
  <si>
    <t>12X17X6 RCT BOX W/LID B/G + DS</t>
  </si>
  <si>
    <t>049081806675</t>
  </si>
  <si>
    <t>Rectangular Valve Box 12" X 17" - 12" Deep</t>
  </si>
  <si>
    <t>12X17X12 RCT BOX W/LID BLK/GRN</t>
  </si>
  <si>
    <t>049081802196</t>
  </si>
  <si>
    <t>50049081802191</t>
  </si>
  <si>
    <t>12X17X12 RCT BOX W/LID GRN/GRN</t>
  </si>
  <si>
    <t>049081802264</t>
  </si>
  <si>
    <t>50049081802269</t>
  </si>
  <si>
    <t>12X17X12 RCT BOX W/LID TAN/TAN</t>
  </si>
  <si>
    <t>049081802332</t>
  </si>
  <si>
    <t>50049081802337</t>
  </si>
  <si>
    <t>12X17X12 RCT BOX W/LID BLK/BLK</t>
  </si>
  <si>
    <t>049081802417</t>
  </si>
  <si>
    <t>50049081802412</t>
  </si>
  <si>
    <t>121-NMH</t>
  </si>
  <si>
    <t>12X17X12 RCT BOX W/LID G/G NMH</t>
  </si>
  <si>
    <t>049081804626</t>
  </si>
  <si>
    <t>12X17X12 RCT BOX W/LID PRP/PRP</t>
  </si>
  <si>
    <t>049081802400</t>
  </si>
  <si>
    <t>50049081802405</t>
  </si>
  <si>
    <t>120-W</t>
  </si>
  <si>
    <t>12X17X12 BOX W-WTR LID/GRN-BLK</t>
  </si>
  <si>
    <t>049081802257</t>
  </si>
  <si>
    <t>50049081802252</t>
  </si>
  <si>
    <t>121-W</t>
  </si>
  <si>
    <t>12X17X12 RCT BOX W/WTR LID GRN</t>
  </si>
  <si>
    <t>049081802325</t>
  </si>
  <si>
    <t>50049081802320</t>
  </si>
  <si>
    <t>120-M</t>
  </si>
  <si>
    <t>12X17X12 MTR BOX W/LID, BLK/GRN</t>
  </si>
  <si>
    <t>049081802226</t>
  </si>
  <si>
    <t>50049081802221</t>
  </si>
  <si>
    <t>121-M</t>
  </si>
  <si>
    <t>12X17X12 MTR BOX W/LID, GRN/GRN</t>
  </si>
  <si>
    <t>049081802295</t>
  </si>
  <si>
    <t>50049081802290</t>
  </si>
  <si>
    <t>124-M</t>
  </si>
  <si>
    <t>12X17X12 MTR BOX W/LID, BLK/BLK</t>
  </si>
  <si>
    <t>049081802448</t>
  </si>
  <si>
    <t>50049081802443</t>
  </si>
  <si>
    <t>120-MR</t>
  </si>
  <si>
    <t>12X17X12 MTR RDR BOX W/LID BL/G</t>
  </si>
  <si>
    <t>049081805005</t>
  </si>
  <si>
    <t>50049081805000</t>
  </si>
  <si>
    <t>121-MR</t>
  </si>
  <si>
    <t>12X17X12 RCT MTR RDR BOX/LID GR</t>
  </si>
  <si>
    <t>049081804411</t>
  </si>
  <si>
    <t>124-MR</t>
  </si>
  <si>
    <t>12X17X12 RCT MTR RDR BOX/LID BL</t>
  </si>
  <si>
    <t>049081804428</t>
  </si>
  <si>
    <t>120-S</t>
  </si>
  <si>
    <t>12X17X12 BOX W-SWR LID/BLK-GRN</t>
  </si>
  <si>
    <t>049081802233</t>
  </si>
  <si>
    <t>50049081802238</t>
  </si>
  <si>
    <t>121-S</t>
  </si>
  <si>
    <t>12X17X12 RCT BX SWR LID/GRN/GRN</t>
  </si>
  <si>
    <t>049081802301</t>
  </si>
  <si>
    <t>50049081802306</t>
  </si>
  <si>
    <t>120-E</t>
  </si>
  <si>
    <t>12X17X12 RCT BOX W/ELCT LID B/G</t>
  </si>
  <si>
    <t>049081802202</t>
  </si>
  <si>
    <t>50049081802207</t>
  </si>
  <si>
    <t>121-E</t>
  </si>
  <si>
    <t>12X17X12 RCT BOX W/ELECT LID GR</t>
  </si>
  <si>
    <t>049081802271</t>
  </si>
  <si>
    <t>50049081802276</t>
  </si>
  <si>
    <t>124-E</t>
  </si>
  <si>
    <t>12X17X12 VLV BX ELECT JUNCT BLK</t>
  </si>
  <si>
    <t>049081802424</t>
  </si>
  <si>
    <t>50049081802429</t>
  </si>
  <si>
    <t>125-E</t>
  </si>
  <si>
    <t>12X17X12 VLV BX ELECT JUNCT GRY</t>
  </si>
  <si>
    <t>049081802493</t>
  </si>
  <si>
    <t>50049081802498</t>
  </si>
  <si>
    <t>121-L</t>
  </si>
  <si>
    <t>12X17X12 RCT BOX W/LANDS LID GR</t>
  </si>
  <si>
    <t xml:space="preserve"> LOW VOLT LANDSCAPE LIGHT</t>
  </si>
  <si>
    <t>049081802288</t>
  </si>
  <si>
    <t>50049081802283</t>
  </si>
  <si>
    <t>124-L</t>
  </si>
  <si>
    <t>12X17X12 VLV BX LOW VOLTAGE BLK</t>
  </si>
  <si>
    <t>049081802431</t>
  </si>
  <si>
    <t>50049081802436</t>
  </si>
  <si>
    <t>121-T</t>
  </si>
  <si>
    <t>12X17X12 RCT BOX W/TELE LID GR</t>
  </si>
  <si>
    <t>049081802318</t>
  </si>
  <si>
    <t>50049081802313</t>
  </si>
  <si>
    <t>RECTANGULAR EXTENSION BOX 12" X 17"</t>
  </si>
  <si>
    <t>Rectangular Extension Box 12" X 17" - 6" Deep</t>
  </si>
  <si>
    <t>120-X</t>
  </si>
  <si>
    <t>12X17X6 EXT BOX W/LID BLK/GRN</t>
  </si>
  <si>
    <t>049081802912</t>
  </si>
  <si>
    <t>50049081802917</t>
  </si>
  <si>
    <t>121-X</t>
  </si>
  <si>
    <t>12X17X6 EXT BOX W/LID GRN/GRN</t>
  </si>
  <si>
    <t>049081802981</t>
  </si>
  <si>
    <t>50049081802986</t>
  </si>
  <si>
    <t>122-X</t>
  </si>
  <si>
    <t>12X17X6 EXT BOX W/LID TAN/TAN</t>
  </si>
  <si>
    <t>049081803056</t>
  </si>
  <si>
    <t>50049081803051</t>
  </si>
  <si>
    <t>123-X</t>
  </si>
  <si>
    <t>12X17X6 EXT BOX W/LID PRP/PRP</t>
  </si>
  <si>
    <t>049081803124</t>
  </si>
  <si>
    <t>50049081803129</t>
  </si>
  <si>
    <t>RECTANGULAR DRY BOX 12"X17"</t>
  </si>
  <si>
    <t>Rectangular Dry Box 12" X 17" - 12" Deep</t>
  </si>
  <si>
    <t>120-DB-2</t>
  </si>
  <si>
    <t>12X17X12 RCT DRY BOX(B) W/L B/G</t>
  </si>
  <si>
    <t>049081806064</t>
  </si>
  <si>
    <t>124-DB-2</t>
  </si>
  <si>
    <t>12X17X12 RCT DRY BOX (B) BLACK</t>
  </si>
  <si>
    <t>049081808501</t>
  </si>
  <si>
    <t>123-DB-2</t>
  </si>
  <si>
    <t>12X17X12 RCT DRY BOX(B) W/L PRP</t>
  </si>
  <si>
    <t>049081806033</t>
  </si>
  <si>
    <t>120-DB-2-DS</t>
  </si>
  <si>
    <t>12X17X12 DRY BOX/LID (B) B/G DS</t>
  </si>
  <si>
    <t>049081806125</t>
  </si>
  <si>
    <t>123-DB-2-DS</t>
  </si>
  <si>
    <t>12X17X12 DRY BOX/LID (B) P/P DS</t>
  </si>
  <si>
    <t>049081808495</t>
  </si>
  <si>
    <t>124-DB-2-DS</t>
  </si>
  <si>
    <t>12X17X12 DRY BOX/LID (B) B/B DS</t>
  </si>
  <si>
    <t>049081808518</t>
  </si>
  <si>
    <t>124-DB-2-DS-E</t>
  </si>
  <si>
    <t>12X17X12 DRY BX/LD(B)ELCT BK DS</t>
  </si>
  <si>
    <t xml:space="preserve">ELECTRIC </t>
  </si>
  <si>
    <t>049081806156</t>
  </si>
  <si>
    <t>RECTANGULAR VALVE BOX 15"x 21"</t>
  </si>
  <si>
    <t>Rectangular Valve Box 15" X 21"- 6" Deep</t>
  </si>
  <si>
    <t>150-6</t>
  </si>
  <si>
    <t>15X21X6 RCT BOX W/LID BLK/GRN</t>
  </si>
  <si>
    <t>049081803636</t>
  </si>
  <si>
    <t>50049081803631</t>
  </si>
  <si>
    <t>151-6</t>
  </si>
  <si>
    <t>15X21X6 RCT BOX W/LID GRN/GRN</t>
  </si>
  <si>
    <t>049081803704</t>
  </si>
  <si>
    <t>50049081803709</t>
  </si>
  <si>
    <t>152-6</t>
  </si>
  <si>
    <t>15X21X6 RCT BOX W/LID TAN/TAN</t>
  </si>
  <si>
    <t>049081803773</t>
  </si>
  <si>
    <t>50049081803778</t>
  </si>
  <si>
    <t>Rectangular Valve Box 15" X 21"- 12" Deep</t>
  </si>
  <si>
    <t>15X21X12 RCT BOX W/LID BLK/GRN</t>
  </si>
  <si>
    <t>049081803278</t>
  </si>
  <si>
    <t>50049081803273</t>
  </si>
  <si>
    <t>15X21X12 RCT BOX W/LID GRN/GRN</t>
  </si>
  <si>
    <t>50049081801255</t>
  </si>
  <si>
    <t>15X21X12 RCT BOX W/LID TAN/TAN</t>
  </si>
  <si>
    <t>049081803414</t>
  </si>
  <si>
    <t>50049081803419</t>
  </si>
  <si>
    <t>15X21X12 RCT BOX W/LID BLK/BLK</t>
  </si>
  <si>
    <t>049081803490</t>
  </si>
  <si>
    <t>50049081803495</t>
  </si>
  <si>
    <t>151-NMH</t>
  </si>
  <si>
    <t>15X21X12 RCT BOX W/LID G/G, NMH</t>
  </si>
  <si>
    <t>049081807429</t>
  </si>
  <si>
    <t>15X21X12 RCT BOX W/LID PRP/PRP</t>
  </si>
  <si>
    <t>049081803483</t>
  </si>
  <si>
    <t>50049081803488</t>
  </si>
  <si>
    <t>151-E</t>
  </si>
  <si>
    <t>15X21X12 RCT BOX W/ELECT LID GR</t>
  </si>
  <si>
    <t>049081801267</t>
  </si>
  <si>
    <t>50049081801262</t>
  </si>
  <si>
    <t>150-G</t>
  </si>
  <si>
    <t>15X21X12 RCT BOX W/GAS LID BL/G</t>
  </si>
  <si>
    <t>GAS</t>
  </si>
  <si>
    <t>049081804374</t>
  </si>
  <si>
    <t>RECTANGULAR EXTENSION BOX 15"X 21"</t>
  </si>
  <si>
    <t>Rectangular Extension Box 15" X 21"- 6" Deep</t>
  </si>
  <si>
    <t>150-X</t>
  </si>
  <si>
    <t>15X21X6 EXT BOX W/LID BLK/GRN</t>
  </si>
  <si>
    <t>049081803995</t>
  </si>
  <si>
    <t>50049081803990</t>
  </si>
  <si>
    <t>151-X</t>
  </si>
  <si>
    <t>15X21X6 EXT BOX W/LID GRN/GRN</t>
  </si>
  <si>
    <t>049081804060</t>
  </si>
  <si>
    <t>50049081804065</t>
  </si>
  <si>
    <t>152-X</t>
  </si>
  <si>
    <t>15X21X6 EXT BOX W/LID TAN/TAN</t>
  </si>
  <si>
    <t>049081804138</t>
  </si>
  <si>
    <t>50049081804133</t>
  </si>
  <si>
    <t>List Price Valve Box Components</t>
  </si>
  <si>
    <t>VALVEBOXCOMP042024</t>
  </si>
  <si>
    <t>Round Valve Box 6" Lid</t>
  </si>
  <si>
    <t>T61</t>
  </si>
  <si>
    <t>6" RND LID GRN</t>
  </si>
  <si>
    <t>049081800451</t>
  </si>
  <si>
    <t>T64</t>
  </si>
  <si>
    <t>6" RND LID BLK</t>
  </si>
  <si>
    <t>049081804510</t>
  </si>
  <si>
    <t>T65</t>
  </si>
  <si>
    <t>6" RND LID GRY</t>
  </si>
  <si>
    <t>049081804534</t>
  </si>
  <si>
    <t>T63</t>
  </si>
  <si>
    <t>6" RND LID PRP</t>
  </si>
  <si>
    <t>049081800536</t>
  </si>
  <si>
    <t>T61-S</t>
  </si>
  <si>
    <t>6" RND SEWER LID GRN</t>
  </si>
  <si>
    <t>049081804503</t>
  </si>
  <si>
    <t>T64-S</t>
  </si>
  <si>
    <t>6" RND SEWER LID BLACK</t>
  </si>
  <si>
    <t>049081808723</t>
  </si>
  <si>
    <t>T61-W</t>
  </si>
  <si>
    <t>6" RND LID, WATER, GRN</t>
  </si>
  <si>
    <t>049081804756</t>
  </si>
  <si>
    <t>T64-W</t>
  </si>
  <si>
    <t>6" RND WATER LID BLK</t>
  </si>
  <si>
    <t>049081808747</t>
  </si>
  <si>
    <t>T61-SD</t>
  </si>
  <si>
    <t>6" RND LID STORM DRAIN GREEN</t>
  </si>
  <si>
    <t>STORM DRAIN</t>
  </si>
  <si>
    <t>049081804749</t>
  </si>
  <si>
    <t>T61-E</t>
  </si>
  <si>
    <t>6" RND LID, ELECT JUNCTION, GRN</t>
  </si>
  <si>
    <t>049081800468</t>
  </si>
  <si>
    <t>T64-E</t>
  </si>
  <si>
    <t>6" RND LID, ELECT JUNCTION BLK</t>
  </si>
  <si>
    <t>049081808716</t>
  </si>
  <si>
    <t>T61-L</t>
  </si>
  <si>
    <t>6" RND LID, LOW VOLT LAND GRN</t>
  </si>
  <si>
    <t>049081800475</t>
  </si>
  <si>
    <t>T64-L</t>
  </si>
  <si>
    <t>6" RND LID, LOW VOLT LAND BLK</t>
  </si>
  <si>
    <t>049081804527</t>
  </si>
  <si>
    <t>T61-T</t>
  </si>
  <si>
    <t>6" RND LID, TELEPHONE GRN</t>
  </si>
  <si>
    <t>049081800482</t>
  </si>
  <si>
    <t>T64-T</t>
  </si>
  <si>
    <t>6" RND TELEPHONE LID BLK</t>
  </si>
  <si>
    <t>049081808730</t>
  </si>
  <si>
    <t>Round Valve Box 7" Body</t>
  </si>
  <si>
    <t>B73</t>
  </si>
  <si>
    <t>7" RND VLV BOX PRP</t>
  </si>
  <si>
    <t>049081800079</t>
  </si>
  <si>
    <t>B74</t>
  </si>
  <si>
    <t>7" RND VLV BOX BLK</t>
  </si>
  <si>
    <t>049081800086</t>
  </si>
  <si>
    <t>Round Valve Box 7" Lid</t>
  </si>
  <si>
    <t>T71</t>
  </si>
  <si>
    <t>7" RND LID GRN</t>
  </si>
  <si>
    <t>049081800543</t>
  </si>
  <si>
    <t>T74</t>
  </si>
  <si>
    <t>7" RND LID BLK</t>
  </si>
  <si>
    <t>049081800635</t>
  </si>
  <si>
    <t>T75</t>
  </si>
  <si>
    <t>7" RND LID GRY</t>
  </si>
  <si>
    <t>049081800673</t>
  </si>
  <si>
    <t>T73</t>
  </si>
  <si>
    <t>7" RND LID PRP</t>
  </si>
  <si>
    <t>049081800628</t>
  </si>
  <si>
    <t>T71-S</t>
  </si>
  <si>
    <t>7" RND SEWER LID GRN</t>
  </si>
  <si>
    <t>049081804763</t>
  </si>
  <si>
    <t>T71-E</t>
  </si>
  <si>
    <t>7" RND LID ELECT JUNCT</t>
  </si>
  <si>
    <t>049081800550</t>
  </si>
  <si>
    <t>T74-E</t>
  </si>
  <si>
    <t>7" RND LID BLK ELECT JUNCT</t>
  </si>
  <si>
    <t>049081800642</t>
  </si>
  <si>
    <t>T75-E</t>
  </si>
  <si>
    <t>7" RND LID, ELECT JUNCTION GRY</t>
  </si>
  <si>
    <t>049081800680</t>
  </si>
  <si>
    <t>T71-L</t>
  </si>
  <si>
    <t>7" RND LID, LOW VOLT LAND GRN</t>
  </si>
  <si>
    <t>049081800567</t>
  </si>
  <si>
    <t>T74-L</t>
  </si>
  <si>
    <t>7" RND LID, LOW VOLT LAND BLK</t>
  </si>
  <si>
    <t>049081800659</t>
  </si>
  <si>
    <t>T75-T</t>
  </si>
  <si>
    <t>7" RND LID, TELEPHONE GRY</t>
  </si>
  <si>
    <t>049081800703</t>
  </si>
  <si>
    <t>Round Valve Box 10" Body</t>
  </si>
  <si>
    <t>B101</t>
  </si>
  <si>
    <t>10" RND VLV BOX GRN</t>
  </si>
  <si>
    <t>049081800109</t>
  </si>
  <si>
    <t>B103</t>
  </si>
  <si>
    <t>10" RND VLV BOX PRP</t>
  </si>
  <si>
    <t>049081800123</t>
  </si>
  <si>
    <t>B104</t>
  </si>
  <si>
    <t>10" RND VLV BOX BLK</t>
  </si>
  <si>
    <t>049081800130</t>
  </si>
  <si>
    <t>B101-NMH</t>
  </si>
  <si>
    <t>10" RND BOX GRN, NO MOUSE HOLE</t>
  </si>
  <si>
    <t>NO MOUSE HOLES</t>
  </si>
  <si>
    <t>049081804466</t>
  </si>
  <si>
    <t>B103-NMH</t>
  </si>
  <si>
    <t>10" RND VLV BOX PRP NMH</t>
  </si>
  <si>
    <t>049081808792</t>
  </si>
  <si>
    <t>Round Valve Box 10" Lid</t>
  </si>
  <si>
    <t>T101</t>
  </si>
  <si>
    <t>10" RND LID GRN</t>
  </si>
  <si>
    <t>049081800710</t>
  </si>
  <si>
    <t>T104</t>
  </si>
  <si>
    <t>10" RND LID BLK</t>
  </si>
  <si>
    <t>049081800840</t>
  </si>
  <si>
    <t>T105</t>
  </si>
  <si>
    <t>10" RND LID GRY</t>
  </si>
  <si>
    <t>049081800901</t>
  </si>
  <si>
    <t>T103</t>
  </si>
  <si>
    <t>10" RND LID PRP</t>
  </si>
  <si>
    <t>049081800833</t>
  </si>
  <si>
    <t>T101-E</t>
  </si>
  <si>
    <t>10" RND LID GREEN, ELECTRICAL</t>
  </si>
  <si>
    <t>049081800727</t>
  </si>
  <si>
    <t>T104-E</t>
  </si>
  <si>
    <t>10" RND LID, ELECT JUNCTION BLK</t>
  </si>
  <si>
    <t>049081800857</t>
  </si>
  <si>
    <t>T101-L</t>
  </si>
  <si>
    <t>10" RND LID, LOW VOLT LAND GRN</t>
  </si>
  <si>
    <t>049081800734</t>
  </si>
  <si>
    <t>T104-L</t>
  </si>
  <si>
    <t>10" RND LID LOW VOLT LAND BLK</t>
  </si>
  <si>
    <t>049081800864</t>
  </si>
  <si>
    <t>T101-S</t>
  </si>
  <si>
    <t>10" RND SEWER LID, GRN</t>
  </si>
  <si>
    <t>049081800741</t>
  </si>
  <si>
    <t>T101-W</t>
  </si>
  <si>
    <t>10" RND LID, WATER, GRN</t>
  </si>
  <si>
    <t>049081800765</t>
  </si>
  <si>
    <t>T104-W</t>
  </si>
  <si>
    <t>10" RND LID, WATER, BLK</t>
  </si>
  <si>
    <t>049081800895</t>
  </si>
  <si>
    <t>T104-M</t>
  </si>
  <si>
    <t>10" ROUND METER BOX LID BLK</t>
  </si>
  <si>
    <t>049081804718</t>
  </si>
  <si>
    <t>T101-SD</t>
  </si>
  <si>
    <t>10" RND LID GRN STORM DRAIN</t>
  </si>
  <si>
    <t>T101-T</t>
  </si>
  <si>
    <t>10" RND LID, TELEPHONE GRN</t>
  </si>
  <si>
    <t>049081800758</t>
  </si>
  <si>
    <t>T104-T</t>
  </si>
  <si>
    <t>10" RND LID, TELEPHONE BLK</t>
  </si>
  <si>
    <t>049081800888</t>
  </si>
  <si>
    <t>Round Dry Box 12" Body</t>
  </si>
  <si>
    <t>B1201-R-DB</t>
  </si>
  <si>
    <t>12" RND DRY BOX BODY GRN</t>
  </si>
  <si>
    <t>049081808921</t>
  </si>
  <si>
    <t>B1203-R-DB</t>
  </si>
  <si>
    <t>12" RND DRY BOX BODY PURPLE</t>
  </si>
  <si>
    <t>049081808945</t>
  </si>
  <si>
    <t>B1204-R-DB</t>
  </si>
  <si>
    <t>12" RND DRY BOX BODY BLK</t>
  </si>
  <si>
    <t>049081808952</t>
  </si>
  <si>
    <t>Round Dry Box 12" Lid</t>
  </si>
  <si>
    <t>T1201-R-DB</t>
  </si>
  <si>
    <t>12" RND DRY BOX LID GRN</t>
  </si>
  <si>
    <t>049081809027</t>
  </si>
  <si>
    <t>T1202-R-DB</t>
  </si>
  <si>
    <t>12" RND DRY BOX LID TAN</t>
  </si>
  <si>
    <t>049081809041</t>
  </si>
  <si>
    <t>T1204-R-DB</t>
  </si>
  <si>
    <t>12" RND DRY BOX LID BLK</t>
  </si>
  <si>
    <t>049081809065</t>
  </si>
  <si>
    <t>T1203-R-DB</t>
  </si>
  <si>
    <t>12" RND DRY BOX LID PURPLE</t>
  </si>
  <si>
    <t>049081809058</t>
  </si>
  <si>
    <t>T1201-R-DB-E</t>
  </si>
  <si>
    <t>12" RND DRY BOX ELECT LID GRN</t>
  </si>
  <si>
    <t>049081809034</t>
  </si>
  <si>
    <t>Rectangular Valve Box 12" X 17" - 6" Deep (Body)</t>
  </si>
  <si>
    <t>B121-6</t>
  </si>
  <si>
    <t>12X17X6 RCT VLV BOX GRN</t>
  </si>
  <si>
    <t>049081800208</t>
  </si>
  <si>
    <t>B123-6</t>
  </si>
  <si>
    <t>12X17X6 RCT VLV BOX PRP</t>
  </si>
  <si>
    <t>049081800222</t>
  </si>
  <si>
    <t>Rectangular Valve Box 12" X 17" - 12" Deep (Body)</t>
  </si>
  <si>
    <t>B123</t>
  </si>
  <si>
    <t>12X17X12 RCT VLV BOX PRP</t>
  </si>
  <si>
    <t>049081800178</t>
  </si>
  <si>
    <t>B124</t>
  </si>
  <si>
    <t>12X17X12 RCT VLV BOX BLK</t>
  </si>
  <si>
    <t>049081800185</t>
  </si>
  <si>
    <t>Rectangular Extension Box 12" X 17" - 6" Deep (Body)</t>
  </si>
  <si>
    <t>B121-X</t>
  </si>
  <si>
    <t>12X17X6 RCT VLV EXT BOX GRN</t>
  </si>
  <si>
    <t>049081800253</t>
  </si>
  <si>
    <t>B123-X</t>
  </si>
  <si>
    <t>12X17X6 RCT VLV EXT BOX PRP</t>
  </si>
  <si>
    <t>049081800277</t>
  </si>
  <si>
    <t>B124-X</t>
  </si>
  <si>
    <t>12X17X6 RCT VLV EXT BOX BLK</t>
  </si>
  <si>
    <t>049081800284</t>
  </si>
  <si>
    <t xml:space="preserve">RECTANGULAR VALVE BOX LID 12" X 17" </t>
  </si>
  <si>
    <t>Rectangular Valve Box 12" X 17" Lid</t>
  </si>
  <si>
    <t>T121</t>
  </si>
  <si>
    <t>12X17 RCT LID GRN</t>
  </si>
  <si>
    <t>049081800963</t>
  </si>
  <si>
    <t>T124</t>
  </si>
  <si>
    <t>12X17 RCT LID BLACK</t>
  </si>
  <si>
    <t>049081801113</t>
  </si>
  <si>
    <t>T127</t>
  </si>
  <si>
    <t>12X17 RCT LID YELLOW</t>
  </si>
  <si>
    <t>049081808822</t>
  </si>
  <si>
    <t>T123</t>
  </si>
  <si>
    <t>12X17 RCT LID PRP</t>
  </si>
  <si>
    <t>049081801106</t>
  </si>
  <si>
    <t>T121-W</t>
  </si>
  <si>
    <t>12X17 RCT LID, WATER, GRN</t>
  </si>
  <si>
    <t>049081801021</t>
  </si>
  <si>
    <t>T121-MR</t>
  </si>
  <si>
    <t>12X17X12 RECT MTR RDR LID, GRN</t>
  </si>
  <si>
    <t>049081804480</t>
  </si>
  <si>
    <t>T123-MR</t>
  </si>
  <si>
    <t>12X17 RCT MTR RDR LID, PRP</t>
  </si>
  <si>
    <t>049081808846</t>
  </si>
  <si>
    <t>T124-MR</t>
  </si>
  <si>
    <t>12X17 RCT MTR RDR LID, BLK</t>
  </si>
  <si>
    <t>049081804497</t>
  </si>
  <si>
    <t>T121-S</t>
  </si>
  <si>
    <t>12X17 RCT LID, SEWER, GRN</t>
  </si>
  <si>
    <t>049081801007</t>
  </si>
  <si>
    <t>T121-SD</t>
  </si>
  <si>
    <t>12X17 RCT LID STORM DRAIN GRN</t>
  </si>
  <si>
    <t>049081804725</t>
  </si>
  <si>
    <t>T121-E</t>
  </si>
  <si>
    <t>12X17 RCT LID ELECT JUNCT GRN</t>
  </si>
  <si>
    <t>049081800970</t>
  </si>
  <si>
    <t>T124-E</t>
  </si>
  <si>
    <t>12X17 RCT LID ELECT JUNCT BLK</t>
  </si>
  <si>
    <t>049081801120</t>
  </si>
  <si>
    <t>T121-L</t>
  </si>
  <si>
    <t>12X17 RCT LID LOW VOLT LAND GRN</t>
  </si>
  <si>
    <t>049081800987</t>
  </si>
  <si>
    <t>T124-L</t>
  </si>
  <si>
    <t>12X17 RCT LID BLK - LANDSCAPING</t>
  </si>
  <si>
    <t>049081801137</t>
  </si>
  <si>
    <t>T121-T</t>
  </si>
  <si>
    <t>12X17 RCT LID, TELEPHONE GRN</t>
  </si>
  <si>
    <t>049081801014</t>
  </si>
  <si>
    <t>T124-T</t>
  </si>
  <si>
    <t>12X17 RCT LID TELEPHONE BLK</t>
  </si>
  <si>
    <t>049081801168</t>
  </si>
  <si>
    <t>T121-G</t>
  </si>
  <si>
    <t>12X17 RCT GAS LID GRN</t>
  </si>
  <si>
    <t>049081804367</t>
  </si>
  <si>
    <t>Rectangular Dry Box 12" X 17" - 12" Deep (Body)</t>
  </si>
  <si>
    <t>B121-DB-2</t>
  </si>
  <si>
    <t>12X17X12 RCT DB BODY (B) GREEN</t>
  </si>
  <si>
    <t>049081809096</t>
  </si>
  <si>
    <t>B124-DB-2</t>
  </si>
  <si>
    <t>12X17X12 RCT DRY BOX BODY(B) BK</t>
  </si>
  <si>
    <t>049081809126</t>
  </si>
  <si>
    <t>B123-DB-2</t>
  </si>
  <si>
    <t>12X17X12 RCT DRY BOX BODY(B) PR</t>
  </si>
  <si>
    <t>049081809119</t>
  </si>
  <si>
    <t>Rectangular Dry Box 12" X 17" - 12" Deep (Lid)</t>
  </si>
  <si>
    <t>T121-DB-2</t>
  </si>
  <si>
    <t>12X17 RCT DRY BOX LID (B) GREEN</t>
  </si>
  <si>
    <t>049081809140</t>
  </si>
  <si>
    <t>T124-DB-2</t>
  </si>
  <si>
    <t>12X17 RCT DRY BOX LID (B) BLACK</t>
  </si>
  <si>
    <t>049081809171</t>
  </si>
  <si>
    <t>T123-DB-2</t>
  </si>
  <si>
    <t>12X17 RCT DRY BOX LID (B) PURPLE</t>
  </si>
  <si>
    <t>049081809164</t>
  </si>
  <si>
    <t>T124-DB-2-E</t>
  </si>
  <si>
    <t>12X17 RCT DRY BOX LID(B)ELCT BK</t>
  </si>
  <si>
    <t>049081806163</t>
  </si>
  <si>
    <t>Rectangular Valve Box 15" X 21"- 12" Deep (Body)</t>
  </si>
  <si>
    <t>B151</t>
  </si>
  <si>
    <t>15X21X12 RCT VLV BOX GRN</t>
  </si>
  <si>
    <t>049081800307</t>
  </si>
  <si>
    <t>B153</t>
  </si>
  <si>
    <t>15X21X12 RCT VLV BOX PRP</t>
  </si>
  <si>
    <t>049081800321</t>
  </si>
  <si>
    <t>B154</t>
  </si>
  <si>
    <t>15X21X12 RCT VLV BOX BLK</t>
  </si>
  <si>
    <t>049081800338</t>
  </si>
  <si>
    <t>Rectangular Extension Box 15" X 21"- 6" Deep (Body)</t>
  </si>
  <si>
    <t>B151-X</t>
  </si>
  <si>
    <t>15X21X6 RCT VLV EXT BOX GRN</t>
  </si>
  <si>
    <t>049081800406</t>
  </si>
  <si>
    <t>B152-X</t>
  </si>
  <si>
    <t>15X21X6 RCT VLV EXT BOX TAN</t>
  </si>
  <si>
    <t>049081800413</t>
  </si>
  <si>
    <t>B153-X</t>
  </si>
  <si>
    <t>15X21X6 RCT VLV EXT BOX PRP</t>
  </si>
  <si>
    <t>049081800420</t>
  </si>
  <si>
    <t>B154-X</t>
  </si>
  <si>
    <t>15X21X6 RCT VLV EXT BOX BLK</t>
  </si>
  <si>
    <t>049081800437</t>
  </si>
  <si>
    <t>RECTANGULAR VALVE BOX 15"X 21" LID</t>
  </si>
  <si>
    <t>Rectangular Valve Box 15" X 21" Lid</t>
  </si>
  <si>
    <t>T151</t>
  </si>
  <si>
    <t>15X21 RCT LID GRN</t>
  </si>
  <si>
    <t>049081801250</t>
  </si>
  <si>
    <t>T154</t>
  </si>
  <si>
    <t>15X21 RCT LID BLK</t>
  </si>
  <si>
    <t>049081801403</t>
  </si>
  <si>
    <t>T155</t>
  </si>
  <si>
    <t>15X21 RCT LID GRY</t>
  </si>
  <si>
    <t>049081801472</t>
  </si>
  <si>
    <t>T153</t>
  </si>
  <si>
    <t>15X21 RCT LID PRP</t>
  </si>
  <si>
    <t>049081801397</t>
  </si>
  <si>
    <t>T151-W</t>
  </si>
  <si>
    <t>15X21 RCT LID WATER GRN</t>
  </si>
  <si>
    <t>T151-S</t>
  </si>
  <si>
    <t>15X21 RCT LID SEWER GREEN</t>
  </si>
  <si>
    <t>T151-E</t>
  </si>
  <si>
    <t>15X21 RCT LID ELECT JUNCT GRN</t>
  </si>
  <si>
    <t>T154-E</t>
  </si>
  <si>
    <t>15X21 RCT LID ELECT JUNCT</t>
  </si>
  <si>
    <t>049081801410</t>
  </si>
  <si>
    <t>T151-L</t>
  </si>
  <si>
    <t>15X21 RCT LID LOW VOLT LAND GRN</t>
  </si>
  <si>
    <t>049081801274</t>
  </si>
  <si>
    <t>T154-L</t>
  </si>
  <si>
    <t>15X21 RCT LID LOW VOLT LAND BLK</t>
  </si>
  <si>
    <t>049081801427</t>
  </si>
  <si>
    <t>T151-T</t>
  </si>
  <si>
    <t>15X21 RCT LID TELEPHONE GRN</t>
  </si>
  <si>
    <t>049081801304</t>
  </si>
  <si>
    <t>T154-T</t>
  </si>
  <si>
    <t>15X21 RCT LID TELEPHONE BLK</t>
  </si>
  <si>
    <t>049081801458</t>
  </si>
  <si>
    <t>T151-G</t>
  </si>
  <si>
    <t>15X21 RCT GAS LID GRN</t>
  </si>
  <si>
    <t>049081804381</t>
  </si>
  <si>
    <t>ACCESSORIES</t>
  </si>
  <si>
    <t>Accessory Plate for Dry Box Black</t>
  </si>
  <si>
    <t>AP-120</t>
  </si>
  <si>
    <t>ACCESSORY PLATE FOR DRY BOX BLK</t>
  </si>
  <si>
    <t>049081806200</t>
  </si>
  <si>
    <t>Dirt Skirt + Gasket</t>
  </si>
  <si>
    <t>DS-12</t>
  </si>
  <si>
    <t>DIRT SKIRT W/GASKET, 120 SERIES</t>
  </si>
  <si>
    <t>049081809768</t>
  </si>
  <si>
    <t>DS-1204</t>
  </si>
  <si>
    <t>DIRT SKIRT W/GASKET, 12" RND DB</t>
  </si>
  <si>
    <t>049081809775</t>
  </si>
  <si>
    <t>DS-6</t>
  </si>
  <si>
    <t>DIRT SKIRT W/GASKET, 120-6 SERIES</t>
  </si>
  <si>
    <t>049081806668</t>
  </si>
  <si>
    <t>12DS</t>
  </si>
  <si>
    <t>DIRT SKIRT, W/GASKET STD DRY BX</t>
  </si>
  <si>
    <t>049081805418</t>
  </si>
  <si>
    <t>Oring/Gasket</t>
  </si>
  <si>
    <t>DS-12-SEAL</t>
  </si>
  <si>
    <t>DIRT SKIRT GASKET (120 STD BOX)</t>
  </si>
  <si>
    <t>049081809799</t>
  </si>
  <si>
    <t>DS-6-SEAL</t>
  </si>
  <si>
    <t>DIRT SKIRT GASKET (-6 BOX ONLY)</t>
  </si>
  <si>
    <t>049081809805</t>
  </si>
  <si>
    <t>DSG-1</t>
  </si>
  <si>
    <t>DIRT SKIRT GASKET DRY BOX ONLY</t>
  </si>
  <si>
    <t>049081809812</t>
  </si>
  <si>
    <t>List Price Drainage</t>
  </si>
  <si>
    <t>DRAINAGE042024</t>
  </si>
  <si>
    <t>040-SCB</t>
  </si>
  <si>
    <t>4 CATCH BASIN/6 GRN GRATE</t>
  </si>
  <si>
    <t>049081006464</t>
  </si>
  <si>
    <t>40049081006462</t>
  </si>
  <si>
    <t>044-SCB</t>
  </si>
  <si>
    <t>4 CATCH BASIN/6 BLK GRATE</t>
  </si>
  <si>
    <t>049081006549</t>
  </si>
  <si>
    <t>40049081006547</t>
  </si>
  <si>
    <t>090-CB</t>
  </si>
  <si>
    <t>9 SQUARE CATCH BASIN</t>
  </si>
  <si>
    <t>049081006709</t>
  </si>
  <si>
    <t>40049081006707</t>
  </si>
  <si>
    <t>120-CB</t>
  </si>
  <si>
    <t>12 SQUARE CATCH BASIN</t>
  </si>
  <si>
    <t>049081006884</t>
  </si>
  <si>
    <t>40049081066886</t>
  </si>
  <si>
    <t>090-CB-2</t>
  </si>
  <si>
    <t>9X9 SQUARE CATCH BASIN</t>
  </si>
  <si>
    <t>049081006716</t>
  </si>
  <si>
    <t>40049081006714</t>
  </si>
  <si>
    <t>120-CB-2</t>
  </si>
  <si>
    <t>12X12 SQUARE CATCH BASIN</t>
  </si>
  <si>
    <t>049081006891</t>
  </si>
  <si>
    <t>40049081006899</t>
  </si>
  <si>
    <t>090-RCB</t>
  </si>
  <si>
    <t>9 ROUND CATCH BASIN, BLK</t>
  </si>
  <si>
    <t>049081007102</t>
  </si>
  <si>
    <t>40049081007100</t>
  </si>
  <si>
    <t>120-RCB</t>
  </si>
  <si>
    <t>12 ROUND CATCH BASIN, BLK</t>
  </si>
  <si>
    <t>049081007164</t>
  </si>
  <si>
    <t>40049081007162</t>
  </si>
  <si>
    <t>090-K</t>
  </si>
  <si>
    <t>9 2-OUT DRNG KIT W/GRN GRATE</t>
  </si>
  <si>
    <t>049081008109</t>
  </si>
  <si>
    <t>40049081008107</t>
  </si>
  <si>
    <t>120-K</t>
  </si>
  <si>
    <t>12 2-OUT DRG KIT W/GRN GRATE</t>
  </si>
  <si>
    <t>049081008208</t>
  </si>
  <si>
    <t>40049081008206</t>
  </si>
  <si>
    <t>094-K</t>
  </si>
  <si>
    <t>9 2-OUT DRNG KIT W/BLK GRATE</t>
  </si>
  <si>
    <t>049081008185</t>
  </si>
  <si>
    <t>40049081008183</t>
  </si>
  <si>
    <t>124-K</t>
  </si>
  <si>
    <t>12 2-OUT DRG KIT W/BLK GRATE</t>
  </si>
  <si>
    <t>049081008246</t>
  </si>
  <si>
    <t>40049081008244</t>
  </si>
  <si>
    <t>060-CB-1</t>
  </si>
  <si>
    <t>SINGLE OUTLET CATCH BASIN(3-4)</t>
  </si>
  <si>
    <t>049081006396</t>
  </si>
  <si>
    <t>40049081006394</t>
  </si>
  <si>
    <t>060-CB-2</t>
  </si>
  <si>
    <t>DOUBLE OUTLET CATCH BASIN(3-4)</t>
  </si>
  <si>
    <t>049081006372</t>
  </si>
  <si>
    <t>40049081006370</t>
  </si>
  <si>
    <t>090-CBLP</t>
  </si>
  <si>
    <t>9 LOW PROFILE SQUARE BASIN</t>
  </si>
  <si>
    <t>049081006723</t>
  </si>
  <si>
    <t>40049081006721</t>
  </si>
  <si>
    <t>120-CBLP</t>
  </si>
  <si>
    <t>12 LOW PROFILE SQUARE BASIN</t>
  </si>
  <si>
    <t>049081006907</t>
  </si>
  <si>
    <t>40049081006905</t>
  </si>
  <si>
    <t>060-CB</t>
  </si>
  <si>
    <t>6 ROUND BASIN</t>
  </si>
  <si>
    <t>049081006389</t>
  </si>
  <si>
    <t>40049081006387</t>
  </si>
  <si>
    <t>090-ST</t>
  </si>
  <si>
    <t>9 SQUARE SAND TRAP</t>
  </si>
  <si>
    <t>049081006747</t>
  </si>
  <si>
    <t>40049081006745</t>
  </si>
  <si>
    <t>120-ST</t>
  </si>
  <si>
    <t>12 SQUARE SAND TRAP</t>
  </si>
  <si>
    <t>049081006921</t>
  </si>
  <si>
    <t>40049081006929</t>
  </si>
  <si>
    <t>060-ST</t>
  </si>
  <si>
    <t>6 ROUND SAND TRAP</t>
  </si>
  <si>
    <t>049081006402</t>
  </si>
  <si>
    <t>40049081006400</t>
  </si>
  <si>
    <t>090-RST</t>
  </si>
  <si>
    <t>9 ROUND SAND TRAP, BLK</t>
  </si>
  <si>
    <t>049081007065</t>
  </si>
  <si>
    <t>40049081007063</t>
  </si>
  <si>
    <t>120-RST</t>
  </si>
  <si>
    <t>12 ROUND SAND TRAP, BLK</t>
  </si>
  <si>
    <t>049081007089</t>
  </si>
  <si>
    <t>40049081007087</t>
  </si>
  <si>
    <t>090-SF</t>
  </si>
  <si>
    <t>9 SQUARE CATCH BASIN GRATE/GRN</t>
  </si>
  <si>
    <t>049081006785</t>
  </si>
  <si>
    <t>40049081006783</t>
  </si>
  <si>
    <t>120-SF</t>
  </si>
  <si>
    <t>12 SQUARE CATCH BASIN GRATE</t>
  </si>
  <si>
    <t>049081006945</t>
  </si>
  <si>
    <t>40049081006943</t>
  </si>
  <si>
    <t>092-SF</t>
  </si>
  <si>
    <t>9 SQUARE CATCH BASIN GRATE TAN</t>
  </si>
  <si>
    <t>049081006792</t>
  </si>
  <si>
    <t>40049081006790</t>
  </si>
  <si>
    <t>122-SF</t>
  </si>
  <si>
    <t>12 SQRE CATCH BASIN GRATE TAN</t>
  </si>
  <si>
    <t>049081006976</t>
  </si>
  <si>
    <t>40049061006970</t>
  </si>
  <si>
    <t>094-SF</t>
  </si>
  <si>
    <t>9 SQUARE CATCH BASIN GRATE/BLK</t>
  </si>
  <si>
    <t>049081006846</t>
  </si>
  <si>
    <t>40049081006844</t>
  </si>
  <si>
    <t>124-SF</t>
  </si>
  <si>
    <t>049081006983</t>
  </si>
  <si>
    <t>40049081006981</t>
  </si>
  <si>
    <t>030-A</t>
  </si>
  <si>
    <t>3 ATRIUM GRATE, GREEN</t>
  </si>
  <si>
    <t>049081006129</t>
  </si>
  <si>
    <t>40049081006127</t>
  </si>
  <si>
    <t>040-A</t>
  </si>
  <si>
    <t>4 ATRIUM GRATE, GREEN</t>
  </si>
  <si>
    <t>049081006204</t>
  </si>
  <si>
    <t>40049081006202</t>
  </si>
  <si>
    <t>060-A</t>
  </si>
  <si>
    <t>6 ATRIUM GRATE, GREEN</t>
  </si>
  <si>
    <t>049081006365</t>
  </si>
  <si>
    <t>40049081006363</t>
  </si>
  <si>
    <t>090-A</t>
  </si>
  <si>
    <t>9 ATRIUM GRATE, GREEN</t>
  </si>
  <si>
    <t>049081006686</t>
  </si>
  <si>
    <t>40049081006684</t>
  </si>
  <si>
    <t>120-A</t>
  </si>
  <si>
    <t>12 ATRIUM GRATE, GREEN</t>
  </si>
  <si>
    <t>049081006860</t>
  </si>
  <si>
    <t>40049081006868</t>
  </si>
  <si>
    <t>032-A</t>
  </si>
  <si>
    <t>3 ATRIUM GRATE, TAN</t>
  </si>
  <si>
    <t>049081006136</t>
  </si>
  <si>
    <t>40049081006134</t>
  </si>
  <si>
    <t>042-A</t>
  </si>
  <si>
    <t>4 ATRIUM GRATE, TAN</t>
  </si>
  <si>
    <t>049081006211</t>
  </si>
  <si>
    <t>40049081006219</t>
  </si>
  <si>
    <t>062-A</t>
  </si>
  <si>
    <t>6 ATRIUM GRATE,TAN</t>
  </si>
  <si>
    <t>049081006419</t>
  </si>
  <si>
    <t>40049081006417</t>
  </si>
  <si>
    <t>122-A</t>
  </si>
  <si>
    <t>12 ATRIUM GRATE, TAN</t>
  </si>
  <si>
    <t>049081006952</t>
  </si>
  <si>
    <t>40049081006950</t>
  </si>
  <si>
    <t>034-A</t>
  </si>
  <si>
    <t>3 ATRIUM GRATE, BLACK</t>
  </si>
  <si>
    <t>049081006167</t>
  </si>
  <si>
    <t>40049081006165</t>
  </si>
  <si>
    <t>044-A</t>
  </si>
  <si>
    <t>4 ATRIUM GRATE, BLACK</t>
  </si>
  <si>
    <t>049081006266</t>
  </si>
  <si>
    <t>40049081006264</t>
  </si>
  <si>
    <t>064-A</t>
  </si>
  <si>
    <t>6 ATRIUM GRATE, BLACK</t>
  </si>
  <si>
    <t>049081006488</t>
  </si>
  <si>
    <t>40049081006486</t>
  </si>
  <si>
    <t>094-A</t>
  </si>
  <si>
    <t>9 ATRIUM GRATE, BLACK</t>
  </si>
  <si>
    <t>049081006808</t>
  </si>
  <si>
    <t>40049081006806</t>
  </si>
  <si>
    <t>124-A</t>
  </si>
  <si>
    <t>12 ATRIUM GRATE, BLACK</t>
  </si>
  <si>
    <t>049081006969</t>
  </si>
  <si>
    <t>40049081006967</t>
  </si>
  <si>
    <t>030-R</t>
  </si>
  <si>
    <t>3 ROUND GRATE, GREEN</t>
  </si>
  <si>
    <t>049081006143</t>
  </si>
  <si>
    <t>40049081006141</t>
  </si>
  <si>
    <t>040-R</t>
  </si>
  <si>
    <t>4 ROUND GRATE, GREEN</t>
  </si>
  <si>
    <t>049081006228</t>
  </si>
  <si>
    <t>40049081006226</t>
  </si>
  <si>
    <t>060-R</t>
  </si>
  <si>
    <t>6 ROUND GRATE, GREEN</t>
  </si>
  <si>
    <t>049081006426</t>
  </si>
  <si>
    <t>40049081006424</t>
  </si>
  <si>
    <t>080-R</t>
  </si>
  <si>
    <t>8 ROUND GRATE, GREEN</t>
  </si>
  <si>
    <t>049081006600</t>
  </si>
  <si>
    <t>40049081006608</t>
  </si>
  <si>
    <t>032-R</t>
  </si>
  <si>
    <t>3 ROUND GRATE, TAN</t>
  </si>
  <si>
    <t>049081006181</t>
  </si>
  <si>
    <t>40049081006189</t>
  </si>
  <si>
    <t>042-R</t>
  </si>
  <si>
    <t>4 ROUND GRATE, TAN</t>
  </si>
  <si>
    <t>034-R</t>
  </si>
  <si>
    <t>3 ROUND GRATE, BLACK</t>
  </si>
  <si>
    <t>044-R</t>
  </si>
  <si>
    <t>4 ROUND GRATE, BLACK</t>
  </si>
  <si>
    <t>049081006280</t>
  </si>
  <si>
    <t>40049081006288</t>
  </si>
  <si>
    <t>064-R</t>
  </si>
  <si>
    <t>6 ROUND GRATE, BLACK</t>
  </si>
  <si>
    <t>049081006501</t>
  </si>
  <si>
    <t>40049081006509</t>
  </si>
  <si>
    <t>084-R</t>
  </si>
  <si>
    <t>8 ROUND GRATE, BLACK</t>
  </si>
  <si>
    <t>049081006648</t>
  </si>
  <si>
    <t>40049081006646</t>
  </si>
  <si>
    <t>104-R</t>
  </si>
  <si>
    <t>10 ROUND GRATE, BLACK</t>
  </si>
  <si>
    <t>049081007027</t>
  </si>
  <si>
    <t>40049081007025</t>
  </si>
  <si>
    <t>040-S</t>
  </si>
  <si>
    <t>4 SQUARE GRATE, GREEN</t>
  </si>
  <si>
    <t>049081006242</t>
  </si>
  <si>
    <t>40049081006240</t>
  </si>
  <si>
    <t>050-S</t>
  </si>
  <si>
    <t>5 SQUARE GRATE, GREEN</t>
  </si>
  <si>
    <t>049081006327</t>
  </si>
  <si>
    <t>40049081006325</t>
  </si>
  <si>
    <t>060-S</t>
  </si>
  <si>
    <t>6 SQUARE GRATES GREEN</t>
  </si>
  <si>
    <t>049081006440</t>
  </si>
  <si>
    <t>40049081006448</t>
  </si>
  <si>
    <t>070-S</t>
  </si>
  <si>
    <t>7 SQUARE GRATE, GREEN</t>
  </si>
  <si>
    <t>049081006563</t>
  </si>
  <si>
    <t>40049081006561</t>
  </si>
  <si>
    <t>080-S</t>
  </si>
  <si>
    <t>8 SQUARE GRATE, GREEN</t>
  </si>
  <si>
    <t>049081006624</t>
  </si>
  <si>
    <t>40049081006622</t>
  </si>
  <si>
    <t>090-S</t>
  </si>
  <si>
    <t>9 SQUARE GRATE, GREEN</t>
  </si>
  <si>
    <t>049081006761</t>
  </si>
  <si>
    <t>40049081006769</t>
  </si>
  <si>
    <t>042-S</t>
  </si>
  <si>
    <t>4 SQUARE GRATE TAN</t>
  </si>
  <si>
    <t>049081006259</t>
  </si>
  <si>
    <t>40049081006257</t>
  </si>
  <si>
    <t>052-S</t>
  </si>
  <si>
    <t>5 SQUARE GRATE TAN</t>
  </si>
  <si>
    <t>049081006334</t>
  </si>
  <si>
    <t>40049081006332</t>
  </si>
  <si>
    <t>062-S</t>
  </si>
  <si>
    <t>6 SQUARE GRATE TAN</t>
  </si>
  <si>
    <t>049081006457</t>
  </si>
  <si>
    <t>40049081006455</t>
  </si>
  <si>
    <t>092-S</t>
  </si>
  <si>
    <t>9 SQUARE GRATE TAN</t>
  </si>
  <si>
    <t>049081006778</t>
  </si>
  <si>
    <t>40049081006776</t>
  </si>
  <si>
    <t>044-S</t>
  </si>
  <si>
    <t>4 SQUARE GRATE, BLACK</t>
  </si>
  <si>
    <t>049081006303</t>
  </si>
  <si>
    <t>40049081006301</t>
  </si>
  <si>
    <t>054-S</t>
  </si>
  <si>
    <t>5 SQUARE GRATES, BLACK</t>
  </si>
  <si>
    <t>049081006341</t>
  </si>
  <si>
    <t>40049081006349</t>
  </si>
  <si>
    <t>064-S</t>
  </si>
  <si>
    <t>6 SQUARE GRATES, BLACK</t>
  </si>
  <si>
    <t>049081006525</t>
  </si>
  <si>
    <t>40049081006523</t>
  </si>
  <si>
    <t>074-S</t>
  </si>
  <si>
    <t>7 SQUARE GRATE, BLACK</t>
  </si>
  <si>
    <t>049081006587</t>
  </si>
  <si>
    <t>40049081006585</t>
  </si>
  <si>
    <t>084-S</t>
  </si>
  <si>
    <t>8 SQUARE GRATE, BLACK</t>
  </si>
  <si>
    <t>049081006662</t>
  </si>
  <si>
    <t>40049081006660</t>
  </si>
  <si>
    <t>094-S</t>
  </si>
  <si>
    <t>9 SQUARE GRATE, BLACK</t>
  </si>
  <si>
    <t>049081006822</t>
  </si>
  <si>
    <t>40049081006820</t>
  </si>
  <si>
    <t>090X-RA</t>
  </si>
  <si>
    <t>9 ROUND ATRIUM, GRN</t>
  </si>
  <si>
    <t>049081007140</t>
  </si>
  <si>
    <t>40049081007148</t>
  </si>
  <si>
    <t>120X-RA</t>
  </si>
  <si>
    <t>12 ROUND ATRIUM, GRN</t>
  </si>
  <si>
    <t>049081007126</t>
  </si>
  <si>
    <t>40049081007124</t>
  </si>
  <si>
    <t>094X-RA</t>
  </si>
  <si>
    <t>9 ROUND ATRIUM, BLACK</t>
  </si>
  <si>
    <t>049081007133</t>
  </si>
  <si>
    <t>40049081007131</t>
  </si>
  <si>
    <t>124X-RA</t>
  </si>
  <si>
    <t>12 ROUND FLAT GRATE,BLK</t>
  </si>
  <si>
    <t>049081007249</t>
  </si>
  <si>
    <t>40049081007247</t>
  </si>
  <si>
    <t>090X-RF</t>
  </si>
  <si>
    <t>9 ROUND FLAT GRATE, GRN</t>
  </si>
  <si>
    <t>049081007041</t>
  </si>
  <si>
    <t>40049081007049</t>
  </si>
  <si>
    <t>120X-RF</t>
  </si>
  <si>
    <t>12 ROUND FLAT GRATE, GRN</t>
  </si>
  <si>
    <t>049081007188</t>
  </si>
  <si>
    <t>40049081007186</t>
  </si>
  <si>
    <t>094X-RF</t>
  </si>
  <si>
    <t>9 ROUND FLAT GRATE, BLK</t>
  </si>
  <si>
    <t>049081007072</t>
  </si>
  <si>
    <t>40049081007070</t>
  </si>
  <si>
    <t>124X-RF</t>
  </si>
  <si>
    <t>12 ROUND ATRIUM, BLK</t>
  </si>
  <si>
    <t>049081007287</t>
  </si>
  <si>
    <t>40049081007285</t>
  </si>
  <si>
    <t>34-E</t>
  </si>
  <si>
    <t>3&amp;4 COMBO POP-UP DRAIN EMITTR</t>
  </si>
  <si>
    <t>049081009809</t>
  </si>
  <si>
    <t>40049081009807</t>
  </si>
  <si>
    <t>34-3EL</t>
  </si>
  <si>
    <t>DRAIN EMITTER W/3 90 ELL SS</t>
  </si>
  <si>
    <t>049081009830</t>
  </si>
  <si>
    <t>40049081009838</t>
  </si>
  <si>
    <t>34-4EL</t>
  </si>
  <si>
    <t>DRAIN EMITTER W/4 90 ELL SS</t>
  </si>
  <si>
    <t>049081009861</t>
  </si>
  <si>
    <t>40049081009869</t>
  </si>
  <si>
    <t>34-EF</t>
  </si>
  <si>
    <t>EMITTER FLAPPER</t>
  </si>
  <si>
    <t>049081009816</t>
  </si>
  <si>
    <t>UA-001</t>
  </si>
  <si>
    <t>UNIVERSAL ADAPTER</t>
  </si>
  <si>
    <t>049081006082</t>
  </si>
  <si>
    <t>40049081006080</t>
  </si>
  <si>
    <t>UA-060</t>
  </si>
  <si>
    <t>6 ADAPTER</t>
  </si>
  <si>
    <t>049081006105</t>
  </si>
  <si>
    <t>40049081006103</t>
  </si>
  <si>
    <t>UA-PLUG</t>
  </si>
  <si>
    <t>6 UNIVERSAL ADAPTER PLUG</t>
  </si>
  <si>
    <t>049081006068</t>
  </si>
  <si>
    <t>40049081006066</t>
  </si>
  <si>
    <t>List Price Nipples</t>
  </si>
  <si>
    <t>NIPPLES042024</t>
  </si>
  <si>
    <t>Process</t>
  </si>
  <si>
    <t>Style</t>
  </si>
  <si>
    <t>Config</t>
  </si>
  <si>
    <t>PVC Schedule 40 Marlex T.B.E. (Threaded Both Ends) Nipples</t>
  </si>
  <si>
    <t>1/2X2 NIPPLE MX TBE</t>
  </si>
  <si>
    <t>Molded</t>
  </si>
  <si>
    <t>Black Marlex TBE Nipple</t>
  </si>
  <si>
    <t>Mipt x Mipt</t>
  </si>
  <si>
    <t>2</t>
  </si>
  <si>
    <t>049081101961</t>
  </si>
  <si>
    <t>049081611966</t>
  </si>
  <si>
    <t>40049081101969</t>
  </si>
  <si>
    <t>1/2X6 NIPPLE MX TBE</t>
  </si>
  <si>
    <t>6</t>
  </si>
  <si>
    <t>049081102043</t>
  </si>
  <si>
    <t>40049081102041</t>
  </si>
  <si>
    <t>PVC Schedule 80 T.B.E. (Threaded Both Ends) Nipples</t>
  </si>
  <si>
    <t>1/2XCL NIPPLE TBE</t>
  </si>
  <si>
    <t>PVC TBE Nipple</t>
  </si>
  <si>
    <t>CLOSE</t>
  </si>
  <si>
    <t>049081118129</t>
  </si>
  <si>
    <t>049081618148</t>
  </si>
  <si>
    <t>40049081118127</t>
  </si>
  <si>
    <t>1/2X2 NIPPLE TBE</t>
  </si>
  <si>
    <t>049081118143</t>
  </si>
  <si>
    <t>049081618155</t>
  </si>
  <si>
    <t>40049081118141</t>
  </si>
  <si>
    <t>1/2X2-1/2 NIPPLE TBE</t>
  </si>
  <si>
    <t>2-1/2</t>
  </si>
  <si>
    <t>049081118150</t>
  </si>
  <si>
    <t>049081618162</t>
  </si>
  <si>
    <t>40049081118158</t>
  </si>
  <si>
    <t>1/2X3 NIPPLE TBE</t>
  </si>
  <si>
    <t>3</t>
  </si>
  <si>
    <t>049081118167</t>
  </si>
  <si>
    <t>40049081118165</t>
  </si>
  <si>
    <t>1/2X3-1/2 NIPPLE TBE</t>
  </si>
  <si>
    <t>3-1/2</t>
  </si>
  <si>
    <t>049081118174</t>
  </si>
  <si>
    <t>40049081118172</t>
  </si>
  <si>
    <t>1/2X5 NIPPLE TBE</t>
  </si>
  <si>
    <t>5</t>
  </si>
  <si>
    <t>049081118204</t>
  </si>
  <si>
    <t>40049081118202</t>
  </si>
  <si>
    <t>1/2X6 NIPPLE TBE</t>
  </si>
  <si>
    <t>Machined</t>
  </si>
  <si>
    <t>049081118228</t>
  </si>
  <si>
    <t>40049081118226</t>
  </si>
  <si>
    <t>1/2X8 NIPPLE TBE</t>
  </si>
  <si>
    <t>8</t>
  </si>
  <si>
    <t>049081118242</t>
  </si>
  <si>
    <t>40049081118240</t>
  </si>
  <si>
    <t>1/2X16 NIPPLE TBE</t>
  </si>
  <si>
    <t>16</t>
  </si>
  <si>
    <t>049081118327</t>
  </si>
  <si>
    <t>40049081118325</t>
  </si>
  <si>
    <t>1/2X18 NIPPLE TBE</t>
  </si>
  <si>
    <t>18</t>
  </si>
  <si>
    <t>049081118341</t>
  </si>
  <si>
    <t>40049081118349</t>
  </si>
  <si>
    <t>1/2X24 NIPPLE TBE</t>
  </si>
  <si>
    <t>24</t>
  </si>
  <si>
    <t>049081118389</t>
  </si>
  <si>
    <t>40049081118387</t>
  </si>
  <si>
    <t>1/2X30 NIPPLE TBE</t>
  </si>
  <si>
    <t>30</t>
  </si>
  <si>
    <t>049081118396</t>
  </si>
  <si>
    <t>40049081118394</t>
  </si>
  <si>
    <t>1/2X36 NIPPLE TBE</t>
  </si>
  <si>
    <t>36</t>
  </si>
  <si>
    <t>049081118402</t>
  </si>
  <si>
    <t>40049081118400</t>
  </si>
  <si>
    <t>1/2X48 NIPPLE TBE</t>
  </si>
  <si>
    <t>48</t>
  </si>
  <si>
    <t>049081118426</t>
  </si>
  <si>
    <t>40049081118424</t>
  </si>
  <si>
    <t>3/4XCL NIPPLE TBE</t>
  </si>
  <si>
    <t>049081118471</t>
  </si>
  <si>
    <t>049081618490</t>
  </si>
  <si>
    <t>40049081118479</t>
  </si>
  <si>
    <t>3/4X2 NIPPLE TBE</t>
  </si>
  <si>
    <t>049081118495</t>
  </si>
  <si>
    <t>049081618506</t>
  </si>
  <si>
    <t>40049081118493</t>
  </si>
  <si>
    <t>3/4X3 NIPPLE TBE</t>
  </si>
  <si>
    <t>049081118518</t>
  </si>
  <si>
    <t>40049081118516</t>
  </si>
  <si>
    <t>3/4X6 NIPPLE TBE</t>
  </si>
  <si>
    <t>049081118570</t>
  </si>
  <si>
    <t>40049081118578</t>
  </si>
  <si>
    <t>3/4X18 NIPPLE TBE</t>
  </si>
  <si>
    <t>049081118730</t>
  </si>
  <si>
    <t>40049081118738</t>
  </si>
  <si>
    <t>3/4X24 NIPPLE TBE</t>
  </si>
  <si>
    <t>049081118778</t>
  </si>
  <si>
    <t>40049081118776</t>
  </si>
  <si>
    <t>3/4X36 NIPPLE TBE</t>
  </si>
  <si>
    <t>049081118884</t>
  </si>
  <si>
    <t>40049081118882</t>
  </si>
  <si>
    <t>3/4X48 NIPPLE TBE</t>
  </si>
  <si>
    <t>049081118907</t>
  </si>
  <si>
    <t>40049081118905</t>
  </si>
  <si>
    <t>1XCL NIPPLE TBE</t>
  </si>
  <si>
    <t>049081118952</t>
  </si>
  <si>
    <t>049081618957</t>
  </si>
  <si>
    <t>40049081118950</t>
  </si>
  <si>
    <t>1X4 NIPPLE TBE</t>
  </si>
  <si>
    <t>4</t>
  </si>
  <si>
    <t>049081119003</t>
  </si>
  <si>
    <t>40049081119001</t>
  </si>
  <si>
    <t>1X6 NIPPLE TBE</t>
  </si>
  <si>
    <t>049081119041</t>
  </si>
  <si>
    <t>40049081119049</t>
  </si>
  <si>
    <t>1X7-1/2 NIPPLE TBE</t>
  </si>
  <si>
    <t>7-1/2</t>
  </si>
  <si>
    <t>049081118938</t>
  </si>
  <si>
    <t>40049081118936</t>
  </si>
  <si>
    <t>1X8 NIPPLE TBE</t>
  </si>
  <si>
    <t>049081119065</t>
  </si>
  <si>
    <t>40049081119063</t>
  </si>
  <si>
    <t>1X12 NIPPLE TBE</t>
  </si>
  <si>
    <t>12</t>
  </si>
  <si>
    <t>049081119102</t>
  </si>
  <si>
    <t>40049081119100</t>
  </si>
  <si>
    <t>1-1/4X C NIPPLE TBE</t>
  </si>
  <si>
    <t>049081119294</t>
  </si>
  <si>
    <t>40049081119292</t>
  </si>
  <si>
    <t>1-1/4X2 NIPPLE TBE</t>
  </si>
  <si>
    <t>049081119300</t>
  </si>
  <si>
    <t>40049081119308</t>
  </si>
  <si>
    <t>1-1/4 X 3 NIPPLE TBE</t>
  </si>
  <si>
    <t>049081119324</t>
  </si>
  <si>
    <t>40049081119322</t>
  </si>
  <si>
    <t>1-1/4 X 4 NIPPLE TBE</t>
  </si>
  <si>
    <t>049081119348</t>
  </si>
  <si>
    <t>40049081119346</t>
  </si>
  <si>
    <t>1-1/4X6 NIPPLE TBE</t>
  </si>
  <si>
    <t>049081119386</t>
  </si>
  <si>
    <t>40049081119384</t>
  </si>
  <si>
    <t>1-1/4X8 NIPPLE TBE</t>
  </si>
  <si>
    <t>049081119409</t>
  </si>
  <si>
    <t>40049081119407</t>
  </si>
  <si>
    <t>1-1/4X12 NIPPLE TBE</t>
  </si>
  <si>
    <t>049081119447</t>
  </si>
  <si>
    <t>40049081119445</t>
  </si>
  <si>
    <t>1-1/2XCL NIPPLE TBE</t>
  </si>
  <si>
    <t>049081119638</t>
  </si>
  <si>
    <t>40049081119636</t>
  </si>
  <si>
    <t>1-1/2X2 NIPPLE TBE</t>
  </si>
  <si>
    <t>049081119645</t>
  </si>
  <si>
    <t>40049081119643</t>
  </si>
  <si>
    <t>1-1/2X3 NIPPLE TBE</t>
  </si>
  <si>
    <t>049081119669</t>
  </si>
  <si>
    <t>40049081119667</t>
  </si>
  <si>
    <t>1-1/2X4 NIPPLE TBE</t>
  </si>
  <si>
    <t>049081119683</t>
  </si>
  <si>
    <t>40049081119681</t>
  </si>
  <si>
    <t>1-1/2X6 NIPPLE TBE</t>
  </si>
  <si>
    <t>049081119720</t>
  </si>
  <si>
    <t>40049081119728</t>
  </si>
  <si>
    <t>1-1/2X8 NIPPLE TBE</t>
  </si>
  <si>
    <t>049081119744</t>
  </si>
  <si>
    <t>40049081119742</t>
  </si>
  <si>
    <t>1-1/2X12 NIPPLE TBE</t>
  </si>
  <si>
    <t>049081119782</t>
  </si>
  <si>
    <t>40049081119780</t>
  </si>
  <si>
    <t>2XCL NIPPLE TBE</t>
  </si>
  <si>
    <t>049081119980</t>
  </si>
  <si>
    <t>40049081119988</t>
  </si>
  <si>
    <t>2X2-1/2 NIPPLE TBE</t>
  </si>
  <si>
    <t>049081119997</t>
  </si>
  <si>
    <t>40049081119995</t>
  </si>
  <si>
    <t>2X3 NIPPLE TBE</t>
  </si>
  <si>
    <t>049081120009</t>
  </si>
  <si>
    <t>40049081120007</t>
  </si>
  <si>
    <t>2X4 NIPPLE TBE</t>
  </si>
  <si>
    <t>049081120023</t>
  </si>
  <si>
    <t>40049081120021</t>
  </si>
  <si>
    <t>2X5 NIPPLE TBE</t>
  </si>
  <si>
    <t>049081120047</t>
  </si>
  <si>
    <t>40049081120045</t>
  </si>
  <si>
    <t>2X6 NIPPLE TBE</t>
  </si>
  <si>
    <t>049081120061</t>
  </si>
  <si>
    <t>40049081120069</t>
  </si>
  <si>
    <t>2X8 NIPPLE TBE</t>
  </si>
  <si>
    <t>049081120085</t>
  </si>
  <si>
    <t>40049081120083</t>
  </si>
  <si>
    <t>2X10 NIPPLE TBE</t>
  </si>
  <si>
    <t>10</t>
  </si>
  <si>
    <t>049081120108</t>
  </si>
  <si>
    <t>40049081120106</t>
  </si>
  <si>
    <t>2X12 NIPPLE TBE</t>
  </si>
  <si>
    <t>049081120122</t>
  </si>
  <si>
    <t>40049081120120</t>
  </si>
  <si>
    <t>2X24 NIPPLE TBE</t>
  </si>
  <si>
    <t>049081120221</t>
  </si>
  <si>
    <t>40049081120229</t>
  </si>
  <si>
    <t>2X36 NIPPLE TBE</t>
  </si>
  <si>
    <t>049081120245</t>
  </si>
  <si>
    <t>40049081120243</t>
  </si>
  <si>
    <t>2-1/2X6 NIPPLE TBE</t>
  </si>
  <si>
    <t>049081120375</t>
  </si>
  <si>
    <t>40049081120373</t>
  </si>
  <si>
    <t>2-1/2X12 NIPPLE TBE</t>
  </si>
  <si>
    <t>049081120436</t>
  </si>
  <si>
    <t>40049081120434</t>
  </si>
  <si>
    <t>3X3 NIPPLE TBE</t>
  </si>
  <si>
    <t>049081120603</t>
  </si>
  <si>
    <t>40049081120601</t>
  </si>
  <si>
    <t>3X4 NIPPLE TBE</t>
  </si>
  <si>
    <t>049081120627</t>
  </si>
  <si>
    <t>40049081120625</t>
  </si>
  <si>
    <t>3X6 NIPPLE TBE</t>
  </si>
  <si>
    <t>049081120658</t>
  </si>
  <si>
    <t>40049081120663</t>
  </si>
  <si>
    <t>3X8 NIPPLE TBE</t>
  </si>
  <si>
    <t>049081120689</t>
  </si>
  <si>
    <t>40049081120687</t>
  </si>
  <si>
    <t>3X12 NIPPLE TBE</t>
  </si>
  <si>
    <t>049081120726</t>
  </si>
  <si>
    <t>40049081120724</t>
  </si>
  <si>
    <t>4X4 NIPPLE TBE</t>
  </si>
  <si>
    <t>049081120924</t>
  </si>
  <si>
    <t>40049081120922</t>
  </si>
  <si>
    <t>4X6 NIPPLE TBE</t>
  </si>
  <si>
    <t>049081120962</t>
  </si>
  <si>
    <t>40049081120960</t>
  </si>
  <si>
    <t>4X12 NIPPLE TBE</t>
  </si>
  <si>
    <t>049081121020</t>
  </si>
  <si>
    <t>40049081121028</t>
  </si>
  <si>
    <t>Reducing PVC Schedule 80 T.B.E. (Threaded Both Ends) Nipples</t>
  </si>
  <si>
    <t>8203-101</t>
  </si>
  <si>
    <t>3/4X1/2 NIPPLE TBE</t>
  </si>
  <si>
    <t>Red Nipple</t>
  </si>
  <si>
    <t xml:space="preserve">3/4 x 1/2 </t>
  </si>
  <si>
    <t>049081118433</t>
  </si>
  <si>
    <t>049081618438</t>
  </si>
  <si>
    <t>40049081118431</t>
  </si>
  <si>
    <t>8303-130</t>
  </si>
  <si>
    <t>1X1/2 NIPPLE TBE</t>
  </si>
  <si>
    <t>1 x 1/2</t>
  </si>
  <si>
    <t>049081118914</t>
  </si>
  <si>
    <t>049081618919</t>
  </si>
  <si>
    <t>40049081118912</t>
  </si>
  <si>
    <t>8303-131</t>
  </si>
  <si>
    <t>1X3/4 NIPPLE TBE</t>
  </si>
  <si>
    <t>1 x 3/4</t>
  </si>
  <si>
    <t>049081118921</t>
  </si>
  <si>
    <t>049081618926</t>
  </si>
  <si>
    <t>40049081118929</t>
  </si>
  <si>
    <t>8403-168</t>
  </si>
  <si>
    <t>1-1/4 X1 NIPPLE TBE</t>
  </si>
  <si>
    <t xml:space="preserve">1-1/4 x 1 </t>
  </si>
  <si>
    <t>049081119270</t>
  </si>
  <si>
    <t>40049081119278</t>
  </si>
  <si>
    <t>8503-210</t>
  </si>
  <si>
    <t>1-1/2X3/4 NIPPLE TBE</t>
  </si>
  <si>
    <t>1-1/2 x 3/4</t>
  </si>
  <si>
    <t>049081119607</t>
  </si>
  <si>
    <t>40049081119605</t>
  </si>
  <si>
    <t>8503-211</t>
  </si>
  <si>
    <t>1-1/2X1 NIPPLE TBE</t>
  </si>
  <si>
    <t xml:space="preserve">1-1/2 x 1 </t>
  </si>
  <si>
    <t>049081119614</t>
  </si>
  <si>
    <t>049081619619</t>
  </si>
  <si>
    <t>40049081119612</t>
  </si>
  <si>
    <t>Manifold System</t>
  </si>
  <si>
    <t>List Price Manifold</t>
  </si>
  <si>
    <t>MANIFOLD042024</t>
  </si>
  <si>
    <t>1" Manifold System</t>
  </si>
  <si>
    <t>301-010</t>
  </si>
  <si>
    <t>1 TEE SWVL/MPT/SWVL MANIFOLD</t>
  </si>
  <si>
    <t>049081144500</t>
  </si>
  <si>
    <t>049081844509</t>
  </si>
  <si>
    <t>40049081144508</t>
  </si>
  <si>
    <t>301-011</t>
  </si>
  <si>
    <t>1 TEE SL/MPT/SWVL MANIFOLD</t>
  </si>
  <si>
    <t>049081144524</t>
  </si>
  <si>
    <t>049081844523</t>
  </si>
  <si>
    <t>40049081144522</t>
  </si>
  <si>
    <t>301-010-2</t>
  </si>
  <si>
    <t>1 TEE DOUBLE SWIVEL OUTLET MANIFOLD</t>
  </si>
  <si>
    <t>049081404222</t>
  </si>
  <si>
    <t>049081704223</t>
  </si>
  <si>
    <t>40049081404220</t>
  </si>
  <si>
    <t>301-010-3</t>
  </si>
  <si>
    <t>1 TEE TRIPLE SWIVEL OUTLET MANIFOLD</t>
  </si>
  <si>
    <t>049081404239</t>
  </si>
  <si>
    <t>049081704230</t>
  </si>
  <si>
    <t>40049081404237</t>
  </si>
  <si>
    <t>301-010-4</t>
  </si>
  <si>
    <t>1 TEE QUAD SWIVEL OUTLET MANIFOLD</t>
  </si>
  <si>
    <t>049081404246</t>
  </si>
  <si>
    <t>049081704247</t>
  </si>
  <si>
    <t>40049081404244</t>
  </si>
  <si>
    <t>306-009</t>
  </si>
  <si>
    <t>1 ELL MPT/SWVL MANIFOLD</t>
  </si>
  <si>
    <t>049081141554</t>
  </si>
  <si>
    <t>049081641559</t>
  </si>
  <si>
    <t>40049081141552</t>
  </si>
  <si>
    <t>306-010</t>
  </si>
  <si>
    <t>1 ELL SWVL/SWVL MANIFOLD</t>
  </si>
  <si>
    <t>049081141585</t>
  </si>
  <si>
    <t>049081641580</t>
  </si>
  <si>
    <t>40049081141583</t>
  </si>
  <si>
    <t>306-011</t>
  </si>
  <si>
    <t>1 ELL SL/SWVL MANIFOLD</t>
  </si>
  <si>
    <t>049081141608</t>
  </si>
  <si>
    <t>049081641603</t>
  </si>
  <si>
    <t>40049081141606</t>
  </si>
  <si>
    <t>320-010</t>
  </si>
  <si>
    <t>1 CROSS SWVL/MPT/SWVL/SWVL MANIFOLD</t>
  </si>
  <si>
    <t>049081139216</t>
  </si>
  <si>
    <t>049081639211</t>
  </si>
  <si>
    <t>40049081139214</t>
  </si>
  <si>
    <t>329-007</t>
  </si>
  <si>
    <t>COUPLING 3/4 SLIP/1 SWVL MANIFOLD</t>
  </si>
  <si>
    <t>049081132347</t>
  </si>
  <si>
    <t>049081632342</t>
  </si>
  <si>
    <t>40049081132345</t>
  </si>
  <si>
    <t>329-010</t>
  </si>
  <si>
    <t>1 COUPL SWVL/SWVL MANIFOLD</t>
  </si>
  <si>
    <t>049081138769</t>
  </si>
  <si>
    <t>049081638764</t>
  </si>
  <si>
    <t>40049081138767</t>
  </si>
  <si>
    <t>329-011</t>
  </si>
  <si>
    <t>1 COUPL SL/SWVL MANIFOLD</t>
  </si>
  <si>
    <t>049081138783</t>
  </si>
  <si>
    <t>049081638788</t>
  </si>
  <si>
    <t>40049081138781</t>
  </si>
  <si>
    <t>332-010</t>
  </si>
  <si>
    <t>1 MA SWVL/O-RING MPT MANIFOLD</t>
  </si>
  <si>
    <t>049081132309</t>
  </si>
  <si>
    <t>049081632304</t>
  </si>
  <si>
    <t>40049081132307</t>
  </si>
  <si>
    <t>334-010</t>
  </si>
  <si>
    <t>1 MA SWVL/MPT MANIFOLD</t>
  </si>
  <si>
    <t>049081132316</t>
  </si>
  <si>
    <t>049081632311</t>
  </si>
  <si>
    <t>40049081132314</t>
  </si>
  <si>
    <t>335-007</t>
  </si>
  <si>
    <t>1 SWVL X 3/4 INSERT MANFLD</t>
  </si>
  <si>
    <t>049081142810</t>
  </si>
  <si>
    <t>049081642815</t>
  </si>
  <si>
    <t>40049081142818</t>
  </si>
  <si>
    <t>335-010</t>
  </si>
  <si>
    <t>1 SWVL X 1 INSERT MANFLD</t>
  </si>
  <si>
    <t>049081142827</t>
  </si>
  <si>
    <t>049081642822</t>
  </si>
  <si>
    <t>40049081142825</t>
  </si>
  <si>
    <t>348-010</t>
  </si>
  <si>
    <t>1 CAP FPT W/O-RING, MANIFOLD</t>
  </si>
  <si>
    <t>049081137373</t>
  </si>
  <si>
    <t>049081637378</t>
  </si>
  <si>
    <t>40049081137371</t>
  </si>
  <si>
    <t>Z08303</t>
  </si>
  <si>
    <t>1 NIPPLE FOR PLAS THD/GY MANIFOLD</t>
  </si>
  <si>
    <t>049081118792</t>
  </si>
  <si>
    <t>40049081118790</t>
  </si>
  <si>
    <t>08303-131</t>
  </si>
  <si>
    <t>1X3/4 NIPPLE FPR PLAS THD/GY MANIFOLD</t>
  </si>
  <si>
    <t>049081118839</t>
  </si>
  <si>
    <t>049081618834</t>
  </si>
  <si>
    <t>40049081118837</t>
  </si>
  <si>
    <t>1-1/2" &amp; 2" Manifold System</t>
  </si>
  <si>
    <t>332-015</t>
  </si>
  <si>
    <t>1-1/2 MA MPT/SWVL MANIFOLD</t>
  </si>
  <si>
    <t>049081132286</t>
  </si>
  <si>
    <t>049081632281</t>
  </si>
  <si>
    <t>40049081132284</t>
  </si>
  <si>
    <t>332-020</t>
  </si>
  <si>
    <t>2 MA MPT/SWVL MANIFOLD</t>
  </si>
  <si>
    <t>049081132293</t>
  </si>
  <si>
    <t>049081632298</t>
  </si>
  <si>
    <t>40049081132291</t>
  </si>
  <si>
    <t>350-015</t>
  </si>
  <si>
    <t>1-1/2 PLUG O-RING MPT MANIFOLD</t>
  </si>
  <si>
    <t>049081143060</t>
  </si>
  <si>
    <t>049081643065</t>
  </si>
  <si>
    <t>40049081143068</t>
  </si>
  <si>
    <t>350-020</t>
  </si>
  <si>
    <t>2 PLUG O-RING MPT MANIFOLD</t>
  </si>
  <si>
    <t>049081143077</t>
  </si>
  <si>
    <t>049081643072</t>
  </si>
  <si>
    <t>40049081143075</t>
  </si>
  <si>
    <t>List Price Flexible Couplings</t>
  </si>
  <si>
    <t>FRC042024</t>
  </si>
  <si>
    <t>Flexible Couplings</t>
  </si>
  <si>
    <t>FRC-005</t>
  </si>
  <si>
    <t>1/2 X 18 FLEXIBLE REPAIR CPLG</t>
  </si>
  <si>
    <t>049081285029</t>
  </si>
  <si>
    <t>50049081285024</t>
  </si>
  <si>
    <t>FRC-007</t>
  </si>
  <si>
    <t>3/4 X 18 FLEXIBLE REPAIR CPLG</t>
  </si>
  <si>
    <t>049081285050</t>
  </si>
  <si>
    <t>50049081285055</t>
  </si>
  <si>
    <t>FRC-010</t>
  </si>
  <si>
    <t>1 X 18 FLEXIBLE REPAIR CPLG</t>
  </si>
  <si>
    <t>049081285074</t>
  </si>
  <si>
    <t>50049081285079</t>
  </si>
  <si>
    <t>List Price Durafix</t>
  </si>
  <si>
    <t>DF042024</t>
  </si>
  <si>
    <t>Dura Fix - Quick Repair Telescoping Coupling (Slip x Spigot)</t>
  </si>
  <si>
    <t>DF-005</t>
  </si>
  <si>
    <t>1/2 DURA FIX</t>
  </si>
  <si>
    <t>049081137397</t>
  </si>
  <si>
    <t>40049081137395</t>
  </si>
  <si>
    <t>DF-007</t>
  </si>
  <si>
    <t>3/4 DURA FIX</t>
  </si>
  <si>
    <t>049081137403</t>
  </si>
  <si>
    <t>40049081137401</t>
  </si>
  <si>
    <t>DF-010</t>
  </si>
  <si>
    <t>1 DURA FIX</t>
  </si>
  <si>
    <t>049081137410</t>
  </si>
  <si>
    <t>40049081137418</t>
  </si>
  <si>
    <t>DF-012</t>
  </si>
  <si>
    <t>1-1/4 DURA FIX</t>
  </si>
  <si>
    <t>049081137427</t>
  </si>
  <si>
    <t>40049081137425</t>
  </si>
  <si>
    <t>DF-015</t>
  </si>
  <si>
    <t>1-1/2 DURA FIX</t>
  </si>
  <si>
    <t>049081137434</t>
  </si>
  <si>
    <t>40049081137432</t>
  </si>
  <si>
    <t>DF-020</t>
  </si>
  <si>
    <t>2 DURA FIX</t>
  </si>
  <si>
    <t>049081137441</t>
  </si>
  <si>
    <t>40049081137449</t>
  </si>
  <si>
    <t>List Price Compression Fittings</t>
  </si>
  <si>
    <t>COMPFIT042024</t>
  </si>
  <si>
    <t>SC29-030</t>
  </si>
  <si>
    <t>3" COMPRESSION COUPL</t>
  </si>
  <si>
    <t>049081404147</t>
  </si>
  <si>
    <t>40049081404145</t>
  </si>
  <si>
    <t>SC29-040</t>
  </si>
  <si>
    <t>4" COMPRESSION COUPL</t>
  </si>
  <si>
    <t>049081404161</t>
  </si>
  <si>
    <t>40049081404169</t>
  </si>
  <si>
    <t>SC29-025</t>
  </si>
  <si>
    <t>2.1/2" COMPRESSION COUPL</t>
  </si>
  <si>
    <t>049081404123</t>
  </si>
  <si>
    <t>40049081404121</t>
  </si>
  <si>
    <t>SC29-020</t>
  </si>
  <si>
    <t>2" COMPRESSION COUPL</t>
  </si>
  <si>
    <t>049081404109</t>
  </si>
  <si>
    <t>40049081404107</t>
  </si>
  <si>
    <t>SC29-060</t>
  </si>
  <si>
    <t>6" COMPRESSION COUPL</t>
  </si>
  <si>
    <t>049081404185</t>
  </si>
  <si>
    <t>40049081404183</t>
  </si>
  <si>
    <t>SC29-007</t>
  </si>
  <si>
    <t>3/4" COMPRESSION COUPL</t>
  </si>
  <si>
    <t>049081404024</t>
  </si>
  <si>
    <t>40049081404022</t>
  </si>
  <si>
    <t>SC29-015</t>
  </si>
  <si>
    <t>1.1/2" COMPRESSION COUPL</t>
  </si>
  <si>
    <t>049081404086</t>
  </si>
  <si>
    <t>40049081404084</t>
  </si>
  <si>
    <t>SC29-010</t>
  </si>
  <si>
    <t>1" COMPRESSION COUPL</t>
  </si>
  <si>
    <t>049081404048</t>
  </si>
  <si>
    <t>40049081404046</t>
  </si>
  <si>
    <t>List Price Hose Fittings</t>
  </si>
  <si>
    <t>HOSEFIT062023</t>
  </si>
  <si>
    <t>500-005</t>
  </si>
  <si>
    <t>3/4" FHT SWVL X 1/2" INSERT</t>
  </si>
  <si>
    <t>049081139636</t>
  </si>
  <si>
    <t>049081639631</t>
  </si>
  <si>
    <t>40049081139634</t>
  </si>
  <si>
    <t>500-007</t>
  </si>
  <si>
    <t>3/4" FHT SWVL X 3/4" INSERT</t>
  </si>
  <si>
    <t>049081139643</t>
  </si>
  <si>
    <t>049081639648</t>
  </si>
  <si>
    <t>40049081139641</t>
  </si>
  <si>
    <t>500-010</t>
  </si>
  <si>
    <t>3/4" FHT SWVL X 1" INSERT</t>
  </si>
  <si>
    <t>049081139650</t>
  </si>
  <si>
    <t>049081639655</t>
  </si>
  <si>
    <t>40049081139658</t>
  </si>
  <si>
    <t>502-005</t>
  </si>
  <si>
    <t>3/4" MHT X 1/2" INSERT ADAPTER</t>
  </si>
  <si>
    <t>049081139674</t>
  </si>
  <si>
    <t>049081639679</t>
  </si>
  <si>
    <t>40049081139672</t>
  </si>
  <si>
    <t>502-007</t>
  </si>
  <si>
    <t>3/4" MHT X 3/4" INSERT ADAPTER</t>
  </si>
  <si>
    <t>049081139681</t>
  </si>
  <si>
    <t>049081639686</t>
  </si>
  <si>
    <t>40049081139689</t>
  </si>
  <si>
    <t>503-005</t>
  </si>
  <si>
    <t>3/4" MHT X 1/2" MPT ADAPTER</t>
  </si>
  <si>
    <t>049081139704</t>
  </si>
  <si>
    <t>049081639709</t>
  </si>
  <si>
    <t>40049081139702</t>
  </si>
  <si>
    <t>503-007</t>
  </si>
  <si>
    <t>3/4" MHT X 3/4" MPT ADAPTER</t>
  </si>
  <si>
    <t>049081139711</t>
  </si>
  <si>
    <t>049081639716</t>
  </si>
  <si>
    <t>40049081139719</t>
  </si>
  <si>
    <t>503-010</t>
  </si>
  <si>
    <t>3/4" MHT X 1" MPT ADAPTER</t>
  </si>
  <si>
    <t>049081139728</t>
  </si>
  <si>
    <t>049081639723</t>
  </si>
  <si>
    <t>40049081139726</t>
  </si>
  <si>
    <t>510-007</t>
  </si>
  <si>
    <t>3/4" MHT X 3/4" SL ST ELL</t>
  </si>
  <si>
    <t>049081139766</t>
  </si>
  <si>
    <t>049081639761</t>
  </si>
  <si>
    <t>40049081139764</t>
  </si>
  <si>
    <t>512-007</t>
  </si>
  <si>
    <t>3/4" MHT X 3/4" FPT</t>
  </si>
  <si>
    <t>049081140137</t>
  </si>
  <si>
    <t>049081640132</t>
  </si>
  <si>
    <t>40049081140135</t>
  </si>
  <si>
    <t>513-007</t>
  </si>
  <si>
    <t>3/4" FHT SWVL X 3/4" MHT ELL</t>
  </si>
  <si>
    <t>049081139780</t>
  </si>
  <si>
    <t>049081639785</t>
  </si>
  <si>
    <t>40049081139788</t>
  </si>
  <si>
    <t>530-005</t>
  </si>
  <si>
    <t>3/4" FHT SWVL X 1/2" FPT ADAPTER</t>
  </si>
  <si>
    <t>049081139810</t>
  </si>
  <si>
    <t>049081639815</t>
  </si>
  <si>
    <t>40049081139818</t>
  </si>
  <si>
    <t>530-007</t>
  </si>
  <si>
    <t>3/4" FHT SWVL X 3/4" FHT ADAPTER</t>
  </si>
  <si>
    <t>049081139834</t>
  </si>
  <si>
    <t>049081639839</t>
  </si>
  <si>
    <t>40049081139832</t>
  </si>
  <si>
    <t>530-008</t>
  </si>
  <si>
    <t>3/4" FHT SWVL X 3/4" FPT ADAPTER</t>
  </si>
  <si>
    <t>049081139827</t>
  </si>
  <si>
    <t>049081639822</t>
  </si>
  <si>
    <t>40049081139825</t>
  </si>
  <si>
    <t>533-007</t>
  </si>
  <si>
    <t>3/4" MHT X 3/4" SPG ADAPTER</t>
  </si>
  <si>
    <t>049081139841</t>
  </si>
  <si>
    <t>049081639846</t>
  </si>
  <si>
    <t>40049081139849</t>
  </si>
  <si>
    <t>534-005</t>
  </si>
  <si>
    <t>3/4" FHT SWVL X 1/2" MPT HOSE FTG</t>
  </si>
  <si>
    <t>049081139858</t>
  </si>
  <si>
    <t>049081639853</t>
  </si>
  <si>
    <t>40049081139856</t>
  </si>
  <si>
    <t>534-007</t>
  </si>
  <si>
    <t>3/4" FHT SWVL X 3/4" MPT HOSE FTG</t>
  </si>
  <si>
    <t>049081193867</t>
  </si>
  <si>
    <t>049081693862</t>
  </si>
  <si>
    <t>40049081193865</t>
  </si>
  <si>
    <t>535-005</t>
  </si>
  <si>
    <t>3/4" FHT SWVL X 1/2" IPS/SL ADAP</t>
  </si>
  <si>
    <t>049081139889</t>
  </si>
  <si>
    <t>049081639884</t>
  </si>
  <si>
    <t>40049081139887</t>
  </si>
  <si>
    <t>535-007</t>
  </si>
  <si>
    <t>3/4" FHT SWVL X 3/4" IPS/SL ADAP</t>
  </si>
  <si>
    <t>049081139896</t>
  </si>
  <si>
    <t>049081639891</t>
  </si>
  <si>
    <t>40049081139894</t>
  </si>
  <si>
    <t>536-007</t>
  </si>
  <si>
    <t>3/4" MHT X 3/4" SL ADAPTER</t>
  </si>
  <si>
    <t>049081139919</t>
  </si>
  <si>
    <t>049081639914</t>
  </si>
  <si>
    <t>40049081139917</t>
  </si>
  <si>
    <t>536-010</t>
  </si>
  <si>
    <t>3/4" MHT X 1" SL ADAPTER</t>
  </si>
  <si>
    <t>049081139926</t>
  </si>
  <si>
    <t>049081639921</t>
  </si>
  <si>
    <t>40049081139924</t>
  </si>
  <si>
    <t>548-007</t>
  </si>
  <si>
    <t>3/4" ORING CAP HOSE FTG</t>
  </si>
  <si>
    <t>049081139940</t>
  </si>
  <si>
    <t>049081639945</t>
  </si>
  <si>
    <t>40049081139948</t>
  </si>
  <si>
    <t>List Price Swing Joints</t>
  </si>
  <si>
    <t>SJ042024</t>
  </si>
  <si>
    <t>Standard Unibody Swing Joint</t>
  </si>
  <si>
    <t>1-13-13-1-12</t>
  </si>
  <si>
    <t>1 ACME X 1 ACME SU X 12 LL SJ</t>
  </si>
  <si>
    <t>049081022914</t>
  </si>
  <si>
    <t>40049081022912</t>
  </si>
  <si>
    <t>1-13-13-1-18</t>
  </si>
  <si>
    <t>1 ACME X 1 ACME SU X 18 LL SJ</t>
  </si>
  <si>
    <t>049081022921</t>
  </si>
  <si>
    <t>40049081022929</t>
  </si>
  <si>
    <t>1-13-22-1-12</t>
  </si>
  <si>
    <t>1 ACME X 1 BSPT SU X 12 LL SJ</t>
  </si>
  <si>
    <t>049081031350</t>
  </si>
  <si>
    <t>40049081031358</t>
  </si>
  <si>
    <t>1-13-3-1-12</t>
  </si>
  <si>
    <t>1 ACME X 1 MPT SU X 12 LL SJ</t>
  </si>
  <si>
    <t>049081022938</t>
  </si>
  <si>
    <t>40049081022936</t>
  </si>
  <si>
    <t>1-13-3-1-18</t>
  </si>
  <si>
    <t>1 ACME X 1 MPT SU X 18 LL SJ</t>
  </si>
  <si>
    <t>049081022945</t>
  </si>
  <si>
    <t>40049081022943</t>
  </si>
  <si>
    <t>1-15-13-1-12</t>
  </si>
  <si>
    <t>1-1/2 ACME X 1 ACME SU X 12 LL SJ</t>
  </si>
  <si>
    <t>049081022464</t>
  </si>
  <si>
    <t>40049081022462</t>
  </si>
  <si>
    <t>1-15-13-1-18</t>
  </si>
  <si>
    <t>1-1/2 ACME X 1 ACME SU X 18LL SJ</t>
  </si>
  <si>
    <t>049081031558</t>
  </si>
  <si>
    <t>40049081031556</t>
  </si>
  <si>
    <t>1-15-3-1-12</t>
  </si>
  <si>
    <t>1-1/2 ACME X 1 MPT SU X 12LL SJ</t>
  </si>
  <si>
    <t>049081022457</t>
  </si>
  <si>
    <t>40049081022455</t>
  </si>
  <si>
    <t>1-15-QC-1-18</t>
  </si>
  <si>
    <t>1-1/2 ACME X 1 BRS MPT QCSU X18 SJ</t>
  </si>
  <si>
    <t>049081022686</t>
  </si>
  <si>
    <t>40049081022684</t>
  </si>
  <si>
    <t>1-22-13-1-12</t>
  </si>
  <si>
    <t>1 BSP X 1 ACME SU X 12 SJ</t>
  </si>
  <si>
    <t>049081020286</t>
  </si>
  <si>
    <t>40049081020284</t>
  </si>
  <si>
    <t>1-22-13-1-16</t>
  </si>
  <si>
    <t>1 BSPT X 1 ACME SU X 16 LL SJ</t>
  </si>
  <si>
    <t>049081031008</t>
  </si>
  <si>
    <t>40049081031006</t>
  </si>
  <si>
    <t>1-22-13-1-18</t>
  </si>
  <si>
    <t>1 BSPT X 1 ACME SU X 18 LL SJ</t>
  </si>
  <si>
    <t>049081031077</t>
  </si>
  <si>
    <t>40049081031075</t>
  </si>
  <si>
    <t>1-22-14-1-12</t>
  </si>
  <si>
    <t>1 BSPT X 1-1/4 ACME SU X 12 LL SJ</t>
  </si>
  <si>
    <t>049081020293</t>
  </si>
  <si>
    <t>40049081020291</t>
  </si>
  <si>
    <t>1-22-15-1-12</t>
  </si>
  <si>
    <t>1 BSP X 1-1/2 ACME SU X 12 LL SJ</t>
  </si>
  <si>
    <t>049081020309</t>
  </si>
  <si>
    <t>40049081020307</t>
  </si>
  <si>
    <t>1-22-22-1-12</t>
  </si>
  <si>
    <t>1 BSP X 1 BSP SU X 12 SJ</t>
  </si>
  <si>
    <t>049081020323</t>
  </si>
  <si>
    <t>40049081020321</t>
  </si>
  <si>
    <t>1-22-22-1-16</t>
  </si>
  <si>
    <t>1 BSP X 1 BSP SU X 16 SJ</t>
  </si>
  <si>
    <t>049081023034</t>
  </si>
  <si>
    <t>40049081023032</t>
  </si>
  <si>
    <t>1-22-22-1-18</t>
  </si>
  <si>
    <t>1 BSP X 1 BSP SU X 18LL SJ</t>
  </si>
  <si>
    <t>049081020347</t>
  </si>
  <si>
    <t>40049081020345</t>
  </si>
  <si>
    <t>1-22-22-1-8</t>
  </si>
  <si>
    <t>1 BSPT X 1 BSPT SU X 8 LL SJ</t>
  </si>
  <si>
    <t>049081020354</t>
  </si>
  <si>
    <t>40049081020352</t>
  </si>
  <si>
    <t>1-A1-1-1-10</t>
  </si>
  <si>
    <t>1 MPT X 1 SOC SU X 10 SJ</t>
  </si>
  <si>
    <t>049081023102</t>
  </si>
  <si>
    <t>40049081023100</t>
  </si>
  <si>
    <t>1-A1-1-1-12</t>
  </si>
  <si>
    <t>1 MPT X 1 SOC SU X 12 SJ</t>
  </si>
  <si>
    <t>049081020378</t>
  </si>
  <si>
    <t>40049081020376</t>
  </si>
  <si>
    <t>1-A1-1-1-14</t>
  </si>
  <si>
    <t>1 MIPT X 1 SCKT SU X 14 LL SJ</t>
  </si>
  <si>
    <t>049081023119</t>
  </si>
  <si>
    <t>40049081023117</t>
  </si>
  <si>
    <t>1-A1-1-1-18</t>
  </si>
  <si>
    <t>1 MPT X 1 SOC SU X 18 SJ</t>
  </si>
  <si>
    <t>049081023126</t>
  </si>
  <si>
    <t>40049081023124</t>
  </si>
  <si>
    <t>1-A1-1-1-6</t>
  </si>
  <si>
    <t>1 MPT X 1 SOC SU X 6 SJ</t>
  </si>
  <si>
    <t>049081023133</t>
  </si>
  <si>
    <t>40049081023131</t>
  </si>
  <si>
    <t>1-A1-1-1-8</t>
  </si>
  <si>
    <t>1 MPT X 1 SOC SU X 8 SJ</t>
  </si>
  <si>
    <t>049081023140</t>
  </si>
  <si>
    <t>40049081023148</t>
  </si>
  <si>
    <t>1-A1-13-1-10</t>
  </si>
  <si>
    <t>1 MPT X 1 ACME SU X 10 SJ</t>
  </si>
  <si>
    <t>049081022297</t>
  </si>
  <si>
    <t>40049081022295</t>
  </si>
  <si>
    <t>1-A1-13-1-12</t>
  </si>
  <si>
    <t>1 MPT X 1 ACME SU X 12 SJ</t>
  </si>
  <si>
    <t>049081020453</t>
  </si>
  <si>
    <t>40049081020451</t>
  </si>
  <si>
    <t>1-A1-13-1-14</t>
  </si>
  <si>
    <t>1 MPT X 1 ACME SU X 14 SJ</t>
  </si>
  <si>
    <t>049081023232</t>
  </si>
  <si>
    <t>40049081023230</t>
  </si>
  <si>
    <t>1-A1-13-1-16</t>
  </si>
  <si>
    <t>1 MIPT X 1 ACME SU X 16 LL SJ</t>
  </si>
  <si>
    <t>049081023249</t>
  </si>
  <si>
    <t>40049081023247</t>
  </si>
  <si>
    <t>1-A1-13-1-18</t>
  </si>
  <si>
    <t>1 MPT X 1 ACME SU X 18 SJ</t>
  </si>
  <si>
    <t>049081020460</t>
  </si>
  <si>
    <t>40049081020468</t>
  </si>
  <si>
    <t>1-A1-13-1-6</t>
  </si>
  <si>
    <t>1 MPT X 1 ACME SU X 6 SJ</t>
  </si>
  <si>
    <t>049081023256</t>
  </si>
  <si>
    <t>40049081023254</t>
  </si>
  <si>
    <t>1-A1-14-1-12</t>
  </si>
  <si>
    <t>1 MPT X 1-1/4 ACME SU X 12 SJ</t>
  </si>
  <si>
    <t>049081020569</t>
  </si>
  <si>
    <t>40049081020567</t>
  </si>
  <si>
    <t>1-A1-14-1-18</t>
  </si>
  <si>
    <t>1 MIPT X 1-1/4 ACME SU X 18 LL SJ</t>
  </si>
  <si>
    <t>049081023324</t>
  </si>
  <si>
    <t>40049081023322</t>
  </si>
  <si>
    <t>1-A1-15-1-12</t>
  </si>
  <si>
    <t>1 MPT X 1-1/2 ACME SU X 12 LL SJ</t>
  </si>
  <si>
    <t>049081020576</t>
  </si>
  <si>
    <t>40049081020574</t>
  </si>
  <si>
    <t>1-A1-15-1-16</t>
  </si>
  <si>
    <t>1 MPT X 1-1/2 ACME SU X 16 SJ</t>
  </si>
  <si>
    <t>049081020583</t>
  </si>
  <si>
    <t>40049081020581</t>
  </si>
  <si>
    <t>1-A1-2-1-10</t>
  </si>
  <si>
    <t>1 MPT X 1 FPT SU X 10 SJ</t>
  </si>
  <si>
    <t>049081023447</t>
  </si>
  <si>
    <t>40049081023445</t>
  </si>
  <si>
    <t>1-A1-2-1-12</t>
  </si>
  <si>
    <t>1 MPT X 1 FPT SU X 12 SJ</t>
  </si>
  <si>
    <t>049081020590</t>
  </si>
  <si>
    <t>40049081020598</t>
  </si>
  <si>
    <t>1-A1-2-1-18</t>
  </si>
  <si>
    <t>1 MIPT X 1 FIPT SU X 18 LL SJ</t>
  </si>
  <si>
    <t>40049081031419</t>
  </si>
  <si>
    <t>1-A1-3-1-10</t>
  </si>
  <si>
    <t>1 MPT X 1 MPT SU X 10 SJ</t>
  </si>
  <si>
    <t>049081020644</t>
  </si>
  <si>
    <t>40049081020642</t>
  </si>
  <si>
    <t>1-A1-3-1-12</t>
  </si>
  <si>
    <t>1 MPT X 1 MPT SU X 12 SJ</t>
  </si>
  <si>
    <t>049081020019</t>
  </si>
  <si>
    <t>40049081020017</t>
  </si>
  <si>
    <t>1-A1-3-1-14</t>
  </si>
  <si>
    <t>1 MPT X 1 MPT SU X 14 SJ</t>
  </si>
  <si>
    <t>049081023560</t>
  </si>
  <si>
    <t>40049081023568</t>
  </si>
  <si>
    <t>1-A1-3-1-16</t>
  </si>
  <si>
    <t>1 MPT X 1 MPT SU X 16 SJ</t>
  </si>
  <si>
    <t>049081020668</t>
  </si>
  <si>
    <t>40049081020666</t>
  </si>
  <si>
    <t>1-A1-3-1-18</t>
  </si>
  <si>
    <t>1 MPT X 1 MPT SU X 18 SJ</t>
  </si>
  <si>
    <t>049081020675</t>
  </si>
  <si>
    <t>40049081020673</t>
  </si>
  <si>
    <t>1-A1-3-1-6</t>
  </si>
  <si>
    <t>1 MPT X 1 MPT SU X 6 SJ</t>
  </si>
  <si>
    <t>049081020705</t>
  </si>
  <si>
    <t>40049081020703</t>
  </si>
  <si>
    <t>1-A1-3-1-8</t>
  </si>
  <si>
    <t>1 MPT X 1 MPT SU X 8 SJ</t>
  </si>
  <si>
    <t>049081020712</t>
  </si>
  <si>
    <t>40049081020710</t>
  </si>
  <si>
    <t>1-A1-4-1-12</t>
  </si>
  <si>
    <t>1 MPT X 1-1/4 MPT SU X 12 SJ</t>
  </si>
  <si>
    <t>049081020743</t>
  </si>
  <si>
    <t>40049081020741</t>
  </si>
  <si>
    <t>1-A1-4-1-18</t>
  </si>
  <si>
    <t>1 MPT X 1-1/4 MPT SU X 18 SJ</t>
  </si>
  <si>
    <t>049081023881</t>
  </si>
  <si>
    <t>40049081023889</t>
  </si>
  <si>
    <t>1-A2-2-1-12</t>
  </si>
  <si>
    <t>1 SPG X 1 FPT SU X 12 SJ</t>
  </si>
  <si>
    <t>049081020811</t>
  </si>
  <si>
    <t>40049081020819</t>
  </si>
  <si>
    <t>1-A2-3-1-10</t>
  </si>
  <si>
    <t>1 SPG X 1 MPT SU X 10 SJ</t>
  </si>
  <si>
    <t>049081024390</t>
  </si>
  <si>
    <t>40049081024398</t>
  </si>
  <si>
    <t>1-A2-3-1-12</t>
  </si>
  <si>
    <t>1 SPG X 1 MPT SU X 12 SJ</t>
  </si>
  <si>
    <t>049081020828</t>
  </si>
  <si>
    <t>40049081020826</t>
  </si>
  <si>
    <t>1-A2-3-1-16</t>
  </si>
  <si>
    <t>1 SPG X 1 MIPT SU X 16 LL SJ</t>
  </si>
  <si>
    <t>049081031138</t>
  </si>
  <si>
    <t>40049081031136</t>
  </si>
  <si>
    <t>1-A2-3-1-18</t>
  </si>
  <si>
    <t>1 SPG X 1 MPT SU X 18 SJ</t>
  </si>
  <si>
    <t>049081022488</t>
  </si>
  <si>
    <t>40049081022486</t>
  </si>
  <si>
    <t>1-A2-3-1-6</t>
  </si>
  <si>
    <t>1 SPG X 1 MPT SU X 6 SJ</t>
  </si>
  <si>
    <t>049081024406</t>
  </si>
  <si>
    <t>40049081024404</t>
  </si>
  <si>
    <t>1-A2-3-1-8</t>
  </si>
  <si>
    <t>1 SPG X 1 MPT SU X 8 SJ</t>
  </si>
  <si>
    <t>049081020842</t>
  </si>
  <si>
    <t>40049081020840</t>
  </si>
  <si>
    <t>1-A4-1-1-18</t>
  </si>
  <si>
    <t>1 SOC X 1 SOC SU X 18 SJ</t>
  </si>
  <si>
    <t>049081024635</t>
  </si>
  <si>
    <t>40049081024633</t>
  </si>
  <si>
    <t>1-A4-2-1-12</t>
  </si>
  <si>
    <t>1 SOC X 1 FPT SU X 12 SJ</t>
  </si>
  <si>
    <t>049081020903</t>
  </si>
  <si>
    <t>40049081020901</t>
  </si>
  <si>
    <t>1-A4-2-1-18</t>
  </si>
  <si>
    <t>1 SOC X 1 FIPT SU X 18 LL SJ</t>
  </si>
  <si>
    <t>049081031428</t>
  </si>
  <si>
    <t>40049081031426</t>
  </si>
  <si>
    <t>1-A4-2-1-6</t>
  </si>
  <si>
    <t>1 SOC X 1 FPT SU X 6 SJ</t>
  </si>
  <si>
    <t>049081030872</t>
  </si>
  <si>
    <t>40049081030870</t>
  </si>
  <si>
    <t>1-A4-3-1-10</t>
  </si>
  <si>
    <t>1 SOC X 1 MPT SU X 10 SJ</t>
  </si>
  <si>
    <t>049081024765</t>
  </si>
  <si>
    <t>40049081024763</t>
  </si>
  <si>
    <t>1-A4-3-1-12</t>
  </si>
  <si>
    <t>1 SOC X 1 MPT SU X 12 SJ</t>
  </si>
  <si>
    <t>049081022242</t>
  </si>
  <si>
    <t>40049081022240</t>
  </si>
  <si>
    <t>1-A8-13-1-12</t>
  </si>
  <si>
    <t>4 SPG X 1 ACME SU X 12 SJ</t>
  </si>
  <si>
    <t>049081020033</t>
  </si>
  <si>
    <t>40049081020031</t>
  </si>
  <si>
    <t>1-A8-14-1-12</t>
  </si>
  <si>
    <t>4 SPG X 1-1/4 ACME SU X 12LL SJ</t>
  </si>
  <si>
    <t>049081022273</t>
  </si>
  <si>
    <t>40049081022271</t>
  </si>
  <si>
    <t>1-A8-22-1-12</t>
  </si>
  <si>
    <t>4 SPG X 1 BSP SU X 12 SJ</t>
  </si>
  <si>
    <t>049081020989</t>
  </si>
  <si>
    <t>40049081020987</t>
  </si>
  <si>
    <t>1-A8-22-1-18</t>
  </si>
  <si>
    <t>4 SPG X 1 BSPT SU X 18 LL SJ</t>
  </si>
  <si>
    <t>049081022051</t>
  </si>
  <si>
    <t>40049081022059</t>
  </si>
  <si>
    <t>1-A8-3-1-12</t>
  </si>
  <si>
    <t>4 SPG X 1 MPT SU X 12 SJ</t>
  </si>
  <si>
    <t>049081020057</t>
  </si>
  <si>
    <t>40049081020055</t>
  </si>
  <si>
    <t>1-A8-3-1-14</t>
  </si>
  <si>
    <t>4 SPG X 1 MIPT SU X 14 LL SJ</t>
  </si>
  <si>
    <t>049081031237</t>
  </si>
  <si>
    <t>40049081031235</t>
  </si>
  <si>
    <t>1-A8-3-1-16</t>
  </si>
  <si>
    <t>4 SPG X 1 MPT SU X 16 LL SJ</t>
  </si>
  <si>
    <t>049081020040</t>
  </si>
  <si>
    <t>40049081020048</t>
  </si>
  <si>
    <t>1-A8-3-1-18</t>
  </si>
  <si>
    <t>4 SPG X 1 MPT SU X 18 SJ</t>
  </si>
  <si>
    <t>049081025120</t>
  </si>
  <si>
    <t>40049081025128</t>
  </si>
  <si>
    <t>1-AF-13-1-12</t>
  </si>
  <si>
    <t>1-1/2 AQUAFUSE X 1 ACME SU X 12 SJ</t>
  </si>
  <si>
    <t>049081031596</t>
  </si>
  <si>
    <t>40049081031594</t>
  </si>
  <si>
    <t>1-AF-13-1-8</t>
  </si>
  <si>
    <t>1-1/2 AQUAFUSE X 1 ACME SU X 8 SJ</t>
  </si>
  <si>
    <t>049081031640</t>
  </si>
  <si>
    <t>40049081031648</t>
  </si>
  <si>
    <t>1-B1-1-1-12</t>
  </si>
  <si>
    <t>1 BSP X 1 SOC SU X 12 SJ</t>
  </si>
  <si>
    <t>049081021023</t>
  </si>
  <si>
    <t>40049081021021</t>
  </si>
  <si>
    <t>1-B1-13-1-12</t>
  </si>
  <si>
    <t>049081021030</t>
  </si>
  <si>
    <t>40049081021038</t>
  </si>
  <si>
    <t>1-B1-13-1-16</t>
  </si>
  <si>
    <t>049081030216</t>
  </si>
  <si>
    <t>40049081030214</t>
  </si>
  <si>
    <t>1-B1-13-1-18</t>
  </si>
  <si>
    <t>1 BSP X 1 ACME SU X 18 SJ</t>
  </si>
  <si>
    <t>049081021047</t>
  </si>
  <si>
    <t>40049081021045</t>
  </si>
  <si>
    <t>1-B1-14-1-10</t>
  </si>
  <si>
    <t>1 BSP X 1-1/4 ACME SU X 10 SJ</t>
  </si>
  <si>
    <t>049081025243</t>
  </si>
  <si>
    <t>40049081025241</t>
  </si>
  <si>
    <t>1-B1-14-1-12</t>
  </si>
  <si>
    <t>1 BSP X 1-1/4 ACME SU X 12 SJ</t>
  </si>
  <si>
    <t>049081021061</t>
  </si>
  <si>
    <t>40049081021069</t>
  </si>
  <si>
    <t>1-B1-14-1-6</t>
  </si>
  <si>
    <t>1 BSPB X 1-1/4 ACME SU X 6 LL SJ</t>
  </si>
  <si>
    <t>049081030285</t>
  </si>
  <si>
    <t>40049081030283</t>
  </si>
  <si>
    <t>1-B1-15-1-12</t>
  </si>
  <si>
    <t>1 BSPT X 1-1/2 ACME SU X 12 SJ</t>
  </si>
  <si>
    <t>049081021078</t>
  </si>
  <si>
    <t>40049081021076</t>
  </si>
  <si>
    <t>1-B1-15-1-6</t>
  </si>
  <si>
    <t>1 BSP X 1-1/2 ACME SU X 6 SJ</t>
  </si>
  <si>
    <t>049081021085</t>
  </si>
  <si>
    <t>40049081021083</t>
  </si>
  <si>
    <t>1-B1-22-1-12</t>
  </si>
  <si>
    <t>049081021108</t>
  </si>
  <si>
    <t>40049081021106</t>
  </si>
  <si>
    <t>1-B1-22-1-14</t>
  </si>
  <si>
    <t>1 BSP X 1 BSP SU X 14 SJ</t>
  </si>
  <si>
    <t>049081021115</t>
  </si>
  <si>
    <t>40049081021113</t>
  </si>
  <si>
    <t>1-B1-22-1-16</t>
  </si>
  <si>
    <t>049081021122</t>
  </si>
  <si>
    <t>40049081021120</t>
  </si>
  <si>
    <t>1-B1-22-1-18</t>
  </si>
  <si>
    <t>1 BSP X 1 BSP SU X 18 SJ</t>
  </si>
  <si>
    <t>049081021139</t>
  </si>
  <si>
    <t>40049081021137</t>
  </si>
  <si>
    <t>1-B1-22-1-6</t>
  </si>
  <si>
    <t>1 BSP X 1 BSP SU X 6 SJ</t>
  </si>
  <si>
    <t>049081021146</t>
  </si>
  <si>
    <t>40049081021144</t>
  </si>
  <si>
    <t>1-B1-22-1-8</t>
  </si>
  <si>
    <t>1 BSP X 1 BSP SU X 8 SJ</t>
  </si>
  <si>
    <t>049081021153</t>
  </si>
  <si>
    <t>40049081021151</t>
  </si>
  <si>
    <t>1-B1-23-1-12</t>
  </si>
  <si>
    <t>1 BSP X 1-1/4 BSP SU X 12 SJ</t>
  </si>
  <si>
    <t>049081021191</t>
  </si>
  <si>
    <t>40049081021199</t>
  </si>
  <si>
    <t>1-B1-3-1-12</t>
  </si>
  <si>
    <t>1 BSP X 1 MPT SU X 12 SJ</t>
  </si>
  <si>
    <t>049081021207</t>
  </si>
  <si>
    <t>40049081021205</t>
  </si>
  <si>
    <t>1-D1-13-1-12</t>
  </si>
  <si>
    <t>25 DN SPG X 1 ACME SU X 12 LL SJ</t>
  </si>
  <si>
    <t>049081022815</t>
  </si>
  <si>
    <t>40049081022813</t>
  </si>
  <si>
    <t>1-D1-14-1-12</t>
  </si>
  <si>
    <t>32MM SPG X 1-1/4 ACME SU X 12 SJ</t>
  </si>
  <si>
    <t>049081020071</t>
  </si>
  <si>
    <t>40049081020079</t>
  </si>
  <si>
    <t>1-D1-22-1-12</t>
  </si>
  <si>
    <t>25DN SPG X 1 BSP SU X 12 SJ</t>
  </si>
  <si>
    <t>049081021214</t>
  </si>
  <si>
    <t>40049081021212</t>
  </si>
  <si>
    <t>1-D1-23-1-12</t>
  </si>
  <si>
    <t>25DN SPG X 1-1/4 BSP SU X 12 LL SJ</t>
  </si>
  <si>
    <t>049081021238</t>
  </si>
  <si>
    <t>40049081021236</t>
  </si>
  <si>
    <t>1-D1-3-1-12</t>
  </si>
  <si>
    <t>25DN SPG X 1 MPT SU X 12 SJ</t>
  </si>
  <si>
    <t>049081021245</t>
  </si>
  <si>
    <t>40049081021243</t>
  </si>
  <si>
    <t>1-J4-13-1-12</t>
  </si>
  <si>
    <t>25MM SOC X 1 ACME SU X 12 SJ</t>
  </si>
  <si>
    <t>049081021283</t>
  </si>
  <si>
    <t>40049081021281</t>
  </si>
  <si>
    <t>1-J4-22-1-12</t>
  </si>
  <si>
    <t>25MM SOC X 1 BSPT SU X 12 SJ</t>
  </si>
  <si>
    <t>049081021290</t>
  </si>
  <si>
    <t>40049081021298</t>
  </si>
  <si>
    <t>1-J4-3-1-12</t>
  </si>
  <si>
    <t>25MM SOC X 1 MPT SU X 12 SJ</t>
  </si>
  <si>
    <t>049081021306</t>
  </si>
  <si>
    <t>40049081021304</t>
  </si>
  <si>
    <t>2-17-16-1-12</t>
  </si>
  <si>
    <t>1-1/4 ACME X 1 ACME SU X 12 LL SJ</t>
  </si>
  <si>
    <t>049081025632</t>
  </si>
  <si>
    <t>40049081025630</t>
  </si>
  <si>
    <t>2-18-16-1-12</t>
  </si>
  <si>
    <t>1-1/2 ACME X 1 ACME SU X 12 SJ</t>
  </si>
  <si>
    <t>049081025717</t>
  </si>
  <si>
    <t>40049081025715</t>
  </si>
  <si>
    <t>2-18-16-1-18</t>
  </si>
  <si>
    <t>1-1/2 ACME X 1 ACME SU X 18 LL SJ</t>
  </si>
  <si>
    <t>049081031664</t>
  </si>
  <si>
    <t>40049081031662</t>
  </si>
  <si>
    <t>2-22-16-1-12</t>
  </si>
  <si>
    <t>1-1/4 BSP X 1 ACME SU X 12 SJ</t>
  </si>
  <si>
    <t>049081021313</t>
  </si>
  <si>
    <t>40049081021311</t>
  </si>
  <si>
    <t>2-22-17-1-12</t>
  </si>
  <si>
    <t>1-1/4 BSP X 1-1/4 ACME SU X 12 SJ</t>
  </si>
  <si>
    <t>049081021320</t>
  </si>
  <si>
    <t>40049081021328</t>
  </si>
  <si>
    <t>2-22-18-1-12</t>
  </si>
  <si>
    <t>1-1/4 BSP X 1-1/2 ACME SU X 12 SJ</t>
  </si>
  <si>
    <t>049081021337</t>
  </si>
  <si>
    <t>40049081021335</t>
  </si>
  <si>
    <t>2-22-22-1-12</t>
  </si>
  <si>
    <t>1-1/4 BSP X 1-1/4 BSP SU X12 SJ</t>
  </si>
  <si>
    <t>049081021344</t>
  </si>
  <si>
    <t>40049081021342</t>
  </si>
  <si>
    <t>2-A1-16-1-12</t>
  </si>
  <si>
    <t>1-1/4 MPT X 1 ACME X 12 SU SJ</t>
  </si>
  <si>
    <t>049081025779</t>
  </si>
  <si>
    <t>40049081025777</t>
  </si>
  <si>
    <t>2-A1-16-1-18</t>
  </si>
  <si>
    <t>1-1/4 MPT X 1 ACME SU X 18 SJ</t>
  </si>
  <si>
    <t>049081025786</t>
  </si>
  <si>
    <t>40049081025784</t>
  </si>
  <si>
    <t>2-A1-17-1-12</t>
  </si>
  <si>
    <t>1-1/4 MPT X 1-1/4 ACME SU X 12 SJ</t>
  </si>
  <si>
    <t>049081021351</t>
  </si>
  <si>
    <t>40049081021359</t>
  </si>
  <si>
    <t>2-A1-17-1-18</t>
  </si>
  <si>
    <t>1-1/4 MPT X 1-1/4 ACME SU X 18 SJ</t>
  </si>
  <si>
    <t>049081025830</t>
  </si>
  <si>
    <t>40049081025838</t>
  </si>
  <si>
    <t>2-A1-18-1-12</t>
  </si>
  <si>
    <t>1-1/4 MPT X 1-1/2 ACME SU X 12 SJ</t>
  </si>
  <si>
    <t>049081021368</t>
  </si>
  <si>
    <t>40049081021366</t>
  </si>
  <si>
    <t>2-A1-18-1-18</t>
  </si>
  <si>
    <t>1-1/4 MPT X 1-1/2 ACME SU X 18 SJ</t>
  </si>
  <si>
    <t>049081025885</t>
  </si>
  <si>
    <t>40049081025883</t>
  </si>
  <si>
    <t>2-A1-3-1-10</t>
  </si>
  <si>
    <t>1-1/4 MPT X 1-1/4 MPT SU X 10 SJ</t>
  </si>
  <si>
    <t>049081025946</t>
  </si>
  <si>
    <t>40049081025944</t>
  </si>
  <si>
    <t>2-A1-3-1-12</t>
  </si>
  <si>
    <t>1-1/4 MPT X 1-1/4 MPT SU X 12 SJ</t>
  </si>
  <si>
    <t>049081021382</t>
  </si>
  <si>
    <t>40049081021380</t>
  </si>
  <si>
    <t>2-A1-3-1-18</t>
  </si>
  <si>
    <t>1-1/4 MPT X 1-1/4 MPT SU X 18 SJ</t>
  </si>
  <si>
    <t>049081025977</t>
  </si>
  <si>
    <t>40049081025975</t>
  </si>
  <si>
    <t>2-A1-3-1-8</t>
  </si>
  <si>
    <t>1-1/4 MPT X 1-1/4 MPT SU X 8 SJ</t>
  </si>
  <si>
    <t>049081022778</t>
  </si>
  <si>
    <t>40049081022776</t>
  </si>
  <si>
    <t>2-A1-6-1-12</t>
  </si>
  <si>
    <t>1-1/4 MPT X 1-1/2 MPT SU X 12 SJ</t>
  </si>
  <si>
    <t>049081020132</t>
  </si>
  <si>
    <t>40049081020130</t>
  </si>
  <si>
    <t>2-A1-6-1-18</t>
  </si>
  <si>
    <t>1-1/4 MPT X 1-1/2 MPT SU X 18 SJ</t>
  </si>
  <si>
    <t>049081026073</t>
  </si>
  <si>
    <t>40049081026071</t>
  </si>
  <si>
    <t>2-A1-7-1-10</t>
  </si>
  <si>
    <t>1-1/4 MPT X 1 MPT SU X 10 SJ</t>
  </si>
  <si>
    <t>2-A1-7-1-12</t>
  </si>
  <si>
    <t>1-1/4 MPT X 1 MPT SU X 12 SJ</t>
  </si>
  <si>
    <t>049081022501</t>
  </si>
  <si>
    <t>40049081022509</t>
  </si>
  <si>
    <t>2-A1-7-1-14</t>
  </si>
  <si>
    <t>1-1/4 MPT X 1 MPT SU X 14 SJ</t>
  </si>
  <si>
    <t>049081026103</t>
  </si>
  <si>
    <t>40049081026101</t>
  </si>
  <si>
    <t>2-A1-7-1-18</t>
  </si>
  <si>
    <t>1-1/4 MPT X 1 MPT SU X 18 SJ</t>
  </si>
  <si>
    <t>049081026127</t>
  </si>
  <si>
    <t>40049081026125</t>
  </si>
  <si>
    <t>2-A2-16-1-12</t>
  </si>
  <si>
    <t>1-1/4 SPG X 1 ACME OUTLET 12 SJ</t>
  </si>
  <si>
    <t>049081021405</t>
  </si>
  <si>
    <t>40049081021403</t>
  </si>
  <si>
    <t>2-A2-17-1-12</t>
  </si>
  <si>
    <t>1-1/4 SPG X 1-1/4 ACME SU X 12 SJ</t>
  </si>
  <si>
    <t>049081022877</t>
  </si>
  <si>
    <t>40049081022875</t>
  </si>
  <si>
    <t>2-A2-3-1-12</t>
  </si>
  <si>
    <t>1-1/4 SPG X 1-1/4 MPT SU X 12 SJ</t>
  </si>
  <si>
    <t>049081026424</t>
  </si>
  <si>
    <t>40049081026422</t>
  </si>
  <si>
    <t>2-A2-3-1-8</t>
  </si>
  <si>
    <t>1-1/4 SPG X 1-1/4 MPT SU X 8 SJ</t>
  </si>
  <si>
    <t>049081026431</t>
  </si>
  <si>
    <t>40049081026439</t>
  </si>
  <si>
    <t>2-A2-7-1-18</t>
  </si>
  <si>
    <t>1-1/4 SPG X 1 MPT SU X 18 SJ</t>
  </si>
  <si>
    <t>049081026684</t>
  </si>
  <si>
    <t>40049081026682</t>
  </si>
  <si>
    <t>2-A4-1-1-12</t>
  </si>
  <si>
    <t>1-1/4 SOC X 1-1/4 SOC SU X 12LL SJ</t>
  </si>
  <si>
    <t>049081031190</t>
  </si>
  <si>
    <t>40049081031198</t>
  </si>
  <si>
    <t>2-A4-16-1-12</t>
  </si>
  <si>
    <t>1-1/4 SOC X 1 ACME SU X 12 LL SJ</t>
  </si>
  <si>
    <t>049081031473</t>
  </si>
  <si>
    <t>40049081031471</t>
  </si>
  <si>
    <t>2-A8-16-1-12</t>
  </si>
  <si>
    <t>4 SPG (1-1/4) X 1 ACME SU X 12 SJ</t>
  </si>
  <si>
    <t>049081022518</t>
  </si>
  <si>
    <t>40049081022516</t>
  </si>
  <si>
    <t>2-A8-16-1-18</t>
  </si>
  <si>
    <t>4 SPG X 1 ACME SU X 18 SJ</t>
  </si>
  <si>
    <t>049081022112</t>
  </si>
  <si>
    <t>40049081022110</t>
  </si>
  <si>
    <t>2-A8-17-1-12</t>
  </si>
  <si>
    <t>4 SPG X 1-1/4 ACME SU X 12 SJ</t>
  </si>
  <si>
    <t>049081026981</t>
  </si>
  <si>
    <t>40049081026989</t>
  </si>
  <si>
    <t>2-A8-18-1-12</t>
  </si>
  <si>
    <t>4 SPG X 1-1/2 ACME SU X 12 SJ</t>
  </si>
  <si>
    <t>049081027018</t>
  </si>
  <si>
    <t>40049081027016</t>
  </si>
  <si>
    <t>2-A8-3-1-10</t>
  </si>
  <si>
    <t>4 SPG X 1-1/4 MPT SU X 10 SJ</t>
  </si>
  <si>
    <t>049081027032</t>
  </si>
  <si>
    <t>40049081027030</t>
  </si>
  <si>
    <t>2-A8-3-1-12</t>
  </si>
  <si>
    <t>4 SPG X 1-1/4 MPT SU X 12 SJ</t>
  </si>
  <si>
    <t>049081021474</t>
  </si>
  <si>
    <t>40049081021472</t>
  </si>
  <si>
    <t>2-A8-7-1-12</t>
  </si>
  <si>
    <t>049081021481</t>
  </si>
  <si>
    <t>40049081021489</t>
  </si>
  <si>
    <t>2-AF-16-1-12</t>
  </si>
  <si>
    <t>049081031589</t>
  </si>
  <si>
    <t>40049081031587</t>
  </si>
  <si>
    <t>2-AF-16-1-8</t>
  </si>
  <si>
    <t>049081031527</t>
  </si>
  <si>
    <t>40049081031525</t>
  </si>
  <si>
    <t>2-AF-16-2-12</t>
  </si>
  <si>
    <t>1-1/2 AQUAFUSE X 1 ACME UU X 12 SJ</t>
  </si>
  <si>
    <t>049081031480</t>
  </si>
  <si>
    <t>40049081031488</t>
  </si>
  <si>
    <t>2-AF-16-2-8</t>
  </si>
  <si>
    <t>1-1/2 AQUAFUSE X 1 ACME UU X 8 SJ</t>
  </si>
  <si>
    <t>049081031602</t>
  </si>
  <si>
    <t>40049081031600</t>
  </si>
  <si>
    <t>2-B1-16-1-12</t>
  </si>
  <si>
    <t>1-1/4 BSPT X 1 ACME SU X 12 SJ</t>
  </si>
  <si>
    <t>049081027131</t>
  </si>
  <si>
    <t>40049081027139</t>
  </si>
  <si>
    <t>2-B1-17-1-12</t>
  </si>
  <si>
    <t>1-1/4 BSPT X 1-1/4 ACME SU X 12 SJ</t>
  </si>
  <si>
    <t>049081021504</t>
  </si>
  <si>
    <t>40049081021502</t>
  </si>
  <si>
    <t>2-B1-18-1-12</t>
  </si>
  <si>
    <t>049081021511</t>
  </si>
  <si>
    <t>40049081021519</t>
  </si>
  <si>
    <t>2-B1-22-1-12</t>
  </si>
  <si>
    <t>1-1/4 BSP X 1-1/4 BSP SU X 12 SJ</t>
  </si>
  <si>
    <t>049081021528</t>
  </si>
  <si>
    <t>40049081021526</t>
  </si>
  <si>
    <t>2-B1-25-1-12</t>
  </si>
  <si>
    <t>1-1/4 BSP X 1-1/2 BSP SU X 12 SJ</t>
  </si>
  <si>
    <t>049081027209</t>
  </si>
  <si>
    <t>40049081027207</t>
  </si>
  <si>
    <t>2-B1-26-1-12</t>
  </si>
  <si>
    <t>1-1/4 BSP X 1 BSP SU X 12 LL SJ</t>
  </si>
  <si>
    <t>049081021542</t>
  </si>
  <si>
    <t>40049081021540</t>
  </si>
  <si>
    <t>2-D2-17-1-12</t>
  </si>
  <si>
    <t>32DN SPG X 1-1/4 ACME SU X 12LL SJ</t>
  </si>
  <si>
    <t>049081022709</t>
  </si>
  <si>
    <t>40049081022707</t>
  </si>
  <si>
    <t>3-21-21-1-12</t>
  </si>
  <si>
    <t>1-1/2 ACME X 1-1/2 ACME SU X 12 SJ</t>
  </si>
  <si>
    <t>049081022525</t>
  </si>
  <si>
    <t>40049081022523</t>
  </si>
  <si>
    <t>3-21-21-1-18</t>
  </si>
  <si>
    <t>1-1/2 ACME X 1-1/2 ACME SU X 18 SJ</t>
  </si>
  <si>
    <t>049081027292</t>
  </si>
  <si>
    <t>40049081027290</t>
  </si>
  <si>
    <t>3-21-21-1-8</t>
  </si>
  <si>
    <t>1-1/2 ACME X 1-1/2 ACME SU X 8 SJ</t>
  </si>
  <si>
    <t>049081029685</t>
  </si>
  <si>
    <t>40049081029683</t>
  </si>
  <si>
    <t>3-21-22-1-12</t>
  </si>
  <si>
    <t>1-1/2 ACME X 1-1/2 BSPT SU X 12 SJ</t>
  </si>
  <si>
    <t>049081031381</t>
  </si>
  <si>
    <t>40049081031389</t>
  </si>
  <si>
    <t>3-21-3-1-12</t>
  </si>
  <si>
    <t>1-1/2 ACME X 1-1/2 MPT SU X 12 SJ</t>
  </si>
  <si>
    <t>049081027308</t>
  </si>
  <si>
    <t>40049081027306</t>
  </si>
  <si>
    <t>3-21-QC-1-12</t>
  </si>
  <si>
    <t>1-1/2 ACME X 1-1/2 QC SU X 12 SJ</t>
  </si>
  <si>
    <t>049081027322</t>
  </si>
  <si>
    <t>40049081027320</t>
  </si>
  <si>
    <t>3-21-QC-1-18</t>
  </si>
  <si>
    <t>1-1/2 ACME X 1-1/2 QC SU X 18 SJ</t>
  </si>
  <si>
    <t>049081027339</t>
  </si>
  <si>
    <t>40049081027337</t>
  </si>
  <si>
    <t>3-22-21-1-12</t>
  </si>
  <si>
    <t>1-1/2 BSP X 1-1/2 ACME X 12 SJ</t>
  </si>
  <si>
    <t>049081021566</t>
  </si>
  <si>
    <t>40049081021564</t>
  </si>
  <si>
    <t>3-22-21-1-16</t>
  </si>
  <si>
    <t>1-1/2 BSPT X 1-1/2 ACME SU X 16 SJ</t>
  </si>
  <si>
    <t>049081031275</t>
  </si>
  <si>
    <t>40049081031273</t>
  </si>
  <si>
    <t>3-22-21-1-18</t>
  </si>
  <si>
    <t>1-1/2 BSPT X 1-1/2 ACME SU X 18 SJ</t>
  </si>
  <si>
    <t>049081030353</t>
  </si>
  <si>
    <t>40049081030351</t>
  </si>
  <si>
    <t>3-22-22-1-12</t>
  </si>
  <si>
    <t>1-1/2 BSP X 1-1/2 BSP SU X12 SJ</t>
  </si>
  <si>
    <t>049081021573</t>
  </si>
  <si>
    <t>40049081021571</t>
  </si>
  <si>
    <t>3-27-21-1-12</t>
  </si>
  <si>
    <t>1-1/4 BSPT X 1-1/2 ACME SU X 12 SJ</t>
  </si>
  <si>
    <t>049081031565</t>
  </si>
  <si>
    <t>40049081031563</t>
  </si>
  <si>
    <t>3-A1-19-1-12</t>
  </si>
  <si>
    <t>1-1/2 MPT X 1 ACME SU X 12 SJ</t>
  </si>
  <si>
    <t>049081021610</t>
  </si>
  <si>
    <t>40049081021618</t>
  </si>
  <si>
    <t>3-A1-20-1-12</t>
  </si>
  <si>
    <t>1-1/2 MPT X 1-1/4 ACME SU X 12 SJ</t>
  </si>
  <si>
    <t>049081021627</t>
  </si>
  <si>
    <t>40049081021625</t>
  </si>
  <si>
    <t>3-A1-21-1-12</t>
  </si>
  <si>
    <t>1-1/2 MPT X 1-1/2 ACME SU X 12 SJ</t>
  </si>
  <si>
    <t>049081021665</t>
  </si>
  <si>
    <t>40049081021663</t>
  </si>
  <si>
    <t>3-A1-21-1-16</t>
  </si>
  <si>
    <t>1-1/2 MPT X 1-1/2 ACME SU X 16 SJ</t>
  </si>
  <si>
    <t>049081022846</t>
  </si>
  <si>
    <t>40049081022844</t>
  </si>
  <si>
    <t>3-A1-21-1-18</t>
  </si>
  <si>
    <t>1-1/2 MPT X 1-1/2 ACME SU X 18 SJ</t>
  </si>
  <si>
    <t>049081027674</t>
  </si>
  <si>
    <t>40049081027672</t>
  </si>
  <si>
    <t>3-A1-21-1-6</t>
  </si>
  <si>
    <t>1-1/2 MIPT X 1-1/2 ACME SU X 6 SJ</t>
  </si>
  <si>
    <t>049081030780</t>
  </si>
  <si>
    <t>40049081030788</t>
  </si>
  <si>
    <t>3-A1-3-1-10</t>
  </si>
  <si>
    <t>1-1/2 MPT X 1-1/2 MPT SU X 10 SJ</t>
  </si>
  <si>
    <t>049081021696</t>
  </si>
  <si>
    <t>40049081021694</t>
  </si>
  <si>
    <t>3-A1-3-1-12</t>
  </si>
  <si>
    <t>1-1/2 MPT X 1-1/2 MPT SU X 12 SJ</t>
  </si>
  <si>
    <t>049081020194</t>
  </si>
  <si>
    <t>40049081020192</t>
  </si>
  <si>
    <t>3-A1-3-1-14</t>
  </si>
  <si>
    <t>1-1/2 MPT X 1-1/2 MPT SU X 14 SJ</t>
  </si>
  <si>
    <t>049081027773</t>
  </si>
  <si>
    <t>40049081027771</t>
  </si>
  <si>
    <t>3-A1-3-1-16</t>
  </si>
  <si>
    <t>1-1/2 MPT X 1-1/2 MPT SU X 16 SJ</t>
  </si>
  <si>
    <t>049081027780</t>
  </si>
  <si>
    <t>40049081027788</t>
  </si>
  <si>
    <t>3-A1-3-1-18</t>
  </si>
  <si>
    <t>1-1/2 MPT X 1-1/2 MPT SU X 18 SJ</t>
  </si>
  <si>
    <t>049081022181</t>
  </si>
  <si>
    <t>40049081022189</t>
  </si>
  <si>
    <t>3-A1-3-1-8</t>
  </si>
  <si>
    <t>1-1/2 MPT X 1-1/2 MPT SU X 8 SJ</t>
  </si>
  <si>
    <t>049081021702</t>
  </si>
  <si>
    <t>40049081021700</t>
  </si>
  <si>
    <t>3-A1-8-1-12</t>
  </si>
  <si>
    <t>1-1/2 MPT X 1 MPT SU X 12 SJ</t>
  </si>
  <si>
    <t>049081021733</t>
  </si>
  <si>
    <t>40049081021731</t>
  </si>
  <si>
    <t>3-A1-9-1-12</t>
  </si>
  <si>
    <t>1-1/2 MPT X 1-1/4 MPT SU X 12 SJ</t>
  </si>
  <si>
    <t>049081027940</t>
  </si>
  <si>
    <t>40049081027948</t>
  </si>
  <si>
    <t>3-A1-9-1-18</t>
  </si>
  <si>
    <t>1-1/2 MPT X 1-1/4 MPT SU X 18 SJ</t>
  </si>
  <si>
    <t>049081027964</t>
  </si>
  <si>
    <t>40049081027962</t>
  </si>
  <si>
    <t>3-A2-21-1-12</t>
  </si>
  <si>
    <t>1-1/2 SPG X 1-1/2 ACME SU X 12 SJ</t>
  </si>
  <si>
    <t>049081021740</t>
  </si>
  <si>
    <t>40049081021748</t>
  </si>
  <si>
    <t>3-A2-3-1-12</t>
  </si>
  <si>
    <t>1-1/2 SPG X 1-1/2 MPT SU X 12 SJ</t>
  </si>
  <si>
    <t>049081021757</t>
  </si>
  <si>
    <t>40049081021755</t>
  </si>
  <si>
    <t>3-A2-3-1-18</t>
  </si>
  <si>
    <t>1-1/2 SPG X 1-1/2 MPT SU X 18 SJ</t>
  </si>
  <si>
    <t>049081028145</t>
  </si>
  <si>
    <t>40049081028143</t>
  </si>
  <si>
    <t>3-A3-21-1-12</t>
  </si>
  <si>
    <t>2 SPG X 1-1/2 ACME SU X 12 SJ</t>
  </si>
  <si>
    <t>049081030889</t>
  </si>
  <si>
    <t>40049081030887</t>
  </si>
  <si>
    <t>3-A3-3-1-12</t>
  </si>
  <si>
    <t>2 SPG X 1-1/2 MPT SU X 12 SJ</t>
  </si>
  <si>
    <t>049081028404</t>
  </si>
  <si>
    <t>40049081028402</t>
  </si>
  <si>
    <t>3-A4-1-1-18</t>
  </si>
  <si>
    <t>1-1/2 SOC X 1-1/2 SOC SU X 18 SJ</t>
  </si>
  <si>
    <t>049081028725</t>
  </si>
  <si>
    <t>40049081028723</t>
  </si>
  <si>
    <t>3-A4-3-1-12</t>
  </si>
  <si>
    <t>1-1/2 SOC X 1-1/2 MPT SU X 12 SJ</t>
  </si>
  <si>
    <t>049081022891</t>
  </si>
  <si>
    <t>40049081022899</t>
  </si>
  <si>
    <t>3-A5-21-1-12</t>
  </si>
  <si>
    <t>2 SOC X 1-1/2 ACME SU X 12 SJ</t>
  </si>
  <si>
    <t>049081030773</t>
  </si>
  <si>
    <t>40049081030771</t>
  </si>
  <si>
    <t>3-A8-21-1-12</t>
  </si>
  <si>
    <t>049081022105</t>
  </si>
  <si>
    <t>40049081022103</t>
  </si>
  <si>
    <t>3-A8-21-1-18</t>
  </si>
  <si>
    <t>4 SPG X 1-1/2 ACME SU X 18 SJ</t>
  </si>
  <si>
    <t>049081022129</t>
  </si>
  <si>
    <t>40049081022127</t>
  </si>
  <si>
    <t>3-A8-3-1-12</t>
  </si>
  <si>
    <t>4 SPG X 1-1/2 MPT SU X 12 SJ</t>
  </si>
  <si>
    <t>049081021801</t>
  </si>
  <si>
    <t>40049081021809</t>
  </si>
  <si>
    <t>3-A8-3-1-14</t>
  </si>
  <si>
    <t>4 SPG X 1-1/2 MIPT SU X 14LL SJ</t>
  </si>
  <si>
    <t>049081029609</t>
  </si>
  <si>
    <t>40049081029607</t>
  </si>
  <si>
    <t>3-A8-3-1-16</t>
  </si>
  <si>
    <t>1-1/2(4)SPGX1-1/2MPT SUX16LL SJ</t>
  </si>
  <si>
    <t>049081029029</t>
  </si>
  <si>
    <t>40049081029027</t>
  </si>
  <si>
    <t>3-A8-3-1-18</t>
  </si>
  <si>
    <t>4 SPG X 1-1/2 MPT SU X 18LL SJ</t>
  </si>
  <si>
    <t>049081021818</t>
  </si>
  <si>
    <t>40049081021816</t>
  </si>
  <si>
    <t>3-AF-21-1-12</t>
  </si>
  <si>
    <t>1-1/2 AQFS X 1-1/2 ACME SU X 12 SJ</t>
  </si>
  <si>
    <t>049081031541</t>
  </si>
  <si>
    <t>40049081031549</t>
  </si>
  <si>
    <t>3-AF-2-11-12</t>
  </si>
  <si>
    <t>1-1/2AQFS X 1-1/2BRS MPT SU X12 SJ</t>
  </si>
  <si>
    <t>049081031619</t>
  </si>
  <si>
    <t>40049081031617</t>
  </si>
  <si>
    <t>3-AF-2-11-18</t>
  </si>
  <si>
    <t>1-1/2AQFS X 1-1/2BRS MPT SU X18 SJ</t>
  </si>
  <si>
    <t>049081031626</t>
  </si>
  <si>
    <t>40049081031624</t>
  </si>
  <si>
    <t>3-AF-21-1-8</t>
  </si>
  <si>
    <t>1-1/2 AQFS X 1-1/2 ACME SU X 8 SJ</t>
  </si>
  <si>
    <t>049081031633</t>
  </si>
  <si>
    <t>40049081031631</t>
  </si>
  <si>
    <t>3-B1-19-1-12</t>
  </si>
  <si>
    <t>1-1/2 BSPT X 1 ACME SU X 12LL SJ</t>
  </si>
  <si>
    <t>049081029630</t>
  </si>
  <si>
    <t>40049081029638</t>
  </si>
  <si>
    <t>3-B1-20-1-12</t>
  </si>
  <si>
    <t>1-1/2 BSP X 1-1/4 ACME SU X 12 SJ</t>
  </si>
  <si>
    <t>049081021863</t>
  </si>
  <si>
    <t>40049081021861</t>
  </si>
  <si>
    <t>3-B1-20-1-6</t>
  </si>
  <si>
    <t>1-1/2 BSPT X 1-1/4 ACME SU X 6 SJ</t>
  </si>
  <si>
    <t>049081022259</t>
  </si>
  <si>
    <t>40049081022257</t>
  </si>
  <si>
    <t>3-B1-21-1-12</t>
  </si>
  <si>
    <t>1-1/2 BSP X 1-1/2 ACME SU X 12 SJ</t>
  </si>
  <si>
    <t>049081021887</t>
  </si>
  <si>
    <t>40049081021885</t>
  </si>
  <si>
    <t>3-B1-21-1-14</t>
  </si>
  <si>
    <t>1-1/2 BSPT X 1-1/2 ACME SU X 14 SJ</t>
  </si>
  <si>
    <t>049081030766</t>
  </si>
  <si>
    <t>40049081030764</t>
  </si>
  <si>
    <t>3-B1-21-1-16</t>
  </si>
  <si>
    <t>049081031053</t>
  </si>
  <si>
    <t>40049081031051</t>
  </si>
  <si>
    <t>3-B1-21-1-18</t>
  </si>
  <si>
    <t>1-1/2 BSP X 1-1/2 ACME SU X 18 SJ</t>
  </si>
  <si>
    <t>049081021894</t>
  </si>
  <si>
    <t>40049081021892</t>
  </si>
  <si>
    <t>3-B1-21-1-6</t>
  </si>
  <si>
    <t>1-1/2 BSPT X 1-1/2 ACME SU X 6 SJ</t>
  </si>
  <si>
    <t>049081022266</t>
  </si>
  <si>
    <t>40049081022264</t>
  </si>
  <si>
    <t>3-B1-22-1-12</t>
  </si>
  <si>
    <t>1-1/2 BSP X 1-1/2 BSP SU X 12 SJ</t>
  </si>
  <si>
    <t>049081021924</t>
  </si>
  <si>
    <t>40049081021922</t>
  </si>
  <si>
    <t>3-B1-22-1-16</t>
  </si>
  <si>
    <t>1-1/2 BSP X 1-1/2 BSP SU X 16 SJ</t>
  </si>
  <si>
    <t>049081021931</t>
  </si>
  <si>
    <t>40049081021939</t>
  </si>
  <si>
    <t>3-B1-22-1-18</t>
  </si>
  <si>
    <t>1-1/2 BSP X 1-1/2 BSP SU X 18 SJ</t>
  </si>
  <si>
    <t>049081021948</t>
  </si>
  <si>
    <t>40049081021946</t>
  </si>
  <si>
    <t>3-B1-22-1-6</t>
  </si>
  <si>
    <t>1-1/2 BSP X 1-1/2 BSP SU X 6 SJ</t>
  </si>
  <si>
    <t>049081021955</t>
  </si>
  <si>
    <t>40049081021953</t>
  </si>
  <si>
    <t>3-B1-22-1-8</t>
  </si>
  <si>
    <t>1-1/2 BSP X 1-1/2 BSP SU X 8 SJ</t>
  </si>
  <si>
    <t>049081021962</t>
  </si>
  <si>
    <t>40049081021960</t>
  </si>
  <si>
    <t>3-B1-27-1-6</t>
  </si>
  <si>
    <t>1-1/2 BSPT X 1-1/4 BSPT SU X 6 SJ</t>
  </si>
  <si>
    <t>049081030957</t>
  </si>
  <si>
    <t>40049081030955</t>
  </si>
  <si>
    <t>3-B1-3-1-12</t>
  </si>
  <si>
    <t>1-1/2 BSP X 1-1/2 MPT SU X 12 SJ</t>
  </si>
  <si>
    <t>049081029289</t>
  </si>
  <si>
    <t>40049081029287</t>
  </si>
  <si>
    <t>3-B1-3-1-18</t>
  </si>
  <si>
    <t>1-1/2 BSP X 1-1/2 MPT SU X 18 SJ</t>
  </si>
  <si>
    <t>049081029296</t>
  </si>
  <si>
    <t>40049081029294</t>
  </si>
  <si>
    <t>3-D3-21-1-12</t>
  </si>
  <si>
    <t>40DN SPG X 1-1/2 ACME SU X 12 SJ</t>
  </si>
  <si>
    <t>049081020095</t>
  </si>
  <si>
    <t>40049081020093</t>
  </si>
  <si>
    <t>3-D3-3-1-12</t>
  </si>
  <si>
    <t>40DN SPG X 1-1/2 MPT SU X 12 SJ</t>
  </si>
  <si>
    <t>049081029371</t>
  </si>
  <si>
    <t>40049081029379</t>
  </si>
  <si>
    <t>3-J6-21-1-12</t>
  </si>
  <si>
    <t>40MM SOC X 1-1/2 ACME SU X 12 SJ</t>
  </si>
  <si>
    <t>049081029425</t>
  </si>
  <si>
    <t>40049081029423</t>
  </si>
  <si>
    <t>3-J6-22-1-12</t>
  </si>
  <si>
    <t>40MM SOC X 1-1/2 BSPT SU X 12 SJ</t>
  </si>
  <si>
    <t>049081022044</t>
  </si>
  <si>
    <t>40049081022042</t>
  </si>
  <si>
    <t>ACME Base Standard Unibody Swing Joint</t>
  </si>
  <si>
    <t>1-A1-1-15-8</t>
  </si>
  <si>
    <t>1 ACME X 1 SOCKET SU X 8 LL SJ</t>
  </si>
  <si>
    <t>049081030155</t>
  </si>
  <si>
    <t>40049081030153</t>
  </si>
  <si>
    <t>1-A1-13-15-12</t>
  </si>
  <si>
    <t>1 ACME X 1 ACME SU X 12 SJ</t>
  </si>
  <si>
    <t>049081020491</t>
  </si>
  <si>
    <t>40049081020499</t>
  </si>
  <si>
    <t>1-A1-13-15-18</t>
  </si>
  <si>
    <t>1 ACME X 1 ACME SU X 18 SJ</t>
  </si>
  <si>
    <t>049081023270</t>
  </si>
  <si>
    <t>40049081023278</t>
  </si>
  <si>
    <t>1-A1-15-15-12</t>
  </si>
  <si>
    <t>1 X 1-1/2 ACME BASE SU X 12 LL SJ</t>
  </si>
  <si>
    <t>049081023416</t>
  </si>
  <si>
    <t>40049081023414</t>
  </si>
  <si>
    <t>1-A1-3-15-12</t>
  </si>
  <si>
    <t>1 ACME X 1 MPT SU X 12 SJ</t>
  </si>
  <si>
    <t>049081022594</t>
  </si>
  <si>
    <t>40049081022592</t>
  </si>
  <si>
    <t>1-A1-3-15-18</t>
  </si>
  <si>
    <t>049081020682</t>
  </si>
  <si>
    <t>40049081020680</t>
  </si>
  <si>
    <t>1-A1-QC-15-12</t>
  </si>
  <si>
    <t>1 ACME X BRASS MPT SU X 12LL SJ</t>
  </si>
  <si>
    <t>049081022785</t>
  </si>
  <si>
    <t>40049081022783</t>
  </si>
  <si>
    <t>1-A1-QC-15-18</t>
  </si>
  <si>
    <t>1 ACME X BRASS MPT SU X 18LL SJ</t>
  </si>
  <si>
    <t>049081022808</t>
  </si>
  <si>
    <t>40049081022806</t>
  </si>
  <si>
    <t>1-A3-13-15-12</t>
  </si>
  <si>
    <t>049081020873</t>
  </si>
  <si>
    <t>40049081020871</t>
  </si>
  <si>
    <t>1-A7-13-15-12</t>
  </si>
  <si>
    <t>1-1/2 ACME X 1 ACME SU X 12LL SJ</t>
  </si>
  <si>
    <t>049081022303</t>
  </si>
  <si>
    <t>40049081022301</t>
  </si>
  <si>
    <t>1-A7-13-15-18</t>
  </si>
  <si>
    <t>049081022433</t>
  </si>
  <si>
    <t>40049081022431</t>
  </si>
  <si>
    <t>1-A7-13-15-8</t>
  </si>
  <si>
    <t>1-1/2 ACME X 1 ACME SU X 8 LL SJ</t>
  </si>
  <si>
    <t>049081031336</t>
  </si>
  <si>
    <t>40049081031334</t>
  </si>
  <si>
    <t>1-A7-3-15-12</t>
  </si>
  <si>
    <t>1-1/2 ACME X 1 MIPT SU X 12LL SJ</t>
  </si>
  <si>
    <t>049081022310</t>
  </si>
  <si>
    <t>40049081022318</t>
  </si>
  <si>
    <t>1-A7-3-15-18</t>
  </si>
  <si>
    <t>1-1/2 ACME X 1 MIPT SU X 18 LL SJ</t>
  </si>
  <si>
    <t>049081022426</t>
  </si>
  <si>
    <t>40049081022424</t>
  </si>
  <si>
    <t>1-A7-QC-15-12</t>
  </si>
  <si>
    <t>1-1/2 ACME X 1 QC SU X 12 LL SJ</t>
  </si>
  <si>
    <t>049081022631</t>
  </si>
  <si>
    <t>40049081022639</t>
  </si>
  <si>
    <t>1-A7-QC-15-18</t>
  </si>
  <si>
    <t>1-1/2 ACME X 1 BRAS MPT SU X 18 SJ</t>
  </si>
  <si>
    <t>049081022655</t>
  </si>
  <si>
    <t>40049081022653</t>
  </si>
  <si>
    <t>2-A4-18-15-12</t>
  </si>
  <si>
    <t>1 ACME X 1-1/2 ACME SU X 12 LL SJ</t>
  </si>
  <si>
    <t>049081020255</t>
  </si>
  <si>
    <t>40049081020253</t>
  </si>
  <si>
    <t>2-A5-16-15-12</t>
  </si>
  <si>
    <t>1-1/4 ACME X 1 ACME SU X 12 SJ</t>
  </si>
  <si>
    <t>049081020248</t>
  </si>
  <si>
    <t>40049081020246</t>
  </si>
  <si>
    <t>2-A5-17-15-12</t>
  </si>
  <si>
    <t>1-1/4 ACME X 1-1/4 ACME SU X 12 SJ</t>
  </si>
  <si>
    <t>049081021443</t>
  </si>
  <si>
    <t>40049081021441</t>
  </si>
  <si>
    <t>2-A5-18-15-12</t>
  </si>
  <si>
    <t>1-1/4 ACME X 1-1/2 ACME SU X 12 SJ</t>
  </si>
  <si>
    <t>049081020231</t>
  </si>
  <si>
    <t>40049081020239</t>
  </si>
  <si>
    <t>2-A5-3-15-12</t>
  </si>
  <si>
    <t>1-1/4 ACME X 1-1/4 MPT SU X 12 SJ</t>
  </si>
  <si>
    <t>049081026882</t>
  </si>
  <si>
    <t>40049081026880</t>
  </si>
  <si>
    <t>2-A6-16-15-12</t>
  </si>
  <si>
    <t>049081022136</t>
  </si>
  <si>
    <t>40049081022134</t>
  </si>
  <si>
    <t>2-A6-16-15-18</t>
  </si>
  <si>
    <t>049081022471</t>
  </si>
  <si>
    <t>40049081022479</t>
  </si>
  <si>
    <t>2-A6-16-15-8</t>
  </si>
  <si>
    <t>1-1/2 ACME X 1 ACME SU X 8LL SJ</t>
  </si>
  <si>
    <t>049081031183</t>
  </si>
  <si>
    <t>40049081031181</t>
  </si>
  <si>
    <t>2-A6-18-15-12</t>
  </si>
  <si>
    <t>049081020262</t>
  </si>
  <si>
    <t>40049081020260</t>
  </si>
  <si>
    <t>2-A6-7-15-12</t>
  </si>
  <si>
    <t>1-1/2 ACME X 1 MIPT SU X 12 LL SJ</t>
  </si>
  <si>
    <t>049081031015</t>
  </si>
  <si>
    <t>40049081031013</t>
  </si>
  <si>
    <t>3-A3-QC-15-18</t>
  </si>
  <si>
    <t>1" ACME X BRASS MPT SU X 18 LL</t>
  </si>
  <si>
    <t>049081022327</t>
  </si>
  <si>
    <t>40049081022325</t>
  </si>
  <si>
    <t>3-A7-21-15-12</t>
  </si>
  <si>
    <t>049081031213</t>
  </si>
  <si>
    <t>40049081031211</t>
  </si>
  <si>
    <t>3-A9-19-15-12</t>
  </si>
  <si>
    <t>049081029050</t>
  </si>
  <si>
    <t>40049081029058</t>
  </si>
  <si>
    <t>3-A9-20-15-12</t>
  </si>
  <si>
    <t>1-1/2 ACME X 1-1/4 ACME SU X 12 SJ</t>
  </si>
  <si>
    <t>049081021825</t>
  </si>
  <si>
    <t>40049081021823</t>
  </si>
  <si>
    <t>3-A9-21-15-12</t>
  </si>
  <si>
    <t>049081020118</t>
  </si>
  <si>
    <t>40049081020116</t>
  </si>
  <si>
    <t>3-A9-21-15-18</t>
  </si>
  <si>
    <t>049081022693</t>
  </si>
  <si>
    <t>40049081022691</t>
  </si>
  <si>
    <t>3-A9-21-15-8</t>
  </si>
  <si>
    <t>049081029098</t>
  </si>
  <si>
    <t>40049081029096</t>
  </si>
  <si>
    <t>3-A9-22-15-12</t>
  </si>
  <si>
    <t>1-1/2 ACME X 1-1/2 BSPT ABSU 12 SJ</t>
  </si>
  <si>
    <t>049081030346</t>
  </si>
  <si>
    <t>40049081030344</t>
  </si>
  <si>
    <t>3-A9-3-15-12</t>
  </si>
  <si>
    <t>049081022624</t>
  </si>
  <si>
    <t>40049081022622</t>
  </si>
  <si>
    <t>3-A9-3-15-18</t>
  </si>
  <si>
    <t>1-1/2 ACME X 1-1/2 MPT SU X18LL SJ</t>
  </si>
  <si>
    <t>049081029135</t>
  </si>
  <si>
    <t>40049081029133</t>
  </si>
  <si>
    <t>3-A9-3-15-8</t>
  </si>
  <si>
    <t>1-1/2 ACME X 1-1/2 MPT SU X 8 SJ</t>
  </si>
  <si>
    <t>049081029142</t>
  </si>
  <si>
    <t>40049081029140</t>
  </si>
  <si>
    <t>3-A9-8-15-12</t>
  </si>
  <si>
    <t>049081030230</t>
  </si>
  <si>
    <t>40049081030238</t>
  </si>
  <si>
    <t>3-A9-QC-15-12</t>
  </si>
  <si>
    <t>1-1/2 ACME X BRASS MPT SU X 12 SJ</t>
  </si>
  <si>
    <t>049081022792</t>
  </si>
  <si>
    <t>40049081022790</t>
  </si>
  <si>
    <t>3-A9-QC-15-18</t>
  </si>
  <si>
    <t>1-1/2 ACME X BRASS MPT SU X 18 SJ</t>
  </si>
  <si>
    <t>049081029159</t>
  </si>
  <si>
    <t>40049081029157</t>
  </si>
  <si>
    <t>Ultra Unibody Swing Joint</t>
  </si>
  <si>
    <t>1-13-13-2-12</t>
  </si>
  <si>
    <t>9 ACME X 1 ACME UU X 12 LL SJ</t>
  </si>
  <si>
    <t>049081030421</t>
  </si>
  <si>
    <t>40049081030429</t>
  </si>
  <si>
    <t>1-15-13-2-12</t>
  </si>
  <si>
    <t>1-1/2 ACME X 1 ACME UU X 12 LL SJ</t>
  </si>
  <si>
    <t>049081022716</t>
  </si>
  <si>
    <t>40049081022714</t>
  </si>
  <si>
    <t>1-A1-13-2-12</t>
  </si>
  <si>
    <t>1 MPT X 1 ACME UU X 12 SJ</t>
  </si>
  <si>
    <t>049081020507</t>
  </si>
  <si>
    <t>40049081020505</t>
  </si>
  <si>
    <t>1-A1-3-2-10</t>
  </si>
  <si>
    <t>1 MPT X 1 MPT UU X 10 SJ</t>
  </si>
  <si>
    <t>049081023690</t>
  </si>
  <si>
    <t>40049081023698</t>
  </si>
  <si>
    <t>1-A1-3-2-12</t>
  </si>
  <si>
    <t>1 MPT X 1 MPT UU X 12 SJ</t>
  </si>
  <si>
    <t>049081020729</t>
  </si>
  <si>
    <t>40049081020727</t>
  </si>
  <si>
    <t>1-A1-3-2-18</t>
  </si>
  <si>
    <t>1 MPT X 1 MPT UU X 18 SJ</t>
  </si>
  <si>
    <t>049081022396</t>
  </si>
  <si>
    <t>40049081022394</t>
  </si>
  <si>
    <t>1-A1-3-2-6</t>
  </si>
  <si>
    <t>1 MPT X 1 MPT UU X 6 SJ</t>
  </si>
  <si>
    <t>049081023720</t>
  </si>
  <si>
    <t>40049081023728</t>
  </si>
  <si>
    <t>1-A1-3-2-8</t>
  </si>
  <si>
    <t>1 MPT X 1 MPT UU X 8 SJ</t>
  </si>
  <si>
    <t>049081022341</t>
  </si>
  <si>
    <t>40049081022349</t>
  </si>
  <si>
    <t>1-A2-13-2-12</t>
  </si>
  <si>
    <t>1 SPG X 1 ACME UU X 12 SJ</t>
  </si>
  <si>
    <t>049081024208</t>
  </si>
  <si>
    <t>40049081024206</t>
  </si>
  <si>
    <t>1-A2-3-2-12</t>
  </si>
  <si>
    <t>1 SPG X 1 MPT UU X 12 SJ</t>
  </si>
  <si>
    <t>049081020859</t>
  </si>
  <si>
    <t>40049081020857</t>
  </si>
  <si>
    <t>1-A2-3-2-14</t>
  </si>
  <si>
    <t>1 SPG X 1 MIPT UU X 14 LL SJ</t>
  </si>
  <si>
    <t>049081024437</t>
  </si>
  <si>
    <t>40049081024435</t>
  </si>
  <si>
    <t>1-A4-1-2-12</t>
  </si>
  <si>
    <t>1 SOC X 1 SOC UU X 12 SJ</t>
  </si>
  <si>
    <t>049081024710</t>
  </si>
  <si>
    <t>40049081024718</t>
  </si>
  <si>
    <t>1-A4-3-2-12</t>
  </si>
  <si>
    <t>1 SOC X 1 MPT UU X 12 SJ</t>
  </si>
  <si>
    <t>049081024819</t>
  </si>
  <si>
    <t>40049081024817</t>
  </si>
  <si>
    <t>1-A4-3-2-14</t>
  </si>
  <si>
    <t>1 SOC X 1 MPT UU X 14 SJ</t>
  </si>
  <si>
    <t>049081024826</t>
  </si>
  <si>
    <t>40049081024824</t>
  </si>
  <si>
    <t>1-A8-13-2-8</t>
  </si>
  <si>
    <t>4 SPG X 1 ACME UU X 8 SJ</t>
  </si>
  <si>
    <t>049081025076</t>
  </si>
  <si>
    <t>40049081025074</t>
  </si>
  <si>
    <t>1-A8-3-2-12</t>
  </si>
  <si>
    <t>4 SPG X 1 MPT UU X 12 SJ</t>
  </si>
  <si>
    <t>049081022563</t>
  </si>
  <si>
    <t>40049081022561</t>
  </si>
  <si>
    <t>1-B1-13-2-12</t>
  </si>
  <si>
    <t>1 BSP X 1 ACME UU X 12 SJ</t>
  </si>
  <si>
    <t>049081021054</t>
  </si>
  <si>
    <t>40049081021052</t>
  </si>
  <si>
    <t>1-B1-13-2-18</t>
  </si>
  <si>
    <t>1 BSPT X 1 ACME UU X 18 LL SJ</t>
  </si>
  <si>
    <t>049081031084</t>
  </si>
  <si>
    <t>40049081031082</t>
  </si>
  <si>
    <t>1-B1-22-2-12</t>
  </si>
  <si>
    <t>1 BSP X 1 BSP UU X 12 SJ</t>
  </si>
  <si>
    <t>049081021160</t>
  </si>
  <si>
    <t>40049081021168</t>
  </si>
  <si>
    <t>1-B1-22-2-18</t>
  </si>
  <si>
    <t>1 BSP X 1 BSP UU X 18 SJ</t>
  </si>
  <si>
    <t>049081022662</t>
  </si>
  <si>
    <t>40049081022660</t>
  </si>
  <si>
    <t>1-J1-13-2-12</t>
  </si>
  <si>
    <t>25MM SPG X 1 ACME UU X 12 LL SJ</t>
  </si>
  <si>
    <t>049081030384</t>
  </si>
  <si>
    <t>40049081030382</t>
  </si>
  <si>
    <t>1-J4-13-2-12</t>
  </si>
  <si>
    <t>25MM SOC X 1 ACME UU X 12 LL SJ</t>
  </si>
  <si>
    <t>049081030759</t>
  </si>
  <si>
    <t>40049081030757</t>
  </si>
  <si>
    <t>2-18-16-2-12</t>
  </si>
  <si>
    <t>049081031343</t>
  </si>
  <si>
    <t>40049081031341</t>
  </si>
  <si>
    <t>2-18-16-2-8</t>
  </si>
  <si>
    <t>1-1/2 ACME X 1 ACME UU X 8 LL SJ</t>
  </si>
  <si>
    <t>049081030254</t>
  </si>
  <si>
    <t>40049081030252</t>
  </si>
  <si>
    <t>2-A1-17-2-12</t>
  </si>
  <si>
    <t>1-1/4 MPT X 1-1/4 ACME UU X 12 SJ</t>
  </si>
  <si>
    <t>049081025861</t>
  </si>
  <si>
    <t>40049081025869</t>
  </si>
  <si>
    <t>2-A1-18-2-12</t>
  </si>
  <si>
    <t>1-1/4 MPT X 1-1/2 ACME UU X 12 SJ</t>
  </si>
  <si>
    <t>049081025908</t>
  </si>
  <si>
    <t>40049081025906</t>
  </si>
  <si>
    <t>2-A1-3-2-12</t>
  </si>
  <si>
    <t>1-1/4 MPT X 1-1/4 MPT UU X 12 SJ</t>
  </si>
  <si>
    <t>049081026004</t>
  </si>
  <si>
    <t>40049081026002</t>
  </si>
  <si>
    <t>2-A1-3-2-8</t>
  </si>
  <si>
    <t>1-1/4 MPT X 1-1/4 MPT UU X 8 SJ</t>
  </si>
  <si>
    <t>049081026028</t>
  </si>
  <si>
    <t>40049081026026</t>
  </si>
  <si>
    <t>2-A2-3-2-12</t>
  </si>
  <si>
    <t>1-1/4 SPG X 1-1/4 MPT UU X 12 SJ</t>
  </si>
  <si>
    <t>049081026479</t>
  </si>
  <si>
    <t>40049081026477</t>
  </si>
  <si>
    <t>2-A2-6-2-12</t>
  </si>
  <si>
    <t>1-1/4 SPG X 1-1/2 MPT UU X 12 SJ</t>
  </si>
  <si>
    <t>049081026646</t>
  </si>
  <si>
    <t>40049081026644</t>
  </si>
  <si>
    <t>2-A2-7-2-12</t>
  </si>
  <si>
    <t>1-1/4 SPG X 1 MPT UU X 12 SJ</t>
  </si>
  <si>
    <t>049081026721</t>
  </si>
  <si>
    <t>40049081026729</t>
  </si>
  <si>
    <t>2-A8-16-2-12</t>
  </si>
  <si>
    <t>4 SPG X 1 ACME UU X 12 LL SJ</t>
  </si>
  <si>
    <t>049081022600</t>
  </si>
  <si>
    <t>40049081022608</t>
  </si>
  <si>
    <t>2-A8-16-2-18</t>
  </si>
  <si>
    <t>4 SPG X 1 ACME UU X 18LL SJ</t>
  </si>
  <si>
    <t>049081030537</t>
  </si>
  <si>
    <t>40049081030306</t>
  </si>
  <si>
    <t>2-B1-16-2-12</t>
  </si>
  <si>
    <t>1-1/4 BSPT X 1 ACME UU X 12 LL SJ</t>
  </si>
  <si>
    <t>049081031046</t>
  </si>
  <si>
    <t>40049081031044</t>
  </si>
  <si>
    <t>3-21-21-2-12</t>
  </si>
  <si>
    <t>1-1/2 ACME X 1-1/2 ACME UU X 12 SJ</t>
  </si>
  <si>
    <t>049081022723</t>
  </si>
  <si>
    <t>40049081022721</t>
  </si>
  <si>
    <t>3-21-21-2-8</t>
  </si>
  <si>
    <t>1-1/2 ACME X 1-1/2 ACME UU X 8 SJ</t>
  </si>
  <si>
    <t>049081031657</t>
  </si>
  <si>
    <t>40049081031655</t>
  </si>
  <si>
    <t>3-21-3-2-12</t>
  </si>
  <si>
    <t>1-1/2 ACME X 1-1/2 MPT UU X 12 SJ</t>
  </si>
  <si>
    <t>049081030698</t>
  </si>
  <si>
    <t>40049081030696</t>
  </si>
  <si>
    <t>3-A1-21-2-12</t>
  </si>
  <si>
    <t>1-1/2 MPT X 1-1/2 ACME UU X 12 SJ</t>
  </si>
  <si>
    <t>049081021689</t>
  </si>
  <si>
    <t>40049081021687</t>
  </si>
  <si>
    <t>3-A1-21-2-18</t>
  </si>
  <si>
    <t>1-1/2 MPT X 1-1/2 ACME UU X 18 SJ</t>
  </si>
  <si>
    <t>049081022853</t>
  </si>
  <si>
    <t>40049081022851</t>
  </si>
  <si>
    <t>3-A1-21-2-8</t>
  </si>
  <si>
    <t>1-1/2 MPT X 1-1/2 ACME UU X 8 SJ</t>
  </si>
  <si>
    <t>049081027728</t>
  </si>
  <si>
    <t>40049081027726</t>
  </si>
  <si>
    <t>3-A1-3-2-10</t>
  </si>
  <si>
    <t>1-1/2 MPT X 1-1/2 MPT UU X 10 SJ</t>
  </si>
  <si>
    <t>049081027803</t>
  </si>
  <si>
    <t>40049081027801</t>
  </si>
  <si>
    <t>3-A1-3-2-12</t>
  </si>
  <si>
    <t>1-1/2 MPT X 1-1/2 MPT UU X 12 SJ</t>
  </si>
  <si>
    <t>049081021719</t>
  </si>
  <si>
    <t>40049081021717</t>
  </si>
  <si>
    <t>3-A1-3-2-14</t>
  </si>
  <si>
    <t>1-1/2 MPT X 1-1/2 MPT UU X 14 SJ</t>
  </si>
  <si>
    <t>049081027810</t>
  </si>
  <si>
    <t>40049081027818</t>
  </si>
  <si>
    <t>3-A1-3-2-16</t>
  </si>
  <si>
    <t>1-1/2 MPT X 1-1/2 MPT UU X 16 SJ</t>
  </si>
  <si>
    <t>049081027827</t>
  </si>
  <si>
    <t>40049081027825</t>
  </si>
  <si>
    <t>3-A1-3-2-18</t>
  </si>
  <si>
    <t>1-1/2 MPT X 1-1/2 MPT UU X 18 SJ</t>
  </si>
  <si>
    <t>049081021726</t>
  </si>
  <si>
    <t>40049081021724</t>
  </si>
  <si>
    <t>3-A1-8-2-12</t>
  </si>
  <si>
    <t>1-1/2 MPT X 1 MPT UU X 12 SJ</t>
  </si>
  <si>
    <t>049081027902</t>
  </si>
  <si>
    <t>40049081027900</t>
  </si>
  <si>
    <t>3-A2-21-2-12</t>
  </si>
  <si>
    <t>1-1/2 SPG X 1-1/2 ACME UU X 12 SJ</t>
  </si>
  <si>
    <t>049081022860</t>
  </si>
  <si>
    <t>40049081022868</t>
  </si>
  <si>
    <t>3-A2-3-2-10</t>
  </si>
  <si>
    <t>1-1/2 SPG X 1-1/2 MPT UU X 10 SJ</t>
  </si>
  <si>
    <t>049081028176</t>
  </si>
  <si>
    <t>40049081028174</t>
  </si>
  <si>
    <t>3-A2-3-2-12</t>
  </si>
  <si>
    <t>1-1/2 SPG X 1-1/2 MPT UU X 12 SJ</t>
  </si>
  <si>
    <t>049081028183</t>
  </si>
  <si>
    <t>40049081028181</t>
  </si>
  <si>
    <t>3-A3-3-2-12</t>
  </si>
  <si>
    <t>2 SPG X 1-1/2 MPT UU X 12 SJ</t>
  </si>
  <si>
    <t>049081028473</t>
  </si>
  <si>
    <t>40049081028471</t>
  </si>
  <si>
    <t>3-A3-3-2-18</t>
  </si>
  <si>
    <t>2 SPG X 1-1/2 MPT UU X 18 SJ</t>
  </si>
  <si>
    <t>049081028480</t>
  </si>
  <si>
    <t>40049081028488</t>
  </si>
  <si>
    <t>3-A4-1-2-18</t>
  </si>
  <si>
    <t>1-1/2 SOC X 1-1/2 SOC UU X 18 SJ</t>
  </si>
  <si>
    <t>049081028732</t>
  </si>
  <si>
    <t>40049081028730</t>
  </si>
  <si>
    <t>3-A4-3-2-12</t>
  </si>
  <si>
    <t>1-1/2 SOC X 1-1/2 MPT UU X 12 SJ</t>
  </si>
  <si>
    <t>049081028817</t>
  </si>
  <si>
    <t>40049081028815</t>
  </si>
  <si>
    <t>3-A4-3-2-16</t>
  </si>
  <si>
    <t>1-1/2 SOC X 1-1/2 MPT UU X 16 SJ</t>
  </si>
  <si>
    <t>049081028824</t>
  </si>
  <si>
    <t>40049081028822</t>
  </si>
  <si>
    <t>3-A8-21-2-12</t>
  </si>
  <si>
    <t>4 SPG X 1-1/2 ACME UU X 12 LL SJ</t>
  </si>
  <si>
    <t>049081029005</t>
  </si>
  <si>
    <t>40049081029003</t>
  </si>
  <si>
    <t>3-A8-21-2-18</t>
  </si>
  <si>
    <t>4 SPG X 1-1/2 ACME UU X 18LL SJ</t>
  </si>
  <si>
    <t>049081030650</t>
  </si>
  <si>
    <t>40049081030658</t>
  </si>
  <si>
    <t>3-A8-3-2-12</t>
  </si>
  <si>
    <t>4 SPG X 1-1/2 MPT UU X 12 LL SJ</t>
  </si>
  <si>
    <t>049081029036</t>
  </si>
  <si>
    <t>40049081029034</t>
  </si>
  <si>
    <t>3-A8-3-2-18</t>
  </si>
  <si>
    <t>4 SPG X 1-1/2 MPT UU X 18LL SJ</t>
  </si>
  <si>
    <t>049081029678</t>
  </si>
  <si>
    <t>40049081029676</t>
  </si>
  <si>
    <t>3-B1-21-2-12</t>
  </si>
  <si>
    <t>1-1/2 BSPT X 1-1/2 ACME UU X 12 SJ</t>
  </si>
  <si>
    <t>049081021900</t>
  </si>
  <si>
    <t>40049081021908</t>
  </si>
  <si>
    <t>3-B1-21-2-18</t>
  </si>
  <si>
    <t>1-1/2 BSPT X 1-1/2 ACME UU X 18 SJ</t>
  </si>
  <si>
    <t>049081031107</t>
  </si>
  <si>
    <t>40049081031105</t>
  </si>
  <si>
    <t>3-B1-22-2-12</t>
  </si>
  <si>
    <t>1-1/2 BSP X 1-1/2 BSP UU X 12 SJ</t>
  </si>
  <si>
    <t>049081021979</t>
  </si>
  <si>
    <t>40049081021977</t>
  </si>
  <si>
    <t>3-B1-22-2-18</t>
  </si>
  <si>
    <t>1-1/2 BSP X 1-1/2 BSP UU X 18 SJ</t>
  </si>
  <si>
    <t>049081029241</t>
  </si>
  <si>
    <t>40049081029249</t>
  </si>
  <si>
    <t>3-J6-21-2-12</t>
  </si>
  <si>
    <t>40MM SOC X 1-1/2 ACME UU X 12 SJ</t>
  </si>
  <si>
    <t>049081030742</t>
  </si>
  <si>
    <t>40049081030740</t>
  </si>
  <si>
    <t>Contant Pressure Swing Joint</t>
  </si>
  <si>
    <t>E005-0</t>
  </si>
  <si>
    <t>1/2 SPG X 1/2 FPT X 2-1/4 LL SJ</t>
  </si>
  <si>
    <t>049081232603</t>
  </si>
  <si>
    <t>40049081232601</t>
  </si>
  <si>
    <t>E005-10</t>
  </si>
  <si>
    <t>1/2 SPG X 1/2 MPT X 10-3/4 LL SJ</t>
  </si>
  <si>
    <t>049081232412</t>
  </si>
  <si>
    <t>40049081232410</t>
  </si>
  <si>
    <t>E005-12</t>
  </si>
  <si>
    <t>1/2 SPG X 1/2 MPT X 12-3/4 LL SJ</t>
  </si>
  <si>
    <t>049081232429</t>
  </si>
  <si>
    <t>40049081232427</t>
  </si>
  <si>
    <t>E005-4</t>
  </si>
  <si>
    <t>1/2 SPG X 1/2 MPT X 4-3/4 LL SJ</t>
  </si>
  <si>
    <t>049081232405</t>
  </si>
  <si>
    <t>40049081232403</t>
  </si>
  <si>
    <t>E006-10</t>
  </si>
  <si>
    <t>1/2 MPT X 1/2 MPT X 10-3/4 LL SJ</t>
  </si>
  <si>
    <t>049081232023</t>
  </si>
  <si>
    <t>40049081232021</t>
  </si>
  <si>
    <t>E006-12</t>
  </si>
  <si>
    <t>1/2 MPT X 1/2 MPT X 12-3/4 LL SJ</t>
  </si>
  <si>
    <t>049081232030</t>
  </si>
  <si>
    <t>40049081232038</t>
  </si>
  <si>
    <t>E006-4</t>
  </si>
  <si>
    <t>1/2 MPT X 1/2 MPT X 4-3/4 LL SJ</t>
  </si>
  <si>
    <t>049081232016</t>
  </si>
  <si>
    <t>40049081232014</t>
  </si>
  <si>
    <t>E007-10</t>
  </si>
  <si>
    <t>3/4 SPG X 3/4 MPT X 10-3/4 LL SJ</t>
  </si>
  <si>
    <t>049081232528</t>
  </si>
  <si>
    <t>40049081232526</t>
  </si>
  <si>
    <t>E007-12</t>
  </si>
  <si>
    <t>3/4 SPG X 3/4 MPT X 12-3/4 LL SJ</t>
  </si>
  <si>
    <t>049081232535</t>
  </si>
  <si>
    <t>40049081232533</t>
  </si>
  <si>
    <t>E007-4</t>
  </si>
  <si>
    <t>3/4 SPG X 3/4 MPT X 4-3/4 LL SJ</t>
  </si>
  <si>
    <t>049081232504</t>
  </si>
  <si>
    <t>40049081232502</t>
  </si>
  <si>
    <t>E007-8</t>
  </si>
  <si>
    <t>3/4 SPG X 3/4 MPT X 8-3/4 LL SJ</t>
  </si>
  <si>
    <t>049081232511</t>
  </si>
  <si>
    <t>40049081232519</t>
  </si>
  <si>
    <t>E008-0</t>
  </si>
  <si>
    <t>3/4 MPT X 3/4 FPT X 2-1/2 LL SJ</t>
  </si>
  <si>
    <t>049081232092</t>
  </si>
  <si>
    <t>40049081232090</t>
  </si>
  <si>
    <t>E008-10</t>
  </si>
  <si>
    <t>3/4 MPT X 3/4 MPT X 10-3/4 LL SJ</t>
  </si>
  <si>
    <t>049081232061</t>
  </si>
  <si>
    <t>40049081232069</t>
  </si>
  <si>
    <t>E008-12</t>
  </si>
  <si>
    <t>3/4 MPT X 3/4 MPT X 12-3/4 LL SJ</t>
  </si>
  <si>
    <t>049081232078</t>
  </si>
  <si>
    <t>40049081232076</t>
  </si>
  <si>
    <t>E008-12 X L</t>
  </si>
  <si>
    <t>3/4 MPTX3/4 MPT X 12-3/4- ELXEL SJ</t>
  </si>
  <si>
    <t>049081232115</t>
  </si>
  <si>
    <t>40049081232113</t>
  </si>
  <si>
    <t>E008-4</t>
  </si>
  <si>
    <t>3/4 MPT X 3/4 MPT X 4-3/4 LL SJ</t>
  </si>
  <si>
    <t>049081232047</t>
  </si>
  <si>
    <t>40049081232045</t>
  </si>
  <si>
    <t>E008-8</t>
  </si>
  <si>
    <t>3/4 MPT X 3/4 MPT X 8-3/4 LL SJ</t>
  </si>
  <si>
    <t>049081232054</t>
  </si>
  <si>
    <t>40049081232052</t>
  </si>
  <si>
    <t>Saddle Unibody Swing Joint</t>
  </si>
  <si>
    <t>1-A1-13-19-12</t>
  </si>
  <si>
    <t>2 SADDLE X 1 ACME SU X 12 SJ</t>
  </si>
  <si>
    <t>049081020088</t>
  </si>
  <si>
    <t>40049081020086</t>
  </si>
  <si>
    <t>1-A1-13-19-18</t>
  </si>
  <si>
    <t>2 SADDLE X 1 ACME SU X 18 LL SJ</t>
  </si>
  <si>
    <t>049081023294</t>
  </si>
  <si>
    <t>40049081023292</t>
  </si>
  <si>
    <t>1-A1-2-19-10</t>
  </si>
  <si>
    <t>2 SADDLE X 1 FPT SU X 10 SJ</t>
  </si>
  <si>
    <t>049081023478</t>
  </si>
  <si>
    <t>40049081023476</t>
  </si>
  <si>
    <t>1-A1-2-19-12</t>
  </si>
  <si>
    <t>2 SADDLE X 1 FIPT SU X 12 SJ</t>
  </si>
  <si>
    <t>049081020606</t>
  </si>
  <si>
    <t>40049081020604</t>
  </si>
  <si>
    <t>1-A1-2-19-8</t>
  </si>
  <si>
    <t>2 SADDLE X 1 FIPT SU X 8 LL SJ</t>
  </si>
  <si>
    <t>049081029623</t>
  </si>
  <si>
    <t>40049081026927</t>
  </si>
  <si>
    <t>1-A1-3-19-12</t>
  </si>
  <si>
    <t>2 SADDLE X 1 MPT SU X 12 SJ</t>
  </si>
  <si>
    <t>049081023669</t>
  </si>
  <si>
    <t>40049081023667</t>
  </si>
  <si>
    <t>1-A1-3-19-18</t>
  </si>
  <si>
    <t>2 SADDLE X 1 MPT SU X 18 LL SJ</t>
  </si>
  <si>
    <t>049081023676</t>
  </si>
  <si>
    <t>40049081023674</t>
  </si>
  <si>
    <t>1-A1-3-19-6</t>
  </si>
  <si>
    <t>2 IPS X 1 MIPT SADDLE SU X 6LL SJ</t>
  </si>
  <si>
    <t>049081030971</t>
  </si>
  <si>
    <t>40049081030979</t>
  </si>
  <si>
    <t>1-A1-3-19-8</t>
  </si>
  <si>
    <t>2 SADDLE X 1 MPT SU X 8 SJ</t>
  </si>
  <si>
    <t>049081023683</t>
  </si>
  <si>
    <t>40049081023681</t>
  </si>
  <si>
    <t>1-A1-QC-19-12</t>
  </si>
  <si>
    <t>2 SADDLE X 1 BRASS MPT SU X 12 SJ</t>
  </si>
  <si>
    <t>049081022204</t>
  </si>
  <si>
    <t>40049081022202</t>
  </si>
  <si>
    <t>1-A1-QC-19-18</t>
  </si>
  <si>
    <t>2 SADDLE X 1 BRAS MPT SU X 18LL SJ</t>
  </si>
  <si>
    <t>049081022730</t>
  </si>
  <si>
    <t>40049081022738</t>
  </si>
  <si>
    <t>1-D1-13-19-12</t>
  </si>
  <si>
    <t>63MM SADDLE X 1 ACME SU X 12 SJ</t>
  </si>
  <si>
    <t>049081025519</t>
  </si>
  <si>
    <t>40049081025517</t>
  </si>
  <si>
    <t>1-D1-13-19-18</t>
  </si>
  <si>
    <t>63MM X 1 ACME SAD UNI X 18 LL SJ</t>
  </si>
  <si>
    <t>049081031299</t>
  </si>
  <si>
    <t>40049081031297</t>
  </si>
  <si>
    <t>1-D1-22-19-18</t>
  </si>
  <si>
    <t>63MM X 1 BSPT SADDLE SU X 18LL SJ</t>
  </si>
  <si>
    <t>049081030964</t>
  </si>
  <si>
    <t>40049081030962</t>
  </si>
  <si>
    <t>1-D1-3-19-18</t>
  </si>
  <si>
    <t>63MM X 1 MPT SAD UNI X 18 LL SJ</t>
  </si>
  <si>
    <t>049081031459</t>
  </si>
  <si>
    <t>40049081031457</t>
  </si>
  <si>
    <t>1-D1-QC-19-12</t>
  </si>
  <si>
    <t>63MM X 1 QC SU X 12 LL SJ</t>
  </si>
  <si>
    <t>049081031688</t>
  </si>
  <si>
    <t>40049081031686</t>
  </si>
  <si>
    <t>1-D1-QC-19-18</t>
  </si>
  <si>
    <t>63MM X 1 BRASS MIPT SU X 18 LL SJ</t>
  </si>
  <si>
    <t>049081031251</t>
  </si>
  <si>
    <t>40049081031259</t>
  </si>
  <si>
    <t>2-A2-16-19-12</t>
  </si>
  <si>
    <t>2 SADDLE X 1 ACME SU X 12 LL SJ</t>
  </si>
  <si>
    <t>049081026165</t>
  </si>
  <si>
    <t>40049081026163</t>
  </si>
  <si>
    <t>2-A2-16-19-8</t>
  </si>
  <si>
    <t>2 SADDLE X 1 ACME 1-1/4 SU X 8 SJ</t>
  </si>
  <si>
    <t>049081022587</t>
  </si>
  <si>
    <t>40049081022585</t>
  </si>
  <si>
    <t>2-A2-17-19-12</t>
  </si>
  <si>
    <t>2 SADDLE X 1-1/4 ACME SU X 12 SJ</t>
  </si>
  <si>
    <t>049081026240</t>
  </si>
  <si>
    <t>40049081026248</t>
  </si>
  <si>
    <t>2-A2-17-19-18</t>
  </si>
  <si>
    <t>2 IPS X 1-1/4 ACME SAD SU X 18 SJ</t>
  </si>
  <si>
    <t>049081031671</t>
  </si>
  <si>
    <t>40049081031679</t>
  </si>
  <si>
    <t>2-A2-18-19-12</t>
  </si>
  <si>
    <t>2 SADDLE X 1-1/2 ACME SU X 12LL SJ</t>
  </si>
  <si>
    <t>049081026325</t>
  </si>
  <si>
    <t>40049081026323</t>
  </si>
  <si>
    <t>2-A2-3-19-10</t>
  </si>
  <si>
    <t>2 SADDLE X 1-1/4 MPT SU X 10 SJ</t>
  </si>
  <si>
    <t>049081026448</t>
  </si>
  <si>
    <t>40049081026446</t>
  </si>
  <si>
    <t>2-A2-6-19-6</t>
  </si>
  <si>
    <t>2 SADDLE X 1-1/2 MPT SU X 6 LL SJ</t>
  </si>
  <si>
    <t>049081031145</t>
  </si>
  <si>
    <t>40049081031143</t>
  </si>
  <si>
    <t>2-A2-7-19-12</t>
  </si>
  <si>
    <t>049081026691</t>
  </si>
  <si>
    <t>40049081026699</t>
  </si>
  <si>
    <t>2-A2-7-19-8</t>
  </si>
  <si>
    <t>2 SADDLE X 1 MPT SU X 8 LL SJ</t>
  </si>
  <si>
    <t>049081030797</t>
  </si>
  <si>
    <t>40049081030795</t>
  </si>
  <si>
    <t>3-A3-1-19-12</t>
  </si>
  <si>
    <t>2 SADDLE X 1-1/2 SOC SU X 12LL SJ</t>
  </si>
  <si>
    <t>049081028251</t>
  </si>
  <si>
    <t>40049081028259</t>
  </si>
  <si>
    <t>3-A3-21-19-12</t>
  </si>
  <si>
    <t>2 SADDLE X 1-1/2 ACME SUX12 SJ</t>
  </si>
  <si>
    <t>049081020163</t>
  </si>
  <si>
    <t>40049081020161</t>
  </si>
  <si>
    <t>3-A3-21-19-18</t>
  </si>
  <si>
    <t>2 SADDLE X 1-1/2 ACME SU X 18LL SJ</t>
  </si>
  <si>
    <t>049081028367</t>
  </si>
  <si>
    <t>40049081028365</t>
  </si>
  <si>
    <t>3-A3-21-19-8</t>
  </si>
  <si>
    <t>2 SADDLE X 1-1/2 ACME SU X 8 LL SJ</t>
  </si>
  <si>
    <t>049081029692</t>
  </si>
  <si>
    <t>40049081029690</t>
  </si>
  <si>
    <t>3-A3-2-19-8</t>
  </si>
  <si>
    <t>2 IPS X 1-1/2' FPT SAD UNI X 8 SJ</t>
  </si>
  <si>
    <t>049081030193</t>
  </si>
  <si>
    <t>40049081030191</t>
  </si>
  <si>
    <t>3-A3-3-19-12</t>
  </si>
  <si>
    <t>2 SADDLE X 1-1/2 MPT SU X 12 SJ</t>
  </si>
  <si>
    <t>049081028459</t>
  </si>
  <si>
    <t>40049081028457</t>
  </si>
  <si>
    <t>3-A3-3-19-6</t>
  </si>
  <si>
    <t>2 IPS X 1-1/2 MPT SADDLE SU X 6 SJ</t>
  </si>
  <si>
    <t>049081030988</t>
  </si>
  <si>
    <t>40049081030986</t>
  </si>
  <si>
    <t>3-A3-QC-19-12</t>
  </si>
  <si>
    <t>2 SADDLE X 1-1/2 QC SU X 12LL SJ</t>
  </si>
  <si>
    <t>049081028657</t>
  </si>
  <si>
    <t>40049081028655</t>
  </si>
  <si>
    <t>3-D3-21-19-12</t>
  </si>
  <si>
    <t>63MMX1-1/2ACME SADDLE UN X 12LL SJ</t>
  </si>
  <si>
    <t>049081029333</t>
  </si>
  <si>
    <t>40049081029331</t>
  </si>
  <si>
    <t>3-D3-21-19-18</t>
  </si>
  <si>
    <t>63MM SADDLE X 1-1/2 ACME SUX18 SJ</t>
  </si>
  <si>
    <t>049081029340</t>
  </si>
  <si>
    <t>40049081029348</t>
  </si>
  <si>
    <t>3-D3-22-19-12</t>
  </si>
  <si>
    <t>63MM SADDLE X 1-1/2 BSP SU X 12 SJ</t>
  </si>
  <si>
    <t>049081029364</t>
  </si>
  <si>
    <t>40049081029362</t>
  </si>
  <si>
    <t>Q.C. Standard Unibody</t>
  </si>
  <si>
    <t>1-13-1-11-12</t>
  </si>
  <si>
    <t>1 ACME X 1 BRASS QCSU X 12 SJ</t>
  </si>
  <si>
    <t>049081022907</t>
  </si>
  <si>
    <t>40049081022905</t>
  </si>
  <si>
    <t>1-13-1-11-18</t>
  </si>
  <si>
    <t>1 ACME X 1 BRAS MIPT SU X 18 LL SJ</t>
  </si>
  <si>
    <t>049081022969</t>
  </si>
  <si>
    <t>40049081022967</t>
  </si>
  <si>
    <t>1-15-1-11-12</t>
  </si>
  <si>
    <t>1-1/2 ACME X 1 BRASS QCSU X 12 SJ</t>
  </si>
  <si>
    <t>049081022440</t>
  </si>
  <si>
    <t>40049081022448</t>
  </si>
  <si>
    <t>1-22-1-11-12</t>
  </si>
  <si>
    <t>1 BSP X 1 BRASS QC SJ</t>
  </si>
  <si>
    <t>049081022976</t>
  </si>
  <si>
    <t>40049081022974</t>
  </si>
  <si>
    <t>1-A1-1-11-10</t>
  </si>
  <si>
    <t>1 MPT X 1 BRASS MPT QCSU X 10 SJ</t>
  </si>
  <si>
    <t>049081020385</t>
  </si>
  <si>
    <t>40049081020383</t>
  </si>
  <si>
    <t>1-A1-1-11-12</t>
  </si>
  <si>
    <t>1 MPT X 1 BRASS MPT QCSU X 12 SJ</t>
  </si>
  <si>
    <t>049081020170</t>
  </si>
  <si>
    <t>40049081020178</t>
  </si>
  <si>
    <t>1-A1-1-11-14</t>
  </si>
  <si>
    <t>1 MPT X 1 BRASS MPT QCSU X 14 SJ</t>
  </si>
  <si>
    <t>049081022167</t>
  </si>
  <si>
    <t>40049081022165</t>
  </si>
  <si>
    <t>1-A1-1-11-16</t>
  </si>
  <si>
    <t>1 MPT X 1 BRASS MPT QCSU X 16 SJ</t>
  </si>
  <si>
    <t>049081020408</t>
  </si>
  <si>
    <t>40049081020406</t>
  </si>
  <si>
    <t>1-A1-1-11-18</t>
  </si>
  <si>
    <t>1 MPT X 1 BRASS MPT QCSU X 18LL SJ</t>
  </si>
  <si>
    <t>049081020415</t>
  </si>
  <si>
    <t>40049081020413</t>
  </si>
  <si>
    <t>1-A1-1-11-6</t>
  </si>
  <si>
    <t>1 MPT X 1 BRASS MPT QCSU X 6 SJ</t>
  </si>
  <si>
    <t>049081020422</t>
  </si>
  <si>
    <t>40049081020420</t>
  </si>
  <si>
    <t>1-A1-1-11-8</t>
  </si>
  <si>
    <t>1 MPT X 1 BRASS MPT QCSU X 8 SJ</t>
  </si>
  <si>
    <t>049081023157</t>
  </si>
  <si>
    <t>40049081023155</t>
  </si>
  <si>
    <t>1-A1-3-11-12</t>
  </si>
  <si>
    <t>1 MPT X 3/4 BRASS MPT QCSU X 12 SJ</t>
  </si>
  <si>
    <t>049081020651</t>
  </si>
  <si>
    <t>1-A1-3-11-14</t>
  </si>
  <si>
    <t>1 MPT X 3/4 BRASS MPT QCSU X 14 SJ</t>
  </si>
  <si>
    <t>049081030995</t>
  </si>
  <si>
    <t>40049081030993</t>
  </si>
  <si>
    <t>1-A1-3-11-18</t>
  </si>
  <si>
    <t>1 MPT X 3/4 BRASS MPT QCSU X 18 SJ</t>
  </si>
  <si>
    <t>049081235772</t>
  </si>
  <si>
    <t>40049081023575</t>
  </si>
  <si>
    <t>1-A2-1-11-10</t>
  </si>
  <si>
    <t>1 SPG X 1 BRASS MPT QCSU X 10 SJ</t>
  </si>
  <si>
    <t>049081024055</t>
  </si>
  <si>
    <t>40049081024053</t>
  </si>
  <si>
    <t>1-A2-1-11-12</t>
  </si>
  <si>
    <t>1 SPG X 1 BRASS MPT QCSU X 12 SJ</t>
  </si>
  <si>
    <t>049081020781</t>
  </si>
  <si>
    <t>40049081020789</t>
  </si>
  <si>
    <t>1-A2-1-11-18</t>
  </si>
  <si>
    <t>1 SPG X 1 BRASS MPT QCSU X 18 SJ</t>
  </si>
  <si>
    <t>049081020798</t>
  </si>
  <si>
    <t>40049081020796</t>
  </si>
  <si>
    <t>1-A2-1-11-6</t>
  </si>
  <si>
    <t>1 SPG X 1 BRASS MPT SU X 6 SJ</t>
  </si>
  <si>
    <t>049081024086</t>
  </si>
  <si>
    <t>40049081024084</t>
  </si>
  <si>
    <t>1-A2-1-11-8</t>
  </si>
  <si>
    <t>1 SPG X 1 BRASS MPT QCSU X 8 SJ</t>
  </si>
  <si>
    <t>049081024093</t>
  </si>
  <si>
    <t>40049081024091</t>
  </si>
  <si>
    <t>1-A2-3-11-12</t>
  </si>
  <si>
    <t>1SPG X 3/4BRASS MPT QCSU X 12 SJ</t>
  </si>
  <si>
    <t>049081024413</t>
  </si>
  <si>
    <t>40049081024411</t>
  </si>
  <si>
    <t>1-A4-1-11-12</t>
  </si>
  <si>
    <t>1 SOC X 1 BRASS MPT QCSU X 12 SJ</t>
  </si>
  <si>
    <t>049081020897</t>
  </si>
  <si>
    <t>40049081020895</t>
  </si>
  <si>
    <t>1-A4-1-11-18</t>
  </si>
  <si>
    <t>1 SOC X 1 BRASS MPT QCSU X 18 SJ</t>
  </si>
  <si>
    <t>049081024680</t>
  </si>
  <si>
    <t>40049081024688</t>
  </si>
  <si>
    <t>1-A4-1-11-6</t>
  </si>
  <si>
    <t>1 SOC X 1 BRS MPT QCSU X 6 LL SJ</t>
  </si>
  <si>
    <t>049081024697</t>
  </si>
  <si>
    <t>40049081024695</t>
  </si>
  <si>
    <t>1-A8-1-11-10</t>
  </si>
  <si>
    <t>4 SPG X 1 BRASS MPT SU X 10 SJ</t>
  </si>
  <si>
    <t>049081024970</t>
  </si>
  <si>
    <t>40049081024978</t>
  </si>
  <si>
    <t>1-A8-1-11-12</t>
  </si>
  <si>
    <t>4 SPG X 1 BRASS MPT SU X 12 SJ</t>
  </si>
  <si>
    <t>049081020958</t>
  </si>
  <si>
    <t>40049081020956</t>
  </si>
  <si>
    <t>1-A8-1-11-18</t>
  </si>
  <si>
    <t>4 SPG X 1 BRASS MPT QCSU X 18 SJ</t>
  </si>
  <si>
    <t>049081025007</t>
  </si>
  <si>
    <t>40049081025005</t>
  </si>
  <si>
    <t>1-AF-1-11-12</t>
  </si>
  <si>
    <t>1-1/2 AQFS X 1 BRS MIPT SU X 12 SJ</t>
  </si>
  <si>
    <t>049081031534</t>
  </si>
  <si>
    <t>40049081031532</t>
  </si>
  <si>
    <t>1-AF-1-11-18</t>
  </si>
  <si>
    <t>1-1/2 AQFS X 1 BRS MIPT SU X 18 SJ</t>
  </si>
  <si>
    <t>049081031497</t>
  </si>
  <si>
    <t>40049081031495</t>
  </si>
  <si>
    <t>1-B1-1-11-12</t>
  </si>
  <si>
    <t>1 BSP X 1 BRASS MPT QC X 12 SJ</t>
  </si>
  <si>
    <t>049081021016</t>
  </si>
  <si>
    <t>40049081021014</t>
  </si>
  <si>
    <t>1-B1-1-11-18</t>
  </si>
  <si>
    <t>1 BSP X 1 BRASS MPT QC X 18 SJ</t>
  </si>
  <si>
    <t>049081029562</t>
  </si>
  <si>
    <t>40049081029560</t>
  </si>
  <si>
    <t>1-J1-1-11-12</t>
  </si>
  <si>
    <t>25MM SPG X 1 BRS MIPT QCSU X 12 SJ</t>
  </si>
  <si>
    <t>049081030360</t>
  </si>
  <si>
    <t>40049081030368</t>
  </si>
  <si>
    <t>3-A1-2-11-12</t>
  </si>
  <si>
    <t>1-1/2MPT X 1-1/2BRASS QCSU X 12 SJ</t>
  </si>
  <si>
    <t>049081021658</t>
  </si>
  <si>
    <t>40049081021656</t>
  </si>
  <si>
    <t>3-A1-2-11-18</t>
  </si>
  <si>
    <t>1-1/2MPT X 1-1/2BRASS QCSU X 18 SJ</t>
  </si>
  <si>
    <t>049081021672</t>
  </si>
  <si>
    <t>40049081021670</t>
  </si>
  <si>
    <t>3-A8-2-11-12</t>
  </si>
  <si>
    <t>4 SPG X 1-1/2 BRASS MPT SU X 12 SJ</t>
  </si>
  <si>
    <t>049081028985</t>
  </si>
  <si>
    <t>40049081028983</t>
  </si>
  <si>
    <t>3-A8-2-11-18</t>
  </si>
  <si>
    <t>4 SPG X 1-1/2 MPT QCSU X 18 LL SJ</t>
  </si>
  <si>
    <t>049081022648</t>
  </si>
  <si>
    <t>40049081022646</t>
  </si>
  <si>
    <t>3-B1-2-11-12</t>
  </si>
  <si>
    <t>1-1/2 BSP X 1-1/2BRASS QCSU X12 SJ</t>
  </si>
  <si>
    <t>049081021870</t>
  </si>
  <si>
    <t>40049081021878</t>
  </si>
  <si>
    <t>3-B1-2-11-18</t>
  </si>
  <si>
    <t>1-1/2BSP X 1-1/2BRASS QCSU X 18 SJ</t>
  </si>
  <si>
    <t>049081022884</t>
  </si>
  <si>
    <t>40049081022882</t>
  </si>
  <si>
    <t>3-J6-2-11-12</t>
  </si>
  <si>
    <t>40MM SOC X 1-1/2 BRAS QCSU X 12 SJ</t>
  </si>
  <si>
    <t>049081029593</t>
  </si>
  <si>
    <t>40049081029591</t>
  </si>
  <si>
    <t>Pre-Assembled Flexible Swing Joint / The Black Mini</t>
  </si>
  <si>
    <t>BM05-12</t>
  </si>
  <si>
    <t>1/2 X 12 FLEX SJ MIPT X MIPT BK</t>
  </si>
  <si>
    <t>049081070014</t>
  </si>
  <si>
    <t>40049081070012</t>
  </si>
  <si>
    <t>BM05-12-07</t>
  </si>
  <si>
    <t>1/2X12X3/4 FLEX SJ MPT/MPT BLK</t>
  </si>
  <si>
    <t>BM05-6</t>
  </si>
  <si>
    <t>1/2 X 6 FLEX SJ MIPT X MIPT BLK</t>
  </si>
  <si>
    <t>BM05-6-07</t>
  </si>
  <si>
    <t>1/2X6X3/4 FLEX SJ MPT/MPT BLK</t>
  </si>
  <si>
    <t>BM07-12</t>
  </si>
  <si>
    <t>3/4 X 12 FLEX SJ MIPT X MIPT BK</t>
  </si>
  <si>
    <t>BM07-6</t>
  </si>
  <si>
    <t>3/4 X 6 FLEX SJ MIPT X MIPT BLK</t>
  </si>
  <si>
    <t>FME005</t>
  </si>
  <si>
    <t>1/2X1/2 FLX SJ MPT/ST90</t>
  </si>
  <si>
    <t>FME007</t>
  </si>
  <si>
    <t>3/4X3/4 FLX SJ MPT/ST90</t>
  </si>
  <si>
    <t>FME074</t>
  </si>
  <si>
    <t>1/2X3/4 FLX SJ MPT/ST90</t>
  </si>
  <si>
    <t>FMM005</t>
  </si>
  <si>
    <t>1/2X1/2 FLX SJ MPT/MPT</t>
  </si>
  <si>
    <t>FMM007</t>
  </si>
  <si>
    <t>3/4X3/4 FLX SJ MPT/MPT</t>
  </si>
  <si>
    <t>FMM074</t>
  </si>
  <si>
    <t>1/2X3/4 FLX SJ MPT/MPT</t>
  </si>
  <si>
    <t>FSM005</t>
  </si>
  <si>
    <t>FSM007</t>
  </si>
  <si>
    <t>FSM074</t>
  </si>
  <si>
    <t>FSM075</t>
  </si>
  <si>
    <t>1/2X1 FLX SJ MPT/MPT</t>
  </si>
  <si>
    <t>FSS005</t>
  </si>
  <si>
    <t>1/2X1/2 FLX SJ SL/MPT</t>
  </si>
  <si>
    <t>FSS007</t>
  </si>
  <si>
    <t>3/4X3/4 FLX SJ SL/MPT</t>
  </si>
  <si>
    <t>FSS074</t>
  </si>
  <si>
    <t>1/2X3/4 FLX SJ SL/MPT</t>
  </si>
  <si>
    <t>FSS075</t>
  </si>
  <si>
    <t>1/2X1 FLX SJ SL/MPT</t>
  </si>
  <si>
    <t>Standard Swing Joint Kit</t>
  </si>
  <si>
    <t>1-A1-1-3-0</t>
  </si>
  <si>
    <t>1 SOC X 1 SOC STD KIT SJ</t>
  </si>
  <si>
    <t>049081023201</t>
  </si>
  <si>
    <t>40049081023209</t>
  </si>
  <si>
    <t>1-A2-3-3-0</t>
  </si>
  <si>
    <t>1 SPG X 1 MPT STD KIT SJ</t>
  </si>
  <si>
    <t>049081020866</t>
  </si>
  <si>
    <t>40049081020864</t>
  </si>
  <si>
    <t>1-A2-5-3-0</t>
  </si>
  <si>
    <t>1 SPG X 1-1/2 MPT STD KIT SJ</t>
  </si>
  <si>
    <t>049081024529</t>
  </si>
  <si>
    <t>40049081024527</t>
  </si>
  <si>
    <t>1-A5-2-3-0</t>
  </si>
  <si>
    <t>1 MPT X 1 FPT STD KIT SJ</t>
  </si>
  <si>
    <t>049081024901</t>
  </si>
  <si>
    <t>40049081024909</t>
  </si>
  <si>
    <t>1-A5-3-3-0</t>
  </si>
  <si>
    <t>1 MPT X 1 MPT STD KIT SJ</t>
  </si>
  <si>
    <t>049081020934</t>
  </si>
  <si>
    <t>40049081020932</t>
  </si>
  <si>
    <t>2-A1-1-3-0</t>
  </si>
  <si>
    <t>1-1/4 SOC X 1-1/4 SOC STD KIT SJ</t>
  </si>
  <si>
    <t>049081025762</t>
  </si>
  <si>
    <t>40049081025760</t>
  </si>
  <si>
    <t>2-A1-3-3-0</t>
  </si>
  <si>
    <t>1-1/4 SOC X 1-1/4 MPT STD KIT SJ</t>
  </si>
  <si>
    <t>049081026035</t>
  </si>
  <si>
    <t>40049081026033</t>
  </si>
  <si>
    <t>2-A5-6-3-0</t>
  </si>
  <si>
    <t>1-1/4 MPT X 1-1/2 MPT STD KIT SJ</t>
  </si>
  <si>
    <t>049081022495</t>
  </si>
  <si>
    <t>40049081022493</t>
  </si>
  <si>
    <t>3-A1-1-3-0</t>
  </si>
  <si>
    <t>1-1/2 SOC X 1-1/2 SOC STD KIT SJ</t>
  </si>
  <si>
    <t>049081027469</t>
  </si>
  <si>
    <t>40049081027467</t>
  </si>
  <si>
    <t>3-A1-2-3-0</t>
  </si>
  <si>
    <t>1-1/2 SOC X 1-1/2 FPT STD KIT SJ</t>
  </si>
  <si>
    <t>049081030315</t>
  </si>
  <si>
    <t>40049081030313</t>
  </si>
  <si>
    <t>3-A1-3-3-0</t>
  </si>
  <si>
    <t>1-1/2 SOC X 1-1/2 MPT STD KIT SJ</t>
  </si>
  <si>
    <t>049081022754</t>
  </si>
  <si>
    <t>40049081022752</t>
  </si>
  <si>
    <t>3-A2-3-3-0</t>
  </si>
  <si>
    <t>1-1/2 SPG X 1-1/2 MPT STD KIT SJ</t>
  </si>
  <si>
    <t>049081022365</t>
  </si>
  <si>
    <t>40049081022363</t>
  </si>
  <si>
    <t>3-A5-21-3-0</t>
  </si>
  <si>
    <t>1-1/2 MPT X 1-1/2 ACME STD KIT SJ</t>
  </si>
  <si>
    <t>049081028916</t>
  </si>
  <si>
    <t>40049081028914</t>
  </si>
  <si>
    <t>3-A5-3-3-0</t>
  </si>
  <si>
    <t>1-1/2 MPT X 1-1/2 MPT STD KIT SJ</t>
  </si>
  <si>
    <t>049081028947</t>
  </si>
  <si>
    <t>40049081028945</t>
  </si>
  <si>
    <t>O-Ring Tee Standard Unibody SJ</t>
  </si>
  <si>
    <t>1-A1-13-5-12</t>
  </si>
  <si>
    <t>2 SOC TEE X 1 ACME SU X 12 SJ</t>
  </si>
  <si>
    <t>049081020101</t>
  </si>
  <si>
    <t>40049081020109</t>
  </si>
  <si>
    <t>1-A1-13-5-6</t>
  </si>
  <si>
    <t>2 SOC TEE X 1 ACME SU X 6 LL SJ</t>
  </si>
  <si>
    <t>049081030896</t>
  </si>
  <si>
    <t>40049081030894</t>
  </si>
  <si>
    <t>1-A1-1-5-12</t>
  </si>
  <si>
    <t>2 SOC TEE X 1 SOC SU X 12 SJ</t>
  </si>
  <si>
    <t>049081023218</t>
  </si>
  <si>
    <t>40049081023216</t>
  </si>
  <si>
    <t>1-A1-3-5-10</t>
  </si>
  <si>
    <t>2 SOC TEE X 1 MPT SU X 10 SJ</t>
  </si>
  <si>
    <t>049081023768</t>
  </si>
  <si>
    <t>40049081023766</t>
  </si>
  <si>
    <t>1-A1-3-5-12</t>
  </si>
  <si>
    <t>2 SOC TEE X 1 MPT SU X 12 SJ</t>
  </si>
  <si>
    <t>049081022839</t>
  </si>
  <si>
    <t>40049081022837</t>
  </si>
  <si>
    <t>1-A1-3-5-14</t>
  </si>
  <si>
    <t>2 SOC TEE X 1 MPT SU X 14 SJ</t>
  </si>
  <si>
    <t>049081023775</t>
  </si>
  <si>
    <t>40049081023773</t>
  </si>
  <si>
    <t>1-A1-3-5-18</t>
  </si>
  <si>
    <t>2 SOC TEE X 1 MPT SU X 18 LL SJ</t>
  </si>
  <si>
    <t>049081023782</t>
  </si>
  <si>
    <t>40049081023780</t>
  </si>
  <si>
    <t>1-A1-3-5-8</t>
  </si>
  <si>
    <t>2 SOC TEE X 1 MPT SU X 8 SJ</t>
  </si>
  <si>
    <t>049081023799</t>
  </si>
  <si>
    <t>40049081023797</t>
  </si>
  <si>
    <t>1-A1-QC-5-12</t>
  </si>
  <si>
    <t>2 SOC TEE X 1 QC SU X 12 LL SJ</t>
  </si>
  <si>
    <t>049081022082</t>
  </si>
  <si>
    <t>40049081022080</t>
  </si>
  <si>
    <t>1-A1-QC-5-18</t>
  </si>
  <si>
    <t>2 SOC X 1 QC ORNG TEE SU X 18 SJ</t>
  </si>
  <si>
    <t>049081023997</t>
  </si>
  <si>
    <t>40049081023995</t>
  </si>
  <si>
    <t>2-A2-16-5-12</t>
  </si>
  <si>
    <t>2 SOC TEE X 1 ACME SU X 12 LL SJ</t>
  </si>
  <si>
    <t>049081022099</t>
  </si>
  <si>
    <t>40049081022097</t>
  </si>
  <si>
    <t>2-A2-3-5-10</t>
  </si>
  <si>
    <t>2 SOC TEE X 1-1/4 MPT SU X 10 SJ</t>
  </si>
  <si>
    <t>049081026516</t>
  </si>
  <si>
    <t>40049081026514</t>
  </si>
  <si>
    <t>2-A2-7-5-12</t>
  </si>
  <si>
    <t>049081026738</t>
  </si>
  <si>
    <t>40049081026736</t>
  </si>
  <si>
    <t>2-A2-7-5-18</t>
  </si>
  <si>
    <t>049081026745</t>
  </si>
  <si>
    <t>40049081026743</t>
  </si>
  <si>
    <t>3-A1-3-5-12</t>
  </si>
  <si>
    <t>2 SOC TEE X 1-1/2 MIPT SU X 12 SJ</t>
  </si>
  <si>
    <t>049081027865</t>
  </si>
  <si>
    <t>40049081027863</t>
  </si>
  <si>
    <t>3-A3-21-5-12</t>
  </si>
  <si>
    <t>2 SOC TEE X 1-1/2 ACME SU X 12 SJ</t>
  </si>
  <si>
    <t>049081020187</t>
  </si>
  <si>
    <t>40049081020185</t>
  </si>
  <si>
    <t>3-A3-3-5-10</t>
  </si>
  <si>
    <t>2 SOC TEE X 1-1/2 MPT SU X 10 SJ</t>
  </si>
  <si>
    <t>049081028503</t>
  </si>
  <si>
    <t>40049081028501</t>
  </si>
  <si>
    <t>3-A3-3-5-12</t>
  </si>
  <si>
    <t>2 SOC TEE X 1-1/2 MPT SU X 12 SJ</t>
  </si>
  <si>
    <t>049081028510</t>
  </si>
  <si>
    <t>40049081028518</t>
  </si>
  <si>
    <t>3-A3-3-5-14</t>
  </si>
  <si>
    <t>2 SOC TEE X 1-1/2 MPT SU X 14 SJ</t>
  </si>
  <si>
    <t>049081028527</t>
  </si>
  <si>
    <t>40049081028525</t>
  </si>
  <si>
    <t>O-Ring Ell Unibody SJ</t>
  </si>
  <si>
    <t>1-A1-QC-7-18</t>
  </si>
  <si>
    <t>2 SOC ELL X 1 QC SU X 18LL SJ</t>
  </si>
  <si>
    <t>049081024017</t>
  </si>
  <si>
    <t>40049081024015</t>
  </si>
  <si>
    <t>1-A1-13-7-12</t>
  </si>
  <si>
    <t>2 SOC ELL X 1 ACME SU X 12 SJ</t>
  </si>
  <si>
    <t>049081020545</t>
  </si>
  <si>
    <t>40049081020543</t>
  </si>
  <si>
    <t>1-A1-3-7-12</t>
  </si>
  <si>
    <t>2 SOC ELL X 1 MPT SU X 12 SJ</t>
  </si>
  <si>
    <t>049081023829</t>
  </si>
  <si>
    <t>40049081023827</t>
  </si>
  <si>
    <t>1-A1-3-7-14</t>
  </si>
  <si>
    <t>2 SOC ELL X 1 MPT SU X 14 SJ</t>
  </si>
  <si>
    <t>049081023836</t>
  </si>
  <si>
    <t>40049081023834</t>
  </si>
  <si>
    <t>1-A1-3-7-8</t>
  </si>
  <si>
    <t>2 SOC ELL X 1 MPT SU X 8 SJ</t>
  </si>
  <si>
    <t>049081023850</t>
  </si>
  <si>
    <t>40049081023858</t>
  </si>
  <si>
    <t>2-A2-16-7-12</t>
  </si>
  <si>
    <t>2 SOC ELL X 1 ACME SU X 12 LL SJ</t>
  </si>
  <si>
    <t>049081029807</t>
  </si>
  <si>
    <t>40049081029805</t>
  </si>
  <si>
    <t>2-A2-3-7-10</t>
  </si>
  <si>
    <t>2 SOC ELL X 1-1/4 MPT SU X 10 SJ</t>
  </si>
  <si>
    <t>049081026554</t>
  </si>
  <si>
    <t>40049081026552</t>
  </si>
  <si>
    <t>2-A2-3-7-12</t>
  </si>
  <si>
    <t>2 SOC ELL X 1-1/4 MPT SU X 12 SJ</t>
  </si>
  <si>
    <t>049081026561</t>
  </si>
  <si>
    <t>40049081026569</t>
  </si>
  <si>
    <t>3-A1-3-7-12</t>
  </si>
  <si>
    <t>2 SOC ELL X 1-1/2 MIPT SU X 12 SJ</t>
  </si>
  <si>
    <t>049081027872</t>
  </si>
  <si>
    <t>40049081027870</t>
  </si>
  <si>
    <t>3-A3-21-7-12</t>
  </si>
  <si>
    <t>2 SOC ELL X 1-1/2 ACME SU X 12 SJ</t>
  </si>
  <si>
    <t>049081021764</t>
  </si>
  <si>
    <t>40049081021762</t>
  </si>
  <si>
    <t>3-A3-21-7-6</t>
  </si>
  <si>
    <t>2 SOC ELL X 1-1/2 ACME SU X 6LL SJ</t>
  </si>
  <si>
    <t>049081031510</t>
  </si>
  <si>
    <t>40049081031518</t>
  </si>
  <si>
    <t>3-A3-21-7-8</t>
  </si>
  <si>
    <t>2 SOC ELL X 1-1/2 ACME SU X 8LL SJ</t>
  </si>
  <si>
    <t>049081031503</t>
  </si>
  <si>
    <t>40049081031501</t>
  </si>
  <si>
    <t>3-A3-3-7-10</t>
  </si>
  <si>
    <t>2 SOC ELL X 1-1/2 MPT SU X 10 SJ</t>
  </si>
  <si>
    <t>049081028558</t>
  </si>
  <si>
    <t>40049081028556</t>
  </si>
  <si>
    <t>3-A3-3-7-12</t>
  </si>
  <si>
    <t>2 SOC ELL X 1-1/2 MPT SU X 12 SJ</t>
  </si>
  <si>
    <t>049081028565</t>
  </si>
  <si>
    <t>40049081028563</t>
  </si>
  <si>
    <t>3-A3-3-7-14</t>
  </si>
  <si>
    <t>2 SOC ELL X 1-1/2 MPT SU X 14 SJ</t>
  </si>
  <si>
    <t>049081028572</t>
  </si>
  <si>
    <t>40049081028570</t>
  </si>
  <si>
    <t>Harco Swing Joint Tee Unibody</t>
  </si>
  <si>
    <t>3-A3-21-13-12</t>
  </si>
  <si>
    <t>2 HTEE X 1-1/2 ACME SU X 12 SJ</t>
  </si>
  <si>
    <t>049081022761</t>
  </si>
  <si>
    <t>40049081022769</t>
  </si>
  <si>
    <t>Ultra Kit</t>
  </si>
  <si>
    <t>1-A1-11-4-0</t>
  </si>
  <si>
    <t>1 SOC X 1 BRASS MIPT ULTRA KIT SJ</t>
  </si>
  <si>
    <t>049081031305</t>
  </si>
  <si>
    <t>40049081031303</t>
  </si>
  <si>
    <t>1-A5-2-4-0</t>
  </si>
  <si>
    <t>1 MIPT X 1 FIPT ULTRA KIT SJ</t>
  </si>
  <si>
    <t>049081024918</t>
  </si>
  <si>
    <t>40049081024916</t>
  </si>
  <si>
    <t>1-A5-3-4-0</t>
  </si>
  <si>
    <t>1 MPT X 1 MPT ULT KIT SJ</t>
  </si>
  <si>
    <t>049081020941</t>
  </si>
  <si>
    <t>40049081020949</t>
  </si>
  <si>
    <t>2-A5-17-4-0</t>
  </si>
  <si>
    <t>1-1/4 MPT X 1-1/4 ACME ULT KIT SJ</t>
  </si>
  <si>
    <t>049081026868</t>
  </si>
  <si>
    <t>40049081026866</t>
  </si>
  <si>
    <t>3-A5-3-4-0</t>
  </si>
  <si>
    <t>1-1/2 MPT X 1-1/2 MPT ULT KIT SJ</t>
  </si>
  <si>
    <t>049081028954</t>
  </si>
  <si>
    <t>40049081028952</t>
  </si>
  <si>
    <t>List Price Swing Joints Components</t>
  </si>
  <si>
    <t>SJC042024</t>
  </si>
  <si>
    <t>Acme Adapter</t>
  </si>
  <si>
    <t>OA39-010</t>
  </si>
  <si>
    <t>1 ACME X 1 FPT ACME ADAPTER SJ</t>
  </si>
  <si>
    <t>OA39-012</t>
  </si>
  <si>
    <t>1-1/4 ACME X 1-1/4 FPT ADAPTER SJ</t>
  </si>
  <si>
    <t>049081012014</t>
  </si>
  <si>
    <t>40049081012012</t>
  </si>
  <si>
    <t>OA39-015</t>
  </si>
  <si>
    <t>1-1/2 ACME X 1-1/2 FPT ADAPTER SJ</t>
  </si>
  <si>
    <t>OA39-168</t>
  </si>
  <si>
    <t>1-1/4 ACME X 1 FPT ADAPTER SJ</t>
  </si>
  <si>
    <t>049081012052</t>
  </si>
  <si>
    <t>40049081012050</t>
  </si>
  <si>
    <t>OA39-169</t>
  </si>
  <si>
    <t>1-1/4 ACME X 1-1/2 FPT ADAPTER SJ</t>
  </si>
  <si>
    <t>049081012069</t>
  </si>
  <si>
    <t>40049081012067</t>
  </si>
  <si>
    <t>OA39-211</t>
  </si>
  <si>
    <t>1-1/2 MA ACME X 1 FIPT (2-PC) SJ</t>
  </si>
  <si>
    <t>049081012076</t>
  </si>
  <si>
    <t>40049081012074</t>
  </si>
  <si>
    <t>OA39-212</t>
  </si>
  <si>
    <t>1-1/2 MA ACME X 1-1/4 FIPT(2PC) SJ</t>
  </si>
  <si>
    <t>049081012083</t>
  </si>
  <si>
    <t>40049081012081</t>
  </si>
  <si>
    <t>OBA39-010</t>
  </si>
  <si>
    <t>1 ACME X 1 BSP ACME ADAPTER SJ</t>
  </si>
  <si>
    <t>OBA39-012</t>
  </si>
  <si>
    <t>1-1/4 ACME X 1-1/4 BSP ADAPTER SJ</t>
  </si>
  <si>
    <t>049081012113</t>
  </si>
  <si>
    <t>40049081012111</t>
  </si>
  <si>
    <t>OBA39-015</t>
  </si>
  <si>
    <t>1-1/2 ACME X 1-1/2 BSP ADAPTER SJ</t>
  </si>
  <si>
    <t>Swing Joint Components</t>
  </si>
  <si>
    <t>A06-010</t>
  </si>
  <si>
    <t>1 FE ACME X 1 FE SWG ELL SJ</t>
  </si>
  <si>
    <t>049081012229</t>
  </si>
  <si>
    <t>40049081012227</t>
  </si>
  <si>
    <t>A06-015</t>
  </si>
  <si>
    <t>1-1/2 FE ACME X 1-1/2 FE SWNG SJ</t>
  </si>
  <si>
    <t>049081012243</t>
  </si>
  <si>
    <t>40049081012241</t>
  </si>
  <si>
    <t>A35-010</t>
  </si>
  <si>
    <t>1 FEMALE ACME X SLIP SJ COMPT</t>
  </si>
  <si>
    <t>049081011437</t>
  </si>
  <si>
    <t>40049081011435</t>
  </si>
  <si>
    <t>A35-015</t>
  </si>
  <si>
    <t>1-1/2 FEM ACME X SLP SJ COMPT</t>
  </si>
  <si>
    <t>049081011482</t>
  </si>
  <si>
    <t>40049081011480</t>
  </si>
  <si>
    <t>A36-010</t>
  </si>
  <si>
    <t>1 MA ACME X 1 SLIP SJ</t>
  </si>
  <si>
    <t>049081012441</t>
  </si>
  <si>
    <t>40049081012449</t>
  </si>
  <si>
    <t>A36-015</t>
  </si>
  <si>
    <t>1-1/2 ACME X 1-1/2 SLIP SJ</t>
  </si>
  <si>
    <t>049081011499</t>
  </si>
  <si>
    <t>40049081011497</t>
  </si>
  <si>
    <t>A36-132</t>
  </si>
  <si>
    <t>1-1/4 ACME FPT X 1 ACME MPT SJ</t>
  </si>
  <si>
    <t>049081011505</t>
  </si>
  <si>
    <t>40049081011503</t>
  </si>
  <si>
    <t>A36-133</t>
  </si>
  <si>
    <t>1 MA ACME X 1-1/2 FE ACME SJ</t>
  </si>
  <si>
    <t>049081012465</t>
  </si>
  <si>
    <t>40049081012463</t>
  </si>
  <si>
    <t>A36-169</t>
  </si>
  <si>
    <t>1-1/4 M ACME X 1-1/2 FE ACME SJ</t>
  </si>
  <si>
    <t>049081012472</t>
  </si>
  <si>
    <t>40049081012470</t>
  </si>
  <si>
    <t>A36-211</t>
  </si>
  <si>
    <t>1-1/2 MA ACME X 1 FE ACME SJ CT</t>
  </si>
  <si>
    <t>049081012205</t>
  </si>
  <si>
    <t>40049081012203</t>
  </si>
  <si>
    <t>A39-132</t>
  </si>
  <si>
    <t>1 MALE ACME X 1-1/4 FIPT SJ CPT</t>
  </si>
  <si>
    <t>049081011512</t>
  </si>
  <si>
    <t>40049081011510</t>
  </si>
  <si>
    <t>A90-010</t>
  </si>
  <si>
    <t>1 FS X ACME SJ COMPT</t>
  </si>
  <si>
    <t>049081011529</t>
  </si>
  <si>
    <t>40049081011527</t>
  </si>
  <si>
    <t>A90-012</t>
  </si>
  <si>
    <t>1-1/4 FS X ACME SJ COMPT</t>
  </si>
  <si>
    <t>049081011536</t>
  </si>
  <si>
    <t>40049081011534</t>
  </si>
  <si>
    <t>A90-015</t>
  </si>
  <si>
    <t>1-1/2 FS X 1-1/2 ACME SJ COMPT</t>
  </si>
  <si>
    <t>049081011543</t>
  </si>
  <si>
    <t>40049081011541</t>
  </si>
  <si>
    <t>A90-132</t>
  </si>
  <si>
    <t>1 FS X 1-1/4 ACME SJ COMPT</t>
  </si>
  <si>
    <t>049081011550</t>
  </si>
  <si>
    <t>40049081011558</t>
  </si>
  <si>
    <t>A90-133</t>
  </si>
  <si>
    <t>1 FS X 1-1/2 ACME COMPT SJ</t>
  </si>
  <si>
    <t>049081011567</t>
  </si>
  <si>
    <t>40049081011565</t>
  </si>
  <si>
    <t>A90-168</t>
  </si>
  <si>
    <t>1-1/4 FS X 1 ACME SJ COMPT</t>
  </si>
  <si>
    <t>049081011574</t>
  </si>
  <si>
    <t>40049081011572</t>
  </si>
  <si>
    <t>A90-169</t>
  </si>
  <si>
    <t>1-1/4 FS X 1-1/2 ACME COMPT SJ</t>
  </si>
  <si>
    <t>049081011581</t>
  </si>
  <si>
    <t>40049081011589</t>
  </si>
  <si>
    <t>A90-211</t>
  </si>
  <si>
    <t>1-1/2 FS X 1 ACME SJ COMPT</t>
  </si>
  <si>
    <t>049081011635</t>
  </si>
  <si>
    <t>40049081011633</t>
  </si>
  <si>
    <t>A90-212</t>
  </si>
  <si>
    <t>1-1/2 FS X 1-1/4 ACME COMPT SJ</t>
  </si>
  <si>
    <t>049081011598</t>
  </si>
  <si>
    <t>40049081011596</t>
  </si>
  <si>
    <t>470-010</t>
  </si>
  <si>
    <t>2" IPS X 1" FS SADDLE</t>
  </si>
  <si>
    <t>049081011109</t>
  </si>
  <si>
    <t>40049081011107</t>
  </si>
  <si>
    <t>470-012</t>
  </si>
  <si>
    <t>2" IPS X 1.1/4" FS SADDLE</t>
  </si>
  <si>
    <t>049081011116</t>
  </si>
  <si>
    <t>40049081011114</t>
  </si>
  <si>
    <t>470-015</t>
  </si>
  <si>
    <t>2" IPS X 1.1/2" FS SADDLE</t>
  </si>
  <si>
    <t>049081011123</t>
  </si>
  <si>
    <t>40049081011121</t>
  </si>
  <si>
    <t>A70-010</t>
  </si>
  <si>
    <t>2" IPS X 1 FE ACME SADDLE</t>
  </si>
  <si>
    <t>049081011086</t>
  </si>
  <si>
    <t>40049081011084</t>
  </si>
  <si>
    <t>A70-012</t>
  </si>
  <si>
    <t>2" IPS X 1.1/4" FE ACME SADDLE</t>
  </si>
  <si>
    <t>049081011048</t>
  </si>
  <si>
    <t>40049081011046</t>
  </si>
  <si>
    <t>A70-015</t>
  </si>
  <si>
    <t>2" IPS X 1.1/2" FE ACME SADDLE</t>
  </si>
  <si>
    <t>049081011093</t>
  </si>
  <si>
    <t>40049081011091</t>
  </si>
  <si>
    <t>570-010</t>
  </si>
  <si>
    <t>3" IPS X 1" FS SADDLE</t>
  </si>
  <si>
    <t>570-012</t>
  </si>
  <si>
    <t>3" IPS X 1.1/4" FS SADDLE</t>
  </si>
  <si>
    <t>570-015</t>
  </si>
  <si>
    <t>3" IPS X 1.1/2" FS SADDLE</t>
  </si>
  <si>
    <t>A72-010</t>
  </si>
  <si>
    <t>3" IPS X 1" ACME SADDLE</t>
  </si>
  <si>
    <t>A72-015</t>
  </si>
  <si>
    <t>3" IPS X 1.1/2" ACME SADDLE</t>
  </si>
  <si>
    <t>BS86-010</t>
  </si>
  <si>
    <t>1 BSPT X 1 MS SJ COMP</t>
  </si>
  <si>
    <t>049081010904</t>
  </si>
  <si>
    <t>40049081010902</t>
  </si>
  <si>
    <t>BS86-012</t>
  </si>
  <si>
    <t>1-1/4 BSPT X 1-1/2 MS SJ COMPT</t>
  </si>
  <si>
    <t>049081010911</t>
  </si>
  <si>
    <t>40049081010919</t>
  </si>
  <si>
    <t>BS86-015</t>
  </si>
  <si>
    <t>1-1/2 BSP X 1-1/2 MS SJ COMPT</t>
  </si>
  <si>
    <t>049081010928</t>
  </si>
  <si>
    <t>40049081010926</t>
  </si>
  <si>
    <t>BS86-132</t>
  </si>
  <si>
    <t>1-1/4 BSPT X 1 MS SJ COMPT</t>
  </si>
  <si>
    <t>049081010966</t>
  </si>
  <si>
    <t>40049081010964</t>
  </si>
  <si>
    <t>BS86-133</t>
  </si>
  <si>
    <t>1-1/2 BSPT X 1 MS SJ COMPT</t>
  </si>
  <si>
    <t>049081010973</t>
  </si>
  <si>
    <t>40049081010971</t>
  </si>
  <si>
    <t>BS87-010</t>
  </si>
  <si>
    <t>1 BSP X FS SJ COMPT</t>
  </si>
  <si>
    <t>049081010409</t>
  </si>
  <si>
    <t>40049081010407</t>
  </si>
  <si>
    <t>BS87-012</t>
  </si>
  <si>
    <t>1-1/4 BSP X FS SJ COMPT</t>
  </si>
  <si>
    <t>049081010416</t>
  </si>
  <si>
    <t>40049081010414</t>
  </si>
  <si>
    <t>BS87-015</t>
  </si>
  <si>
    <t>1-1/2 BSP X FS SJ COMPT</t>
  </si>
  <si>
    <t>049081010423</t>
  </si>
  <si>
    <t>40049081010421</t>
  </si>
  <si>
    <t>BS90-010</t>
  </si>
  <si>
    <t>1 FS X BSP SJ COMPT</t>
  </si>
  <si>
    <t>049081011857</t>
  </si>
  <si>
    <t>40049081011855</t>
  </si>
  <si>
    <t>BS90-012</t>
  </si>
  <si>
    <t>1-1/4 FS X BSP SJ COMPT</t>
  </si>
  <si>
    <t>049081011864</t>
  </si>
  <si>
    <t>40049081011862</t>
  </si>
  <si>
    <t>BS90-015</t>
  </si>
  <si>
    <t>1-1/2 FS X BSP SJ COMPT</t>
  </si>
  <si>
    <t>049081011871</t>
  </si>
  <si>
    <t>40049081011879</t>
  </si>
  <si>
    <t>BS90-132</t>
  </si>
  <si>
    <t>1 FS X 1-1/4 BSP SJ COMPT</t>
  </si>
  <si>
    <t>049081011901</t>
  </si>
  <si>
    <t>40049081011909</t>
  </si>
  <si>
    <t>BS90-133</t>
  </si>
  <si>
    <t>1 FS X 1-1/2 BSP SJ COMPT</t>
  </si>
  <si>
    <t>049081011918</t>
  </si>
  <si>
    <t>40049081011916</t>
  </si>
  <si>
    <t>BS90-168</t>
  </si>
  <si>
    <t>1-1/4 FS X 1 BSP SJ COMPT</t>
  </si>
  <si>
    <t>049081011925</t>
  </si>
  <si>
    <t>40049081011923</t>
  </si>
  <si>
    <t>BS90-169</t>
  </si>
  <si>
    <t>1-1/4 FS X 1-1/2 BSP SJ COMPT</t>
  </si>
  <si>
    <t>049081011932</t>
  </si>
  <si>
    <t>40049081011930</t>
  </si>
  <si>
    <t>BS90-212</t>
  </si>
  <si>
    <t>1-1/2 FS X 1-1/4 BSP SJ COMPT</t>
  </si>
  <si>
    <t>049081011949</t>
  </si>
  <si>
    <t>40049081011947</t>
  </si>
  <si>
    <t>BSA90-015</t>
  </si>
  <si>
    <t>1-1/2 BSPT X 1-1/2 ACME ELL SJ</t>
  </si>
  <si>
    <t>049081011956</t>
  </si>
  <si>
    <t>40049081011954</t>
  </si>
  <si>
    <t>BSA90-132</t>
  </si>
  <si>
    <t>1 BSPT X 1-1/4 ACME ELL SJ</t>
  </si>
  <si>
    <t>049081011888</t>
  </si>
  <si>
    <t>40049081011886</t>
  </si>
  <si>
    <t>BSA90-212</t>
  </si>
  <si>
    <t>1-1/2 BSPT X 1-1/4 ACME ELL SJ</t>
  </si>
  <si>
    <t>049081011895</t>
  </si>
  <si>
    <t>40049081011893</t>
  </si>
  <si>
    <t>BSQ90-010</t>
  </si>
  <si>
    <t>1 FS X 1 BRASS BSP SJ COMPT</t>
  </si>
  <si>
    <t>049081011987</t>
  </si>
  <si>
    <t>40049081011985</t>
  </si>
  <si>
    <t>D100EXT12</t>
  </si>
  <si>
    <t>12 EXTENSION KIT, 1 DIAM SJ</t>
  </si>
  <si>
    <t>049081013325</t>
  </si>
  <si>
    <t>40049081013323</t>
  </si>
  <si>
    <t>D100EXT18</t>
  </si>
  <si>
    <t>18 EXTENSION KIT, 1 DIAM SJ</t>
  </si>
  <si>
    <t>049081013356</t>
  </si>
  <si>
    <t>40049081013354</t>
  </si>
  <si>
    <t>D100EXT6</t>
  </si>
  <si>
    <t>6 EXTENSION KIT, 1 DIAM SJ</t>
  </si>
  <si>
    <t>049081013295</t>
  </si>
  <si>
    <t>40049081013293</t>
  </si>
  <si>
    <t>D100EXT8</t>
  </si>
  <si>
    <t>8 EXTENSION KIT, 1 DIAM SJ</t>
  </si>
  <si>
    <t>049081013301</t>
  </si>
  <si>
    <t>40049081013309</t>
  </si>
  <si>
    <t>D125EXT12</t>
  </si>
  <si>
    <t>12 EXTENSION KIT, 1-1/2 DIAM SJ</t>
  </si>
  <si>
    <t>049081013417</t>
  </si>
  <si>
    <t>40049081013415</t>
  </si>
  <si>
    <t>D125EXT18</t>
  </si>
  <si>
    <t>18 EXTENSION KID, 1-1/4 DIAM SJ</t>
  </si>
  <si>
    <t>049081013448</t>
  </si>
  <si>
    <t>40049081013446</t>
  </si>
  <si>
    <t>D125EXT6</t>
  </si>
  <si>
    <t>6 EXTENSION KIT, 1-1/4 DIAM SJ</t>
  </si>
  <si>
    <t>049081013387</t>
  </si>
  <si>
    <t>40049081013385</t>
  </si>
  <si>
    <t>D125EXT8</t>
  </si>
  <si>
    <t>8 EXTENSION KIT, 1-1/4 DIAM SJ</t>
  </si>
  <si>
    <t>049081013394</t>
  </si>
  <si>
    <t>40049081013392</t>
  </si>
  <si>
    <t>D150EXT12</t>
  </si>
  <si>
    <t>049081013509</t>
  </si>
  <si>
    <t>40049081013507</t>
  </si>
  <si>
    <t>D150EXT18</t>
  </si>
  <si>
    <t>18 EXTENSION KIT, 1-1/2 DIAM SJ</t>
  </si>
  <si>
    <t>049081013516</t>
  </si>
  <si>
    <t>40049081013514</t>
  </si>
  <si>
    <t>D150EXT6</t>
  </si>
  <si>
    <t>6 EXTENSION KIT, 1-1/2 DIAM SJ</t>
  </si>
  <si>
    <t>049081013479</t>
  </si>
  <si>
    <t>40049081013477</t>
  </si>
  <si>
    <t>D150EXT8</t>
  </si>
  <si>
    <t>8 EXTENSION KIT, 1-1/2 DIAM SJ</t>
  </si>
  <si>
    <t>049081013486</t>
  </si>
  <si>
    <t>40049081013484</t>
  </si>
  <si>
    <t>DL-010</t>
  </si>
  <si>
    <t>1 QUICK COUPLER LOCK SJ</t>
  </si>
  <si>
    <t>049081161323</t>
  </si>
  <si>
    <t>40049081161321</t>
  </si>
  <si>
    <t>DL-015</t>
  </si>
  <si>
    <t>1-1/2 QUICK COUPLER LOCK SJ</t>
  </si>
  <si>
    <t>049081161330</t>
  </si>
  <si>
    <t>40049081161338</t>
  </si>
  <si>
    <t>Unibody Riser Nipple</t>
  </si>
  <si>
    <t>1-UB-10</t>
  </si>
  <si>
    <t>1 X 10 UNIBODY SJ</t>
  </si>
  <si>
    <t>049081012762</t>
  </si>
  <si>
    <t>40049081012760</t>
  </si>
  <si>
    <t>1-UB-12</t>
  </si>
  <si>
    <t>1 X 12 UNIBODY SJ</t>
  </si>
  <si>
    <t>049081012793</t>
  </si>
  <si>
    <t>40049081012791</t>
  </si>
  <si>
    <t>1-UB-14</t>
  </si>
  <si>
    <t>1 X 14 UNIBODY SJ</t>
  </si>
  <si>
    <t>049081012823</t>
  </si>
  <si>
    <t>40049081012821</t>
  </si>
  <si>
    <t>1-UB-16</t>
  </si>
  <si>
    <t>1 X 16 UNIBODY SJ</t>
  </si>
  <si>
    <t>049081012854</t>
  </si>
  <si>
    <t>40049081012852</t>
  </si>
  <si>
    <t>1-UB-18</t>
  </si>
  <si>
    <t>1 X 18 UNIBODY SJ</t>
  </si>
  <si>
    <t>049081012885</t>
  </si>
  <si>
    <t>40049081012883</t>
  </si>
  <si>
    <t>1-UB-6</t>
  </si>
  <si>
    <t>1 X 6 UNIBODY SJ</t>
  </si>
  <si>
    <t>049081012700</t>
  </si>
  <si>
    <t>40049081012708</t>
  </si>
  <si>
    <t>1-UB-8</t>
  </si>
  <si>
    <t>1 X 8 UNIBODY SJ</t>
  </si>
  <si>
    <t>049081012731</t>
  </si>
  <si>
    <t>40049081012739</t>
  </si>
  <si>
    <t>2-UB-10</t>
  </si>
  <si>
    <t>1-1/4 X 10 UNIBODY SJ COMPT</t>
  </si>
  <si>
    <t>049081012779</t>
  </si>
  <si>
    <t>40049081012777</t>
  </si>
  <si>
    <t>2-UB-12</t>
  </si>
  <si>
    <t>1-1/4 X 12 UNIBODY SJ</t>
  </si>
  <si>
    <t>049081012809</t>
  </si>
  <si>
    <t>40049081012807</t>
  </si>
  <si>
    <t>2-UB-14</t>
  </si>
  <si>
    <t>1-1/4 X 14 UNIBODY SJ</t>
  </si>
  <si>
    <t>049081012830</t>
  </si>
  <si>
    <t>40049081012838</t>
  </si>
  <si>
    <t>2-UB-16</t>
  </si>
  <si>
    <t>1-1/4 UNIBODY 16 LL SJ</t>
  </si>
  <si>
    <t>049081012861</t>
  </si>
  <si>
    <t>40049081012869</t>
  </si>
  <si>
    <t>2-UB-18</t>
  </si>
  <si>
    <t>1-1/4 X 18 UNIBODY SJ</t>
  </si>
  <si>
    <t>049081012892</t>
  </si>
  <si>
    <t>40049081012890</t>
  </si>
  <si>
    <t>2-UB-6</t>
  </si>
  <si>
    <t>1-1/4 X 6 UNIBODY SJ</t>
  </si>
  <si>
    <t>049081012717</t>
  </si>
  <si>
    <t>40049081012715</t>
  </si>
  <si>
    <t>2-UB-8</t>
  </si>
  <si>
    <t>1-1/4 X 8 UNIBODY SJ</t>
  </si>
  <si>
    <t>049081012748</t>
  </si>
  <si>
    <t>40049081012746</t>
  </si>
  <si>
    <t>3-UB-10</t>
  </si>
  <si>
    <t>1-1/2 X 10 UNIBODY SJ</t>
  </si>
  <si>
    <t>049081012786</t>
  </si>
  <si>
    <t>40049081012784</t>
  </si>
  <si>
    <t>3-UB-12</t>
  </si>
  <si>
    <t>1-1/2 X 12 UNIBODY SJ</t>
  </si>
  <si>
    <t>049081012816</t>
  </si>
  <si>
    <t>40049081012814</t>
  </si>
  <si>
    <t>3-UB-14</t>
  </si>
  <si>
    <t>1-1/2 X 14 UNIBODY SJ</t>
  </si>
  <si>
    <t>049081012847</t>
  </si>
  <si>
    <t>40049081012845</t>
  </si>
  <si>
    <t>3-UB-16</t>
  </si>
  <si>
    <t>1-1/2 X 16 UNIBODY SJ</t>
  </si>
  <si>
    <t>049081012878</t>
  </si>
  <si>
    <t>40049081012876</t>
  </si>
  <si>
    <t>3-UB-18</t>
  </si>
  <si>
    <t>1-1/2X18 UNIBODY SJ</t>
  </si>
  <si>
    <t>049081012908</t>
  </si>
  <si>
    <t>40049081012906</t>
  </si>
  <si>
    <t>3-UB-6</t>
  </si>
  <si>
    <t>1-1/2 X 6 UNIBODY SJ</t>
  </si>
  <si>
    <t>049081012724</t>
  </si>
  <si>
    <t>40049081012722</t>
  </si>
  <si>
    <t>3-UB-8</t>
  </si>
  <si>
    <t>1-1/2 X 8 UNIBODY SJ</t>
  </si>
  <si>
    <t>049081012755</t>
  </si>
  <si>
    <t>40049081012753</t>
  </si>
  <si>
    <t>Wire Holder</t>
  </si>
  <si>
    <t>1WH</t>
  </si>
  <si>
    <t>1 WIRE HOLDER SJ</t>
  </si>
  <si>
    <t>049081005054</t>
  </si>
  <si>
    <t>049081629618</t>
  </si>
  <si>
    <t>40049081005052</t>
  </si>
  <si>
    <t>2WH</t>
  </si>
  <si>
    <t>1-1/4 WIRE HOLDER SJ</t>
  </si>
  <si>
    <t>049081005061</t>
  </si>
  <si>
    <t>049081621346</t>
  </si>
  <si>
    <t>40049081005069</t>
  </si>
  <si>
    <t>3WH</t>
  </si>
  <si>
    <t>1-1/2 WIRE HOLDER SJ</t>
  </si>
  <si>
    <t>049081005078</t>
  </si>
  <si>
    <t>40049081005076</t>
  </si>
  <si>
    <t>Inlet Replacements</t>
  </si>
  <si>
    <t>J80-249</t>
  </si>
  <si>
    <t>50MM X 1 FS TEE SJ COMPT</t>
  </si>
  <si>
    <t>049081011307</t>
  </si>
  <si>
    <t>40049081011305</t>
  </si>
  <si>
    <t>J80-250</t>
  </si>
  <si>
    <t>50MM X 1-1/4 FS TEE SJ COMPT</t>
  </si>
  <si>
    <t>049081011314</t>
  </si>
  <si>
    <t>40049081011312</t>
  </si>
  <si>
    <t>J80-251</t>
  </si>
  <si>
    <t>50MM X 1-1/2 FS TEE SJ COMPT</t>
  </si>
  <si>
    <t>049081011321</t>
  </si>
  <si>
    <t>40049081011329</t>
  </si>
  <si>
    <t>J81-249</t>
  </si>
  <si>
    <t>50MM SOC X 1 FS ELL SJ COMPT</t>
  </si>
  <si>
    <t>049081011406</t>
  </si>
  <si>
    <t>40049081011404</t>
  </si>
  <si>
    <t>J81-250</t>
  </si>
  <si>
    <t>50MM SOC X 1-1/4 FS ELL SJ COMP</t>
  </si>
  <si>
    <t>049081011413</t>
  </si>
  <si>
    <t>40049081011411</t>
  </si>
  <si>
    <t>J81-251</t>
  </si>
  <si>
    <t>50MM SOX X 1-1/2 FS ELL SJ COMP</t>
  </si>
  <si>
    <t>049081011420</t>
  </si>
  <si>
    <t>40049081011428</t>
  </si>
  <si>
    <t>J88-010</t>
  </si>
  <si>
    <t>25MM SPG X FS SJ COMPT</t>
  </si>
  <si>
    <t>049081010553</t>
  </si>
  <si>
    <t>40049081010551</t>
  </si>
  <si>
    <t>J88-012</t>
  </si>
  <si>
    <t>30MM SPG X FS SJ COMPT</t>
  </si>
  <si>
    <t>049081010560</t>
  </si>
  <si>
    <t>40049081010568</t>
  </si>
  <si>
    <t>J88-015</t>
  </si>
  <si>
    <t>40MM SPG X FS SJ COMPT</t>
  </si>
  <si>
    <t>049081010577</t>
  </si>
  <si>
    <t>40049081010575</t>
  </si>
  <si>
    <t>J89-010</t>
  </si>
  <si>
    <t>25MM SOC X FS SJ COMPT</t>
  </si>
  <si>
    <t>049081010607</t>
  </si>
  <si>
    <t>40049081010605</t>
  </si>
  <si>
    <t>J89-012</t>
  </si>
  <si>
    <t>30MM SOC X FS SJ COMPT</t>
  </si>
  <si>
    <t>049081010614</t>
  </si>
  <si>
    <t>40049081010612</t>
  </si>
  <si>
    <t>J89-015</t>
  </si>
  <si>
    <t>40MM SOC X FX SJ COMPT</t>
  </si>
  <si>
    <t>049081010621</t>
  </si>
  <si>
    <t>40049081010629</t>
  </si>
  <si>
    <t>M84-010</t>
  </si>
  <si>
    <t>32MM SOC X MS SJ COMPT</t>
  </si>
  <si>
    <t>049081011055</t>
  </si>
  <si>
    <t>40049081011053</t>
  </si>
  <si>
    <t>M84-012</t>
  </si>
  <si>
    <t>40MM SOC X MS SJ COMPT</t>
  </si>
  <si>
    <t>049081011062</t>
  </si>
  <si>
    <t>40049081011060</t>
  </si>
  <si>
    <t>M84-015</t>
  </si>
  <si>
    <t>50MM SOC X MS SJ COMPT</t>
  </si>
  <si>
    <t>049081011079</t>
  </si>
  <si>
    <t>40049081011077</t>
  </si>
  <si>
    <t>M85-010</t>
  </si>
  <si>
    <t>32MM SPIGOT X MS SJ COMP</t>
  </si>
  <si>
    <t>049081011000</t>
  </si>
  <si>
    <t>40049081011008</t>
  </si>
  <si>
    <t>M85-012</t>
  </si>
  <si>
    <t>40MM SPIGOT X MS SJ COMP</t>
  </si>
  <si>
    <t>049081011017</t>
  </si>
  <si>
    <t>40049081011015</t>
  </si>
  <si>
    <t>M85-015</t>
  </si>
  <si>
    <t>50MM SPIGOT X MS SJ COMP</t>
  </si>
  <si>
    <t>049081011024</t>
  </si>
  <si>
    <t>40049081011022</t>
  </si>
  <si>
    <t>M88-010</t>
  </si>
  <si>
    <t>32MM SPG X FS SJ COMPT</t>
  </si>
  <si>
    <t>049081010454</t>
  </si>
  <si>
    <t>40049081010452</t>
  </si>
  <si>
    <t>M88-012</t>
  </si>
  <si>
    <t>049081010461</t>
  </si>
  <si>
    <t>40049081010469</t>
  </si>
  <si>
    <t>M88-015</t>
  </si>
  <si>
    <t>50MM SPG X FS SJ COMPT</t>
  </si>
  <si>
    <t>049081010478</t>
  </si>
  <si>
    <t>40049081010476</t>
  </si>
  <si>
    <t>M89-010</t>
  </si>
  <si>
    <t>32MM SOC X FS SJ COMPT</t>
  </si>
  <si>
    <t>049081010508</t>
  </si>
  <si>
    <t>40049081010506</t>
  </si>
  <si>
    <t>M89-012</t>
  </si>
  <si>
    <t>40MM SOC X FS SJ COMPT</t>
  </si>
  <si>
    <t>049081010515</t>
  </si>
  <si>
    <t>40049081010513</t>
  </si>
  <si>
    <r>
      <rPr>
        <b/>
        <sz val="12"/>
        <color indexed="8"/>
        <rFont val="Calibri"/>
        <family val="2"/>
      </rPr>
      <t>*Note</t>
    </r>
    <r>
      <rPr>
        <sz val="12"/>
        <color indexed="8"/>
        <rFont val="Calibri"/>
        <family val="2"/>
      </rPr>
      <t xml:space="preserve">: All order quantites are </t>
    </r>
    <r>
      <rPr>
        <b/>
        <u/>
        <sz val="12"/>
        <color indexed="8"/>
        <rFont val="Calibri"/>
        <family val="2"/>
      </rPr>
      <t>Piece Quantity</t>
    </r>
  </si>
  <si>
    <t>Line</t>
  </si>
  <si>
    <t>Phone:</t>
  </si>
  <si>
    <t>P.O. #:</t>
  </si>
  <si>
    <t>Quantity Ordered</t>
  </si>
  <si>
    <t>Tigre Part Number</t>
  </si>
  <si>
    <t>Tigre Code</t>
  </si>
  <si>
    <t>Total Non-Standard Items:</t>
  </si>
  <si>
    <t>All Products</t>
  </si>
  <si>
    <t>100-3188</t>
  </si>
  <si>
    <t>1-1/4 COUPLING DWV</t>
  </si>
  <si>
    <t>810673013821</t>
  </si>
  <si>
    <t>100-3189</t>
  </si>
  <si>
    <t>1-1/2 COUPLING DWV</t>
  </si>
  <si>
    <t>810673013838</t>
  </si>
  <si>
    <t>10810673013835</t>
  </si>
  <si>
    <t>100-3190</t>
  </si>
  <si>
    <t>2 COUPLING DWV</t>
  </si>
  <si>
    <t>810673013845</t>
  </si>
  <si>
    <t>10810673013842</t>
  </si>
  <si>
    <t>100-3191</t>
  </si>
  <si>
    <t>3 COUPLING DWV</t>
  </si>
  <si>
    <t>810673013869</t>
  </si>
  <si>
    <t>10810673013866</t>
  </si>
  <si>
    <t>100-3192</t>
  </si>
  <si>
    <t>4 COUPLING DWV</t>
  </si>
  <si>
    <t>810673013852</t>
  </si>
  <si>
    <t>10810673013859</t>
  </si>
  <si>
    <t>100-3193</t>
  </si>
  <si>
    <t>6 COUPLING DWV</t>
  </si>
  <si>
    <t>810673015351</t>
  </si>
  <si>
    <t>810673015368</t>
  </si>
  <si>
    <t>101-3198</t>
  </si>
  <si>
    <t>1-1/2 FEMALE ADAPTER HXFPT DWV</t>
  </si>
  <si>
    <t>810673012541</t>
  </si>
  <si>
    <t>10810673012548</t>
  </si>
  <si>
    <t>101-3199</t>
  </si>
  <si>
    <t>2 FEMALE ADAPTER HXFPT DWV</t>
  </si>
  <si>
    <t>810673013319</t>
  </si>
  <si>
    <t>10810673013316</t>
  </si>
  <si>
    <t>101-3200</t>
  </si>
  <si>
    <t>3 FEMALE ADAPTER HXFPT DWV</t>
  </si>
  <si>
    <t>810673013326</t>
  </si>
  <si>
    <t>10810673013323</t>
  </si>
  <si>
    <t>101-3201</t>
  </si>
  <si>
    <t>4 FEMALE ADAPTER HXFPT DWV</t>
  </si>
  <si>
    <t>810673013333</t>
  </si>
  <si>
    <t>10810673013330</t>
  </si>
  <si>
    <t>101-3202</t>
  </si>
  <si>
    <t>6 FEMALE ADAPTER HXFPT DWV</t>
  </si>
  <si>
    <t>810673014125</t>
  </si>
  <si>
    <t>810673015634</t>
  </si>
  <si>
    <t>102-3203</t>
  </si>
  <si>
    <t>2X1-1/2 PIPE INCREASER REDUCER DWV</t>
  </si>
  <si>
    <t>810673014798</t>
  </si>
  <si>
    <t>10810673014795</t>
  </si>
  <si>
    <t>102-3204</t>
  </si>
  <si>
    <t>3X1-1/2 PIPE INCREASER REDUCER DWV</t>
  </si>
  <si>
    <t>810673014811</t>
  </si>
  <si>
    <t>10810673014818</t>
  </si>
  <si>
    <t>102-3205</t>
  </si>
  <si>
    <t>3 X 2 PIPE INCREASER REDUCER DWV</t>
  </si>
  <si>
    <t>810673014835</t>
  </si>
  <si>
    <t>10810673014832</t>
  </si>
  <si>
    <t>102-3206</t>
  </si>
  <si>
    <t>4 X 2 PIPE INCREASER REDUCER DWV</t>
  </si>
  <si>
    <t>810673014859</t>
  </si>
  <si>
    <t>10810673014856</t>
  </si>
  <si>
    <t>102-3207</t>
  </si>
  <si>
    <t>4 X 3 PIPE INCREASER REDUCER DWV</t>
  </si>
  <si>
    <t>810673014873</t>
  </si>
  <si>
    <t>810673014880</t>
  </si>
  <si>
    <t>102-1074</t>
  </si>
  <si>
    <t>6 X 4 PIPE INCREASER REDUCER DWV</t>
  </si>
  <si>
    <t>812361013175</t>
  </si>
  <si>
    <t>812361019030</t>
  </si>
  <si>
    <t>103-3208</t>
  </si>
  <si>
    <t>1-1/2 X 1-1/4 TRAP ADAPTER MALE DWV</t>
  </si>
  <si>
    <t>810673015238</t>
  </si>
  <si>
    <t>103-3209</t>
  </si>
  <si>
    <t>1-1/2 TRAP ADAPTER MALE DWV</t>
  </si>
  <si>
    <t>810673015214</t>
  </si>
  <si>
    <t>810673015221</t>
  </si>
  <si>
    <t>103-P-3211</t>
  </si>
  <si>
    <t>1-1/2X1-1/4 TRAP AD M W/PL NUT DWV</t>
  </si>
  <si>
    <t>812361011188</t>
  </si>
  <si>
    <t>10812361011185</t>
  </si>
  <si>
    <t>103-P-3212</t>
  </si>
  <si>
    <t>1-1/2 TRAP AD MALE W/PLAST NUT DWV</t>
  </si>
  <si>
    <t>812361011201</t>
  </si>
  <si>
    <t>812361011218</t>
  </si>
  <si>
    <t>103-R-3015</t>
  </si>
  <si>
    <t>1-1/2 TRAP AD M W/PL NUT&amp;W SXSJ DWV</t>
  </si>
  <si>
    <t>812361017623</t>
  </si>
  <si>
    <t>104-3220</t>
  </si>
  <si>
    <t>1-1/2X1-1/4 TRAP ADAPTER FEMALE DWV</t>
  </si>
  <si>
    <t>810673015191</t>
  </si>
  <si>
    <t>10810673015198</t>
  </si>
  <si>
    <t>104-P-3223</t>
  </si>
  <si>
    <t>1-1/2X1-1/4 TRAP AD F W/PL NUT DWV</t>
  </si>
  <si>
    <t>812361011140</t>
  </si>
  <si>
    <t>10812361011147</t>
  </si>
  <si>
    <t>104-P-3224</t>
  </si>
  <si>
    <t>1-1/2 TRAP AD FEMALE W/PL NUT DWV</t>
  </si>
  <si>
    <t>812361011164</t>
  </si>
  <si>
    <t>812361011171</t>
  </si>
  <si>
    <t>105-3233</t>
  </si>
  <si>
    <t>1-1/2 CLEANOUT ADAP SXFPT DWV</t>
  </si>
  <si>
    <t>810673013371</t>
  </si>
  <si>
    <t>810673010929</t>
  </si>
  <si>
    <t>105-3234</t>
  </si>
  <si>
    <t>2 CLEANOUT ADAP SXFPT DWV</t>
  </si>
  <si>
    <t>810673013388</t>
  </si>
  <si>
    <t>810673010936</t>
  </si>
  <si>
    <t>105-3235</t>
  </si>
  <si>
    <t>3 CLEANOUT ADAP SXFPT DWV</t>
  </si>
  <si>
    <t>810673013395</t>
  </si>
  <si>
    <t>810673010943</t>
  </si>
  <si>
    <t>105-3236</t>
  </si>
  <si>
    <t>4 CLEANOUT ADAP SXFPT DWV</t>
  </si>
  <si>
    <t>810673013401</t>
  </si>
  <si>
    <t>810673010950</t>
  </si>
  <si>
    <t>105-3237</t>
  </si>
  <si>
    <t>6 CLEANOUT ADAP SXFPT DWV</t>
  </si>
  <si>
    <t>810673014149</t>
  </si>
  <si>
    <t>105-X-3239</t>
  </si>
  <si>
    <t>1-1/2CLEANOUT AD W/CO PLG SXFPT DWV</t>
  </si>
  <si>
    <t>810673013340</t>
  </si>
  <si>
    <t>10810673013347</t>
  </si>
  <si>
    <t>105-X-3240</t>
  </si>
  <si>
    <t>2 CLEANOUT AD W/CO PLG SXFPT DWV</t>
  </si>
  <si>
    <t>810673013357</t>
  </si>
  <si>
    <t>10810673013354</t>
  </si>
  <si>
    <t>105-X-3241</t>
  </si>
  <si>
    <t>3 CLEANOUT AD W/CO PLG SXFPT DWV</t>
  </si>
  <si>
    <t>810673013784</t>
  </si>
  <si>
    <t>10810673013781</t>
  </si>
  <si>
    <t>105-X-3242</t>
  </si>
  <si>
    <t>4 CLEANOUT AD W/CO PLG SXFPT DWV</t>
  </si>
  <si>
    <t>810673013364</t>
  </si>
  <si>
    <t>10810673013361</t>
  </si>
  <si>
    <t>105-X-3243</t>
  </si>
  <si>
    <t>6 CLEANOUT AD W/CO PLG SXFPT DWV</t>
  </si>
  <si>
    <t>810673014132</t>
  </si>
  <si>
    <t>106-3251</t>
  </si>
  <si>
    <t>1-1/2 CLEANOUT PLUG MPT DWV</t>
  </si>
  <si>
    <t>810673013876</t>
  </si>
  <si>
    <t>10810673013873</t>
  </si>
  <si>
    <t>106-3252</t>
  </si>
  <si>
    <t>2 CLEANOUT PLUG MPT DWV</t>
  </si>
  <si>
    <t>810673013883</t>
  </si>
  <si>
    <t>10810673013880</t>
  </si>
  <si>
    <t>106-3253</t>
  </si>
  <si>
    <t>3 CLEANOUT PLUG MPT DWV</t>
  </si>
  <si>
    <t>810673013890</t>
  </si>
  <si>
    <t>10810673013897</t>
  </si>
  <si>
    <t>106-3254</t>
  </si>
  <si>
    <t>4 CLEANOUT PLUG MPT DWV</t>
  </si>
  <si>
    <t>810673013906</t>
  </si>
  <si>
    <t>10810673013903</t>
  </si>
  <si>
    <t>106-3255</t>
  </si>
  <si>
    <t>6 CLEANOUT PLUG MPT DWV</t>
  </si>
  <si>
    <t>810673014156</t>
  </si>
  <si>
    <t>810673016051</t>
  </si>
  <si>
    <t>107-3263</t>
  </si>
  <si>
    <t>2 X 1-1/2 FLUSH BUSHING SXH DWV</t>
  </si>
  <si>
    <t>810673014545</t>
  </si>
  <si>
    <t>10810673014542</t>
  </si>
  <si>
    <t>107-3264</t>
  </si>
  <si>
    <t>3 X 1-1/2 FLUSH BUSHING SXH DWV</t>
  </si>
  <si>
    <t>810673014569</t>
  </si>
  <si>
    <t>10810673014566</t>
  </si>
  <si>
    <t>107-3265</t>
  </si>
  <si>
    <t>3 X 2 FLUSH BUSHING SXH DWV</t>
  </si>
  <si>
    <t>810673014583</t>
  </si>
  <si>
    <t>10810673014580</t>
  </si>
  <si>
    <t>107-3266</t>
  </si>
  <si>
    <t>4 X 2 FLUSH BUSHING SXH DWV</t>
  </si>
  <si>
    <t>810673014606</t>
  </si>
  <si>
    <t>10810673014603</t>
  </si>
  <si>
    <t>107-3267</t>
  </si>
  <si>
    <t>4 X 3 FLUSH BUSHING SXH DWV</t>
  </si>
  <si>
    <t>810673014620</t>
  </si>
  <si>
    <t>10810673014627</t>
  </si>
  <si>
    <t>107-3268</t>
  </si>
  <si>
    <t>6 X 4 FLUSH BUSHING SXH DWV</t>
  </si>
  <si>
    <t>810673011995</t>
  </si>
  <si>
    <t>810673015658</t>
  </si>
  <si>
    <t>109-3286</t>
  </si>
  <si>
    <t>1-1/2 MALE ADAPTER HXMPT DWV</t>
  </si>
  <si>
    <t>810673013432</t>
  </si>
  <si>
    <t>10810673013439</t>
  </si>
  <si>
    <t>109-3287</t>
  </si>
  <si>
    <t>1-1/2X1-1/4 MALE ADAPTER HXMPT DWV</t>
  </si>
  <si>
    <t>810673013425</t>
  </si>
  <si>
    <t>10810673013422</t>
  </si>
  <si>
    <t>109-3288</t>
  </si>
  <si>
    <t>2 MALE ADAPTER HXMPT DWV</t>
  </si>
  <si>
    <t>810673013449</t>
  </si>
  <si>
    <t>10810673013446</t>
  </si>
  <si>
    <t>109-3289</t>
  </si>
  <si>
    <t>3 MALE ADAPTER HXMPT DWV</t>
  </si>
  <si>
    <t>810673013456</t>
  </si>
  <si>
    <t>10810673013453</t>
  </si>
  <si>
    <t>109-3290</t>
  </si>
  <si>
    <t>4 MALE ADAPTER HXMPT DWV</t>
  </si>
  <si>
    <t>810673013463</t>
  </si>
  <si>
    <t>810673011018</t>
  </si>
  <si>
    <t>109-3296</t>
  </si>
  <si>
    <t>6 MALE ADAPTER HXMPT DWV</t>
  </si>
  <si>
    <t>812361017173</t>
  </si>
  <si>
    <t>110-3292</t>
  </si>
  <si>
    <t>3 FLUSH C/O PLUG MPT DWV</t>
  </si>
  <si>
    <t>812361017272</t>
  </si>
  <si>
    <t>110-3293</t>
  </si>
  <si>
    <t>4 FLUSH C/O PLUG MPT DWV</t>
  </si>
  <si>
    <t>816842021437</t>
  </si>
  <si>
    <t>116-3301</t>
  </si>
  <si>
    <t>1-1/2 CAP DWV</t>
  </si>
  <si>
    <t>810673013470</t>
  </si>
  <si>
    <t>10810673013477</t>
  </si>
  <si>
    <t>116-3302</t>
  </si>
  <si>
    <t>2 CAP DWV</t>
  </si>
  <si>
    <t>810673013487</t>
  </si>
  <si>
    <t>10810673013484</t>
  </si>
  <si>
    <t>116-3303</t>
  </si>
  <si>
    <t>3 CAP DWV</t>
  </si>
  <si>
    <t>810673013494</t>
  </si>
  <si>
    <t>810673011063</t>
  </si>
  <si>
    <t>116-3304</t>
  </si>
  <si>
    <t>4 CAP DWV</t>
  </si>
  <si>
    <t>810673013500</t>
  </si>
  <si>
    <t>810673011070</t>
  </si>
  <si>
    <t>116-3305</t>
  </si>
  <si>
    <t>6 CAP DWV</t>
  </si>
  <si>
    <t>810673014163</t>
  </si>
  <si>
    <t>810673012343</t>
  </si>
  <si>
    <t>117-3307</t>
  </si>
  <si>
    <t>4X3 ADAPT COUPLING S&amp;D H X DWV H</t>
  </si>
  <si>
    <t>812361012536</t>
  </si>
  <si>
    <t>10812361012533</t>
  </si>
  <si>
    <t>117-3308</t>
  </si>
  <si>
    <t>4 ADAPT COUPLING S&amp;D H X DWV H</t>
  </si>
  <si>
    <t>812361012550</t>
  </si>
  <si>
    <t>10812361012557</t>
  </si>
  <si>
    <t>119-3311</t>
  </si>
  <si>
    <t>1-1/2 NO HUB ADAPTER SXH DWV</t>
  </si>
  <si>
    <t>812361017180</t>
  </si>
  <si>
    <t>119-3312</t>
  </si>
  <si>
    <t>2 NO HUB ADAPTER SXH DWV</t>
  </si>
  <si>
    <t>810673015481</t>
  </si>
  <si>
    <t>810673015498</t>
  </si>
  <si>
    <t>119-3314</t>
  </si>
  <si>
    <t>3 NO HUB ADAPTER SXH DWV</t>
  </si>
  <si>
    <t>810673015504</t>
  </si>
  <si>
    <t>810673015511</t>
  </si>
  <si>
    <t>119-3316</t>
  </si>
  <si>
    <t>4 NO HUB ADAPTER SXH DWV</t>
  </si>
  <si>
    <t>810673015528</t>
  </si>
  <si>
    <t>810673015535</t>
  </si>
  <si>
    <t>123-3320</t>
  </si>
  <si>
    <t>2 HUB ADAPTER CAST IRON HXS DWV</t>
  </si>
  <si>
    <t>812361011904</t>
  </si>
  <si>
    <t>123-3321</t>
  </si>
  <si>
    <t>3 HUB ADAPTER CAST IRON HXS DWV</t>
  </si>
  <si>
    <t>812361011911</t>
  </si>
  <si>
    <t>123-3322</t>
  </si>
  <si>
    <t>4 HUB ADAPTER CAST IRON HXS DWV</t>
  </si>
  <si>
    <t>810673015399</t>
  </si>
  <si>
    <t>810673015405</t>
  </si>
  <si>
    <t>123R-3326</t>
  </si>
  <si>
    <t>3X4 HUB ADAPT CAST IRON INC HXS DWV</t>
  </si>
  <si>
    <t>812361017166</t>
  </si>
  <si>
    <t>126-6004</t>
  </si>
  <si>
    <t>4 DWV SPIGOT PLUG DWV</t>
  </si>
  <si>
    <t>812361017425</t>
  </si>
  <si>
    <t>126-6006</t>
  </si>
  <si>
    <t>6 DWV SPIGOT PLUG DWV</t>
  </si>
  <si>
    <t>812361017746</t>
  </si>
  <si>
    <t>130-3337</t>
  </si>
  <si>
    <t>1-1/2 REPAIR COUPLING DWV</t>
  </si>
  <si>
    <t>812361013182</t>
  </si>
  <si>
    <t>812361013199</t>
  </si>
  <si>
    <t>130-3338</t>
  </si>
  <si>
    <t>2 REPAIR COUPLING DWV</t>
  </si>
  <si>
    <t>812361013205</t>
  </si>
  <si>
    <t>812361013212</t>
  </si>
  <si>
    <t>130-3339</t>
  </si>
  <si>
    <t>3 REPAIR COUPLING DWV</t>
  </si>
  <si>
    <t>812361011072</t>
  </si>
  <si>
    <t>812361019375</t>
  </si>
  <si>
    <t>130-3340</t>
  </si>
  <si>
    <t>4 REPAIR COUPLING DWV</t>
  </si>
  <si>
    <t>810673011865</t>
  </si>
  <si>
    <t>810673015672</t>
  </si>
  <si>
    <t>130-3341</t>
  </si>
  <si>
    <t>6 REPAIR COUPLING DWV</t>
  </si>
  <si>
    <t>812361013229</t>
  </si>
  <si>
    <t>812361019368</t>
  </si>
  <si>
    <t>131-5285</t>
  </si>
  <si>
    <t>1-1/2 TEST CAP DWV</t>
  </si>
  <si>
    <t>810673015559</t>
  </si>
  <si>
    <t>131-5287</t>
  </si>
  <si>
    <t>2 TEST CAP DWV</t>
  </si>
  <si>
    <t>812361017197</t>
  </si>
  <si>
    <t>131-5288</t>
  </si>
  <si>
    <t>3 TEST CAP DWV</t>
  </si>
  <si>
    <t>812361017210</t>
  </si>
  <si>
    <t>300-3354</t>
  </si>
  <si>
    <t>1-1/4 1/4 BEND DWV</t>
  </si>
  <si>
    <t>810673013005</t>
  </si>
  <si>
    <t>300-3355</t>
  </si>
  <si>
    <t>1-1/2 1/4 BEND DWV</t>
  </si>
  <si>
    <t>810673013012</t>
  </si>
  <si>
    <t>10810673013019</t>
  </si>
  <si>
    <t>300-3356</t>
  </si>
  <si>
    <t>2 1/4 BEND DWV</t>
  </si>
  <si>
    <t>810673013029</t>
  </si>
  <si>
    <t>10810673013026</t>
  </si>
  <si>
    <t>300-3357</t>
  </si>
  <si>
    <t>3 1/4 BEND DWV</t>
  </si>
  <si>
    <t>810673013036</t>
  </si>
  <si>
    <t>10810673013033</t>
  </si>
  <si>
    <t>300-3358</t>
  </si>
  <si>
    <t>4 1/4 BEND DWV</t>
  </si>
  <si>
    <t>810673013043</t>
  </si>
  <si>
    <t>10810673013040</t>
  </si>
  <si>
    <t>300-3359</t>
  </si>
  <si>
    <t>6 1/4 BEND DWV</t>
  </si>
  <si>
    <t>810673015252</t>
  </si>
  <si>
    <t>810673015313</t>
  </si>
  <si>
    <t>300-S-3362</t>
  </si>
  <si>
    <t>3 1/4 BEND W/2" SIDE OUTLET DWV</t>
  </si>
  <si>
    <t>812361017357</t>
  </si>
  <si>
    <t>302-3370</t>
  </si>
  <si>
    <t>1-1/2 1/4 BEND STREET DWV</t>
  </si>
  <si>
    <t>810673014033</t>
  </si>
  <si>
    <t>10810673014030</t>
  </si>
  <si>
    <t>302-3371</t>
  </si>
  <si>
    <t>2 1/4 BEND STREET DWV</t>
  </si>
  <si>
    <t>810673014040</t>
  </si>
  <si>
    <t>10810673014047</t>
  </si>
  <si>
    <t>302-3372</t>
  </si>
  <si>
    <t>3 1/4 BEND STREET DWV</t>
  </si>
  <si>
    <t>810673014057</t>
  </si>
  <si>
    <t>10810673014054</t>
  </si>
  <si>
    <t>302-3373</t>
  </si>
  <si>
    <t>4 1/4 BEND STREET DWV</t>
  </si>
  <si>
    <t>810673014064</t>
  </si>
  <si>
    <t>10810673014061</t>
  </si>
  <si>
    <t>302-3374</t>
  </si>
  <si>
    <t>6 1/4 BEND STREET DWV</t>
  </si>
  <si>
    <t>810673015320</t>
  </si>
  <si>
    <t>810673015344</t>
  </si>
  <si>
    <t>303-3376</t>
  </si>
  <si>
    <t>3 1/4 BEND W/2" LOW HEEL INLET DWV</t>
  </si>
  <si>
    <t>810673015276</t>
  </si>
  <si>
    <t>810673016099</t>
  </si>
  <si>
    <t>303-3377</t>
  </si>
  <si>
    <t>4 1/4 BEND W/2" LOW HEEL INLET DWV</t>
  </si>
  <si>
    <t>812361017340</t>
  </si>
  <si>
    <t>304-3378</t>
  </si>
  <si>
    <t>1-1/2 LONG SWEEP 1/4 BEND DWV</t>
  </si>
  <si>
    <t>810673013050</t>
  </si>
  <si>
    <t>10810673013057</t>
  </si>
  <si>
    <t>304-3379</t>
  </si>
  <si>
    <t>2 LONG SWEEP 1/4 BEND DWV</t>
  </si>
  <si>
    <t>810673013067</t>
  </si>
  <si>
    <t>10810673013064</t>
  </si>
  <si>
    <t>304-3380</t>
  </si>
  <si>
    <t>3 LONG SWEEP 1/4 BEND DWV</t>
  </si>
  <si>
    <t>810673013968</t>
  </si>
  <si>
    <t>10810673013965</t>
  </si>
  <si>
    <t>304-3381</t>
  </si>
  <si>
    <t>4 LONG SWEEP 1/4 BEND DWV</t>
  </si>
  <si>
    <t>810673013975</t>
  </si>
  <si>
    <t>10810673013972</t>
  </si>
  <si>
    <t>304-3382</t>
  </si>
  <si>
    <t>6 LONG SWEEP 1/4 BEND DWV</t>
  </si>
  <si>
    <t>812361017258</t>
  </si>
  <si>
    <t>810116840168</t>
  </si>
  <si>
    <t>309-3386</t>
  </si>
  <si>
    <t>1-1/2 LONG SWP 1/4 BEND STREET DWV</t>
  </si>
  <si>
    <t>810673014071</t>
  </si>
  <si>
    <t>309-3387</t>
  </si>
  <si>
    <t>2 LONG SWEEP 1/4 BEND STREET DWV</t>
  </si>
  <si>
    <t>810673014088</t>
  </si>
  <si>
    <t>810673012145</t>
  </si>
  <si>
    <t>309-3388</t>
  </si>
  <si>
    <t>3 LONG SWEEP 1/4 BEND STREET DWV</t>
  </si>
  <si>
    <t>810673014095</t>
  </si>
  <si>
    <t>810673012152</t>
  </si>
  <si>
    <t>309-3389</t>
  </si>
  <si>
    <t>4 LONG SWEEP 1/4 BEND STREET DWV</t>
  </si>
  <si>
    <t>810673014101</t>
  </si>
  <si>
    <t>810673012169</t>
  </si>
  <si>
    <t>319-3392</t>
  </si>
  <si>
    <t>1-1/2 1/6 BEND DWV</t>
  </si>
  <si>
    <t>812361012390</t>
  </si>
  <si>
    <t>812361012406</t>
  </si>
  <si>
    <t>319-3393</t>
  </si>
  <si>
    <t>2 1/6 BEND DWV</t>
  </si>
  <si>
    <t>812361012413</t>
  </si>
  <si>
    <t>812361012420</t>
  </si>
  <si>
    <t>319-3394</t>
  </si>
  <si>
    <t>3 1/6 BEND DWV</t>
  </si>
  <si>
    <t>812361012437</t>
  </si>
  <si>
    <t>812361012444</t>
  </si>
  <si>
    <t>319-3395</t>
  </si>
  <si>
    <t>4 1/6 BEND DWV</t>
  </si>
  <si>
    <t>812361012451</t>
  </si>
  <si>
    <t>812361012468</t>
  </si>
  <si>
    <t>320-3396</t>
  </si>
  <si>
    <t>1-1/2 1/6 BEND STREET DWV</t>
  </si>
  <si>
    <t>812361012574</t>
  </si>
  <si>
    <t>320-3397</t>
  </si>
  <si>
    <t>2 1/6 BEND STREET DWV</t>
  </si>
  <si>
    <t>812361012598</t>
  </si>
  <si>
    <t>812361012604</t>
  </si>
  <si>
    <t>320-3398</t>
  </si>
  <si>
    <t>3 1/6 BEND STREET DWV</t>
  </si>
  <si>
    <t>812361012611</t>
  </si>
  <si>
    <t>812361012628</t>
  </si>
  <si>
    <t>320-3399</t>
  </si>
  <si>
    <t>4 1/6 BEND STREET DWV</t>
  </si>
  <si>
    <t>812361012635</t>
  </si>
  <si>
    <t>321-3401</t>
  </si>
  <si>
    <t>1-1/2 1/8 BEND DWV</t>
  </si>
  <si>
    <t>810673012961</t>
  </si>
  <si>
    <t>10810673012968</t>
  </si>
  <si>
    <t>321-3402</t>
  </si>
  <si>
    <t>2 1/8 BEND DWV</t>
  </si>
  <si>
    <t>810673012978</t>
  </si>
  <si>
    <t>10810673012975</t>
  </si>
  <si>
    <t>321-3403</t>
  </si>
  <si>
    <t>3 1/8 BEND DWV</t>
  </si>
  <si>
    <t>810673012985</t>
  </si>
  <si>
    <t>10810673012982</t>
  </si>
  <si>
    <t>321-3404</t>
  </si>
  <si>
    <t>4 1/8 BEND DWV</t>
  </si>
  <si>
    <t>810673012992</t>
  </si>
  <si>
    <t>10810673012999</t>
  </si>
  <si>
    <t>321-3405</t>
  </si>
  <si>
    <t>6 1/8 BEND DWV</t>
  </si>
  <si>
    <t>810673015429</t>
  </si>
  <si>
    <t>810673015436</t>
  </si>
  <si>
    <t>323-3408</t>
  </si>
  <si>
    <t>1-1/2 1/8 BEND STREET DWV</t>
  </si>
  <si>
    <t>810673013982</t>
  </si>
  <si>
    <t>10810673013989</t>
  </si>
  <si>
    <t>323-3409</t>
  </si>
  <si>
    <t>2 1/8 BEND STREET DWV</t>
  </si>
  <si>
    <t>810673013999</t>
  </si>
  <si>
    <t>10810673013996</t>
  </si>
  <si>
    <t>323-3410</t>
  </si>
  <si>
    <t>3 1/8 BEND STREET DWV</t>
  </si>
  <si>
    <t>810673014002</t>
  </si>
  <si>
    <t>10810673014009</t>
  </si>
  <si>
    <t>323-3411</t>
  </si>
  <si>
    <t>4 1/8 BEND STREET DWV</t>
  </si>
  <si>
    <t>810673014019</t>
  </si>
  <si>
    <t>10810673014016</t>
  </si>
  <si>
    <t>323-3412</t>
  </si>
  <si>
    <t>6 1/8 BEND STREET DWV</t>
  </si>
  <si>
    <t>810673011438</t>
  </si>
  <si>
    <t>810673015412</t>
  </si>
  <si>
    <t>324-3416</t>
  </si>
  <si>
    <t>1-1/2 1/16 BEND DWV</t>
  </si>
  <si>
    <t>810673014408</t>
  </si>
  <si>
    <t>10810673014405</t>
  </si>
  <si>
    <t>324-3417</t>
  </si>
  <si>
    <t>2 1/16 BEND DWV</t>
  </si>
  <si>
    <t>810673014422</t>
  </si>
  <si>
    <t>10810673014429</t>
  </si>
  <si>
    <t>324-3418</t>
  </si>
  <si>
    <t>3 1/16 BEND DWV</t>
  </si>
  <si>
    <t>810673014446</t>
  </si>
  <si>
    <t>10810673014443</t>
  </si>
  <si>
    <t>324-3419</t>
  </si>
  <si>
    <t>4 1/16 BEND DWV</t>
  </si>
  <si>
    <t>810673012114</t>
  </si>
  <si>
    <t>10810673012111</t>
  </si>
  <si>
    <t>324-3420</t>
  </si>
  <si>
    <t>6 1/16 BEND DWV</t>
  </si>
  <si>
    <t>812361012659</t>
  </si>
  <si>
    <t>812361012666</t>
  </si>
  <si>
    <t>326-3421</t>
  </si>
  <si>
    <t>1-1/2 1/16 BEND STREET DWV</t>
  </si>
  <si>
    <t>810673014477</t>
  </si>
  <si>
    <t>812361011935</t>
  </si>
  <si>
    <t>326-3422</t>
  </si>
  <si>
    <t>2 1/16 BEND STREET DWV</t>
  </si>
  <si>
    <t>810673014491</t>
  </si>
  <si>
    <t>810673014507</t>
  </si>
  <si>
    <t>326-3423</t>
  </si>
  <si>
    <t>3 1/16 BEND STREET DWV</t>
  </si>
  <si>
    <t>810673014514</t>
  </si>
  <si>
    <t>810673014521</t>
  </si>
  <si>
    <t>326-3424</t>
  </si>
  <si>
    <t>4 1/16 BEND STREET DWV</t>
  </si>
  <si>
    <t>810673012121</t>
  </si>
  <si>
    <t>810673014538</t>
  </si>
  <si>
    <t>326-3425</t>
  </si>
  <si>
    <t>6 1/16 BEND STREET DWV</t>
  </si>
  <si>
    <t>812361012673</t>
  </si>
  <si>
    <t>812361019351</t>
  </si>
  <si>
    <t>327-3040</t>
  </si>
  <si>
    <t>4 DOUBLE 1/4 BEND DWV</t>
  </si>
  <si>
    <t>812361018057</t>
  </si>
  <si>
    <t>327-3426</t>
  </si>
  <si>
    <t>1-1/2 DOUBLE 1/4 BEND DWV</t>
  </si>
  <si>
    <t>812361012970</t>
  </si>
  <si>
    <t>327-3427</t>
  </si>
  <si>
    <t>2 DOUBLE 1/4 BEND DWV</t>
  </si>
  <si>
    <t>812361012994</t>
  </si>
  <si>
    <t>812361013007</t>
  </si>
  <si>
    <t>327-3428</t>
  </si>
  <si>
    <t>2X1-1/2X1-1/2 DOUBLE 1/4 BEND DWV</t>
  </si>
  <si>
    <t>812361013014</t>
  </si>
  <si>
    <t>327-3429</t>
  </si>
  <si>
    <t>3 DOUBLE 1/4 BEND DWV</t>
  </si>
  <si>
    <t>812361013038</t>
  </si>
  <si>
    <t>812361013045</t>
  </si>
  <si>
    <t>328-3711</t>
  </si>
  <si>
    <t>6 1/32 BEND DWV</t>
  </si>
  <si>
    <t>812361017296</t>
  </si>
  <si>
    <t>329-3430</t>
  </si>
  <si>
    <t>3X4 CLOSET BEND REDUCING HXH DWV</t>
  </si>
  <si>
    <t>812361012512</t>
  </si>
  <si>
    <t>812361012529</t>
  </si>
  <si>
    <t>330-3431</t>
  </si>
  <si>
    <t>3X4 CLOSET BEND REDUCING HXS DWV</t>
  </si>
  <si>
    <t>812361013052</t>
  </si>
  <si>
    <t>812361013069</t>
  </si>
  <si>
    <t>331-3434</t>
  </si>
  <si>
    <t>1-1/2 VENT ELL DWV</t>
  </si>
  <si>
    <t>810673013692</t>
  </si>
  <si>
    <t>10810673013699</t>
  </si>
  <si>
    <t>331-3435</t>
  </si>
  <si>
    <t>2 VENT ELL DWV</t>
  </si>
  <si>
    <t>810673013708</t>
  </si>
  <si>
    <t>10810673013705</t>
  </si>
  <si>
    <t>331-3436</t>
  </si>
  <si>
    <t>3 VENT ELL DWV</t>
  </si>
  <si>
    <t>810673013715</t>
  </si>
  <si>
    <t>810673011339</t>
  </si>
  <si>
    <t>331-3437</t>
  </si>
  <si>
    <t>4 VENT ELL DWV</t>
  </si>
  <si>
    <t>812361017364</t>
  </si>
  <si>
    <t>333-3441</t>
  </si>
  <si>
    <t>1-1/2 VENT ELL STREET DWV</t>
  </si>
  <si>
    <t>810673013722</t>
  </si>
  <si>
    <t>10810673013729</t>
  </si>
  <si>
    <t>333-3442</t>
  </si>
  <si>
    <t>2 VENT ELL STREET DWV</t>
  </si>
  <si>
    <t>810673013739</t>
  </si>
  <si>
    <t>10810673013736</t>
  </si>
  <si>
    <t>333-3443</t>
  </si>
  <si>
    <t>3 VENT ELL STREET DWV</t>
  </si>
  <si>
    <t>810673013746</t>
  </si>
  <si>
    <t>810673011513</t>
  </si>
  <si>
    <t>400-3462</t>
  </si>
  <si>
    <t>1-1/4 SANITARY TEE DWV</t>
  </si>
  <si>
    <t>810673013913</t>
  </si>
  <si>
    <t>400-3463</t>
  </si>
  <si>
    <t>1-1/2 SANITARY TEE DWV</t>
  </si>
  <si>
    <t>810673013920</t>
  </si>
  <si>
    <t>10810673013927</t>
  </si>
  <si>
    <t>400-3464</t>
  </si>
  <si>
    <t>2 SANITARY TEE DWV</t>
  </si>
  <si>
    <t>810673013937</t>
  </si>
  <si>
    <t>10810673013934</t>
  </si>
  <si>
    <t>400-3465</t>
  </si>
  <si>
    <t>3 SANITARY TEE DWV</t>
  </si>
  <si>
    <t>810673013944</t>
  </si>
  <si>
    <t>10810673013941</t>
  </si>
  <si>
    <t>400-3466</t>
  </si>
  <si>
    <t>4 SANITARY TEE DWV</t>
  </si>
  <si>
    <t>810673013951</t>
  </si>
  <si>
    <t>10810673013958</t>
  </si>
  <si>
    <t>400-3467</t>
  </si>
  <si>
    <t>6 SANITARY TEE DWV</t>
  </si>
  <si>
    <t>810673014118</t>
  </si>
  <si>
    <t>812361015575</t>
  </si>
  <si>
    <t>401-3469</t>
  </si>
  <si>
    <t>2X1-1/2X1-1/2 SANITARY TEE RED DWV</t>
  </si>
  <si>
    <t>810673014897</t>
  </si>
  <si>
    <t>810673014910</t>
  </si>
  <si>
    <t>401-3470</t>
  </si>
  <si>
    <t>2X1-1/2X2 SANITARY TEE RED DWV</t>
  </si>
  <si>
    <t>810673014927</t>
  </si>
  <si>
    <t>810673014934</t>
  </si>
  <si>
    <t>401-3471</t>
  </si>
  <si>
    <t>2X2X1-1/2 SANITARY TEE RED DWV</t>
  </si>
  <si>
    <t>810673014941</t>
  </si>
  <si>
    <t>10810673014948</t>
  </si>
  <si>
    <t>401-3472</t>
  </si>
  <si>
    <t>3X3X1-1/2 SANITARY TEE RED DWV</t>
  </si>
  <si>
    <t>810673014965</t>
  </si>
  <si>
    <t>10810673014962</t>
  </si>
  <si>
    <t>401-3473</t>
  </si>
  <si>
    <t>3X3X2 SANITARY TEE RED DWV</t>
  </si>
  <si>
    <t>810673014989</t>
  </si>
  <si>
    <t>10810673014986</t>
  </si>
  <si>
    <t>401-3475</t>
  </si>
  <si>
    <t>4X4X2 SANITARY TEE RED DWV</t>
  </si>
  <si>
    <t>810673015009</t>
  </si>
  <si>
    <t>10810673015006</t>
  </si>
  <si>
    <t>401-3476</t>
  </si>
  <si>
    <t>4X4X3 SANITARY TEE RED DWV</t>
  </si>
  <si>
    <t>810673015023</t>
  </si>
  <si>
    <t>10810673015020</t>
  </si>
  <si>
    <t>401-3477</t>
  </si>
  <si>
    <t>6X6X4 SANITARY TEE RED DWV</t>
  </si>
  <si>
    <t>812361013380</t>
  </si>
  <si>
    <t>812361013397</t>
  </si>
  <si>
    <t>403-3479</t>
  </si>
  <si>
    <t>1-1/2 SANITARY TEE STREET DWV</t>
  </si>
  <si>
    <t>810673014170</t>
  </si>
  <si>
    <t>810673014187</t>
  </si>
  <si>
    <t>403-3480</t>
  </si>
  <si>
    <t>2 SANITARY TEE STREET DWV</t>
  </si>
  <si>
    <t>810673014194</t>
  </si>
  <si>
    <t>810673014200</t>
  </si>
  <si>
    <t>403-3481</t>
  </si>
  <si>
    <t>3 SANITARY TEE STREET DWV</t>
  </si>
  <si>
    <t>810673014217</t>
  </si>
  <si>
    <t>810673014224</t>
  </si>
  <si>
    <t>403-3482</t>
  </si>
  <si>
    <t>4 SANITARY TEE STREET DWV</t>
  </si>
  <si>
    <t>810673012237</t>
  </si>
  <si>
    <t>812361015209</t>
  </si>
  <si>
    <t>404-3484</t>
  </si>
  <si>
    <t>2X2X1-1/2 SANITARY TEE STREET DWV</t>
  </si>
  <si>
    <t>812361017975</t>
  </si>
  <si>
    <t>812361017968</t>
  </si>
  <si>
    <t>404-3485</t>
  </si>
  <si>
    <t>3X3X1-1/2 SANITARY TEE ST RED DWV</t>
  </si>
  <si>
    <t>812361017944</t>
  </si>
  <si>
    <t>404-3486</t>
  </si>
  <si>
    <t>3X3X2 SANITARY TEE STREET RED DWV</t>
  </si>
  <si>
    <t>812361018125</t>
  </si>
  <si>
    <t>416-3500</t>
  </si>
  <si>
    <t>3 SAN TEE W/1-1/2" L SIDE INLET DWV</t>
  </si>
  <si>
    <t>812361013502</t>
  </si>
  <si>
    <t>416-3501</t>
  </si>
  <si>
    <t>3 SAN TEE W/2" L SIDE INLET DWV</t>
  </si>
  <si>
    <t>812361013526</t>
  </si>
  <si>
    <t>416-3502</t>
  </si>
  <si>
    <t>4 SAN TEE W/2" L SIDE INLET DWV</t>
  </si>
  <si>
    <t>812361013540</t>
  </si>
  <si>
    <t>417-3503</t>
  </si>
  <si>
    <t>3 SAN TEE W/1-1/2" R SIDE INLET DWV</t>
  </si>
  <si>
    <t>812361013564</t>
  </si>
  <si>
    <t>417-3504</t>
  </si>
  <si>
    <t>3 SAN TEE W/2" R SIDE INLET DWV</t>
  </si>
  <si>
    <t>812361013588</t>
  </si>
  <si>
    <t>417-3505</t>
  </si>
  <si>
    <t>4 SAN TEE W/2" R SIDE INLET DWV</t>
  </si>
  <si>
    <t>812361013601</t>
  </si>
  <si>
    <t>418-3507</t>
  </si>
  <si>
    <t>3 SAN TEE W/2" R&amp;L SIDE INLETS DWV</t>
  </si>
  <si>
    <t>812361013625</t>
  </si>
  <si>
    <t>418-3508</t>
  </si>
  <si>
    <t>4 SAN TEE W/2" R&amp;L SIDE INLETS DWV</t>
  </si>
  <si>
    <t>812361013649</t>
  </si>
  <si>
    <t>428-3509</t>
  </si>
  <si>
    <t>1-1/2 DOUBLE SAN TEE ALL HUB DWV</t>
  </si>
  <si>
    <t>812361013441</t>
  </si>
  <si>
    <t>10812361013448</t>
  </si>
  <si>
    <t>428-3510</t>
  </si>
  <si>
    <t>2 DOUBLE SANITARY TEE ALL HUB DWV</t>
  </si>
  <si>
    <t>810673015597</t>
  </si>
  <si>
    <t>10810673015594</t>
  </si>
  <si>
    <t>428-3511</t>
  </si>
  <si>
    <t>3 DOUBLE SANITARY TEE ALL HUB DWV</t>
  </si>
  <si>
    <t>812361010792</t>
  </si>
  <si>
    <t>10812361010799</t>
  </si>
  <si>
    <t>428-3512</t>
  </si>
  <si>
    <t>4 DOUBLE SANITARY TEE ALL HUB DWV</t>
  </si>
  <si>
    <t>812361013663</t>
  </si>
  <si>
    <t>812361019313</t>
  </si>
  <si>
    <t>429-3513</t>
  </si>
  <si>
    <t>2X2X1-1/2X1-1/2 DBL SAN TEE RED DWV</t>
  </si>
  <si>
    <t>812361013403</t>
  </si>
  <si>
    <t>812361019078</t>
  </si>
  <si>
    <t>429-3514</t>
  </si>
  <si>
    <t>3X3X1-1/2X1-1/2 DBL SAN TEE RED DWV</t>
  </si>
  <si>
    <t>810673015610</t>
  </si>
  <si>
    <t>10810673015617</t>
  </si>
  <si>
    <t>429-3516</t>
  </si>
  <si>
    <t>3X3X2X2 DBL SAN TEE RED DWV</t>
  </si>
  <si>
    <t>812361010815</t>
  </si>
  <si>
    <t>10812361010812</t>
  </si>
  <si>
    <t>429-3518</t>
  </si>
  <si>
    <t>4X4X2X2 DBL SAN TEE RED DWV</t>
  </si>
  <si>
    <t>812361013427</t>
  </si>
  <si>
    <t>812361019238</t>
  </si>
  <si>
    <t>429-3519</t>
  </si>
  <si>
    <t>4X4X3X3 DBL SAN TEE RED DWV</t>
  </si>
  <si>
    <t>812361011881</t>
  </si>
  <si>
    <t>812361019221</t>
  </si>
  <si>
    <t>438-3524</t>
  </si>
  <si>
    <t>4X4X4X4X2  DBL SAN TEE W/SIDE INLET</t>
  </si>
  <si>
    <t>812361013076</t>
  </si>
  <si>
    <t>439-3528</t>
  </si>
  <si>
    <t>4 DBL SAN T W/2" R&amp;L SIDE INLET</t>
  </si>
  <si>
    <t>812361012956</t>
  </si>
  <si>
    <t>441-3531</t>
  </si>
  <si>
    <t>2 VENT TEE DWV</t>
  </si>
  <si>
    <t>812361017371</t>
  </si>
  <si>
    <t>441-3533</t>
  </si>
  <si>
    <t>4 VENT TEE DWV</t>
  </si>
  <si>
    <t>812361017418</t>
  </si>
  <si>
    <t>441-3534</t>
  </si>
  <si>
    <t>6 VENT TEE DWV</t>
  </si>
  <si>
    <t>816842021215</t>
  </si>
  <si>
    <t>444-3534</t>
  </si>
  <si>
    <t>1-1/2 CLEAN OUT TEE HXHXFPT DWV</t>
  </si>
  <si>
    <t>810673015726</t>
  </si>
  <si>
    <t>810673015733</t>
  </si>
  <si>
    <t>444-3535</t>
  </si>
  <si>
    <t>2 CLEAN OUT TEE HXHXFPT DWV</t>
  </si>
  <si>
    <t>810673015740</t>
  </si>
  <si>
    <t>810673015757</t>
  </si>
  <si>
    <t>444-3536</t>
  </si>
  <si>
    <t>3 CLEAN OUT TEE HXHXFPT DWV</t>
  </si>
  <si>
    <t>810673015764</t>
  </si>
  <si>
    <t>810673015771</t>
  </si>
  <si>
    <t>444-3537</t>
  </si>
  <si>
    <t>4 CLEANOUT TEE HXHXFPT DWV</t>
  </si>
  <si>
    <t>810673011407</t>
  </si>
  <si>
    <t>810673015788</t>
  </si>
  <si>
    <t>444-X-0216</t>
  </si>
  <si>
    <t>6 CLEANOUT TEE W/CO PLUG DWV</t>
  </si>
  <si>
    <t>812361018118</t>
  </si>
  <si>
    <t>816842027927</t>
  </si>
  <si>
    <t>444-X-3539</t>
  </si>
  <si>
    <t>1-1/2 CLEAN OUT TEE W/CO PLUG DWV</t>
  </si>
  <si>
    <t>810673014644</t>
  </si>
  <si>
    <t>810673014651</t>
  </si>
  <si>
    <t>444-X-3540</t>
  </si>
  <si>
    <t>2 CLEAN OUT TEE W/CO PLUG DWV</t>
  </si>
  <si>
    <t>810673014668</t>
  </si>
  <si>
    <t>810673014675</t>
  </si>
  <si>
    <t>444-X-3541</t>
  </si>
  <si>
    <t>3 CLEANOUT TEE W/CO PLUG DWV</t>
  </si>
  <si>
    <t>810673014682</t>
  </si>
  <si>
    <t>810673014699</t>
  </si>
  <si>
    <t>444-X-3542</t>
  </si>
  <si>
    <t>4 CLEANOUT TEE W/CO PLUG DWV</t>
  </si>
  <si>
    <t>810673011414</t>
  </si>
  <si>
    <t>810673014705</t>
  </si>
  <si>
    <t>445-X-3548</t>
  </si>
  <si>
    <t>3 CLEANOUT TEE W/FLUSH PLUG DWV</t>
  </si>
  <si>
    <t>816842023189</t>
  </si>
  <si>
    <t>816842023172</t>
  </si>
  <si>
    <t>445-X-3549</t>
  </si>
  <si>
    <t>4 CLEANOUT TEE W/FLUSH PLUG DWV</t>
  </si>
  <si>
    <t>816842023134</t>
  </si>
  <si>
    <t>816842023141</t>
  </si>
  <si>
    <t>448-3557</t>
  </si>
  <si>
    <t>3 TWO WAY CLEANOUT TEE HXHXH DWV</t>
  </si>
  <si>
    <t>812361013465</t>
  </si>
  <si>
    <t>812361019009</t>
  </si>
  <si>
    <t>448-3558</t>
  </si>
  <si>
    <t>4 TWO WAY CLEANOUT TEE HXHXH DWV</t>
  </si>
  <si>
    <t>812361013489</t>
  </si>
  <si>
    <t>812361013496</t>
  </si>
  <si>
    <t>448-3559</t>
  </si>
  <si>
    <t>6 TWO WAY CLEANOUT TEE HXHXH DWV</t>
  </si>
  <si>
    <t>812361017531</t>
  </si>
  <si>
    <t>500-4001</t>
  </si>
  <si>
    <t>3 DBL FIXTURE FITTING HXHXHXH DWV</t>
  </si>
  <si>
    <t>812361010778</t>
  </si>
  <si>
    <t>500-4002</t>
  </si>
  <si>
    <t>2X2X1-1/2X1-1/2 DBL FIXTURE FITTING HXHXHXH DWV</t>
  </si>
  <si>
    <t>812361010785</t>
  </si>
  <si>
    <t>500-4155</t>
  </si>
  <si>
    <t>2 DBL FIXTURE FITTING HXHXHXH DWV</t>
  </si>
  <si>
    <t>812361017913</t>
  </si>
  <si>
    <t>501-3561</t>
  </si>
  <si>
    <t>1-1/2 COMBO WYE &amp; 1/8 BEND 1PC DWV</t>
  </si>
  <si>
    <t>812361012710</t>
  </si>
  <si>
    <t>10812361012717</t>
  </si>
  <si>
    <t>501-3562</t>
  </si>
  <si>
    <t>2 COMBO WYE &amp; 1/8 BEND 1PC DWV</t>
  </si>
  <si>
    <t>812361012734</t>
  </si>
  <si>
    <t>10812361012731</t>
  </si>
  <si>
    <t>501-3563</t>
  </si>
  <si>
    <t>3 COMBO WYE &amp; 1/8 BEND 1PC DWV</t>
  </si>
  <si>
    <t>812361012758</t>
  </si>
  <si>
    <t>812361012765</t>
  </si>
  <si>
    <t>501-3564</t>
  </si>
  <si>
    <t>4 COMBO WYE &amp; 1/8 BEND 1PC DWV</t>
  </si>
  <si>
    <t>812361012772</t>
  </si>
  <si>
    <t>812361019016</t>
  </si>
  <si>
    <t>502-3567</t>
  </si>
  <si>
    <t>2X2X1-1/2 COMB WYE &amp; 1/8 BEND 1PC</t>
  </si>
  <si>
    <t>812361012819</t>
  </si>
  <si>
    <t>812361012826</t>
  </si>
  <si>
    <t>502-3568</t>
  </si>
  <si>
    <t>3X3X1-1/2 COMB WYE &amp; 1/8 BEND 1PC</t>
  </si>
  <si>
    <t>812361012833</t>
  </si>
  <si>
    <t>812361012840</t>
  </si>
  <si>
    <t>502-3569</t>
  </si>
  <si>
    <t>3X3X2 COMB WYE &amp; 1/8 BEND 1PC DWV</t>
  </si>
  <si>
    <t>812361012857</t>
  </si>
  <si>
    <t>812361012864</t>
  </si>
  <si>
    <t>502-3570</t>
  </si>
  <si>
    <t>4X4X2 COMB WYE &amp; 1/8 BEND 1PC DWV</t>
  </si>
  <si>
    <t>812361012871</t>
  </si>
  <si>
    <t>812361012888</t>
  </si>
  <si>
    <t>502-3571</t>
  </si>
  <si>
    <t>4X4X3 COMB WYE &amp; 1/8 BEND 1PC DWV</t>
  </si>
  <si>
    <t>812361012895</t>
  </si>
  <si>
    <t>812361019214</t>
  </si>
  <si>
    <t>504-3582</t>
  </si>
  <si>
    <t>6X6X4 COMBO WYE &amp; 1/8 BEND 2PC DWV</t>
  </si>
  <si>
    <t>810673015856</t>
  </si>
  <si>
    <t>812361015582</t>
  </si>
  <si>
    <t>507-3590</t>
  </si>
  <si>
    <t>1-1/2 DBL COMB WYE &amp; 1/8 BEND DWV</t>
  </si>
  <si>
    <t>810673015870</t>
  </si>
  <si>
    <t>507-3591</t>
  </si>
  <si>
    <t>2 DBL COMB WYE &amp; 1/8 BEND DWV</t>
  </si>
  <si>
    <t>812361017555</t>
  </si>
  <si>
    <t>507-3593</t>
  </si>
  <si>
    <t>3 DBL COMB WYE &amp; 1/8 BEND DWV</t>
  </si>
  <si>
    <t>812361017586</t>
  </si>
  <si>
    <t>507-3594</t>
  </si>
  <si>
    <t>4 DBL COMB WYE &amp; 1/8 BEND DWV</t>
  </si>
  <si>
    <t>812361018101</t>
  </si>
  <si>
    <t>600-3607</t>
  </si>
  <si>
    <t>1-1/2 WYE DWV</t>
  </si>
  <si>
    <t>810673013777</t>
  </si>
  <si>
    <t>10810673013774</t>
  </si>
  <si>
    <t>600-3608</t>
  </si>
  <si>
    <t>2 WYE DWV</t>
  </si>
  <si>
    <t>810673013791</t>
  </si>
  <si>
    <t>10810673013798</t>
  </si>
  <si>
    <t>600-3609</t>
  </si>
  <si>
    <t>3 WYE DWV</t>
  </si>
  <si>
    <t>810673013807</t>
  </si>
  <si>
    <t>10810673013804</t>
  </si>
  <si>
    <t>600-3610</t>
  </si>
  <si>
    <t>4 WYE DWV</t>
  </si>
  <si>
    <t>810673013814</t>
  </si>
  <si>
    <t>10810673013811</t>
  </si>
  <si>
    <t>600-3611</t>
  </si>
  <si>
    <t>6 WYE DWV</t>
  </si>
  <si>
    <t>810673011674</t>
  </si>
  <si>
    <t>810673015542</t>
  </si>
  <si>
    <t>601-3615</t>
  </si>
  <si>
    <t>2X1-1/2X1-1/2 WYE REDUCING DWV</t>
  </si>
  <si>
    <t>810673015047</t>
  </si>
  <si>
    <t>810673015054</t>
  </si>
  <si>
    <t>601-3616</t>
  </si>
  <si>
    <t>2X1-1/2X2 WYE REDUCING DWV</t>
  </si>
  <si>
    <t>812361012697</t>
  </si>
  <si>
    <t>601-3617</t>
  </si>
  <si>
    <t>2X2X1-1/2 WYE REDUCING DWV</t>
  </si>
  <si>
    <t>810673015061</t>
  </si>
  <si>
    <t>10810673015068</t>
  </si>
  <si>
    <t>601-3618</t>
  </si>
  <si>
    <t>3X3X1-1/2 WYE REDUCING DWV</t>
  </si>
  <si>
    <t>810673015085</t>
  </si>
  <si>
    <t>10810673015082</t>
  </si>
  <si>
    <t>601-3619</t>
  </si>
  <si>
    <t>3X3X2 WYE REDUCING DWV</t>
  </si>
  <si>
    <t>810673015108</t>
  </si>
  <si>
    <t>810673015115</t>
  </si>
  <si>
    <t>601-3620</t>
  </si>
  <si>
    <t>4X4X1-1/2 WYE REDUCING DWV</t>
  </si>
  <si>
    <t>812361018064</t>
  </si>
  <si>
    <t>601-3621</t>
  </si>
  <si>
    <t>4X4X2 WYE REDUCING DWV</t>
  </si>
  <si>
    <t>810673015122</t>
  </si>
  <si>
    <t>810673015139</t>
  </si>
  <si>
    <t>601-3622</t>
  </si>
  <si>
    <t>4X4X3 WYE REDUCING DWV</t>
  </si>
  <si>
    <t>810673015146</t>
  </si>
  <si>
    <t>10810673015143</t>
  </si>
  <si>
    <t>601-3623</t>
  </si>
  <si>
    <t>6X6X3 WYE REDUCING DWV</t>
  </si>
  <si>
    <t>812361018071</t>
  </si>
  <si>
    <t>810116840175</t>
  </si>
  <si>
    <t>601-3624</t>
  </si>
  <si>
    <t>6X6X4 WYE REDUCING DWV</t>
  </si>
  <si>
    <t>810673011681</t>
  </si>
  <si>
    <t>810673015160</t>
  </si>
  <si>
    <t>602-3629</t>
  </si>
  <si>
    <t>1-1/2 WYE STREET SXHXH DWV</t>
  </si>
  <si>
    <t>810673011568</t>
  </si>
  <si>
    <t>602-3630</t>
  </si>
  <si>
    <t>2 WYE STREET SXHXH DWV</t>
  </si>
  <si>
    <t>810673011575</t>
  </si>
  <si>
    <t>602-3631</t>
  </si>
  <si>
    <t>3 WYE STREET SXHXH DWV</t>
  </si>
  <si>
    <t>810673011582</t>
  </si>
  <si>
    <t>602-3632</t>
  </si>
  <si>
    <t>4 WYE STREET SXHXH DWV</t>
  </si>
  <si>
    <t>810673013753</t>
  </si>
  <si>
    <t>810673011599</t>
  </si>
  <si>
    <t>603-3633</t>
  </si>
  <si>
    <t>3X3X1-1/2 WYE RED STREET SXHXH DWV</t>
  </si>
  <si>
    <t>812361017920</t>
  </si>
  <si>
    <t>603-3635</t>
  </si>
  <si>
    <t>4X4X2 WYE RED STREET SXHXH DWV</t>
  </si>
  <si>
    <t>810673015917</t>
  </si>
  <si>
    <t>603-3636</t>
  </si>
  <si>
    <t>4X4X3 WYE RED STREET SXHXH DWV</t>
  </si>
  <si>
    <t>810673015931</t>
  </si>
  <si>
    <t>611-3637</t>
  </si>
  <si>
    <t>1-1/2 DOUBLE WYE DWV</t>
  </si>
  <si>
    <t>810673015443</t>
  </si>
  <si>
    <t>10810673015440</t>
  </si>
  <si>
    <t>611-3638</t>
  </si>
  <si>
    <t>2 DOUBLE WYE DWV</t>
  </si>
  <si>
    <t>812361013243</t>
  </si>
  <si>
    <t>10812361013240</t>
  </si>
  <si>
    <t>611-3639</t>
  </si>
  <si>
    <t>3 DOUBLE WYE DWV</t>
  </si>
  <si>
    <t>812361013267</t>
  </si>
  <si>
    <t>810116840052</t>
  </si>
  <si>
    <t>611-3640</t>
  </si>
  <si>
    <t>4 DOUBLE WYE DWV</t>
  </si>
  <si>
    <t>812361013090</t>
  </si>
  <si>
    <t>10812361013097</t>
  </si>
  <si>
    <t>611-3641</t>
  </si>
  <si>
    <t>6 DOUBLE WYE DWV</t>
  </si>
  <si>
    <t>810673015955</t>
  </si>
  <si>
    <t>612-0615</t>
  </si>
  <si>
    <t>6X6X4X4 DOUBLE WYE DWV</t>
  </si>
  <si>
    <t>812361018088</t>
  </si>
  <si>
    <t>612-3643</t>
  </si>
  <si>
    <t>2X2X1-1/2X1-1/2 DOUBLE WYE DWV</t>
  </si>
  <si>
    <t>810673015467</t>
  </si>
  <si>
    <t>810673015474</t>
  </si>
  <si>
    <t>612-3644</t>
  </si>
  <si>
    <t>3X3X1-1/2X1-1/2 DOUBLE WYE DWV</t>
  </si>
  <si>
    <t>812361013113</t>
  </si>
  <si>
    <t>612-3645</t>
  </si>
  <si>
    <t>3X3X2X2 DOUBLE WYE DWV</t>
  </si>
  <si>
    <t>812361013137</t>
  </si>
  <si>
    <t>812361013144</t>
  </si>
  <si>
    <t>612-3646</t>
  </si>
  <si>
    <t>4X4X2X2 DOUBLE WYE DWV</t>
  </si>
  <si>
    <t>812361013151</t>
  </si>
  <si>
    <t>612-3647</t>
  </si>
  <si>
    <t>4X4X3X3 DOUBLE WYE DWV</t>
  </si>
  <si>
    <t>812361013168</t>
  </si>
  <si>
    <t>812361019108</t>
  </si>
  <si>
    <t>700-3653</t>
  </si>
  <si>
    <t>1-1/2 RETURN BEND DWV</t>
  </si>
  <si>
    <t>812361010013</t>
  </si>
  <si>
    <t>812361010020</t>
  </si>
  <si>
    <t>700-3654</t>
  </si>
  <si>
    <t>2 RETURN BEND DWV</t>
  </si>
  <si>
    <t>812361010037</t>
  </si>
  <si>
    <t>812361010044</t>
  </si>
  <si>
    <t>700-3655</t>
  </si>
  <si>
    <t>3 RETURN BEND DWV</t>
  </si>
  <si>
    <t>812361010051</t>
  </si>
  <si>
    <t>812361010068</t>
  </si>
  <si>
    <t>700-3656</t>
  </si>
  <si>
    <t>4 RETURN BEND DWV</t>
  </si>
  <si>
    <t>812361010075</t>
  </si>
  <si>
    <t>812361010082</t>
  </si>
  <si>
    <t>706-X-3668</t>
  </si>
  <si>
    <t>1-1/2 PTRAP DWV</t>
  </si>
  <si>
    <t>810673014712</t>
  </si>
  <si>
    <t>10810673014719</t>
  </si>
  <si>
    <t>706-X-3669</t>
  </si>
  <si>
    <t>2 PTRAP DWV</t>
  </si>
  <si>
    <t>810673014736</t>
  </si>
  <si>
    <t>10810673014733</t>
  </si>
  <si>
    <t>706-X-3670</t>
  </si>
  <si>
    <t>3 PTRAP DWV</t>
  </si>
  <si>
    <t>810673014750</t>
  </si>
  <si>
    <t>810673014767</t>
  </si>
  <si>
    <t>706-X-3671</t>
  </si>
  <si>
    <t>4 PTRAP DWV</t>
  </si>
  <si>
    <t>810673014774</t>
  </si>
  <si>
    <t>810673014781</t>
  </si>
  <si>
    <t>707-X-3676</t>
  </si>
  <si>
    <t>1-1/2 PTRAP W/CO HXH DWV</t>
  </si>
  <si>
    <t>812361013342</t>
  </si>
  <si>
    <t>10812361013349</t>
  </si>
  <si>
    <t>708-P-3681</t>
  </si>
  <si>
    <t>1-1/2 PTRAP HXH W/PLSTC NUT DWV</t>
  </si>
  <si>
    <t>812361013304</t>
  </si>
  <si>
    <t>10812361013301</t>
  </si>
  <si>
    <t>708-P-3682</t>
  </si>
  <si>
    <t>2 PTRAP HXH W/PLSTC NUT DWV</t>
  </si>
  <si>
    <t>812361013328</t>
  </si>
  <si>
    <t>10812361013325</t>
  </si>
  <si>
    <t>711-P-3694</t>
  </si>
  <si>
    <t>1-1/2 LA PATTERN PTRAP W/PL NUT SXH</t>
  </si>
  <si>
    <t>812361017289</t>
  </si>
  <si>
    <t>800-3703</t>
  </si>
  <si>
    <t>4X3 CLOSET FLANGE HUB DWV</t>
  </si>
  <si>
    <t>810673015993</t>
  </si>
  <si>
    <t>810673016006</t>
  </si>
  <si>
    <t>800-3704</t>
  </si>
  <si>
    <t>4 CLOSET FLANGE HUB DWV</t>
  </si>
  <si>
    <t>812361012475</t>
  </si>
  <si>
    <t>800-KO-3705</t>
  </si>
  <si>
    <t>4X3 CLOSET FLANGE W/KO H DWV</t>
  </si>
  <si>
    <t>812361012499</t>
  </si>
  <si>
    <t>10812361012496</t>
  </si>
  <si>
    <t>800-KO-3706</t>
  </si>
  <si>
    <t>4 CLOSET FLANGE W/KO H DWV</t>
  </si>
  <si>
    <t>810673015375</t>
  </si>
  <si>
    <t>10810673015372</t>
  </si>
  <si>
    <t>801-3707</t>
  </si>
  <si>
    <t>4X3 CLOSET FLANGE RED SPIGOT DWV</t>
  </si>
  <si>
    <t>810673015979</t>
  </si>
  <si>
    <t>811-3710</t>
  </si>
  <si>
    <t>4X3 CLOSET FLG W/ADJ MTL RNG H DWV</t>
  </si>
  <si>
    <t>810673011445</t>
  </si>
  <si>
    <t>10810673011442</t>
  </si>
  <si>
    <t>811-3711</t>
  </si>
  <si>
    <t>4 CLOSET FLG W/ADJ MTL RNG H DWV</t>
  </si>
  <si>
    <t>812361017319</t>
  </si>
  <si>
    <t>812-3714</t>
  </si>
  <si>
    <t>4X3 CLOSET FLG ADJ MTL RNG SPG DWV</t>
  </si>
  <si>
    <t>812361017302</t>
  </si>
  <si>
    <t>812-3715</t>
  </si>
  <si>
    <t>4 CLOSET FLG W/ADJ MTL RNG SPG DWV</t>
  </si>
  <si>
    <t>812361017326</t>
  </si>
  <si>
    <t>815-3718</t>
  </si>
  <si>
    <t>4X3 FLUSH CLOSET FLANGE DWV</t>
  </si>
  <si>
    <t>812361017234</t>
  </si>
  <si>
    <t>815-3719</t>
  </si>
  <si>
    <t>4X3 FLUSH CLOSET FLANGE W/KO DWV</t>
  </si>
  <si>
    <t>812361017227</t>
  </si>
  <si>
    <t>820-3720</t>
  </si>
  <si>
    <t>4X3 OFFSET CLOS FLG W/ADJ MTL RNG H</t>
  </si>
  <si>
    <t>810673012459</t>
  </si>
  <si>
    <t>888-P-0003</t>
  </si>
  <si>
    <t>3 INSIDE FIT CLOSET FLANGE DWV</t>
  </si>
  <si>
    <t>812361017241</t>
  </si>
  <si>
    <t>401-005</t>
  </si>
  <si>
    <t>1/2 TEE SLIP X SLIP X SLIP</t>
  </si>
  <si>
    <t>049081145224</t>
  </si>
  <si>
    <t>049081645229</t>
  </si>
  <si>
    <t>40049081145222</t>
  </si>
  <si>
    <t>401-007</t>
  </si>
  <si>
    <t>3/4 TEE SLIP X SLIP X SLIP</t>
  </si>
  <si>
    <t>049081145286</t>
  </si>
  <si>
    <t>049081645281</t>
  </si>
  <si>
    <t>40049081145284</t>
  </si>
  <si>
    <t>401-010</t>
  </si>
  <si>
    <t>1 TEE SLIP X SLIP X SLIP</t>
  </si>
  <si>
    <t>049081145385</t>
  </si>
  <si>
    <t>049081645380</t>
  </si>
  <si>
    <t>40049081145383</t>
  </si>
  <si>
    <t>401-015</t>
  </si>
  <si>
    <t>1-1/2 TEE SLIP X SLIP X SLIP</t>
  </si>
  <si>
    <t>049081145866</t>
  </si>
  <si>
    <t>40049081145864</t>
  </si>
  <si>
    <t>401-020</t>
  </si>
  <si>
    <t>2 TEE SLIP X SLIP X SLIP</t>
  </si>
  <si>
    <t>049081146245</t>
  </si>
  <si>
    <t>40049081146243</t>
  </si>
  <si>
    <t>401-025</t>
  </si>
  <si>
    <t>2-1/2 TEE SLIP X SLIP X SLIP</t>
  </si>
  <si>
    <t>049081146566</t>
  </si>
  <si>
    <t>40049081146564</t>
  </si>
  <si>
    <t>401-030</t>
  </si>
  <si>
    <t>3 TEE SLIP X SLIP X SLIP</t>
  </si>
  <si>
    <t>049081146702</t>
  </si>
  <si>
    <t>40049081146700</t>
  </si>
  <si>
    <t>401-040</t>
  </si>
  <si>
    <t>4 TEE SLIP X SLIP X SLIP</t>
  </si>
  <si>
    <t>049081146863</t>
  </si>
  <si>
    <t>40049081146861</t>
  </si>
  <si>
    <t>401-050</t>
  </si>
  <si>
    <t>5 TEE SLIP X SLIP X SLIP</t>
  </si>
  <si>
    <t>049081147044</t>
  </si>
  <si>
    <t>40049081147042</t>
  </si>
  <si>
    <t>401-060</t>
  </si>
  <si>
    <t>6 TEE SLIP X SLIP X SLIP</t>
  </si>
  <si>
    <t>049081147129</t>
  </si>
  <si>
    <t>40049081147127</t>
  </si>
  <si>
    <t>401-080</t>
  </si>
  <si>
    <t>8 TEE SLIP X SLIP X SLIP</t>
  </si>
  <si>
    <t>049081147204</t>
  </si>
  <si>
    <t>40049081147202</t>
  </si>
  <si>
    <t>401-101</t>
  </si>
  <si>
    <t>3/4X1/2 REDUCING TEE SXSXS</t>
  </si>
  <si>
    <t>049081145323</t>
  </si>
  <si>
    <t>049081645328</t>
  </si>
  <si>
    <t>40049081145321</t>
  </si>
  <si>
    <t>401-102</t>
  </si>
  <si>
    <t>3/4X3/4X1 REDUCING TEE SXSXS</t>
  </si>
  <si>
    <t>049081145309</t>
  </si>
  <si>
    <t>049081645304</t>
  </si>
  <si>
    <t>40049081145307</t>
  </si>
  <si>
    <t>401-130</t>
  </si>
  <si>
    <t>1X1/2 REDUCING TEE S X S X S</t>
  </si>
  <si>
    <t>049081145460</t>
  </si>
  <si>
    <t>049081645465</t>
  </si>
  <si>
    <t>40049081145468</t>
  </si>
  <si>
    <t>401-131</t>
  </si>
  <si>
    <t>1X3/4 REDUCING TEE S X S X S</t>
  </si>
  <si>
    <t>049081145446</t>
  </si>
  <si>
    <t>049081645441</t>
  </si>
  <si>
    <t>40049081145444</t>
  </si>
  <si>
    <t>401-166</t>
  </si>
  <si>
    <t>1-1/4X1-1/4X1/2 REDUCING TEE SXSXS</t>
  </si>
  <si>
    <t>049081145705</t>
  </si>
  <si>
    <t>049081645700</t>
  </si>
  <si>
    <t>40049081145703</t>
  </si>
  <si>
    <t>401-167</t>
  </si>
  <si>
    <t>1-1/4X1-1/4X3/4 REDUCING TEE SXSXS</t>
  </si>
  <si>
    <t>049081145682</t>
  </si>
  <si>
    <t>049081645687</t>
  </si>
  <si>
    <t>40049081145680</t>
  </si>
  <si>
    <t>401-209</t>
  </si>
  <si>
    <t>1-1/2X1-1/2X1/2 REDUCING TEE SXSXS</t>
  </si>
  <si>
    <t>049081145989</t>
  </si>
  <si>
    <t>40049081145987</t>
  </si>
  <si>
    <t>401-210</t>
  </si>
  <si>
    <t>1-1/2X1-1/2X3/4 REDUCING TEE SXSXS</t>
  </si>
  <si>
    <t>049081145965</t>
  </si>
  <si>
    <t>40049081145963</t>
  </si>
  <si>
    <t>401-211</t>
  </si>
  <si>
    <t>1-1/2X1-1/2X1 REDUCING TEE SXSXS</t>
  </si>
  <si>
    <t>049081145941</t>
  </si>
  <si>
    <t>40049081145949</t>
  </si>
  <si>
    <t>401-213</t>
  </si>
  <si>
    <t>1-1/2X1-1/2X2 REDUCING TEE SXSXS</t>
  </si>
  <si>
    <t>049081145903</t>
  </si>
  <si>
    <t>40049081145901</t>
  </si>
  <si>
    <t>401-247</t>
  </si>
  <si>
    <t>2X2X1/2 REDUCING TEE SXSXS</t>
  </si>
  <si>
    <t>049081146344</t>
  </si>
  <si>
    <t>40049081146342</t>
  </si>
  <si>
    <t>401-248</t>
  </si>
  <si>
    <t>2X2X3/4 REDUCING TEE SXSXS</t>
  </si>
  <si>
    <t>049081146320</t>
  </si>
  <si>
    <t>40049081146328</t>
  </si>
  <si>
    <t>401-249</t>
  </si>
  <si>
    <t>2X2X1 REDUCING TEE SXSXS</t>
  </si>
  <si>
    <t>049081146306</t>
  </si>
  <si>
    <t>40049081146304</t>
  </si>
  <si>
    <t>401-251</t>
  </si>
  <si>
    <t>2X2X1-1/2 REDUCING TEE SXSXS</t>
  </si>
  <si>
    <t>049081146269</t>
  </si>
  <si>
    <t>40049081146267</t>
  </si>
  <si>
    <t>401-289</t>
  </si>
  <si>
    <t>2-1/2X2-1/2X1 REDUCING TEE SXSXS</t>
  </si>
  <si>
    <t>049081146641</t>
  </si>
  <si>
    <t>40049081146649</t>
  </si>
  <si>
    <t>401-334</t>
  </si>
  <si>
    <t>3X3X3/4 REDUCING TEE SXSXS</t>
  </si>
  <si>
    <t>049081146825</t>
  </si>
  <si>
    <t>40049081146823</t>
  </si>
  <si>
    <t>401-335</t>
  </si>
  <si>
    <t>3X3X1 REDUCING TEE SXSXS</t>
  </si>
  <si>
    <t>049081146801</t>
  </si>
  <si>
    <t>40049081146809</t>
  </si>
  <si>
    <t>401-336</t>
  </si>
  <si>
    <t>3X3X1-1/4 REDUCING TEE SXSXS</t>
  </si>
  <si>
    <t>049081146788</t>
  </si>
  <si>
    <t>40049081146786</t>
  </si>
  <si>
    <t>401-337</t>
  </si>
  <si>
    <t>3X3X1-1/2 REDUCING TEE SXSXS</t>
  </si>
  <si>
    <t>049081146764</t>
  </si>
  <si>
    <t>40049081146762</t>
  </si>
  <si>
    <t>401-338</t>
  </si>
  <si>
    <t>3X3X2 REDUCING TEE SXSXS</t>
  </si>
  <si>
    <t>049081146740</t>
  </si>
  <si>
    <t>40049081146748</t>
  </si>
  <si>
    <t>401-416</t>
  </si>
  <si>
    <t>4X4X3/4 REDUCING TEE SXSXS</t>
  </si>
  <si>
    <t>049081147006</t>
  </si>
  <si>
    <t>40049081147004</t>
  </si>
  <si>
    <t>401-417</t>
  </si>
  <si>
    <t>4X4X1 REDUCING TEE SXSXS</t>
  </si>
  <si>
    <t>049081146986</t>
  </si>
  <si>
    <t>40049081146984</t>
  </si>
  <si>
    <t>401-418</t>
  </si>
  <si>
    <t>4X4X1-1/4 REDUCING TEE SXSXS</t>
  </si>
  <si>
    <t>049081146955</t>
  </si>
  <si>
    <t>40049081146953</t>
  </si>
  <si>
    <t>401-420</t>
  </si>
  <si>
    <t>4X4X2 REDUCING TEE SXSXS</t>
  </si>
  <si>
    <t>049081146924</t>
  </si>
  <si>
    <t>40049081146922</t>
  </si>
  <si>
    <t>401-422</t>
  </si>
  <si>
    <t>4X4X3 REDUCING TEE SXSXS</t>
  </si>
  <si>
    <t>049081146900</t>
  </si>
  <si>
    <t>40049081146908</t>
  </si>
  <si>
    <t>401-486</t>
  </si>
  <si>
    <t>5X5X2 REDUCING TEE SXSXS</t>
  </si>
  <si>
    <t>049081147105</t>
  </si>
  <si>
    <t>40049081147103</t>
  </si>
  <si>
    <t>401-490</t>
  </si>
  <si>
    <t>5X5X4 REDUCING TEE SXSXS</t>
  </si>
  <si>
    <t>049081147068</t>
  </si>
  <si>
    <t>40049081147066</t>
  </si>
  <si>
    <t>401-528</t>
  </si>
  <si>
    <t>6X6X2 REDUCING TEE SXSXS</t>
  </si>
  <si>
    <t>049081147181</t>
  </si>
  <si>
    <t>40049081147189</t>
  </si>
  <si>
    <t>401-530</t>
  </si>
  <si>
    <t>6X6X3 REDUCING TEE SXSXS</t>
  </si>
  <si>
    <t>049081147167</t>
  </si>
  <si>
    <t>40049081147165</t>
  </si>
  <si>
    <t>401-532</t>
  </si>
  <si>
    <t>6X6X4 REDUCING TEE SXSXS</t>
  </si>
  <si>
    <t>049081147143</t>
  </si>
  <si>
    <t>40049081147141</t>
  </si>
  <si>
    <t>401-578</t>
  </si>
  <si>
    <t>8X8X2 REDUCING TEE SXSXS</t>
  </si>
  <si>
    <t>049081147273</t>
  </si>
  <si>
    <t>40049081147271</t>
  </si>
  <si>
    <t>401-580</t>
  </si>
  <si>
    <t>8X8X3 REDUCING TEE SXSXS</t>
  </si>
  <si>
    <t>049081147266</t>
  </si>
  <si>
    <t>40049081147264</t>
  </si>
  <si>
    <t>401-582</t>
  </si>
  <si>
    <t>8X8X4 REDUCING TEE SXSXS</t>
  </si>
  <si>
    <t>049081147242</t>
  </si>
  <si>
    <t>40049081147240</t>
  </si>
  <si>
    <t>401-585</t>
  </si>
  <si>
    <t>8X8X6 REDUCING TEE SXSXS</t>
  </si>
  <si>
    <t>049081147228</t>
  </si>
  <si>
    <t>40049081147226</t>
  </si>
  <si>
    <t>402-005</t>
  </si>
  <si>
    <t>1/2 TEE SLIP X SLIP X FIPT</t>
  </si>
  <si>
    <t>049081147426</t>
  </si>
  <si>
    <t>049081647421</t>
  </si>
  <si>
    <t>40049081147424</t>
  </si>
  <si>
    <t>402-007</t>
  </si>
  <si>
    <t>3/4 TEE SLIP X SLIP X FIPT</t>
  </si>
  <si>
    <t>049081147488</t>
  </si>
  <si>
    <t>049081647483</t>
  </si>
  <si>
    <t>40049081147486</t>
  </si>
  <si>
    <t>402-010</t>
  </si>
  <si>
    <t>1 TEE SLIP X SLIP X FIPT</t>
  </si>
  <si>
    <t>049081147587</t>
  </si>
  <si>
    <t>049081647582</t>
  </si>
  <si>
    <t>40049081147585</t>
  </si>
  <si>
    <t>402-015</t>
  </si>
  <si>
    <t>1-1/2 TEE SLIP X SLIP X FIPT</t>
  </si>
  <si>
    <t>049081148065</t>
  </si>
  <si>
    <t>40049081148063</t>
  </si>
  <si>
    <t>402-020</t>
  </si>
  <si>
    <t>2 TEE SLIP X SLIP X FIPT</t>
  </si>
  <si>
    <t>049081148409</t>
  </si>
  <si>
    <t>40049081148407</t>
  </si>
  <si>
    <t>402-030</t>
  </si>
  <si>
    <t>3 TEE SLIP X SLIP X FIPT</t>
  </si>
  <si>
    <t>049081148843</t>
  </si>
  <si>
    <t>40049081148841</t>
  </si>
  <si>
    <t>402-040</t>
  </si>
  <si>
    <t>4 TEE SLIP X SLIP X FIPT</t>
  </si>
  <si>
    <t>049081148980</t>
  </si>
  <si>
    <t>40049081148988</t>
  </si>
  <si>
    <t>402-071</t>
  </si>
  <si>
    <t>1/2X1/2X1/8 REDUCING TEE SXSXFIPT</t>
  </si>
  <si>
    <t>049081147471</t>
  </si>
  <si>
    <t>049081647476</t>
  </si>
  <si>
    <t>40049081147479</t>
  </si>
  <si>
    <t>402-101</t>
  </si>
  <si>
    <t>3/4X3/4X1/2 REDUCING TEE SXSXFIPT</t>
  </si>
  <si>
    <t>049081147525</t>
  </si>
  <si>
    <t>049081647520</t>
  </si>
  <si>
    <t>40049081147523</t>
  </si>
  <si>
    <t>402-130</t>
  </si>
  <si>
    <t>1X1X1/2 REDUCING TEE SXSXFIPT</t>
  </si>
  <si>
    <t>049081147662</t>
  </si>
  <si>
    <t>049081647667</t>
  </si>
  <si>
    <t>40049081147660</t>
  </si>
  <si>
    <t>402-131</t>
  </si>
  <si>
    <t>1X1X3/4 REDUCING TEE SXSXFIPT</t>
  </si>
  <si>
    <t>049081147648</t>
  </si>
  <si>
    <t>049081647643</t>
  </si>
  <si>
    <t>40049081147646</t>
  </si>
  <si>
    <t>402-166</t>
  </si>
  <si>
    <t>1-1/4X1-1/4X1/2 RED TEE SXSXFIPT</t>
  </si>
  <si>
    <t>049081147907</t>
  </si>
  <si>
    <t>049081647902</t>
  </si>
  <si>
    <t>40049081147905</t>
  </si>
  <si>
    <t>402-167</t>
  </si>
  <si>
    <t>1-1/4X1-1/4X3/4 RED TEE SXSXFIPT</t>
  </si>
  <si>
    <t>049081147884</t>
  </si>
  <si>
    <t>049081647889</t>
  </si>
  <si>
    <t>40049081147882</t>
  </si>
  <si>
    <t>402-168</t>
  </si>
  <si>
    <t>1-1/4X1-1/4X1 RED TEE SXSXFIPT</t>
  </si>
  <si>
    <t>049081147860</t>
  </si>
  <si>
    <t>049081647865</t>
  </si>
  <si>
    <t>40049081147868</t>
  </si>
  <si>
    <t>402-209</t>
  </si>
  <si>
    <t>1-1/2X1-1/2X1/2 RED TEE SXSXFIPT</t>
  </si>
  <si>
    <t>049081148140</t>
  </si>
  <si>
    <t>40049081148148</t>
  </si>
  <si>
    <t>402-210</t>
  </si>
  <si>
    <t>1-1/2X1-1/2X3/4 RED TEE SXSXFIPT</t>
  </si>
  <si>
    <t>049081148126</t>
  </si>
  <si>
    <t>40049081148124</t>
  </si>
  <si>
    <t>402-211</t>
  </si>
  <si>
    <t>1-1/2X1-1/2X1 RED TEE SXSXFIPT</t>
  </si>
  <si>
    <t>049081148102</t>
  </si>
  <si>
    <t>40049081148100</t>
  </si>
  <si>
    <t>402-247</t>
  </si>
  <si>
    <t>2X2X1/2 REDUCING TEE SXSXFIPT</t>
  </si>
  <si>
    <t>049081148508</t>
  </si>
  <si>
    <t>40049081148506</t>
  </si>
  <si>
    <t>402-248</t>
  </si>
  <si>
    <t>2X2X3/4 REDUCING TEE SXSXFIPT</t>
  </si>
  <si>
    <t>049081148485</t>
  </si>
  <si>
    <t>40049081148483</t>
  </si>
  <si>
    <t>402-249</t>
  </si>
  <si>
    <t>2X2X1 REDUCING TEE SXSXFIPT</t>
  </si>
  <si>
    <t>049081148461</t>
  </si>
  <si>
    <t>40049081148469</t>
  </si>
  <si>
    <t>402-251</t>
  </si>
  <si>
    <t>2X2X1-1/2 REDUCING TEE SXSXFIPT</t>
  </si>
  <si>
    <t>049081148423</t>
  </si>
  <si>
    <t>40049081148421</t>
  </si>
  <si>
    <t>402-335</t>
  </si>
  <si>
    <t>3X3X1 REDUCING TEE SXSXFIPT</t>
  </si>
  <si>
    <t>049081148928</t>
  </si>
  <si>
    <t>40049081148926</t>
  </si>
  <si>
    <t>402-422</t>
  </si>
  <si>
    <t>4X4X3 REDUCING TEE SXSXFIPT</t>
  </si>
  <si>
    <t>049081149000</t>
  </si>
  <si>
    <t>40049081149008</t>
  </si>
  <si>
    <t>402-528</t>
  </si>
  <si>
    <t>6X6X2 REDUCING TEE SXSXFIPT</t>
  </si>
  <si>
    <t>049081149222</t>
  </si>
  <si>
    <t>40049081149220</t>
  </si>
  <si>
    <t>402-532</t>
  </si>
  <si>
    <t>6X6X4 REDUCING TEE SXSXFIPT</t>
  </si>
  <si>
    <t>049081149185</t>
  </si>
  <si>
    <t>40049081149183</t>
  </si>
  <si>
    <t>402-582</t>
  </si>
  <si>
    <t>8X8X4 REDUCING TEE SXSXFIPT</t>
  </si>
  <si>
    <t>049081149321</t>
  </si>
  <si>
    <t>40049081149329</t>
  </si>
  <si>
    <t>405-005</t>
  </si>
  <si>
    <t>1/2 TEE FIPT X FIPT X FIPT</t>
  </si>
  <si>
    <t>049081149383</t>
  </si>
  <si>
    <t>049081649388</t>
  </si>
  <si>
    <t>40049081149381</t>
  </si>
  <si>
    <t>405-010</t>
  </si>
  <si>
    <t>1 TEE FIPT X FIPT X FIPT</t>
  </si>
  <si>
    <t>049081149420</t>
  </si>
  <si>
    <t>049081649425</t>
  </si>
  <si>
    <t>40049081149428</t>
  </si>
  <si>
    <t>405-012</t>
  </si>
  <si>
    <t>1-1/4 TEE FIPT X FIPT X FIPT</t>
  </si>
  <si>
    <t>049081149444</t>
  </si>
  <si>
    <t>40049081149442</t>
  </si>
  <si>
    <t>405-015</t>
  </si>
  <si>
    <t>1-1/2 TEE FIPT X FIPT X FIPT</t>
  </si>
  <si>
    <t>049081149468</t>
  </si>
  <si>
    <t>40049081149466</t>
  </si>
  <si>
    <t>405-020</t>
  </si>
  <si>
    <t>2 TEE FIPT X FIPT X FIPT</t>
  </si>
  <si>
    <t>049081149482</t>
  </si>
  <si>
    <t>40049081149480</t>
  </si>
  <si>
    <t>406-005</t>
  </si>
  <si>
    <t>1/2 90 ELL SLIP X SLIP</t>
  </si>
  <si>
    <t>049081140625</t>
  </si>
  <si>
    <t>049081640620</t>
  </si>
  <si>
    <t>40049081140623</t>
  </si>
  <si>
    <t>406-007</t>
  </si>
  <si>
    <t>3/4 90 ELL SLIP X SLIP</t>
  </si>
  <si>
    <t>049081140649</t>
  </si>
  <si>
    <t>049081640644</t>
  </si>
  <si>
    <t>40049081140647</t>
  </si>
  <si>
    <t>406-010</t>
  </si>
  <si>
    <t>1 90 ELL SLIP X SLIP</t>
  </si>
  <si>
    <t>049081140687</t>
  </si>
  <si>
    <t>049081640682</t>
  </si>
  <si>
    <t>40049081140685</t>
  </si>
  <si>
    <t>406-012</t>
  </si>
  <si>
    <t>1-1/4 90 ELL SLIP X SLIP</t>
  </si>
  <si>
    <t>049081140748</t>
  </si>
  <si>
    <t>049081640743</t>
  </si>
  <si>
    <t>40049081140746</t>
  </si>
  <si>
    <t>406-015</t>
  </si>
  <si>
    <t>1-1/2 90 ELL SLIP X SLIP</t>
  </si>
  <si>
    <t>049081140823</t>
  </si>
  <si>
    <t>049081640828</t>
  </si>
  <si>
    <t>40049081140821</t>
  </si>
  <si>
    <t>406-020</t>
  </si>
  <si>
    <t>2 90 ELL SLIP X SLIP</t>
  </si>
  <si>
    <t>049081140908</t>
  </si>
  <si>
    <t>049081640903</t>
  </si>
  <si>
    <t>40049081140906</t>
  </si>
  <si>
    <t>406-025</t>
  </si>
  <si>
    <t>2-1/2 90 ELL SLIP X SLIP</t>
  </si>
  <si>
    <t>049081140960</t>
  </si>
  <si>
    <t>40049081140968</t>
  </si>
  <si>
    <t>406-030</t>
  </si>
  <si>
    <t>3 90 ELL SLIP X SLIP</t>
  </si>
  <si>
    <t>049081140984</t>
  </si>
  <si>
    <t>40049081140982</t>
  </si>
  <si>
    <t>406-040</t>
  </si>
  <si>
    <t>4 90 ELL SLIP X SLIP</t>
  </si>
  <si>
    <t>049081141004</t>
  </si>
  <si>
    <t>40049081141002</t>
  </si>
  <si>
    <t>406-050</t>
  </si>
  <si>
    <t>5 90 ELL SLIP X SLIP</t>
  </si>
  <si>
    <t>049081141028</t>
  </si>
  <si>
    <t>40049081141026</t>
  </si>
  <si>
    <t>406-060</t>
  </si>
  <si>
    <t>6 90 ELL SLIP X SLIP</t>
  </si>
  <si>
    <t>049081141042</t>
  </si>
  <si>
    <t>40049081141040</t>
  </si>
  <si>
    <t>406-080</t>
  </si>
  <si>
    <t>8 90 ELL SLIP X SLIP</t>
  </si>
  <si>
    <t>049081141066</t>
  </si>
  <si>
    <t>40049081141064</t>
  </si>
  <si>
    <t>406-101</t>
  </si>
  <si>
    <t>3/4X1/2 90 REDUCING ELL SLIP X SLIP</t>
  </si>
  <si>
    <t>049081140663</t>
  </si>
  <si>
    <t>049081640668</t>
  </si>
  <si>
    <t>40049081140661</t>
  </si>
  <si>
    <t>406-130</t>
  </si>
  <si>
    <t>1X1/2 90 REDUCING ELL SLIP X SLIP</t>
  </si>
  <si>
    <t>049081140724</t>
  </si>
  <si>
    <t>049081640729</t>
  </si>
  <si>
    <t>40049081140722</t>
  </si>
  <si>
    <t>406-131</t>
  </si>
  <si>
    <t>1X3/4 90 REDUCING ELL SLIP X SLIP</t>
  </si>
  <si>
    <t>049081140700</t>
  </si>
  <si>
    <t>049081640705</t>
  </si>
  <si>
    <t>40049081140708</t>
  </si>
  <si>
    <t>406-251</t>
  </si>
  <si>
    <t>2X1-1/2 90 REDUCING ELL SLIP X SLIP</t>
  </si>
  <si>
    <t>049081140922</t>
  </si>
  <si>
    <t>40049081140920</t>
  </si>
  <si>
    <t>407-005</t>
  </si>
  <si>
    <t>1/2 90 ELL SLIP X FIPT</t>
  </si>
  <si>
    <t>049081141202</t>
  </si>
  <si>
    <t>049081641207</t>
  </si>
  <si>
    <t>40049081141200</t>
  </si>
  <si>
    <t>407-010</t>
  </si>
  <si>
    <t>1 90 ELL SLIP X FIPT</t>
  </si>
  <si>
    <t>049081141288</t>
  </si>
  <si>
    <t>049081641283</t>
  </si>
  <si>
    <t>40049081141286</t>
  </si>
  <si>
    <t>407-015</t>
  </si>
  <si>
    <t>1-1/2 90 ELL SLIP X FIPT</t>
  </si>
  <si>
    <t>049081141400</t>
  </si>
  <si>
    <t>049081641405</t>
  </si>
  <si>
    <t>40049081141408</t>
  </si>
  <si>
    <t>407-020</t>
  </si>
  <si>
    <t>2 90 ELL SLIP X FIPT</t>
  </si>
  <si>
    <t>049081141462</t>
  </si>
  <si>
    <t>049081641467</t>
  </si>
  <si>
    <t>40049081141460</t>
  </si>
  <si>
    <t>407-030</t>
  </si>
  <si>
    <t>3 90 ELL SLIP X FIPT</t>
  </si>
  <si>
    <t>049081141547</t>
  </si>
  <si>
    <t>40049081141545</t>
  </si>
  <si>
    <t>407-040</t>
  </si>
  <si>
    <t>4 90 ELL SLIP X FIPT</t>
  </si>
  <si>
    <t>049081141561</t>
  </si>
  <si>
    <t>40049081141569</t>
  </si>
  <si>
    <t>407-101</t>
  </si>
  <si>
    <t>3/4X1/2 90 REDUCING ELL SXFIPT</t>
  </si>
  <si>
    <t>049081141264</t>
  </si>
  <si>
    <t>049081641269</t>
  </si>
  <si>
    <t>40049081141262</t>
  </si>
  <si>
    <t>407-130</t>
  </si>
  <si>
    <t>1X1/2 90 REDUCING ELL SXFIPT</t>
  </si>
  <si>
    <t>049081141325</t>
  </si>
  <si>
    <t>049081641320</t>
  </si>
  <si>
    <t>40049081141323</t>
  </si>
  <si>
    <t>407-131</t>
  </si>
  <si>
    <t>1X3/4 90 REDUCING ELL SXFIPT</t>
  </si>
  <si>
    <t>049081141301</t>
  </si>
  <si>
    <t>049081641306</t>
  </si>
  <si>
    <t>40049081141309</t>
  </si>
  <si>
    <t>407-211</t>
  </si>
  <si>
    <t>1-1/2X1 90 REDUCING ELL SLIPXFIPT</t>
  </si>
  <si>
    <t>049081141448</t>
  </si>
  <si>
    <t>049081641443</t>
  </si>
  <si>
    <t>40049081141446</t>
  </si>
  <si>
    <t>408-005</t>
  </si>
  <si>
    <t>1/2 90 ELL FIPT X FIPT</t>
  </si>
  <si>
    <t>049081142063</t>
  </si>
  <si>
    <t>049081642068</t>
  </si>
  <si>
    <t>40049081142061</t>
  </si>
  <si>
    <t>408-010</t>
  </si>
  <si>
    <t>1 90 ELL FIPT X FIPT</t>
  </si>
  <si>
    <t>049081142100</t>
  </si>
  <si>
    <t>049081642105</t>
  </si>
  <si>
    <t>40049081142108</t>
  </si>
  <si>
    <t>408-015</t>
  </si>
  <si>
    <t>1-1/2 90 ELL FIPT X FIPT</t>
  </si>
  <si>
    <t>049081142148</t>
  </si>
  <si>
    <t>049081642143</t>
  </si>
  <si>
    <t>40049081142146</t>
  </si>
  <si>
    <t>409-005</t>
  </si>
  <si>
    <t>1/2 90 STREET ELL SPGXSLIP</t>
  </si>
  <si>
    <t>049081142322</t>
  </si>
  <si>
    <t>049081642327</t>
  </si>
  <si>
    <t>40049081142320</t>
  </si>
  <si>
    <t>409-007</t>
  </si>
  <si>
    <t>3/4 90 STREET ELL SPGXSLIP</t>
  </si>
  <si>
    <t>049081142346</t>
  </si>
  <si>
    <t>049081642341</t>
  </si>
  <si>
    <t>40049081142344</t>
  </si>
  <si>
    <t>409-010</t>
  </si>
  <si>
    <t>1 90 STREET ELL SPGXSLIP</t>
  </si>
  <si>
    <t>049081142360</t>
  </si>
  <si>
    <t>049081642365</t>
  </si>
  <si>
    <t>40049081142368</t>
  </si>
  <si>
    <t>409-012</t>
  </si>
  <si>
    <t>1-1/4 90 STREET ELL SPGXSLIP</t>
  </si>
  <si>
    <t>049081142384</t>
  </si>
  <si>
    <t>049081642389</t>
  </si>
  <si>
    <t>40049081142382</t>
  </si>
  <si>
    <t>409-015</t>
  </si>
  <si>
    <t>1-1/2 90 STREET ELL SPGXSLIP</t>
  </si>
  <si>
    <t>049081142407</t>
  </si>
  <si>
    <t>049081642402</t>
  </si>
  <si>
    <t>40049081142405</t>
  </si>
  <si>
    <t>409-020</t>
  </si>
  <si>
    <t>2 90 STREET ELL SPGXSLIP</t>
  </si>
  <si>
    <t>049081142421</t>
  </si>
  <si>
    <t>049081642426</t>
  </si>
  <si>
    <t>40049081142429</t>
  </si>
  <si>
    <t>410-005</t>
  </si>
  <si>
    <t>1/2 90 STREET ELL MIPT X SLIP</t>
  </si>
  <si>
    <t>049081141660</t>
  </si>
  <si>
    <t>049081641665</t>
  </si>
  <si>
    <t>40049081141668</t>
  </si>
  <si>
    <t>410-007</t>
  </si>
  <si>
    <t>3/4 90 STREET ELL MIPT X SLIP</t>
  </si>
  <si>
    <t>049081141684</t>
  </si>
  <si>
    <t>049081641689</t>
  </si>
  <si>
    <t>40049081141682</t>
  </si>
  <si>
    <t>410-010</t>
  </si>
  <si>
    <t>1 90 STREET ELL MIPT X SLIP</t>
  </si>
  <si>
    <t>049081141707</t>
  </si>
  <si>
    <t>049081641702</t>
  </si>
  <si>
    <t>40049081141705</t>
  </si>
  <si>
    <t>410-012</t>
  </si>
  <si>
    <t>1-1/4 90 STREET ELL MIPT X SLIP</t>
  </si>
  <si>
    <t>049081141721</t>
  </si>
  <si>
    <t>049081641726</t>
  </si>
  <si>
    <t>40049081141729</t>
  </si>
  <si>
    <t>410-015</t>
  </si>
  <si>
    <t>1-1/2 90 STREET ELL MIPT X SLIP</t>
  </si>
  <si>
    <t>049081141745</t>
  </si>
  <si>
    <t>049081641740</t>
  </si>
  <si>
    <t>40049081141743</t>
  </si>
  <si>
    <t>410-020</t>
  </si>
  <si>
    <t>2 90 STREET ELL MIPT X SLIP</t>
  </si>
  <si>
    <t>049081141769</t>
  </si>
  <si>
    <t>049081641764</t>
  </si>
  <si>
    <t>40049081141767</t>
  </si>
  <si>
    <t>410-102</t>
  </si>
  <si>
    <t>3/4X1 90 RED STREET ELL MIPTXSLIP</t>
  </si>
  <si>
    <t>049081141646</t>
  </si>
  <si>
    <t>049081641641</t>
  </si>
  <si>
    <t>40049081141644</t>
  </si>
  <si>
    <t>411-010</t>
  </si>
  <si>
    <t>1 90 STREET ELL SPGXFIPT</t>
  </si>
  <si>
    <t>049081142568</t>
  </si>
  <si>
    <t>049081642563</t>
  </si>
  <si>
    <t>40049081142566</t>
  </si>
  <si>
    <t>412-005</t>
  </si>
  <si>
    <t>1/2 90 STREET ELL MIPT X FIPT</t>
  </si>
  <si>
    <t>049081141868</t>
  </si>
  <si>
    <t>049081641863</t>
  </si>
  <si>
    <t>40049081141866</t>
  </si>
  <si>
    <t>412-006</t>
  </si>
  <si>
    <t>1/2 90 STREET ELL MIPT XFIPT MARLEX</t>
  </si>
  <si>
    <t>049081141875</t>
  </si>
  <si>
    <t>049081641870</t>
  </si>
  <si>
    <t>40049081141873</t>
  </si>
  <si>
    <t>412-008</t>
  </si>
  <si>
    <t>3/4 90 STREET ELL MIPT XFIPT MARLEX</t>
  </si>
  <si>
    <t>049081141899</t>
  </si>
  <si>
    <t>049081641894</t>
  </si>
  <si>
    <t>40049081141897</t>
  </si>
  <si>
    <t>412-010</t>
  </si>
  <si>
    <t>1 90 STREET ELL MIPT X FIPT</t>
  </si>
  <si>
    <t>049081141905</t>
  </si>
  <si>
    <t>049081641900</t>
  </si>
  <si>
    <t>40049081141903</t>
  </si>
  <si>
    <t>412-011</t>
  </si>
  <si>
    <t>1 90 STREET ELL MIPT X FIPT MARLEX</t>
  </si>
  <si>
    <t>049081141912</t>
  </si>
  <si>
    <t>049081641917</t>
  </si>
  <si>
    <t>40049081141910</t>
  </si>
  <si>
    <t>412-015</t>
  </si>
  <si>
    <t>1-1/2 90 STREET ELL MIPT XFIPT</t>
  </si>
  <si>
    <t>049081141943</t>
  </si>
  <si>
    <t>049081641948</t>
  </si>
  <si>
    <t>40049081141941</t>
  </si>
  <si>
    <t>412-020</t>
  </si>
  <si>
    <t>2 90 STREET ELL MIPT X FIPT</t>
  </si>
  <si>
    <t>049081141967</t>
  </si>
  <si>
    <t>049081641962</t>
  </si>
  <si>
    <t>40049081141965</t>
  </si>
  <si>
    <t>413-005</t>
  </si>
  <si>
    <t>1/2 SIDE OUTLET 90 ELL SXSXS</t>
  </si>
  <si>
    <t>049081142681</t>
  </si>
  <si>
    <t>049081642686</t>
  </si>
  <si>
    <t>40049081142689</t>
  </si>
  <si>
    <t>413-007</t>
  </si>
  <si>
    <t>3/4 SIDE OUTLET 90 ELL SXSXS</t>
  </si>
  <si>
    <t>049081142636</t>
  </si>
  <si>
    <t>40049081142634</t>
  </si>
  <si>
    <t>413-010</t>
  </si>
  <si>
    <t>1 SIDE OUTLET 90 ELL SXSXS</t>
  </si>
  <si>
    <t>049081142643</t>
  </si>
  <si>
    <t>40049081142641</t>
  </si>
  <si>
    <t>414-101</t>
  </si>
  <si>
    <t>3/4X3/4X1/2 SIDE OUTLET 90 SXSXFIPT</t>
  </si>
  <si>
    <t>049081142728</t>
  </si>
  <si>
    <t>049081642723</t>
  </si>
  <si>
    <t>40049081142726</t>
  </si>
  <si>
    <t>417-005</t>
  </si>
  <si>
    <t>1/2 45 ELL SLIP X SLIP</t>
  </si>
  <si>
    <t>049081140229</t>
  </si>
  <si>
    <t>049081640224</t>
  </si>
  <si>
    <t>40049081140227</t>
  </si>
  <si>
    <t>417-007</t>
  </si>
  <si>
    <t>3/4 45 ELL SLIP X SLIP</t>
  </si>
  <si>
    <t>049081140243</t>
  </si>
  <si>
    <t>049081640248</t>
  </si>
  <si>
    <t>40049081140241</t>
  </si>
  <si>
    <t>417-010</t>
  </si>
  <si>
    <t>1 45 ELL SLIP X SLIP</t>
  </si>
  <si>
    <t>049081140267</t>
  </si>
  <si>
    <t>049081640262</t>
  </si>
  <si>
    <t>40049081140265</t>
  </si>
  <si>
    <t>417-012</t>
  </si>
  <si>
    <t>1-1/4 45 ELL SLIP X SLIP</t>
  </si>
  <si>
    <t>049081140281</t>
  </si>
  <si>
    <t>049081640286</t>
  </si>
  <si>
    <t>40049081140289</t>
  </si>
  <si>
    <t>417-015</t>
  </si>
  <si>
    <t>1-1/2 45 ELL SLIP X SLIP</t>
  </si>
  <si>
    <t>049081140304</t>
  </si>
  <si>
    <t>049081640309</t>
  </si>
  <si>
    <t>40049081140302</t>
  </si>
  <si>
    <t>417-020</t>
  </si>
  <si>
    <t>2 45 ELL SLIP X SLIP</t>
  </si>
  <si>
    <t>049081140328</t>
  </si>
  <si>
    <t>049081640323</t>
  </si>
  <si>
    <t>40049081140326</t>
  </si>
  <si>
    <t>417-025</t>
  </si>
  <si>
    <t>2-1/2 45 ELL SLIP X SLIP</t>
  </si>
  <si>
    <t>049081140342</t>
  </si>
  <si>
    <t>40049081140340</t>
  </si>
  <si>
    <t>417-030</t>
  </si>
  <si>
    <t>3 45 ELL SLIP X SLIP</t>
  </si>
  <si>
    <t>049081140366</t>
  </si>
  <si>
    <t>40049081140364</t>
  </si>
  <si>
    <t>417-040</t>
  </si>
  <si>
    <t>4 45 ELL SLIP X SLIP</t>
  </si>
  <si>
    <t>049081140380</t>
  </si>
  <si>
    <t>40049081140388</t>
  </si>
  <si>
    <t>417-050</t>
  </si>
  <si>
    <t>5 45 ELL SLIP X SLIP</t>
  </si>
  <si>
    <t>049081140403</t>
  </si>
  <si>
    <t>40049081140401</t>
  </si>
  <si>
    <t>417-060</t>
  </si>
  <si>
    <t>6 45 ELL SLIP X SLIP</t>
  </si>
  <si>
    <t>049081140427</t>
  </si>
  <si>
    <t>40049081140425</t>
  </si>
  <si>
    <t>417-080</t>
  </si>
  <si>
    <t>8 45 ELL SLIP X SLIP</t>
  </si>
  <si>
    <t>049081140441</t>
  </si>
  <si>
    <t>40049081140449</t>
  </si>
  <si>
    <t>420-005</t>
  </si>
  <si>
    <t>1/2 CROSS SLIP</t>
  </si>
  <si>
    <t>049081139285</t>
  </si>
  <si>
    <t>049081639280</t>
  </si>
  <si>
    <t>40049081139283</t>
  </si>
  <si>
    <t>420-007</t>
  </si>
  <si>
    <t>3/4 CROSS SLIP</t>
  </si>
  <si>
    <t>049081139308</t>
  </si>
  <si>
    <t>049081639303</t>
  </si>
  <si>
    <t>40049081139306</t>
  </si>
  <si>
    <t>420-010</t>
  </si>
  <si>
    <t>1 CROSS SLIP</t>
  </si>
  <si>
    <t>049081639327</t>
  </si>
  <si>
    <t>40049081139320</t>
  </si>
  <si>
    <t>420-020</t>
  </si>
  <si>
    <t>2 CROSS SLIP</t>
  </si>
  <si>
    <t>049081139384</t>
  </si>
  <si>
    <t>40049081139382</t>
  </si>
  <si>
    <t>427-015</t>
  </si>
  <si>
    <t>1-1/2 45 ELL SPGX SLIP</t>
  </si>
  <si>
    <t>049081141172</t>
  </si>
  <si>
    <t>049081641177</t>
  </si>
  <si>
    <t>40049081141170</t>
  </si>
  <si>
    <t>427-020</t>
  </si>
  <si>
    <t>2 45 ELL SPGX SLIP</t>
  </si>
  <si>
    <t>049081141196</t>
  </si>
  <si>
    <t>049081641191</t>
  </si>
  <si>
    <t>40049081141194</t>
  </si>
  <si>
    <t>429-005</t>
  </si>
  <si>
    <t>1/2 COUPLING SLIP X SLIP</t>
  </si>
  <si>
    <t>049081137489</t>
  </si>
  <si>
    <t>049081637484</t>
  </si>
  <si>
    <t>40049081137487</t>
  </si>
  <si>
    <t>429-007</t>
  </si>
  <si>
    <t>3/4 COUPLING SLIP X SLIP</t>
  </si>
  <si>
    <t>049081137502</t>
  </si>
  <si>
    <t>049081637507</t>
  </si>
  <si>
    <t>40049081137500</t>
  </si>
  <si>
    <t>429-010</t>
  </si>
  <si>
    <t>1 COUPLING SLIP X SLIP</t>
  </si>
  <si>
    <t>049081137540</t>
  </si>
  <si>
    <t>049081637545</t>
  </si>
  <si>
    <t>40049081137548</t>
  </si>
  <si>
    <t>429-012</t>
  </si>
  <si>
    <t>1-1/4 COUPLING SLIP X SLIP</t>
  </si>
  <si>
    <t>049081137588</t>
  </si>
  <si>
    <t>049081637583</t>
  </si>
  <si>
    <t>40049081137586</t>
  </si>
  <si>
    <t>429-015</t>
  </si>
  <si>
    <t>1-1/2 COUPLING SLIP X SLIP</t>
  </si>
  <si>
    <t>049081137625</t>
  </si>
  <si>
    <t>049081637620</t>
  </si>
  <si>
    <t>40049081137623</t>
  </si>
  <si>
    <t>429-020</t>
  </si>
  <si>
    <t>2 COUPLING SLIP X SLIP</t>
  </si>
  <si>
    <t>049081137663</t>
  </si>
  <si>
    <t>049081637668</t>
  </si>
  <si>
    <t>40049081137661</t>
  </si>
  <si>
    <t>429-025</t>
  </si>
  <si>
    <t>2-1/2 COUPLING SLIP X SLIP</t>
  </si>
  <si>
    <t>049081137700</t>
  </si>
  <si>
    <t>40049081137708</t>
  </si>
  <si>
    <t>429-030</t>
  </si>
  <si>
    <t>3 COUPLING SLIP X SLIP</t>
  </si>
  <si>
    <t>049081137724</t>
  </si>
  <si>
    <t>40049081137722</t>
  </si>
  <si>
    <t>429-040</t>
  </si>
  <si>
    <t>4 COUPLING SLIP X SLIP</t>
  </si>
  <si>
    <t>049081137748</t>
  </si>
  <si>
    <t>40049081137746</t>
  </si>
  <si>
    <t>429-050</t>
  </si>
  <si>
    <t>5 COUPLING SLIP X SLIP</t>
  </si>
  <si>
    <t>049081137762</t>
  </si>
  <si>
    <t>40049081137760</t>
  </si>
  <si>
    <t>429-060</t>
  </si>
  <si>
    <t>6 COUPLING SLIP X SLIP</t>
  </si>
  <si>
    <t>049081137786</t>
  </si>
  <si>
    <t>40049081137784</t>
  </si>
  <si>
    <t>429-080</t>
  </si>
  <si>
    <t>8 COUPLING SLIP X SLIP</t>
  </si>
  <si>
    <t>049081137809</t>
  </si>
  <si>
    <t>40049081137807</t>
  </si>
  <si>
    <t>S429-015</t>
  </si>
  <si>
    <t>1-1/2 SHORT COUPLING SLIP X SLIP</t>
  </si>
  <si>
    <t>049081138714</t>
  </si>
  <si>
    <t>049081638719</t>
  </si>
  <si>
    <t>40049081138712</t>
  </si>
  <si>
    <t>S429-020</t>
  </si>
  <si>
    <t>2 SHORT COUPLING SLIP X SLIP</t>
  </si>
  <si>
    <t>049081138721</t>
  </si>
  <si>
    <t>049081638726</t>
  </si>
  <si>
    <t>40049081138729</t>
  </si>
  <si>
    <t>429-101</t>
  </si>
  <si>
    <t>3/4X1/2 REDUCER COUPLING S X S</t>
  </si>
  <si>
    <t>049081137526</t>
  </si>
  <si>
    <t>049081637521</t>
  </si>
  <si>
    <t>40049081137524</t>
  </si>
  <si>
    <t>429-131</t>
  </si>
  <si>
    <t>1X3/4 REDUCER COUPLING S X S</t>
  </si>
  <si>
    <t>049081137564</t>
  </si>
  <si>
    <t>049081637569</t>
  </si>
  <si>
    <t>40049081137562</t>
  </si>
  <si>
    <t>429-211</t>
  </si>
  <si>
    <t>1-1/2X1 REDUCER COUPLING S X S</t>
  </si>
  <si>
    <t>049081137649</t>
  </si>
  <si>
    <t>049081637644</t>
  </si>
  <si>
    <t>40049081137647</t>
  </si>
  <si>
    <t>429-251</t>
  </si>
  <si>
    <t>2X1-1/2 REDUCER COUPLING S X S</t>
  </si>
  <si>
    <t>049081137687</t>
  </si>
  <si>
    <t>40049081137685</t>
  </si>
  <si>
    <t>429-338</t>
  </si>
  <si>
    <t>3X2 REDUCER COUPLING S X S</t>
  </si>
  <si>
    <t>816842025213</t>
  </si>
  <si>
    <t>430-005GY</t>
  </si>
  <si>
    <t>1/2 THREADED COUPLING FXF GRAY</t>
  </si>
  <si>
    <t>049081137946</t>
  </si>
  <si>
    <t>049081637941</t>
  </si>
  <si>
    <t>40049081137944</t>
  </si>
  <si>
    <t>430-005W</t>
  </si>
  <si>
    <t>1/2 THREADED COUPLING FXF WHITE</t>
  </si>
  <si>
    <t>049081638238</t>
  </si>
  <si>
    <t>40049081138231</t>
  </si>
  <si>
    <t>430-007GY</t>
  </si>
  <si>
    <t>3/4 THREADED COUPLING FXF GRAY</t>
  </si>
  <si>
    <t>049081137960</t>
  </si>
  <si>
    <t>049081637965</t>
  </si>
  <si>
    <t>40049081137968</t>
  </si>
  <si>
    <t>430-007W</t>
  </si>
  <si>
    <t>3/4 THREADED COUPLING FXF WHITE</t>
  </si>
  <si>
    <t>049081638252</t>
  </si>
  <si>
    <t>40049081138255</t>
  </si>
  <si>
    <t>430-010GY</t>
  </si>
  <si>
    <t>1 THREADED COUPLING FXF GRAY</t>
  </si>
  <si>
    <t>049081137984</t>
  </si>
  <si>
    <t>049081637989</t>
  </si>
  <si>
    <t>40049081137982</t>
  </si>
  <si>
    <t>430-010W</t>
  </si>
  <si>
    <t>1 THREADED COUPLING FXF WHITE</t>
  </si>
  <si>
    <t>40049081138279</t>
  </si>
  <si>
    <t>430-012GY</t>
  </si>
  <si>
    <t>1-1/4 THREADED COUPLING FXF GRAY</t>
  </si>
  <si>
    <t>049081138004</t>
  </si>
  <si>
    <t>049081638009</t>
  </si>
  <si>
    <t>40049081138002</t>
  </si>
  <si>
    <t>430-015GY</t>
  </si>
  <si>
    <t>1-1/2 THREADED COUPLING FXF GRAY</t>
  </si>
  <si>
    <t>049081138028</t>
  </si>
  <si>
    <t>049081638023</t>
  </si>
  <si>
    <t>40049081138026</t>
  </si>
  <si>
    <t>430-020GY</t>
  </si>
  <si>
    <t>2 THREADED COUPLING FXF GRAY</t>
  </si>
  <si>
    <t>049081138042</t>
  </si>
  <si>
    <t>049081638047</t>
  </si>
  <si>
    <t>40049081138040</t>
  </si>
  <si>
    <t>430-073W</t>
  </si>
  <si>
    <t>1/2X3/8 RED THREADED COUPLING FXF WHITE</t>
  </si>
  <si>
    <t>049081137939</t>
  </si>
  <si>
    <t>049081637934</t>
  </si>
  <si>
    <t>40049081137937</t>
  </si>
  <si>
    <t>430-101</t>
  </si>
  <si>
    <t>3/4X1/2 RED THREADED COUPLING FXF</t>
  </si>
  <si>
    <t>049081138127</t>
  </si>
  <si>
    <t>049081638122</t>
  </si>
  <si>
    <t>40049081138125</t>
  </si>
  <si>
    <t>430-131</t>
  </si>
  <si>
    <t>1X3/4 RED THREADED COUPLING FXF</t>
  </si>
  <si>
    <t>049081138141</t>
  </si>
  <si>
    <t>049081638146</t>
  </si>
  <si>
    <t>40049081138149</t>
  </si>
  <si>
    <t>430-212</t>
  </si>
  <si>
    <t>1-1/2X1-1/4 RED THREAD COUPLING FXF</t>
  </si>
  <si>
    <t>049081138097</t>
  </si>
  <si>
    <t>049081638092</t>
  </si>
  <si>
    <t>40049081138095</t>
  </si>
  <si>
    <t>430-251</t>
  </si>
  <si>
    <t>2X1-1/2 RED THREADED COUPLING FXF</t>
  </si>
  <si>
    <t>049081138110</t>
  </si>
  <si>
    <t>049081638115</t>
  </si>
  <si>
    <t>40049081138118</t>
  </si>
  <si>
    <t>433-007</t>
  </si>
  <si>
    <t>3/4 MALE FITTING ADAPTER SPGX MIPT</t>
  </si>
  <si>
    <t>049081132439</t>
  </si>
  <si>
    <t>049081632434</t>
  </si>
  <si>
    <t>40049081132437</t>
  </si>
  <si>
    <t>433-010</t>
  </si>
  <si>
    <t>1 MALE FITTING ADAPTER SPGX MIPT</t>
  </si>
  <si>
    <t>049081132446</t>
  </si>
  <si>
    <t>049081632441</t>
  </si>
  <si>
    <t>40049081132444</t>
  </si>
  <si>
    <t>433-015</t>
  </si>
  <si>
    <t>1-1/2 MALE FITTING ADAPTER SPGXMIPT</t>
  </si>
  <si>
    <t>049081132460</t>
  </si>
  <si>
    <t>049081632465</t>
  </si>
  <si>
    <t>40049081132468</t>
  </si>
  <si>
    <t>433-020</t>
  </si>
  <si>
    <t>2 MALE FITTING ADAPTER SPGX MIPT</t>
  </si>
  <si>
    <t>049081132477</t>
  </si>
  <si>
    <t>049081632472</t>
  </si>
  <si>
    <t>40049081132475</t>
  </si>
  <si>
    <t>435-005</t>
  </si>
  <si>
    <t>1/2 FEMALE ADAPTER SLIP X FIPT</t>
  </si>
  <si>
    <t>049081130381</t>
  </si>
  <si>
    <t>049081630386</t>
  </si>
  <si>
    <t>40049081130389</t>
  </si>
  <si>
    <t>435-007</t>
  </si>
  <si>
    <t>3/4 FEMALE ADAPTER SLIP X FIPT</t>
  </si>
  <si>
    <t>049081130466</t>
  </si>
  <si>
    <t>049081630461</t>
  </si>
  <si>
    <t>40049081130464</t>
  </si>
  <si>
    <t>435-010</t>
  </si>
  <si>
    <t>1 FEMALE ADAPTER SLIP X FIPT</t>
  </si>
  <si>
    <t>049081130527</t>
  </si>
  <si>
    <t>049081630522</t>
  </si>
  <si>
    <t>40049081130525</t>
  </si>
  <si>
    <t>435-012</t>
  </si>
  <si>
    <t>1-1/4 FEMALE ADAPTER SLIP X FIPT</t>
  </si>
  <si>
    <t>049081130626</t>
  </si>
  <si>
    <t>049081630621</t>
  </si>
  <si>
    <t>40049081130624</t>
  </si>
  <si>
    <t>435-015</t>
  </si>
  <si>
    <t>1-1/2 FEMALE ADAPTER SLIP X FIPT</t>
  </si>
  <si>
    <t>049081130664</t>
  </si>
  <si>
    <t>049081630669</t>
  </si>
  <si>
    <t>40049081130662</t>
  </si>
  <si>
    <t>435-020</t>
  </si>
  <si>
    <t>2 FEMALE ADAPTER SLIP X FIPT</t>
  </si>
  <si>
    <t>049081130701</t>
  </si>
  <si>
    <t>049081630706</t>
  </si>
  <si>
    <t>40049081130709</t>
  </si>
  <si>
    <t>435-025</t>
  </si>
  <si>
    <t>2-1/2 FEMALE ADAPTER SLIP X FIPT</t>
  </si>
  <si>
    <t>049081130725</t>
  </si>
  <si>
    <t>40049081130723</t>
  </si>
  <si>
    <t>435-030</t>
  </si>
  <si>
    <t>3 FEMALE ADAPTER SLIP X FIPT</t>
  </si>
  <si>
    <t>049081130749</t>
  </si>
  <si>
    <t>40049081130747</t>
  </si>
  <si>
    <t>435-040</t>
  </si>
  <si>
    <t>4 FEMALE ADAPTER SLIP X FIPT</t>
  </si>
  <si>
    <t>049081130763</t>
  </si>
  <si>
    <t>40049081130761</t>
  </si>
  <si>
    <t>435-074</t>
  </si>
  <si>
    <t>1/2X3/4 RED FEM ADAPTER SLIPXFIPT</t>
  </si>
  <si>
    <t>049081130404</t>
  </si>
  <si>
    <t>049081630409</t>
  </si>
  <si>
    <t>40049081130402</t>
  </si>
  <si>
    <t>435-101</t>
  </si>
  <si>
    <t>3/4X1/2 RED FEM ADAPTER SLIPXFIPT</t>
  </si>
  <si>
    <t>049081130503</t>
  </si>
  <si>
    <t>049081630508</t>
  </si>
  <si>
    <t>40049081130501</t>
  </si>
  <si>
    <t>435-130</t>
  </si>
  <si>
    <t>1X1/2 RED FEM ADAPTER SLIPXFIPT</t>
  </si>
  <si>
    <t>049081130602</t>
  </si>
  <si>
    <t>049081630607</t>
  </si>
  <si>
    <t>40049081130600</t>
  </si>
  <si>
    <t>435-131</t>
  </si>
  <si>
    <t>1X3/4 RED FEM ADAPTER SLIPXFIPT</t>
  </si>
  <si>
    <t>049081130589</t>
  </si>
  <si>
    <t>049081630584</t>
  </si>
  <si>
    <t>40049081130587</t>
  </si>
  <si>
    <t>435-213</t>
  </si>
  <si>
    <t>1-1/2X2 RED FEM ADAPTER SLIPXFIPT</t>
  </si>
  <si>
    <t>049081130695</t>
  </si>
  <si>
    <t>049081630690</t>
  </si>
  <si>
    <t>40049081130693</t>
  </si>
  <si>
    <t>436-005</t>
  </si>
  <si>
    <t>1/2 MALE ADAPTER MIPT X SLIP</t>
  </si>
  <si>
    <t>049081131661</t>
  </si>
  <si>
    <t>049081631666</t>
  </si>
  <si>
    <t>40049081131669</t>
  </si>
  <si>
    <t>436-007</t>
  </si>
  <si>
    <t>3/4 MALE ADAPTER MIPT X SLIP</t>
  </si>
  <si>
    <t>049081131722</t>
  </si>
  <si>
    <t>049081631727</t>
  </si>
  <si>
    <t>40049081131720</t>
  </si>
  <si>
    <t>436-010</t>
  </si>
  <si>
    <t>1 MALE ADAPTER MIPT X SLIP</t>
  </si>
  <si>
    <t>049081131784</t>
  </si>
  <si>
    <t>049081631789</t>
  </si>
  <si>
    <t>40049081131782</t>
  </si>
  <si>
    <t>436-012</t>
  </si>
  <si>
    <t>1-1/4 MALE ADAPTER MIPT X SLIP</t>
  </si>
  <si>
    <t>049081131845</t>
  </si>
  <si>
    <t>049081631840</t>
  </si>
  <si>
    <t>40049081131843</t>
  </si>
  <si>
    <t>436-015</t>
  </si>
  <si>
    <t>1-1/2 MALE ADAPTER MIPT X SLIP</t>
  </si>
  <si>
    <t>049081131906</t>
  </si>
  <si>
    <t>049081631901</t>
  </si>
  <si>
    <t>40049081131904</t>
  </si>
  <si>
    <t>436-020</t>
  </si>
  <si>
    <t>2 MALE ADAPTER MIPT X SLIP</t>
  </si>
  <si>
    <t>049081131968</t>
  </si>
  <si>
    <t>049081631963</t>
  </si>
  <si>
    <t>40049081131966</t>
  </si>
  <si>
    <t>436-030</t>
  </si>
  <si>
    <t>3 MALE ADAPTER MIPT X SLIP</t>
  </si>
  <si>
    <t>049081132088</t>
  </si>
  <si>
    <t>40049081132086</t>
  </si>
  <si>
    <t>436-040</t>
  </si>
  <si>
    <t>4 MALE ADAPTER MIPT X SLIP</t>
  </si>
  <si>
    <t>049081132125</t>
  </si>
  <si>
    <t>40049081132123</t>
  </si>
  <si>
    <t>436-045</t>
  </si>
  <si>
    <t>1/4X1/2 RED MALE ADAPTER MIPT X S</t>
  </si>
  <si>
    <t>049081131630</t>
  </si>
  <si>
    <t>049081631635</t>
  </si>
  <si>
    <t>40049081131638</t>
  </si>
  <si>
    <t>436-074</t>
  </si>
  <si>
    <t>1/2X3/4 RED MALE ADAPTER MIPT X S</t>
  </si>
  <si>
    <t>049081131685</t>
  </si>
  <si>
    <t>049081631680</t>
  </si>
  <si>
    <t>40049081131683</t>
  </si>
  <si>
    <t>436-075</t>
  </si>
  <si>
    <t>1/2X1 RED MALE ADAPTER MIPT X S</t>
  </si>
  <si>
    <t>049081131715</t>
  </si>
  <si>
    <t>049081631710</t>
  </si>
  <si>
    <t>40049081131713</t>
  </si>
  <si>
    <t>436-101</t>
  </si>
  <si>
    <t>3/4X1/2 RED MALE ADAPTER MIPT X S</t>
  </si>
  <si>
    <t>049081131760</t>
  </si>
  <si>
    <t>049081631765</t>
  </si>
  <si>
    <t>40049081131768</t>
  </si>
  <si>
    <t>436-102</t>
  </si>
  <si>
    <t>3/4X1 RED MALE ADAPTER MIPT X S</t>
  </si>
  <si>
    <t>049081131746</t>
  </si>
  <si>
    <t>049081631741</t>
  </si>
  <si>
    <t>40049081131744</t>
  </si>
  <si>
    <t>436-130-2</t>
  </si>
  <si>
    <t>1X1/2 RED MALE ADAPTER MIPT X S</t>
  </si>
  <si>
    <t>049081131838</t>
  </si>
  <si>
    <t>049081631833</t>
  </si>
  <si>
    <t>40049081131836</t>
  </si>
  <si>
    <t>436-131</t>
  </si>
  <si>
    <t>1X3/4 RED MALE ADAPTER MIPT X S</t>
  </si>
  <si>
    <t>049081131821</t>
  </si>
  <si>
    <t>049081631826</t>
  </si>
  <si>
    <t>40049081131829</t>
  </si>
  <si>
    <t>436-132</t>
  </si>
  <si>
    <t>1x1-1/4 RED MALE ADAPTER MIPTXS</t>
  </si>
  <si>
    <t>049081131807</t>
  </si>
  <si>
    <t>049081631802</t>
  </si>
  <si>
    <t>40049081131805</t>
  </si>
  <si>
    <t>436-168</t>
  </si>
  <si>
    <t>1-1/4X1 RED MALE ADAPTER MIPT X S</t>
  </si>
  <si>
    <t>049081131883</t>
  </si>
  <si>
    <t>049081631888</t>
  </si>
  <si>
    <t>40049081131881</t>
  </si>
  <si>
    <t>436-169</t>
  </si>
  <si>
    <t>1-1/4X1-1/2 RED MALE ADAPT MIPTXS</t>
  </si>
  <si>
    <t>049081131869</t>
  </si>
  <si>
    <t>049081631864</t>
  </si>
  <si>
    <t>40049081131867</t>
  </si>
  <si>
    <t>436-211-2</t>
  </si>
  <si>
    <t>1-1/2X1 RED MALE ADAPTER MIPT X S</t>
  </si>
  <si>
    <t>049081131913</t>
  </si>
  <si>
    <t>049081631918</t>
  </si>
  <si>
    <t>40049081131911</t>
  </si>
  <si>
    <t>436-212</t>
  </si>
  <si>
    <t>1-1/2X1-1/4 RED MALE ADAPTER MXS</t>
  </si>
  <si>
    <t>049081131944</t>
  </si>
  <si>
    <t>049081631949</t>
  </si>
  <si>
    <t>40049081131942</t>
  </si>
  <si>
    <t>436-213</t>
  </si>
  <si>
    <t>1-1/2X2 RED MALE ADAPTER MXS</t>
  </si>
  <si>
    <t>049081131920</t>
  </si>
  <si>
    <t>049081631925</t>
  </si>
  <si>
    <t>40049081131928</t>
  </si>
  <si>
    <t>436-251-2</t>
  </si>
  <si>
    <t>2X1-1/2 RED MALE ADAPTER MIPTXS</t>
  </si>
  <si>
    <t>049081132033</t>
  </si>
  <si>
    <t>049081632038</t>
  </si>
  <si>
    <t>40049081132031</t>
  </si>
  <si>
    <t>436-341</t>
  </si>
  <si>
    <t>3X4 REDUCING MALE ADAPTER MIPT X S</t>
  </si>
  <si>
    <t>049081305314</t>
  </si>
  <si>
    <t>40049081305312</t>
  </si>
  <si>
    <t>437-101</t>
  </si>
  <si>
    <t>3/4X1/2 REDUCER BUSHING SPGX SLIP</t>
  </si>
  <si>
    <t>049081133047</t>
  </si>
  <si>
    <t>049081633042</t>
  </si>
  <si>
    <t>40049081133045</t>
  </si>
  <si>
    <t>437-130</t>
  </si>
  <si>
    <t>1X1/2 REDUCER BUSHING SPGX SLIP</t>
  </si>
  <si>
    <t>049081133122</t>
  </si>
  <si>
    <t>049081633127</t>
  </si>
  <si>
    <t>40049081133120</t>
  </si>
  <si>
    <t>437-131</t>
  </si>
  <si>
    <t>1X3/4 REDUCER BUSHING SPGX SLIP</t>
  </si>
  <si>
    <t>049081633103</t>
  </si>
  <si>
    <t>40049081133106</t>
  </si>
  <si>
    <t>437-167</t>
  </si>
  <si>
    <t>1-1/4X3/4 RED BUSHING SPGX SLIP</t>
  </si>
  <si>
    <t>049081133184</t>
  </si>
  <si>
    <t>049081633189</t>
  </si>
  <si>
    <t>40049081133182</t>
  </si>
  <si>
    <t>437-168</t>
  </si>
  <si>
    <t>1-1/4X1 RED BUSHING SPGX SLIP</t>
  </si>
  <si>
    <t>049081633165</t>
  </si>
  <si>
    <t>40049081133168</t>
  </si>
  <si>
    <t>437-209</t>
  </si>
  <si>
    <t>1-1/2X1/2 REDUCER BUSHING SPGX S</t>
  </si>
  <si>
    <t>049081133306</t>
  </si>
  <si>
    <t>049081633301</t>
  </si>
  <si>
    <t>40049081133304</t>
  </si>
  <si>
    <t>437-210</t>
  </si>
  <si>
    <t>1-1/2X3/4 REDUCER BUSHING SPGX S</t>
  </si>
  <si>
    <t>049081133283</t>
  </si>
  <si>
    <t>049081633288</t>
  </si>
  <si>
    <t>40049081133281</t>
  </si>
  <si>
    <t>437-211</t>
  </si>
  <si>
    <t>1-1/2X1 REDUCER BUSHING SPGXSLIP</t>
  </si>
  <si>
    <t>049081133269</t>
  </si>
  <si>
    <t>049081633264</t>
  </si>
  <si>
    <t>40049081133267</t>
  </si>
  <si>
    <t>437-212</t>
  </si>
  <si>
    <t>1-1/2X1-1/4 RED BUSHING SPGXS</t>
  </si>
  <si>
    <t>049081133245</t>
  </si>
  <si>
    <t>049081633240</t>
  </si>
  <si>
    <t>40049081133243</t>
  </si>
  <si>
    <t>437-247</t>
  </si>
  <si>
    <t>2X1/2 REDUCER BUSHING SPGX S</t>
  </si>
  <si>
    <t>049081133405</t>
  </si>
  <si>
    <t>049081633400</t>
  </si>
  <si>
    <t>40049081133403</t>
  </si>
  <si>
    <t>437-248</t>
  </si>
  <si>
    <t>2X3/4 REDUCER BUSHING SPGX S</t>
  </si>
  <si>
    <t>049081133382</t>
  </si>
  <si>
    <t>049081633387</t>
  </si>
  <si>
    <t>40049081133380</t>
  </si>
  <si>
    <t>437-249</t>
  </si>
  <si>
    <t>2X1 REDUCER BUSHING SPGX S</t>
  </si>
  <si>
    <t>049081133368</t>
  </si>
  <si>
    <t>049081633363</t>
  </si>
  <si>
    <t>40049081133366</t>
  </si>
  <si>
    <t>437-251</t>
  </si>
  <si>
    <t>2X1-1/2 REDUCER BUSHING SPGX S</t>
  </si>
  <si>
    <t>049081133320</t>
  </si>
  <si>
    <t>049081633325</t>
  </si>
  <si>
    <t>40049081133328</t>
  </si>
  <si>
    <t>437-288</t>
  </si>
  <si>
    <t>2-1/2X3/4 REDUCER BUSHING SPGX S</t>
  </si>
  <si>
    <t>049081133504</t>
  </si>
  <si>
    <t>049081633509</t>
  </si>
  <si>
    <t>40049081133502</t>
  </si>
  <si>
    <t>437-291</t>
  </si>
  <si>
    <t>2-1/2X1-1/2 RED BUSHING SPGX SLIP</t>
  </si>
  <si>
    <t>049081133443</t>
  </si>
  <si>
    <t>049081633448</t>
  </si>
  <si>
    <t>40049081133441</t>
  </si>
  <si>
    <t>437-292</t>
  </si>
  <si>
    <t>2-1/2X2 REDUCER BUSHING SPGX SLIP</t>
  </si>
  <si>
    <t>049081133429</t>
  </si>
  <si>
    <t>049081633424</t>
  </si>
  <si>
    <t>40049081133427</t>
  </si>
  <si>
    <t>437-335</t>
  </si>
  <si>
    <t>3X1 REDUCER BUSHING SPGX SLIP</t>
  </si>
  <si>
    <t>049081133627</t>
  </si>
  <si>
    <t>049081633622</t>
  </si>
  <si>
    <t>40049081133625</t>
  </si>
  <si>
    <t>437-337</t>
  </si>
  <si>
    <t>3X1-1/2 REDUCER BUSHING SPGX SLIP</t>
  </si>
  <si>
    <t>049081133580</t>
  </si>
  <si>
    <t>049081633585</t>
  </si>
  <si>
    <t>40049081133588</t>
  </si>
  <si>
    <t>437-338</t>
  </si>
  <si>
    <t>3X2 REDUCER BUSHING SPGX SLIP</t>
  </si>
  <si>
    <t>049081133566</t>
  </si>
  <si>
    <t>049081633561</t>
  </si>
  <si>
    <t>40049081133564</t>
  </si>
  <si>
    <t>437-339</t>
  </si>
  <si>
    <t>3X2-1/2 REDUCER BUSHING SPGX SLIP</t>
  </si>
  <si>
    <t>049081133542</t>
  </si>
  <si>
    <t>049081633547</t>
  </si>
  <si>
    <t>40049081133540</t>
  </si>
  <si>
    <t>437-420</t>
  </si>
  <si>
    <t>4X2 REDUCER BUSHING SPGX SLIP</t>
  </si>
  <si>
    <t>049081133740</t>
  </si>
  <si>
    <t>40049081133748</t>
  </si>
  <si>
    <t>437-422</t>
  </si>
  <si>
    <t>4X3 REDUCER BUSHING SPGX SLIP</t>
  </si>
  <si>
    <t>049081133702</t>
  </si>
  <si>
    <t>40049081133700</t>
  </si>
  <si>
    <t>437-488</t>
  </si>
  <si>
    <t>5X3 REDUCER BUSHING SPGX SLIP</t>
  </si>
  <si>
    <t>049081133849</t>
  </si>
  <si>
    <t>40049081133847</t>
  </si>
  <si>
    <t>437-490</t>
  </si>
  <si>
    <t>5X4 REDUCER BUSHING SPGX SLIP</t>
  </si>
  <si>
    <t>049081133825</t>
  </si>
  <si>
    <t>40049081133823</t>
  </si>
  <si>
    <t>437-528</t>
  </si>
  <si>
    <t>6X2 REDUCER BUSHING SPGX SLIP</t>
  </si>
  <si>
    <t>049081133948</t>
  </si>
  <si>
    <t>40049081133946</t>
  </si>
  <si>
    <t>437-530</t>
  </si>
  <si>
    <t>6X3 REDUCER BUSHING SPGX SLIP</t>
  </si>
  <si>
    <t>049081133924</t>
  </si>
  <si>
    <t>40049081133922</t>
  </si>
  <si>
    <t>437-532</t>
  </si>
  <si>
    <t>6X4 REDUCER BUSHING SPGX SLIP</t>
  </si>
  <si>
    <t>049081133900</t>
  </si>
  <si>
    <t>40049081133908</t>
  </si>
  <si>
    <t>437-534</t>
  </si>
  <si>
    <t>6X5 REDUCER BUSHING SPGX SLIP</t>
  </si>
  <si>
    <t>049081133887</t>
  </si>
  <si>
    <t>40049081133885</t>
  </si>
  <si>
    <t>437-578</t>
  </si>
  <si>
    <t>8X2 REDUCER BUSHING SPGX SLIP</t>
  </si>
  <si>
    <t>049081134006</t>
  </si>
  <si>
    <t>40049081134004</t>
  </si>
  <si>
    <t>437-582</t>
  </si>
  <si>
    <t>8X4 REDUCER BUSHING SPGX SLIP</t>
  </si>
  <si>
    <t>049081133986</t>
  </si>
  <si>
    <t>40049081133984</t>
  </si>
  <si>
    <t>437-585</t>
  </si>
  <si>
    <t>8X6 REDUCER BUSHING SPGX SLIP</t>
  </si>
  <si>
    <t>049081133962</t>
  </si>
  <si>
    <t>40049081133960</t>
  </si>
  <si>
    <t>438-071</t>
  </si>
  <si>
    <t>1/2X1/8 REDUCER BUSHING SPGX FIPT</t>
  </si>
  <si>
    <t>049081134303</t>
  </si>
  <si>
    <t>049081634308</t>
  </si>
  <si>
    <t>40049081134301</t>
  </si>
  <si>
    <t>438-072</t>
  </si>
  <si>
    <t>1/2X1/4 REDUCER BUSHING SPGX FIPT</t>
  </si>
  <si>
    <t>049081134280</t>
  </si>
  <si>
    <t>049081634285</t>
  </si>
  <si>
    <t>40049081134288</t>
  </si>
  <si>
    <t>438-073</t>
  </si>
  <si>
    <t>1/2X3/8 REDUCER BUSHING SPGX FIPT</t>
  </si>
  <si>
    <t>049081134266</t>
  </si>
  <si>
    <t>049081634261</t>
  </si>
  <si>
    <t>40049081134264</t>
  </si>
  <si>
    <t>438-098</t>
  </si>
  <si>
    <t>3/4X1/4 REDUCER BUSHING SPGX FIPT</t>
  </si>
  <si>
    <t>049081134402</t>
  </si>
  <si>
    <t>049081634407</t>
  </si>
  <si>
    <t>40049081134400</t>
  </si>
  <si>
    <t>438-101</t>
  </si>
  <si>
    <t>3/4X1/2 REDUCER BUSHING SPGX FIPT</t>
  </si>
  <si>
    <t>049081134365</t>
  </si>
  <si>
    <t>049081634360</t>
  </si>
  <si>
    <t>40049081134363</t>
  </si>
  <si>
    <t>438-128</t>
  </si>
  <si>
    <t>1X1/4 REDUCER BUSHING SPGX FIPT</t>
  </si>
  <si>
    <t>049081134495</t>
  </si>
  <si>
    <t>049081634490</t>
  </si>
  <si>
    <t>40049081134493</t>
  </si>
  <si>
    <t>438-130</t>
  </si>
  <si>
    <t>1X1/2 REDUCER BUSHING SPGX FIPT</t>
  </si>
  <si>
    <t>049081134488</t>
  </si>
  <si>
    <t>049081634483</t>
  </si>
  <si>
    <t>40049081134486</t>
  </si>
  <si>
    <t>438-131</t>
  </si>
  <si>
    <t>1X3/4 REDUCER BUSHING SPGX FIPT</t>
  </si>
  <si>
    <t>049081134464</t>
  </si>
  <si>
    <t>049081634469</t>
  </si>
  <si>
    <t>40049081134462</t>
  </si>
  <si>
    <t>438-166</t>
  </si>
  <si>
    <t>1-1/4X1/2 RED BUSHING SPGX FIPT</t>
  </si>
  <si>
    <t>049081134587</t>
  </si>
  <si>
    <t>049081634582</t>
  </si>
  <si>
    <t>40049081134585</t>
  </si>
  <si>
    <t>438-167</t>
  </si>
  <si>
    <t>1-1/4X3/4 RED BUSHING SPGX FIPT</t>
  </si>
  <si>
    <t>049081134563</t>
  </si>
  <si>
    <t>049081634568</t>
  </si>
  <si>
    <t>40049081134561</t>
  </si>
  <si>
    <t>438-168</t>
  </si>
  <si>
    <t>1-1/4X1 RED BUSHING SPGX FIPT</t>
  </si>
  <si>
    <t>049081134549</t>
  </si>
  <si>
    <t>049081634544</t>
  </si>
  <si>
    <t>40049081134547</t>
  </si>
  <si>
    <t>438-209</t>
  </si>
  <si>
    <t>1-1/2X1/2 RED BUSHING SPGX FIPT</t>
  </si>
  <si>
    <t>049081134723</t>
  </si>
  <si>
    <t>049081634728</t>
  </si>
  <si>
    <t>40049081134721</t>
  </si>
  <si>
    <t>438-210</t>
  </si>
  <si>
    <t>1-1/2X3/4 RED BUSHING SPGX FIPT</t>
  </si>
  <si>
    <t>049081134709</t>
  </si>
  <si>
    <t>049081634704</t>
  </si>
  <si>
    <t>40049081134707</t>
  </si>
  <si>
    <t>438-211</t>
  </si>
  <si>
    <t>1-1/2X1 REDUCER BUSHING SPGX FIPT</t>
  </si>
  <si>
    <t>049081134686</t>
  </si>
  <si>
    <t>049081634681</t>
  </si>
  <si>
    <t>40049081134684</t>
  </si>
  <si>
    <t>438-212</t>
  </si>
  <si>
    <t>1-1/2X1-1/4 RED BUSHING SPGX FIPT</t>
  </si>
  <si>
    <t>049081134662</t>
  </si>
  <si>
    <t>049081634667</t>
  </si>
  <si>
    <t>40049081134660</t>
  </si>
  <si>
    <t>438-247</t>
  </si>
  <si>
    <t>2X1/2 REDUCER BUSHING SPGX FIPT</t>
  </si>
  <si>
    <t>049081134846</t>
  </si>
  <si>
    <t>049081634841</t>
  </si>
  <si>
    <t>40049081134844</t>
  </si>
  <si>
    <t>438-248</t>
  </si>
  <si>
    <t>2X3/4 REDUCER BUSHING SPGX FIPT</t>
  </si>
  <si>
    <t>049081134822</t>
  </si>
  <si>
    <t>049081634827</t>
  </si>
  <si>
    <t>40049081134820</t>
  </si>
  <si>
    <t>438-249</t>
  </si>
  <si>
    <t>2X1 REDUCER BUSHING SPGX FIPT</t>
  </si>
  <si>
    <t>049081134808</t>
  </si>
  <si>
    <t>049081634803</t>
  </si>
  <si>
    <t>40049081134806</t>
  </si>
  <si>
    <t>438-250</t>
  </si>
  <si>
    <t>2X1-1/4 REDUCER BUSHING SPGX FIPT</t>
  </si>
  <si>
    <t>049081134785</t>
  </si>
  <si>
    <t>049081634780</t>
  </si>
  <si>
    <t>40049081134783</t>
  </si>
  <si>
    <t>438-251</t>
  </si>
  <si>
    <t>2X1-1/2 REDUCER BUSHING SPGX FIPT</t>
  </si>
  <si>
    <t>049081134761</t>
  </si>
  <si>
    <t>049081634766</t>
  </si>
  <si>
    <t>40049081134769</t>
  </si>
  <si>
    <t>438-335</t>
  </si>
  <si>
    <t>3X1 REDUCER BUSHING SPGX FIPT</t>
  </si>
  <si>
    <t>049081135126</t>
  </si>
  <si>
    <t>049081635121</t>
  </si>
  <si>
    <t>40049081135124</t>
  </si>
  <si>
    <t>438-338</t>
  </si>
  <si>
    <t>3X2 REDUCER BUSHING SPGX FIPT</t>
  </si>
  <si>
    <t>049081135065</t>
  </si>
  <si>
    <t>049081635060</t>
  </si>
  <si>
    <t>40049081135063</t>
  </si>
  <si>
    <t>438-417</t>
  </si>
  <si>
    <t>4X1 REDUCER BUSHING SPGX FIPT</t>
  </si>
  <si>
    <t>049081135232</t>
  </si>
  <si>
    <t>40049081135230</t>
  </si>
  <si>
    <t>438-420</t>
  </si>
  <si>
    <t>4X2 REDUCER BUSHING SPGX FIPT</t>
  </si>
  <si>
    <t>049081135263</t>
  </si>
  <si>
    <t>40049081135261</t>
  </si>
  <si>
    <t>438-422</t>
  </si>
  <si>
    <t>4X3 REDUCER BUSHING SPGX FIPT</t>
  </si>
  <si>
    <t>049081135225</t>
  </si>
  <si>
    <t>40049081135223</t>
  </si>
  <si>
    <t>439-072</t>
  </si>
  <si>
    <t>1/2X1/4 REDUCER BUSHING MIPTXFIPT</t>
  </si>
  <si>
    <t>049081135522</t>
  </si>
  <si>
    <t>049081635527</t>
  </si>
  <si>
    <t>40049081135520</t>
  </si>
  <si>
    <t>439-073</t>
  </si>
  <si>
    <t>1/2X3/8 REDUCER BUSHING MIPTXFIPT</t>
  </si>
  <si>
    <t>049081135508</t>
  </si>
  <si>
    <t>049081635503</t>
  </si>
  <si>
    <t>40049081135506</t>
  </si>
  <si>
    <t>439-101</t>
  </si>
  <si>
    <t>3/4X1/2 RED BUSHING MIPT X FIPT</t>
  </si>
  <si>
    <t>049081135584</t>
  </si>
  <si>
    <t>049081635589</t>
  </si>
  <si>
    <t>40049081135582</t>
  </si>
  <si>
    <t>439-130</t>
  </si>
  <si>
    <t>1X1/2 REDUCER BUSHING MIPT X FIPT</t>
  </si>
  <si>
    <t>049081135706</t>
  </si>
  <si>
    <t>049081635701</t>
  </si>
  <si>
    <t>40049081135704</t>
  </si>
  <si>
    <t>439-131</t>
  </si>
  <si>
    <t>1X3/4 REDUCER BUSHING MIPT X FIPT</t>
  </si>
  <si>
    <t>049081135683</t>
  </si>
  <si>
    <t>049081635688</t>
  </si>
  <si>
    <t>40049081135681</t>
  </si>
  <si>
    <t>439-167</t>
  </si>
  <si>
    <t>1-1/4X3/4 RED BUSHING MIPT X FIPT</t>
  </si>
  <si>
    <t>049081135782</t>
  </si>
  <si>
    <t>049081635787</t>
  </si>
  <si>
    <t>40049081135780</t>
  </si>
  <si>
    <t>439-168</t>
  </si>
  <si>
    <t>1-1/4X1 REDUCER BUSHING MIPTXFIPT</t>
  </si>
  <si>
    <t>049081135768</t>
  </si>
  <si>
    <t>049081635763</t>
  </si>
  <si>
    <t>40049081135766</t>
  </si>
  <si>
    <t>439-209</t>
  </si>
  <si>
    <t>1-1/2X1/2 RED BUSHING MIPTXFIPT</t>
  </si>
  <si>
    <t>049081135942</t>
  </si>
  <si>
    <t>049081635947</t>
  </si>
  <si>
    <t>40049081135940</t>
  </si>
  <si>
    <t>439-210</t>
  </si>
  <si>
    <t>1-1/2X3/4 RED BUSHING MIPT X FIPT</t>
  </si>
  <si>
    <t>049081135928</t>
  </si>
  <si>
    <t>049081635923</t>
  </si>
  <si>
    <t>40049081135926</t>
  </si>
  <si>
    <t>439-211</t>
  </si>
  <si>
    <t>1-1/2X1 RED BUSHING MIPT X FIPT</t>
  </si>
  <si>
    <t>049081135904</t>
  </si>
  <si>
    <t>049081635909</t>
  </si>
  <si>
    <t>40049081135902</t>
  </si>
  <si>
    <t>439-212</t>
  </si>
  <si>
    <t>1-1/2X1-1/4 RED BUSHING MIPTXFIPT</t>
  </si>
  <si>
    <t>049081135881</t>
  </si>
  <si>
    <t>049081635886</t>
  </si>
  <si>
    <t>40049081135889</t>
  </si>
  <si>
    <t>439-251</t>
  </si>
  <si>
    <t>2X1-1/2 REDUCER BUSHING MIPTXFIPT</t>
  </si>
  <si>
    <t>049081135980</t>
  </si>
  <si>
    <t>049081635985</t>
  </si>
  <si>
    <t>40049081135988</t>
  </si>
  <si>
    <t>447-005</t>
  </si>
  <si>
    <t>1/2 CAP SLIP</t>
  </si>
  <si>
    <t>049081136789</t>
  </si>
  <si>
    <t>049081636784</t>
  </si>
  <si>
    <t>40049081136787</t>
  </si>
  <si>
    <t>447-007</t>
  </si>
  <si>
    <t>3/4 CAP SLIP</t>
  </si>
  <si>
    <t>049081136802</t>
  </si>
  <si>
    <t>049081636807</t>
  </si>
  <si>
    <t>40049081136800</t>
  </si>
  <si>
    <t>447-010</t>
  </si>
  <si>
    <t>1 CAP SLIP</t>
  </si>
  <si>
    <t>049081136826</t>
  </si>
  <si>
    <t>049081636821</t>
  </si>
  <si>
    <t>40049081136824</t>
  </si>
  <si>
    <t>447-012</t>
  </si>
  <si>
    <t>1-1/4 CAP SLIP</t>
  </si>
  <si>
    <t>049081136840</t>
  </si>
  <si>
    <t>049081636845</t>
  </si>
  <si>
    <t>40049081136848</t>
  </si>
  <si>
    <t>447-015</t>
  </si>
  <si>
    <t>1-1/2 CAP SLIP</t>
  </si>
  <si>
    <t>049081136864</t>
  </si>
  <si>
    <t>049081636869</t>
  </si>
  <si>
    <t>40049081136862</t>
  </si>
  <si>
    <t>447-020</t>
  </si>
  <si>
    <t>2 CAP SLIP</t>
  </si>
  <si>
    <t>049081136888</t>
  </si>
  <si>
    <t>049081636883</t>
  </si>
  <si>
    <t>40049081136886</t>
  </si>
  <si>
    <t>447-025</t>
  </si>
  <si>
    <t>2-1/2 CAP SLIP</t>
  </si>
  <si>
    <t>049081136901</t>
  </si>
  <si>
    <t>40049081136909</t>
  </si>
  <si>
    <t>447-030</t>
  </si>
  <si>
    <t>3 CAP SLIP</t>
  </si>
  <si>
    <t>049081136925</t>
  </si>
  <si>
    <t>40049081136923</t>
  </si>
  <si>
    <t>447-040</t>
  </si>
  <si>
    <t>4 CAP SLIP</t>
  </si>
  <si>
    <t>049081136949</t>
  </si>
  <si>
    <t>40049081136947</t>
  </si>
  <si>
    <t>447-050</t>
  </si>
  <si>
    <t>5 CAP SLIP</t>
  </si>
  <si>
    <t>049081136963</t>
  </si>
  <si>
    <t>40049081136961</t>
  </si>
  <si>
    <t>447-060</t>
  </si>
  <si>
    <t>6 CAP SLIP</t>
  </si>
  <si>
    <t>049081136987</t>
  </si>
  <si>
    <t>40049081136985</t>
  </si>
  <si>
    <t>447-080</t>
  </si>
  <si>
    <t>8 CAP SLIP</t>
  </si>
  <si>
    <t>049081137007</t>
  </si>
  <si>
    <t>40049081137005</t>
  </si>
  <si>
    <t>448-005</t>
  </si>
  <si>
    <t>1/2 CAP FIPT</t>
  </si>
  <si>
    <t>049081137168</t>
  </si>
  <si>
    <t>049081637163</t>
  </si>
  <si>
    <t>40049081137166</t>
  </si>
  <si>
    <t>448-007</t>
  </si>
  <si>
    <t>3/4 CAP FIPT</t>
  </si>
  <si>
    <t>049081137182</t>
  </si>
  <si>
    <t>049081637187</t>
  </si>
  <si>
    <t>40049081137180</t>
  </si>
  <si>
    <t>448-010</t>
  </si>
  <si>
    <t>1 CAP FIPT</t>
  </si>
  <si>
    <t>049081637200</t>
  </si>
  <si>
    <t>448-012</t>
  </si>
  <si>
    <t>1-1/4 CAP FIPT</t>
  </si>
  <si>
    <t>049081137229</t>
  </si>
  <si>
    <t>049081637224</t>
  </si>
  <si>
    <t>40049081137227</t>
  </si>
  <si>
    <t>448-015</t>
  </si>
  <si>
    <t>1-1/2 CAP FIPT</t>
  </si>
  <si>
    <t>049081137243</t>
  </si>
  <si>
    <t>049081637248</t>
  </si>
  <si>
    <t>40049081137241</t>
  </si>
  <si>
    <t>448-020</t>
  </si>
  <si>
    <t>2 CAP FIPT</t>
  </si>
  <si>
    <t>049081137267</t>
  </si>
  <si>
    <t>049081637262</t>
  </si>
  <si>
    <t>40049081137265</t>
  </si>
  <si>
    <t>448-025</t>
  </si>
  <si>
    <t>2-1/2 CAP FIPT</t>
  </si>
  <si>
    <t>049081137281</t>
  </si>
  <si>
    <t>40049081137289</t>
  </si>
  <si>
    <t>448-030</t>
  </si>
  <si>
    <t>3 CAP FIPT</t>
  </si>
  <si>
    <t>049081137304</t>
  </si>
  <si>
    <t>40049081137302</t>
  </si>
  <si>
    <t>448-040</t>
  </si>
  <si>
    <t>4 CAP FIPT</t>
  </si>
  <si>
    <t>049081137328</t>
  </si>
  <si>
    <t>40049081137326</t>
  </si>
  <si>
    <t>449-005</t>
  </si>
  <si>
    <t>1/2 SPIGOT PLUG</t>
  </si>
  <si>
    <t>049081142865</t>
  </si>
  <si>
    <t>049081642860</t>
  </si>
  <si>
    <t>40049081142863</t>
  </si>
  <si>
    <t>449-007</t>
  </si>
  <si>
    <t>3/4 SPIGOT PLUG</t>
  </si>
  <si>
    <t>049081142889</t>
  </si>
  <si>
    <t>049081642884</t>
  </si>
  <si>
    <t>40049081142887</t>
  </si>
  <si>
    <t>449-010</t>
  </si>
  <si>
    <t>1 SPIGOT PLUG</t>
  </si>
  <si>
    <t>049081142902</t>
  </si>
  <si>
    <t>049081642907</t>
  </si>
  <si>
    <t>40049081142900</t>
  </si>
  <si>
    <t>449-015</t>
  </si>
  <si>
    <t>1-1/2 SPIGOT PLUG</t>
  </si>
  <si>
    <t>049081142940</t>
  </si>
  <si>
    <t>049081642945</t>
  </si>
  <si>
    <t>40049081142948</t>
  </si>
  <si>
    <t>449-020</t>
  </si>
  <si>
    <t>2 SPIGOT PLUG</t>
  </si>
  <si>
    <t>049081142964</t>
  </si>
  <si>
    <t>049081642969</t>
  </si>
  <si>
    <t>40049081142962</t>
  </si>
  <si>
    <t>449-040</t>
  </si>
  <si>
    <t>4 SPIGOT PLUG</t>
  </si>
  <si>
    <t>049081143022</t>
  </si>
  <si>
    <t>40049081143020</t>
  </si>
  <si>
    <t>450-002</t>
  </si>
  <si>
    <t>1/4 PLUG MIPT</t>
  </si>
  <si>
    <t>049081143114</t>
  </si>
  <si>
    <t>049081643119</t>
  </si>
  <si>
    <t>40049081143112</t>
  </si>
  <si>
    <t>450-005</t>
  </si>
  <si>
    <t>1/2 PLUG MIPT</t>
  </si>
  <si>
    <t>049081143145</t>
  </si>
  <si>
    <t>049081643140</t>
  </si>
  <si>
    <t>40049081143143</t>
  </si>
  <si>
    <t>450-007</t>
  </si>
  <si>
    <t>3/4 PLUG MIPT</t>
  </si>
  <si>
    <t>049081143169</t>
  </si>
  <si>
    <t>049081643164</t>
  </si>
  <si>
    <t>40049081143167</t>
  </si>
  <si>
    <t>450-010</t>
  </si>
  <si>
    <t>1 PLUG MIPT</t>
  </si>
  <si>
    <t>049081143183</t>
  </si>
  <si>
    <t>049081643188</t>
  </si>
  <si>
    <t>40049081143181</t>
  </si>
  <si>
    <t>450-012</t>
  </si>
  <si>
    <t>1-1/4 PLUG MIPT</t>
  </si>
  <si>
    <t>049081143206</t>
  </si>
  <si>
    <t>049081643201</t>
  </si>
  <si>
    <t>40049081143204</t>
  </si>
  <si>
    <t>450-015</t>
  </si>
  <si>
    <t>1-1/2 PLUG MIPT</t>
  </si>
  <si>
    <t>049081643225</t>
  </si>
  <si>
    <t>40049081143228</t>
  </si>
  <si>
    <t>450-020</t>
  </si>
  <si>
    <t>2 PLUG MIPT</t>
  </si>
  <si>
    <t>049081143244</t>
  </si>
  <si>
    <t>049081643249</t>
  </si>
  <si>
    <t>40049081143242</t>
  </si>
  <si>
    <t>450-030</t>
  </si>
  <si>
    <t>3 PLUG MIPT</t>
  </si>
  <si>
    <t>049081143282</t>
  </si>
  <si>
    <t>049081643287</t>
  </si>
  <si>
    <t>40049081143280</t>
  </si>
  <si>
    <t>457-005</t>
  </si>
  <si>
    <t>1/2 UNION SLIP X SLIP</t>
  </si>
  <si>
    <t>049081149642</t>
  </si>
  <si>
    <t>40049081149640</t>
  </si>
  <si>
    <t>457-007</t>
  </si>
  <si>
    <t>3/4 UNION SLIP X SLIP</t>
  </si>
  <si>
    <t>049081149666</t>
  </si>
  <si>
    <t>40049081149664</t>
  </si>
  <si>
    <t>457-010</t>
  </si>
  <si>
    <t>1 UNION SLIP X SLIP</t>
  </si>
  <si>
    <t>049081149680</t>
  </si>
  <si>
    <t>40049081149688</t>
  </si>
  <si>
    <t>457-012</t>
  </si>
  <si>
    <t>1-1/4 UNION SLIP X SLIP</t>
  </si>
  <si>
    <t>049081149703</t>
  </si>
  <si>
    <t>40049081149701</t>
  </si>
  <si>
    <t>457-015</t>
  </si>
  <si>
    <t>1-1/2 UNION SLIP X SLIP</t>
  </si>
  <si>
    <t>049081149727</t>
  </si>
  <si>
    <t>40049081149725</t>
  </si>
  <si>
    <t>457-020</t>
  </si>
  <si>
    <t>2 UNION SLIP X SLIP</t>
  </si>
  <si>
    <t>049081149741</t>
  </si>
  <si>
    <t>40049081149749</t>
  </si>
  <si>
    <t>457-025</t>
  </si>
  <si>
    <t>2-1/2 UNION SLIP X SLIP</t>
  </si>
  <si>
    <t>049081149758</t>
  </si>
  <si>
    <t>40049081149756</t>
  </si>
  <si>
    <t>457-030</t>
  </si>
  <si>
    <t>3 UNION SLIP X SLIP</t>
  </si>
  <si>
    <t>049081149765</t>
  </si>
  <si>
    <t>40049081149763</t>
  </si>
  <si>
    <t>457-040</t>
  </si>
  <si>
    <t>4 UNION SLIP X SLIP</t>
  </si>
  <si>
    <t>049081149772</t>
  </si>
  <si>
    <t>40049081149770</t>
  </si>
  <si>
    <t>458-005</t>
  </si>
  <si>
    <t>1/2 UNION FIPT X FIPT</t>
  </si>
  <si>
    <t>049081149840</t>
  </si>
  <si>
    <t>40049081149848</t>
  </si>
  <si>
    <t>458-007</t>
  </si>
  <si>
    <t>3/4 UNION FIPT X FIPT</t>
  </si>
  <si>
    <t>049081149864</t>
  </si>
  <si>
    <t>40049081149862</t>
  </si>
  <si>
    <t>458-010</t>
  </si>
  <si>
    <t>1 UNION FIPT X FIPT</t>
  </si>
  <si>
    <t>049081149888</t>
  </si>
  <si>
    <t>40049081149886</t>
  </si>
  <si>
    <t>458-012</t>
  </si>
  <si>
    <t>1-1/4 UNION FIPT X FIPT</t>
  </si>
  <si>
    <t>049081149901</t>
  </si>
  <si>
    <t>40049081149909</t>
  </si>
  <si>
    <t>458-015</t>
  </si>
  <si>
    <t>1-1/2 UNION FIPT X FIPT</t>
  </si>
  <si>
    <t>049081149925</t>
  </si>
  <si>
    <t>40049081149923</t>
  </si>
  <si>
    <t>458-020</t>
  </si>
  <si>
    <t>2 UNION FIPT X FIPT</t>
  </si>
  <si>
    <t>049081149949</t>
  </si>
  <si>
    <t>40049081149947</t>
  </si>
  <si>
    <t>458-030</t>
  </si>
  <si>
    <t>3 UNION FIPT X FIPT</t>
  </si>
  <si>
    <t>049081194949</t>
  </si>
  <si>
    <t>40049081194947</t>
  </si>
  <si>
    <t>459-015</t>
  </si>
  <si>
    <t>1-1/2 UNION SLIP X FIPT</t>
  </si>
  <si>
    <t>049081140205</t>
  </si>
  <si>
    <t>40049081140203</t>
  </si>
  <si>
    <t>459-020</t>
  </si>
  <si>
    <t>2 UNION SLIP X FIPT</t>
  </si>
  <si>
    <t>049081140212</t>
  </si>
  <si>
    <t>40049081140210</t>
  </si>
  <si>
    <t>463-007</t>
  </si>
  <si>
    <t>3/4 SNAP TEE SNAPXSLIP</t>
  </si>
  <si>
    <t>049081143367</t>
  </si>
  <si>
    <t>049081643362</t>
  </si>
  <si>
    <t>40049081143365</t>
  </si>
  <si>
    <t>463-010</t>
  </si>
  <si>
    <t>1 SNAP TEE SNAPXSLIP</t>
  </si>
  <si>
    <t>049081143374</t>
  </si>
  <si>
    <t>40049081143372</t>
  </si>
  <si>
    <t>463-015</t>
  </si>
  <si>
    <t>1-1/2 SNAP TEE SNAPXSLIP</t>
  </si>
  <si>
    <t>049081143398</t>
  </si>
  <si>
    <t>40049081143396</t>
  </si>
  <si>
    <t>463-030</t>
  </si>
  <si>
    <t>3 SNAP TEE SNAPXSLIP</t>
  </si>
  <si>
    <t>049081143497</t>
  </si>
  <si>
    <t>40049081143495</t>
  </si>
  <si>
    <t>463-040</t>
  </si>
  <si>
    <t>4 SNAP TEE SNAPXSLIP</t>
  </si>
  <si>
    <t>049081143534</t>
  </si>
  <si>
    <t>40049081143532</t>
  </si>
  <si>
    <t>463-130</t>
  </si>
  <si>
    <t>1X1/2 SNAP TEE SNAPXSLIP</t>
  </si>
  <si>
    <t>049081143459</t>
  </si>
  <si>
    <t>40049081143457</t>
  </si>
  <si>
    <t>464-101</t>
  </si>
  <si>
    <t>3/4X1/2 SNAP TEE SNAP X FIPT</t>
  </si>
  <si>
    <t>049081143817</t>
  </si>
  <si>
    <t>40049081143815</t>
  </si>
  <si>
    <t>464-130</t>
  </si>
  <si>
    <t>1X1/2 SNAP TEE SNAP X FIPT</t>
  </si>
  <si>
    <t>049081143824</t>
  </si>
  <si>
    <t>40049081143822</t>
  </si>
  <si>
    <t>474-015</t>
  </si>
  <si>
    <t>1-1/2 INSERT FITG ADAPTER INSXSLIP</t>
  </si>
  <si>
    <t>049081130961</t>
  </si>
  <si>
    <t>049081630966</t>
  </si>
  <si>
    <t>40049081130969</t>
  </si>
  <si>
    <t>474-020</t>
  </si>
  <si>
    <t>2 INSERT FITTING ADAPTER INSXSLIP</t>
  </si>
  <si>
    <t>049081130954</t>
  </si>
  <si>
    <t>049081630959</t>
  </si>
  <si>
    <t>40049081130952</t>
  </si>
  <si>
    <t>475-010</t>
  </si>
  <si>
    <t>1 MANIFOLD TEE SLIPXSPGXMIPT</t>
  </si>
  <si>
    <t>049081145088</t>
  </si>
  <si>
    <t>049081645083</t>
  </si>
  <si>
    <t>40049081145086</t>
  </si>
  <si>
    <t>475-131</t>
  </si>
  <si>
    <t>1X1X3/4 MANIFOLD TEE SLIPXSPGXMIPT</t>
  </si>
  <si>
    <t>049081145101</t>
  </si>
  <si>
    <t>049081645106</t>
  </si>
  <si>
    <t>40049081145109</t>
  </si>
  <si>
    <t>476-010</t>
  </si>
  <si>
    <t>1 MANIFOLD TEE SLIPXSPGXFIPT</t>
  </si>
  <si>
    <t>049081356576</t>
  </si>
  <si>
    <t>049081756574</t>
  </si>
  <si>
    <t>40049081356574</t>
  </si>
  <si>
    <t>477-020</t>
  </si>
  <si>
    <t>2 WYE SLIP X SLIP X SLIP</t>
  </si>
  <si>
    <t>049081350468</t>
  </si>
  <si>
    <t>40049081350466</t>
  </si>
  <si>
    <t>477-040</t>
  </si>
  <si>
    <t>4 WYE SLIP X SLIP X SLIP</t>
  </si>
  <si>
    <t>049081350499</t>
  </si>
  <si>
    <t>40049081350497</t>
  </si>
  <si>
    <t>477-060</t>
  </si>
  <si>
    <t>6 WYE SLIP X SLIP X SLIP</t>
  </si>
  <si>
    <t>049081350505</t>
  </si>
  <si>
    <t>40049081350503</t>
  </si>
  <si>
    <t>478-007</t>
  </si>
  <si>
    <t>3/4 FEM FITTING ADAPTER SPG X FIPT</t>
  </si>
  <si>
    <t>049081132804</t>
  </si>
  <si>
    <t>049081632809</t>
  </si>
  <si>
    <t>40049081132802</t>
  </si>
  <si>
    <t>478-010</t>
  </si>
  <si>
    <t>1 FEMALE FITTING ADAPTER SPG X FIPT</t>
  </si>
  <si>
    <t>049081132828</t>
  </si>
  <si>
    <t>049081632823</t>
  </si>
  <si>
    <t>40049081132826</t>
  </si>
  <si>
    <t>478-020</t>
  </si>
  <si>
    <t>2 FEMALE FITTING ADAPTER SPG X FIPT</t>
  </si>
  <si>
    <t>049081132866</t>
  </si>
  <si>
    <t>40049081132864</t>
  </si>
  <si>
    <t>478-040</t>
  </si>
  <si>
    <t>4 FEMALE FITTING ADAPTER SPG X FIPT</t>
  </si>
  <si>
    <t>049081132880</t>
  </si>
  <si>
    <t>40049081132888</t>
  </si>
  <si>
    <t>479-020</t>
  </si>
  <si>
    <t>2 EXTRA DEEP COUPLING SLIP X SLIP</t>
  </si>
  <si>
    <t>049081138400</t>
  </si>
  <si>
    <t>40049081138408</t>
  </si>
  <si>
    <t>479-030</t>
  </si>
  <si>
    <t>3 EXTRA DEEP COUPLING SLIP X SLIP</t>
  </si>
  <si>
    <t>049081138448</t>
  </si>
  <si>
    <t>40049081138446</t>
  </si>
  <si>
    <t>479-040</t>
  </si>
  <si>
    <t>4 EXTRA DEEP COUPLING SLIP X SLIP</t>
  </si>
  <si>
    <t>049081138462</t>
  </si>
  <si>
    <t>40049081138460</t>
  </si>
  <si>
    <t>488-007</t>
  </si>
  <si>
    <t xml:space="preserve">3/4 RUNNING TRAP </t>
  </si>
  <si>
    <t>489-007</t>
  </si>
  <si>
    <t xml:space="preserve">3/4 P TRAP </t>
  </si>
  <si>
    <t>810116843497</t>
  </si>
  <si>
    <t>401-100</t>
  </si>
  <si>
    <t>10 TEE SLIP X SLIP X SLIP</t>
  </si>
  <si>
    <t>049081147280</t>
  </si>
  <si>
    <t>40049081147288</t>
  </si>
  <si>
    <t>401-120</t>
  </si>
  <si>
    <t>12 TEE SLIP X SLIP X SLIP</t>
  </si>
  <si>
    <t>049081147303</t>
  </si>
  <si>
    <t>40049081147301</t>
  </si>
  <si>
    <t>406-100</t>
  </si>
  <si>
    <t>10 90 ELL SLIP X SLIP</t>
  </si>
  <si>
    <t>049081141080</t>
  </si>
  <si>
    <t>40049081141088</t>
  </si>
  <si>
    <t>406-120</t>
  </si>
  <si>
    <t>12 90 ELL SLIP X SLIP</t>
  </si>
  <si>
    <t>049081141103</t>
  </si>
  <si>
    <t>40049081141101</t>
  </si>
  <si>
    <t>417-100</t>
  </si>
  <si>
    <t>10 45 ELL SLIP X SLIP</t>
  </si>
  <si>
    <t>049081140465</t>
  </si>
  <si>
    <t>40049081140463</t>
  </si>
  <si>
    <t>417-120</t>
  </si>
  <si>
    <t>12 45 ELL SLIP X SLIP</t>
  </si>
  <si>
    <t>049081140489</t>
  </si>
  <si>
    <t>40049081140487</t>
  </si>
  <si>
    <t>429-100</t>
  </si>
  <si>
    <t>10 COUPLING SLIP X SLIP</t>
  </si>
  <si>
    <t>049081137823</t>
  </si>
  <si>
    <t>40049081137821</t>
  </si>
  <si>
    <t>437-626</t>
  </si>
  <si>
    <t>10X6 REDUCER BUSHING SPGX SLIP</t>
  </si>
  <si>
    <t>049081134044</t>
  </si>
  <si>
    <t>40049081134042</t>
  </si>
  <si>
    <t>437-628</t>
  </si>
  <si>
    <t>10X8 REDUCER BUSHING SPGX SLIP</t>
  </si>
  <si>
    <t>049081134020</t>
  </si>
  <si>
    <t>40049081134028</t>
  </si>
  <si>
    <t>437-666</t>
  </si>
  <si>
    <t>12X6 REDUCER BUSHING SPGX SLIP</t>
  </si>
  <si>
    <t>049081134105</t>
  </si>
  <si>
    <t>40049081134103</t>
  </si>
  <si>
    <t>437-668</t>
  </si>
  <si>
    <t>12X8 REDUCER BUSHING SPGX SLIP</t>
  </si>
  <si>
    <t>049081134082</t>
  </si>
  <si>
    <t>40049081134080</t>
  </si>
  <si>
    <t>437-670</t>
  </si>
  <si>
    <t>12X10 REDUCER BUSHING SPGX SLIP</t>
  </si>
  <si>
    <t>049081134068</t>
  </si>
  <si>
    <t>40049081134066</t>
  </si>
  <si>
    <t>447-100</t>
  </si>
  <si>
    <t>10 CAP SLIP</t>
  </si>
  <si>
    <t>049081137021</t>
  </si>
  <si>
    <t>40049081137029</t>
  </si>
  <si>
    <t>447-120</t>
  </si>
  <si>
    <t>12 CAP SLIP</t>
  </si>
  <si>
    <t>049081137045</t>
  </si>
  <si>
    <t>40049081137043</t>
  </si>
  <si>
    <t>406-015SW</t>
  </si>
  <si>
    <t>1-1/2 SLIP X SLIP POOL SWP ELL</t>
  </si>
  <si>
    <t>049081140847</t>
  </si>
  <si>
    <t>40049081140845</t>
  </si>
  <si>
    <t>406-020SW</t>
  </si>
  <si>
    <t>2 SLIP X SLIP POOL SWP ELL</t>
  </si>
  <si>
    <t>049081142285</t>
  </si>
  <si>
    <t>40049081142283</t>
  </si>
  <si>
    <t>409-015SW</t>
  </si>
  <si>
    <t>1-1/2 SLIP X SPGT POOL SWP ELL</t>
  </si>
  <si>
    <t>049081140939</t>
  </si>
  <si>
    <t>40049081140937</t>
  </si>
  <si>
    <t>409-020SW</t>
  </si>
  <si>
    <t>2 SLIP X SPGT POOL SWP ELL</t>
  </si>
  <si>
    <t>049081142292</t>
  </si>
  <si>
    <t>40049081142290</t>
  </si>
  <si>
    <t>PX-010</t>
  </si>
  <si>
    <t>1 PIPE EXTENDER (SPG X PIPE ID)</t>
  </si>
  <si>
    <t>049081005108</t>
  </si>
  <si>
    <t>049081005306</t>
  </si>
  <si>
    <t>40049081005106</t>
  </si>
  <si>
    <t>PX-015</t>
  </si>
  <si>
    <t>1-1/2 PIPE EXTENDER (SPG X PIPE ID)</t>
  </si>
  <si>
    <t>049081149802</t>
  </si>
  <si>
    <t>049081649807</t>
  </si>
  <si>
    <t>40049081149800</t>
  </si>
  <si>
    <t>PX-020</t>
  </si>
  <si>
    <t>2 PIPE EXTENDER (SPG X PIPE ID)</t>
  </si>
  <si>
    <t>049081149819</t>
  </si>
  <si>
    <t>049081649814</t>
  </si>
  <si>
    <t>40049081149817</t>
  </si>
  <si>
    <t>801-002</t>
  </si>
  <si>
    <t>1/4 TEE SXSXS SCH80</t>
  </si>
  <si>
    <t>049081166069</t>
  </si>
  <si>
    <t>049081666064</t>
  </si>
  <si>
    <t>40049081166067</t>
  </si>
  <si>
    <t>801-003</t>
  </si>
  <si>
    <t>3/8 TEE SXSXS SCH80</t>
  </si>
  <si>
    <t>049081166083</t>
  </si>
  <si>
    <t>049081666088</t>
  </si>
  <si>
    <t>40049081166081</t>
  </si>
  <si>
    <t>801-005</t>
  </si>
  <si>
    <t>1/2 TEE SXSXS SCH80</t>
  </si>
  <si>
    <t>049081166120</t>
  </si>
  <si>
    <t>049081666125</t>
  </si>
  <si>
    <t>40049081166128</t>
  </si>
  <si>
    <t>801-007</t>
  </si>
  <si>
    <t>3/4 TEE SXSXS SCH80</t>
  </si>
  <si>
    <t>049081166182</t>
  </si>
  <si>
    <t>049081666187</t>
  </si>
  <si>
    <t>40049081166180</t>
  </si>
  <si>
    <t>801-010</t>
  </si>
  <si>
    <t>1 TEE SXSXS SCH80</t>
  </si>
  <si>
    <t>049081166281</t>
  </si>
  <si>
    <t>049081666286</t>
  </si>
  <si>
    <t>40049081166289</t>
  </si>
  <si>
    <t>801-012</t>
  </si>
  <si>
    <t>1-1/4 TEE SXSXS SCH80</t>
  </si>
  <si>
    <t>049081166502</t>
  </si>
  <si>
    <t>049081666507</t>
  </si>
  <si>
    <t>40049081166500</t>
  </si>
  <si>
    <t>801-015</t>
  </si>
  <si>
    <t>1-1/2 TEE SXSXS SCH80</t>
  </si>
  <si>
    <t>049081166762</t>
  </si>
  <si>
    <t>049081666767</t>
  </si>
  <si>
    <t>40049081166760</t>
  </si>
  <si>
    <t>801-020</t>
  </si>
  <si>
    <t>2 TEE SXSXS SCH80</t>
  </si>
  <si>
    <t>049081167141</t>
  </si>
  <si>
    <t>40049081167149</t>
  </si>
  <si>
    <t>801-025</t>
  </si>
  <si>
    <t>2-1/2 TEE SXSXS SCH80</t>
  </si>
  <si>
    <t>049081167462</t>
  </si>
  <si>
    <t>40049081167460</t>
  </si>
  <si>
    <t>801-030</t>
  </si>
  <si>
    <t>3 TEE SXSXS SCH80</t>
  </si>
  <si>
    <t>049081167608</t>
  </si>
  <si>
    <t>40049081167606</t>
  </si>
  <si>
    <t>801-040</t>
  </si>
  <si>
    <t>4 TEE SXSXS SCH80</t>
  </si>
  <si>
    <t>049081167769</t>
  </si>
  <si>
    <t>40049081167767</t>
  </si>
  <si>
    <t>801-060</t>
  </si>
  <si>
    <t>6 TEE SXSXS SCH80</t>
  </si>
  <si>
    <t>049081168001</t>
  </si>
  <si>
    <t>40049081168009</t>
  </si>
  <si>
    <t>801-080</t>
  </si>
  <si>
    <t>8 TEE SXSXS SCH80</t>
  </si>
  <si>
    <t>049081168087</t>
  </si>
  <si>
    <t>40049081168085</t>
  </si>
  <si>
    <t>805-002</t>
  </si>
  <si>
    <t>1/4 TEE FIPTXFIPTXFIPT SCH80</t>
  </si>
  <si>
    <t>049081170264</t>
  </si>
  <si>
    <t>049081670269</t>
  </si>
  <si>
    <t>40049081170262</t>
  </si>
  <si>
    <t>805-003</t>
  </si>
  <si>
    <t>3/8 TEE FIPTXFIPTXFIPT SCH80</t>
  </si>
  <si>
    <t>049081170288</t>
  </si>
  <si>
    <t>049081670283</t>
  </si>
  <si>
    <t>40049081170286</t>
  </si>
  <si>
    <t>805-005</t>
  </si>
  <si>
    <t>1/2 TEE FIPTXFIPTXFIPT SCH80</t>
  </si>
  <si>
    <t>049081170301</t>
  </si>
  <si>
    <t>049081670306</t>
  </si>
  <si>
    <t>40049081170309</t>
  </si>
  <si>
    <t>805-007</t>
  </si>
  <si>
    <t>3/4 TEE FIPTXFIPTXFIPT SCH80</t>
  </si>
  <si>
    <t>049081170325</t>
  </si>
  <si>
    <t>049081670320</t>
  </si>
  <si>
    <t>40049081170323</t>
  </si>
  <si>
    <t>805-010</t>
  </si>
  <si>
    <t>1 TEE FIPTXFIPTXFIPT SCH80</t>
  </si>
  <si>
    <t>049081170349</t>
  </si>
  <si>
    <t>049081670344</t>
  </si>
  <si>
    <t>40049081170347</t>
  </si>
  <si>
    <t>805-025</t>
  </si>
  <si>
    <t>2-1/2 TEE FIPTXFIPTXFIPT SCH80</t>
  </si>
  <si>
    <t>049081170424</t>
  </si>
  <si>
    <t>40049081170422</t>
  </si>
  <si>
    <t>806-005</t>
  </si>
  <si>
    <t>1/2 ELBOW 90 SXS SCH80</t>
  </si>
  <si>
    <t>049081162702</t>
  </si>
  <si>
    <t>049081662707</t>
  </si>
  <si>
    <t>40049081162700</t>
  </si>
  <si>
    <t>806-007</t>
  </si>
  <si>
    <t>3/4 ELBOW 90 SXS SCH80</t>
  </si>
  <si>
    <t>049081162726</t>
  </si>
  <si>
    <t>049081662721</t>
  </si>
  <si>
    <t>40049081162724</t>
  </si>
  <si>
    <t>806-010</t>
  </si>
  <si>
    <t>1 ELBOW 90 SXS SCH80</t>
  </si>
  <si>
    <t>049081162764</t>
  </si>
  <si>
    <t>049081662769</t>
  </si>
  <si>
    <t>40049081162762</t>
  </si>
  <si>
    <t>806-012</t>
  </si>
  <si>
    <t>1-1/4 ELBOW 90 SXS SCH80</t>
  </si>
  <si>
    <t>049081162825</t>
  </si>
  <si>
    <t>049081662820</t>
  </si>
  <si>
    <t>40049081162823</t>
  </si>
  <si>
    <t>806-015</t>
  </si>
  <si>
    <t>1-1/2 ELBOW 90 SXS SCH80</t>
  </si>
  <si>
    <t>049081162900</t>
  </si>
  <si>
    <t>049081662905</t>
  </si>
  <si>
    <t>40049081162908</t>
  </si>
  <si>
    <t>806-020</t>
  </si>
  <si>
    <t>2 ELBOW 90 SXS SCH80</t>
  </si>
  <si>
    <t>049081162986</t>
  </si>
  <si>
    <t>049081662981</t>
  </si>
  <si>
    <t>40049081162984</t>
  </si>
  <si>
    <t>806-030</t>
  </si>
  <si>
    <t>3 ELBOW 90 SXS SCH80</t>
  </si>
  <si>
    <t>049081163068</t>
  </si>
  <si>
    <t>40049081163066</t>
  </si>
  <si>
    <t>806-040</t>
  </si>
  <si>
    <t>4 ELBOW 90 SXS SCH80</t>
  </si>
  <si>
    <t>049081163082</t>
  </si>
  <si>
    <t>40049081163080</t>
  </si>
  <si>
    <t>806-080</t>
  </si>
  <si>
    <t>8 ELBOW 90 SXS SCH80</t>
  </si>
  <si>
    <t>049081163143</t>
  </si>
  <si>
    <t>40049081163141</t>
  </si>
  <si>
    <t>807-007</t>
  </si>
  <si>
    <t>3/4 ELBOW 90 SXFIPT SCH80</t>
  </si>
  <si>
    <t>049081163303</t>
  </si>
  <si>
    <t>049081663308</t>
  </si>
  <si>
    <t>40049081163301</t>
  </si>
  <si>
    <t>807-010</t>
  </si>
  <si>
    <t>1 ELBOW 90 SXFIPT SCH80</t>
  </si>
  <si>
    <t>049081163327</t>
  </si>
  <si>
    <t>049081663322</t>
  </si>
  <si>
    <t>40049081163325</t>
  </si>
  <si>
    <t>807-020</t>
  </si>
  <si>
    <t>2 ELBOW 90 SXFIPT SCH80</t>
  </si>
  <si>
    <t>049081163389</t>
  </si>
  <si>
    <t>049081663384</t>
  </si>
  <si>
    <t>40049081163387</t>
  </si>
  <si>
    <t>808-002</t>
  </si>
  <si>
    <t>1/4 ELBOW 90 FIPTXFIPT SCH80</t>
  </si>
  <si>
    <t>049081163501</t>
  </si>
  <si>
    <t>049081663506</t>
  </si>
  <si>
    <t>40049081163509</t>
  </si>
  <si>
    <t>808-003</t>
  </si>
  <si>
    <t>3/8 ELBOW 90 FIPTXFIPT SCH80</t>
  </si>
  <si>
    <t>049081163525</t>
  </si>
  <si>
    <t>049081663520</t>
  </si>
  <si>
    <t>40049081163523</t>
  </si>
  <si>
    <t>808-005</t>
  </si>
  <si>
    <t>1/2 ELBOW 90 FIPTXFIPT SCH80</t>
  </si>
  <si>
    <t>049081163549</t>
  </si>
  <si>
    <t>049081663544</t>
  </si>
  <si>
    <t>40049081163547</t>
  </si>
  <si>
    <t>808-007</t>
  </si>
  <si>
    <t>3/4 ELBOW 90 FIPTXFIPT SCH80</t>
  </si>
  <si>
    <t>049081163563</t>
  </si>
  <si>
    <t>049081663568</t>
  </si>
  <si>
    <t>40049081163561</t>
  </si>
  <si>
    <t>808-010</t>
  </si>
  <si>
    <t>1 ELBOW 90 FIPTXFIPT SCH80</t>
  </si>
  <si>
    <t>049081163587</t>
  </si>
  <si>
    <t>049081663582</t>
  </si>
  <si>
    <t>40049081163585</t>
  </si>
  <si>
    <t>808-012</t>
  </si>
  <si>
    <t>1-1/4 ELBOW 90 FIPTXFIPT SCH80</t>
  </si>
  <si>
    <t>049081163600</t>
  </si>
  <si>
    <t>049081663605</t>
  </si>
  <si>
    <t>40049081163608</t>
  </si>
  <si>
    <t>808-015</t>
  </si>
  <si>
    <t>1-1/2 ELBOW 90 FIPTXFIPT SCH80</t>
  </si>
  <si>
    <t>049081163624</t>
  </si>
  <si>
    <t>049081663629</t>
  </si>
  <si>
    <t>40049081163622</t>
  </si>
  <si>
    <t>808-020</t>
  </si>
  <si>
    <t>2 ELBOW 90 FIPTXFIPT SCH80</t>
  </si>
  <si>
    <t>049081163648</t>
  </si>
  <si>
    <t>049081663643</t>
  </si>
  <si>
    <t>40049081163646</t>
  </si>
  <si>
    <t>810-010</t>
  </si>
  <si>
    <t>1 ELBOW 90 STREET MIPTXS SCH80</t>
  </si>
  <si>
    <t>049081161781</t>
  </si>
  <si>
    <t>049081661786</t>
  </si>
  <si>
    <t>40049081161789</t>
  </si>
  <si>
    <t>810-015</t>
  </si>
  <si>
    <t>1-1/2 ELBOW 90 STREET MIPTXS SCH80</t>
  </si>
  <si>
    <t>049081161804</t>
  </si>
  <si>
    <t>049081661809</t>
  </si>
  <si>
    <t>40049081161802</t>
  </si>
  <si>
    <t>812-010</t>
  </si>
  <si>
    <t>1 ELBOW 90 ST MIPTXFIPT SCH80</t>
  </si>
  <si>
    <t>049081162566</t>
  </si>
  <si>
    <t>049081662561</t>
  </si>
  <si>
    <t>40049081162564</t>
  </si>
  <si>
    <t>817-002</t>
  </si>
  <si>
    <t>1/4 ELBOW 45 SXS SCH80</t>
  </si>
  <si>
    <t>049081161842</t>
  </si>
  <si>
    <t>40049081161840</t>
  </si>
  <si>
    <t>817-003</t>
  </si>
  <si>
    <t>3/8 ELBOW 45 SXS SCH80</t>
  </si>
  <si>
    <t>049081161866</t>
  </si>
  <si>
    <t>40049081161864</t>
  </si>
  <si>
    <t>817-005</t>
  </si>
  <si>
    <t>1/2 ELBOW 45 SXS SCH80</t>
  </si>
  <si>
    <t>049081161880</t>
  </si>
  <si>
    <t>049081661885</t>
  </si>
  <si>
    <t>40049081161888</t>
  </si>
  <si>
    <t>817-007</t>
  </si>
  <si>
    <t>3/4 ELBOW 45 SXS SCH80</t>
  </si>
  <si>
    <t>049081161903</t>
  </si>
  <si>
    <t>049081661908</t>
  </si>
  <si>
    <t>40049081161901</t>
  </si>
  <si>
    <t>817-010</t>
  </si>
  <si>
    <t>1 ELBOW 45 SXS SCH80</t>
  </si>
  <si>
    <t>049081161927</t>
  </si>
  <si>
    <t>049081661922</t>
  </si>
  <si>
    <t>40049081161925</t>
  </si>
  <si>
    <t>817-012</t>
  </si>
  <si>
    <t>1-1/4 ELBOW 45 SXS SCH80</t>
  </si>
  <si>
    <t>049081161941</t>
  </si>
  <si>
    <t>049081661946</t>
  </si>
  <si>
    <t>40049081161949</t>
  </si>
  <si>
    <t>817-015</t>
  </si>
  <si>
    <t>1-1/2 ELBOW 45 SXS SCH80</t>
  </si>
  <si>
    <t>049081161965</t>
  </si>
  <si>
    <t>049081661960</t>
  </si>
  <si>
    <t>40049081161963</t>
  </si>
  <si>
    <t>817-020</t>
  </si>
  <si>
    <t>2 ELBOW 45 SXS SCH80</t>
  </si>
  <si>
    <t>049081161989</t>
  </si>
  <si>
    <t>049081661984</t>
  </si>
  <si>
    <t>40049081161987</t>
  </si>
  <si>
    <t>817-025</t>
  </si>
  <si>
    <t>2-1/2 ELBOW 45 SXS SCH80</t>
  </si>
  <si>
    <t>049081162009</t>
  </si>
  <si>
    <t>40049081162007</t>
  </si>
  <si>
    <t>817-030</t>
  </si>
  <si>
    <t>3 ELBOW 45 SXS SCH80</t>
  </si>
  <si>
    <t>049081162023</t>
  </si>
  <si>
    <t>40049081162021</t>
  </si>
  <si>
    <t>817-040</t>
  </si>
  <si>
    <t>4 ELBOW 45 SXS SCH80</t>
  </si>
  <si>
    <t>049081162047</t>
  </si>
  <si>
    <t>40049081162045</t>
  </si>
  <si>
    <t>817-060</t>
  </si>
  <si>
    <t>6 ELBOW 45 SXS SCH80</t>
  </si>
  <si>
    <t>049081162085</t>
  </si>
  <si>
    <t>40049081162083</t>
  </si>
  <si>
    <t>817-080</t>
  </si>
  <si>
    <t>8 ELBOW 45 SXS SCH80</t>
  </si>
  <si>
    <t>049081162108</t>
  </si>
  <si>
    <t>40049081162106</t>
  </si>
  <si>
    <t>819-012</t>
  </si>
  <si>
    <t>1-1/4 ELBOW 45 FIPTXFIPT SCH80</t>
  </si>
  <si>
    <t>049081162344</t>
  </si>
  <si>
    <t>40049081162342</t>
  </si>
  <si>
    <t>819-020</t>
  </si>
  <si>
    <t>2 ELBOW 45 FIPTXFIPT SCH80</t>
  </si>
  <si>
    <t>049081162382</t>
  </si>
  <si>
    <t>40049081162380</t>
  </si>
  <si>
    <t>819-030</t>
  </si>
  <si>
    <t>3 ELBOW 45 FIPTXFIPT SCH80</t>
  </si>
  <si>
    <t>049081162429</t>
  </si>
  <si>
    <t>40049081162427</t>
  </si>
  <si>
    <t>819-040</t>
  </si>
  <si>
    <t>4 ELBOW 45 FIPTXFIPT SCH80</t>
  </si>
  <si>
    <t>049081162443</t>
  </si>
  <si>
    <t>40049081162441</t>
  </si>
  <si>
    <t>829-002</t>
  </si>
  <si>
    <t>1/4 COUPLING SXS SCH80</t>
  </si>
  <si>
    <t>049081160609</t>
  </si>
  <si>
    <t>40049081160607</t>
  </si>
  <si>
    <t>829-003</t>
  </si>
  <si>
    <t>3/8 COUPLING SXS SCH80</t>
  </si>
  <si>
    <t>049081160623</t>
  </si>
  <si>
    <t>40049081160621</t>
  </si>
  <si>
    <t>829-005</t>
  </si>
  <si>
    <t>1/2 COUPLING SXS SCH80</t>
  </si>
  <si>
    <t>049081160647</t>
  </si>
  <si>
    <t>049081660642</t>
  </si>
  <si>
    <t>40049081160645</t>
  </si>
  <si>
    <t>829-007</t>
  </si>
  <si>
    <t>3/4 COUPLING SXS SCH80</t>
  </si>
  <si>
    <t>049081160661</t>
  </si>
  <si>
    <t>049081660666</t>
  </si>
  <si>
    <t>40049081160669</t>
  </si>
  <si>
    <t>829-010</t>
  </si>
  <si>
    <t>1 COUPLING SXS SCH80</t>
  </si>
  <si>
    <t>049081160708</t>
  </si>
  <si>
    <t>049081660703</t>
  </si>
  <si>
    <t>40049081160706</t>
  </si>
  <si>
    <t>829-012</t>
  </si>
  <si>
    <t>1-1/4 COUPLING SXS SCH80</t>
  </si>
  <si>
    <t>049081160746</t>
  </si>
  <si>
    <t>049081660741</t>
  </si>
  <si>
    <t>40049081160744</t>
  </si>
  <si>
    <t>829-015</t>
  </si>
  <si>
    <t>1-1/2 COUPLING SXS SCH80</t>
  </si>
  <si>
    <t>049081160784</t>
  </si>
  <si>
    <t>049081660789</t>
  </si>
  <si>
    <t>40049081160782</t>
  </si>
  <si>
    <t>829-020</t>
  </si>
  <si>
    <t>2 COUPLING SXS SCH80</t>
  </si>
  <si>
    <t>049081160821</t>
  </si>
  <si>
    <t>049081660826</t>
  </si>
  <si>
    <t>40049081160829</t>
  </si>
  <si>
    <t>829-025</t>
  </si>
  <si>
    <t>2-1/2 COUPLING SXS SCH80</t>
  </si>
  <si>
    <t>049081160869</t>
  </si>
  <si>
    <t>049081660864</t>
  </si>
  <si>
    <t>40049081160867</t>
  </si>
  <si>
    <t>829-030</t>
  </si>
  <si>
    <t>3 COUPLING SXS SCH80</t>
  </si>
  <si>
    <t>049081160883</t>
  </si>
  <si>
    <t>40049081160881</t>
  </si>
  <si>
    <t>829-040</t>
  </si>
  <si>
    <t>4 COUPLING SXS SCH80</t>
  </si>
  <si>
    <t>049081160906</t>
  </si>
  <si>
    <t>40049081160904</t>
  </si>
  <si>
    <t>829-060</t>
  </si>
  <si>
    <t>6 COUPLING SXS SCH80</t>
  </si>
  <si>
    <t>049081160944</t>
  </si>
  <si>
    <t>40049081160942</t>
  </si>
  <si>
    <t>829-080</t>
  </si>
  <si>
    <t>8 COUPLING SXS SCH80</t>
  </si>
  <si>
    <t>049081160968</t>
  </si>
  <si>
    <t>40049081160966</t>
  </si>
  <si>
    <t>829-422</t>
  </si>
  <si>
    <t>4 X 3 RED COUPLING SXS SCH80</t>
  </si>
  <si>
    <t>049081150860</t>
  </si>
  <si>
    <t>40049081150868</t>
  </si>
  <si>
    <t>829-585</t>
  </si>
  <si>
    <t>8 X 6 RED COUPLING SXS SCH80</t>
  </si>
  <si>
    <t>049081150983</t>
  </si>
  <si>
    <t>40049081150981</t>
  </si>
  <si>
    <t>830-003</t>
  </si>
  <si>
    <t>3/8 COUPLING FIPTXFIPT SCH80</t>
  </si>
  <si>
    <t>049081161125</t>
  </si>
  <si>
    <t>40049081161123</t>
  </si>
  <si>
    <t>830-005</t>
  </si>
  <si>
    <t>1/2 COUPLING FIPTXFIPT SCH80</t>
  </si>
  <si>
    <t>049081161149</t>
  </si>
  <si>
    <t>049081661144</t>
  </si>
  <si>
    <t>40049081161147</t>
  </si>
  <si>
    <t>830-007</t>
  </si>
  <si>
    <t>3/4 COUPLING FIPTXFIPT SCH80</t>
  </si>
  <si>
    <t>049081161163</t>
  </si>
  <si>
    <t>049081661168</t>
  </si>
  <si>
    <t>40049081161161</t>
  </si>
  <si>
    <t>830-010</t>
  </si>
  <si>
    <t>1 COUPLING FIPTXFIPT SCH80</t>
  </si>
  <si>
    <t>049081161187</t>
  </si>
  <si>
    <t>049081661182</t>
  </si>
  <si>
    <t>40049081161185</t>
  </si>
  <si>
    <t>830-012</t>
  </si>
  <si>
    <t>1-1/4 COUPLING FIPTXFIPT SCH80</t>
  </si>
  <si>
    <t>049081161200</t>
  </si>
  <si>
    <t>049081661205</t>
  </si>
  <si>
    <t>40049081161208</t>
  </si>
  <si>
    <t>830-015</t>
  </si>
  <si>
    <t>1-1/2 COUPLING FIPTXFIPT SCH80</t>
  </si>
  <si>
    <t>049081161224</t>
  </si>
  <si>
    <t>049081661229</t>
  </si>
  <si>
    <t>40049081161222</t>
  </si>
  <si>
    <t>830-020</t>
  </si>
  <si>
    <t>2 COUPLING FIPTXFIPT SCH80</t>
  </si>
  <si>
    <t>049081161248</t>
  </si>
  <si>
    <t>049081661243</t>
  </si>
  <si>
    <t>40049081161246</t>
  </si>
  <si>
    <t>830-025</t>
  </si>
  <si>
    <t>2-1/2 COUPLING FPTXFPT SCH80</t>
  </si>
  <si>
    <t>049081161262</t>
  </si>
  <si>
    <t>40049081161260</t>
  </si>
  <si>
    <t>830-030</t>
  </si>
  <si>
    <t>3 COUPLING FIPTXFIPT SCH80</t>
  </si>
  <si>
    <t>049081161286</t>
  </si>
  <si>
    <t>40049081161284</t>
  </si>
  <si>
    <t>830-040</t>
  </si>
  <si>
    <t>4 COUPLING FIPTXFIPT SCH80</t>
  </si>
  <si>
    <t>049081161309</t>
  </si>
  <si>
    <t>40049081161307</t>
  </si>
  <si>
    <t>830-073</t>
  </si>
  <si>
    <t>1/2X3/8 COUPLING FIPTXFIPT SCH80</t>
  </si>
  <si>
    <t>049081151072</t>
  </si>
  <si>
    <t>049081651077</t>
  </si>
  <si>
    <t>40049081151070</t>
  </si>
  <si>
    <t>833-015</t>
  </si>
  <si>
    <t>049081154950</t>
  </si>
  <si>
    <t>049081654955</t>
  </si>
  <si>
    <t>40049081154958</t>
  </si>
  <si>
    <t>835-002</t>
  </si>
  <si>
    <t>1/4 FEMALE ADAPTER SXFIPT SCH80</t>
  </si>
  <si>
    <t>049081154981</t>
  </si>
  <si>
    <t>049081654986</t>
  </si>
  <si>
    <t>40049081154989</t>
  </si>
  <si>
    <t>835-003</t>
  </si>
  <si>
    <t>3/8 FEMALE ADAPTER SXFIPT SCH80</t>
  </si>
  <si>
    <t>049081155001</t>
  </si>
  <si>
    <t>40049081155009</t>
  </si>
  <si>
    <t>835-005</t>
  </si>
  <si>
    <t>1/2 FEMALE ADAPTER SXFIPT SCH80</t>
  </si>
  <si>
    <t>049081155025</t>
  </si>
  <si>
    <t>049081655020</t>
  </si>
  <si>
    <t>40049081155023</t>
  </si>
  <si>
    <t>835-007</t>
  </si>
  <si>
    <t>3/4 FEMALE ADAPTER SXFIPT SCH80</t>
  </si>
  <si>
    <t>049081155100</t>
  </si>
  <si>
    <t>049081655105</t>
  </si>
  <si>
    <t>40049081155108</t>
  </si>
  <si>
    <t>835-010</t>
  </si>
  <si>
    <t>1 FEMALE ADAPTER SXFIPT SCH80</t>
  </si>
  <si>
    <t>049081155162</t>
  </si>
  <si>
    <t>049081655167</t>
  </si>
  <si>
    <t>40049081155160</t>
  </si>
  <si>
    <t>835-012</t>
  </si>
  <si>
    <t>1-1/4 FEMALE ADAPTER SXFIPT SCH80</t>
  </si>
  <si>
    <t>049081155261</t>
  </si>
  <si>
    <t>049081655266</t>
  </si>
  <si>
    <t>40049081155269</t>
  </si>
  <si>
    <t>835-015</t>
  </si>
  <si>
    <t>1-1/2 FEMALE ADAPTER SXFIPT SCH80</t>
  </si>
  <si>
    <t>049081155308</t>
  </si>
  <si>
    <t>049081655303</t>
  </si>
  <si>
    <t>40049081155306</t>
  </si>
  <si>
    <t>835-020</t>
  </si>
  <si>
    <t>2 FEMALE ADAPTER SXFIPT SCH80</t>
  </si>
  <si>
    <t>049081155346</t>
  </si>
  <si>
    <t>049081655341</t>
  </si>
  <si>
    <t>40049081155344</t>
  </si>
  <si>
    <t>835-030</t>
  </si>
  <si>
    <t>3 FEMALE ADAPTER SXFIPT SCH80</t>
  </si>
  <si>
    <t>049081155384</t>
  </si>
  <si>
    <t>40049081155382</t>
  </si>
  <si>
    <t>835-040</t>
  </si>
  <si>
    <t>4 FEMALE ADAPTER SXFIPT SCH80</t>
  </si>
  <si>
    <t>049081155407</t>
  </si>
  <si>
    <t>40049081155405</t>
  </si>
  <si>
    <t>836-002</t>
  </si>
  <si>
    <t>1/4 MALE ADAPTER MIPTXS SCH80</t>
  </si>
  <si>
    <t>049081155834</t>
  </si>
  <si>
    <t>049081655839</t>
  </si>
  <si>
    <t>40049081155832</t>
  </si>
  <si>
    <t>836-003</t>
  </si>
  <si>
    <t>3/8 MALE ADAPTER MIPTXS SCH80</t>
  </si>
  <si>
    <t>049081155926</t>
  </si>
  <si>
    <t>049081655921</t>
  </si>
  <si>
    <t>40049081155924</t>
  </si>
  <si>
    <t>836-005</t>
  </si>
  <si>
    <t>1/2 MALE ADAPTER MIPTXS SCH80</t>
  </si>
  <si>
    <t>049081155940</t>
  </si>
  <si>
    <t>049081655945</t>
  </si>
  <si>
    <t>40049081155948</t>
  </si>
  <si>
    <t>836-007</t>
  </si>
  <si>
    <t>3/4 MALE ADAPTER MIPTXS SCH80</t>
  </si>
  <si>
    <t>049081156008</t>
  </si>
  <si>
    <t>049081656003</t>
  </si>
  <si>
    <t>40049081156006</t>
  </si>
  <si>
    <t>836-010</t>
  </si>
  <si>
    <t>1 MALE ADAPTER MIPTXS SCH80</t>
  </si>
  <si>
    <t>049081156060</t>
  </si>
  <si>
    <t>049081656065</t>
  </si>
  <si>
    <t>40049081156068</t>
  </si>
  <si>
    <t>836-012</t>
  </si>
  <si>
    <t>1-1/4 MALE ADAPTER MIPTXS SCH80</t>
  </si>
  <si>
    <t>049081156121</t>
  </si>
  <si>
    <t>049081656126</t>
  </si>
  <si>
    <t>40049081156129</t>
  </si>
  <si>
    <t>836-015</t>
  </si>
  <si>
    <t>1-1/2 MALE ADAPTER MIPTXS SCH80</t>
  </si>
  <si>
    <t>049081156183</t>
  </si>
  <si>
    <t>049081656188</t>
  </si>
  <si>
    <t>40049081156181</t>
  </si>
  <si>
    <t>836-020</t>
  </si>
  <si>
    <t>2 MALE ADAPTER MIPTXS SCH80</t>
  </si>
  <si>
    <t>049081156244</t>
  </si>
  <si>
    <t>049081656249</t>
  </si>
  <si>
    <t>40049081156242</t>
  </si>
  <si>
    <t>836-025</t>
  </si>
  <si>
    <t>2-1/2 MALE ADAPTER MIPTXS SCH80</t>
  </si>
  <si>
    <t>049081156305</t>
  </si>
  <si>
    <t>049081656300</t>
  </si>
  <si>
    <t>40049081156303</t>
  </si>
  <si>
    <t>836-030</t>
  </si>
  <si>
    <t>3 MALE ADAPTER MIPTXS SCH80</t>
  </si>
  <si>
    <t>049081156367</t>
  </si>
  <si>
    <t>049081656362</t>
  </si>
  <si>
    <t>40049081156365</t>
  </si>
  <si>
    <t>836-040</t>
  </si>
  <si>
    <t>4 MALE ADAPTER MIPTXS SCH80</t>
  </si>
  <si>
    <t>049081156404</t>
  </si>
  <si>
    <t>049081656409</t>
  </si>
  <si>
    <t>40049081156402</t>
  </si>
  <si>
    <t>836-102</t>
  </si>
  <si>
    <t>3/4X1 MALE ADAPTER MIPTXS SCH80</t>
  </si>
  <si>
    <t>049081156022</t>
  </si>
  <si>
    <t>049081656027</t>
  </si>
  <si>
    <t>40049081156020</t>
  </si>
  <si>
    <t>836-131</t>
  </si>
  <si>
    <t>1X3/4 MALE ADAPTER MIPTXS SCH80</t>
  </si>
  <si>
    <t>049081156107</t>
  </si>
  <si>
    <t>049081656102</t>
  </si>
  <si>
    <t>40049081156105</t>
  </si>
  <si>
    <t>836-132</t>
  </si>
  <si>
    <t>1X1-1/4 MALE ADAPTER MIPTXS SCH80</t>
  </si>
  <si>
    <t>049081156084</t>
  </si>
  <si>
    <t>049081656089</t>
  </si>
  <si>
    <t>40049081156082</t>
  </si>
  <si>
    <t>836-213</t>
  </si>
  <si>
    <t>1-1/2X2 MALE ADAPTER MIPTXS SCH80</t>
  </si>
  <si>
    <t>049081156206</t>
  </si>
  <si>
    <t>049081656201</t>
  </si>
  <si>
    <t>40049081156204</t>
  </si>
  <si>
    <t>836-251-2</t>
  </si>
  <si>
    <t>2X1-1/2 FLUSH MALE ADAPTER MIPTXS</t>
  </si>
  <si>
    <t>049081156299</t>
  </si>
  <si>
    <t>049081656294</t>
  </si>
  <si>
    <t>40049081156297</t>
  </si>
  <si>
    <t>837-072</t>
  </si>
  <si>
    <t>1/2X1/4 RED BUSHING SPGXS SCH80</t>
  </si>
  <si>
    <t>049081156602</t>
  </si>
  <si>
    <t>049081656607</t>
  </si>
  <si>
    <t>40049081156600</t>
  </si>
  <si>
    <t>837-073</t>
  </si>
  <si>
    <t>1/2X3/8 RED BUSHING SPGXS SCH80</t>
  </si>
  <si>
    <t>049081156589</t>
  </si>
  <si>
    <t>049081656584</t>
  </si>
  <si>
    <t>40049081156587</t>
  </si>
  <si>
    <t>837-101</t>
  </si>
  <si>
    <t>3/4X1/2 RED BUSHING SPGXS SCH80</t>
  </si>
  <si>
    <t>049081156626</t>
  </si>
  <si>
    <t>049081656621</t>
  </si>
  <si>
    <t>40049081156624</t>
  </si>
  <si>
    <t>837-130</t>
  </si>
  <si>
    <t>1X1/2 RED BUSHING SPGXS SCH80</t>
  </si>
  <si>
    <t>049081156701</t>
  </si>
  <si>
    <t>049081656706</t>
  </si>
  <si>
    <t>40049081156709</t>
  </si>
  <si>
    <t>837-131</t>
  </si>
  <si>
    <t>1X3/4 RED BUSHING SPGXS SCH80</t>
  </si>
  <si>
    <t>049081156688</t>
  </si>
  <si>
    <t>049081656683</t>
  </si>
  <si>
    <t>40049081156686</t>
  </si>
  <si>
    <t>837-166</t>
  </si>
  <si>
    <t>1-1/4X1/2 RED BUSHING SPGXS SCH80</t>
  </si>
  <si>
    <t>049081156787</t>
  </si>
  <si>
    <t>049081656782</t>
  </si>
  <si>
    <t>40049081156785</t>
  </si>
  <si>
    <t>837-167</t>
  </si>
  <si>
    <t>1-1/4X3/4 RED BUSHING SPGXS SCH80</t>
  </si>
  <si>
    <t>049081156763</t>
  </si>
  <si>
    <t>049081656768</t>
  </si>
  <si>
    <t>40049081156761</t>
  </si>
  <si>
    <t>837-168</t>
  </si>
  <si>
    <t>1-1/4X1 RED BUSHING SPGXS SCH80</t>
  </si>
  <si>
    <t>049081156749</t>
  </si>
  <si>
    <t>049081656744</t>
  </si>
  <si>
    <t>40049081156747</t>
  </si>
  <si>
    <t>837-209</t>
  </si>
  <si>
    <t>1-1/2X1/2 RED BUSHING SPGXS SCH80</t>
  </si>
  <si>
    <t>049081156886</t>
  </si>
  <si>
    <t>049081656881</t>
  </si>
  <si>
    <t>40049081156884</t>
  </si>
  <si>
    <t>837-210</t>
  </si>
  <si>
    <t>1-1/2X3/4 RED BUSHING SPGXS SCH80</t>
  </si>
  <si>
    <t>049081156862</t>
  </si>
  <si>
    <t>049081656867</t>
  </si>
  <si>
    <t>40049081156860</t>
  </si>
  <si>
    <t>837-211</t>
  </si>
  <si>
    <t>1-1/2X1 RED BUSHING SPGXS SCH80</t>
  </si>
  <si>
    <t>049081156848</t>
  </si>
  <si>
    <t>049081656843</t>
  </si>
  <si>
    <t>40049081156846</t>
  </si>
  <si>
    <t>837-212</t>
  </si>
  <si>
    <t>1-1/2X1-1/4 RED BUSHING SPGXS SCH80</t>
  </si>
  <si>
    <t>049081156824</t>
  </si>
  <si>
    <t>049081656829</t>
  </si>
  <si>
    <t>40049081156822</t>
  </si>
  <si>
    <t>837-247</t>
  </si>
  <si>
    <t>2X1/2 RED BUSHING SPGXS SCH80</t>
  </si>
  <si>
    <t>049081156985</t>
  </si>
  <si>
    <t>049081656980</t>
  </si>
  <si>
    <t>40049081156983</t>
  </si>
  <si>
    <t>837-248</t>
  </si>
  <si>
    <t>2X3/4 RED BUSHING SPGXS SCH80</t>
  </si>
  <si>
    <t>049081156961</t>
  </si>
  <si>
    <t>049081656966</t>
  </si>
  <si>
    <t>40049081156969</t>
  </si>
  <si>
    <t>837-249</t>
  </si>
  <si>
    <t>2X1 RED BUSHING SPGXS SCH80</t>
  </si>
  <si>
    <t>049081156947</t>
  </si>
  <si>
    <t>049081656942</t>
  </si>
  <si>
    <t>40049081156945</t>
  </si>
  <si>
    <t>837-250</t>
  </si>
  <si>
    <t>2X1-1/4 RED BUSHING SPGXS SCH80</t>
  </si>
  <si>
    <t>049081156923</t>
  </si>
  <si>
    <t>049081656928</t>
  </si>
  <si>
    <t>40049081156921</t>
  </si>
  <si>
    <t>837-251</t>
  </si>
  <si>
    <t>2X1-1/2 RED BUSHING SPGXS SCH80</t>
  </si>
  <si>
    <t>049081156909</t>
  </si>
  <si>
    <t>049081656904</t>
  </si>
  <si>
    <t>40049081156907</t>
  </si>
  <si>
    <t>837-292</t>
  </si>
  <si>
    <t>2-1/2X2 RED BUSHING SPGXS SCH80</t>
  </si>
  <si>
    <t>049081157005</t>
  </si>
  <si>
    <t>049081657000</t>
  </si>
  <si>
    <t>40049081157003</t>
  </si>
  <si>
    <t>837-335</t>
  </si>
  <si>
    <t>3X1 RED BUSHING SPGXS SCH80</t>
  </si>
  <si>
    <t>049081157203</t>
  </si>
  <si>
    <t>049081657208</t>
  </si>
  <si>
    <t>40049081157201</t>
  </si>
  <si>
    <t>837-336</t>
  </si>
  <si>
    <t>3X1-1/4 RED BUSHING SPGXS SCH80</t>
  </si>
  <si>
    <t>049081157180</t>
  </si>
  <si>
    <t>049081657185</t>
  </si>
  <si>
    <t>40049081157188</t>
  </si>
  <si>
    <t>837-337</t>
  </si>
  <si>
    <t>3X1-1/2 RED BUSHING SPGXS SCH80</t>
  </si>
  <si>
    <t>049081157166</t>
  </si>
  <si>
    <t>049081657161</t>
  </si>
  <si>
    <t>40049081157164</t>
  </si>
  <si>
    <t>837-338</t>
  </si>
  <si>
    <t>3X2 RED BUSHING SPGXS SCH80</t>
  </si>
  <si>
    <t>049081157142</t>
  </si>
  <si>
    <t>049081657147</t>
  </si>
  <si>
    <t>40049081157140</t>
  </si>
  <si>
    <t>837-339</t>
  </si>
  <si>
    <t>3X2-1/2 RED BUSHING SPGXS SCH80</t>
  </si>
  <si>
    <t>049081157128</t>
  </si>
  <si>
    <t>049081657123</t>
  </si>
  <si>
    <t>40049081157126</t>
  </si>
  <si>
    <t>837-420</t>
  </si>
  <si>
    <t>4X2 RED BUSHING SPGXS SCH80</t>
  </si>
  <si>
    <t>049081157326</t>
  </si>
  <si>
    <t>40049081157324</t>
  </si>
  <si>
    <t>837-421</t>
  </si>
  <si>
    <t>4X2-1/2 RED BUSHING SPGXS SCH80</t>
  </si>
  <si>
    <t>049081157302</t>
  </si>
  <si>
    <t>40049081157300</t>
  </si>
  <si>
    <t>837-422</t>
  </si>
  <si>
    <t>4X3 RED BUSHING SPGXS SCH80</t>
  </si>
  <si>
    <t>049081157289</t>
  </si>
  <si>
    <t>40049081157287</t>
  </si>
  <si>
    <t>837-532</t>
  </si>
  <si>
    <t>6X4 RED BUSHING SPGXS SCH80</t>
  </si>
  <si>
    <t>049081157487</t>
  </si>
  <si>
    <t>40049081157485</t>
  </si>
  <si>
    <t>838-052</t>
  </si>
  <si>
    <t>3/8X1/4 RED BUSHING SPGXFIPT SCH80</t>
  </si>
  <si>
    <t>049081157722</t>
  </si>
  <si>
    <t>40049081157720</t>
  </si>
  <si>
    <t>838-072</t>
  </si>
  <si>
    <t>1/2X1/4 RED BUSHING SPGXFIPT SCH80</t>
  </si>
  <si>
    <t>049081157760</t>
  </si>
  <si>
    <t>049081657765</t>
  </si>
  <si>
    <t>40049081157768</t>
  </si>
  <si>
    <t>838-073</t>
  </si>
  <si>
    <t>1/2X3/8 RED BUSHING SPGXFIPT SCH80</t>
  </si>
  <si>
    <t>049081157746</t>
  </si>
  <si>
    <t>049081657741</t>
  </si>
  <si>
    <t>40049081157744</t>
  </si>
  <si>
    <t>838-098</t>
  </si>
  <si>
    <t>3/4X1/4 RED BUSHING SPGXFIPT SCH80</t>
  </si>
  <si>
    <t>049081157845</t>
  </si>
  <si>
    <t>049081657840</t>
  </si>
  <si>
    <t>40049081157843</t>
  </si>
  <si>
    <t>838-101</t>
  </si>
  <si>
    <t>3/4X1/2 RED BUSHING SPGXFIPT SCH80</t>
  </si>
  <si>
    <t>049081157807</t>
  </si>
  <si>
    <t>049081657802</t>
  </si>
  <si>
    <t>40049081157805</t>
  </si>
  <si>
    <t>838-129</t>
  </si>
  <si>
    <t>1X3/8 RED BUSHING SPGXFIPT SCH80</t>
  </si>
  <si>
    <t>049081157906</t>
  </si>
  <si>
    <t>049081657901</t>
  </si>
  <si>
    <t>40049081157904</t>
  </si>
  <si>
    <t>838-130</t>
  </si>
  <si>
    <t>1X1/2 RED BUSHING SPGXFIPT SCH80</t>
  </si>
  <si>
    <t>049081157883</t>
  </si>
  <si>
    <t>049081657888</t>
  </si>
  <si>
    <t>40049081157881</t>
  </si>
  <si>
    <t>838-131</t>
  </si>
  <si>
    <t>1X3/4 RED BUSHING SPGXFIPT SCH80</t>
  </si>
  <si>
    <t>049081157869</t>
  </si>
  <si>
    <t>049081657864</t>
  </si>
  <si>
    <t>40049081157867</t>
  </si>
  <si>
    <t>838-166</t>
  </si>
  <si>
    <t>1-1/4X1/2 RED BUSHING SPGXFPT SCH80</t>
  </si>
  <si>
    <t>049081157968</t>
  </si>
  <si>
    <t>049081657963</t>
  </si>
  <si>
    <t>40049081157966</t>
  </si>
  <si>
    <t>838-167</t>
  </si>
  <si>
    <t>1-1/4X3/4 RED BUSHING SPGXFPT SCH80</t>
  </si>
  <si>
    <t>049081157944</t>
  </si>
  <si>
    <t>049081657949</t>
  </si>
  <si>
    <t>40049081157942</t>
  </si>
  <si>
    <t>838-168</t>
  </si>
  <si>
    <t>1-1/4X1 RED BUSHING SPGXFIPT SCH80</t>
  </si>
  <si>
    <t>049081157920</t>
  </si>
  <si>
    <t>049081657925</t>
  </si>
  <si>
    <t>40049081157928</t>
  </si>
  <si>
    <t>838-209</t>
  </si>
  <si>
    <t>1-1/2X1/2 RED BUSHING SPGXFPT SCH80</t>
  </si>
  <si>
    <t>049081158101</t>
  </si>
  <si>
    <t>049081658106</t>
  </si>
  <si>
    <t>40049081158109</t>
  </si>
  <si>
    <t>838-210</t>
  </si>
  <si>
    <t>1-1/2X3/4 RED BUSHING SPGXFPT SCH80</t>
  </si>
  <si>
    <t>049081158088</t>
  </si>
  <si>
    <t>049081658083</t>
  </si>
  <si>
    <t>40049081158086</t>
  </si>
  <si>
    <t>838-211</t>
  </si>
  <si>
    <t>1-1/2X1 RED BUSHING SPGXFIPT SCH80</t>
  </si>
  <si>
    <t>049081158064</t>
  </si>
  <si>
    <t>049081658069</t>
  </si>
  <si>
    <t>40049081158062</t>
  </si>
  <si>
    <t>838-212</t>
  </si>
  <si>
    <t>1-1/2X1-1/4 BUSHING SPGXFIPT SCH80</t>
  </si>
  <si>
    <t>049081158040</t>
  </si>
  <si>
    <t>049081658045</t>
  </si>
  <si>
    <t>40049081158048</t>
  </si>
  <si>
    <t>838-247</t>
  </si>
  <si>
    <t>2X1/2 RED BUSHING SPGXFIPT SCH80</t>
  </si>
  <si>
    <t>049081158200</t>
  </si>
  <si>
    <t>049081658205</t>
  </si>
  <si>
    <t>40049081158208</t>
  </si>
  <si>
    <t>838-248</t>
  </si>
  <si>
    <t>2X3/4 RED BUSHING SPGXFIPT SCH80</t>
  </si>
  <si>
    <t>049081158187</t>
  </si>
  <si>
    <t>049081658182</t>
  </si>
  <si>
    <t>40049081158185</t>
  </si>
  <si>
    <t>838-249</t>
  </si>
  <si>
    <t>2X1 RED BUSHING SPGXFIPT SCH80</t>
  </si>
  <si>
    <t>049081158163</t>
  </si>
  <si>
    <t>049081658168</t>
  </si>
  <si>
    <t>40049081158161</t>
  </si>
  <si>
    <t>838-250</t>
  </si>
  <si>
    <t>2X1-1/4 RED BUSHING SPGXFIPT SCH80</t>
  </si>
  <si>
    <t>049081158149</t>
  </si>
  <si>
    <t>049081658144</t>
  </si>
  <si>
    <t>40049081158147</t>
  </si>
  <si>
    <t>838-251</t>
  </si>
  <si>
    <t>2X1-1/2 RED BUSHING SPGXFIPT SCH80</t>
  </si>
  <si>
    <t>049081158125</t>
  </si>
  <si>
    <t>049081658120</t>
  </si>
  <si>
    <t>40049081158123</t>
  </si>
  <si>
    <t>838-292</t>
  </si>
  <si>
    <t>2-1/2X2 RED BUSHING SPGXFIPT SCH80</t>
  </si>
  <si>
    <t>049081158248</t>
  </si>
  <si>
    <t>049081658243</t>
  </si>
  <si>
    <t>40049081158246</t>
  </si>
  <si>
    <t>838-334</t>
  </si>
  <si>
    <t>3X3/4 RED BUSHING SPGXFIPT SCH80</t>
  </si>
  <si>
    <t>049081158460</t>
  </si>
  <si>
    <t>049081658465</t>
  </si>
  <si>
    <t>40049081158468</t>
  </si>
  <si>
    <t>838-335</t>
  </si>
  <si>
    <t>3X1 RED BUSHING SPGXFIPT SCH80</t>
  </si>
  <si>
    <t>049081158446</t>
  </si>
  <si>
    <t>049081658441</t>
  </si>
  <si>
    <t>40049081158444</t>
  </si>
  <si>
    <t>838-338</t>
  </si>
  <si>
    <t>3X2 RED BUSHING SPGXFIPT SCH80</t>
  </si>
  <si>
    <t>049081158385</t>
  </si>
  <si>
    <t>049081658380</t>
  </si>
  <si>
    <t>40049081158383</t>
  </si>
  <si>
    <t>838-339</t>
  </si>
  <si>
    <t>3X2-1/2 RED BUSHING SPGXFIPT SCH80</t>
  </si>
  <si>
    <t>049081158361</t>
  </si>
  <si>
    <t>049081658366</t>
  </si>
  <si>
    <t>40049081158369</t>
  </si>
  <si>
    <t>838-420</t>
  </si>
  <si>
    <t>4X2 RED BUSHING SPGXFIPT SCH80</t>
  </si>
  <si>
    <t>049081158569</t>
  </si>
  <si>
    <t>40049081158567</t>
  </si>
  <si>
    <t>838-421</t>
  </si>
  <si>
    <t>4X2-1/2 RED BUSHING SPGXFIPT SCH80</t>
  </si>
  <si>
    <t>049081158545</t>
  </si>
  <si>
    <t>40049081158543</t>
  </si>
  <si>
    <t>838-422</t>
  </si>
  <si>
    <t>4X3 RED BUSHING SPGXFIPT SCH80</t>
  </si>
  <si>
    <t>049081158521</t>
  </si>
  <si>
    <t>40049081158529</t>
  </si>
  <si>
    <t>839-041</t>
  </si>
  <si>
    <t>1/4X1/8 RED BUSHING MIPTXFIPT SCH80</t>
  </si>
  <si>
    <t>049081158767</t>
  </si>
  <si>
    <t>049081658762</t>
  </si>
  <si>
    <t>40049081158765</t>
  </si>
  <si>
    <t>839-052</t>
  </si>
  <si>
    <t>3/8X1/4 RED BUSHING MIPTXFIPT SCH80</t>
  </si>
  <si>
    <t>049081158781</t>
  </si>
  <si>
    <t>049081658786</t>
  </si>
  <si>
    <t>40049081158789</t>
  </si>
  <si>
    <t>839-072</t>
  </si>
  <si>
    <t>1/2X1/4 RED BUSHING MIPTXFIPT SCH80</t>
  </si>
  <si>
    <t>049081158828</t>
  </si>
  <si>
    <t>049081658823</t>
  </si>
  <si>
    <t>40049081158826</t>
  </si>
  <si>
    <t>839-073</t>
  </si>
  <si>
    <t>1/2X3/8 RED BUSHING MIPTXFIPT SCH80</t>
  </si>
  <si>
    <t>049081158804</t>
  </si>
  <si>
    <t>049081658809</t>
  </si>
  <si>
    <t>40049081158802</t>
  </si>
  <si>
    <t>839-098</t>
  </si>
  <si>
    <t>3/4X1/4 RED BUSHING MIPTXFIPT SCH80</t>
  </si>
  <si>
    <t>049081158880</t>
  </si>
  <si>
    <t>049081658885</t>
  </si>
  <si>
    <t>40049081158888</t>
  </si>
  <si>
    <t>839-099</t>
  </si>
  <si>
    <t>3/4X3/8 RED BUSHING MIPTXFIPT SCH80</t>
  </si>
  <si>
    <t>049081158866</t>
  </si>
  <si>
    <t>049081658861</t>
  </si>
  <si>
    <t>40049081158864</t>
  </si>
  <si>
    <t>839-101</t>
  </si>
  <si>
    <t>3/4X1/2 RED BUSHING MIPTXFIPT SCH80</t>
  </si>
  <si>
    <t>049081158842</t>
  </si>
  <si>
    <t>049081658847</t>
  </si>
  <si>
    <t>40049081158840</t>
  </si>
  <si>
    <t>839-128</t>
  </si>
  <si>
    <t>1X1/4 RED BUSHING MIPTXFIPT SCH80</t>
  </si>
  <si>
    <t>049081158941</t>
  </si>
  <si>
    <t>049081658946</t>
  </si>
  <si>
    <t>40049081158949</t>
  </si>
  <si>
    <t>839-129</t>
  </si>
  <si>
    <t>1X3/8 RED BUSHING MIPTXFIPT SCH80</t>
  </si>
  <si>
    <t>049081158965</t>
  </si>
  <si>
    <t>049081658960</t>
  </si>
  <si>
    <t>40049081158963</t>
  </si>
  <si>
    <t>839-130</t>
  </si>
  <si>
    <t>1X1/2 RED BUSHING MIPTXFIPT SCH80</t>
  </si>
  <si>
    <t>049081158927</t>
  </si>
  <si>
    <t>049081658922</t>
  </si>
  <si>
    <t>40049081158925</t>
  </si>
  <si>
    <t>839-131</t>
  </si>
  <si>
    <t>1X3/4 RED BUSHING MIPTXFIPT SCH80</t>
  </si>
  <si>
    <t>049081158903</t>
  </si>
  <si>
    <t>049081658908</t>
  </si>
  <si>
    <t>40049081158901</t>
  </si>
  <si>
    <t>839-166</t>
  </si>
  <si>
    <t>1-1/4X1/2 BUSHING MIPTXFIPT SCH80</t>
  </si>
  <si>
    <t>049081159023</t>
  </si>
  <si>
    <t>049081659028</t>
  </si>
  <si>
    <t>40049081159021</t>
  </si>
  <si>
    <t>839-167</t>
  </si>
  <si>
    <t>1-1/4X3/4 BUSHING MIPTXFIPT SCH80</t>
  </si>
  <si>
    <t>049081159009</t>
  </si>
  <si>
    <t>049081659004</t>
  </si>
  <si>
    <t>40049081159007</t>
  </si>
  <si>
    <t>839-168</t>
  </si>
  <si>
    <t>1-1/4X1 RED BUSHING MIPTXFIPT SCH80</t>
  </si>
  <si>
    <t>049081158989</t>
  </si>
  <si>
    <t>049081658984</t>
  </si>
  <si>
    <t>40049081158987</t>
  </si>
  <si>
    <t>839-209</t>
  </si>
  <si>
    <t>1-1/2X1/2 BUSHING MIPTXFIPT SCH80</t>
  </si>
  <si>
    <t>049081159122</t>
  </si>
  <si>
    <t>40049081159120</t>
  </si>
  <si>
    <t>839-210</t>
  </si>
  <si>
    <t>1-1/2X3/4 BUSHING MIPTXFIPT SCH80</t>
  </si>
  <si>
    <t>049081159108</t>
  </si>
  <si>
    <t>049081659103</t>
  </si>
  <si>
    <t>40049081159106</t>
  </si>
  <si>
    <t>839-211</t>
  </si>
  <si>
    <t>1-1/2X1 RED BUSHING MIPTXFIPT SCH80</t>
  </si>
  <si>
    <t>049081159085</t>
  </si>
  <si>
    <t>049081659080</t>
  </si>
  <si>
    <t>40049081159083</t>
  </si>
  <si>
    <t>839-212</t>
  </si>
  <si>
    <t>1-1/2X1-1/4 BUSHING MIPTXFIPT SCH80</t>
  </si>
  <si>
    <t>049081159061</t>
  </si>
  <si>
    <t>049081659066</t>
  </si>
  <si>
    <t>40049081159069</t>
  </si>
  <si>
    <t>839-247</t>
  </si>
  <si>
    <t>2X1/2 RED BUSHING MIPTXFIPT SCH80</t>
  </si>
  <si>
    <t>049081159221</t>
  </si>
  <si>
    <t>40049081159229</t>
  </si>
  <si>
    <t>839-250</t>
  </si>
  <si>
    <t>2X1-1/4 RED BUSHING MIPTXFIPT SCH80</t>
  </si>
  <si>
    <t>049081159160</t>
  </si>
  <si>
    <t>049081659165</t>
  </si>
  <si>
    <t>40049081159168</t>
  </si>
  <si>
    <t>839-251</t>
  </si>
  <si>
    <t>2X1-1/2 RED BUSHING MIPTXFIPT SCH80</t>
  </si>
  <si>
    <t>049081159146</t>
  </si>
  <si>
    <t>049081659141</t>
  </si>
  <si>
    <t>40049081159144</t>
  </si>
  <si>
    <t>839-422</t>
  </si>
  <si>
    <t>4X3 RED BUSHING MIPTXFIPT SCH80</t>
  </si>
  <si>
    <t>049081159528</t>
  </si>
  <si>
    <t>40049081159526</t>
  </si>
  <si>
    <t>847-002</t>
  </si>
  <si>
    <t>1/4 CAP SLIP SCH80</t>
  </si>
  <si>
    <t>049081159849</t>
  </si>
  <si>
    <t>049081659844</t>
  </si>
  <si>
    <t>40049081159847</t>
  </si>
  <si>
    <t>847-003</t>
  </si>
  <si>
    <t>3/8 CAP SLIP SCH80</t>
  </si>
  <si>
    <t>049081159863</t>
  </si>
  <si>
    <t>049081659868</t>
  </si>
  <si>
    <t>40049081159861</t>
  </si>
  <si>
    <t>847-005</t>
  </si>
  <si>
    <t>1/2 CAP SLIP SCH80</t>
  </si>
  <si>
    <t>049081159900</t>
  </si>
  <si>
    <t>049081659905</t>
  </si>
  <si>
    <t>40049081159908</t>
  </si>
  <si>
    <t>847-007</t>
  </si>
  <si>
    <t>3/4 CAP SLIP SCH80</t>
  </si>
  <si>
    <t>049081159924</t>
  </si>
  <si>
    <t>049081659929</t>
  </si>
  <si>
    <t>40049081159922</t>
  </si>
  <si>
    <t>847-010</t>
  </si>
  <si>
    <t>1 CAP SLIP SCH80</t>
  </si>
  <si>
    <t>049081159948</t>
  </si>
  <si>
    <t>049081659943</t>
  </si>
  <si>
    <t>40049081159946</t>
  </si>
  <si>
    <t>847-012</t>
  </si>
  <si>
    <t>1-1/4 CAP SLIP SCH80</t>
  </si>
  <si>
    <t>049081159962</t>
  </si>
  <si>
    <t>049081659967</t>
  </si>
  <si>
    <t>40049081159960</t>
  </si>
  <si>
    <t>847-015</t>
  </si>
  <si>
    <t>1-1/2 CAP SLIP SCH80</t>
  </si>
  <si>
    <t>049081159986</t>
  </si>
  <si>
    <t>049081659981</t>
  </si>
  <si>
    <t>40049081159984</t>
  </si>
  <si>
    <t>847-020</t>
  </si>
  <si>
    <t>2 CAP SLIP SCH80</t>
  </si>
  <si>
    <t>049081160005</t>
  </si>
  <si>
    <t>049081660000</t>
  </si>
  <si>
    <t>40049081160003</t>
  </si>
  <si>
    <t>847-025</t>
  </si>
  <si>
    <t>2-1/2 CAP SLIP SCH80</t>
  </si>
  <si>
    <t>049081160029</t>
  </si>
  <si>
    <t>049081660024</t>
  </si>
  <si>
    <t>40049081160027</t>
  </si>
  <si>
    <t>847-030</t>
  </si>
  <si>
    <t>3 CAP SLIP SCH80</t>
  </si>
  <si>
    <t>049081160043</t>
  </si>
  <si>
    <t>049081660048</t>
  </si>
  <si>
    <t>40049081160041</t>
  </si>
  <si>
    <t>847-040</t>
  </si>
  <si>
    <t>4 CAP SLIP SCH80</t>
  </si>
  <si>
    <t>049081160067</t>
  </si>
  <si>
    <t>049081660062</t>
  </si>
  <si>
    <t>40049081160065</t>
  </si>
  <si>
    <t>847-060</t>
  </si>
  <si>
    <t>6 CAP SLIP SCH80</t>
  </si>
  <si>
    <t>049081160104</t>
  </si>
  <si>
    <t>40049081160102</t>
  </si>
  <si>
    <t>848-002</t>
  </si>
  <si>
    <t>1/4 CAP FIPT SCH80</t>
  </si>
  <si>
    <t>049081160265</t>
  </si>
  <si>
    <t>40049081160263</t>
  </si>
  <si>
    <t>848-003</t>
  </si>
  <si>
    <t>3/8 CAP FIPT SCH80</t>
  </si>
  <si>
    <t>049081160289</t>
  </si>
  <si>
    <t>049081660284</t>
  </si>
  <si>
    <t>40049081160287</t>
  </si>
  <si>
    <t>848-005</t>
  </si>
  <si>
    <t>1/2 CAP FIPT SCH80</t>
  </si>
  <si>
    <t>049081160302</t>
  </si>
  <si>
    <t>049081660307</t>
  </si>
  <si>
    <t>40049081160300</t>
  </si>
  <si>
    <t>848-007</t>
  </si>
  <si>
    <t>3/4 CAP FIPT SCH80</t>
  </si>
  <si>
    <t>049081160326</t>
  </si>
  <si>
    <t>049081660321</t>
  </si>
  <si>
    <t>40049081160324</t>
  </si>
  <si>
    <t>848-010</t>
  </si>
  <si>
    <t>1 CAP FIPT SCH80</t>
  </si>
  <si>
    <t>049081160340</t>
  </si>
  <si>
    <t>049081660345</t>
  </si>
  <si>
    <t>40049081160348</t>
  </si>
  <si>
    <t>848-012</t>
  </si>
  <si>
    <t>1-1/4 CAP FIPT SCH80</t>
  </si>
  <si>
    <t>049081160364</t>
  </si>
  <si>
    <t>40049081160362</t>
  </si>
  <si>
    <t>848-015</t>
  </si>
  <si>
    <t>1-1/2 CAP FIPT SCH80</t>
  </si>
  <si>
    <t>049081160388</t>
  </si>
  <si>
    <t>049081660383</t>
  </si>
  <si>
    <t>40049081160386</t>
  </si>
  <si>
    <t>848-020</t>
  </si>
  <si>
    <t>2 CAP FIPT SCH80</t>
  </si>
  <si>
    <t>049081160401</t>
  </si>
  <si>
    <t>049081660406</t>
  </si>
  <si>
    <t>40049081160409</t>
  </si>
  <si>
    <t>850-002</t>
  </si>
  <si>
    <t>1/4 PLUG MIPT SCH80</t>
  </si>
  <si>
    <t>049081165765</t>
  </si>
  <si>
    <t>049081665760</t>
  </si>
  <si>
    <t>40049081165763</t>
  </si>
  <si>
    <t>850-003</t>
  </si>
  <si>
    <t>3/8 PLUG MIPT SCH80</t>
  </si>
  <si>
    <t>049081165789</t>
  </si>
  <si>
    <t>40049081165787</t>
  </si>
  <si>
    <t>850-005</t>
  </si>
  <si>
    <t>1/2 PLUG MIPT SCH80</t>
  </si>
  <si>
    <t>049081165802</t>
  </si>
  <si>
    <t>049081665807</t>
  </si>
  <si>
    <t>40049081165800</t>
  </si>
  <si>
    <t>850-007</t>
  </si>
  <si>
    <t>3/4 PLUG MIPT SCH80</t>
  </si>
  <si>
    <t>049081165826</t>
  </si>
  <si>
    <t>049081665821</t>
  </si>
  <si>
    <t>40049081165824</t>
  </si>
  <si>
    <t>850-010</t>
  </si>
  <si>
    <t>1 PLUG MIPT SCH80</t>
  </si>
  <si>
    <t>049081165840</t>
  </si>
  <si>
    <t>049081665845</t>
  </si>
  <si>
    <t>40049081165848</t>
  </si>
  <si>
    <t>850-012</t>
  </si>
  <si>
    <t>1-1/4 PLUG MIPT SCH80</t>
  </si>
  <si>
    <t>049081165864</t>
  </si>
  <si>
    <t>049081665869</t>
  </si>
  <si>
    <t>40049081165862</t>
  </si>
  <si>
    <t>850-015</t>
  </si>
  <si>
    <t>1-1/2 PLUG MIPT SCH80</t>
  </si>
  <si>
    <t>049081165888</t>
  </si>
  <si>
    <t>40049081165886</t>
  </si>
  <si>
    <t>850-020</t>
  </si>
  <si>
    <t>2 PLUG MIPT SCH80</t>
  </si>
  <si>
    <t>049081165901</t>
  </si>
  <si>
    <t>049081665906</t>
  </si>
  <si>
    <t>40049081165909</t>
  </si>
  <si>
    <t>850-030</t>
  </si>
  <si>
    <t>3 PLUG MIPT SCH80</t>
  </si>
  <si>
    <t>049081165949</t>
  </si>
  <si>
    <t>049081665944</t>
  </si>
  <si>
    <t>40049081165947</t>
  </si>
  <si>
    <t>877-060</t>
  </si>
  <si>
    <t>6 WYE SXSXS SCH80</t>
  </si>
  <si>
    <t>049081350635</t>
  </si>
  <si>
    <t>40049081350633</t>
  </si>
  <si>
    <t>878-007</t>
  </si>
  <si>
    <t>3/4 FEMALE FITTING ADAPTER SPGXFIPT</t>
  </si>
  <si>
    <t>049081150082</t>
  </si>
  <si>
    <t>049081650087</t>
  </si>
  <si>
    <t>40049081150080</t>
  </si>
  <si>
    <t>878-020</t>
  </si>
  <si>
    <t>2 FEMALE FITTING ADAPTER SPGXFIPT</t>
  </si>
  <si>
    <t>049081150129</t>
  </si>
  <si>
    <t>049081650124</t>
  </si>
  <si>
    <t>40049081150127</t>
  </si>
  <si>
    <t>897-002</t>
  </si>
  <si>
    <t>1/4 UNION SXS SCH80</t>
  </si>
  <si>
    <t>049081170943</t>
  </si>
  <si>
    <t>049081670948</t>
  </si>
  <si>
    <t>40049081170941</t>
  </si>
  <si>
    <t>897-003</t>
  </si>
  <si>
    <t>3/8 UNION SXS SCH80</t>
  </si>
  <si>
    <t>049081170950</t>
  </si>
  <si>
    <t>049081670955</t>
  </si>
  <si>
    <t>40049081170958</t>
  </si>
  <si>
    <t>897-005</t>
  </si>
  <si>
    <t>1/2 UNION SXS SCH80</t>
  </si>
  <si>
    <t>049081170967</t>
  </si>
  <si>
    <t>40049081170965</t>
  </si>
  <si>
    <t>897-007</t>
  </si>
  <si>
    <t>3/4 UNION SXS SCH80</t>
  </si>
  <si>
    <t>049081171001</t>
  </si>
  <si>
    <t>40049081171009</t>
  </si>
  <si>
    <t>897-010</t>
  </si>
  <si>
    <t>1 UNION SXS SCH80</t>
  </si>
  <si>
    <t>049081171025</t>
  </si>
  <si>
    <t>40049081171023</t>
  </si>
  <si>
    <t>897-012</t>
  </si>
  <si>
    <t>1-1/4 UNION SXS SCH80</t>
  </si>
  <si>
    <t>049081171049</t>
  </si>
  <si>
    <t>40049081171047</t>
  </si>
  <si>
    <t>897-015</t>
  </si>
  <si>
    <t>1-1/2 UNION SXS SCH80</t>
  </si>
  <si>
    <t>049081171063</t>
  </si>
  <si>
    <t>40049081171061</t>
  </si>
  <si>
    <t>897-020</t>
  </si>
  <si>
    <t>2 UNION SXS SCH80</t>
  </si>
  <si>
    <t>049081171087</t>
  </si>
  <si>
    <t>40049081171085</t>
  </si>
  <si>
    <t>897-025</t>
  </si>
  <si>
    <t>2-1/2 UNION SXS SCH80</t>
  </si>
  <si>
    <t>049081171124</t>
  </si>
  <si>
    <t>40049081171122</t>
  </si>
  <si>
    <t>897-030</t>
  </si>
  <si>
    <t>3 UNION SXS SCH80</t>
  </si>
  <si>
    <t>049081171100</t>
  </si>
  <si>
    <t>40049081171108</t>
  </si>
  <si>
    <t>897-040</t>
  </si>
  <si>
    <t>4 UNION SXS SCH80</t>
  </si>
  <si>
    <t>049081171117</t>
  </si>
  <si>
    <t>40049081171115</t>
  </si>
  <si>
    <t>898-002</t>
  </si>
  <si>
    <t>1/4 UNION FIPTXFIPT SCH80</t>
  </si>
  <si>
    <t>049081171186</t>
  </si>
  <si>
    <t>049081671181</t>
  </si>
  <si>
    <t>40049081171184</t>
  </si>
  <si>
    <t>898-003</t>
  </si>
  <si>
    <t>3/8 UNION FIPTXFIPT SCH80</t>
  </si>
  <si>
    <t>049081171193</t>
  </si>
  <si>
    <t>40049081171191</t>
  </si>
  <si>
    <t>898-005</t>
  </si>
  <si>
    <t>1/2 UNION FIPTXFIPT SCH80</t>
  </si>
  <si>
    <t>049081171209</t>
  </si>
  <si>
    <t>40049081171207</t>
  </si>
  <si>
    <t>898-007</t>
  </si>
  <si>
    <t>3/4 UNION FIPTXFIPT SCH80</t>
  </si>
  <si>
    <t>049081171223</t>
  </si>
  <si>
    <t>40049081171221</t>
  </si>
  <si>
    <t>898-010</t>
  </si>
  <si>
    <t>1 UNION FIPTXFIPT SCH80</t>
  </si>
  <si>
    <t>049081171247</t>
  </si>
  <si>
    <t>40049081171245</t>
  </si>
  <si>
    <t>898-012</t>
  </si>
  <si>
    <t>1-1/4 UNION FIPTXFIPT SCH80</t>
  </si>
  <si>
    <t>049081171261</t>
  </si>
  <si>
    <t>40049081171269</t>
  </si>
  <si>
    <t>898-015</t>
  </si>
  <si>
    <t>1-1/2 UNION FIPTXFIPT SCH80</t>
  </si>
  <si>
    <t>049081171285</t>
  </si>
  <si>
    <t>40049081171283</t>
  </si>
  <si>
    <t>898-020</t>
  </si>
  <si>
    <t>2 UNION FIPTXFIPT SCH80</t>
  </si>
  <si>
    <t>049081171308</t>
  </si>
  <si>
    <t>40049081171306</t>
  </si>
  <si>
    <t>898-030</t>
  </si>
  <si>
    <t>3 UNION FIPTXFIPT SCH80</t>
  </si>
  <si>
    <t>049081171322</t>
  </si>
  <si>
    <t>40049081171320</t>
  </si>
  <si>
    <t>898-040</t>
  </si>
  <si>
    <t>4 UNION FIPTXFIPT SCH80</t>
  </si>
  <si>
    <t>049081171216</t>
  </si>
  <si>
    <t>40049081171214</t>
  </si>
  <si>
    <t>852-007</t>
  </si>
  <si>
    <t>3/4 THREADED FLANGE GASKET TYPE</t>
  </si>
  <si>
    <t>40049081164124</t>
  </si>
  <si>
    <t>852-010</t>
  </si>
  <si>
    <t>1 THREADED FLANGE GASKET TYPE</t>
  </si>
  <si>
    <t>049081164140</t>
  </si>
  <si>
    <t>40049081164148</t>
  </si>
  <si>
    <t>852-012</t>
  </si>
  <si>
    <t>1-1/4 THREADED FLANGE GASKET TYPE</t>
  </si>
  <si>
    <t>049081164164</t>
  </si>
  <si>
    <t>40049081164162</t>
  </si>
  <si>
    <t>852-015</t>
  </si>
  <si>
    <t>1-1/2 THREADED FLANGE GASKET TYPE</t>
  </si>
  <si>
    <t>049081164188</t>
  </si>
  <si>
    <t>40049081164186</t>
  </si>
  <si>
    <t>852-020</t>
  </si>
  <si>
    <t>2 THREADED FLANGE GASKET TYPE</t>
  </si>
  <si>
    <t>40049081164209</t>
  </si>
  <si>
    <t>852-025</t>
  </si>
  <si>
    <t>2-1/2 THREADED FLANGE GASKET TYPE</t>
  </si>
  <si>
    <t>049081164225</t>
  </si>
  <si>
    <t>40049081164223</t>
  </si>
  <si>
    <t>852-030</t>
  </si>
  <si>
    <t>3 THREADED FLANGE GASKET TYPE</t>
  </si>
  <si>
    <t>049081164201</t>
  </si>
  <si>
    <t>40049081164247</t>
  </si>
  <si>
    <t>852-040</t>
  </si>
  <si>
    <t>4 THREADED FLANGE GASKET TYPE</t>
  </si>
  <si>
    <t>049081164263</t>
  </si>
  <si>
    <t>40049081164261</t>
  </si>
  <si>
    <t>853-015</t>
  </si>
  <si>
    <t>1-1/2 BLIND FLANGE GASKET TYPE</t>
  </si>
  <si>
    <t>049081164447</t>
  </si>
  <si>
    <t>40049081164445</t>
  </si>
  <si>
    <t>853-020</t>
  </si>
  <si>
    <t>2 BLIND FLANGE GASKET TYPE</t>
  </si>
  <si>
    <t>049081164461</t>
  </si>
  <si>
    <t>40049081164469</t>
  </si>
  <si>
    <t>853-020-1</t>
  </si>
  <si>
    <t>2 BLIND FLANGE O-RING TYPE</t>
  </si>
  <si>
    <t>049081164379</t>
  </si>
  <si>
    <t>40049081164377</t>
  </si>
  <si>
    <t>853-025</t>
  </si>
  <si>
    <t>2-1/2 BLIND FLANGE GASKET TYPE</t>
  </si>
  <si>
    <t>049081164485</t>
  </si>
  <si>
    <t>40049081164483</t>
  </si>
  <si>
    <t>853-025-1</t>
  </si>
  <si>
    <t>2-1/2 BLIND FLANGE O-RING TYPE</t>
  </si>
  <si>
    <t>049081164393</t>
  </si>
  <si>
    <t>40049081164391</t>
  </si>
  <si>
    <t>853-030</t>
  </si>
  <si>
    <t>3 BLIND FLANGE GASKET TYPE</t>
  </si>
  <si>
    <t>049081164508</t>
  </si>
  <si>
    <t>40049081164506</t>
  </si>
  <si>
    <t>853-030-1</t>
  </si>
  <si>
    <t>3 BLIND FLANGE O-RING TYPE</t>
  </si>
  <si>
    <t>049081164416</t>
  </si>
  <si>
    <t>40049081164414</t>
  </si>
  <si>
    <t>853-040</t>
  </si>
  <si>
    <t>4 BLIND FLANGE GASKET TYPE</t>
  </si>
  <si>
    <t>049081164522</t>
  </si>
  <si>
    <t>40049081164520</t>
  </si>
  <si>
    <t>853-040-1</t>
  </si>
  <si>
    <t>4 BLIND FLANGE O-RING TYPE</t>
  </si>
  <si>
    <t>049081164430</t>
  </si>
  <si>
    <t>40049081164438</t>
  </si>
  <si>
    <t>853-060</t>
  </si>
  <si>
    <t>6 BLIND FLANGE GASKET TYPE</t>
  </si>
  <si>
    <t>049081164546</t>
  </si>
  <si>
    <t>40049081164544</t>
  </si>
  <si>
    <t>853-060-1</t>
  </si>
  <si>
    <t>6 BLIND FLANGE O-RING TYPE</t>
  </si>
  <si>
    <t>049081164478</t>
  </si>
  <si>
    <t>40049081164476</t>
  </si>
  <si>
    <t>853-080-1</t>
  </si>
  <si>
    <t>8 BLIND FLANGE O-RING TYPE</t>
  </si>
  <si>
    <t>049081164492</t>
  </si>
  <si>
    <t>40049081164490</t>
  </si>
  <si>
    <t>854-020</t>
  </si>
  <si>
    <t>2 VANSTONE FLANGE SLIP GASKET TYPE</t>
  </si>
  <si>
    <t>049081164768</t>
  </si>
  <si>
    <t>40049081164766</t>
  </si>
  <si>
    <t>854-020-1</t>
  </si>
  <si>
    <t>2 VANSTONE FLANGE SLIP O-RING TYPE</t>
  </si>
  <si>
    <t>049081164676</t>
  </si>
  <si>
    <t>40049081164674</t>
  </si>
  <si>
    <t>854-025-1</t>
  </si>
  <si>
    <t>2-1/2 VANSTONE FLANGE SLIP O-RING</t>
  </si>
  <si>
    <t>049081164690</t>
  </si>
  <si>
    <t>40049081164698</t>
  </si>
  <si>
    <t>854-030</t>
  </si>
  <si>
    <t>3 VANSTONE FLANGE SLIP GASKET TYPE</t>
  </si>
  <si>
    <t>049081164805</t>
  </si>
  <si>
    <t>40049081164803</t>
  </si>
  <si>
    <t>854-030-1</t>
  </si>
  <si>
    <t>3 VANSTONE FLANGE SLIP O-RING TYPE</t>
  </si>
  <si>
    <t>049081164713</t>
  </si>
  <si>
    <t>40049081164711</t>
  </si>
  <si>
    <t>854-040</t>
  </si>
  <si>
    <t>4 VANSTONE FLANGE SLIP GASKET TYPE</t>
  </si>
  <si>
    <t>049081164829</t>
  </si>
  <si>
    <t>40049081164827</t>
  </si>
  <si>
    <t>854-040-1</t>
  </si>
  <si>
    <t>4 VANSTONE FLANGE SLIP O-RING TYPE</t>
  </si>
  <si>
    <t>049081164737</t>
  </si>
  <si>
    <t>40049081164735</t>
  </si>
  <si>
    <t>854-050</t>
  </si>
  <si>
    <t>5 VANSTONE FLANGE SLIP GASKET TYPE</t>
  </si>
  <si>
    <t>049081164836</t>
  </si>
  <si>
    <t>40049081164834</t>
  </si>
  <si>
    <t>854-050-1</t>
  </si>
  <si>
    <t>5 VANSTONE FLANGE SLIP O-RING TYPE</t>
  </si>
  <si>
    <t>049081164751</t>
  </si>
  <si>
    <t>40049081164759</t>
  </si>
  <si>
    <t>854-060</t>
  </si>
  <si>
    <t>6 VANSTONE FLANGE SLIP GASKET TYPE</t>
  </si>
  <si>
    <t>049081164843</t>
  </si>
  <si>
    <t>40049081164841</t>
  </si>
  <si>
    <t>854-060-1</t>
  </si>
  <si>
    <t>6 VANSTONE FLANGE SLIP O-RING TYPE</t>
  </si>
  <si>
    <t>049081164775</t>
  </si>
  <si>
    <t>40049081164773</t>
  </si>
  <si>
    <t>854-080</t>
  </si>
  <si>
    <t>8 VANSTONE FLANGE SLIP GASKET TYPE</t>
  </si>
  <si>
    <t>049081164867</t>
  </si>
  <si>
    <t>40049081164865</t>
  </si>
  <si>
    <t>854-080-1</t>
  </si>
  <si>
    <t>8 VANSTONE FLANGE SLIP O-RING TYPE</t>
  </si>
  <si>
    <t>049081164799</t>
  </si>
  <si>
    <t>40049081164797</t>
  </si>
  <si>
    <t>856-020-1</t>
  </si>
  <si>
    <t>2 VANSTONE FLANGE SPG O-RING TYPE</t>
  </si>
  <si>
    <t>049081160517</t>
  </si>
  <si>
    <t>40049081160515</t>
  </si>
  <si>
    <t>856-025-1</t>
  </si>
  <si>
    <t>2-1/2 VANSTONE FLANGE SPG O-RING</t>
  </si>
  <si>
    <t>049081160524</t>
  </si>
  <si>
    <t>40049081165022</t>
  </si>
  <si>
    <t>856-030-1</t>
  </si>
  <si>
    <t>3 VANSTONE FLANGE SPG O-RING TYPE</t>
  </si>
  <si>
    <t>049081160531</t>
  </si>
  <si>
    <t>40049081160539</t>
  </si>
  <si>
    <t>856-040-1</t>
  </si>
  <si>
    <t>4 VANSTONE FLANGE SPG O-RING TYPE</t>
  </si>
  <si>
    <t>049081160548</t>
  </si>
  <si>
    <t>40049081160546</t>
  </si>
  <si>
    <t>856-050-1</t>
  </si>
  <si>
    <t>5 VANSTONE FLANGE SPG O-RING TYPE</t>
  </si>
  <si>
    <t>049081160555</t>
  </si>
  <si>
    <t>40049081160553</t>
  </si>
  <si>
    <t>856-060</t>
  </si>
  <si>
    <t>6 VANSTONE FLANGE SPG GASKET TYPE</t>
  </si>
  <si>
    <t>049081165369</t>
  </si>
  <si>
    <t>40049081165367</t>
  </si>
  <si>
    <t>856-060-1</t>
  </si>
  <si>
    <t>6 VANSTONE FLANGE SPG O-RING TYPE</t>
  </si>
  <si>
    <t>049081160562</t>
  </si>
  <si>
    <t>40049081160560</t>
  </si>
  <si>
    <t>856-080-1</t>
  </si>
  <si>
    <t>8 VANSTONE FLANGE SPG O-RING TYPE</t>
  </si>
  <si>
    <t>049081160579</t>
  </si>
  <si>
    <t>40049081160577</t>
  </si>
  <si>
    <t>853-100-1</t>
  </si>
  <si>
    <t>10 VANSTONE FLANGE BLIND O-RING</t>
  </si>
  <si>
    <t>049081165437</t>
  </si>
  <si>
    <t>40049081165435</t>
  </si>
  <si>
    <t>853-120</t>
  </si>
  <si>
    <t>12 VANSTONE FLANGE BLIND GASKET</t>
  </si>
  <si>
    <t>049081164515</t>
  </si>
  <si>
    <t>40049081164513</t>
  </si>
  <si>
    <t>853-120-1</t>
  </si>
  <si>
    <t>12 VANSTONE FLANGE BLIND O-RING</t>
  </si>
  <si>
    <t>049081165444</t>
  </si>
  <si>
    <t>40049081165442</t>
  </si>
  <si>
    <t>854-100</t>
  </si>
  <si>
    <t>10 VANSTONE FLANGE SLIP GASKET TYPE</t>
  </si>
  <si>
    <t>049081164881</t>
  </si>
  <si>
    <t>40049081164889</t>
  </si>
  <si>
    <t>854-100-1</t>
  </si>
  <si>
    <t>10 VANSTONE FLANGE SLIP O-RING TYPE</t>
  </si>
  <si>
    <t>049081164812</t>
  </si>
  <si>
    <t>40049081164810</t>
  </si>
  <si>
    <t>854-120</t>
  </si>
  <si>
    <t>12 VANSTONE FLANGE SLIP GASKET TYPE</t>
  </si>
  <si>
    <t>049081164904</t>
  </si>
  <si>
    <t>40049081164902</t>
  </si>
  <si>
    <t>854-120-1</t>
  </si>
  <si>
    <t>12 VANSTONE FLANGE SLIP O-RING TYPE</t>
  </si>
  <si>
    <t>049081164850</t>
  </si>
  <si>
    <t>40049081164858</t>
  </si>
  <si>
    <t>856-100-1</t>
  </si>
  <si>
    <t>10 VANSTONE FLANGE SPG O-RING TYPE</t>
  </si>
  <si>
    <t>049081160586</t>
  </si>
  <si>
    <t>40049081160584</t>
  </si>
  <si>
    <t>856-120-1</t>
  </si>
  <si>
    <t>12 VANSTONE FLANGE SPG O-RING TYPE</t>
  </si>
  <si>
    <t>049081160593</t>
  </si>
  <si>
    <t>40049081160591</t>
  </si>
  <si>
    <t>4101-005</t>
  </si>
  <si>
    <t>CPVC TEE ASTM 1/2"</t>
  </si>
  <si>
    <t>3 weeks</t>
  </si>
  <si>
    <t>4101-007</t>
  </si>
  <si>
    <t>CPVC TEE ASTM 3/4"</t>
  </si>
  <si>
    <t>4101-010</t>
  </si>
  <si>
    <t>CPVC TEE ASTM 1"</t>
  </si>
  <si>
    <t>4101-012</t>
  </si>
  <si>
    <t>CPVC TEE ASTM  1.1/4"</t>
  </si>
  <si>
    <t>4101-015</t>
  </si>
  <si>
    <t>CPVC TEE ASTM 1.1/2"</t>
  </si>
  <si>
    <t>4101-020</t>
  </si>
  <si>
    <t>CPVC TEE ASTM 2"</t>
  </si>
  <si>
    <t>4101-094</t>
  </si>
  <si>
    <t>3/4 X 1/2 X 1/2" CPVC REDUCTION TEE ASTM</t>
  </si>
  <si>
    <t>4101-095</t>
  </si>
  <si>
    <t>3/4 X 1/2 X 3/4" CPVC REDUCTION TEE ASTM</t>
  </si>
  <si>
    <t>4101-101</t>
  </si>
  <si>
    <t>3/4 X 3/4 X 1/2" CPVC REDUCTION TEE ASTM</t>
  </si>
  <si>
    <t>4101-130</t>
  </si>
  <si>
    <t>1 X 1 X 1/2 CPVC REDUCTION TEE ASTM</t>
  </si>
  <si>
    <t>4101-131</t>
  </si>
  <si>
    <t>1 X 1 X 3/4 CPVC REDUCTION TEE ASTM</t>
  </si>
  <si>
    <t>4101-167</t>
  </si>
  <si>
    <t>1.1/4 X 1.1/4 X 3/4 CPVC REDUCTION TEE ASTM</t>
  </si>
  <si>
    <t>4101-210</t>
  </si>
  <si>
    <t>1.1/2 X 1.1/2 X 3/4 CPVC REDUCTION TEE ASTM</t>
  </si>
  <si>
    <t>4101-248</t>
  </si>
  <si>
    <t>2 X 2 X 3/4 CPVC REDUCTION TEE ASTM</t>
  </si>
  <si>
    <t>4106-005</t>
  </si>
  <si>
    <t>90º CPVC ELBOW ASTM 1/2"</t>
  </si>
  <si>
    <t>4106-007</t>
  </si>
  <si>
    <t>90º CPVC ELBOW ASTM 3/4"</t>
  </si>
  <si>
    <t>4106-010</t>
  </si>
  <si>
    <t>90º CPVC ELBOW ASTM 1"</t>
  </si>
  <si>
    <t>4106-012</t>
  </si>
  <si>
    <t>90º CPVC ELBOW ASTM  1.1/4"</t>
  </si>
  <si>
    <t>4106-015</t>
  </si>
  <si>
    <t>90º CPVC ELBOW ASTM  1.1/2"</t>
  </si>
  <si>
    <t>4106-020</t>
  </si>
  <si>
    <t>90º CPVC ELBOW ASTM 2"</t>
  </si>
  <si>
    <t>4109-005</t>
  </si>
  <si>
    <t>90 CPVC 1/2  STREET ELBOW</t>
  </si>
  <si>
    <t>4109-007</t>
  </si>
  <si>
    <t>90 CPVC 3/4 STREET ELBOW</t>
  </si>
  <si>
    <t>4109-010</t>
  </si>
  <si>
    <t>90 CPVC 1 STREET ELBOW</t>
  </si>
  <si>
    <t>4117-005</t>
  </si>
  <si>
    <t>45º CPVC ELBOW ASTM 1/2"</t>
  </si>
  <si>
    <t>4117-007</t>
  </si>
  <si>
    <t>45º CPVC ELBOW ASTM 3/4"</t>
  </si>
  <si>
    <t>4117-010</t>
  </si>
  <si>
    <t>45º CPVC ELBOW ASTM 1"</t>
  </si>
  <si>
    <t>4117-012</t>
  </si>
  <si>
    <t>45º CPVC ELBOW ASTM  1.1/4"</t>
  </si>
  <si>
    <t>4117-015</t>
  </si>
  <si>
    <t>45º CPVC ELBOW ASTM  1.1/2"</t>
  </si>
  <si>
    <t>4117-020</t>
  </si>
  <si>
    <t>45º CPVC ELBOW ASTM      2"</t>
  </si>
  <si>
    <t>4127-005</t>
  </si>
  <si>
    <t>45 CPVC 1/2 STREET ELBOW</t>
  </si>
  <si>
    <t>4127-007</t>
  </si>
  <si>
    <t>45 CPVC 3/4 STREET ELBOW</t>
  </si>
  <si>
    <t>4127-010</t>
  </si>
  <si>
    <t>45 CPVC 1 STREET ELBOW</t>
  </si>
  <si>
    <t>4129-005</t>
  </si>
  <si>
    <t>CPVC COUPLING ASTM 1/2"</t>
  </si>
  <si>
    <t>4129-007</t>
  </si>
  <si>
    <t>CPVC COUPLING ASTM 3/4"</t>
  </si>
  <si>
    <t>4129-010</t>
  </si>
  <si>
    <t>CPVC COUPLING ASTM 1"</t>
  </si>
  <si>
    <t>4129-012</t>
  </si>
  <si>
    <t>CPVC COUPLING ASTM 1.1/4</t>
  </si>
  <si>
    <t>4129-015</t>
  </si>
  <si>
    <t>CPVC COUPLING ASTM 1.1/2</t>
  </si>
  <si>
    <t>4129-020</t>
  </si>
  <si>
    <t>CPVC COUPLING ASTM 2"</t>
  </si>
  <si>
    <t>4129-101</t>
  </si>
  <si>
    <t>CPVC RED COUPLING 3/4X1/2"</t>
  </si>
  <si>
    <t>4129-131</t>
  </si>
  <si>
    <t>CPVC RED COUPLING 1X3/4"</t>
  </si>
  <si>
    <t>4135-005</t>
  </si>
  <si>
    <t>1/2" CPVC FEMALE ADAPTER</t>
  </si>
  <si>
    <t>4135-007</t>
  </si>
  <si>
    <t>3/4" CPVC FEMALE ADAPTER</t>
  </si>
  <si>
    <t>4135-010</t>
  </si>
  <si>
    <t>1" CPVC FEMALE ADAPTER</t>
  </si>
  <si>
    <t>4135-005BR</t>
  </si>
  <si>
    <t>CPVC FEMALE ADAPTER ASTM 1/2" BRASS X CPVC</t>
  </si>
  <si>
    <t>4135-007BR</t>
  </si>
  <si>
    <t>CPVC FEMALE ADAPTER ASTM 3/4" BRASS X CPVC</t>
  </si>
  <si>
    <t>4135-010BR</t>
  </si>
  <si>
    <t>CPVC FEMALE ADAPTER ASTM 1" BRASS X CPVC</t>
  </si>
  <si>
    <t>4135-012BR</t>
  </si>
  <si>
    <t>CPVC FEMALE ADAPTER ASTM 1.1/4" BRASS X CPVC</t>
  </si>
  <si>
    <t>4135-015BR</t>
  </si>
  <si>
    <t>CPVC FEMALE ADAPTER ASTM 1.1/2" BRASS X CPVC</t>
  </si>
  <si>
    <t>4135-020BR</t>
  </si>
  <si>
    <t>CPVC FEMALE ADAPTER ASTM 2" BRASS X CPVC</t>
  </si>
  <si>
    <t>4136-005</t>
  </si>
  <si>
    <t>1/2" CPVC MALE ADAPTER</t>
  </si>
  <si>
    <t>4136-007</t>
  </si>
  <si>
    <t>3/4" CPVC MALE ADAPTER</t>
  </si>
  <si>
    <t>4136-007P</t>
  </si>
  <si>
    <t>4136-010</t>
  </si>
  <si>
    <t>1" CPVC MALE ADAPTER</t>
  </si>
  <si>
    <t>4136-005BR</t>
  </si>
  <si>
    <t>CPVC MALE ADAPTER ASTM 1/2" BRASS X CPVC</t>
  </si>
  <si>
    <t>4136-007BR</t>
  </si>
  <si>
    <t>CPVC MALE ADAPTER ASTM 3/4" BRASS X CPVC</t>
  </si>
  <si>
    <t>4136-010BR</t>
  </si>
  <si>
    <t>CPVC MALE ADAPTER ASTM 1" BRASS X CPVC</t>
  </si>
  <si>
    <t>4136-012BR</t>
  </si>
  <si>
    <t>CPVC MALE ADAPTER ASTM 1.1/4" BRASS X CPVC</t>
  </si>
  <si>
    <t>4136-015BR</t>
  </si>
  <si>
    <t>CPVC MALE ADAPTER ASTM 1.1/2" BRASS X CPVC</t>
  </si>
  <si>
    <t>4136-020BR</t>
  </si>
  <si>
    <t>CPVC MALE ADAPTER ASTM 2" BRASS X CPVC</t>
  </si>
  <si>
    <t>4136-101BR</t>
  </si>
  <si>
    <t>CPVC MALE ADAPTER ASTM 3/4X1/2" BRASS X CPVC</t>
  </si>
  <si>
    <t>4137-101</t>
  </si>
  <si>
    <t>CPVC REDUCTION BUSHING ASTM 3/4" X 1/2"</t>
  </si>
  <si>
    <t>4137-130</t>
  </si>
  <si>
    <t>CPVC REDUCTION BUSHING ASTM 1X1/2"</t>
  </si>
  <si>
    <t>4137-131</t>
  </si>
  <si>
    <t>CPVC REDUCTION BUSHING ASTM 1" X 3/4"</t>
  </si>
  <si>
    <t>4137-166</t>
  </si>
  <si>
    <t>CPVC REDUCTION BUSHING ASTM 1.1/4X1/2"</t>
  </si>
  <si>
    <t>4137-167</t>
  </si>
  <si>
    <t>CPVC REDUCTION BUSHING ASTM  1.1/4X3/4"</t>
  </si>
  <si>
    <t>4137-168</t>
  </si>
  <si>
    <t>CPVC REDUCTION BUSHING ASTM 1.1/4X 1"</t>
  </si>
  <si>
    <t>4137-210</t>
  </si>
  <si>
    <t>CPVC REDUCTION BUSHING ASTM 1.1/2X3/4"</t>
  </si>
  <si>
    <t>4137-211</t>
  </si>
  <si>
    <t>CPVC REDUCTION BUSHING ASTM 1.1/2X1"</t>
  </si>
  <si>
    <t>4137-212</t>
  </si>
  <si>
    <t>CPVC REDUCTION BUSHING ASTM 1.1/2" X1.1/4</t>
  </si>
  <si>
    <t>4137-249</t>
  </si>
  <si>
    <t>CPVC REDUCTION BUSHING ASTM 2X1"</t>
  </si>
  <si>
    <t>4137-250</t>
  </si>
  <si>
    <t>CPVC REDUCTION BUSHING ASTM 2X1.1/4"</t>
  </si>
  <si>
    <t>4137-251</t>
  </si>
  <si>
    <t>CPVC REDUCTION BUSHING ASTM 2" X1.1/2"</t>
  </si>
  <si>
    <t>4147-005</t>
  </si>
  <si>
    <t>CPVC CAP ASTM 1/2"</t>
  </si>
  <si>
    <t>4147-007</t>
  </si>
  <si>
    <t>CPVC CAP ASTM 3/4"</t>
  </si>
  <si>
    <t>4147-010</t>
  </si>
  <si>
    <t>CPVC CAP ASTM 1"</t>
  </si>
  <si>
    <t>4147-012</t>
  </si>
  <si>
    <t>CPVC CAP ASTM 1.1/4"</t>
  </si>
  <si>
    <t>4147-015</t>
  </si>
  <si>
    <t>CPVC CAP ASTM 1.1/2"</t>
  </si>
  <si>
    <t>4147-020</t>
  </si>
  <si>
    <t>CPVC CAP ASTM 2"</t>
  </si>
  <si>
    <t>4197-005</t>
  </si>
  <si>
    <t>CPVC UNION ASTM 1/2"</t>
  </si>
  <si>
    <t>4197-007</t>
  </si>
  <si>
    <t>CPVC UNION ASTM 3/4"</t>
  </si>
  <si>
    <t>4197-010</t>
  </si>
  <si>
    <t>CPVC UNION ASTM 1"</t>
  </si>
  <si>
    <t>4197-012</t>
  </si>
  <si>
    <t>CPVC UNION ASTM 1.1/4"</t>
  </si>
  <si>
    <t>4197-015</t>
  </si>
  <si>
    <t>CPVC UNION ASTM 1.1/2"</t>
  </si>
  <si>
    <t>4197-020</t>
  </si>
  <si>
    <t>CPVC UNION ASTM    2"</t>
  </si>
  <si>
    <t>4199-007BR</t>
  </si>
  <si>
    <t>CPVC TRANSITION UNION ASTM 3/4" BRASS X CPVC</t>
  </si>
  <si>
    <t>4724-005-25</t>
  </si>
  <si>
    <t>25 PK 1/2 CPVC TUBING STRAPS</t>
  </si>
  <si>
    <t>4724-007-25</t>
  </si>
  <si>
    <t>25 PK 3/4 CPVC TUBING STRAPS</t>
  </si>
  <si>
    <t>DE4107-005BR</t>
  </si>
  <si>
    <t>CPVC 1/2 DROP EAR ELBOW BRASS FPT X CPVC H</t>
  </si>
  <si>
    <t>T4106-005</t>
  </si>
  <si>
    <t>CPVC TRANSITION ELBOW ASTM 1/2"</t>
  </si>
  <si>
    <t>T4106-007</t>
  </si>
  <si>
    <t>CPVC TRANSITION ELBOW ASTM 3/4"</t>
  </si>
  <si>
    <t>T4106-010</t>
  </si>
  <si>
    <t>CPVC TRANSITION ELBOW ASTM 1"</t>
  </si>
  <si>
    <t>T4106-101</t>
  </si>
  <si>
    <t>CPVC TRANSITION ELBOW ASTM 3/4X1/2"</t>
  </si>
  <si>
    <t>SDR35 SW</t>
  </si>
  <si>
    <t>SDR35 G</t>
  </si>
  <si>
    <t>SDR26 G</t>
  </si>
  <si>
    <t>100-R</t>
  </si>
  <si>
    <t>10 ROUND GRATE, GREEN</t>
  </si>
  <si>
    <t>062-R</t>
  </si>
  <si>
    <t>6 ROUND GRATE, TAN</t>
  </si>
  <si>
    <t>DuraFix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</si>
</sst>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&lt;=9999999]###\-####;\(###\)\ ###\-####"/>
    <numFmt numFmtId="168" formatCode="0.0000"/>
    <numFmt numFmtId="169" formatCode="#,##0.0000_);[Red]\(#,##0.0000\)"/>
    <numFmt numFmtId="170" formatCode="_(* #,##0.0000_);_(* \(#,##0.0000\);_(* &quot;-&quot;????_);_(@_)"/>
    <numFmt numFmtId="171" formatCode="#,##0.0000"/>
    <numFmt numFmtId="172" formatCode="_(* #,##0.000_);_(* \(#,##0.000\);_(* &quot;-&quot;???_);_(@_)"/>
    <numFmt numFmtId="173" formatCode="#,##0.000_);[Red]\(#,##0.000\)"/>
    <numFmt numFmtId="174" formatCode="0.000"/>
    <numFmt numFmtId="175" formatCode="#,##0.000"/>
  </numFmts>
  <fonts count="4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u/>
      <sz val="12"/>
      <color indexed="8"/>
      <name val="Arial Narrow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Arial Narrow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0"/>
      <name val="Wingdings 2"/>
      <family val="1"/>
      <charset val="2"/>
    </font>
    <font>
      <b/>
      <sz val="11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indexed="8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u/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10"/>
      </left>
      <right style="medium">
        <color indexed="10"/>
      </right>
      <top/>
      <bottom style="thin">
        <color indexed="64"/>
      </bottom>
      <diagonal/>
    </border>
    <border>
      <left style="medium">
        <color indexed="10"/>
      </left>
      <right style="medium">
        <color indexed="10"/>
      </right>
      <top style="thin">
        <color indexed="64"/>
      </top>
      <bottom/>
      <diagonal/>
    </border>
    <border>
      <left style="medium">
        <color indexed="10"/>
      </left>
      <right style="medium">
        <color indexed="1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/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FF0000"/>
      </left>
      <right style="thin">
        <color indexed="64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/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/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40" fillId="0" borderId="0"/>
  </cellStyleXfs>
  <cellXfs count="669">
    <xf numFmtId="0" fontId="0" fillId="0" borderId="0" xfId="0"/>
    <xf numFmtId="0" fontId="0" fillId="0" borderId="1" xfId="0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3" fillId="0" borderId="1" xfId="0" applyFont="1" applyBorder="1" applyAlignment="1" applyProtection="1">
      <alignment horizontal="center"/>
      <protection hidden="1"/>
    </xf>
    <xf numFmtId="171" fontId="0" fillId="0" borderId="0" xfId="0" applyNumberFormat="1" applyAlignment="1" applyProtection="1">
      <alignment horizontal="right"/>
      <protection hidden="1"/>
    </xf>
    <xf numFmtId="0" fontId="0" fillId="0" borderId="0" xfId="0" applyAlignment="1" applyProtection="1">
      <alignment horizontal="left"/>
      <protection hidden="1"/>
    </xf>
    <xf numFmtId="1" fontId="0" fillId="0" borderId="0" xfId="0" applyNumberFormat="1" applyProtection="1">
      <protection hidden="1"/>
    </xf>
    <xf numFmtId="169" fontId="0" fillId="0" borderId="0" xfId="0" applyNumberFormat="1" applyAlignment="1" applyProtection="1">
      <alignment horizontal="right"/>
      <protection hidden="1"/>
    </xf>
    <xf numFmtId="168" fontId="0" fillId="0" borderId="0" xfId="0" applyNumberFormat="1" applyProtection="1">
      <protection hidden="1"/>
    </xf>
    <xf numFmtId="0" fontId="9" fillId="0" borderId="0" xfId="0" applyFont="1" applyAlignment="1" applyProtection="1">
      <alignment horizontal="center"/>
      <protection hidden="1"/>
    </xf>
    <xf numFmtId="168" fontId="6" fillId="0" borderId="0" xfId="15" applyNumberFormat="1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0" xfId="0" applyAlignment="1" applyProtection="1">
      <alignment vertical="center"/>
      <protection hidden="1"/>
    </xf>
    <xf numFmtId="169" fontId="0" fillId="0" borderId="0" xfId="0" applyNumberForma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69" fontId="0" fillId="0" borderId="0" xfId="0" applyNumberFormat="1" applyAlignment="1" applyProtection="1">
      <alignment horizontal="right" vertical="center"/>
      <protection hidden="1"/>
    </xf>
    <xf numFmtId="0" fontId="13" fillId="0" borderId="9" xfId="0" applyFont="1" applyBorder="1" applyAlignment="1" applyProtection="1">
      <alignment horizontal="center"/>
      <protection hidden="1"/>
    </xf>
    <xf numFmtId="0" fontId="0" fillId="0" borderId="4" xfId="0" applyBorder="1" applyProtection="1">
      <protection hidden="1"/>
    </xf>
    <xf numFmtId="0" fontId="2" fillId="0" borderId="0" xfId="0" applyFont="1" applyAlignment="1" applyProtection="1">
      <alignment horizontal="left"/>
      <protection hidden="1"/>
    </xf>
    <xf numFmtId="171" fontId="0" fillId="0" borderId="0" xfId="0" applyNumberFormat="1" applyAlignment="1" applyProtection="1">
      <alignment horizontal="right" vertical="center"/>
      <protection hidden="1"/>
    </xf>
    <xf numFmtId="0" fontId="0" fillId="0" borderId="2" xfId="0" applyBorder="1" applyProtection="1">
      <protection hidden="1"/>
    </xf>
    <xf numFmtId="4" fontId="17" fillId="0" borderId="0" xfId="0" applyNumberFormat="1" applyFont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left" vertical="center"/>
      <protection hidden="1"/>
    </xf>
    <xf numFmtId="0" fontId="6" fillId="0" borderId="0" xfId="15" applyNumberFormat="1" applyFont="1" applyFill="1" applyAlignment="1" applyProtection="1">
      <alignment horizontal="center"/>
      <protection hidden="1"/>
    </xf>
    <xf numFmtId="166" fontId="6" fillId="0" borderId="0" xfId="1" applyFon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left"/>
      <protection hidden="1"/>
    </xf>
    <xf numFmtId="0" fontId="0" fillId="0" borderId="3" xfId="0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 wrapText="1"/>
      <protection hidden="1"/>
    </xf>
    <xf numFmtId="0" fontId="0" fillId="0" borderId="6" xfId="0" applyBorder="1" applyProtection="1">
      <protection hidden="1"/>
    </xf>
    <xf numFmtId="0" fontId="0" fillId="0" borderId="1" xfId="0" applyBorder="1" applyAlignment="1" applyProtection="1">
      <alignment horizontal="center"/>
      <protection locked="0" hidden="1"/>
    </xf>
    <xf numFmtId="0" fontId="0" fillId="0" borderId="11" xfId="0" applyBorder="1" applyAlignment="1" applyProtection="1">
      <alignment horizontal="center"/>
      <protection locked="0" hidden="1"/>
    </xf>
    <xf numFmtId="0" fontId="0" fillId="0" borderId="1" xfId="0" applyBorder="1" applyAlignment="1" applyProtection="1">
      <alignment horizontal="left"/>
      <protection locked="0" hidden="1"/>
    </xf>
    <xf numFmtId="168" fontId="0" fillId="0" borderId="12" xfId="0" applyNumberFormat="1" applyBorder="1" applyAlignment="1" applyProtection="1">
      <alignment horizontal="right"/>
      <protection locked="0" hidden="1"/>
    </xf>
    <xf numFmtId="170" fontId="6" fillId="0" borderId="1" xfId="1" applyNumberFormat="1" applyFont="1" applyBorder="1" applyAlignment="1" applyProtection="1">
      <alignment horizontal="right"/>
      <protection hidden="1"/>
    </xf>
    <xf numFmtId="14" fontId="0" fillId="0" borderId="1" xfId="0" applyNumberFormat="1" applyBorder="1" applyAlignment="1" applyProtection="1">
      <alignment horizontal="center"/>
      <protection locked="0" hidden="1"/>
    </xf>
    <xf numFmtId="1" fontId="19" fillId="4" borderId="25" xfId="0" applyNumberFormat="1" applyFont="1" applyFill="1" applyBorder="1" applyAlignment="1" applyProtection="1">
      <alignment horizontal="center" vertical="center" wrapText="1"/>
      <protection hidden="1"/>
    </xf>
    <xf numFmtId="40" fontId="19" fillId="4" borderId="25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25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4" borderId="25" xfId="0" applyFont="1" applyFill="1" applyBorder="1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172" fontId="6" fillId="0" borderId="1" xfId="1" applyNumberFormat="1" applyFont="1" applyBorder="1" applyProtection="1">
      <protection hidden="1"/>
    </xf>
    <xf numFmtId="2" fontId="20" fillId="0" borderId="15" xfId="0" applyNumberFormat="1" applyFont="1" applyBorder="1" applyAlignment="1" applyProtection="1">
      <alignment horizontal="center"/>
      <protection hidden="1"/>
    </xf>
    <xf numFmtId="0" fontId="0" fillId="0" borderId="20" xfId="0" applyBorder="1" applyProtection="1">
      <protection hidden="1"/>
    </xf>
    <xf numFmtId="0" fontId="0" fillId="0" borderId="17" xfId="0" applyBorder="1" applyProtection="1">
      <protection hidden="1"/>
    </xf>
    <xf numFmtId="0" fontId="0" fillId="0" borderId="18" xfId="0" applyBorder="1" applyProtection="1">
      <protection hidden="1"/>
    </xf>
    <xf numFmtId="172" fontId="6" fillId="0" borderId="9" xfId="1" applyNumberFormat="1" applyFont="1" applyBorder="1" applyProtection="1">
      <protection hidden="1"/>
    </xf>
    <xf numFmtId="1" fontId="10" fillId="0" borderId="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left" vertical="center"/>
      <protection hidden="1"/>
    </xf>
    <xf numFmtId="172" fontId="6" fillId="0" borderId="1" xfId="1" applyNumberFormat="1" applyFont="1" applyBorder="1" applyAlignment="1" applyProtection="1">
      <alignment horizontal="center"/>
      <protection hidden="1"/>
    </xf>
    <xf numFmtId="170" fontId="6" fillId="0" borderId="9" xfId="1" applyNumberFormat="1" applyFont="1" applyBorder="1" applyAlignment="1" applyProtection="1">
      <alignment horizontal="right"/>
      <protection hidden="1"/>
    </xf>
    <xf numFmtId="0" fontId="0" fillId="0" borderId="0" xfId="0" applyAlignment="1" applyProtection="1">
      <alignment vertical="center" wrapText="1"/>
      <protection hidden="1"/>
    </xf>
    <xf numFmtId="0" fontId="19" fillId="0" borderId="0" xfId="0" applyFont="1" applyAlignment="1" applyProtection="1">
      <alignment horizontal="center" wrapText="1"/>
      <protection hidden="1"/>
    </xf>
    <xf numFmtId="49" fontId="19" fillId="4" borderId="0" xfId="0" applyNumberFormat="1" applyFont="1" applyFill="1" applyAlignment="1" applyProtection="1">
      <alignment horizontal="center" wrapText="1"/>
      <protection hidden="1"/>
    </xf>
    <xf numFmtId="40" fontId="19" fillId="4" borderId="0" xfId="0" applyNumberFormat="1" applyFont="1" applyFill="1" applyAlignment="1" applyProtection="1">
      <alignment horizontal="center" wrapText="1"/>
      <protection hidden="1"/>
    </xf>
    <xf numFmtId="0" fontId="28" fillId="4" borderId="0" xfId="0" applyFont="1" applyFill="1" applyAlignment="1" applyProtection="1">
      <alignment horizontal="center" wrapText="1"/>
      <protection hidden="1"/>
    </xf>
    <xf numFmtId="0" fontId="25" fillId="2" borderId="13" xfId="0" applyFon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locked="0" hidden="1"/>
    </xf>
    <xf numFmtId="0" fontId="0" fillId="2" borderId="11" xfId="0" applyFill="1" applyBorder="1" applyAlignment="1" applyProtection="1">
      <alignment horizontal="center"/>
      <protection locked="0" hidden="1"/>
    </xf>
    <xf numFmtId="0" fontId="0" fillId="2" borderId="1" xfId="0" applyFill="1" applyBorder="1" applyAlignment="1" applyProtection="1">
      <alignment horizontal="left"/>
      <protection locked="0" hidden="1"/>
    </xf>
    <xf numFmtId="168" fontId="0" fillId="2" borderId="12" xfId="0" applyNumberFormat="1" applyFill="1" applyBorder="1" applyAlignment="1" applyProtection="1">
      <alignment horizontal="right"/>
      <protection locked="0" hidden="1"/>
    </xf>
    <xf numFmtId="170" fontId="6" fillId="2" borderId="1" xfId="1" applyNumberFormat="1" applyFont="1" applyFill="1" applyBorder="1" applyAlignment="1" applyProtection="1">
      <alignment horizontal="right"/>
      <protection hidden="1"/>
    </xf>
    <xf numFmtId="165" fontId="6" fillId="2" borderId="10" xfId="14" applyFont="1" applyFill="1" applyBorder="1" applyAlignment="1" applyProtection="1">
      <alignment horizontal="right"/>
      <protection hidden="1"/>
    </xf>
    <xf numFmtId="0" fontId="0" fillId="0" borderId="0" xfId="0" applyAlignment="1" applyProtection="1">
      <alignment horizontal="right" vertical="top"/>
      <protection hidden="1"/>
    </xf>
    <xf numFmtId="0" fontId="30" fillId="0" borderId="0" xfId="0" applyFont="1" applyAlignment="1" applyProtection="1">
      <alignment horizontal="right"/>
      <protection hidden="1"/>
    </xf>
    <xf numFmtId="0" fontId="0" fillId="0" borderId="30" xfId="0" applyBorder="1" applyProtection="1">
      <protection locked="0" hidden="1"/>
    </xf>
    <xf numFmtId="0" fontId="0" fillId="0" borderId="31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33" xfId="0" applyBorder="1" applyProtection="1">
      <protection locked="0" hidden="1"/>
    </xf>
    <xf numFmtId="0" fontId="0" fillId="0" borderId="31" xfId="0" applyBorder="1" applyAlignment="1" applyProtection="1">
      <alignment vertical="center"/>
      <protection locked="0" hidden="1"/>
    </xf>
    <xf numFmtId="0" fontId="0" fillId="0" borderId="31" xfId="0" applyBorder="1" applyAlignment="1" applyProtection="1">
      <alignment horizontal="center"/>
      <protection locked="0" hidden="1"/>
    </xf>
    <xf numFmtId="0" fontId="0" fillId="0" borderId="31" xfId="0" applyBorder="1" applyAlignment="1" applyProtection="1">
      <alignment horizontal="center" vertical="center"/>
      <protection locked="0" hidden="1"/>
    </xf>
    <xf numFmtId="0" fontId="0" fillId="0" borderId="17" xfId="0" applyBorder="1" applyAlignment="1" applyProtection="1">
      <alignment vertical="center"/>
      <protection hidden="1"/>
    </xf>
    <xf numFmtId="0" fontId="8" fillId="0" borderId="4" xfId="0" applyFont="1" applyBorder="1" applyAlignment="1" applyProtection="1">
      <alignment horizontal="center"/>
      <protection hidden="1"/>
    </xf>
    <xf numFmtId="0" fontId="8" fillId="2" borderId="12" xfId="0" applyFont="1" applyFill="1" applyBorder="1" applyAlignment="1" applyProtection="1">
      <alignment horizontal="center"/>
      <protection hidden="1"/>
    </xf>
    <xf numFmtId="0" fontId="8" fillId="0" borderId="12" xfId="0" applyFont="1" applyBorder="1" applyAlignment="1" applyProtection="1">
      <alignment horizontal="center"/>
      <protection hidden="1"/>
    </xf>
    <xf numFmtId="0" fontId="8" fillId="2" borderId="4" xfId="0" applyFont="1" applyFill="1" applyBorder="1" applyAlignment="1" applyProtection="1">
      <alignment horizontal="center"/>
      <protection hidden="1"/>
    </xf>
    <xf numFmtId="170" fontId="6" fillId="0" borderId="18" xfId="1" applyNumberFormat="1" applyFont="1" applyBorder="1" applyAlignment="1" applyProtection="1">
      <alignment horizontal="right"/>
      <protection hidden="1"/>
    </xf>
    <xf numFmtId="170" fontId="6" fillId="2" borderId="11" xfId="1" applyNumberFormat="1" applyFont="1" applyFill="1" applyBorder="1" applyAlignment="1" applyProtection="1">
      <alignment horizontal="right"/>
      <protection hidden="1"/>
    </xf>
    <xf numFmtId="170" fontId="6" fillId="0" borderId="11" xfId="1" applyNumberFormat="1" applyFont="1" applyBorder="1" applyAlignment="1" applyProtection="1">
      <alignment horizontal="right"/>
      <protection hidden="1"/>
    </xf>
    <xf numFmtId="0" fontId="19" fillId="4" borderId="7" xfId="0" applyFont="1" applyFill="1" applyBorder="1" applyAlignment="1" applyProtection="1">
      <alignment horizontal="center" vertical="center" wrapText="1"/>
      <protection hidden="1"/>
    </xf>
    <xf numFmtId="0" fontId="8" fillId="0" borderId="34" xfId="0" applyFont="1" applyBorder="1" applyAlignment="1" applyProtection="1">
      <alignment horizontal="center"/>
      <protection locked="0" hidden="1"/>
    </xf>
    <xf numFmtId="0" fontId="0" fillId="0" borderId="35" xfId="0" applyBorder="1" applyAlignment="1" applyProtection="1">
      <alignment horizontal="center"/>
      <protection locked="0" hidden="1"/>
    </xf>
    <xf numFmtId="0" fontId="0" fillId="0" borderId="36" xfId="0" applyBorder="1" applyAlignment="1" applyProtection="1">
      <alignment horizontal="center"/>
      <protection locked="0" hidden="1"/>
    </xf>
    <xf numFmtId="0" fontId="0" fillId="0" borderId="35" xfId="0" applyBorder="1" applyAlignment="1" applyProtection="1">
      <alignment horizontal="left"/>
      <protection locked="0" hidden="1"/>
    </xf>
    <xf numFmtId="168" fontId="0" fillId="0" borderId="37" xfId="0" applyNumberFormat="1" applyBorder="1" applyAlignment="1" applyProtection="1">
      <alignment horizontal="right"/>
      <protection locked="0" hidden="1"/>
    </xf>
    <xf numFmtId="0" fontId="0" fillId="0" borderId="38" xfId="0" applyBorder="1" applyAlignment="1" applyProtection="1">
      <alignment horizontal="center"/>
      <protection locked="0" hidden="1"/>
    </xf>
    <xf numFmtId="0" fontId="8" fillId="2" borderId="39" xfId="0" applyFont="1" applyFill="1" applyBorder="1" applyAlignment="1" applyProtection="1">
      <alignment horizontal="center"/>
      <protection locked="0" hidden="1"/>
    </xf>
    <xf numFmtId="0" fontId="0" fillId="2" borderId="40" xfId="0" applyFill="1" applyBorder="1" applyAlignment="1" applyProtection="1">
      <alignment horizontal="center"/>
      <protection locked="0" hidden="1"/>
    </xf>
    <xf numFmtId="0" fontId="8" fillId="0" borderId="39" xfId="0" applyFont="1" applyBorder="1" applyAlignment="1" applyProtection="1">
      <alignment horizontal="center"/>
      <protection locked="0" hidden="1"/>
    </xf>
    <xf numFmtId="0" fontId="0" fillId="0" borderId="40" xfId="0" applyBorder="1" applyAlignment="1" applyProtection="1">
      <alignment horizontal="center"/>
      <protection locked="0" hidden="1"/>
    </xf>
    <xf numFmtId="0" fontId="8" fillId="0" borderId="41" xfId="0" applyFont="1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center"/>
      <protection locked="0" hidden="1"/>
    </xf>
    <xf numFmtId="0" fontId="0" fillId="0" borderId="43" xfId="0" applyBorder="1" applyAlignment="1" applyProtection="1">
      <alignment horizontal="center"/>
      <protection locked="0" hidden="1"/>
    </xf>
    <xf numFmtId="0" fontId="0" fillId="0" borderId="42" xfId="0" applyBorder="1" applyAlignment="1" applyProtection="1">
      <alignment horizontal="left"/>
      <protection locked="0" hidden="1"/>
    </xf>
    <xf numFmtId="168" fontId="0" fillId="0" borderId="44" xfId="0" applyNumberFormat="1" applyBorder="1" applyAlignment="1" applyProtection="1">
      <alignment horizontal="right"/>
      <protection locked="0" hidden="1"/>
    </xf>
    <xf numFmtId="0" fontId="0" fillId="0" borderId="45" xfId="0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72" fontId="6" fillId="0" borderId="11" xfId="1" applyNumberFormat="1" applyFont="1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vertical="center"/>
      <protection locked="0" hidden="1"/>
    </xf>
    <xf numFmtId="0" fontId="0" fillId="0" borderId="30" xfId="0" applyBorder="1" applyAlignment="1" applyProtection="1">
      <alignment vertical="center"/>
      <protection locked="0" hidden="1"/>
    </xf>
    <xf numFmtId="0" fontId="0" fillId="0" borderId="2" xfId="0" applyBorder="1" applyAlignment="1" applyProtection="1">
      <alignment vertical="center"/>
      <protection hidden="1"/>
    </xf>
    <xf numFmtId="0" fontId="0" fillId="0" borderId="20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vertical="center"/>
      <protection hidden="1"/>
    </xf>
    <xf numFmtId="0" fontId="0" fillId="0" borderId="4" xfId="0" applyBorder="1" applyAlignment="1" applyProtection="1">
      <alignment vertical="center"/>
      <protection hidden="1"/>
    </xf>
    <xf numFmtId="0" fontId="0" fillId="0" borderId="18" xfId="0" applyBorder="1" applyAlignment="1" applyProtection="1">
      <alignment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172" fontId="6" fillId="0" borderId="1" xfId="1" applyNumberFormat="1" applyFont="1" applyBorder="1" applyAlignment="1" applyProtection="1">
      <alignment vertical="center"/>
      <protection hidden="1"/>
    </xf>
    <xf numFmtId="172" fontId="6" fillId="0" borderId="9" xfId="1" applyNumberFormat="1" applyFont="1" applyBorder="1" applyAlignment="1" applyProtection="1">
      <alignment vertical="center"/>
      <protection hidden="1"/>
    </xf>
    <xf numFmtId="173" fontId="0" fillId="0" borderId="0" xfId="0" applyNumberFormat="1" applyProtection="1">
      <protection hidden="1"/>
    </xf>
    <xf numFmtId="173" fontId="0" fillId="0" borderId="0" xfId="0" applyNumberFormat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0" fontId="0" fillId="0" borderId="11" xfId="0" applyBorder="1" applyProtection="1">
      <protection hidden="1"/>
    </xf>
    <xf numFmtId="0" fontId="0" fillId="0" borderId="48" xfId="0" applyBorder="1" applyAlignment="1" applyProtection="1">
      <alignment vertical="center"/>
      <protection locked="0" hidden="1"/>
    </xf>
    <xf numFmtId="0" fontId="0" fillId="0" borderId="47" xfId="0" applyBorder="1" applyAlignment="1" applyProtection="1">
      <alignment vertical="center"/>
      <protection locked="0" hidden="1"/>
    </xf>
    <xf numFmtId="0" fontId="0" fillId="0" borderId="50" xfId="0" applyBorder="1" applyAlignment="1" applyProtection="1">
      <alignment vertical="center"/>
      <protection locked="0" hidden="1"/>
    </xf>
    <xf numFmtId="0" fontId="0" fillId="0" borderId="51" xfId="0" applyBorder="1" applyAlignment="1" applyProtection="1">
      <alignment vertical="center"/>
      <protection locked="0" hidden="1"/>
    </xf>
    <xf numFmtId="0" fontId="0" fillId="0" borderId="49" xfId="0" applyBorder="1" applyAlignment="1" applyProtection="1">
      <alignment vertical="center"/>
      <protection locked="0" hidden="1"/>
    </xf>
    <xf numFmtId="166" fontId="0" fillId="0" borderId="1" xfId="1" applyFont="1" applyBorder="1" applyAlignment="1" applyProtection="1">
      <alignment horizontal="right" vertical="center"/>
      <protection hidden="1"/>
    </xf>
    <xf numFmtId="164" fontId="0" fillId="0" borderId="1" xfId="1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>
      <alignment horizontal="center"/>
    </xf>
    <xf numFmtId="0" fontId="0" fillId="0" borderId="7" xfId="0" applyBorder="1" applyAlignment="1">
      <alignment horizontal="center"/>
    </xf>
    <xf numFmtId="17" fontId="7" fillId="0" borderId="0" xfId="0" applyNumberFormat="1" applyFont="1" applyAlignment="1" applyProtection="1">
      <alignment horizontal="center"/>
      <protection hidden="1"/>
    </xf>
    <xf numFmtId="40" fontId="0" fillId="0" borderId="12" xfId="0" applyNumberFormat="1" applyBorder="1" applyAlignment="1" applyProtection="1">
      <alignment horizontal="right" vertical="center"/>
      <protection hidden="1"/>
    </xf>
    <xf numFmtId="40" fontId="0" fillId="0" borderId="12" xfId="0" applyNumberFormat="1" applyBorder="1" applyProtection="1">
      <protection hidden="1"/>
    </xf>
    <xf numFmtId="4" fontId="0" fillId="0" borderId="12" xfId="0" applyNumberFormat="1" applyBorder="1" applyAlignment="1" applyProtection="1">
      <alignment horizontal="right" vertical="center"/>
      <protection hidden="1"/>
    </xf>
    <xf numFmtId="4" fontId="0" fillId="0" borderId="12" xfId="0" applyNumberFormat="1" applyBorder="1" applyAlignment="1" applyProtection="1">
      <alignment horizontal="right"/>
      <protection hidden="1"/>
    </xf>
    <xf numFmtId="0" fontId="8" fillId="0" borderId="1" xfId="0" applyFont="1" applyBorder="1" applyAlignment="1">
      <alignment horizontal="center"/>
    </xf>
    <xf numFmtId="4" fontId="0" fillId="0" borderId="1" xfId="0" applyNumberFormat="1" applyBorder="1" applyAlignment="1" applyProtection="1">
      <alignment horizontal="right" indent="1"/>
      <protection hidden="1"/>
    </xf>
    <xf numFmtId="169" fontId="19" fillId="0" borderId="0" xfId="0" applyNumberFormat="1" applyFont="1" applyAlignment="1" applyProtection="1">
      <alignment horizontal="center" wrapText="1"/>
      <protection hidden="1"/>
    </xf>
    <xf numFmtId="49" fontId="19" fillId="0" borderId="0" xfId="0" applyNumberFormat="1" applyFont="1" applyAlignment="1" applyProtection="1">
      <alignment horizontal="center" wrapText="1"/>
      <protection hidden="1"/>
    </xf>
    <xf numFmtId="40" fontId="19" fillId="0" borderId="0" xfId="0" applyNumberFormat="1" applyFont="1" applyAlignment="1" applyProtection="1">
      <alignment horizontal="center" wrapText="1"/>
      <protection hidden="1"/>
    </xf>
    <xf numFmtId="0" fontId="12" fillId="0" borderId="0" xfId="0" applyFont="1"/>
    <xf numFmtId="0" fontId="8" fillId="0" borderId="61" xfId="0" applyFont="1" applyBorder="1" applyAlignment="1">
      <alignment horizontal="center"/>
    </xf>
    <xf numFmtId="0" fontId="0" fillId="0" borderId="61" xfId="0" applyBorder="1" applyAlignment="1" applyProtection="1">
      <alignment horizontal="center"/>
      <protection hidden="1"/>
    </xf>
    <xf numFmtId="0" fontId="0" fillId="0" borderId="61" xfId="0" applyBorder="1" applyAlignment="1" applyProtection="1">
      <alignment horizontal="left"/>
      <protection hidden="1"/>
    </xf>
    <xf numFmtId="0" fontId="13" fillId="0" borderId="63" xfId="0" applyFont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>
      <alignment horizontal="left" vertical="center"/>
    </xf>
    <xf numFmtId="0" fontId="19" fillId="4" borderId="0" xfId="0" applyFont="1" applyFill="1" applyAlignment="1" applyProtection="1">
      <alignment horizontal="center" vertical="center" wrapText="1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4" fontId="0" fillId="0" borderId="1" xfId="0" applyNumberFormat="1" applyBorder="1" applyAlignment="1" applyProtection="1">
      <alignment horizontal="right" vertical="center"/>
      <protection hidden="1"/>
    </xf>
    <xf numFmtId="0" fontId="0" fillId="0" borderId="0" xfId="0" applyAlignment="1">
      <alignment horizontal="center" vertical="center"/>
    </xf>
    <xf numFmtId="4" fontId="0" fillId="0" borderId="1" xfId="0" applyNumberFormat="1" applyBorder="1" applyAlignment="1" applyProtection="1">
      <alignment horizontal="center" vertical="center"/>
      <protection hidden="1"/>
    </xf>
    <xf numFmtId="0" fontId="28" fillId="4" borderId="0" xfId="0" applyFont="1" applyFill="1" applyAlignment="1" applyProtection="1">
      <alignment horizontal="center" vertical="center" wrapText="1"/>
      <protection hidden="1"/>
    </xf>
    <xf numFmtId="0" fontId="28" fillId="0" borderId="0" xfId="0" applyFont="1" applyAlignment="1" applyProtection="1">
      <alignment horizontal="center" vertical="center" wrapText="1"/>
      <protection hidden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horizontal="left" vertical="center"/>
      <protection hidden="1"/>
    </xf>
    <xf numFmtId="0" fontId="15" fillId="5" borderId="69" xfId="0" applyFont="1" applyFill="1" applyBorder="1" applyAlignment="1" applyProtection="1">
      <alignment horizontal="center" vertical="center"/>
      <protection hidden="1"/>
    </xf>
    <xf numFmtId="0" fontId="15" fillId="5" borderId="70" xfId="0" applyFont="1" applyFill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171" fontId="0" fillId="0" borderId="0" xfId="0" applyNumberFormat="1" applyAlignment="1" applyProtection="1">
      <alignment horizontal="center"/>
      <protection hidden="1"/>
    </xf>
    <xf numFmtId="169" fontId="0" fillId="0" borderId="0" xfId="0" applyNumberFormat="1" applyAlignment="1" applyProtection="1">
      <alignment horizontal="center"/>
      <protection hidden="1"/>
    </xf>
    <xf numFmtId="0" fontId="15" fillId="5" borderId="21" xfId="0" applyFont="1" applyFill="1" applyBorder="1" applyAlignment="1" applyProtection="1">
      <alignment vertical="center"/>
      <protection hidden="1"/>
    </xf>
    <xf numFmtId="0" fontId="15" fillId="5" borderId="69" xfId="0" applyFont="1" applyFill="1" applyBorder="1" applyAlignment="1" applyProtection="1">
      <alignment vertical="center"/>
      <protection hidden="1"/>
    </xf>
    <xf numFmtId="0" fontId="15" fillId="5" borderId="70" xfId="0" applyFont="1" applyFill="1" applyBorder="1" applyAlignment="1" applyProtection="1">
      <alignment vertical="center"/>
      <protection hidden="1"/>
    </xf>
    <xf numFmtId="0" fontId="15" fillId="5" borderId="60" xfId="0" applyFont="1" applyFill="1" applyBorder="1" applyAlignment="1" applyProtection="1">
      <alignment vertical="center"/>
      <protection hidden="1"/>
    </xf>
    <xf numFmtId="0" fontId="31" fillId="0" borderId="0" xfId="0" applyFont="1" applyProtection="1"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center" vertical="center"/>
      <protection hidden="1"/>
    </xf>
    <xf numFmtId="39" fontId="0" fillId="0" borderId="1" xfId="1" applyNumberFormat="1" applyFont="1" applyBorder="1" applyAlignment="1" applyProtection="1">
      <alignment horizontal="right" vertical="center"/>
      <protection hidden="1"/>
    </xf>
    <xf numFmtId="169" fontId="19" fillId="4" borderId="0" xfId="0" applyNumberFormat="1" applyFont="1" applyFill="1" applyAlignment="1" applyProtection="1">
      <alignment horizontal="center" vertical="center" wrapText="1"/>
      <protection hidden="1"/>
    </xf>
    <xf numFmtId="49" fontId="19" fillId="4" borderId="0" xfId="0" applyNumberFormat="1" applyFont="1" applyFill="1" applyAlignment="1" applyProtection="1">
      <alignment horizontal="center" vertical="center" wrapText="1"/>
      <protection hidden="1"/>
    </xf>
    <xf numFmtId="40" fontId="19" fillId="4" borderId="0" xfId="0" applyNumberFormat="1" applyFont="1" applyFill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left"/>
      <protection hidden="1"/>
    </xf>
    <xf numFmtId="39" fontId="0" fillId="0" borderId="61" xfId="1" applyNumberFormat="1" applyFont="1" applyBorder="1" applyAlignment="1" applyProtection="1">
      <alignment horizontal="right" vertical="center"/>
      <protection hidden="1"/>
    </xf>
    <xf numFmtId="172" fontId="6" fillId="0" borderId="0" xfId="1" applyNumberFormat="1" applyFont="1" applyBorder="1" applyAlignment="1" applyProtection="1">
      <alignment horizontal="center" vertical="center"/>
      <protection hidden="1"/>
    </xf>
    <xf numFmtId="0" fontId="8" fillId="0" borderId="61" xfId="0" applyFont="1" applyBorder="1" applyAlignment="1">
      <alignment horizontal="center" vertical="center"/>
    </xf>
    <xf numFmtId="0" fontId="0" fillId="0" borderId="61" xfId="0" applyBorder="1" applyAlignment="1" applyProtection="1">
      <alignment horizontal="left" vertical="center"/>
      <protection hidden="1"/>
    </xf>
    <xf numFmtId="0" fontId="0" fillId="0" borderId="33" xfId="0" applyBorder="1" applyAlignment="1" applyProtection="1">
      <alignment horizontal="center" vertical="center"/>
      <protection locked="0" hidden="1"/>
    </xf>
    <xf numFmtId="0" fontId="8" fillId="0" borderId="66" xfId="0" applyFont="1" applyBorder="1" applyAlignment="1">
      <alignment horizontal="center" vertical="center"/>
    </xf>
    <xf numFmtId="0" fontId="0" fillId="0" borderId="66" xfId="0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alignment horizontal="center" vertical="center"/>
      <protection locked="0" hidden="1"/>
    </xf>
    <xf numFmtId="0" fontId="8" fillId="0" borderId="72" xfId="0" applyFont="1" applyBorder="1" applyAlignment="1">
      <alignment horizontal="center" vertical="center"/>
    </xf>
    <xf numFmtId="0" fontId="0" fillId="0" borderId="72" xfId="0" applyBorder="1" applyAlignment="1" applyProtection="1">
      <alignment horizontal="left" vertical="center"/>
      <protection hidden="1"/>
    </xf>
    <xf numFmtId="0" fontId="0" fillId="0" borderId="74" xfId="0" applyBorder="1" applyAlignment="1" applyProtection="1">
      <alignment horizontal="center" vertical="center"/>
      <protection locked="0" hidden="1"/>
    </xf>
    <xf numFmtId="0" fontId="0" fillId="0" borderId="63" xfId="0" applyBorder="1" applyAlignment="1" applyProtection="1">
      <alignment horizontal="center" vertical="center"/>
      <protection locked="0" hidden="1"/>
    </xf>
    <xf numFmtId="0" fontId="15" fillId="0" borderId="17" xfId="0" applyFont="1" applyBorder="1" applyAlignment="1" applyProtection="1">
      <alignment vertical="center"/>
      <protection hidden="1"/>
    </xf>
    <xf numFmtId="0" fontId="0" fillId="0" borderId="79" xfId="0" applyBorder="1" applyAlignment="1" applyProtection="1">
      <alignment horizontal="center" vertical="center"/>
      <protection hidden="1"/>
    </xf>
    <xf numFmtId="0" fontId="8" fillId="0" borderId="7" xfId="0" applyFont="1" applyBorder="1" applyAlignment="1">
      <alignment horizontal="center" vertical="center"/>
    </xf>
    <xf numFmtId="0" fontId="0" fillId="0" borderId="46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hidden="1"/>
    </xf>
    <xf numFmtId="0" fontId="7" fillId="0" borderId="0" xfId="0" applyFont="1"/>
    <xf numFmtId="49" fontId="0" fillId="0" borderId="0" xfId="0" applyNumberFormat="1" applyAlignment="1" applyProtection="1">
      <alignment horizontal="left"/>
      <protection hidden="1"/>
    </xf>
    <xf numFmtId="172" fontId="6" fillId="0" borderId="1" xfId="1" applyNumberFormat="1" applyFont="1" applyBorder="1" applyAlignment="1" applyProtection="1">
      <alignment horizontal="center" vertical="center"/>
      <protection hidden="1"/>
    </xf>
    <xf numFmtId="0" fontId="0" fillId="0" borderId="2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12" xfId="0" applyBorder="1" applyAlignment="1" applyProtection="1">
      <alignment vertical="center"/>
      <protection hidden="1"/>
    </xf>
    <xf numFmtId="0" fontId="0" fillId="0" borderId="11" xfId="0" applyBorder="1" applyAlignment="1" applyProtection="1">
      <alignment vertical="center"/>
      <protection hidden="1"/>
    </xf>
    <xf numFmtId="0" fontId="0" fillId="0" borderId="30" xfId="0" applyBorder="1" applyAlignment="1" applyProtection="1">
      <alignment horizontal="center" vertical="center"/>
      <protection locked="0" hidden="1"/>
    </xf>
    <xf numFmtId="4" fontId="0" fillId="0" borderId="12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/>
      <protection locked="0" hidden="1"/>
    </xf>
    <xf numFmtId="0" fontId="13" fillId="0" borderId="63" xfId="0" applyFont="1" applyBorder="1" applyAlignment="1" applyProtection="1">
      <alignment horizontal="center" vertical="center"/>
      <protection locked="0" hidden="1"/>
    </xf>
    <xf numFmtId="0" fontId="8" fillId="0" borderId="9" xfId="0" applyFont="1" applyBorder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hidden="1"/>
    </xf>
    <xf numFmtId="4" fontId="0" fillId="0" borderId="76" xfId="0" applyNumberFormat="1" applyBorder="1" applyAlignment="1" applyProtection="1">
      <alignment horizontal="center"/>
      <protection hidden="1"/>
    </xf>
    <xf numFmtId="4" fontId="0" fillId="0" borderId="40" xfId="0" applyNumberFormat="1" applyBorder="1" applyAlignment="1" applyProtection="1">
      <alignment horizontal="center"/>
      <protection hidden="1"/>
    </xf>
    <xf numFmtId="4" fontId="0" fillId="0" borderId="12" xfId="0" applyNumberFormat="1" applyBorder="1" applyAlignment="1" applyProtection="1">
      <alignment horizontal="center"/>
      <protection hidden="1"/>
    </xf>
    <xf numFmtId="4" fontId="0" fillId="0" borderId="62" xfId="0" applyNumberFormat="1" applyBorder="1" applyAlignment="1" applyProtection="1">
      <alignment horizontal="center" vertical="center"/>
      <protection hidden="1"/>
    </xf>
    <xf numFmtId="4" fontId="0" fillId="0" borderId="67" xfId="0" applyNumberFormat="1" applyBorder="1" applyAlignment="1" applyProtection="1">
      <alignment horizontal="center" vertical="center"/>
      <protection hidden="1"/>
    </xf>
    <xf numFmtId="169" fontId="0" fillId="0" borderId="0" xfId="0" applyNumberFormat="1" applyAlignment="1" applyProtection="1">
      <alignment horizontal="center" vertical="center"/>
      <protection hidden="1"/>
    </xf>
    <xf numFmtId="40" fontId="0" fillId="0" borderId="12" xfId="0" applyNumberForma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13" fillId="0" borderId="1" xfId="0" applyFont="1" applyBorder="1" applyAlignment="1" applyProtection="1">
      <alignment horizontal="left" vertical="center"/>
      <protection hidden="1"/>
    </xf>
    <xf numFmtId="0" fontId="13" fillId="0" borderId="9" xfId="0" applyFont="1" applyBorder="1" applyAlignment="1" applyProtection="1">
      <alignment horizontal="left" vertical="center"/>
      <protection hidden="1"/>
    </xf>
    <xf numFmtId="0" fontId="8" fillId="0" borderId="11" xfId="0" applyFont="1" applyBorder="1" applyAlignment="1">
      <alignment horizontal="center" vertical="center"/>
    </xf>
    <xf numFmtId="0" fontId="25" fillId="2" borderId="14" xfId="0" applyFont="1" applyFill="1" applyBorder="1" applyAlignment="1" applyProtection="1">
      <alignment horizontal="center"/>
      <protection hidden="1"/>
    </xf>
    <xf numFmtId="0" fontId="25" fillId="2" borderId="85" xfId="0" applyFont="1" applyFill="1" applyBorder="1" applyAlignment="1" applyProtection="1">
      <alignment horizontal="center"/>
      <protection hidden="1"/>
    </xf>
    <xf numFmtId="2" fontId="20" fillId="0" borderId="78" xfId="0" applyNumberFormat="1" applyFont="1" applyBorder="1" applyAlignment="1" applyProtection="1">
      <alignment horizontal="center"/>
      <protection hidden="1"/>
    </xf>
    <xf numFmtId="0" fontId="19" fillId="4" borderId="86" xfId="0" applyFont="1" applyFill="1" applyBorder="1" applyAlignment="1" applyProtection="1">
      <alignment horizontal="center"/>
      <protection hidden="1"/>
    </xf>
    <xf numFmtId="0" fontId="19" fillId="4" borderId="75" xfId="0" applyFont="1" applyFill="1" applyBorder="1" applyAlignment="1" applyProtection="1">
      <alignment horizontal="center"/>
      <protection hidden="1"/>
    </xf>
    <xf numFmtId="4" fontId="19" fillId="4" borderId="0" xfId="0" applyNumberFormat="1" applyFont="1" applyFill="1" applyAlignment="1" applyProtection="1">
      <alignment horizontal="center" vertical="center" wrapText="1"/>
      <protection hidden="1"/>
    </xf>
    <xf numFmtId="4" fontId="0" fillId="0" borderId="73" xfId="0" applyNumberFormat="1" applyBorder="1" applyAlignment="1" applyProtection="1">
      <alignment horizontal="center" vertical="center"/>
      <protection hidden="1"/>
    </xf>
    <xf numFmtId="4" fontId="15" fillId="5" borderId="69" xfId="0" applyNumberFormat="1" applyFont="1" applyFill="1" applyBorder="1" applyAlignment="1" applyProtection="1">
      <alignment vertical="center"/>
      <protection hidden="1"/>
    </xf>
    <xf numFmtId="4" fontId="15" fillId="5" borderId="70" xfId="0" applyNumberFormat="1" applyFont="1" applyFill="1" applyBorder="1" applyAlignment="1" applyProtection="1">
      <alignment vertical="center"/>
      <protection hidden="1"/>
    </xf>
    <xf numFmtId="0" fontId="13" fillId="0" borderId="9" xfId="0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4" fontId="0" fillId="0" borderId="1" xfId="0" applyNumberFormat="1" applyBorder="1" applyAlignment="1" applyProtection="1">
      <alignment vertical="center"/>
      <protection hidden="1"/>
    </xf>
    <xf numFmtId="3" fontId="0" fillId="0" borderId="1" xfId="0" applyNumberFormat="1" applyBorder="1" applyAlignment="1" applyProtection="1">
      <alignment horizontal="center" vertical="center"/>
      <protection hidden="1"/>
    </xf>
    <xf numFmtId="40" fontId="0" fillId="0" borderId="12" xfId="0" applyNumberFormat="1" applyBorder="1" applyAlignment="1" applyProtection="1">
      <alignment vertical="center"/>
      <protection hidden="1"/>
    </xf>
    <xf numFmtId="0" fontId="31" fillId="0" borderId="0" xfId="0" applyFont="1" applyAlignment="1" applyProtection="1">
      <alignment vertical="center"/>
      <protection hidden="1"/>
    </xf>
    <xf numFmtId="4" fontId="0" fillId="0" borderId="0" xfId="0" applyNumberForma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15" applyNumberFormat="1" applyFont="1" applyFill="1" applyAlignment="1" applyProtection="1">
      <alignment horizontal="center"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35" fillId="4" borderId="0" xfId="0" applyFont="1" applyFill="1" applyAlignment="1" applyProtection="1">
      <alignment horizontal="center" vertical="center" wrapText="1"/>
      <protection hidden="1"/>
    </xf>
    <xf numFmtId="0" fontId="12" fillId="0" borderId="0" xfId="0" applyFont="1" applyAlignment="1">
      <alignment vertical="center"/>
    </xf>
    <xf numFmtId="40" fontId="19" fillId="0" borderId="0" xfId="0" applyNumberFormat="1" applyFont="1" applyAlignment="1" applyProtection="1">
      <alignment horizontal="center" vertical="center" wrapText="1"/>
      <protection hidden="1"/>
    </xf>
    <xf numFmtId="0" fontId="35" fillId="0" borderId="0" xfId="0" applyFont="1" applyAlignment="1" applyProtection="1">
      <alignment horizontal="center" vertical="center" wrapText="1"/>
      <protection hidden="1"/>
    </xf>
    <xf numFmtId="169" fontId="19" fillId="0" borderId="0" xfId="0" applyNumberFormat="1" applyFont="1" applyAlignment="1" applyProtection="1">
      <alignment horizontal="center" vertical="center" wrapText="1"/>
      <protection hidden="1"/>
    </xf>
    <xf numFmtId="49" fontId="19" fillId="0" borderId="0" xfId="0" applyNumberFormat="1" applyFont="1" applyAlignment="1" applyProtection="1">
      <alignment horizontal="center" vertical="center" wrapText="1"/>
      <protection hidden="1"/>
    </xf>
    <xf numFmtId="0" fontId="34" fillId="0" borderId="61" xfId="0" applyFont="1" applyBorder="1" applyAlignment="1" applyProtection="1">
      <alignment horizontal="center" vertical="center"/>
      <protection hidden="1"/>
    </xf>
    <xf numFmtId="4" fontId="0" fillId="0" borderId="61" xfId="0" applyNumberFormat="1" applyBorder="1" applyAlignment="1" applyProtection="1">
      <alignment horizontal="right" vertical="center"/>
      <protection hidden="1"/>
    </xf>
    <xf numFmtId="0" fontId="34" fillId="0" borderId="1" xfId="0" applyFont="1" applyBorder="1" applyAlignment="1" applyProtection="1">
      <alignment horizontal="center" vertical="center"/>
      <protection hidden="1"/>
    </xf>
    <xf numFmtId="0" fontId="34" fillId="0" borderId="66" xfId="0" applyFont="1" applyBorder="1" applyAlignment="1" applyProtection="1">
      <alignment horizontal="center" vertical="center"/>
      <protection hidden="1"/>
    </xf>
    <xf numFmtId="4" fontId="0" fillId="0" borderId="66" xfId="0" applyNumberFormat="1" applyBorder="1" applyAlignment="1" applyProtection="1">
      <alignment horizontal="right" vertical="center"/>
      <protection hidden="1"/>
    </xf>
    <xf numFmtId="0" fontId="34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8" fillId="3" borderId="66" xfId="0" applyFont="1" applyFill="1" applyBorder="1" applyAlignment="1">
      <alignment horizontal="center" vertical="center"/>
    </xf>
    <xf numFmtId="0" fontId="34" fillId="0" borderId="72" xfId="0" applyFont="1" applyBorder="1" applyAlignment="1" applyProtection="1">
      <alignment horizontal="center" vertical="center"/>
      <protection hidden="1"/>
    </xf>
    <xf numFmtId="4" fontId="0" fillId="0" borderId="72" xfId="0" applyNumberFormat="1" applyBorder="1" applyAlignment="1" applyProtection="1">
      <alignment horizontal="right" vertic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38" fillId="4" borderId="0" xfId="0" applyFont="1" applyFill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hidden="1"/>
    </xf>
    <xf numFmtId="0" fontId="39" fillId="0" borderId="1" xfId="0" applyFont="1" applyBorder="1" applyAlignment="1" applyProtection="1">
      <alignment horizontal="center" vertical="center"/>
      <protection hidden="1"/>
    </xf>
    <xf numFmtId="168" fontId="0" fillId="0" borderId="0" xfId="0" applyNumberFormat="1" applyAlignment="1" applyProtection="1">
      <alignment vertical="center"/>
      <protection hidden="1"/>
    </xf>
    <xf numFmtId="166" fontId="0" fillId="0" borderId="1" xfId="1" applyFont="1" applyFill="1" applyBorder="1" applyAlignment="1" applyProtection="1">
      <alignment horizontal="right" vertical="center"/>
      <protection hidden="1"/>
    </xf>
    <xf numFmtId="168" fontId="6" fillId="0" borderId="0" xfId="15" applyNumberFormat="1" applyFon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19" fillId="0" borderId="2" xfId="0" applyFont="1" applyBorder="1" applyAlignment="1" applyProtection="1">
      <alignment vertical="center" wrapText="1"/>
      <protection hidden="1"/>
    </xf>
    <xf numFmtId="0" fontId="19" fillId="0" borderId="20" xfId="0" applyFont="1" applyBorder="1" applyAlignment="1" applyProtection="1">
      <alignment vertical="center" wrapText="1"/>
      <protection hidden="1"/>
    </xf>
    <xf numFmtId="0" fontId="19" fillId="0" borderId="6" xfId="0" applyFont="1" applyBorder="1" applyAlignment="1" applyProtection="1">
      <alignment vertical="center" wrapText="1"/>
      <protection hidden="1"/>
    </xf>
    <xf numFmtId="0" fontId="19" fillId="0" borderId="17" xfId="0" applyFont="1" applyBorder="1" applyAlignment="1" applyProtection="1">
      <alignment vertical="center" wrapText="1"/>
      <protection hidden="1"/>
    </xf>
    <xf numFmtId="0" fontId="16" fillId="0" borderId="0" xfId="0" applyFont="1" applyAlignment="1" applyProtection="1">
      <alignment vertical="center"/>
      <protection hidden="1"/>
    </xf>
    <xf numFmtId="0" fontId="17" fillId="0" borderId="0" xfId="0" applyFont="1" applyAlignment="1" applyProtection="1">
      <alignment horizontal="center" vertical="center"/>
      <protection hidden="1"/>
    </xf>
    <xf numFmtId="171" fontId="17" fillId="0" borderId="0" xfId="0" applyNumberFormat="1" applyFont="1" applyAlignment="1" applyProtection="1">
      <alignment horizontal="right" vertical="center"/>
      <protection hidden="1"/>
    </xf>
    <xf numFmtId="171" fontId="16" fillId="0" borderId="0" xfId="0" applyNumberFormat="1" applyFont="1" applyAlignment="1" applyProtection="1">
      <alignment horizontal="right" vertical="center"/>
      <protection hidden="1"/>
    </xf>
    <xf numFmtId="1" fontId="10" fillId="0" borderId="11" xfId="0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" fontId="19" fillId="4" borderId="0" xfId="0" applyNumberFormat="1" applyFont="1" applyFill="1" applyAlignment="1" applyProtection="1">
      <alignment horizontal="center" vertical="center" wrapText="1"/>
      <protection hidden="1"/>
    </xf>
    <xf numFmtId="1" fontId="0" fillId="0" borderId="1" xfId="1" applyNumberFormat="1" applyFont="1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169" fontId="0" fillId="0" borderId="0" xfId="0" applyNumberFormat="1" applyAlignment="1" applyProtection="1">
      <alignment vertical="center"/>
      <protection hidden="1"/>
    </xf>
    <xf numFmtId="0" fontId="8" fillId="0" borderId="61" xfId="0" quotePrefix="1" applyFont="1" applyBorder="1" applyAlignment="1">
      <alignment horizontal="center" vertical="center"/>
    </xf>
    <xf numFmtId="0" fontId="8" fillId="0" borderId="1" xfId="0" quotePrefix="1" applyFont="1" applyBorder="1" applyAlignment="1">
      <alignment horizontal="center" vertical="center"/>
    </xf>
    <xf numFmtId="0" fontId="8" fillId="0" borderId="66" xfId="0" quotePrefix="1" applyFont="1" applyBorder="1" applyAlignment="1">
      <alignment horizontal="center" vertical="center"/>
    </xf>
    <xf numFmtId="169" fontId="30" fillId="0" borderId="0" xfId="0" applyNumberFormat="1" applyFont="1" applyAlignment="1" applyProtection="1">
      <alignment wrapText="1"/>
      <protection hidden="1"/>
    </xf>
    <xf numFmtId="0" fontId="0" fillId="0" borderId="9" xfId="0" applyBorder="1" applyAlignment="1" applyProtection="1">
      <alignment horizontal="left"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171" fontId="0" fillId="0" borderId="0" xfId="0" applyNumberFormat="1" applyAlignment="1" applyProtection="1">
      <alignment horizontal="center" vertical="center"/>
      <protection hidden="1"/>
    </xf>
    <xf numFmtId="169" fontId="30" fillId="0" borderId="0" xfId="0" applyNumberFormat="1" applyFont="1" applyAlignment="1" applyProtection="1">
      <alignment vertical="center" wrapText="1"/>
      <protection hidden="1"/>
    </xf>
    <xf numFmtId="0" fontId="39" fillId="0" borderId="61" xfId="0" applyFont="1" applyBorder="1" applyAlignment="1" applyProtection="1">
      <alignment horizontal="center" vertical="center"/>
      <protection hidden="1"/>
    </xf>
    <xf numFmtId="0" fontId="0" fillId="0" borderId="55" xfId="0" applyBorder="1" applyAlignment="1" applyProtection="1">
      <alignment horizontal="center"/>
      <protection hidden="1"/>
    </xf>
    <xf numFmtId="4" fontId="39" fillId="0" borderId="1" xfId="0" applyNumberFormat="1" applyFont="1" applyBorder="1" applyAlignment="1" applyProtection="1">
      <alignment horizontal="center" vertical="center"/>
      <protection hidden="1"/>
    </xf>
    <xf numFmtId="172" fontId="6" fillId="0" borderId="9" xfId="1" applyNumberFormat="1" applyFont="1" applyBorder="1" applyAlignment="1" applyProtection="1">
      <alignment horizontal="center" vertical="center"/>
      <protection hidden="1"/>
    </xf>
    <xf numFmtId="172" fontId="6" fillId="0" borderId="7" xfId="1" applyNumberFormat="1" applyFont="1" applyBorder="1" applyAlignment="1" applyProtection="1">
      <alignment horizontal="center" vertical="center"/>
      <protection hidden="1"/>
    </xf>
    <xf numFmtId="0" fontId="0" fillId="0" borderId="90" xfId="0" applyBorder="1" applyAlignment="1" applyProtection="1">
      <alignment horizontal="center" vertic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4" xfId="0" applyFont="1" applyBorder="1" applyAlignment="1" applyProtection="1">
      <alignment vertical="center"/>
      <protection hidden="1"/>
    </xf>
    <xf numFmtId="0" fontId="15" fillId="0" borderId="18" xfId="0" applyFont="1" applyBorder="1" applyAlignment="1" applyProtection="1">
      <alignment vertical="center"/>
      <protection hidden="1"/>
    </xf>
    <xf numFmtId="0" fontId="0" fillId="0" borderId="91" xfId="0" applyBorder="1" applyAlignment="1" applyProtection="1">
      <alignment horizontal="center" vertical="center"/>
      <protection locked="0" hidden="1"/>
    </xf>
    <xf numFmtId="0" fontId="39" fillId="0" borderId="9" xfId="0" applyFont="1" applyBorder="1" applyAlignment="1" applyProtection="1">
      <alignment horizontal="center" vertical="center"/>
      <protection hidden="1"/>
    </xf>
    <xf numFmtId="0" fontId="19" fillId="5" borderId="16" xfId="0" applyFont="1" applyFill="1" applyBorder="1" applyAlignment="1" applyProtection="1">
      <alignment horizontal="center" vertical="center" wrapText="1"/>
      <protection hidden="1"/>
    </xf>
    <xf numFmtId="0" fontId="28" fillId="5" borderId="11" xfId="0" applyFont="1" applyFill="1" applyBorder="1" applyAlignment="1" applyProtection="1">
      <alignment horizontal="center" vertical="center" wrapText="1"/>
      <protection hidden="1"/>
    </xf>
    <xf numFmtId="0" fontId="15" fillId="5" borderId="12" xfId="0" applyFont="1" applyFill="1" applyBorder="1" applyAlignment="1" applyProtection="1">
      <alignment horizontal="left" vertical="center"/>
      <protection hidden="1"/>
    </xf>
    <xf numFmtId="4" fontId="19" fillId="5" borderId="16" xfId="0" applyNumberFormat="1" applyFont="1" applyFill="1" applyBorder="1" applyAlignment="1" applyProtection="1">
      <alignment horizontal="center" vertical="center" wrapText="1"/>
      <protection hidden="1"/>
    </xf>
    <xf numFmtId="49" fontId="19" fillId="5" borderId="16" xfId="0" applyNumberFormat="1" applyFont="1" applyFill="1" applyBorder="1" applyAlignment="1" applyProtection="1">
      <alignment horizontal="center" vertical="center" wrapText="1"/>
      <protection hidden="1"/>
    </xf>
    <xf numFmtId="40" fontId="19" fillId="5" borderId="16" xfId="0" applyNumberFormat="1" applyFont="1" applyFill="1" applyBorder="1" applyAlignment="1" applyProtection="1">
      <alignment horizontal="center" vertical="center" wrapText="1"/>
      <protection hidden="1"/>
    </xf>
    <xf numFmtId="0" fontId="39" fillId="0" borderId="7" xfId="0" applyFont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0" fillId="5" borderId="16" xfId="0" applyFill="1" applyBorder="1" applyAlignment="1" applyProtection="1">
      <alignment horizontal="center" vertical="center"/>
      <protection hidden="1"/>
    </xf>
    <xf numFmtId="172" fontId="6" fillId="5" borderId="11" xfId="1" applyNumberFormat="1" applyFont="1" applyFill="1" applyBorder="1" applyAlignment="1" applyProtection="1">
      <alignment horizontal="center" vertical="center"/>
      <protection hidden="1"/>
    </xf>
    <xf numFmtId="4" fontId="0" fillId="0" borderId="4" xfId="0" applyNumberFormat="1" applyBorder="1" applyAlignment="1" applyProtection="1">
      <alignment horizontal="center" vertical="center"/>
      <protection hidden="1"/>
    </xf>
    <xf numFmtId="4" fontId="0" fillId="0" borderId="92" xfId="0" applyNumberFormat="1" applyBorder="1" applyAlignment="1" applyProtection="1">
      <alignment horizontal="center" vertical="center"/>
      <protection hidden="1"/>
    </xf>
    <xf numFmtId="0" fontId="0" fillId="0" borderId="93" xfId="0" applyBorder="1" applyAlignment="1" applyProtection="1">
      <alignment horizontal="center" vertical="center"/>
      <protection locked="0" hidden="1"/>
    </xf>
    <xf numFmtId="0" fontId="0" fillId="5" borderId="12" xfId="0" applyFill="1" applyBorder="1" applyAlignment="1" applyProtection="1">
      <alignment vertical="center"/>
      <protection hidden="1"/>
    </xf>
    <xf numFmtId="4" fontId="0" fillId="5" borderId="16" xfId="0" applyNumberFormat="1" applyFill="1" applyBorder="1" applyAlignment="1" applyProtection="1">
      <alignment horizontal="center" vertical="center"/>
      <protection hidden="1"/>
    </xf>
    <xf numFmtId="172" fontId="6" fillId="0" borderId="94" xfId="1" applyNumberFormat="1" applyFont="1" applyBorder="1" applyAlignment="1" applyProtection="1">
      <alignment horizontal="center" vertical="center"/>
      <protection hidden="1"/>
    </xf>
    <xf numFmtId="0" fontId="13" fillId="0" borderId="31" xfId="0" applyFont="1" applyBorder="1" applyAlignment="1" applyProtection="1">
      <alignment horizontal="center" vertical="center"/>
      <protection locked="0" hidden="1"/>
    </xf>
    <xf numFmtId="0" fontId="7" fillId="0" borderId="0" xfId="0" applyFont="1" applyAlignment="1">
      <alignment vertical="center"/>
    </xf>
    <xf numFmtId="0" fontId="34" fillId="0" borderId="95" xfId="0" applyFont="1" applyBorder="1" applyAlignment="1" applyProtection="1">
      <alignment horizontal="center" vertical="center"/>
      <protection hidden="1"/>
    </xf>
    <xf numFmtId="0" fontId="34" fillId="0" borderId="11" xfId="0" applyFont="1" applyBorder="1" applyAlignment="1" applyProtection="1">
      <alignment horizontal="center" vertical="center"/>
      <protection hidden="1"/>
    </xf>
    <xf numFmtId="0" fontId="34" fillId="0" borderId="96" xfId="0" applyFont="1" applyBorder="1" applyAlignment="1" applyProtection="1">
      <alignment horizontal="center" vertical="center"/>
      <protection hidden="1"/>
    </xf>
    <xf numFmtId="0" fontId="34" fillId="0" borderId="11" xfId="0" applyFont="1" applyBorder="1" applyAlignment="1" applyProtection="1">
      <alignment horizontal="center" vertical="center" wrapText="1"/>
      <protection hidden="1"/>
    </xf>
    <xf numFmtId="0" fontId="34" fillId="0" borderId="71" xfId="0" applyFont="1" applyBorder="1" applyAlignment="1" applyProtection="1">
      <alignment horizontal="center" vertical="center"/>
      <protection hidden="1"/>
    </xf>
    <xf numFmtId="0" fontId="34" fillId="0" borderId="57" xfId="0" applyFont="1" applyBorder="1" applyAlignment="1" applyProtection="1">
      <alignment horizontal="center" vertical="center"/>
      <protection hidden="1"/>
    </xf>
    <xf numFmtId="0" fontId="34" fillId="0" borderId="16" xfId="0" applyFont="1" applyBorder="1" applyAlignment="1" applyProtection="1">
      <alignment horizontal="center" vertical="center"/>
      <protection hidden="1"/>
    </xf>
    <xf numFmtId="0" fontId="34" fillId="0" borderId="59" xfId="0" applyFont="1" applyBorder="1" applyAlignment="1" applyProtection="1">
      <alignment horizontal="center" vertical="center"/>
      <protection hidden="1"/>
    </xf>
    <xf numFmtId="0" fontId="34" fillId="0" borderId="16" xfId="0" applyFont="1" applyBorder="1" applyAlignment="1" applyProtection="1">
      <alignment horizontal="center" vertical="center" wrapText="1"/>
      <protection hidden="1"/>
    </xf>
    <xf numFmtId="0" fontId="34" fillId="0" borderId="69" xfId="0" applyFont="1" applyBorder="1" applyAlignment="1" applyProtection="1">
      <alignment horizontal="center" vertical="center"/>
      <protection hidden="1"/>
    </xf>
    <xf numFmtId="0" fontId="39" fillId="0" borderId="95" xfId="0" applyFont="1" applyBorder="1" applyAlignment="1" applyProtection="1">
      <alignment horizontal="center" vertical="center"/>
      <protection hidden="1"/>
    </xf>
    <xf numFmtId="0" fontId="39" fillId="0" borderId="11" xfId="0" applyFont="1" applyBorder="1" applyAlignment="1" applyProtection="1">
      <alignment horizontal="center" vertical="center"/>
      <protection hidden="1"/>
    </xf>
    <xf numFmtId="169" fontId="30" fillId="0" borderId="0" xfId="0" applyNumberFormat="1" applyFont="1" applyAlignment="1" applyProtection="1">
      <alignment vertical="center"/>
      <protection hidden="1"/>
    </xf>
    <xf numFmtId="0" fontId="15" fillId="5" borderId="67" xfId="0" applyFont="1" applyFill="1" applyBorder="1" applyAlignment="1" applyProtection="1">
      <alignment horizontal="left"/>
      <protection hidden="1"/>
    </xf>
    <xf numFmtId="0" fontId="19" fillId="5" borderId="59" xfId="0" applyFont="1" applyFill="1" applyBorder="1" applyAlignment="1" applyProtection="1">
      <alignment horizontal="center" wrapText="1"/>
      <protection hidden="1"/>
    </xf>
    <xf numFmtId="0" fontId="19" fillId="5" borderId="59" xfId="0" applyFont="1" applyFill="1" applyBorder="1" applyAlignment="1" applyProtection="1">
      <alignment horizontal="center" vertical="center" wrapText="1"/>
      <protection hidden="1"/>
    </xf>
    <xf numFmtId="169" fontId="19" fillId="5" borderId="59" xfId="0" applyNumberFormat="1" applyFont="1" applyFill="1" applyBorder="1" applyAlignment="1" applyProtection="1">
      <alignment horizontal="center" wrapText="1"/>
      <protection hidden="1"/>
    </xf>
    <xf numFmtId="49" fontId="19" fillId="5" borderId="59" xfId="0" applyNumberFormat="1" applyFont="1" applyFill="1" applyBorder="1" applyAlignment="1" applyProtection="1">
      <alignment horizontal="center" wrapText="1"/>
      <protection hidden="1"/>
    </xf>
    <xf numFmtId="40" fontId="19" fillId="5" borderId="59" xfId="0" applyNumberFormat="1" applyFont="1" applyFill="1" applyBorder="1" applyAlignment="1" applyProtection="1">
      <alignment horizontal="center" wrapText="1"/>
      <protection hidden="1"/>
    </xf>
    <xf numFmtId="0" fontId="28" fillId="5" borderId="96" xfId="0" applyFont="1" applyFill="1" applyBorder="1" applyAlignment="1" applyProtection="1">
      <alignment horizontal="center" vertical="center" wrapText="1"/>
      <protection hidden="1"/>
    </xf>
    <xf numFmtId="172" fontId="6" fillId="0" borderId="61" xfId="1" applyNumberFormat="1" applyFont="1" applyBorder="1" applyAlignment="1" applyProtection="1">
      <alignment horizontal="center" vertical="center"/>
      <protection hidden="1"/>
    </xf>
    <xf numFmtId="0" fontId="19" fillId="5" borderId="67" xfId="0" applyFont="1" applyFill="1" applyBorder="1" applyAlignment="1" applyProtection="1">
      <alignment horizontal="center" vertical="center" wrapText="1"/>
      <protection hidden="1"/>
    </xf>
    <xf numFmtId="0" fontId="19" fillId="5" borderId="96" xfId="0" applyFont="1" applyFill="1" applyBorder="1" applyAlignment="1" applyProtection="1">
      <alignment horizontal="center" vertical="center" wrapText="1"/>
      <protection hidden="1"/>
    </xf>
    <xf numFmtId="174" fontId="39" fillId="0" borderId="1" xfId="0" applyNumberFormat="1" applyFont="1" applyBorder="1" applyAlignment="1" applyProtection="1">
      <alignment horizontal="center" vertical="center"/>
      <protection hidden="1"/>
    </xf>
    <xf numFmtId="2" fontId="39" fillId="0" borderId="1" xfId="0" applyNumberFormat="1" applyFont="1" applyBorder="1" applyAlignment="1" applyProtection="1">
      <alignment horizontal="center" vertical="center"/>
      <protection hidden="1"/>
    </xf>
    <xf numFmtId="174" fontId="19" fillId="0" borderId="0" xfId="0" applyNumberFormat="1" applyFont="1" applyAlignment="1" applyProtection="1">
      <alignment horizontal="center" vertical="center" wrapText="1"/>
      <protection hidden="1"/>
    </xf>
    <xf numFmtId="2" fontId="19" fillId="0" borderId="0" xfId="0" applyNumberFormat="1" applyFont="1" applyAlignment="1" applyProtection="1">
      <alignment horizontal="center" vertical="center" wrapText="1"/>
      <protection hidden="1"/>
    </xf>
    <xf numFmtId="1" fontId="39" fillId="0" borderId="1" xfId="0" applyNumberFormat="1" applyFont="1" applyBorder="1" applyAlignment="1" applyProtection="1">
      <alignment horizontal="center" vertical="center"/>
      <protection hidden="1"/>
    </xf>
    <xf numFmtId="2" fontId="39" fillId="0" borderId="0" xfId="0" applyNumberFormat="1" applyFont="1" applyAlignment="1" applyProtection="1">
      <alignment horizontal="center" vertical="center"/>
      <protection hidden="1"/>
    </xf>
    <xf numFmtId="1" fontId="0" fillId="0" borderId="1" xfId="1" applyNumberFormat="1" applyFont="1" applyFill="1" applyBorder="1" applyAlignment="1" applyProtection="1">
      <alignment horizontal="center" vertical="center"/>
      <protection hidden="1"/>
    </xf>
    <xf numFmtId="166" fontId="0" fillId="0" borderId="1" xfId="1" applyFont="1" applyFill="1" applyBorder="1" applyAlignment="1" applyProtection="1">
      <alignment horizontal="right"/>
      <protection hidden="1"/>
    </xf>
    <xf numFmtId="0" fontId="0" fillId="0" borderId="1" xfId="0" quotePrefix="1" applyBorder="1" applyAlignment="1" applyProtection="1">
      <alignment horizontal="center" vertical="center"/>
      <protection hidden="1"/>
    </xf>
    <xf numFmtId="175" fontId="0" fillId="0" borderId="61" xfId="0" applyNumberFormat="1" applyBorder="1" applyAlignment="1" applyProtection="1">
      <alignment horizontal="right" vertical="center"/>
      <protection hidden="1"/>
    </xf>
    <xf numFmtId="175" fontId="0" fillId="0" borderId="1" xfId="0" applyNumberFormat="1" applyBorder="1" applyAlignment="1" applyProtection="1">
      <alignment horizontal="right" vertical="center"/>
      <protection hidden="1"/>
    </xf>
    <xf numFmtId="175" fontId="0" fillId="0" borderId="66" xfId="0" applyNumberFormat="1" applyBorder="1" applyAlignment="1" applyProtection="1">
      <alignment horizontal="right" vertical="center"/>
      <protection hidden="1"/>
    </xf>
    <xf numFmtId="175" fontId="0" fillId="0" borderId="72" xfId="0" applyNumberFormat="1" applyBorder="1" applyAlignment="1" applyProtection="1">
      <alignment horizontal="right" vertical="center"/>
      <protection hidden="1"/>
    </xf>
    <xf numFmtId="0" fontId="34" fillId="0" borderId="95" xfId="0" quotePrefix="1" applyFont="1" applyBorder="1" applyAlignment="1" applyProtection="1">
      <alignment horizontal="center" vertical="center"/>
      <protection hidden="1"/>
    </xf>
    <xf numFmtId="0" fontId="34" fillId="0" borderId="11" xfId="0" quotePrefix="1" applyFont="1" applyBorder="1" applyAlignment="1" applyProtection="1">
      <alignment horizontal="center" vertical="center"/>
      <protection hidden="1"/>
    </xf>
    <xf numFmtId="0" fontId="34" fillId="0" borderId="96" xfId="0" quotePrefix="1" applyFont="1" applyBorder="1" applyAlignment="1" applyProtection="1">
      <alignment horizontal="center" vertical="center"/>
      <protection hidden="1"/>
    </xf>
    <xf numFmtId="0" fontId="0" fillId="5" borderId="4" xfId="0" applyFill="1" applyBorder="1" applyAlignment="1" applyProtection="1">
      <alignment vertical="center"/>
      <protection hidden="1"/>
    </xf>
    <xf numFmtId="0" fontId="0" fillId="5" borderId="18" xfId="0" applyFill="1" applyBorder="1" applyAlignment="1" applyProtection="1">
      <alignment vertical="center"/>
      <protection hidden="1"/>
    </xf>
    <xf numFmtId="4" fontId="34" fillId="0" borderId="1" xfId="0" applyNumberFormat="1" applyFont="1" applyBorder="1" applyAlignment="1" applyProtection="1">
      <alignment horizontal="center" vertical="center"/>
      <protection hidden="1"/>
    </xf>
    <xf numFmtId="1" fontId="33" fillId="0" borderId="1" xfId="2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 hidden="1"/>
    </xf>
    <xf numFmtId="1" fontId="33" fillId="0" borderId="1" xfId="20" quotePrefix="1" applyNumberFormat="1" applyFont="1" applyBorder="1" applyAlignment="1">
      <alignment horizontal="center" vertical="center"/>
    </xf>
    <xf numFmtId="4" fontId="0" fillId="0" borderId="9" xfId="0" applyNumberFormat="1" applyBorder="1" applyAlignment="1" applyProtection="1">
      <alignment horizontal="right" vertical="center"/>
      <protection hidden="1"/>
    </xf>
    <xf numFmtId="0" fontId="0" fillId="0" borderId="0" xfId="0" applyAlignment="1">
      <alignment horizontal="center"/>
    </xf>
    <xf numFmtId="0" fontId="41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/>
      <protection hidden="1"/>
    </xf>
    <xf numFmtId="0" fontId="38" fillId="0" borderId="0" xfId="0" applyFont="1" applyAlignment="1" applyProtection="1">
      <alignment horizontal="center" wrapText="1"/>
      <protection hidden="1"/>
    </xf>
    <xf numFmtId="0" fontId="39" fillId="0" borderId="1" xfId="0" applyFont="1" applyBorder="1" applyAlignment="1" applyProtection="1">
      <alignment horizontal="center"/>
      <protection hidden="1"/>
    </xf>
    <xf numFmtId="0" fontId="39" fillId="0" borderId="0" xfId="0" applyFont="1" applyAlignment="1">
      <alignment horizontal="center"/>
    </xf>
    <xf numFmtId="0" fontId="13" fillId="0" borderId="11" xfId="0" applyFont="1" applyBorder="1" applyAlignment="1" applyProtection="1">
      <alignment horizontal="center" vertical="center"/>
      <protection hidden="1"/>
    </xf>
    <xf numFmtId="0" fontId="13" fillId="0" borderId="18" xfId="0" applyFont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2" fontId="0" fillId="2" borderId="9" xfId="0" applyNumberFormat="1" applyFill="1" applyBorder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vertical="center"/>
      <protection hidden="1"/>
    </xf>
    <xf numFmtId="0" fontId="19" fillId="4" borderId="52" xfId="0" applyFont="1" applyFill="1" applyBorder="1" applyAlignment="1" applyProtection="1">
      <alignment horizontal="center" vertical="center"/>
      <protection hidden="1"/>
    </xf>
    <xf numFmtId="0" fontId="19" fillId="4" borderId="55" xfId="0" applyFont="1" applyFill="1" applyBorder="1" applyAlignment="1" applyProtection="1">
      <alignment horizontal="center" vertical="center"/>
      <protection hidden="1"/>
    </xf>
    <xf numFmtId="0" fontId="19" fillId="4" borderId="29" xfId="0" applyFont="1" applyFill="1" applyBorder="1" applyAlignment="1" applyProtection="1">
      <alignment horizontal="center" vertical="center"/>
      <protection hidden="1"/>
    </xf>
    <xf numFmtId="0" fontId="26" fillId="4" borderId="56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1" fontId="0" fillId="0" borderId="0" xfId="0" applyNumberFormat="1" applyAlignment="1" applyProtection="1">
      <alignment horizontal="right" vertical="center"/>
      <protection hidden="1"/>
    </xf>
    <xf numFmtId="0" fontId="24" fillId="2" borderId="53" xfId="0" applyFont="1" applyFill="1" applyBorder="1" applyAlignment="1" applyProtection="1">
      <alignment horizontal="center" vertical="center"/>
      <protection hidden="1"/>
    </xf>
    <xf numFmtId="0" fontId="27" fillId="0" borderId="57" xfId="0" applyFont="1" applyBorder="1" applyAlignment="1" applyProtection="1">
      <alignment horizontal="center" vertical="center"/>
      <protection hidden="1"/>
    </xf>
    <xf numFmtId="168" fontId="8" fillId="3" borderId="31" xfId="0" applyNumberFormat="1" applyFont="1" applyFill="1" applyBorder="1" applyAlignment="1" applyProtection="1">
      <alignment horizontal="center" vertical="center"/>
      <protection locked="0" hidden="1"/>
    </xf>
    <xf numFmtId="2" fontId="8" fillId="3" borderId="58" xfId="0" applyNumberFormat="1" applyFont="1" applyFill="1" applyBorder="1" applyAlignment="1" applyProtection="1">
      <alignment horizontal="center" vertical="center"/>
      <protection hidden="1"/>
    </xf>
    <xf numFmtId="0" fontId="24" fillId="2" borderId="88" xfId="0" applyFont="1" applyFill="1" applyBorder="1" applyAlignment="1" applyProtection="1">
      <alignment horizontal="center" vertical="center"/>
      <protection hidden="1"/>
    </xf>
    <xf numFmtId="0" fontId="27" fillId="0" borderId="5" xfId="0" applyFont="1" applyBorder="1" applyAlignment="1" applyProtection="1">
      <alignment horizontal="center" vertical="center"/>
      <protection hidden="1"/>
    </xf>
    <xf numFmtId="2" fontId="8" fillId="3" borderId="89" xfId="0" applyNumberFormat="1" applyFont="1" applyFill="1" applyBorder="1" applyAlignment="1" applyProtection="1">
      <alignment horizontal="center" vertical="center"/>
      <protection hidden="1"/>
    </xf>
    <xf numFmtId="0" fontId="24" fillId="2" borderId="24" xfId="0" applyFont="1" applyFill="1" applyBorder="1" applyAlignment="1" applyProtection="1">
      <alignment horizontal="center" vertical="center"/>
      <protection hidden="1"/>
    </xf>
    <xf numFmtId="0" fontId="27" fillId="3" borderId="16" xfId="0" applyFont="1" applyFill="1" applyBorder="1" applyAlignment="1" applyProtection="1">
      <alignment horizontal="center" vertical="center"/>
      <protection hidden="1"/>
    </xf>
    <xf numFmtId="2" fontId="8" fillId="3" borderId="28" xfId="0" applyNumberFormat="1" applyFont="1" applyFill="1" applyBorder="1" applyAlignment="1" applyProtection="1">
      <alignment horizontal="center" vertical="center"/>
      <protection hidden="1"/>
    </xf>
    <xf numFmtId="1" fontId="8" fillId="0" borderId="0" xfId="0" applyNumberFormat="1" applyFont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4" fillId="2" borderId="83" xfId="0" applyFont="1" applyFill="1" applyBorder="1" applyAlignment="1" applyProtection="1">
      <alignment horizontal="center" vertical="center"/>
      <protection hidden="1"/>
    </xf>
    <xf numFmtId="0" fontId="24" fillId="2" borderId="54" xfId="0" applyFont="1" applyFill="1" applyBorder="1" applyAlignment="1" applyProtection="1">
      <alignment horizontal="center" vertical="center"/>
      <protection hidden="1"/>
    </xf>
    <xf numFmtId="0" fontId="27" fillId="3" borderId="59" xfId="0" applyFont="1" applyFill="1" applyBorder="1" applyAlignment="1" applyProtection="1">
      <alignment horizontal="center" vertical="center"/>
      <protection hidden="1"/>
    </xf>
    <xf numFmtId="2" fontId="8" fillId="3" borderId="87" xfId="0" applyNumberFormat="1" applyFont="1" applyFill="1" applyBorder="1" applyAlignment="1" applyProtection="1">
      <alignment horizontal="center" vertical="center"/>
      <protection hidden="1"/>
    </xf>
    <xf numFmtId="0" fontId="18" fillId="3" borderId="0" xfId="0" applyFont="1" applyFill="1" applyAlignment="1" applyProtection="1">
      <alignment horizontal="center" vertical="center" shrinkToFit="1"/>
      <protection hidden="1"/>
    </xf>
    <xf numFmtId="168" fontId="8" fillId="3" borderId="0" xfId="0" applyNumberFormat="1" applyFont="1" applyFill="1" applyAlignment="1" applyProtection="1">
      <alignment horizontal="center" vertical="center"/>
      <protection hidden="1"/>
    </xf>
    <xf numFmtId="2" fontId="0" fillId="3" borderId="0" xfId="0" applyNumberFormat="1" applyFill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65" fontId="8" fillId="0" borderId="0" xfId="0" applyNumberFormat="1" applyFont="1" applyAlignment="1" applyProtection="1">
      <alignment vertical="center"/>
      <protection hidden="1"/>
    </xf>
    <xf numFmtId="0" fontId="11" fillId="2" borderId="9" xfId="0" applyFont="1" applyFill="1" applyBorder="1" applyAlignment="1" applyProtection="1">
      <alignment horizontal="center" vertical="center"/>
      <protection hidden="1"/>
    </xf>
    <xf numFmtId="1" fontId="11" fillId="2" borderId="9" xfId="0" applyNumberFormat="1" applyFont="1" applyFill="1" applyBorder="1" applyAlignment="1" applyProtection="1">
      <alignment horizontal="center" vertical="center"/>
      <protection hidden="1"/>
    </xf>
    <xf numFmtId="40" fontId="11" fillId="2" borderId="9" xfId="0" applyNumberFormat="1" applyFont="1" applyFill="1" applyBorder="1" applyAlignment="1" applyProtection="1">
      <alignment horizontal="right" vertical="center"/>
      <protection hidden="1"/>
    </xf>
    <xf numFmtId="40" fontId="0" fillId="2" borderId="9" xfId="0" applyNumberFormat="1" applyFill="1" applyBorder="1" applyAlignment="1" applyProtection="1">
      <alignment horizontal="right" vertical="center"/>
      <protection hidden="1"/>
    </xf>
    <xf numFmtId="169" fontId="0" fillId="2" borderId="1" xfId="0" applyNumberFormat="1" applyFill="1" applyBorder="1" applyAlignment="1" applyProtection="1">
      <alignment horizontal="center" vertical="center"/>
      <protection hidden="1"/>
    </xf>
    <xf numFmtId="0" fontId="11" fillId="0" borderId="9" xfId="0" applyFont="1" applyBorder="1" applyAlignment="1" applyProtection="1">
      <alignment horizontal="center" vertical="center"/>
      <protection hidden="1"/>
    </xf>
    <xf numFmtId="40" fontId="0" fillId="0" borderId="9" xfId="0" applyNumberFormat="1" applyBorder="1" applyAlignment="1" applyProtection="1">
      <alignment horizontal="right" vertical="center"/>
      <protection hidden="1"/>
    </xf>
    <xf numFmtId="1" fontId="11" fillId="0" borderId="9" xfId="0" applyNumberFormat="1" applyFont="1" applyBorder="1" applyAlignment="1" applyProtection="1">
      <alignment horizontal="center" vertical="center"/>
      <protection hidden="1"/>
    </xf>
    <xf numFmtId="2" fontId="0" fillId="0" borderId="9" xfId="0" applyNumberFormat="1" applyBorder="1" applyAlignment="1" applyProtection="1">
      <alignment horizontal="center" vertical="center"/>
      <protection hidden="1"/>
    </xf>
    <xf numFmtId="40" fontId="11" fillId="0" borderId="9" xfId="0" applyNumberFormat="1" applyFont="1" applyBorder="1" applyAlignment="1" applyProtection="1">
      <alignment horizontal="right" vertical="center"/>
      <protection hidden="1"/>
    </xf>
    <xf numFmtId="169" fontId="0" fillId="0" borderId="1" xfId="0" applyNumberFormat="1" applyBorder="1" applyAlignment="1" applyProtection="1">
      <alignment horizontal="center" vertical="center"/>
      <protection hidden="1"/>
    </xf>
    <xf numFmtId="0" fontId="0" fillId="2" borderId="12" xfId="0" applyFill="1" applyBorder="1" applyAlignment="1" applyProtection="1">
      <alignment horizontal="left" vertical="center"/>
      <protection hidden="1"/>
    </xf>
    <xf numFmtId="0" fontId="0" fillId="2" borderId="11" xfId="0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1" fontId="11" fillId="0" borderId="0" xfId="0" applyNumberFormat="1" applyFont="1" applyAlignment="1" applyProtection="1">
      <alignment horizontal="center" vertical="center"/>
      <protection hidden="1"/>
    </xf>
    <xf numFmtId="0" fontId="8" fillId="0" borderId="3" xfId="0" applyFont="1" applyBorder="1" applyAlignment="1" applyProtection="1">
      <alignment horizontal="right" vertical="center"/>
      <protection hidden="1"/>
    </xf>
    <xf numFmtId="165" fontId="8" fillId="2" borderId="10" xfId="14" applyFont="1" applyFill="1" applyBorder="1" applyAlignment="1" applyProtection="1">
      <alignment vertical="center"/>
      <protection hidden="1"/>
    </xf>
    <xf numFmtId="165" fontId="8" fillId="0" borderId="23" xfId="14" applyFont="1" applyBorder="1" applyAlignment="1" applyProtection="1">
      <alignment vertical="center"/>
      <protection hidden="1"/>
    </xf>
    <xf numFmtId="1" fontId="0" fillId="0" borderId="0" xfId="0" applyNumberFormat="1" applyAlignment="1" applyProtection="1">
      <alignment vertical="center"/>
      <protection hidden="1"/>
    </xf>
    <xf numFmtId="0" fontId="0" fillId="2" borderId="97" xfId="0" applyFill="1" applyBorder="1" applyAlignment="1" applyProtection="1">
      <alignment horizontal="left" vertical="center"/>
      <protection hidden="1"/>
    </xf>
    <xf numFmtId="0" fontId="0" fillId="2" borderId="7" xfId="0" applyFill="1" applyBorder="1" applyAlignment="1" applyProtection="1">
      <alignment vertical="center"/>
      <protection hidden="1"/>
    </xf>
    <xf numFmtId="0" fontId="0" fillId="2" borderId="8" xfId="0" applyFill="1" applyBorder="1" applyProtection="1">
      <protection hidden="1"/>
    </xf>
    <xf numFmtId="0" fontId="0" fillId="2" borderId="9" xfId="0" applyFill="1" applyBorder="1" applyAlignment="1" applyProtection="1">
      <alignment vertical="center"/>
      <protection hidden="1"/>
    </xf>
    <xf numFmtId="0" fontId="0" fillId="2" borderId="8" xfId="0" applyFill="1" applyBorder="1" applyAlignment="1" applyProtection="1">
      <alignment vertical="center"/>
      <protection hidden="1"/>
    </xf>
    <xf numFmtId="0" fontId="0" fillId="2" borderId="8" xfId="0" applyFill="1" applyBorder="1" applyAlignment="1" applyProtection="1">
      <alignment horizontal="left" vertical="center"/>
      <protection hidden="1"/>
    </xf>
    <xf numFmtId="4" fontId="34" fillId="0" borderId="1" xfId="0" applyNumberFormat="1" applyFont="1" applyBorder="1" applyAlignment="1" applyProtection="1">
      <alignment horizontal="center" vertical="center" wrapText="1"/>
      <protection hidden="1"/>
    </xf>
    <xf numFmtId="40" fontId="8" fillId="0" borderId="17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left" vertical="center"/>
      <protection hidden="1"/>
    </xf>
    <xf numFmtId="4" fontId="19" fillId="0" borderId="0" xfId="0" applyNumberFormat="1" applyFont="1" applyAlignment="1" applyProtection="1">
      <alignment horizontal="center" vertical="center" wrapText="1"/>
      <protection hidden="1"/>
    </xf>
    <xf numFmtId="0" fontId="13" fillId="0" borderId="33" xfId="0" applyFont="1" applyBorder="1" applyAlignment="1" applyProtection="1">
      <alignment horizontal="center" vertical="center"/>
      <protection locked="0" hidden="1"/>
    </xf>
    <xf numFmtId="174" fontId="0" fillId="0" borderId="0" xfId="0" applyNumberFormat="1" applyAlignment="1" applyProtection="1">
      <alignment vertical="center"/>
      <protection hidden="1"/>
    </xf>
    <xf numFmtId="0" fontId="0" fillId="0" borderId="6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5" xfId="0" applyBorder="1" applyAlignment="1">
      <alignment vertical="center"/>
    </xf>
    <xf numFmtId="0" fontId="0" fillId="5" borderId="16" xfId="0" applyFill="1" applyBorder="1" applyAlignment="1" applyProtection="1">
      <alignment vertical="center"/>
      <protection hidden="1"/>
    </xf>
    <xf numFmtId="0" fontId="0" fillId="5" borderId="16" xfId="0" applyFill="1" applyBorder="1" applyAlignment="1">
      <alignment vertical="center"/>
    </xf>
    <xf numFmtId="4" fontId="0" fillId="5" borderId="16" xfId="0" applyNumberFormat="1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0" fillId="5" borderId="12" xfId="0" applyFill="1" applyBorder="1" applyAlignment="1">
      <alignment vertical="center"/>
    </xf>
    <xf numFmtId="0" fontId="0" fillId="5" borderId="12" xfId="0" applyFill="1" applyBorder="1" applyAlignment="1" applyProtection="1">
      <alignment horizontal="left" vertical="center"/>
      <protection hidden="1"/>
    </xf>
    <xf numFmtId="0" fontId="8" fillId="5" borderId="16" xfId="0" applyFont="1" applyFill="1" applyBorder="1" applyAlignment="1">
      <alignment horizontal="center" vertical="center"/>
    </xf>
    <xf numFmtId="0" fontId="0" fillId="5" borderId="16" xfId="0" applyFill="1" applyBorder="1" applyAlignment="1" applyProtection="1">
      <alignment horizontal="left" vertical="center"/>
      <protection hidden="1"/>
    </xf>
    <xf numFmtId="0" fontId="0" fillId="5" borderId="16" xfId="0" applyFill="1" applyBorder="1" applyAlignment="1" applyProtection="1">
      <alignment horizontal="center" vertical="center"/>
      <protection locked="0" hidden="1"/>
    </xf>
    <xf numFmtId="0" fontId="0" fillId="5" borderId="67" xfId="0" applyFill="1" applyBorder="1" applyAlignment="1" applyProtection="1">
      <alignment horizontal="left" vertical="center"/>
      <protection hidden="1"/>
    </xf>
    <xf numFmtId="0" fontId="0" fillId="5" borderId="12" xfId="0" applyFill="1" applyBorder="1" applyAlignment="1" applyProtection="1">
      <alignment horizontal="center" vertical="center"/>
      <protection hidden="1"/>
    </xf>
    <xf numFmtId="0" fontId="15" fillId="5" borderId="12" xfId="0" applyFont="1" applyFill="1" applyBorder="1" applyAlignment="1" applyProtection="1">
      <alignment vertical="center"/>
      <protection hidden="1"/>
    </xf>
    <xf numFmtId="0" fontId="0" fillId="5" borderId="84" xfId="0" applyFill="1" applyBorder="1" applyAlignment="1">
      <alignment vertical="center"/>
    </xf>
    <xf numFmtId="4" fontId="0" fillId="5" borderId="16" xfId="0" applyNumberFormat="1" applyFill="1" applyBorder="1" applyAlignment="1" applyProtection="1">
      <alignment vertical="center"/>
      <protection hidden="1"/>
    </xf>
    <xf numFmtId="0" fontId="0" fillId="5" borderId="11" xfId="0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left" vertical="center"/>
      <protection hidden="1"/>
    </xf>
    <xf numFmtId="0" fontId="0" fillId="0" borderId="81" xfId="0" applyBorder="1" applyAlignment="1" applyProtection="1">
      <alignment horizontal="center" vertical="center"/>
      <protection locked="0" hidden="1"/>
    </xf>
    <xf numFmtId="0" fontId="0" fillId="0" borderId="80" xfId="0" applyBorder="1" applyAlignment="1" applyProtection="1">
      <alignment horizontal="center" vertical="center"/>
      <protection locked="0" hidden="1"/>
    </xf>
    <xf numFmtId="4" fontId="0" fillId="5" borderId="16" xfId="0" applyNumberFormat="1" applyFill="1" applyBorder="1" applyAlignment="1" applyProtection="1">
      <alignment horizontal="right" vertical="center"/>
      <protection hidden="1"/>
    </xf>
    <xf numFmtId="0" fontId="15" fillId="5" borderId="12" xfId="0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18" xfId="0" applyBorder="1" applyAlignment="1">
      <alignment vertical="center"/>
    </xf>
    <xf numFmtId="0" fontId="36" fillId="5" borderId="16" xfId="0" applyFont="1" applyFill="1" applyBorder="1" applyAlignment="1" applyProtection="1">
      <alignment vertical="center"/>
      <protection hidden="1"/>
    </xf>
    <xf numFmtId="4" fontId="36" fillId="5" borderId="16" xfId="0" applyNumberFormat="1" applyFont="1" applyFill="1" applyBorder="1" applyAlignment="1" applyProtection="1">
      <alignment vertical="center"/>
      <protection hidden="1"/>
    </xf>
    <xf numFmtId="0" fontId="36" fillId="5" borderId="11" xfId="0" applyFont="1" applyFill="1" applyBorder="1" applyAlignment="1" applyProtection="1">
      <alignment vertical="center"/>
      <protection hidden="1"/>
    </xf>
    <xf numFmtId="0" fontId="0" fillId="0" borderId="82" xfId="0" applyBorder="1" applyAlignment="1" applyProtection="1">
      <alignment horizontal="center" vertical="center"/>
      <protection locked="0" hidden="1"/>
    </xf>
    <xf numFmtId="4" fontId="0" fillId="0" borderId="0" xfId="0" applyNumberFormat="1" applyAlignment="1">
      <alignment vertical="center"/>
    </xf>
    <xf numFmtId="174" fontId="20" fillId="0" borderId="78" xfId="0" applyNumberFormat="1" applyFont="1" applyBorder="1" applyAlignment="1" applyProtection="1">
      <alignment horizontal="center"/>
      <protection hidden="1"/>
    </xf>
    <xf numFmtId="174" fontId="20" fillId="0" borderId="15" xfId="0" applyNumberFormat="1" applyFont="1" applyBorder="1" applyAlignment="1" applyProtection="1">
      <alignment horizontal="center"/>
      <protection hidden="1"/>
    </xf>
    <xf numFmtId="169" fontId="30" fillId="0" borderId="0" xfId="0" applyNumberFormat="1" applyFont="1" applyProtection="1">
      <protection hidden="1"/>
    </xf>
    <xf numFmtId="0" fontId="13" fillId="0" borderId="30" xfId="0" applyFont="1" applyBorder="1" applyAlignment="1" applyProtection="1">
      <alignment horizontal="center" vertical="center"/>
      <protection locked="0" hidden="1"/>
    </xf>
    <xf numFmtId="0" fontId="0" fillId="0" borderId="12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5" borderId="2" xfId="0" applyFill="1" applyBorder="1" applyAlignment="1">
      <alignment vertical="center"/>
    </xf>
    <xf numFmtId="2" fontId="0" fillId="0" borderId="0" xfId="0" applyNumberFormat="1" applyAlignment="1" applyProtection="1">
      <alignment vertical="center"/>
      <protection hidden="1"/>
    </xf>
    <xf numFmtId="0" fontId="39" fillId="0" borderId="0" xfId="0" applyFont="1" applyAlignment="1" applyProtection="1">
      <alignment horizontal="left" vertical="center"/>
      <protection hidden="1"/>
    </xf>
    <xf numFmtId="0" fontId="0" fillId="0" borderId="55" xfId="0" applyBorder="1" applyAlignment="1" applyProtection="1">
      <alignment horizontal="center" vertical="center"/>
      <protection hidden="1"/>
    </xf>
    <xf numFmtId="0" fontId="0" fillId="0" borderId="65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167" fontId="0" fillId="0" borderId="16" xfId="0" applyNumberFormat="1" applyBorder="1" applyAlignment="1" applyProtection="1">
      <alignment horizontal="left"/>
      <protection locked="0" hidden="1"/>
    </xf>
    <xf numFmtId="0" fontId="0" fillId="0" borderId="3" xfId="0" applyBorder="1" applyProtection="1">
      <protection hidden="1"/>
    </xf>
    <xf numFmtId="0" fontId="15" fillId="5" borderId="21" xfId="0" applyFont="1" applyFill="1" applyBorder="1" applyAlignment="1" applyProtection="1">
      <alignment horizontal="center" vertical="center"/>
      <protection hidden="1"/>
    </xf>
    <xf numFmtId="0" fontId="15" fillId="5" borderId="22" xfId="0" applyFont="1" applyFill="1" applyBorder="1" applyAlignment="1" applyProtection="1">
      <alignment vertical="center"/>
      <protection hidden="1"/>
    </xf>
    <xf numFmtId="0" fontId="34" fillId="0" borderId="98" xfId="0" applyFont="1" applyBorder="1" applyAlignment="1" applyProtection="1">
      <alignment horizontal="center" vertical="center"/>
      <protection hidden="1"/>
    </xf>
    <xf numFmtId="4" fontId="0" fillId="0" borderId="99" xfId="0" applyNumberFormat="1" applyBorder="1" applyAlignment="1" applyProtection="1">
      <alignment horizontal="right" vertical="center"/>
      <protection hidden="1"/>
    </xf>
    <xf numFmtId="0" fontId="34" fillId="0" borderId="13" xfId="0" applyFont="1" applyBorder="1" applyAlignment="1" applyProtection="1">
      <alignment horizontal="center" vertical="center"/>
      <protection hidden="1"/>
    </xf>
    <xf numFmtId="4" fontId="0" fillId="0" borderId="15" xfId="0" applyNumberFormat="1" applyBorder="1" applyAlignment="1" applyProtection="1">
      <alignment horizontal="right" vertical="center"/>
      <protection hidden="1"/>
    </xf>
    <xf numFmtId="0" fontId="34" fillId="0" borderId="14" xfId="0" applyFont="1" applyBorder="1" applyAlignment="1" applyProtection="1">
      <alignment horizontal="center" vertical="center"/>
      <protection hidden="1"/>
    </xf>
    <xf numFmtId="4" fontId="0" fillId="0" borderId="100" xfId="0" applyNumberFormat="1" applyBorder="1" applyAlignment="1" applyProtection="1">
      <alignment horizontal="right" vertical="center"/>
      <protection hidden="1"/>
    </xf>
    <xf numFmtId="0" fontId="15" fillId="5" borderId="60" xfId="0" applyFont="1" applyFill="1" applyBorder="1" applyAlignment="1" applyProtection="1">
      <alignment horizontal="center" vertical="center"/>
      <protection hidden="1"/>
    </xf>
    <xf numFmtId="0" fontId="15" fillId="5" borderId="101" xfId="0" applyFont="1" applyFill="1" applyBorder="1" applyAlignment="1" applyProtection="1">
      <alignment vertical="center"/>
      <protection hidden="1"/>
    </xf>
    <xf numFmtId="0" fontId="34" fillId="0" borderId="86" xfId="0" applyFont="1" applyBorder="1" applyAlignment="1" applyProtection="1">
      <alignment horizontal="center" vertical="center"/>
      <protection hidden="1"/>
    </xf>
    <xf numFmtId="4" fontId="0" fillId="0" borderId="75" xfId="0" applyNumberFormat="1" applyBorder="1" applyAlignment="1" applyProtection="1">
      <alignment horizontal="right" vertical="center"/>
      <protection hidden="1"/>
    </xf>
    <xf numFmtId="0" fontId="34" fillId="0" borderId="13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vertical="center"/>
      <protection hidden="1"/>
    </xf>
    <xf numFmtId="174" fontId="16" fillId="0" borderId="0" xfId="0" applyNumberFormat="1" applyFont="1" applyAlignment="1" applyProtection="1">
      <alignment vertical="center"/>
      <protection hidden="1"/>
    </xf>
    <xf numFmtId="0" fontId="25" fillId="2" borderId="102" xfId="0" applyFont="1" applyFill="1" applyBorder="1" applyAlignment="1" applyProtection="1">
      <alignment horizontal="center"/>
      <protection hidden="1"/>
    </xf>
    <xf numFmtId="2" fontId="20" fillId="0" borderId="100" xfId="0" applyNumberFormat="1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vertical="center" wrapText="1"/>
      <protection hidden="1"/>
    </xf>
    <xf numFmtId="173" fontId="0" fillId="0" borderId="0" xfId="0" applyNumberFormat="1" applyAlignment="1" applyProtection="1">
      <alignment horizontal="center"/>
      <protection hidden="1"/>
    </xf>
    <xf numFmtId="173" fontId="0" fillId="0" borderId="0" xfId="0" applyNumberFormat="1" applyAlignment="1" applyProtection="1">
      <alignment horizontal="center" vertical="center"/>
      <protection hidden="1"/>
    </xf>
    <xf numFmtId="166" fontId="0" fillId="0" borderId="1" xfId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center" vertical="top"/>
    </xf>
    <xf numFmtId="39" fontId="0" fillId="0" borderId="0" xfId="1" applyNumberFormat="1" applyFont="1" applyBorder="1" applyAlignment="1" applyProtection="1">
      <alignment vertical="center"/>
      <protection hidden="1"/>
    </xf>
    <xf numFmtId="0" fontId="19" fillId="0" borderId="0" xfId="0" applyFont="1" applyAlignment="1" applyProtection="1">
      <alignment vertical="center" wrapText="1"/>
      <protection hidden="1"/>
    </xf>
    <xf numFmtId="0" fontId="19" fillId="5" borderId="16" xfId="0" applyFont="1" applyFill="1" applyBorder="1" applyAlignment="1" applyProtection="1">
      <alignment vertical="center" wrapText="1"/>
      <protection hidden="1"/>
    </xf>
    <xf numFmtId="39" fontId="0" fillId="0" borderId="9" xfId="1" applyNumberFormat="1" applyFont="1" applyBorder="1" applyAlignment="1" applyProtection="1">
      <alignment vertical="center"/>
      <protection hidden="1"/>
    </xf>
    <xf numFmtId="39" fontId="0" fillId="0" borderId="1" xfId="1" applyNumberFormat="1" applyFont="1" applyBorder="1" applyAlignment="1" applyProtection="1">
      <alignment vertical="center"/>
      <protection hidden="1"/>
    </xf>
    <xf numFmtId="39" fontId="0" fillId="5" borderId="16" xfId="1" applyNumberFormat="1" applyFont="1" applyFill="1" applyBorder="1" applyAlignment="1" applyProtection="1">
      <alignment vertical="center"/>
      <protection hidden="1"/>
    </xf>
    <xf numFmtId="39" fontId="0" fillId="0" borderId="7" xfId="1" applyNumberFormat="1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0" fillId="0" borderId="1" xfId="1" applyFont="1" applyBorder="1" applyAlignment="1" applyProtection="1">
      <alignment horizontal="left" vertic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3" fontId="19" fillId="4" borderId="0" xfId="0" applyNumberFormat="1" applyFont="1" applyFill="1" applyAlignment="1" applyProtection="1">
      <alignment horizontal="center" vertical="center" wrapText="1"/>
      <protection hidden="1"/>
    </xf>
    <xf numFmtId="3" fontId="39" fillId="0" borderId="1" xfId="1" applyNumberFormat="1" applyFont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horizont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2" fontId="38" fillId="4" borderId="0" xfId="0" applyNumberFormat="1" applyFont="1" applyFill="1" applyAlignment="1" applyProtection="1">
      <alignment horizontal="center" vertical="center" wrapText="1"/>
      <protection hidden="1"/>
    </xf>
    <xf numFmtId="2" fontId="39" fillId="0" borderId="1" xfId="1" applyNumberFormat="1" applyFont="1" applyBorder="1" applyAlignment="1" applyProtection="1">
      <alignment horizontal="center" vertical="center"/>
      <protection hidden="1"/>
    </xf>
    <xf numFmtId="1" fontId="31" fillId="0" borderId="0" xfId="0" applyNumberFormat="1" applyFont="1" applyAlignment="1" applyProtection="1">
      <alignment horizontal="center"/>
      <protection hidden="1"/>
    </xf>
    <xf numFmtId="3" fontId="31" fillId="0" borderId="0" xfId="0" applyNumberFormat="1" applyFont="1" applyAlignment="1" applyProtection="1">
      <alignment horizontal="center"/>
      <protection hidden="1"/>
    </xf>
    <xf numFmtId="3" fontId="0" fillId="0" borderId="1" xfId="1" applyNumberFormat="1" applyFont="1" applyBorder="1" applyAlignment="1" applyProtection="1">
      <alignment horizontal="center" vertical="center"/>
      <protection hidden="1"/>
    </xf>
    <xf numFmtId="40" fontId="0" fillId="0" borderId="0" xfId="0" applyNumberFormat="1" applyAlignment="1" applyProtection="1">
      <alignment horizontal="center"/>
      <protection hidden="1"/>
    </xf>
    <xf numFmtId="1" fontId="31" fillId="0" borderId="0" xfId="0" applyNumberFormat="1" applyFont="1" applyAlignment="1" applyProtection="1">
      <alignment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3" fontId="31" fillId="0" borderId="0" xfId="0" applyNumberFormat="1" applyFont="1" applyAlignment="1" applyProtection="1">
      <alignment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2" fontId="19" fillId="4" borderId="0" xfId="0" applyNumberFormat="1" applyFont="1" applyFill="1" applyAlignment="1" applyProtection="1">
      <alignment horizontal="center" vertical="center" wrapText="1"/>
      <protection hidden="1"/>
    </xf>
    <xf numFmtId="2" fontId="0" fillId="0" borderId="1" xfId="1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left" vertical="center"/>
      <protection hidden="1"/>
    </xf>
    <xf numFmtId="1" fontId="38" fillId="4" borderId="0" xfId="0" applyNumberFormat="1" applyFont="1" applyFill="1" applyAlignment="1" applyProtection="1">
      <alignment horizontal="center" vertical="center" wrapText="1"/>
      <protection hidden="1"/>
    </xf>
    <xf numFmtId="1" fontId="39" fillId="0" borderId="1" xfId="1" applyNumberFormat="1" applyFont="1" applyBorder="1" applyAlignment="1" applyProtection="1">
      <alignment horizontal="center" vertical="center"/>
      <protection hidden="1"/>
    </xf>
    <xf numFmtId="2" fontId="31" fillId="0" borderId="0" xfId="0" applyNumberFormat="1" applyFont="1" applyAlignment="1" applyProtection="1">
      <alignment vertical="center"/>
      <protection hidden="1"/>
    </xf>
    <xf numFmtId="2" fontId="0" fillId="0" borderId="0" xfId="0" applyNumberFormat="1" applyAlignment="1" applyProtection="1">
      <alignment horizontal="left" vertical="center"/>
      <protection hidden="1"/>
    </xf>
    <xf numFmtId="1" fontId="39" fillId="0" borderId="0" xfId="0" applyNumberFormat="1" applyFont="1" applyAlignment="1" applyProtection="1">
      <alignment horizontal="center" vertical="center"/>
      <protection hidden="1"/>
    </xf>
    <xf numFmtId="166" fontId="0" fillId="0" borderId="1" xfId="1" applyFont="1" applyFill="1" applyBorder="1" applyAlignment="1" applyProtection="1">
      <alignment horizontal="center" vertical="center"/>
      <protection hidden="1"/>
    </xf>
    <xf numFmtId="166" fontId="0" fillId="0" borderId="1" xfId="1" applyFont="1" applyFill="1" applyBorder="1" applyAlignment="1" applyProtection="1">
      <alignment horizontal="left" vertical="center"/>
      <protection hidden="1"/>
    </xf>
    <xf numFmtId="1" fontId="31" fillId="0" borderId="0" xfId="0" applyNumberFormat="1" applyFont="1" applyAlignment="1" applyProtection="1">
      <alignment horizontal="center" vertical="center"/>
      <protection hidden="1"/>
    </xf>
    <xf numFmtId="2" fontId="0" fillId="0" borderId="1" xfId="1" applyNumberFormat="1" applyFont="1" applyFill="1" applyBorder="1" applyAlignment="1" applyProtection="1">
      <alignment horizontal="center" vertical="center"/>
      <protection hidden="1"/>
    </xf>
    <xf numFmtId="0" fontId="41" fillId="0" borderId="0" xfId="0" applyFont="1" applyAlignment="1" applyProtection="1">
      <alignment vertical="center"/>
      <protection hidden="1"/>
    </xf>
    <xf numFmtId="0" fontId="39" fillId="0" borderId="0" xfId="0" applyFont="1" applyAlignment="1" applyProtection="1">
      <alignment vertical="center"/>
      <protection hidden="1"/>
    </xf>
    <xf numFmtId="2" fontId="39" fillId="0" borderId="1" xfId="1" applyNumberFormat="1" applyFont="1" applyFill="1" applyBorder="1" applyAlignment="1" applyProtection="1">
      <alignment horizontal="center" vertical="center"/>
      <protection hidden="1"/>
    </xf>
    <xf numFmtId="3" fontId="0" fillId="0" borderId="1" xfId="1" applyNumberFormat="1" applyFont="1" applyFill="1" applyBorder="1" applyAlignment="1" applyProtection="1">
      <alignment horizontal="center" vertical="center"/>
      <protection hidden="1"/>
    </xf>
    <xf numFmtId="166" fontId="39" fillId="0" borderId="1" xfId="1" applyFont="1" applyFill="1" applyBorder="1" applyAlignment="1" applyProtection="1">
      <alignment horizontal="center" vertical="center"/>
      <protection hidden="1"/>
    </xf>
    <xf numFmtId="2" fontId="31" fillId="0" borderId="0" xfId="0" applyNumberFormat="1" applyFont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1" fontId="39" fillId="0" borderId="1" xfId="1" applyNumberFormat="1" applyFont="1" applyFill="1" applyBorder="1" applyAlignment="1" applyProtection="1">
      <alignment horizontal="center" vertical="center"/>
      <protection hidden="1"/>
    </xf>
    <xf numFmtId="4" fontId="0" fillId="0" borderId="1" xfId="0" applyNumberFormat="1" applyBorder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right" vertical="center"/>
      <protection hidden="1"/>
    </xf>
    <xf numFmtId="2" fontId="0" fillId="0" borderId="1" xfId="0" applyNumberFormat="1" applyBorder="1" applyAlignment="1" applyProtection="1">
      <alignment horizontal="right" vertical="center"/>
      <protection hidden="1"/>
    </xf>
    <xf numFmtId="2" fontId="0" fillId="0" borderId="1" xfId="0" applyNumberFormat="1" applyBorder="1" applyAlignment="1" applyProtection="1">
      <alignment horizontal="center" vertical="center"/>
      <protection hidden="1"/>
    </xf>
    <xf numFmtId="2" fontId="0" fillId="0" borderId="1" xfId="0" applyNumberFormat="1" applyBorder="1" applyAlignment="1" applyProtection="1">
      <alignment horizontal="left" vertical="center"/>
      <protection hidden="1"/>
    </xf>
    <xf numFmtId="2" fontId="0" fillId="0" borderId="0" xfId="0" applyNumberFormat="1" applyAlignment="1" applyProtection="1">
      <alignment horizontal="right"/>
      <protection hidden="1"/>
    </xf>
    <xf numFmtId="2" fontId="0" fillId="0" borderId="1" xfId="0" applyNumberFormat="1" applyBorder="1" applyAlignment="1" applyProtection="1">
      <alignment horizontal="right"/>
      <protection hidden="1"/>
    </xf>
    <xf numFmtId="2" fontId="0" fillId="0" borderId="1" xfId="0" applyNumberFormat="1" applyBorder="1" applyAlignment="1" applyProtection="1">
      <alignment horizontal="left"/>
      <protection hidden="1"/>
    </xf>
    <xf numFmtId="2" fontId="0" fillId="0" borderId="1" xfId="0" applyNumberFormat="1" applyBorder="1" applyAlignment="1" applyProtection="1">
      <alignment horizontal="center"/>
      <protection hidden="1"/>
    </xf>
    <xf numFmtId="1" fontId="0" fillId="0" borderId="1" xfId="0" applyNumberFormat="1" applyBorder="1" applyAlignment="1" applyProtection="1">
      <alignment horizontal="center"/>
      <protection hidden="1"/>
    </xf>
    <xf numFmtId="0" fontId="41" fillId="0" borderId="0" xfId="0" applyFont="1" applyProtection="1">
      <protection hidden="1"/>
    </xf>
    <xf numFmtId="1" fontId="39" fillId="0" borderId="1" xfId="0" applyNumberFormat="1" applyFont="1" applyBorder="1" applyAlignment="1" applyProtection="1">
      <alignment horizontal="center"/>
      <protection hidden="1"/>
    </xf>
    <xf numFmtId="2" fontId="39" fillId="0" borderId="1" xfId="0" applyNumberFormat="1" applyFont="1" applyBorder="1" applyAlignment="1" applyProtection="1">
      <alignment horizontal="center"/>
      <protection hidden="1"/>
    </xf>
    <xf numFmtId="166" fontId="0" fillId="0" borderId="1" xfId="1" applyFont="1" applyFill="1" applyBorder="1" applyAlignment="1" applyProtection="1">
      <alignment horizontal="center"/>
      <protection hidden="1"/>
    </xf>
    <xf numFmtId="166" fontId="0" fillId="0" borderId="1" xfId="1" applyFont="1" applyFill="1" applyBorder="1" applyAlignment="1" applyProtection="1">
      <alignment horizontal="left"/>
      <protection hidden="1"/>
    </xf>
    <xf numFmtId="1" fontId="0" fillId="0" borderId="1" xfId="1" applyNumberFormat="1" applyFont="1" applyFill="1" applyBorder="1" applyAlignment="1" applyProtection="1">
      <alignment horizontal="center"/>
      <protection hidden="1"/>
    </xf>
    <xf numFmtId="1" fontId="0" fillId="0" borderId="0" xfId="0" applyNumberFormat="1" applyAlignment="1">
      <alignment horizontal="center"/>
    </xf>
    <xf numFmtId="0" fontId="38" fillId="4" borderId="0" xfId="0" applyFont="1" applyFill="1" applyAlignment="1" applyProtection="1">
      <alignment horizontal="center" vertical="center" wrapText="1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169" fontId="30" fillId="0" borderId="0" xfId="0" applyNumberFormat="1" applyFont="1" applyAlignment="1" applyProtection="1">
      <alignment horizontal="center" wrapText="1"/>
      <protection hidden="1"/>
    </xf>
    <xf numFmtId="1" fontId="0" fillId="2" borderId="12" xfId="0" applyNumberFormat="1" applyFill="1" applyBorder="1" applyAlignment="1" applyProtection="1">
      <alignment horizontal="center" vertical="center"/>
      <protection hidden="1"/>
    </xf>
    <xf numFmtId="1" fontId="0" fillId="2" borderId="11" xfId="0" applyNumberFormat="1" applyFill="1" applyBorder="1" applyAlignment="1" applyProtection="1">
      <alignment horizontal="center" vertical="center"/>
      <protection hidden="1"/>
    </xf>
    <xf numFmtId="1" fontId="0" fillId="0" borderId="12" xfId="0" applyNumberFormat="1" applyBorder="1" applyAlignment="1" applyProtection="1">
      <alignment horizontal="center" vertical="center"/>
      <protection hidden="1"/>
    </xf>
    <xf numFmtId="1" fontId="0" fillId="0" borderId="11" xfId="0" applyNumberFormat="1" applyBorder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 wrapText="1"/>
      <protection hidden="1"/>
    </xf>
    <xf numFmtId="14" fontId="8" fillId="0" borderId="12" xfId="0" applyNumberFormat="1" applyFont="1" applyBorder="1" applyAlignment="1" applyProtection="1">
      <alignment horizontal="center" vertical="center"/>
      <protection locked="0" hidden="1"/>
    </xf>
    <xf numFmtId="14" fontId="8" fillId="0" borderId="11" xfId="0" applyNumberFormat="1" applyFont="1" applyBorder="1" applyAlignment="1" applyProtection="1">
      <alignment horizontal="center" vertical="center"/>
      <protection locked="0"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left" vertical="center"/>
      <protection locked="0" hidden="1"/>
    </xf>
    <xf numFmtId="0" fontId="32" fillId="0" borderId="5" xfId="0" applyFont="1" applyBorder="1" applyAlignment="1" applyProtection="1">
      <alignment horizontal="left" vertical="center"/>
      <protection locked="0" hidden="1"/>
    </xf>
    <xf numFmtId="0" fontId="8" fillId="0" borderId="16" xfId="0" applyFont="1" applyBorder="1" applyAlignment="1" applyProtection="1">
      <alignment horizontal="left" vertical="center"/>
      <protection locked="0" hidden="1"/>
    </xf>
    <xf numFmtId="0" fontId="0" fillId="0" borderId="5" xfId="0" applyBorder="1" applyAlignment="1" applyProtection="1">
      <alignment horizontal="left" vertical="center" wrapText="1"/>
      <protection locked="0" hidden="1"/>
    </xf>
    <xf numFmtId="0" fontId="8" fillId="0" borderId="5" xfId="0" applyFont="1" applyBorder="1" applyAlignment="1" applyProtection="1">
      <alignment horizontal="left" vertical="center"/>
      <protection locked="0" hidden="1"/>
    </xf>
    <xf numFmtId="1" fontId="15" fillId="0" borderId="0" xfId="0" applyNumberFormat="1" applyFont="1" applyAlignment="1" applyProtection="1">
      <alignment horizontal="center" vertical="center"/>
      <protection hidden="1"/>
    </xf>
    <xf numFmtId="0" fontId="0" fillId="0" borderId="19" xfId="0" applyBorder="1" applyAlignment="1" applyProtection="1">
      <alignment horizontal="left" vertical="center"/>
      <protection locked="0" hidden="1"/>
    </xf>
    <xf numFmtId="165" fontId="11" fillId="2" borderId="21" xfId="0" applyNumberFormat="1" applyFont="1" applyFill="1" applyBorder="1" applyAlignment="1" applyProtection="1">
      <alignment horizontal="center" vertical="center"/>
      <protection hidden="1"/>
    </xf>
    <xf numFmtId="165" fontId="11" fillId="2" borderId="22" xfId="0" applyNumberFormat="1" applyFont="1" applyFill="1" applyBorder="1" applyAlignment="1" applyProtection="1">
      <alignment horizontal="center" vertical="center"/>
      <protection hidden="1"/>
    </xf>
    <xf numFmtId="0" fontId="19" fillId="4" borderId="26" xfId="0" applyFont="1" applyFill="1" applyBorder="1" applyAlignment="1" applyProtection="1">
      <alignment horizontal="center" vertical="center" wrapText="1"/>
      <protection hidden="1"/>
    </xf>
    <xf numFmtId="0" fontId="19" fillId="4" borderId="27" xfId="0" applyFont="1" applyFill="1" applyBorder="1" applyAlignment="1" applyProtection="1">
      <alignment horizontal="center" vertical="center" wrapText="1"/>
      <protection hidden="1"/>
    </xf>
    <xf numFmtId="1" fontId="19" fillId="4" borderId="26" xfId="0" applyNumberFormat="1" applyFont="1" applyFill="1" applyBorder="1" applyAlignment="1" applyProtection="1">
      <alignment horizontal="center" vertical="center" wrapText="1"/>
      <protection hidden="1"/>
    </xf>
    <xf numFmtId="1" fontId="19" fillId="4" borderId="27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left" vertical="center"/>
      <protection locked="0" hidden="1"/>
    </xf>
    <xf numFmtId="167" fontId="0" fillId="0" borderId="16" xfId="0" applyNumberFormat="1" applyBorder="1" applyAlignment="1" applyProtection="1">
      <alignment horizontal="left" vertical="center"/>
      <protection locked="0" hidden="1"/>
    </xf>
    <xf numFmtId="0" fontId="0" fillId="0" borderId="2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165" fontId="0" fillId="0" borderId="2" xfId="14" applyFont="1" applyBorder="1" applyAlignment="1" applyProtection="1">
      <alignment horizontal="center"/>
      <protection hidden="1"/>
    </xf>
    <xf numFmtId="165" fontId="0" fillId="0" borderId="20" xfId="14" applyFont="1" applyBorder="1" applyAlignment="1" applyProtection="1">
      <alignment horizontal="center"/>
      <protection hidden="1"/>
    </xf>
    <xf numFmtId="165" fontId="0" fillId="0" borderId="6" xfId="14" applyFont="1" applyBorder="1" applyAlignment="1" applyProtection="1">
      <alignment horizontal="center"/>
      <protection hidden="1"/>
    </xf>
    <xf numFmtId="165" fontId="0" fillId="0" borderId="17" xfId="14" applyFont="1" applyBorder="1" applyAlignment="1" applyProtection="1">
      <alignment horizontal="center"/>
      <protection hidden="1"/>
    </xf>
    <xf numFmtId="165" fontId="0" fillId="0" borderId="4" xfId="14" applyFont="1" applyBorder="1" applyAlignment="1" applyProtection="1">
      <alignment horizontal="center"/>
      <protection hidden="1"/>
    </xf>
    <xf numFmtId="165" fontId="0" fillId="0" borderId="18" xfId="14" applyFont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165" fontId="0" fillId="0" borderId="1" xfId="14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9" fontId="30" fillId="0" borderId="0" xfId="0" applyNumberFormat="1" applyFont="1" applyAlignment="1" applyProtection="1">
      <alignment horizontal="center" vertical="center" wrapText="1"/>
      <protection hidden="1"/>
    </xf>
    <xf numFmtId="0" fontId="35" fillId="4" borderId="0" xfId="0" applyFont="1" applyFill="1" applyAlignment="1" applyProtection="1">
      <alignment horizontal="center" vertical="center" wrapText="1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5" borderId="2" xfId="0" applyFill="1" applyBorder="1" applyAlignment="1" applyProtection="1">
      <alignment horizontal="center" vertical="center"/>
      <protection hidden="1"/>
    </xf>
    <xf numFmtId="0" fontId="0" fillId="5" borderId="20" xfId="0" applyFill="1" applyBorder="1" applyAlignment="1" applyProtection="1">
      <alignment horizontal="center" vertical="center"/>
      <protection hidden="1"/>
    </xf>
    <xf numFmtId="0" fontId="0" fillId="5" borderId="4" xfId="0" applyFill="1" applyBorder="1" applyAlignment="1" applyProtection="1">
      <alignment horizontal="center" vertical="center"/>
      <protection hidden="1"/>
    </xf>
    <xf numFmtId="0" fontId="0" fillId="5" borderId="18" xfId="0" applyFill="1" applyBorder="1" applyAlignment="1" applyProtection="1">
      <alignment horizontal="center" vertical="center"/>
      <protection hidden="1"/>
    </xf>
    <xf numFmtId="0" fontId="0" fillId="5" borderId="6" xfId="0" applyFill="1" applyBorder="1" applyAlignment="1" applyProtection="1">
      <alignment horizontal="center" vertical="center"/>
      <protection hidden="1"/>
    </xf>
    <xf numFmtId="0" fontId="0" fillId="5" borderId="17" xfId="0" applyFill="1" applyBorder="1" applyAlignment="1" applyProtection="1">
      <alignment horizontal="center"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55" xfId="0" applyBorder="1" applyAlignment="1" applyProtection="1">
      <alignment horizontal="center" vertical="center"/>
      <protection hidden="1"/>
    </xf>
    <xf numFmtId="0" fontId="0" fillId="0" borderId="23" xfId="0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horizontal="center" vertical="center"/>
      <protection hidden="1"/>
    </xf>
    <xf numFmtId="0" fontId="0" fillId="0" borderId="65" xfId="0" applyBorder="1" applyAlignment="1" applyProtection="1">
      <alignment horizontal="center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0" fontId="15" fillId="0" borderId="60" xfId="0" applyFont="1" applyBorder="1" applyAlignment="1" applyProtection="1">
      <alignment horizontal="center" vertical="center"/>
      <protection hidden="1"/>
    </xf>
    <xf numFmtId="0" fontId="15" fillId="0" borderId="55" xfId="0" applyFont="1" applyBorder="1" applyAlignment="1" applyProtection="1">
      <alignment horizontal="center" vertical="center"/>
      <protection hidden="1"/>
    </xf>
    <xf numFmtId="0" fontId="15" fillId="0" borderId="23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64" xfId="0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 applyProtection="1">
      <alignment horizontal="center" vertical="center"/>
      <protection hidden="1"/>
    </xf>
    <xf numFmtId="0" fontId="0" fillId="0" borderId="60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77" xfId="0" applyBorder="1" applyAlignment="1" applyProtection="1">
      <alignment horizontal="center"/>
      <protection hidden="1"/>
    </xf>
    <xf numFmtId="0" fontId="0" fillId="0" borderId="55" xfId="0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right"/>
      <protection hidden="1"/>
    </xf>
    <xf numFmtId="0" fontId="8" fillId="0" borderId="3" xfId="0" applyFont="1" applyBorder="1" applyAlignment="1" applyProtection="1">
      <alignment horizontal="right"/>
      <protection hidden="1"/>
    </xf>
    <xf numFmtId="0" fontId="0" fillId="0" borderId="5" xfId="0" applyBorder="1" applyAlignment="1" applyProtection="1">
      <alignment horizontal="left" wrapText="1"/>
      <protection locked="0" hidden="1"/>
    </xf>
    <xf numFmtId="0" fontId="0" fillId="0" borderId="16" xfId="0" applyBorder="1" applyAlignment="1" applyProtection="1">
      <alignment horizontal="left"/>
      <protection locked="0" hidden="1"/>
    </xf>
    <xf numFmtId="167" fontId="0" fillId="0" borderId="16" xfId="0" applyNumberFormat="1" applyBorder="1" applyAlignment="1" applyProtection="1">
      <alignment horizontal="left"/>
      <protection locked="0" hidden="1"/>
    </xf>
    <xf numFmtId="1" fontId="4" fillId="0" borderId="0" xfId="0" applyNumberFormat="1" applyFont="1" applyAlignment="1" applyProtection="1">
      <alignment horizontal="left"/>
      <protection hidden="1"/>
    </xf>
    <xf numFmtId="0" fontId="8" fillId="0" borderId="5" xfId="0" applyFont="1" applyBorder="1" applyAlignment="1" applyProtection="1">
      <alignment horizontal="left"/>
      <protection locked="0" hidden="1"/>
    </xf>
    <xf numFmtId="0" fontId="0" fillId="0" borderId="0" xfId="0" applyAlignment="1" applyProtection="1">
      <alignment horizontal="left" wrapText="1"/>
      <protection hidden="1"/>
    </xf>
    <xf numFmtId="0" fontId="14" fillId="0" borderId="5" xfId="0" applyFont="1" applyBorder="1" applyAlignment="1" applyProtection="1">
      <alignment horizontal="left"/>
      <protection locked="0" hidden="1"/>
    </xf>
    <xf numFmtId="0" fontId="0" fillId="0" borderId="5" xfId="0" applyBorder="1" applyAlignment="1" applyProtection="1">
      <alignment horizontal="left"/>
      <protection locked="0" hidden="1"/>
    </xf>
    <xf numFmtId="0" fontId="0" fillId="0" borderId="16" xfId="0" applyBorder="1" applyAlignment="1" applyProtection="1">
      <alignment horizontal="left" wrapText="1"/>
      <protection locked="0" hidden="1"/>
    </xf>
    <xf numFmtId="0" fontId="8" fillId="0" borderId="16" xfId="0" applyFont="1" applyBorder="1" applyAlignment="1" applyProtection="1">
      <alignment horizontal="left"/>
      <protection locked="0" hidden="1"/>
    </xf>
    <xf numFmtId="0" fontId="0" fillId="0" borderId="0" xfId="0" applyAlignment="1" applyProtection="1">
      <protection hidden="1"/>
    </xf>
  </cellXfs>
  <cellStyles count="21">
    <cellStyle name="Comma" xfId="1" builtinId="3"/>
    <cellStyle name="Comma 2" xfId="2" xr:uid="{00000000-0005-0000-0000-000001000000}"/>
    <cellStyle name="Comma 2 2" xfId="3" xr:uid="{00000000-0005-0000-0000-000002000000}"/>
    <cellStyle name="Comma 3" xfId="4" xr:uid="{00000000-0005-0000-0000-000003000000}"/>
    <cellStyle name="Comma 3 2" xfId="5" xr:uid="{00000000-0005-0000-0000-000004000000}"/>
    <cellStyle name="Comma 4" xfId="6" xr:uid="{00000000-0005-0000-0000-000005000000}"/>
    <cellStyle name="Comma 4 2" xfId="7" xr:uid="{00000000-0005-0000-0000-000006000000}"/>
    <cellStyle name="Comma 5" xfId="8" xr:uid="{00000000-0005-0000-0000-000007000000}"/>
    <cellStyle name="Comma 5 2" xfId="9" xr:uid="{00000000-0005-0000-0000-000008000000}"/>
    <cellStyle name="Comma 6" xfId="10" xr:uid="{00000000-0005-0000-0000-000009000000}"/>
    <cellStyle name="Comma 6 2" xfId="11" xr:uid="{00000000-0005-0000-0000-00000A000000}"/>
    <cellStyle name="Comma 7" xfId="12" xr:uid="{00000000-0005-0000-0000-00000B000000}"/>
    <cellStyle name="Comma 7 2" xfId="13" xr:uid="{00000000-0005-0000-0000-00000C000000}"/>
    <cellStyle name="Currency" xfId="14" builtinId="4"/>
    <cellStyle name="Currency 2" xfId="17" xr:uid="{00000000-0005-0000-0000-00000E000000}"/>
    <cellStyle name="Normal" xfId="0" builtinId="0"/>
    <cellStyle name="Normal 2" xfId="16" xr:uid="{00000000-0005-0000-0000-000011000000}"/>
    <cellStyle name="Normal 42" xfId="20" xr:uid="{9382BAAD-4884-40C5-BB71-96CC4F972DCE}"/>
    <cellStyle name="Percent" xfId="15" builtinId="5"/>
    <cellStyle name="Percent 2" xfId="18" xr:uid="{00000000-0005-0000-0000-000013000000}"/>
    <cellStyle name="Vírgula 2" xfId="19" xr:uid="{01092E2A-29B6-4916-A4BC-6096F2E7EC6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0.png"/><Relationship Id="rId2" Type="http://schemas.openxmlformats.org/officeDocument/2006/relationships/image" Target="../media/image199.png"/><Relationship Id="rId1" Type="http://schemas.openxmlformats.org/officeDocument/2006/relationships/image" Target="../media/image1.jpeg"/><Relationship Id="rId5" Type="http://schemas.openxmlformats.org/officeDocument/2006/relationships/image" Target="../media/image39.png"/><Relationship Id="rId4" Type="http://schemas.openxmlformats.org/officeDocument/2006/relationships/image" Target="../media/image19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image" Target="../media/image203.jpeg"/><Relationship Id="rId7" Type="http://schemas.openxmlformats.org/officeDocument/2006/relationships/image" Target="../media/image207.png"/><Relationship Id="rId2" Type="http://schemas.openxmlformats.org/officeDocument/2006/relationships/image" Target="../media/image202.png"/><Relationship Id="rId1" Type="http://schemas.openxmlformats.org/officeDocument/2006/relationships/image" Target="../media/image201.png"/><Relationship Id="rId6" Type="http://schemas.openxmlformats.org/officeDocument/2006/relationships/image" Target="../media/image206.png"/><Relationship Id="rId11" Type="http://schemas.openxmlformats.org/officeDocument/2006/relationships/image" Target="../media/image39.png"/><Relationship Id="rId5" Type="http://schemas.openxmlformats.org/officeDocument/2006/relationships/image" Target="../media/image205.jpeg"/><Relationship Id="rId10" Type="http://schemas.openxmlformats.org/officeDocument/2006/relationships/image" Target="../media/image151.png"/><Relationship Id="rId4" Type="http://schemas.openxmlformats.org/officeDocument/2006/relationships/image" Target="../media/image204.jpeg"/><Relationship Id="rId9" Type="http://schemas.openxmlformats.org/officeDocument/2006/relationships/image" Target="../media/image135.png"/></Relationships>
</file>

<file path=xl/drawings/_rels/drawing12.xml.rels><?xml version="1.0" encoding="UTF-8" standalone="yes"?>
<Relationships xmlns="http://schemas.openxmlformats.org/package/2006/relationships"><Relationship Id="rId13" Type="http://schemas.microsoft.com/office/2007/relationships/hdphoto" Target="../media/hdphoto10.wdp"/><Relationship Id="rId18" Type="http://schemas.openxmlformats.org/officeDocument/2006/relationships/image" Target="../media/image216.png"/><Relationship Id="rId26" Type="http://schemas.openxmlformats.org/officeDocument/2006/relationships/image" Target="../media/image220.png"/><Relationship Id="rId39" Type="http://schemas.microsoft.com/office/2007/relationships/hdphoto" Target="../media/hdphoto23.wdp"/><Relationship Id="rId21" Type="http://schemas.microsoft.com/office/2007/relationships/hdphoto" Target="../media/hdphoto14.wdp"/><Relationship Id="rId34" Type="http://schemas.openxmlformats.org/officeDocument/2006/relationships/image" Target="../media/image224.png"/><Relationship Id="rId42" Type="http://schemas.openxmlformats.org/officeDocument/2006/relationships/image" Target="../media/image228.png"/><Relationship Id="rId47" Type="http://schemas.microsoft.com/office/2007/relationships/hdphoto" Target="../media/hdphoto27.wdp"/><Relationship Id="rId50" Type="http://schemas.openxmlformats.org/officeDocument/2006/relationships/image" Target="../media/image232.png"/><Relationship Id="rId55" Type="http://schemas.microsoft.com/office/2007/relationships/hdphoto" Target="../media/hdphoto31.wdp"/><Relationship Id="rId7" Type="http://schemas.microsoft.com/office/2007/relationships/hdphoto" Target="../media/hdphoto7.wdp"/><Relationship Id="rId2" Type="http://schemas.openxmlformats.org/officeDocument/2006/relationships/image" Target="../media/image208.png"/><Relationship Id="rId16" Type="http://schemas.openxmlformats.org/officeDocument/2006/relationships/image" Target="../media/image215.png"/><Relationship Id="rId29" Type="http://schemas.microsoft.com/office/2007/relationships/hdphoto" Target="../media/hdphoto18.wdp"/><Relationship Id="rId11" Type="http://schemas.microsoft.com/office/2007/relationships/hdphoto" Target="../media/hdphoto9.wdp"/><Relationship Id="rId24" Type="http://schemas.openxmlformats.org/officeDocument/2006/relationships/image" Target="../media/image219.png"/><Relationship Id="rId32" Type="http://schemas.openxmlformats.org/officeDocument/2006/relationships/image" Target="../media/image223.png"/><Relationship Id="rId37" Type="http://schemas.microsoft.com/office/2007/relationships/hdphoto" Target="../media/hdphoto22.wdp"/><Relationship Id="rId40" Type="http://schemas.openxmlformats.org/officeDocument/2006/relationships/image" Target="../media/image227.png"/><Relationship Id="rId45" Type="http://schemas.microsoft.com/office/2007/relationships/hdphoto" Target="../media/hdphoto26.wdp"/><Relationship Id="rId53" Type="http://schemas.microsoft.com/office/2007/relationships/hdphoto" Target="../media/hdphoto30.wdp"/><Relationship Id="rId58" Type="http://schemas.openxmlformats.org/officeDocument/2006/relationships/image" Target="../media/image236.png"/><Relationship Id="rId5" Type="http://schemas.microsoft.com/office/2007/relationships/hdphoto" Target="../media/hdphoto6.wdp"/><Relationship Id="rId19" Type="http://schemas.microsoft.com/office/2007/relationships/hdphoto" Target="../media/hdphoto13.wdp"/><Relationship Id="rId4" Type="http://schemas.openxmlformats.org/officeDocument/2006/relationships/image" Target="../media/image209.png"/><Relationship Id="rId9" Type="http://schemas.microsoft.com/office/2007/relationships/hdphoto" Target="../media/hdphoto8.wdp"/><Relationship Id="rId14" Type="http://schemas.openxmlformats.org/officeDocument/2006/relationships/image" Target="../media/image214.png"/><Relationship Id="rId22" Type="http://schemas.openxmlformats.org/officeDocument/2006/relationships/image" Target="../media/image218.png"/><Relationship Id="rId27" Type="http://schemas.microsoft.com/office/2007/relationships/hdphoto" Target="../media/hdphoto17.wdp"/><Relationship Id="rId30" Type="http://schemas.openxmlformats.org/officeDocument/2006/relationships/image" Target="../media/image222.png"/><Relationship Id="rId35" Type="http://schemas.microsoft.com/office/2007/relationships/hdphoto" Target="../media/hdphoto21.wdp"/><Relationship Id="rId43" Type="http://schemas.microsoft.com/office/2007/relationships/hdphoto" Target="../media/hdphoto25.wdp"/><Relationship Id="rId48" Type="http://schemas.openxmlformats.org/officeDocument/2006/relationships/image" Target="../media/image231.png"/><Relationship Id="rId56" Type="http://schemas.openxmlformats.org/officeDocument/2006/relationships/image" Target="../media/image235.png"/><Relationship Id="rId8" Type="http://schemas.openxmlformats.org/officeDocument/2006/relationships/image" Target="../media/image211.png"/><Relationship Id="rId51" Type="http://schemas.microsoft.com/office/2007/relationships/hdphoto" Target="../media/hdphoto29.wdp"/><Relationship Id="rId3" Type="http://schemas.microsoft.com/office/2007/relationships/hdphoto" Target="../media/hdphoto5.wdp"/><Relationship Id="rId12" Type="http://schemas.openxmlformats.org/officeDocument/2006/relationships/image" Target="../media/image213.png"/><Relationship Id="rId17" Type="http://schemas.microsoft.com/office/2007/relationships/hdphoto" Target="../media/hdphoto12.wdp"/><Relationship Id="rId25" Type="http://schemas.microsoft.com/office/2007/relationships/hdphoto" Target="../media/hdphoto16.wdp"/><Relationship Id="rId33" Type="http://schemas.microsoft.com/office/2007/relationships/hdphoto" Target="../media/hdphoto20.wdp"/><Relationship Id="rId38" Type="http://schemas.openxmlformats.org/officeDocument/2006/relationships/image" Target="../media/image226.png"/><Relationship Id="rId46" Type="http://schemas.openxmlformats.org/officeDocument/2006/relationships/image" Target="../media/image230.png"/><Relationship Id="rId59" Type="http://schemas.microsoft.com/office/2007/relationships/hdphoto" Target="../media/hdphoto33.wdp"/><Relationship Id="rId20" Type="http://schemas.openxmlformats.org/officeDocument/2006/relationships/image" Target="../media/image217.png"/><Relationship Id="rId41" Type="http://schemas.microsoft.com/office/2007/relationships/hdphoto" Target="../media/hdphoto24.wdp"/><Relationship Id="rId54" Type="http://schemas.openxmlformats.org/officeDocument/2006/relationships/image" Target="../media/image234.png"/><Relationship Id="rId1" Type="http://schemas.openxmlformats.org/officeDocument/2006/relationships/image" Target="../media/image167.jpeg"/><Relationship Id="rId6" Type="http://schemas.openxmlformats.org/officeDocument/2006/relationships/image" Target="../media/image210.png"/><Relationship Id="rId15" Type="http://schemas.microsoft.com/office/2007/relationships/hdphoto" Target="../media/hdphoto11.wdp"/><Relationship Id="rId23" Type="http://schemas.microsoft.com/office/2007/relationships/hdphoto" Target="../media/hdphoto15.wdp"/><Relationship Id="rId28" Type="http://schemas.openxmlformats.org/officeDocument/2006/relationships/image" Target="../media/image221.png"/><Relationship Id="rId36" Type="http://schemas.openxmlformats.org/officeDocument/2006/relationships/image" Target="../media/image225.png"/><Relationship Id="rId49" Type="http://schemas.microsoft.com/office/2007/relationships/hdphoto" Target="../media/hdphoto28.wdp"/><Relationship Id="rId57" Type="http://schemas.microsoft.com/office/2007/relationships/hdphoto" Target="../media/hdphoto32.wdp"/><Relationship Id="rId10" Type="http://schemas.openxmlformats.org/officeDocument/2006/relationships/image" Target="../media/image212.png"/><Relationship Id="rId31" Type="http://schemas.microsoft.com/office/2007/relationships/hdphoto" Target="../media/hdphoto19.wdp"/><Relationship Id="rId44" Type="http://schemas.openxmlformats.org/officeDocument/2006/relationships/image" Target="../media/image229.png"/><Relationship Id="rId52" Type="http://schemas.openxmlformats.org/officeDocument/2006/relationships/image" Target="../media/image233.png"/><Relationship Id="rId60" Type="http://schemas.openxmlformats.org/officeDocument/2006/relationships/image" Target="../media/image3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4.jpeg"/><Relationship Id="rId13" Type="http://schemas.openxmlformats.org/officeDocument/2006/relationships/image" Target="../media/image249.jpeg"/><Relationship Id="rId18" Type="http://schemas.openxmlformats.org/officeDocument/2006/relationships/image" Target="../media/image254.jpeg"/><Relationship Id="rId26" Type="http://schemas.openxmlformats.org/officeDocument/2006/relationships/image" Target="../media/image262.jpeg"/><Relationship Id="rId3" Type="http://schemas.openxmlformats.org/officeDocument/2006/relationships/image" Target="../media/image239.jpeg"/><Relationship Id="rId21" Type="http://schemas.openxmlformats.org/officeDocument/2006/relationships/image" Target="../media/image257.jpeg"/><Relationship Id="rId7" Type="http://schemas.openxmlformats.org/officeDocument/2006/relationships/image" Target="../media/image243.jpeg"/><Relationship Id="rId12" Type="http://schemas.openxmlformats.org/officeDocument/2006/relationships/image" Target="../media/image248.jpeg"/><Relationship Id="rId17" Type="http://schemas.openxmlformats.org/officeDocument/2006/relationships/image" Target="../media/image253.jpeg"/><Relationship Id="rId25" Type="http://schemas.openxmlformats.org/officeDocument/2006/relationships/image" Target="../media/image261.jpeg"/><Relationship Id="rId2" Type="http://schemas.openxmlformats.org/officeDocument/2006/relationships/image" Target="../media/image238.jpeg"/><Relationship Id="rId16" Type="http://schemas.openxmlformats.org/officeDocument/2006/relationships/image" Target="../media/image252.jpeg"/><Relationship Id="rId20" Type="http://schemas.openxmlformats.org/officeDocument/2006/relationships/image" Target="../media/image256.jpeg"/><Relationship Id="rId29" Type="http://schemas.openxmlformats.org/officeDocument/2006/relationships/image" Target="../media/image39.png"/><Relationship Id="rId1" Type="http://schemas.openxmlformats.org/officeDocument/2006/relationships/image" Target="../media/image237.jpeg"/><Relationship Id="rId6" Type="http://schemas.openxmlformats.org/officeDocument/2006/relationships/image" Target="../media/image242.jpeg"/><Relationship Id="rId11" Type="http://schemas.openxmlformats.org/officeDocument/2006/relationships/image" Target="../media/image247.jpeg"/><Relationship Id="rId24" Type="http://schemas.openxmlformats.org/officeDocument/2006/relationships/image" Target="../media/image260.jpeg"/><Relationship Id="rId5" Type="http://schemas.openxmlformats.org/officeDocument/2006/relationships/image" Target="../media/image241.jpeg"/><Relationship Id="rId15" Type="http://schemas.openxmlformats.org/officeDocument/2006/relationships/image" Target="../media/image251.jpeg"/><Relationship Id="rId23" Type="http://schemas.openxmlformats.org/officeDocument/2006/relationships/image" Target="../media/image259.jpeg"/><Relationship Id="rId28" Type="http://schemas.openxmlformats.org/officeDocument/2006/relationships/image" Target="../media/image264.jpeg"/><Relationship Id="rId10" Type="http://schemas.openxmlformats.org/officeDocument/2006/relationships/image" Target="../media/image246.jpeg"/><Relationship Id="rId19" Type="http://schemas.openxmlformats.org/officeDocument/2006/relationships/image" Target="../media/image255.jpeg"/><Relationship Id="rId4" Type="http://schemas.openxmlformats.org/officeDocument/2006/relationships/image" Target="../media/image240.jpeg"/><Relationship Id="rId9" Type="http://schemas.openxmlformats.org/officeDocument/2006/relationships/image" Target="../media/image245.jpeg"/><Relationship Id="rId14" Type="http://schemas.openxmlformats.org/officeDocument/2006/relationships/image" Target="../media/image250.jpeg"/><Relationship Id="rId22" Type="http://schemas.openxmlformats.org/officeDocument/2006/relationships/image" Target="../media/image258.jpeg"/><Relationship Id="rId27" Type="http://schemas.openxmlformats.org/officeDocument/2006/relationships/image" Target="../media/image263.jpeg"/></Relationships>
</file>

<file path=xl/drawings/_rels/drawing1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7.png"/><Relationship Id="rId18" Type="http://schemas.openxmlformats.org/officeDocument/2006/relationships/image" Target="../media/image282.png"/><Relationship Id="rId26" Type="http://schemas.openxmlformats.org/officeDocument/2006/relationships/image" Target="../media/image290.png"/><Relationship Id="rId39" Type="http://schemas.openxmlformats.org/officeDocument/2006/relationships/image" Target="../media/image39.png"/><Relationship Id="rId21" Type="http://schemas.openxmlformats.org/officeDocument/2006/relationships/image" Target="../media/image285.png"/><Relationship Id="rId34" Type="http://schemas.openxmlformats.org/officeDocument/2006/relationships/image" Target="../media/image298.jpeg"/><Relationship Id="rId7" Type="http://schemas.openxmlformats.org/officeDocument/2006/relationships/image" Target="../media/image271.png"/><Relationship Id="rId12" Type="http://schemas.openxmlformats.org/officeDocument/2006/relationships/image" Target="../media/image276.png"/><Relationship Id="rId17" Type="http://schemas.openxmlformats.org/officeDocument/2006/relationships/image" Target="../media/image281.jpeg"/><Relationship Id="rId25" Type="http://schemas.openxmlformats.org/officeDocument/2006/relationships/image" Target="../media/image289.png"/><Relationship Id="rId33" Type="http://schemas.openxmlformats.org/officeDocument/2006/relationships/image" Target="../media/image297.png"/><Relationship Id="rId38" Type="http://schemas.openxmlformats.org/officeDocument/2006/relationships/image" Target="../media/image1.jpeg"/><Relationship Id="rId2" Type="http://schemas.openxmlformats.org/officeDocument/2006/relationships/image" Target="../media/image266.jpeg"/><Relationship Id="rId16" Type="http://schemas.openxmlformats.org/officeDocument/2006/relationships/image" Target="../media/image280.jpeg"/><Relationship Id="rId20" Type="http://schemas.openxmlformats.org/officeDocument/2006/relationships/image" Target="../media/image284.png"/><Relationship Id="rId29" Type="http://schemas.openxmlformats.org/officeDocument/2006/relationships/image" Target="../media/image293.png"/><Relationship Id="rId1" Type="http://schemas.openxmlformats.org/officeDocument/2006/relationships/image" Target="../media/image265.png"/><Relationship Id="rId6" Type="http://schemas.openxmlformats.org/officeDocument/2006/relationships/image" Target="../media/image270.png"/><Relationship Id="rId11" Type="http://schemas.openxmlformats.org/officeDocument/2006/relationships/image" Target="../media/image275.png"/><Relationship Id="rId24" Type="http://schemas.openxmlformats.org/officeDocument/2006/relationships/image" Target="../media/image288.png"/><Relationship Id="rId32" Type="http://schemas.openxmlformats.org/officeDocument/2006/relationships/image" Target="../media/image296.png"/><Relationship Id="rId37" Type="http://schemas.openxmlformats.org/officeDocument/2006/relationships/image" Target="../media/image301.png"/><Relationship Id="rId5" Type="http://schemas.openxmlformats.org/officeDocument/2006/relationships/image" Target="../media/image269.png"/><Relationship Id="rId15" Type="http://schemas.openxmlformats.org/officeDocument/2006/relationships/image" Target="../media/image279.png"/><Relationship Id="rId23" Type="http://schemas.openxmlformats.org/officeDocument/2006/relationships/image" Target="../media/image287.png"/><Relationship Id="rId28" Type="http://schemas.openxmlformats.org/officeDocument/2006/relationships/image" Target="../media/image292.jpeg"/><Relationship Id="rId36" Type="http://schemas.openxmlformats.org/officeDocument/2006/relationships/image" Target="../media/image300.png"/><Relationship Id="rId10" Type="http://schemas.openxmlformats.org/officeDocument/2006/relationships/image" Target="../media/image274.png"/><Relationship Id="rId19" Type="http://schemas.openxmlformats.org/officeDocument/2006/relationships/image" Target="../media/image283.png"/><Relationship Id="rId31" Type="http://schemas.openxmlformats.org/officeDocument/2006/relationships/image" Target="../media/image295.jpeg"/><Relationship Id="rId4" Type="http://schemas.openxmlformats.org/officeDocument/2006/relationships/image" Target="../media/image268.jpeg"/><Relationship Id="rId9" Type="http://schemas.openxmlformats.org/officeDocument/2006/relationships/image" Target="../media/image273.png"/><Relationship Id="rId14" Type="http://schemas.openxmlformats.org/officeDocument/2006/relationships/image" Target="../media/image278.png"/><Relationship Id="rId22" Type="http://schemas.openxmlformats.org/officeDocument/2006/relationships/image" Target="../media/image286.jpeg"/><Relationship Id="rId27" Type="http://schemas.openxmlformats.org/officeDocument/2006/relationships/image" Target="../media/image291.jpeg"/><Relationship Id="rId30" Type="http://schemas.openxmlformats.org/officeDocument/2006/relationships/image" Target="../media/image294.jpeg"/><Relationship Id="rId35" Type="http://schemas.openxmlformats.org/officeDocument/2006/relationships/image" Target="../media/image299.png"/><Relationship Id="rId8" Type="http://schemas.openxmlformats.org/officeDocument/2006/relationships/image" Target="../media/image272.png"/><Relationship Id="rId3" Type="http://schemas.openxmlformats.org/officeDocument/2006/relationships/image" Target="../media/image267.png"/></Relationships>
</file>

<file path=xl/drawings/_rels/drawing1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14.jpeg"/><Relationship Id="rId18" Type="http://schemas.openxmlformats.org/officeDocument/2006/relationships/image" Target="../media/image319.png"/><Relationship Id="rId26" Type="http://schemas.openxmlformats.org/officeDocument/2006/relationships/image" Target="../media/image326.png"/><Relationship Id="rId3" Type="http://schemas.openxmlformats.org/officeDocument/2006/relationships/image" Target="../media/image304.png"/><Relationship Id="rId21" Type="http://schemas.openxmlformats.org/officeDocument/2006/relationships/image" Target="../media/image322.jpeg"/><Relationship Id="rId34" Type="http://schemas.openxmlformats.org/officeDocument/2006/relationships/image" Target="../media/image39.png"/><Relationship Id="rId7" Type="http://schemas.openxmlformats.org/officeDocument/2006/relationships/image" Target="../media/image308.png"/><Relationship Id="rId12" Type="http://schemas.openxmlformats.org/officeDocument/2006/relationships/image" Target="../media/image313.png"/><Relationship Id="rId17" Type="http://schemas.openxmlformats.org/officeDocument/2006/relationships/image" Target="../media/image318.jpeg"/><Relationship Id="rId25" Type="http://schemas.openxmlformats.org/officeDocument/2006/relationships/image" Target="../media/image325.jpeg"/><Relationship Id="rId33" Type="http://schemas.openxmlformats.org/officeDocument/2006/relationships/image" Target="../media/image333.png"/><Relationship Id="rId2" Type="http://schemas.openxmlformats.org/officeDocument/2006/relationships/image" Target="../media/image303.png"/><Relationship Id="rId16" Type="http://schemas.openxmlformats.org/officeDocument/2006/relationships/image" Target="../media/image317.jpeg"/><Relationship Id="rId20" Type="http://schemas.openxmlformats.org/officeDocument/2006/relationships/image" Target="../media/image321.jpeg"/><Relationship Id="rId29" Type="http://schemas.openxmlformats.org/officeDocument/2006/relationships/image" Target="../media/image329.png"/><Relationship Id="rId1" Type="http://schemas.openxmlformats.org/officeDocument/2006/relationships/image" Target="../media/image302.png"/><Relationship Id="rId6" Type="http://schemas.openxmlformats.org/officeDocument/2006/relationships/image" Target="../media/image307.png"/><Relationship Id="rId11" Type="http://schemas.openxmlformats.org/officeDocument/2006/relationships/image" Target="../media/image312.png"/><Relationship Id="rId24" Type="http://schemas.openxmlformats.org/officeDocument/2006/relationships/image" Target="../media/image1.jpeg"/><Relationship Id="rId32" Type="http://schemas.openxmlformats.org/officeDocument/2006/relationships/image" Target="../media/image332.png"/><Relationship Id="rId5" Type="http://schemas.openxmlformats.org/officeDocument/2006/relationships/image" Target="../media/image306.png"/><Relationship Id="rId15" Type="http://schemas.openxmlformats.org/officeDocument/2006/relationships/image" Target="../media/image316.png"/><Relationship Id="rId23" Type="http://schemas.openxmlformats.org/officeDocument/2006/relationships/image" Target="../media/image324.png"/><Relationship Id="rId28" Type="http://schemas.openxmlformats.org/officeDocument/2006/relationships/image" Target="../media/image328.png"/><Relationship Id="rId10" Type="http://schemas.openxmlformats.org/officeDocument/2006/relationships/image" Target="../media/image311.png"/><Relationship Id="rId19" Type="http://schemas.openxmlformats.org/officeDocument/2006/relationships/image" Target="../media/image320.png"/><Relationship Id="rId31" Type="http://schemas.openxmlformats.org/officeDocument/2006/relationships/image" Target="../media/image331.png"/><Relationship Id="rId4" Type="http://schemas.openxmlformats.org/officeDocument/2006/relationships/image" Target="../media/image305.png"/><Relationship Id="rId9" Type="http://schemas.openxmlformats.org/officeDocument/2006/relationships/image" Target="../media/image310.png"/><Relationship Id="rId14" Type="http://schemas.openxmlformats.org/officeDocument/2006/relationships/image" Target="../media/image315.jpeg"/><Relationship Id="rId22" Type="http://schemas.openxmlformats.org/officeDocument/2006/relationships/image" Target="../media/image323.jpeg"/><Relationship Id="rId27" Type="http://schemas.openxmlformats.org/officeDocument/2006/relationships/image" Target="../media/image327.png"/><Relationship Id="rId30" Type="http://schemas.openxmlformats.org/officeDocument/2006/relationships/image" Target="../media/image330.png"/><Relationship Id="rId8" Type="http://schemas.openxmlformats.org/officeDocument/2006/relationships/image" Target="../media/image309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1.png"/><Relationship Id="rId13" Type="http://schemas.openxmlformats.org/officeDocument/2006/relationships/image" Target="../media/image346.png"/><Relationship Id="rId18" Type="http://schemas.openxmlformats.org/officeDocument/2006/relationships/image" Target="../media/image351.png"/><Relationship Id="rId3" Type="http://schemas.openxmlformats.org/officeDocument/2006/relationships/image" Target="../media/image336.png"/><Relationship Id="rId7" Type="http://schemas.openxmlformats.org/officeDocument/2006/relationships/image" Target="../media/image340.jpeg"/><Relationship Id="rId12" Type="http://schemas.openxmlformats.org/officeDocument/2006/relationships/image" Target="../media/image345.jpeg"/><Relationship Id="rId17" Type="http://schemas.openxmlformats.org/officeDocument/2006/relationships/image" Target="../media/image350.png"/><Relationship Id="rId2" Type="http://schemas.openxmlformats.org/officeDocument/2006/relationships/image" Target="../media/image335.png"/><Relationship Id="rId16" Type="http://schemas.openxmlformats.org/officeDocument/2006/relationships/image" Target="../media/image349.png"/><Relationship Id="rId20" Type="http://schemas.openxmlformats.org/officeDocument/2006/relationships/image" Target="../media/image39.png"/><Relationship Id="rId1" Type="http://schemas.openxmlformats.org/officeDocument/2006/relationships/image" Target="../media/image334.png"/><Relationship Id="rId6" Type="http://schemas.openxmlformats.org/officeDocument/2006/relationships/image" Target="../media/image339.jpeg"/><Relationship Id="rId11" Type="http://schemas.openxmlformats.org/officeDocument/2006/relationships/image" Target="../media/image344.png"/><Relationship Id="rId5" Type="http://schemas.openxmlformats.org/officeDocument/2006/relationships/image" Target="../media/image338.png"/><Relationship Id="rId15" Type="http://schemas.openxmlformats.org/officeDocument/2006/relationships/image" Target="../media/image348.png"/><Relationship Id="rId10" Type="http://schemas.openxmlformats.org/officeDocument/2006/relationships/image" Target="../media/image343.jpeg"/><Relationship Id="rId19" Type="http://schemas.openxmlformats.org/officeDocument/2006/relationships/image" Target="../media/image352.jpeg"/><Relationship Id="rId4" Type="http://schemas.openxmlformats.org/officeDocument/2006/relationships/image" Target="../media/image337.jpeg"/><Relationship Id="rId9" Type="http://schemas.openxmlformats.org/officeDocument/2006/relationships/image" Target="../media/image342.jpeg"/><Relationship Id="rId14" Type="http://schemas.openxmlformats.org/officeDocument/2006/relationships/image" Target="../media/image347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9.png"/><Relationship Id="rId13" Type="http://schemas.openxmlformats.org/officeDocument/2006/relationships/image" Target="../media/image364.png"/><Relationship Id="rId18" Type="http://schemas.openxmlformats.org/officeDocument/2006/relationships/image" Target="../media/image369.png"/><Relationship Id="rId3" Type="http://schemas.openxmlformats.org/officeDocument/2006/relationships/image" Target="../media/image354.png"/><Relationship Id="rId21" Type="http://schemas.openxmlformats.org/officeDocument/2006/relationships/image" Target="../media/image372.png"/><Relationship Id="rId7" Type="http://schemas.openxmlformats.org/officeDocument/2006/relationships/image" Target="../media/image358.png"/><Relationship Id="rId12" Type="http://schemas.openxmlformats.org/officeDocument/2006/relationships/image" Target="../media/image363.png"/><Relationship Id="rId17" Type="http://schemas.openxmlformats.org/officeDocument/2006/relationships/image" Target="../media/image368.png"/><Relationship Id="rId2" Type="http://schemas.openxmlformats.org/officeDocument/2006/relationships/image" Target="../media/image353.png"/><Relationship Id="rId16" Type="http://schemas.openxmlformats.org/officeDocument/2006/relationships/image" Target="../media/image367.png"/><Relationship Id="rId20" Type="http://schemas.openxmlformats.org/officeDocument/2006/relationships/image" Target="../media/image371.png"/><Relationship Id="rId1" Type="http://schemas.openxmlformats.org/officeDocument/2006/relationships/image" Target="../media/image1.jpeg"/><Relationship Id="rId6" Type="http://schemas.openxmlformats.org/officeDocument/2006/relationships/image" Target="../media/image357.png"/><Relationship Id="rId11" Type="http://schemas.openxmlformats.org/officeDocument/2006/relationships/image" Target="../media/image362.png"/><Relationship Id="rId24" Type="http://schemas.openxmlformats.org/officeDocument/2006/relationships/image" Target="../media/image39.png"/><Relationship Id="rId5" Type="http://schemas.openxmlformats.org/officeDocument/2006/relationships/image" Target="../media/image356.png"/><Relationship Id="rId15" Type="http://schemas.openxmlformats.org/officeDocument/2006/relationships/image" Target="../media/image366.png"/><Relationship Id="rId23" Type="http://schemas.openxmlformats.org/officeDocument/2006/relationships/image" Target="../media/image374.png"/><Relationship Id="rId10" Type="http://schemas.openxmlformats.org/officeDocument/2006/relationships/image" Target="../media/image361.png"/><Relationship Id="rId19" Type="http://schemas.openxmlformats.org/officeDocument/2006/relationships/image" Target="../media/image370.png"/><Relationship Id="rId4" Type="http://schemas.openxmlformats.org/officeDocument/2006/relationships/image" Target="../media/image355.png"/><Relationship Id="rId9" Type="http://schemas.openxmlformats.org/officeDocument/2006/relationships/image" Target="../media/image360.png"/><Relationship Id="rId14" Type="http://schemas.openxmlformats.org/officeDocument/2006/relationships/image" Target="../media/image365.png"/><Relationship Id="rId22" Type="http://schemas.openxmlformats.org/officeDocument/2006/relationships/image" Target="../media/image37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8.png"/><Relationship Id="rId13" Type="http://schemas.openxmlformats.org/officeDocument/2006/relationships/image" Target="../media/image381.png"/><Relationship Id="rId18" Type="http://schemas.microsoft.com/office/2007/relationships/hdphoto" Target="../media/hdphoto41.wdp"/><Relationship Id="rId3" Type="http://schemas.microsoft.com/office/2007/relationships/hdphoto" Target="../media/hdphoto34.wdp"/><Relationship Id="rId21" Type="http://schemas.openxmlformats.org/officeDocument/2006/relationships/image" Target="../media/image385.png"/><Relationship Id="rId7" Type="http://schemas.microsoft.com/office/2007/relationships/hdphoto" Target="../media/hdphoto36.wdp"/><Relationship Id="rId12" Type="http://schemas.microsoft.com/office/2007/relationships/hdphoto" Target="../media/hdphoto38.wdp"/><Relationship Id="rId17" Type="http://schemas.openxmlformats.org/officeDocument/2006/relationships/image" Target="../media/image383.png"/><Relationship Id="rId2" Type="http://schemas.openxmlformats.org/officeDocument/2006/relationships/image" Target="../media/image375.png"/><Relationship Id="rId16" Type="http://schemas.microsoft.com/office/2007/relationships/hdphoto" Target="../media/hdphoto40.wdp"/><Relationship Id="rId20" Type="http://schemas.microsoft.com/office/2007/relationships/hdphoto" Target="../media/hdphoto42.wdp"/><Relationship Id="rId1" Type="http://schemas.openxmlformats.org/officeDocument/2006/relationships/image" Target="../media/image167.jpeg"/><Relationship Id="rId6" Type="http://schemas.openxmlformats.org/officeDocument/2006/relationships/image" Target="../media/image377.png"/><Relationship Id="rId11" Type="http://schemas.openxmlformats.org/officeDocument/2006/relationships/image" Target="../media/image380.png"/><Relationship Id="rId24" Type="http://schemas.openxmlformats.org/officeDocument/2006/relationships/image" Target="../media/image39.png"/><Relationship Id="rId5" Type="http://schemas.microsoft.com/office/2007/relationships/hdphoto" Target="../media/hdphoto35.wdp"/><Relationship Id="rId15" Type="http://schemas.openxmlformats.org/officeDocument/2006/relationships/image" Target="../media/image382.png"/><Relationship Id="rId23" Type="http://schemas.openxmlformats.org/officeDocument/2006/relationships/image" Target="../media/image386.png"/><Relationship Id="rId10" Type="http://schemas.microsoft.com/office/2007/relationships/hdphoto" Target="../media/hdphoto37.wdp"/><Relationship Id="rId19" Type="http://schemas.openxmlformats.org/officeDocument/2006/relationships/image" Target="../media/image384.png"/><Relationship Id="rId4" Type="http://schemas.openxmlformats.org/officeDocument/2006/relationships/image" Target="../media/image376.png"/><Relationship Id="rId9" Type="http://schemas.openxmlformats.org/officeDocument/2006/relationships/image" Target="../media/image379.png"/><Relationship Id="rId14" Type="http://schemas.microsoft.com/office/2007/relationships/hdphoto" Target="../media/hdphoto39.wdp"/><Relationship Id="rId22" Type="http://schemas.microsoft.com/office/2007/relationships/hdphoto" Target="../media/hdphoto43.wdp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0.png"/><Relationship Id="rId13" Type="http://schemas.microsoft.com/office/2007/relationships/hdphoto" Target="../media/hdphoto49.wdp"/><Relationship Id="rId18" Type="http://schemas.openxmlformats.org/officeDocument/2006/relationships/image" Target="../media/image395.png"/><Relationship Id="rId3" Type="http://schemas.microsoft.com/office/2007/relationships/hdphoto" Target="../media/hdphoto44.wdp"/><Relationship Id="rId21" Type="http://schemas.microsoft.com/office/2007/relationships/hdphoto" Target="../media/hdphoto53.wdp"/><Relationship Id="rId7" Type="http://schemas.microsoft.com/office/2007/relationships/hdphoto" Target="../media/hdphoto46.wdp"/><Relationship Id="rId12" Type="http://schemas.openxmlformats.org/officeDocument/2006/relationships/image" Target="../media/image392.png"/><Relationship Id="rId17" Type="http://schemas.microsoft.com/office/2007/relationships/hdphoto" Target="../media/hdphoto51.wdp"/><Relationship Id="rId2" Type="http://schemas.openxmlformats.org/officeDocument/2006/relationships/image" Target="../media/image387.png"/><Relationship Id="rId16" Type="http://schemas.openxmlformats.org/officeDocument/2006/relationships/image" Target="../media/image394.png"/><Relationship Id="rId20" Type="http://schemas.openxmlformats.org/officeDocument/2006/relationships/image" Target="../media/image396.png"/><Relationship Id="rId1" Type="http://schemas.openxmlformats.org/officeDocument/2006/relationships/image" Target="../media/image167.jpeg"/><Relationship Id="rId6" Type="http://schemas.openxmlformats.org/officeDocument/2006/relationships/image" Target="../media/image389.png"/><Relationship Id="rId11" Type="http://schemas.microsoft.com/office/2007/relationships/hdphoto" Target="../media/hdphoto48.wdp"/><Relationship Id="rId24" Type="http://schemas.openxmlformats.org/officeDocument/2006/relationships/image" Target="../media/image39.png"/><Relationship Id="rId5" Type="http://schemas.microsoft.com/office/2007/relationships/hdphoto" Target="../media/hdphoto45.wdp"/><Relationship Id="rId15" Type="http://schemas.microsoft.com/office/2007/relationships/hdphoto" Target="../media/hdphoto50.wdp"/><Relationship Id="rId23" Type="http://schemas.microsoft.com/office/2007/relationships/hdphoto" Target="../media/hdphoto54.wdp"/><Relationship Id="rId10" Type="http://schemas.openxmlformats.org/officeDocument/2006/relationships/image" Target="../media/image391.png"/><Relationship Id="rId19" Type="http://schemas.microsoft.com/office/2007/relationships/hdphoto" Target="../media/hdphoto52.wdp"/><Relationship Id="rId4" Type="http://schemas.openxmlformats.org/officeDocument/2006/relationships/image" Target="../media/image388.png"/><Relationship Id="rId9" Type="http://schemas.microsoft.com/office/2007/relationships/hdphoto" Target="../media/hdphoto47.wdp"/><Relationship Id="rId14" Type="http://schemas.openxmlformats.org/officeDocument/2006/relationships/image" Target="../media/image393.png"/><Relationship Id="rId22" Type="http://schemas.openxmlformats.org/officeDocument/2006/relationships/image" Target="../media/image397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38.png"/><Relationship Id="rId21" Type="http://schemas.openxmlformats.org/officeDocument/2006/relationships/image" Target="../media/image22.png"/><Relationship Id="rId34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39.png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7.png"/><Relationship Id="rId40" Type="http://schemas.microsoft.com/office/2007/relationships/hdphoto" Target="../media/hdphoto3.wdp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6.jpe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" Type="http://schemas.openxmlformats.org/officeDocument/2006/relationships/image" Target="../media/image4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5.png"/><Relationship Id="rId8" Type="http://schemas.openxmlformats.org/officeDocument/2006/relationships/image" Target="../media/image9.png"/><Relationship Id="rId3" Type="http://schemas.openxmlformats.org/officeDocument/2006/relationships/image" Target="../media/image3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microsoft.com/office/2007/relationships/hdphoto" Target="../media/hdphoto2.wdp"/></Relationships>
</file>

<file path=xl/drawings/_rels/drawing2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09.jpeg"/><Relationship Id="rId18" Type="http://schemas.openxmlformats.org/officeDocument/2006/relationships/image" Target="../media/image414.jpeg"/><Relationship Id="rId26" Type="http://schemas.openxmlformats.org/officeDocument/2006/relationships/image" Target="../media/image422.png"/><Relationship Id="rId39" Type="http://schemas.openxmlformats.org/officeDocument/2006/relationships/image" Target="../media/image435.jpeg"/><Relationship Id="rId21" Type="http://schemas.openxmlformats.org/officeDocument/2006/relationships/image" Target="../media/image417.jpeg"/><Relationship Id="rId34" Type="http://schemas.openxmlformats.org/officeDocument/2006/relationships/image" Target="../media/image430.jpeg"/><Relationship Id="rId7" Type="http://schemas.openxmlformats.org/officeDocument/2006/relationships/image" Target="../media/image403.jpeg"/><Relationship Id="rId2" Type="http://schemas.openxmlformats.org/officeDocument/2006/relationships/image" Target="../media/image398.jpeg"/><Relationship Id="rId16" Type="http://schemas.openxmlformats.org/officeDocument/2006/relationships/image" Target="../media/image412.jpeg"/><Relationship Id="rId20" Type="http://schemas.openxmlformats.org/officeDocument/2006/relationships/image" Target="../media/image416.jpeg"/><Relationship Id="rId29" Type="http://schemas.openxmlformats.org/officeDocument/2006/relationships/image" Target="../media/image425.png"/><Relationship Id="rId41" Type="http://schemas.openxmlformats.org/officeDocument/2006/relationships/image" Target="../media/image39.png"/><Relationship Id="rId1" Type="http://schemas.openxmlformats.org/officeDocument/2006/relationships/image" Target="../media/image1.jpeg"/><Relationship Id="rId6" Type="http://schemas.openxmlformats.org/officeDocument/2006/relationships/image" Target="../media/image402.jpeg"/><Relationship Id="rId11" Type="http://schemas.openxmlformats.org/officeDocument/2006/relationships/image" Target="../media/image407.jpeg"/><Relationship Id="rId24" Type="http://schemas.openxmlformats.org/officeDocument/2006/relationships/image" Target="../media/image420.jpeg"/><Relationship Id="rId32" Type="http://schemas.openxmlformats.org/officeDocument/2006/relationships/image" Target="../media/image428.png"/><Relationship Id="rId37" Type="http://schemas.openxmlformats.org/officeDocument/2006/relationships/image" Target="../media/image433.jpeg"/><Relationship Id="rId40" Type="http://schemas.openxmlformats.org/officeDocument/2006/relationships/image" Target="../media/image436.jpeg"/><Relationship Id="rId5" Type="http://schemas.openxmlformats.org/officeDocument/2006/relationships/image" Target="../media/image401.jpeg"/><Relationship Id="rId15" Type="http://schemas.openxmlformats.org/officeDocument/2006/relationships/image" Target="../media/image411.jpeg"/><Relationship Id="rId23" Type="http://schemas.openxmlformats.org/officeDocument/2006/relationships/image" Target="../media/image419.jpeg"/><Relationship Id="rId28" Type="http://schemas.openxmlformats.org/officeDocument/2006/relationships/image" Target="../media/image424.jpeg"/><Relationship Id="rId36" Type="http://schemas.openxmlformats.org/officeDocument/2006/relationships/image" Target="../media/image432.png"/><Relationship Id="rId10" Type="http://schemas.openxmlformats.org/officeDocument/2006/relationships/image" Target="../media/image406.jpeg"/><Relationship Id="rId19" Type="http://schemas.openxmlformats.org/officeDocument/2006/relationships/image" Target="../media/image415.png"/><Relationship Id="rId31" Type="http://schemas.openxmlformats.org/officeDocument/2006/relationships/image" Target="../media/image427.jpeg"/><Relationship Id="rId4" Type="http://schemas.openxmlformats.org/officeDocument/2006/relationships/image" Target="../media/image400.jpeg"/><Relationship Id="rId9" Type="http://schemas.openxmlformats.org/officeDocument/2006/relationships/image" Target="../media/image405.jpeg"/><Relationship Id="rId14" Type="http://schemas.openxmlformats.org/officeDocument/2006/relationships/image" Target="../media/image410.jpeg"/><Relationship Id="rId22" Type="http://schemas.openxmlformats.org/officeDocument/2006/relationships/image" Target="../media/image418.jpeg"/><Relationship Id="rId27" Type="http://schemas.openxmlformats.org/officeDocument/2006/relationships/image" Target="../media/image423.jpeg"/><Relationship Id="rId30" Type="http://schemas.openxmlformats.org/officeDocument/2006/relationships/image" Target="../media/image426.jpeg"/><Relationship Id="rId35" Type="http://schemas.openxmlformats.org/officeDocument/2006/relationships/image" Target="../media/image431.jpeg"/><Relationship Id="rId8" Type="http://schemas.openxmlformats.org/officeDocument/2006/relationships/image" Target="../media/image404.jpeg"/><Relationship Id="rId3" Type="http://schemas.openxmlformats.org/officeDocument/2006/relationships/image" Target="../media/image399.jpeg"/><Relationship Id="rId12" Type="http://schemas.openxmlformats.org/officeDocument/2006/relationships/image" Target="../media/image408.jpeg"/><Relationship Id="rId17" Type="http://schemas.openxmlformats.org/officeDocument/2006/relationships/image" Target="../media/image413.jpeg"/><Relationship Id="rId25" Type="http://schemas.openxmlformats.org/officeDocument/2006/relationships/image" Target="../media/image421.png"/><Relationship Id="rId33" Type="http://schemas.openxmlformats.org/officeDocument/2006/relationships/image" Target="../media/image429.jpeg"/><Relationship Id="rId38" Type="http://schemas.openxmlformats.org/officeDocument/2006/relationships/image" Target="../media/image434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8.jpeg"/><Relationship Id="rId2" Type="http://schemas.openxmlformats.org/officeDocument/2006/relationships/image" Target="../media/image437.jpeg"/><Relationship Id="rId1" Type="http://schemas.openxmlformats.org/officeDocument/2006/relationships/image" Target="../media/image167.jpeg"/><Relationship Id="rId4" Type="http://schemas.openxmlformats.org/officeDocument/2006/relationships/image" Target="../media/image39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5.jpeg"/><Relationship Id="rId13" Type="http://schemas.openxmlformats.org/officeDocument/2006/relationships/image" Target="../media/image450.jpeg"/><Relationship Id="rId18" Type="http://schemas.openxmlformats.org/officeDocument/2006/relationships/image" Target="../media/image455.jpeg"/><Relationship Id="rId3" Type="http://schemas.openxmlformats.org/officeDocument/2006/relationships/image" Target="../media/image440.jpeg"/><Relationship Id="rId21" Type="http://schemas.openxmlformats.org/officeDocument/2006/relationships/image" Target="../media/image458.jpeg"/><Relationship Id="rId7" Type="http://schemas.openxmlformats.org/officeDocument/2006/relationships/image" Target="../media/image444.jpeg"/><Relationship Id="rId12" Type="http://schemas.openxmlformats.org/officeDocument/2006/relationships/image" Target="../media/image449.jpeg"/><Relationship Id="rId17" Type="http://schemas.openxmlformats.org/officeDocument/2006/relationships/image" Target="../media/image454.jpeg"/><Relationship Id="rId2" Type="http://schemas.openxmlformats.org/officeDocument/2006/relationships/image" Target="../media/image439.jpeg"/><Relationship Id="rId16" Type="http://schemas.openxmlformats.org/officeDocument/2006/relationships/image" Target="../media/image453.jpeg"/><Relationship Id="rId20" Type="http://schemas.openxmlformats.org/officeDocument/2006/relationships/image" Target="../media/image457.jpeg"/><Relationship Id="rId1" Type="http://schemas.openxmlformats.org/officeDocument/2006/relationships/image" Target="../media/image167.jpeg"/><Relationship Id="rId6" Type="http://schemas.openxmlformats.org/officeDocument/2006/relationships/image" Target="../media/image443.jpeg"/><Relationship Id="rId11" Type="http://schemas.openxmlformats.org/officeDocument/2006/relationships/image" Target="../media/image448.jpeg"/><Relationship Id="rId5" Type="http://schemas.openxmlformats.org/officeDocument/2006/relationships/image" Target="../media/image442.jpeg"/><Relationship Id="rId15" Type="http://schemas.openxmlformats.org/officeDocument/2006/relationships/image" Target="../media/image452.jpeg"/><Relationship Id="rId23" Type="http://schemas.openxmlformats.org/officeDocument/2006/relationships/image" Target="../media/image39.png"/><Relationship Id="rId10" Type="http://schemas.openxmlformats.org/officeDocument/2006/relationships/image" Target="../media/image447.jpeg"/><Relationship Id="rId19" Type="http://schemas.openxmlformats.org/officeDocument/2006/relationships/image" Target="../media/image456.jpeg"/><Relationship Id="rId4" Type="http://schemas.openxmlformats.org/officeDocument/2006/relationships/image" Target="../media/image441.jpeg"/><Relationship Id="rId9" Type="http://schemas.openxmlformats.org/officeDocument/2006/relationships/image" Target="../media/image446.jpeg"/><Relationship Id="rId14" Type="http://schemas.openxmlformats.org/officeDocument/2006/relationships/image" Target="../media/image451.jpeg"/><Relationship Id="rId22" Type="http://schemas.openxmlformats.org/officeDocument/2006/relationships/image" Target="../media/image459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460.jpeg"/><Relationship Id="rId1" Type="http://schemas.openxmlformats.org/officeDocument/2006/relationships/image" Target="../media/image167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461.jpeg"/><Relationship Id="rId1" Type="http://schemas.openxmlformats.org/officeDocument/2006/relationships/image" Target="../media/image167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2.png"/><Relationship Id="rId2" Type="http://schemas.openxmlformats.org/officeDocument/2006/relationships/image" Target="../media/image39.png"/><Relationship Id="rId1" Type="http://schemas.openxmlformats.org/officeDocument/2006/relationships/image" Target="../media/image161.jpe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8.png"/><Relationship Id="rId13" Type="http://schemas.openxmlformats.org/officeDocument/2006/relationships/image" Target="../media/image473.png"/><Relationship Id="rId3" Type="http://schemas.openxmlformats.org/officeDocument/2006/relationships/image" Target="../media/image463.png"/><Relationship Id="rId7" Type="http://schemas.openxmlformats.org/officeDocument/2006/relationships/image" Target="../media/image467.png"/><Relationship Id="rId12" Type="http://schemas.openxmlformats.org/officeDocument/2006/relationships/image" Target="../media/image472.png"/><Relationship Id="rId2" Type="http://schemas.openxmlformats.org/officeDocument/2006/relationships/image" Target="../media/image39.png"/><Relationship Id="rId1" Type="http://schemas.openxmlformats.org/officeDocument/2006/relationships/image" Target="../media/image161.jpeg"/><Relationship Id="rId6" Type="http://schemas.openxmlformats.org/officeDocument/2006/relationships/image" Target="../media/image466.png"/><Relationship Id="rId11" Type="http://schemas.openxmlformats.org/officeDocument/2006/relationships/image" Target="../media/image471.png"/><Relationship Id="rId5" Type="http://schemas.openxmlformats.org/officeDocument/2006/relationships/image" Target="../media/image465.png"/><Relationship Id="rId15" Type="http://schemas.openxmlformats.org/officeDocument/2006/relationships/image" Target="../media/image475.png"/><Relationship Id="rId10" Type="http://schemas.openxmlformats.org/officeDocument/2006/relationships/image" Target="../media/image470.png"/><Relationship Id="rId4" Type="http://schemas.openxmlformats.org/officeDocument/2006/relationships/image" Target="../media/image464.png"/><Relationship Id="rId9" Type="http://schemas.openxmlformats.org/officeDocument/2006/relationships/image" Target="../media/image469.png"/><Relationship Id="rId14" Type="http://schemas.openxmlformats.org/officeDocument/2006/relationships/image" Target="../media/image474.pn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2.jpeg"/><Relationship Id="rId13" Type="http://schemas.openxmlformats.org/officeDocument/2006/relationships/image" Target="../media/image487.jpeg"/><Relationship Id="rId3" Type="http://schemas.openxmlformats.org/officeDocument/2006/relationships/image" Target="../media/image477.jpeg"/><Relationship Id="rId7" Type="http://schemas.openxmlformats.org/officeDocument/2006/relationships/image" Target="../media/image481.jpeg"/><Relationship Id="rId12" Type="http://schemas.openxmlformats.org/officeDocument/2006/relationships/image" Target="../media/image486.png"/><Relationship Id="rId2" Type="http://schemas.openxmlformats.org/officeDocument/2006/relationships/image" Target="../media/image476.jpeg"/><Relationship Id="rId1" Type="http://schemas.openxmlformats.org/officeDocument/2006/relationships/image" Target="../media/image167.jpeg"/><Relationship Id="rId6" Type="http://schemas.openxmlformats.org/officeDocument/2006/relationships/image" Target="../media/image480.jpeg"/><Relationship Id="rId11" Type="http://schemas.openxmlformats.org/officeDocument/2006/relationships/image" Target="../media/image485.jpeg"/><Relationship Id="rId5" Type="http://schemas.openxmlformats.org/officeDocument/2006/relationships/image" Target="../media/image479.jpeg"/><Relationship Id="rId10" Type="http://schemas.openxmlformats.org/officeDocument/2006/relationships/image" Target="../media/image484.jpeg"/><Relationship Id="rId4" Type="http://schemas.openxmlformats.org/officeDocument/2006/relationships/image" Target="../media/image478.jpeg"/><Relationship Id="rId9" Type="http://schemas.openxmlformats.org/officeDocument/2006/relationships/image" Target="../media/image483.jpeg"/><Relationship Id="rId14" Type="http://schemas.openxmlformats.org/officeDocument/2006/relationships/image" Target="../media/image39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9.png"/><Relationship Id="rId2" Type="http://schemas.openxmlformats.org/officeDocument/2006/relationships/image" Target="../media/image488.jpeg"/><Relationship Id="rId1" Type="http://schemas.openxmlformats.org/officeDocument/2006/relationships/image" Target="../media/image167.jpeg"/><Relationship Id="rId5" Type="http://schemas.openxmlformats.org/officeDocument/2006/relationships/image" Target="../media/image490.png"/><Relationship Id="rId4" Type="http://schemas.openxmlformats.org/officeDocument/2006/relationships/image" Target="../media/image39.pn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5.png"/><Relationship Id="rId21" Type="http://schemas.openxmlformats.org/officeDocument/2006/relationships/image" Target="../media/image60.png"/><Relationship Id="rId42" Type="http://schemas.openxmlformats.org/officeDocument/2006/relationships/image" Target="../media/image81.png"/><Relationship Id="rId47" Type="http://schemas.openxmlformats.org/officeDocument/2006/relationships/image" Target="../media/image86.jpeg"/><Relationship Id="rId63" Type="http://schemas.openxmlformats.org/officeDocument/2006/relationships/image" Target="../media/image102.png"/><Relationship Id="rId68" Type="http://schemas.openxmlformats.org/officeDocument/2006/relationships/image" Target="../media/image107.png"/><Relationship Id="rId16" Type="http://schemas.openxmlformats.org/officeDocument/2006/relationships/image" Target="../media/image55.png"/><Relationship Id="rId11" Type="http://schemas.openxmlformats.org/officeDocument/2006/relationships/image" Target="../media/image50.png"/><Relationship Id="rId24" Type="http://schemas.openxmlformats.org/officeDocument/2006/relationships/image" Target="../media/image63.png"/><Relationship Id="rId32" Type="http://schemas.openxmlformats.org/officeDocument/2006/relationships/image" Target="../media/image71.png"/><Relationship Id="rId37" Type="http://schemas.openxmlformats.org/officeDocument/2006/relationships/image" Target="../media/image76.png"/><Relationship Id="rId40" Type="http://schemas.openxmlformats.org/officeDocument/2006/relationships/image" Target="../media/image79.png"/><Relationship Id="rId45" Type="http://schemas.openxmlformats.org/officeDocument/2006/relationships/image" Target="../media/image84.jpeg"/><Relationship Id="rId53" Type="http://schemas.openxmlformats.org/officeDocument/2006/relationships/image" Target="../media/image92.jpeg"/><Relationship Id="rId58" Type="http://schemas.openxmlformats.org/officeDocument/2006/relationships/image" Target="../media/image97.jpeg"/><Relationship Id="rId66" Type="http://schemas.openxmlformats.org/officeDocument/2006/relationships/image" Target="../media/image105.png"/><Relationship Id="rId74" Type="http://schemas.openxmlformats.org/officeDocument/2006/relationships/image" Target="../media/image113.jpeg"/><Relationship Id="rId79" Type="http://schemas.openxmlformats.org/officeDocument/2006/relationships/image" Target="../media/image1.jpeg"/><Relationship Id="rId5" Type="http://schemas.openxmlformats.org/officeDocument/2006/relationships/image" Target="../media/image44.png"/><Relationship Id="rId61" Type="http://schemas.openxmlformats.org/officeDocument/2006/relationships/image" Target="../media/image100.jpeg"/><Relationship Id="rId19" Type="http://schemas.openxmlformats.org/officeDocument/2006/relationships/image" Target="../media/image58.png"/><Relationship Id="rId14" Type="http://schemas.openxmlformats.org/officeDocument/2006/relationships/image" Target="../media/image53.png"/><Relationship Id="rId22" Type="http://schemas.openxmlformats.org/officeDocument/2006/relationships/image" Target="../media/image61.png"/><Relationship Id="rId27" Type="http://schemas.openxmlformats.org/officeDocument/2006/relationships/image" Target="../media/image66.png"/><Relationship Id="rId30" Type="http://schemas.openxmlformats.org/officeDocument/2006/relationships/image" Target="../media/image69.png"/><Relationship Id="rId35" Type="http://schemas.openxmlformats.org/officeDocument/2006/relationships/image" Target="../media/image74.png"/><Relationship Id="rId43" Type="http://schemas.openxmlformats.org/officeDocument/2006/relationships/image" Target="../media/image82.png"/><Relationship Id="rId48" Type="http://schemas.openxmlformats.org/officeDocument/2006/relationships/image" Target="../media/image87.jpeg"/><Relationship Id="rId56" Type="http://schemas.openxmlformats.org/officeDocument/2006/relationships/image" Target="../media/image95.jpeg"/><Relationship Id="rId64" Type="http://schemas.openxmlformats.org/officeDocument/2006/relationships/image" Target="../media/image103.jpeg"/><Relationship Id="rId69" Type="http://schemas.openxmlformats.org/officeDocument/2006/relationships/image" Target="../media/image108.jpeg"/><Relationship Id="rId77" Type="http://schemas.openxmlformats.org/officeDocument/2006/relationships/image" Target="../media/image116.jpeg"/><Relationship Id="rId8" Type="http://schemas.openxmlformats.org/officeDocument/2006/relationships/image" Target="../media/image47.png"/><Relationship Id="rId51" Type="http://schemas.openxmlformats.org/officeDocument/2006/relationships/image" Target="../media/image90.jpeg"/><Relationship Id="rId72" Type="http://schemas.openxmlformats.org/officeDocument/2006/relationships/image" Target="../media/image111.jpeg"/><Relationship Id="rId80" Type="http://schemas.openxmlformats.org/officeDocument/2006/relationships/image" Target="../media/image39.png"/><Relationship Id="rId3" Type="http://schemas.openxmlformats.org/officeDocument/2006/relationships/image" Target="../media/image42.png"/><Relationship Id="rId12" Type="http://schemas.openxmlformats.org/officeDocument/2006/relationships/image" Target="../media/image51.jpeg"/><Relationship Id="rId17" Type="http://schemas.openxmlformats.org/officeDocument/2006/relationships/image" Target="../media/image56.png"/><Relationship Id="rId25" Type="http://schemas.openxmlformats.org/officeDocument/2006/relationships/image" Target="../media/image64.png"/><Relationship Id="rId33" Type="http://schemas.openxmlformats.org/officeDocument/2006/relationships/image" Target="../media/image72.png"/><Relationship Id="rId38" Type="http://schemas.openxmlformats.org/officeDocument/2006/relationships/image" Target="../media/image77.png"/><Relationship Id="rId46" Type="http://schemas.openxmlformats.org/officeDocument/2006/relationships/image" Target="../media/image85.jpeg"/><Relationship Id="rId59" Type="http://schemas.openxmlformats.org/officeDocument/2006/relationships/image" Target="../media/image98.png"/><Relationship Id="rId67" Type="http://schemas.openxmlformats.org/officeDocument/2006/relationships/image" Target="../media/image106.jpeg"/><Relationship Id="rId20" Type="http://schemas.openxmlformats.org/officeDocument/2006/relationships/image" Target="../media/image59.png"/><Relationship Id="rId41" Type="http://schemas.openxmlformats.org/officeDocument/2006/relationships/image" Target="../media/image80.png"/><Relationship Id="rId54" Type="http://schemas.openxmlformats.org/officeDocument/2006/relationships/image" Target="../media/image93.jpeg"/><Relationship Id="rId62" Type="http://schemas.openxmlformats.org/officeDocument/2006/relationships/image" Target="../media/image101.jpeg"/><Relationship Id="rId70" Type="http://schemas.openxmlformats.org/officeDocument/2006/relationships/image" Target="../media/image109.jpeg"/><Relationship Id="rId75" Type="http://schemas.openxmlformats.org/officeDocument/2006/relationships/image" Target="../media/image114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15" Type="http://schemas.openxmlformats.org/officeDocument/2006/relationships/image" Target="../media/image54.png"/><Relationship Id="rId23" Type="http://schemas.openxmlformats.org/officeDocument/2006/relationships/image" Target="../media/image62.png"/><Relationship Id="rId28" Type="http://schemas.openxmlformats.org/officeDocument/2006/relationships/image" Target="../media/image67.tiff"/><Relationship Id="rId36" Type="http://schemas.openxmlformats.org/officeDocument/2006/relationships/image" Target="../media/image75.png"/><Relationship Id="rId49" Type="http://schemas.openxmlformats.org/officeDocument/2006/relationships/image" Target="../media/image88.jpeg"/><Relationship Id="rId57" Type="http://schemas.openxmlformats.org/officeDocument/2006/relationships/image" Target="../media/image96.jpeg"/><Relationship Id="rId10" Type="http://schemas.openxmlformats.org/officeDocument/2006/relationships/image" Target="../media/image49.png"/><Relationship Id="rId31" Type="http://schemas.openxmlformats.org/officeDocument/2006/relationships/image" Target="../media/image70.png"/><Relationship Id="rId44" Type="http://schemas.openxmlformats.org/officeDocument/2006/relationships/image" Target="../media/image83.png"/><Relationship Id="rId52" Type="http://schemas.openxmlformats.org/officeDocument/2006/relationships/image" Target="../media/image91.jpeg"/><Relationship Id="rId60" Type="http://schemas.openxmlformats.org/officeDocument/2006/relationships/image" Target="../media/image99.png"/><Relationship Id="rId65" Type="http://schemas.openxmlformats.org/officeDocument/2006/relationships/image" Target="../media/image104.jpeg"/><Relationship Id="rId73" Type="http://schemas.openxmlformats.org/officeDocument/2006/relationships/image" Target="../media/image112.jpeg"/><Relationship Id="rId78" Type="http://schemas.openxmlformats.org/officeDocument/2006/relationships/image" Target="../media/image117.jpeg"/><Relationship Id="rId4" Type="http://schemas.openxmlformats.org/officeDocument/2006/relationships/image" Target="../media/image43.png"/><Relationship Id="rId9" Type="http://schemas.openxmlformats.org/officeDocument/2006/relationships/image" Target="../media/image48.png"/><Relationship Id="rId13" Type="http://schemas.openxmlformats.org/officeDocument/2006/relationships/image" Target="../media/image52.png"/><Relationship Id="rId18" Type="http://schemas.openxmlformats.org/officeDocument/2006/relationships/image" Target="../media/image57.png"/><Relationship Id="rId39" Type="http://schemas.openxmlformats.org/officeDocument/2006/relationships/image" Target="../media/image78.png"/><Relationship Id="rId34" Type="http://schemas.openxmlformats.org/officeDocument/2006/relationships/image" Target="../media/image73.png"/><Relationship Id="rId50" Type="http://schemas.openxmlformats.org/officeDocument/2006/relationships/image" Target="../media/image89.jpeg"/><Relationship Id="rId55" Type="http://schemas.openxmlformats.org/officeDocument/2006/relationships/image" Target="../media/image94.jpeg"/><Relationship Id="rId76" Type="http://schemas.openxmlformats.org/officeDocument/2006/relationships/image" Target="../media/image115.png"/><Relationship Id="rId7" Type="http://schemas.openxmlformats.org/officeDocument/2006/relationships/image" Target="../media/image46.png"/><Relationship Id="rId71" Type="http://schemas.openxmlformats.org/officeDocument/2006/relationships/image" Target="../media/image110.jpeg"/><Relationship Id="rId2" Type="http://schemas.openxmlformats.org/officeDocument/2006/relationships/image" Target="../media/image41.png"/><Relationship Id="rId29" Type="http://schemas.openxmlformats.org/officeDocument/2006/relationships/image" Target="../media/image68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61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0.png"/><Relationship Id="rId18" Type="http://schemas.openxmlformats.org/officeDocument/2006/relationships/image" Target="../media/image135.png"/><Relationship Id="rId26" Type="http://schemas.openxmlformats.org/officeDocument/2006/relationships/image" Target="../media/image143.png"/><Relationship Id="rId39" Type="http://schemas.openxmlformats.org/officeDocument/2006/relationships/image" Target="../media/image156.jpeg"/><Relationship Id="rId21" Type="http://schemas.openxmlformats.org/officeDocument/2006/relationships/image" Target="../media/image138.png"/><Relationship Id="rId34" Type="http://schemas.openxmlformats.org/officeDocument/2006/relationships/image" Target="../media/image151.png"/><Relationship Id="rId42" Type="http://schemas.openxmlformats.org/officeDocument/2006/relationships/image" Target="../media/image159.png"/><Relationship Id="rId47" Type="http://schemas.openxmlformats.org/officeDocument/2006/relationships/image" Target="../media/image164.png"/><Relationship Id="rId7" Type="http://schemas.openxmlformats.org/officeDocument/2006/relationships/image" Target="../media/image124.png"/><Relationship Id="rId2" Type="http://schemas.openxmlformats.org/officeDocument/2006/relationships/image" Target="../media/image119.jpeg"/><Relationship Id="rId16" Type="http://schemas.openxmlformats.org/officeDocument/2006/relationships/image" Target="../media/image133.png"/><Relationship Id="rId29" Type="http://schemas.openxmlformats.org/officeDocument/2006/relationships/image" Target="../media/image146.png"/><Relationship Id="rId11" Type="http://schemas.openxmlformats.org/officeDocument/2006/relationships/image" Target="../media/image128.png"/><Relationship Id="rId24" Type="http://schemas.openxmlformats.org/officeDocument/2006/relationships/image" Target="../media/image141.png"/><Relationship Id="rId32" Type="http://schemas.openxmlformats.org/officeDocument/2006/relationships/image" Target="../media/image149.png"/><Relationship Id="rId37" Type="http://schemas.openxmlformats.org/officeDocument/2006/relationships/image" Target="../media/image154.png"/><Relationship Id="rId40" Type="http://schemas.openxmlformats.org/officeDocument/2006/relationships/image" Target="../media/image157.jpeg"/><Relationship Id="rId45" Type="http://schemas.openxmlformats.org/officeDocument/2006/relationships/image" Target="../media/image162.jpeg"/><Relationship Id="rId5" Type="http://schemas.openxmlformats.org/officeDocument/2006/relationships/image" Target="../media/image122.jpeg"/><Relationship Id="rId15" Type="http://schemas.openxmlformats.org/officeDocument/2006/relationships/image" Target="../media/image132.png"/><Relationship Id="rId23" Type="http://schemas.openxmlformats.org/officeDocument/2006/relationships/image" Target="../media/image140.png"/><Relationship Id="rId28" Type="http://schemas.openxmlformats.org/officeDocument/2006/relationships/image" Target="../media/image145.png"/><Relationship Id="rId36" Type="http://schemas.openxmlformats.org/officeDocument/2006/relationships/image" Target="../media/image153.png"/><Relationship Id="rId49" Type="http://schemas.openxmlformats.org/officeDocument/2006/relationships/image" Target="../media/image39.png"/><Relationship Id="rId10" Type="http://schemas.openxmlformats.org/officeDocument/2006/relationships/image" Target="../media/image127.png"/><Relationship Id="rId19" Type="http://schemas.openxmlformats.org/officeDocument/2006/relationships/image" Target="../media/image136.png"/><Relationship Id="rId31" Type="http://schemas.openxmlformats.org/officeDocument/2006/relationships/image" Target="../media/image148.png"/><Relationship Id="rId44" Type="http://schemas.openxmlformats.org/officeDocument/2006/relationships/image" Target="../media/image161.jpeg"/><Relationship Id="rId4" Type="http://schemas.openxmlformats.org/officeDocument/2006/relationships/image" Target="../media/image121.png"/><Relationship Id="rId9" Type="http://schemas.openxmlformats.org/officeDocument/2006/relationships/image" Target="../media/image126.jpeg"/><Relationship Id="rId14" Type="http://schemas.openxmlformats.org/officeDocument/2006/relationships/image" Target="../media/image131.png"/><Relationship Id="rId22" Type="http://schemas.openxmlformats.org/officeDocument/2006/relationships/image" Target="../media/image139.png"/><Relationship Id="rId27" Type="http://schemas.openxmlformats.org/officeDocument/2006/relationships/image" Target="../media/image144.png"/><Relationship Id="rId30" Type="http://schemas.openxmlformats.org/officeDocument/2006/relationships/image" Target="../media/image147.png"/><Relationship Id="rId35" Type="http://schemas.openxmlformats.org/officeDocument/2006/relationships/image" Target="../media/image152.png"/><Relationship Id="rId43" Type="http://schemas.openxmlformats.org/officeDocument/2006/relationships/image" Target="../media/image160.png"/><Relationship Id="rId48" Type="http://schemas.openxmlformats.org/officeDocument/2006/relationships/image" Target="../media/image165.png"/><Relationship Id="rId8" Type="http://schemas.openxmlformats.org/officeDocument/2006/relationships/image" Target="../media/image125.jpeg"/><Relationship Id="rId3" Type="http://schemas.openxmlformats.org/officeDocument/2006/relationships/image" Target="../media/image120.jpeg"/><Relationship Id="rId12" Type="http://schemas.openxmlformats.org/officeDocument/2006/relationships/image" Target="../media/image129.png"/><Relationship Id="rId17" Type="http://schemas.openxmlformats.org/officeDocument/2006/relationships/image" Target="../media/image134.png"/><Relationship Id="rId25" Type="http://schemas.openxmlformats.org/officeDocument/2006/relationships/image" Target="../media/image142.png"/><Relationship Id="rId33" Type="http://schemas.openxmlformats.org/officeDocument/2006/relationships/image" Target="../media/image150.png"/><Relationship Id="rId38" Type="http://schemas.openxmlformats.org/officeDocument/2006/relationships/image" Target="../media/image155.png"/><Relationship Id="rId46" Type="http://schemas.openxmlformats.org/officeDocument/2006/relationships/image" Target="../media/image163.jpeg"/><Relationship Id="rId20" Type="http://schemas.openxmlformats.org/officeDocument/2006/relationships/image" Target="../media/image137.png"/><Relationship Id="rId41" Type="http://schemas.openxmlformats.org/officeDocument/2006/relationships/image" Target="../media/image158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3" Type="http://schemas.openxmlformats.org/officeDocument/2006/relationships/image" Target="../media/image123.png"/><Relationship Id="rId7" Type="http://schemas.openxmlformats.org/officeDocument/2006/relationships/image" Target="../media/image161.jpeg"/><Relationship Id="rId2" Type="http://schemas.openxmlformats.org/officeDocument/2006/relationships/image" Target="../media/image121.png"/><Relationship Id="rId1" Type="http://schemas.openxmlformats.org/officeDocument/2006/relationships/image" Target="../media/image118.png"/><Relationship Id="rId6" Type="http://schemas.openxmlformats.org/officeDocument/2006/relationships/image" Target="../media/image128.png"/><Relationship Id="rId5" Type="http://schemas.openxmlformats.org/officeDocument/2006/relationships/image" Target="../media/image127.png"/><Relationship Id="rId4" Type="http://schemas.openxmlformats.org/officeDocument/2006/relationships/image" Target="../media/image12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6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166.png"/><Relationship Id="rId1" Type="http://schemas.openxmlformats.org/officeDocument/2006/relationships/image" Target="../media/image16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4.png"/><Relationship Id="rId13" Type="http://schemas.openxmlformats.org/officeDocument/2006/relationships/image" Target="../media/image179.png"/><Relationship Id="rId18" Type="http://schemas.openxmlformats.org/officeDocument/2006/relationships/image" Target="../media/image183.png"/><Relationship Id="rId26" Type="http://schemas.openxmlformats.org/officeDocument/2006/relationships/image" Target="../media/image191.png"/><Relationship Id="rId3" Type="http://schemas.openxmlformats.org/officeDocument/2006/relationships/image" Target="../media/image169.png"/><Relationship Id="rId21" Type="http://schemas.openxmlformats.org/officeDocument/2006/relationships/image" Target="../media/image186.png"/><Relationship Id="rId7" Type="http://schemas.openxmlformats.org/officeDocument/2006/relationships/image" Target="../media/image173.png"/><Relationship Id="rId12" Type="http://schemas.openxmlformats.org/officeDocument/2006/relationships/image" Target="../media/image178.png"/><Relationship Id="rId17" Type="http://schemas.openxmlformats.org/officeDocument/2006/relationships/image" Target="../media/image182.png"/><Relationship Id="rId25" Type="http://schemas.openxmlformats.org/officeDocument/2006/relationships/image" Target="../media/image190.png"/><Relationship Id="rId2" Type="http://schemas.openxmlformats.org/officeDocument/2006/relationships/image" Target="../media/image168.png"/><Relationship Id="rId16" Type="http://schemas.openxmlformats.org/officeDocument/2006/relationships/image" Target="../media/image181.png"/><Relationship Id="rId20" Type="http://schemas.openxmlformats.org/officeDocument/2006/relationships/image" Target="../media/image185.png"/><Relationship Id="rId29" Type="http://schemas.openxmlformats.org/officeDocument/2006/relationships/image" Target="../media/image194.png"/><Relationship Id="rId1" Type="http://schemas.openxmlformats.org/officeDocument/2006/relationships/image" Target="../media/image167.jpeg"/><Relationship Id="rId6" Type="http://schemas.openxmlformats.org/officeDocument/2006/relationships/image" Target="../media/image172.png"/><Relationship Id="rId11" Type="http://schemas.openxmlformats.org/officeDocument/2006/relationships/image" Target="../media/image177.png"/><Relationship Id="rId24" Type="http://schemas.openxmlformats.org/officeDocument/2006/relationships/image" Target="../media/image189.png"/><Relationship Id="rId5" Type="http://schemas.openxmlformats.org/officeDocument/2006/relationships/image" Target="../media/image171.png"/><Relationship Id="rId15" Type="http://schemas.microsoft.com/office/2007/relationships/hdphoto" Target="../media/hdphoto4.wdp"/><Relationship Id="rId23" Type="http://schemas.openxmlformats.org/officeDocument/2006/relationships/image" Target="../media/image188.png"/><Relationship Id="rId28" Type="http://schemas.openxmlformats.org/officeDocument/2006/relationships/image" Target="../media/image193.png"/><Relationship Id="rId10" Type="http://schemas.openxmlformats.org/officeDocument/2006/relationships/image" Target="../media/image176.png"/><Relationship Id="rId19" Type="http://schemas.openxmlformats.org/officeDocument/2006/relationships/image" Target="../media/image184.png"/><Relationship Id="rId4" Type="http://schemas.openxmlformats.org/officeDocument/2006/relationships/image" Target="../media/image170.png"/><Relationship Id="rId9" Type="http://schemas.openxmlformats.org/officeDocument/2006/relationships/image" Target="../media/image175.png"/><Relationship Id="rId14" Type="http://schemas.openxmlformats.org/officeDocument/2006/relationships/image" Target="../media/image180.png"/><Relationship Id="rId22" Type="http://schemas.openxmlformats.org/officeDocument/2006/relationships/image" Target="../media/image187.png"/><Relationship Id="rId27" Type="http://schemas.openxmlformats.org/officeDocument/2006/relationships/image" Target="../media/image192.png"/><Relationship Id="rId30" Type="http://schemas.openxmlformats.org/officeDocument/2006/relationships/image" Target="../media/image39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6.png"/><Relationship Id="rId2" Type="http://schemas.openxmlformats.org/officeDocument/2006/relationships/image" Target="../media/image195.png"/><Relationship Id="rId1" Type="http://schemas.openxmlformats.org/officeDocument/2006/relationships/image" Target="../media/image167.jpeg"/><Relationship Id="rId6" Type="http://schemas.openxmlformats.org/officeDocument/2006/relationships/image" Target="../media/image39.png"/><Relationship Id="rId5" Type="http://schemas.openxmlformats.org/officeDocument/2006/relationships/image" Target="../media/image198.png"/><Relationship Id="rId4" Type="http://schemas.openxmlformats.org/officeDocument/2006/relationships/image" Target="../media/image19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96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58</xdr:row>
          <xdr:rowOff>9525</xdr:rowOff>
        </xdr:from>
        <xdr:to>
          <xdr:col>12</xdr:col>
          <xdr:colOff>295275</xdr:colOff>
          <xdr:row>65</xdr:row>
          <xdr:rowOff>9525</xdr:rowOff>
        </xdr:to>
        <xdr:sp macro="" textlink="">
          <xdr:nvSpPr>
            <xdr:cNvPr id="24605" name="Object 29" hidden="1">
              <a:extLst>
                <a:ext uri="{63B3BB69-23CF-44E3-9099-C40C66FF867C}">
                  <a14:compatExt spid="_x0000_s24605"/>
                </a:ext>
                <a:ext uri="{FF2B5EF4-FFF2-40B4-BE49-F238E27FC236}">
                  <a16:creationId xmlns:a16="http://schemas.microsoft.com/office/drawing/2014/main" id="{00000000-0008-0000-0000-00001D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0</xdr:row>
          <xdr:rowOff>161925</xdr:rowOff>
        </xdr:from>
        <xdr:to>
          <xdr:col>12</xdr:col>
          <xdr:colOff>114300</xdr:colOff>
          <xdr:row>59</xdr:row>
          <xdr:rowOff>171450</xdr:rowOff>
        </xdr:to>
        <xdr:sp macro="" textlink="">
          <xdr:nvSpPr>
            <xdr:cNvPr id="24608" name="Object 32" hidden="1">
              <a:extLst>
                <a:ext uri="{63B3BB69-23CF-44E3-9099-C40C66FF867C}">
                  <a14:compatExt spid="_x0000_s24608"/>
                </a:ext>
                <a:ext uri="{FF2B5EF4-FFF2-40B4-BE49-F238E27FC236}">
                  <a16:creationId xmlns:a16="http://schemas.microsoft.com/office/drawing/2014/main" id="{00000000-0008-0000-0000-0000206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CxnSpPr/>
      </xdr:nvCxnSpPr>
      <xdr:spPr>
        <a:xfrm>
          <a:off x="84486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66675</xdr:colOff>
      <xdr:row>1</xdr:row>
      <xdr:rowOff>19050</xdr:rowOff>
    </xdr:from>
    <xdr:to>
      <xdr:col>13</xdr:col>
      <xdr:colOff>135255</xdr:colOff>
      <xdr:row>5</xdr:row>
      <xdr:rowOff>40959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6312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114301</xdr:colOff>
      <xdr:row>7</xdr:row>
      <xdr:rowOff>28575</xdr:rowOff>
    </xdr:from>
    <xdr:to>
      <xdr:col>2</xdr:col>
      <xdr:colOff>476251</xdr:colOff>
      <xdr:row>9</xdr:row>
      <xdr:rowOff>168604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6701" y="1685925"/>
          <a:ext cx="933450" cy="51721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10</xdr:row>
      <xdr:rowOff>123825</xdr:rowOff>
    </xdr:from>
    <xdr:to>
      <xdr:col>2</xdr:col>
      <xdr:colOff>438637</xdr:colOff>
      <xdr:row>13</xdr:row>
      <xdr:rowOff>95250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2924175"/>
          <a:ext cx="853926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</xdr:row>
      <xdr:rowOff>85725</xdr:rowOff>
    </xdr:from>
    <xdr:to>
      <xdr:col>2</xdr:col>
      <xdr:colOff>534253</xdr:colOff>
      <xdr:row>15</xdr:row>
      <xdr:rowOff>266700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" y="3076575"/>
          <a:ext cx="1048603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04491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360046</xdr:colOff>
      <xdr:row>7</xdr:row>
      <xdr:rowOff>169545</xdr:rowOff>
    </xdr:from>
    <xdr:to>
      <xdr:col>2</xdr:col>
      <xdr:colOff>326228</xdr:colOff>
      <xdr:row>12</xdr:row>
      <xdr:rowOff>49530</xdr:rowOff>
    </xdr:to>
    <xdr:pic>
      <xdr:nvPicPr>
        <xdr:cNvPr id="4" name="Picture 13" descr="401-005NEW.tif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6" y="1826895"/>
          <a:ext cx="543397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14</xdr:row>
      <xdr:rowOff>24765</xdr:rowOff>
    </xdr:from>
    <xdr:to>
      <xdr:col>2</xdr:col>
      <xdr:colOff>243841</xdr:colOff>
      <xdr:row>18</xdr:row>
      <xdr:rowOff>168132</xdr:rowOff>
    </xdr:to>
    <xdr:pic>
      <xdr:nvPicPr>
        <xdr:cNvPr id="5" name="Picture 14" descr="401-101NEW.tif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501390"/>
          <a:ext cx="611506" cy="880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421005</xdr:colOff>
      <xdr:row>22</xdr:row>
      <xdr:rowOff>135256</xdr:rowOff>
    </xdr:from>
    <xdr:to>
      <xdr:col>2</xdr:col>
      <xdr:colOff>293933</xdr:colOff>
      <xdr:row>24</xdr:row>
      <xdr:rowOff>169545</xdr:rowOff>
    </xdr:to>
    <xdr:pic>
      <xdr:nvPicPr>
        <xdr:cNvPr id="6" name="Picture 16" descr="03 ELBOW406.tif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" y="5173981"/>
          <a:ext cx="474908" cy="415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468631</xdr:colOff>
      <xdr:row>31</xdr:row>
      <xdr:rowOff>139065</xdr:rowOff>
    </xdr:from>
    <xdr:to>
      <xdr:col>2</xdr:col>
      <xdr:colOff>237117</xdr:colOff>
      <xdr:row>34</xdr:row>
      <xdr:rowOff>76199</xdr:rowOff>
    </xdr:to>
    <xdr:pic>
      <xdr:nvPicPr>
        <xdr:cNvPr id="7" name="Picture 18" descr="05 ELBOW417.tif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506" y="6130290"/>
          <a:ext cx="359036" cy="48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320040</xdr:colOff>
      <xdr:row>39</xdr:row>
      <xdr:rowOff>167641</xdr:rowOff>
    </xdr:from>
    <xdr:to>
      <xdr:col>2</xdr:col>
      <xdr:colOff>392430</xdr:colOff>
      <xdr:row>43</xdr:row>
      <xdr:rowOff>174202</xdr:rowOff>
    </xdr:to>
    <xdr:pic>
      <xdr:nvPicPr>
        <xdr:cNvPr id="8" name="Picture 19" descr="06 COUPLING429.tif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" y="7682866"/>
          <a:ext cx="661035" cy="722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70</xdr:row>
      <xdr:rowOff>15240</xdr:rowOff>
    </xdr:from>
    <xdr:to>
      <xdr:col>2</xdr:col>
      <xdr:colOff>469317</xdr:colOff>
      <xdr:row>74</xdr:row>
      <xdr:rowOff>76200</xdr:rowOff>
    </xdr:to>
    <xdr:pic>
      <xdr:nvPicPr>
        <xdr:cNvPr id="11" name="Picture 22" descr="09 REDUCBUSHSLIP.tif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102465"/>
          <a:ext cx="848412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472440</xdr:colOff>
      <xdr:row>80</xdr:row>
      <xdr:rowOff>125730</xdr:rowOff>
    </xdr:from>
    <xdr:to>
      <xdr:col>2</xdr:col>
      <xdr:colOff>274320</xdr:colOff>
      <xdr:row>83</xdr:row>
      <xdr:rowOff>15784</xdr:rowOff>
    </xdr:to>
    <xdr:pic>
      <xdr:nvPicPr>
        <xdr:cNvPr id="12" name="Picture 24" descr="SCH40CapNEW.tif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5" y="14117955"/>
          <a:ext cx="403860" cy="436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CxnSpPr/>
      </xdr:nvCxnSpPr>
      <xdr:spPr>
        <a:xfrm>
          <a:off x="805815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28575</xdr:colOff>
      <xdr:row>1</xdr:row>
      <xdr:rowOff>19050</xdr:rowOff>
    </xdr:from>
    <xdr:to>
      <xdr:col>12</xdr:col>
      <xdr:colOff>819150</xdr:colOff>
      <xdr:row>5</xdr:row>
      <xdr:rowOff>40959</xdr:rowOff>
    </xdr:to>
    <xdr:pic>
      <xdr:nvPicPr>
        <xdr:cNvPr id="15" name="Picture 4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726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419101</xdr:colOff>
      <xdr:row>27</xdr:row>
      <xdr:rowOff>66675</xdr:rowOff>
    </xdr:from>
    <xdr:to>
      <xdr:col>2</xdr:col>
      <xdr:colOff>312420</xdr:colOff>
      <xdr:row>29</xdr:row>
      <xdr:rowOff>91529</xdr:rowOff>
    </xdr:to>
    <xdr:pic>
      <xdr:nvPicPr>
        <xdr:cNvPr id="37" name="Picture 3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05746" y="5252130"/>
          <a:ext cx="396329" cy="4838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86</xdr:row>
      <xdr:rowOff>19050</xdr:rowOff>
    </xdr:from>
    <xdr:to>
      <xdr:col>2</xdr:col>
      <xdr:colOff>333375</xdr:colOff>
      <xdr:row>89</xdr:row>
      <xdr:rowOff>168494</xdr:rowOff>
    </xdr:to>
    <xdr:pic>
      <xdr:nvPicPr>
        <xdr:cNvPr id="42" name="Picture 5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5154275"/>
          <a:ext cx="640080" cy="692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CxnSpPr/>
      </xdr:nvCxnSpPr>
      <xdr:spPr>
        <a:xfrm>
          <a:off x="8401050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0</xdr:row>
      <xdr:rowOff>133350</xdr:rowOff>
    </xdr:from>
    <xdr:to>
      <xdr:col>12</xdr:col>
      <xdr:colOff>815340</xdr:colOff>
      <xdr:row>4</xdr:row>
      <xdr:rowOff>153129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0058400" y="133350"/>
          <a:ext cx="781050" cy="78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9805</xdr:colOff>
      <xdr:row>11</xdr:row>
      <xdr:rowOff>81055</xdr:rowOff>
    </xdr:from>
    <xdr:to>
      <xdr:col>2</xdr:col>
      <xdr:colOff>551498</xdr:colOff>
      <xdr:row>14</xdr:row>
      <xdr:rowOff>167640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43300" y1="60902" x2="46300" y2="63008"/>
                      <a14:foregroundMark x1="56200" y1="59699" x2="59500" y2="60902"/>
                      <a14:foregroundMark x1="54400" y1="61353" x2="58800" y2="6135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667" t="20184" r="19489" b="17431"/>
        <a:stretch/>
      </xdr:blipFill>
      <xdr:spPr>
        <a:xfrm>
          <a:off x="162205" y="2414680"/>
          <a:ext cx="1118908" cy="661895"/>
        </a:xfrm>
        <a:prstGeom prst="rect">
          <a:avLst/>
        </a:prstGeom>
      </xdr:spPr>
    </xdr:pic>
    <xdr:clientData/>
  </xdr:twoCellAnchor>
  <xdr:twoCellAnchor editAs="oneCell">
    <xdr:from>
      <xdr:col>1</xdr:col>
      <xdr:colOff>122143</xdr:colOff>
      <xdr:row>32</xdr:row>
      <xdr:rowOff>103094</xdr:rowOff>
    </xdr:from>
    <xdr:to>
      <xdr:col>2</xdr:col>
      <xdr:colOff>362629</xdr:colOff>
      <xdr:row>34</xdr:row>
      <xdr:rowOff>179070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636" t="25984" r="22727" b="20942"/>
        <a:stretch/>
      </xdr:blipFill>
      <xdr:spPr>
        <a:xfrm>
          <a:off x="274543" y="6865844"/>
          <a:ext cx="817701" cy="544606"/>
        </a:xfrm>
        <a:prstGeom prst="rect">
          <a:avLst/>
        </a:prstGeom>
      </xdr:spPr>
    </xdr:pic>
    <xdr:clientData/>
  </xdr:twoCellAnchor>
  <xdr:twoCellAnchor editAs="oneCell">
    <xdr:from>
      <xdr:col>1</xdr:col>
      <xdr:colOff>125506</xdr:colOff>
      <xdr:row>133</xdr:row>
      <xdr:rowOff>66673</xdr:rowOff>
    </xdr:from>
    <xdr:to>
      <xdr:col>2</xdr:col>
      <xdr:colOff>472440</xdr:colOff>
      <xdr:row>135</xdr:row>
      <xdr:rowOff>132882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>
                      <a14:foregroundMark x1="56300" y1="43158" x2="61000" y2="491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897" t="24677" r="20956" b="27761"/>
        <a:stretch/>
      </xdr:blipFill>
      <xdr:spPr>
        <a:xfrm>
          <a:off x="277906" y="28336873"/>
          <a:ext cx="931769" cy="45101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44822</xdr:colOff>
      <xdr:row>126</xdr:row>
      <xdr:rowOff>33618</xdr:rowOff>
    </xdr:from>
    <xdr:to>
      <xdr:col>2</xdr:col>
      <xdr:colOff>573086</xdr:colOff>
      <xdr:row>129</xdr:row>
      <xdr:rowOff>114300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875" t="26812" r="23516" b="22464"/>
        <a:stretch/>
      </xdr:blipFill>
      <xdr:spPr>
        <a:xfrm>
          <a:off x="197222" y="26732193"/>
          <a:ext cx="1109289" cy="652182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28</xdr:row>
      <xdr:rowOff>80906</xdr:rowOff>
    </xdr:from>
    <xdr:to>
      <xdr:col>2</xdr:col>
      <xdr:colOff>344580</xdr:colOff>
      <xdr:row>28</xdr:row>
      <xdr:rowOff>480059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>
                      <a14:foregroundMark x1="54000" y1="59098" x2="57000" y2="56391"/>
                      <a14:foregroundMark x1="57000" y1="51429" x2="60300" y2="5969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466" t="13513" r="23166" b="21623"/>
        <a:stretch/>
      </xdr:blipFill>
      <xdr:spPr>
        <a:xfrm>
          <a:off x="371475" y="5700656"/>
          <a:ext cx="706530" cy="395343"/>
        </a:xfrm>
        <a:prstGeom prst="rect">
          <a:avLst/>
        </a:prstGeom>
      </xdr:spPr>
    </xdr:pic>
    <xdr:clientData/>
  </xdr:twoCellAnchor>
  <xdr:twoCellAnchor editAs="oneCell">
    <xdr:from>
      <xdr:col>0</xdr:col>
      <xdr:colOff>143355</xdr:colOff>
      <xdr:row>20</xdr:row>
      <xdr:rowOff>51546</xdr:rowOff>
    </xdr:from>
    <xdr:to>
      <xdr:col>3</xdr:col>
      <xdr:colOff>54867</xdr:colOff>
      <xdr:row>22</xdr:row>
      <xdr:rowOff>125730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515" t="24879" r="22426" b="16520"/>
        <a:stretch/>
      </xdr:blipFill>
      <xdr:spPr>
        <a:xfrm>
          <a:off x="143355" y="4147296"/>
          <a:ext cx="1229772" cy="453279"/>
        </a:xfrm>
        <a:prstGeom prst="rect">
          <a:avLst/>
        </a:prstGeom>
      </xdr:spPr>
    </xdr:pic>
    <xdr:clientData/>
  </xdr:twoCellAnchor>
  <xdr:twoCellAnchor editAs="oneCell">
    <xdr:from>
      <xdr:col>1</xdr:col>
      <xdr:colOff>93009</xdr:colOff>
      <xdr:row>212</xdr:row>
      <xdr:rowOff>115419</xdr:rowOff>
    </xdr:from>
    <xdr:to>
      <xdr:col>2</xdr:col>
      <xdr:colOff>379880</xdr:colOff>
      <xdr:row>215</xdr:row>
      <xdr:rowOff>102869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5294" t="26537" r="36397" b="19836"/>
        <a:stretch/>
      </xdr:blipFill>
      <xdr:spPr>
        <a:xfrm>
          <a:off x="245409" y="44654319"/>
          <a:ext cx="867896" cy="5608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99732</xdr:colOff>
      <xdr:row>219</xdr:row>
      <xdr:rowOff>62193</xdr:rowOff>
    </xdr:from>
    <xdr:to>
      <xdr:col>2</xdr:col>
      <xdr:colOff>485550</xdr:colOff>
      <xdr:row>222</xdr:row>
      <xdr:rowOff>125730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927" t="12163" r="33455" b="8846"/>
        <a:stretch/>
      </xdr:blipFill>
      <xdr:spPr>
        <a:xfrm>
          <a:off x="252132" y="45934593"/>
          <a:ext cx="968748" cy="633132"/>
        </a:xfrm>
        <a:prstGeom prst="rect">
          <a:avLst/>
        </a:prstGeom>
      </xdr:spPr>
    </xdr:pic>
    <xdr:clientData/>
  </xdr:twoCellAnchor>
  <xdr:twoCellAnchor editAs="oneCell">
    <xdr:from>
      <xdr:col>1</xdr:col>
      <xdr:colOff>198665</xdr:colOff>
      <xdr:row>145</xdr:row>
      <xdr:rowOff>80282</xdr:rowOff>
    </xdr:from>
    <xdr:to>
      <xdr:col>2</xdr:col>
      <xdr:colOff>354330</xdr:colOff>
      <xdr:row>145</xdr:row>
      <xdr:rowOff>592597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581" t="10069" r="22581" b="20784"/>
        <a:stretch/>
      </xdr:blipFill>
      <xdr:spPr>
        <a:xfrm>
          <a:off x="351065" y="30731732"/>
          <a:ext cx="734785" cy="508505"/>
        </a:xfrm>
        <a:prstGeom prst="rect">
          <a:avLst/>
        </a:prstGeom>
      </xdr:spPr>
    </xdr:pic>
    <xdr:clientData/>
  </xdr:twoCellAnchor>
  <xdr:twoCellAnchor editAs="oneCell">
    <xdr:from>
      <xdr:col>1</xdr:col>
      <xdr:colOff>262217</xdr:colOff>
      <xdr:row>158</xdr:row>
      <xdr:rowOff>72838</xdr:rowOff>
    </xdr:from>
    <xdr:to>
      <xdr:col>2</xdr:col>
      <xdr:colOff>289472</xdr:colOff>
      <xdr:row>161</xdr:row>
      <xdr:rowOff>125731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714" r="34132"/>
        <a:stretch/>
      </xdr:blipFill>
      <xdr:spPr>
        <a:xfrm>
          <a:off x="414617" y="33543688"/>
          <a:ext cx="604470" cy="622488"/>
        </a:xfrm>
        <a:prstGeom prst="rect">
          <a:avLst/>
        </a:prstGeom>
      </xdr:spPr>
    </xdr:pic>
    <xdr:clientData/>
  </xdr:twoCellAnchor>
  <xdr:twoCellAnchor editAs="oneCell">
    <xdr:from>
      <xdr:col>1</xdr:col>
      <xdr:colOff>75640</xdr:colOff>
      <xdr:row>230</xdr:row>
      <xdr:rowOff>102534</xdr:rowOff>
    </xdr:from>
    <xdr:to>
      <xdr:col>2</xdr:col>
      <xdr:colOff>465268</xdr:colOff>
      <xdr:row>233</xdr:row>
      <xdr:rowOff>179070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353" t="23220" r="32721" b="25918"/>
        <a:stretch/>
      </xdr:blipFill>
      <xdr:spPr>
        <a:xfrm>
          <a:off x="228040" y="48118059"/>
          <a:ext cx="968748" cy="649941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179292</xdr:colOff>
      <xdr:row>203</xdr:row>
      <xdr:rowOff>78443</xdr:rowOff>
    </xdr:from>
    <xdr:to>
      <xdr:col>2</xdr:col>
      <xdr:colOff>453600</xdr:colOff>
      <xdr:row>204</xdr:row>
      <xdr:rowOff>68133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2353" t="18244" r="31986" b="13201"/>
        <a:stretch/>
      </xdr:blipFill>
      <xdr:spPr>
        <a:xfrm>
          <a:off x="303117" y="58361918"/>
          <a:ext cx="855334" cy="1085289"/>
        </a:xfrm>
        <a:prstGeom prst="rect">
          <a:avLst/>
        </a:prstGeom>
      </xdr:spPr>
    </xdr:pic>
    <xdr:clientData/>
  </xdr:twoCellAnchor>
  <xdr:twoCellAnchor editAs="oneCell">
    <xdr:from>
      <xdr:col>1</xdr:col>
      <xdr:colOff>69475</xdr:colOff>
      <xdr:row>38</xdr:row>
      <xdr:rowOff>142874</xdr:rowOff>
    </xdr:from>
    <xdr:to>
      <xdr:col>2</xdr:col>
      <xdr:colOff>503367</xdr:colOff>
      <xdr:row>39</xdr:row>
      <xdr:rowOff>304799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ackgroundRemoval t="10000" b="90000" l="10000" r="90000">
                      <a14:foregroundMark x1="46000" y1="59248" x2="55800" y2="69323"/>
                      <a14:foregroundMark x1="54500" y1="61955" x2="63100" y2="6571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33" t="25924" r="21613" b="22337"/>
        <a:stretch/>
      </xdr:blipFill>
      <xdr:spPr>
        <a:xfrm>
          <a:off x="221875" y="8267699"/>
          <a:ext cx="1013012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86</xdr:row>
      <xdr:rowOff>47624</xdr:rowOff>
    </xdr:from>
    <xdr:to>
      <xdr:col>2</xdr:col>
      <xdr:colOff>439217</xdr:colOff>
      <xdr:row>86</xdr:row>
      <xdr:rowOff>403859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802" t="34455" r="26642" b="25481"/>
        <a:stretch/>
      </xdr:blipFill>
      <xdr:spPr>
        <a:xfrm>
          <a:off x="276224" y="18630899"/>
          <a:ext cx="892608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176</xdr:row>
      <xdr:rowOff>142875</xdr:rowOff>
    </xdr:from>
    <xdr:to>
      <xdr:col>2</xdr:col>
      <xdr:colOff>326597</xdr:colOff>
      <xdr:row>179</xdr:row>
      <xdr:rowOff>38100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7813" t="26316" r="34687" b="18233"/>
        <a:stretch/>
      </xdr:blipFill>
      <xdr:spPr>
        <a:xfrm>
          <a:off x="390525" y="37680900"/>
          <a:ext cx="673307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194</xdr:row>
      <xdr:rowOff>123825</xdr:rowOff>
    </xdr:from>
    <xdr:to>
      <xdr:col>2</xdr:col>
      <xdr:colOff>407669</xdr:colOff>
      <xdr:row>197</xdr:row>
      <xdr:rowOff>76200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6875" t="28665" r="35000" b="24342"/>
        <a:stretch/>
      </xdr:blipFill>
      <xdr:spPr>
        <a:xfrm>
          <a:off x="285750" y="41138475"/>
          <a:ext cx="857249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139</xdr:row>
      <xdr:rowOff>28575</xdr:rowOff>
    </xdr:from>
    <xdr:to>
      <xdr:col>2</xdr:col>
      <xdr:colOff>325591</xdr:colOff>
      <xdr:row>142</xdr:row>
      <xdr:rowOff>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ackgroundRemoval t="10000" b="90000" l="10000" r="90000">
                      <a14:foregroundMark x1="38800" y1="45564" x2="59500" y2="51278"/>
                      <a14:foregroundMark x1="59500" y1="51278" x2="55300" y2="4375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250" t="15508" r="26563" b="15414"/>
        <a:stretch/>
      </xdr:blipFill>
      <xdr:spPr>
        <a:xfrm>
          <a:off x="352425" y="29298900"/>
          <a:ext cx="710401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66674</xdr:colOff>
      <xdr:row>70</xdr:row>
      <xdr:rowOff>123824</xdr:rowOff>
    </xdr:from>
    <xdr:to>
      <xdr:col>2</xdr:col>
      <xdr:colOff>533399</xdr:colOff>
      <xdr:row>73</xdr:row>
      <xdr:rowOff>53340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ackgroundRemoval t="10000" b="90000" l="10000" r="90000">
                      <a14:foregroundMark x1="35200" y1="43759" x2="63100" y2="58195"/>
                      <a14:foregroundMark x1="61900" y1="55489" x2="59600" y2="50075"/>
                      <a14:foregroundMark x1="59600" y1="50075" x2="64900" y2="50075"/>
                      <a14:foregroundMark x1="32200" y1="53684" x2="45300" y2="52782"/>
                      <a14:foregroundMark x1="42300" y1="52782" x2="33400" y2="491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131" t="16994" r="18439" b="19499"/>
        <a:stretch/>
      </xdr:blipFill>
      <xdr:spPr>
        <a:xfrm>
          <a:off x="219074" y="15259049"/>
          <a:ext cx="1047750" cy="50482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43</xdr:row>
      <xdr:rowOff>123825</xdr:rowOff>
    </xdr:from>
    <xdr:to>
      <xdr:col>2</xdr:col>
      <xdr:colOff>539539</xdr:colOff>
      <xdr:row>46</xdr:row>
      <xdr:rowOff>38100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255" t="31288" r="23300" b="24540"/>
        <a:stretch/>
      </xdr:blipFill>
      <xdr:spPr>
        <a:xfrm>
          <a:off x="161925" y="9667875"/>
          <a:ext cx="1109134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17930</xdr:colOff>
      <xdr:row>52</xdr:row>
      <xdr:rowOff>21903</xdr:rowOff>
    </xdr:from>
    <xdr:to>
      <xdr:col>2</xdr:col>
      <xdr:colOff>488609</xdr:colOff>
      <xdr:row>54</xdr:row>
      <xdr:rowOff>102870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ackgroundRemoval t="10000" b="90000" l="10000" r="90000">
                      <a14:foregroundMark x1="40235" y1="54551" x2="54996" y2="55973"/>
                      <a14:foregroundMark x1="46669" y1="52446" x2="59538" y2="5244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095" t="27729" r="25000" b="19314"/>
        <a:stretch/>
      </xdr:blipFill>
      <xdr:spPr>
        <a:xfrm>
          <a:off x="170330" y="11328078"/>
          <a:ext cx="1053609" cy="463872"/>
        </a:xfrm>
        <a:prstGeom prst="rect">
          <a:avLst/>
        </a:prstGeom>
      </xdr:spPr>
    </xdr:pic>
    <xdr:clientData/>
  </xdr:twoCellAnchor>
  <xdr:twoCellAnchor editAs="oneCell">
    <xdr:from>
      <xdr:col>1</xdr:col>
      <xdr:colOff>209549</xdr:colOff>
      <xdr:row>66</xdr:row>
      <xdr:rowOff>69044</xdr:rowOff>
    </xdr:from>
    <xdr:to>
      <xdr:col>2</xdr:col>
      <xdr:colOff>354330</xdr:colOff>
      <xdr:row>66</xdr:row>
      <xdr:rowOff>439613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27247" b="80091" l="27896" r="80772">
                      <a14:foregroundMark x1="27896" y1="59613" x2="31151" y2="61092"/>
                      <a14:foregroundMark x1="42619" y1="55688" x2="57381" y2="56143"/>
                      <a14:foregroundMark x1="69833" y1="54664" x2="50833" y2="5665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961" t="20692" r="12785" b="13291"/>
        <a:stretch/>
      </xdr:blipFill>
      <xdr:spPr>
        <a:xfrm>
          <a:off x="361949" y="14089844"/>
          <a:ext cx="723901" cy="37437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77</xdr:row>
      <xdr:rowOff>123825</xdr:rowOff>
    </xdr:from>
    <xdr:to>
      <xdr:col>2</xdr:col>
      <xdr:colOff>456392</xdr:colOff>
      <xdr:row>80</xdr:row>
      <xdr:rowOff>140970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10000" b="90000" l="10000" r="90000">
                      <a14:foregroundMark x1="55689" y1="37613" x2="51347" y2="37613"/>
                      <a14:foregroundMark x1="61228" y1="37162" x2="45808" y2="40766"/>
                      <a14:backgroundMark x1="62575" y1="71171" x2="58533" y2="6554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823" t="24230" r="26757" b="14938"/>
        <a:stretch/>
      </xdr:blipFill>
      <xdr:spPr>
        <a:xfrm>
          <a:off x="285749" y="16640175"/>
          <a:ext cx="904068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</xdr:colOff>
      <xdr:row>90</xdr:row>
      <xdr:rowOff>19051</xdr:rowOff>
    </xdr:from>
    <xdr:to>
      <xdr:col>2</xdr:col>
      <xdr:colOff>544829</xdr:colOff>
      <xdr:row>91</xdr:row>
      <xdr:rowOff>243840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36563" b="72163" l="32444" r="7567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094" t="32113" r="30220" b="23387"/>
        <a:stretch/>
      </xdr:blipFill>
      <xdr:spPr>
        <a:xfrm>
          <a:off x="180974" y="19345276"/>
          <a:ext cx="1095375" cy="581024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95</xdr:row>
      <xdr:rowOff>104775</xdr:rowOff>
    </xdr:from>
    <xdr:to>
      <xdr:col>2</xdr:col>
      <xdr:colOff>359988</xdr:colOff>
      <xdr:row>98</xdr:row>
      <xdr:rowOff>179069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10000" b="90000" l="10000" r="90000">
                      <a14:backgroundMark x1="60889" y1="63697" x2="79556" y2="95323"/>
                      <a14:backgroundMark x1="60296" y1="65256" x2="72148" y2="60802"/>
                      <a14:backgroundMark x1="58222" y1="61693" x2="62370" y2="652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358" t="23983" r="25805" b="14785"/>
        <a:stretch/>
      </xdr:blipFill>
      <xdr:spPr>
        <a:xfrm>
          <a:off x="257175" y="20754975"/>
          <a:ext cx="832428" cy="64769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105</xdr:row>
      <xdr:rowOff>47625</xdr:rowOff>
    </xdr:from>
    <xdr:to>
      <xdr:col>2</xdr:col>
      <xdr:colOff>468629</xdr:colOff>
      <xdr:row>108</xdr:row>
      <xdr:rowOff>87630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10000" b="90000" l="10000" r="90000">
                      <a14:foregroundMark x1="52242" y1="39589" x2="42300" y2="39589"/>
                      <a14:backgroundMark x1="54971" y1="65103" x2="61598" y2="7507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535" t="25506" r="30373" b="20123"/>
        <a:stretch/>
      </xdr:blipFill>
      <xdr:spPr>
        <a:xfrm>
          <a:off x="323850" y="22840950"/>
          <a:ext cx="876299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113</xdr:row>
      <xdr:rowOff>104775</xdr:rowOff>
    </xdr:from>
    <xdr:to>
      <xdr:col>2</xdr:col>
      <xdr:colOff>518159</xdr:colOff>
      <xdr:row>116</xdr:row>
      <xdr:rowOff>163830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10000" b="90000" l="10000" r="90000">
                      <a14:foregroundMark x1="34306" y1="31699" x2="49475" y2="31349"/>
                      <a14:backgroundMark x1="40140" y1="59895" x2="44924" y2="6900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900" t="18074" r="26993" b="21679"/>
        <a:stretch/>
      </xdr:blipFill>
      <xdr:spPr>
        <a:xfrm>
          <a:off x="219075" y="24279225"/>
          <a:ext cx="1028699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167</xdr:row>
      <xdr:rowOff>0</xdr:rowOff>
    </xdr:from>
    <xdr:to>
      <xdr:col>2</xdr:col>
      <xdr:colOff>483870</xdr:colOff>
      <xdr:row>168</xdr:row>
      <xdr:rowOff>47188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BEBA8EAE-BF5A-486C-A8C5-ECC9F3942E4B}">
              <a14:imgProps xmlns:a14="http://schemas.microsoft.com/office/drawing/2010/main">
                <a14:imgLayer r:embed="rId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7246" t="30877" r="18262" b="30191"/>
        <a:stretch/>
      </xdr:blipFill>
      <xdr:spPr>
        <a:xfrm>
          <a:off x="285750" y="35444867"/>
          <a:ext cx="933450" cy="359608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276226</xdr:colOff>
      <xdr:row>171</xdr:row>
      <xdr:rowOff>95250</xdr:rowOff>
    </xdr:from>
    <xdr:to>
      <xdr:col>2</xdr:col>
      <xdr:colOff>286539</xdr:colOff>
      <xdr:row>172</xdr:row>
      <xdr:rowOff>255270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BEBA8EAE-BF5A-486C-A8C5-ECC9F3942E4B}">
              <a14:imgProps xmlns:a14="http://schemas.microsoft.com/office/drawing/2010/main">
                <a14:imgLayer r:embed="rId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9166" t="16003" r="41135" b="15184"/>
        <a:stretch/>
      </xdr:blipFill>
      <xdr:spPr>
        <a:xfrm>
          <a:off x="428626" y="36214050"/>
          <a:ext cx="595148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41782</xdr:colOff>
      <xdr:row>149</xdr:row>
      <xdr:rowOff>83002</xdr:rowOff>
    </xdr:from>
    <xdr:to>
      <xdr:col>2</xdr:col>
      <xdr:colOff>484967</xdr:colOff>
      <xdr:row>152</xdr:row>
      <xdr:rowOff>76199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BEBA8EAE-BF5A-486C-A8C5-ECC9F3942E4B}">
              <a14:imgProps xmlns:a14="http://schemas.microsoft.com/office/drawing/2010/main">
                <a14:imgLayer r:embed="rId59">
                  <a14:imgEffect>
                    <a14:backgroundRemoval t="10000" b="90000" l="3800" r="97800">
                      <a14:foregroundMark x1="3800" y1="43000" x2="3800" y2="43000"/>
                      <a14:foregroundMark x1="94400" y1="56400" x2="94400" y2="56400"/>
                      <a14:foregroundMark x1="97800" y1="50000" x2="97800" y2="5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19138" b="19973"/>
        <a:stretch/>
      </xdr:blipFill>
      <xdr:spPr>
        <a:xfrm>
          <a:off x="194182" y="31791727"/>
          <a:ext cx="1026115" cy="56469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28222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5400000">
          <a:off x="968711" y="-673436"/>
          <a:ext cx="792127" cy="252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32" name="Straight Arrow Connector 31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85724</xdr:colOff>
      <xdr:row>1</xdr:row>
      <xdr:rowOff>19049</xdr:rowOff>
    </xdr:from>
    <xdr:to>
      <xdr:col>12</xdr:col>
      <xdr:colOff>745414</xdr:colOff>
      <xdr:row>5</xdr:row>
      <xdr:rowOff>38100</xdr:rowOff>
    </xdr:to>
    <xdr:pic>
      <xdr:nvPicPr>
        <xdr:cNvPr id="45" name="Picture 64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58374" y="257174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43</xdr:row>
      <xdr:rowOff>57150</xdr:rowOff>
    </xdr:from>
    <xdr:to>
      <xdr:col>2</xdr:col>
      <xdr:colOff>285935</xdr:colOff>
      <xdr:row>44</xdr:row>
      <xdr:rowOff>232138</xdr:rowOff>
    </xdr:to>
    <xdr:pic>
      <xdr:nvPicPr>
        <xdr:cNvPr id="2" name="Picture 48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8582025"/>
          <a:ext cx="489770" cy="48931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180976</xdr:colOff>
      <xdr:row>102</xdr:row>
      <xdr:rowOff>95249</xdr:rowOff>
    </xdr:from>
    <xdr:to>
      <xdr:col>2</xdr:col>
      <xdr:colOff>484728</xdr:colOff>
      <xdr:row>104</xdr:row>
      <xdr:rowOff>179135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7176" y="2390774"/>
          <a:ext cx="886682" cy="61919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91</xdr:row>
      <xdr:rowOff>76201</xdr:rowOff>
    </xdr:from>
    <xdr:to>
      <xdr:col>2</xdr:col>
      <xdr:colOff>544830</xdr:colOff>
      <xdr:row>94</xdr:row>
      <xdr:rowOff>55709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0" y="21917026"/>
          <a:ext cx="1038225" cy="55481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127</xdr:row>
      <xdr:rowOff>123825</xdr:rowOff>
    </xdr:from>
    <xdr:to>
      <xdr:col>2</xdr:col>
      <xdr:colOff>468630</xdr:colOff>
      <xdr:row>129</xdr:row>
      <xdr:rowOff>131662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725" y="30689550"/>
          <a:ext cx="971550" cy="3926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120</xdr:row>
      <xdr:rowOff>9525</xdr:rowOff>
    </xdr:from>
    <xdr:to>
      <xdr:col>3</xdr:col>
      <xdr:colOff>40487</xdr:colOff>
      <xdr:row>122</xdr:row>
      <xdr:rowOff>173403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2875" y="7372350"/>
          <a:ext cx="1164437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115</xdr:row>
      <xdr:rowOff>47625</xdr:rowOff>
    </xdr:from>
    <xdr:to>
      <xdr:col>3</xdr:col>
      <xdr:colOff>27910</xdr:colOff>
      <xdr:row>115</xdr:row>
      <xdr:rowOff>464094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0" y="27974925"/>
          <a:ext cx="1115665" cy="41456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116</xdr:row>
      <xdr:rowOff>66675</xdr:rowOff>
    </xdr:from>
    <xdr:to>
      <xdr:col>3</xdr:col>
      <xdr:colOff>1624</xdr:colOff>
      <xdr:row>116</xdr:row>
      <xdr:rowOff>522010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5" y="28708350"/>
          <a:ext cx="1152244" cy="45724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109</xdr:row>
      <xdr:rowOff>142875</xdr:rowOff>
    </xdr:from>
    <xdr:to>
      <xdr:col>3</xdr:col>
      <xdr:colOff>34390</xdr:colOff>
      <xdr:row>109</xdr:row>
      <xdr:rowOff>453798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4300" y="26536650"/>
          <a:ext cx="1158340" cy="310923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110</xdr:row>
      <xdr:rowOff>57150</xdr:rowOff>
    </xdr:from>
    <xdr:to>
      <xdr:col>3</xdr:col>
      <xdr:colOff>21055</xdr:colOff>
      <xdr:row>111</xdr:row>
      <xdr:rowOff>184059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4775" y="26841450"/>
          <a:ext cx="1158340" cy="41456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108</xdr:row>
      <xdr:rowOff>47625</xdr:rowOff>
    </xdr:from>
    <xdr:to>
      <xdr:col>3</xdr:col>
      <xdr:colOff>477</xdr:colOff>
      <xdr:row>108</xdr:row>
      <xdr:rowOff>392430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350" y="26012775"/>
          <a:ext cx="1103472" cy="342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133351</xdr:colOff>
      <xdr:row>16</xdr:row>
      <xdr:rowOff>161925</xdr:rowOff>
    </xdr:from>
    <xdr:to>
      <xdr:col>2</xdr:col>
      <xdr:colOff>445771</xdr:colOff>
      <xdr:row>20</xdr:row>
      <xdr:rowOff>167640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551" y="3543300"/>
          <a:ext cx="895350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178015</xdr:colOff>
      <xdr:row>8</xdr:row>
      <xdr:rowOff>95250</xdr:rowOff>
    </xdr:from>
    <xdr:to>
      <xdr:col>2</xdr:col>
      <xdr:colOff>419184</xdr:colOff>
      <xdr:row>13</xdr:row>
      <xdr:rowOff>2370</xdr:rowOff>
    </xdr:to>
    <xdr:pic>
      <xdr:nvPicPr>
        <xdr:cNvPr id="19" name="Picture 46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215" y="1952625"/>
          <a:ext cx="822194" cy="85009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62</xdr:row>
      <xdr:rowOff>38100</xdr:rowOff>
    </xdr:from>
    <xdr:to>
      <xdr:col>2</xdr:col>
      <xdr:colOff>317043</xdr:colOff>
      <xdr:row>66</xdr:row>
      <xdr:rowOff>168482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57200" y="10458450"/>
          <a:ext cx="591363" cy="9266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79</xdr:row>
      <xdr:rowOff>76200</xdr:rowOff>
    </xdr:from>
    <xdr:to>
      <xdr:col>3</xdr:col>
      <xdr:colOff>11909</xdr:colOff>
      <xdr:row>84</xdr:row>
      <xdr:rowOff>96858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2875" y="25555575"/>
          <a:ext cx="1133954" cy="96934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48</xdr:row>
      <xdr:rowOff>119067</xdr:rowOff>
    </xdr:from>
    <xdr:to>
      <xdr:col>2</xdr:col>
      <xdr:colOff>550101</xdr:colOff>
      <xdr:row>53</xdr:row>
      <xdr:rowOff>79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1925" y="10377492"/>
          <a:ext cx="1049211" cy="8239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152400</xdr:rowOff>
    </xdr:from>
    <xdr:to>
      <xdr:col>3</xdr:col>
      <xdr:colOff>34390</xdr:colOff>
      <xdr:row>41</xdr:row>
      <xdr:rowOff>15240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" y="7143750"/>
          <a:ext cx="1158340" cy="10096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26</xdr:row>
      <xdr:rowOff>38100</xdr:rowOff>
    </xdr:from>
    <xdr:to>
      <xdr:col>2</xdr:col>
      <xdr:colOff>511355</xdr:colOff>
      <xdr:row>30</xdr:row>
      <xdr:rowOff>156088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1450" y="5724525"/>
          <a:ext cx="993320" cy="879988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73</xdr:row>
      <xdr:rowOff>133350</xdr:rowOff>
    </xdr:from>
    <xdr:to>
      <xdr:col>3</xdr:col>
      <xdr:colOff>30578</xdr:colOff>
      <xdr:row>78</xdr:row>
      <xdr:rowOff>113619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9075" y="12582525"/>
          <a:ext cx="1127858" cy="93276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105</xdr:row>
      <xdr:rowOff>57150</xdr:rowOff>
    </xdr:from>
    <xdr:to>
      <xdr:col>2</xdr:col>
      <xdr:colOff>468322</xdr:colOff>
      <xdr:row>107</xdr:row>
      <xdr:rowOff>171498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76225" y="33337500"/>
          <a:ext cx="847417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98</xdr:row>
      <xdr:rowOff>47625</xdr:rowOff>
    </xdr:from>
    <xdr:to>
      <xdr:col>3</xdr:col>
      <xdr:colOff>35151</xdr:colOff>
      <xdr:row>101</xdr:row>
      <xdr:rowOff>160841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1925" y="33613725"/>
          <a:ext cx="1140051" cy="68281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56</xdr:row>
      <xdr:rowOff>119066</xdr:rowOff>
    </xdr:from>
    <xdr:to>
      <xdr:col>2</xdr:col>
      <xdr:colOff>548640</xdr:colOff>
      <xdr:row>61</xdr:row>
      <xdr:rowOff>79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1450" y="11901491"/>
          <a:ext cx="1038225" cy="82398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67</xdr:row>
      <xdr:rowOff>76200</xdr:rowOff>
    </xdr:from>
    <xdr:to>
      <xdr:col>2</xdr:col>
      <xdr:colOff>320040</xdr:colOff>
      <xdr:row>70</xdr:row>
      <xdr:rowOff>174189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81000" y="14001750"/>
          <a:ext cx="600075" cy="959049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71</xdr:row>
      <xdr:rowOff>38100</xdr:rowOff>
    </xdr:from>
    <xdr:to>
      <xdr:col>2</xdr:col>
      <xdr:colOff>464134</xdr:colOff>
      <xdr:row>72</xdr:row>
      <xdr:rowOff>533492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7650" y="15106650"/>
          <a:ext cx="871804" cy="1066892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228601</xdr:colOff>
      <xdr:row>85</xdr:row>
      <xdr:rowOff>265751</xdr:rowOff>
    </xdr:from>
    <xdr:to>
      <xdr:col>2</xdr:col>
      <xdr:colOff>369571</xdr:colOff>
      <xdr:row>86</xdr:row>
      <xdr:rowOff>400574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04801" y="18763301"/>
          <a:ext cx="723900" cy="748233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87</xdr:row>
      <xdr:rowOff>38100</xdr:rowOff>
    </xdr:from>
    <xdr:to>
      <xdr:col>2</xdr:col>
      <xdr:colOff>394017</xdr:colOff>
      <xdr:row>88</xdr:row>
      <xdr:rowOff>358966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23850" y="19754850"/>
          <a:ext cx="725487" cy="743776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89</xdr:row>
      <xdr:rowOff>28575</xdr:rowOff>
    </xdr:from>
    <xdr:to>
      <xdr:col>2</xdr:col>
      <xdr:colOff>438982</xdr:colOff>
      <xdr:row>89</xdr:row>
      <xdr:rowOff>628321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95275" y="20583525"/>
          <a:ext cx="804742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90</xdr:row>
      <xdr:rowOff>28575</xdr:rowOff>
    </xdr:from>
    <xdr:to>
      <xdr:col>2</xdr:col>
      <xdr:colOff>476324</xdr:colOff>
      <xdr:row>90</xdr:row>
      <xdr:rowOff>628321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76225" y="21231225"/>
          <a:ext cx="853514" cy="6035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12982</xdr:rowOff>
    </xdr:to>
    <xdr:pic>
      <xdr:nvPicPr>
        <xdr:cNvPr id="33" name="Picture 1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5400000">
          <a:off x="100681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12</xdr:row>
      <xdr:rowOff>19050</xdr:rowOff>
    </xdr:from>
    <xdr:to>
      <xdr:col>2</xdr:col>
      <xdr:colOff>281940</xdr:colOff>
      <xdr:row>16</xdr:row>
      <xdr:rowOff>49530</xdr:rowOff>
    </xdr:to>
    <xdr:pic>
      <xdr:nvPicPr>
        <xdr:cNvPr id="96225" name="Picture 1" descr="18teehxhxh.tif">
          <a:extLst>
            <a:ext uri="{FF2B5EF4-FFF2-40B4-BE49-F238E27FC236}">
              <a16:creationId xmlns:a16="http://schemas.microsoft.com/office/drawing/2014/main" id="{00000000-0008-0000-0E00-0000E1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66900"/>
          <a:ext cx="5715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24</xdr:row>
      <xdr:rowOff>76200</xdr:rowOff>
    </xdr:from>
    <xdr:to>
      <xdr:col>2</xdr:col>
      <xdr:colOff>228600</xdr:colOff>
      <xdr:row>24</xdr:row>
      <xdr:rowOff>511757</xdr:rowOff>
    </xdr:to>
    <xdr:pic>
      <xdr:nvPicPr>
        <xdr:cNvPr id="96227" name="Picture 3" descr="19crosshxhxhxhxh.tif">
          <a:extLst>
            <a:ext uri="{FF2B5EF4-FFF2-40B4-BE49-F238E27FC236}">
              <a16:creationId xmlns:a16="http://schemas.microsoft.com/office/drawing/2014/main" id="{00000000-0008-0000-0E00-0000E3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972050"/>
          <a:ext cx="476250" cy="443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25</xdr:row>
      <xdr:rowOff>123826</xdr:rowOff>
    </xdr:from>
    <xdr:to>
      <xdr:col>2</xdr:col>
      <xdr:colOff>325755</xdr:colOff>
      <xdr:row>29</xdr:row>
      <xdr:rowOff>15241</xdr:rowOff>
    </xdr:to>
    <xdr:pic>
      <xdr:nvPicPr>
        <xdr:cNvPr id="96228" name="Picture 4" descr="36-730A.tif">
          <a:extLst>
            <a:ext uri="{FF2B5EF4-FFF2-40B4-BE49-F238E27FC236}">
              <a16:creationId xmlns:a16="http://schemas.microsoft.com/office/drawing/2014/main" id="{00000000-0008-0000-0E00-0000E4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619751"/>
          <a:ext cx="598170" cy="653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31</xdr:row>
      <xdr:rowOff>84455</xdr:rowOff>
    </xdr:from>
    <xdr:to>
      <xdr:col>2</xdr:col>
      <xdr:colOff>247650</xdr:colOff>
      <xdr:row>31</xdr:row>
      <xdr:rowOff>560070</xdr:rowOff>
    </xdr:to>
    <xdr:pic>
      <xdr:nvPicPr>
        <xdr:cNvPr id="96229" name="Picture 5" descr="36-731B.tif">
          <a:extLst>
            <a:ext uri="{FF2B5EF4-FFF2-40B4-BE49-F238E27FC236}">
              <a16:creationId xmlns:a16="http://schemas.microsoft.com/office/drawing/2014/main" id="{00000000-0008-0000-0E00-0000E5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7104380"/>
          <a:ext cx="419100" cy="47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32</xdr:row>
      <xdr:rowOff>38100</xdr:rowOff>
    </xdr:from>
    <xdr:to>
      <xdr:col>2</xdr:col>
      <xdr:colOff>325755</xdr:colOff>
      <xdr:row>33</xdr:row>
      <xdr:rowOff>285750</xdr:rowOff>
    </xdr:to>
    <xdr:pic>
      <xdr:nvPicPr>
        <xdr:cNvPr id="96230" name="Picture 6" descr="36-736.tif">
          <a:extLst>
            <a:ext uri="{FF2B5EF4-FFF2-40B4-BE49-F238E27FC236}">
              <a16:creationId xmlns:a16="http://schemas.microsoft.com/office/drawing/2014/main" id="{00000000-0008-0000-0E00-0000E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8239125"/>
          <a:ext cx="74104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77</xdr:row>
      <xdr:rowOff>85725</xdr:rowOff>
    </xdr:from>
    <xdr:to>
      <xdr:col>2</xdr:col>
      <xdr:colOff>247650</xdr:colOff>
      <xdr:row>80</xdr:row>
      <xdr:rowOff>59055</xdr:rowOff>
    </xdr:to>
    <xdr:pic>
      <xdr:nvPicPr>
        <xdr:cNvPr id="96232" name="Picture 8" descr="36-677.tif">
          <a:extLst>
            <a:ext uri="{FF2B5EF4-FFF2-40B4-BE49-F238E27FC236}">
              <a16:creationId xmlns:a16="http://schemas.microsoft.com/office/drawing/2014/main" id="{00000000-0008-0000-0E00-0000E8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5869900"/>
          <a:ext cx="5238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285751</xdr:colOff>
      <xdr:row>81</xdr:row>
      <xdr:rowOff>76200</xdr:rowOff>
    </xdr:from>
    <xdr:to>
      <xdr:col>2</xdr:col>
      <xdr:colOff>129541</xdr:colOff>
      <xdr:row>82</xdr:row>
      <xdr:rowOff>191324</xdr:rowOff>
    </xdr:to>
    <xdr:pic>
      <xdr:nvPicPr>
        <xdr:cNvPr id="96233" name="Picture 9" descr="36-680.tif">
          <a:extLst>
            <a:ext uri="{FF2B5EF4-FFF2-40B4-BE49-F238E27FC236}">
              <a16:creationId xmlns:a16="http://schemas.microsoft.com/office/drawing/2014/main" id="{00000000-0008-0000-0E00-0000E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19478625"/>
          <a:ext cx="419100" cy="410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83</xdr:row>
      <xdr:rowOff>66675</xdr:rowOff>
    </xdr:from>
    <xdr:to>
      <xdr:col>2</xdr:col>
      <xdr:colOff>190500</xdr:colOff>
      <xdr:row>85</xdr:row>
      <xdr:rowOff>123825</xdr:rowOff>
    </xdr:to>
    <xdr:pic>
      <xdr:nvPicPr>
        <xdr:cNvPr id="96234" name="Picture 10" descr="36-683.tif">
          <a:extLst>
            <a:ext uri="{FF2B5EF4-FFF2-40B4-BE49-F238E27FC236}">
              <a16:creationId xmlns:a16="http://schemas.microsoft.com/office/drawing/2014/main" id="{00000000-0008-0000-0E00-0000E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802725"/>
          <a:ext cx="4762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86</xdr:row>
      <xdr:rowOff>180975</xdr:rowOff>
    </xdr:from>
    <xdr:to>
      <xdr:col>2</xdr:col>
      <xdr:colOff>169545</xdr:colOff>
      <xdr:row>88</xdr:row>
      <xdr:rowOff>171450</xdr:rowOff>
    </xdr:to>
    <xdr:pic>
      <xdr:nvPicPr>
        <xdr:cNvPr id="96235" name="Picture 11" descr="36-742.tif">
          <a:extLst>
            <a:ext uri="{FF2B5EF4-FFF2-40B4-BE49-F238E27FC236}">
              <a16:creationId xmlns:a16="http://schemas.microsoft.com/office/drawing/2014/main" id="{00000000-0008-0000-0E00-0000E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8060650"/>
          <a:ext cx="4572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66</xdr:row>
      <xdr:rowOff>123825</xdr:rowOff>
    </xdr:from>
    <xdr:to>
      <xdr:col>2</xdr:col>
      <xdr:colOff>209550</xdr:colOff>
      <xdr:row>69</xdr:row>
      <xdr:rowOff>38100</xdr:rowOff>
    </xdr:to>
    <xdr:pic>
      <xdr:nvPicPr>
        <xdr:cNvPr id="96236" name="Picture 12" descr="36-671.tif">
          <a:extLst>
            <a:ext uri="{FF2B5EF4-FFF2-40B4-BE49-F238E27FC236}">
              <a16:creationId xmlns:a16="http://schemas.microsoft.com/office/drawing/2014/main" id="{00000000-0008-0000-0E00-0000E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3088600"/>
          <a:ext cx="447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63</xdr:row>
      <xdr:rowOff>38101</xdr:rowOff>
    </xdr:from>
    <xdr:to>
      <xdr:col>2</xdr:col>
      <xdr:colOff>192224</xdr:colOff>
      <xdr:row>65</xdr:row>
      <xdr:rowOff>114301</xdr:rowOff>
    </xdr:to>
    <xdr:pic>
      <xdr:nvPicPr>
        <xdr:cNvPr id="96237" name="Picture 13" descr="36-674.tif">
          <a:extLst>
            <a:ext uri="{FF2B5EF4-FFF2-40B4-BE49-F238E27FC236}">
              <a16:creationId xmlns:a16="http://schemas.microsoft.com/office/drawing/2014/main" id="{00000000-0008-0000-0E00-0000E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17230726"/>
          <a:ext cx="392248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70</xdr:row>
      <xdr:rowOff>67418</xdr:rowOff>
    </xdr:from>
    <xdr:to>
      <xdr:col>2</xdr:col>
      <xdr:colOff>247650</xdr:colOff>
      <xdr:row>72</xdr:row>
      <xdr:rowOff>165734</xdr:rowOff>
    </xdr:to>
    <xdr:pic>
      <xdr:nvPicPr>
        <xdr:cNvPr id="96238" name="Picture 14" descr="36-668.tif">
          <a:extLst>
            <a:ext uri="{FF2B5EF4-FFF2-40B4-BE49-F238E27FC236}">
              <a16:creationId xmlns:a16="http://schemas.microsoft.com/office/drawing/2014/main" id="{00000000-0008-0000-0E00-0000E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222193"/>
          <a:ext cx="447675" cy="465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73</xdr:row>
      <xdr:rowOff>114300</xdr:rowOff>
    </xdr:from>
    <xdr:to>
      <xdr:col>2</xdr:col>
      <xdr:colOff>209550</xdr:colOff>
      <xdr:row>76</xdr:row>
      <xdr:rowOff>26670</xdr:rowOff>
    </xdr:to>
    <xdr:pic>
      <xdr:nvPicPr>
        <xdr:cNvPr id="96239" name="Picture 15" descr="36-1043.tif">
          <a:extLst>
            <a:ext uri="{FF2B5EF4-FFF2-40B4-BE49-F238E27FC236}">
              <a16:creationId xmlns:a16="http://schemas.microsoft.com/office/drawing/2014/main" id="{00000000-0008-0000-0E00-0000E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840575"/>
          <a:ext cx="409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200026</xdr:colOff>
      <xdr:row>90</xdr:row>
      <xdr:rowOff>47625</xdr:rowOff>
    </xdr:from>
    <xdr:to>
      <xdr:col>2</xdr:col>
      <xdr:colOff>208951</xdr:colOff>
      <xdr:row>92</xdr:row>
      <xdr:rowOff>100965</xdr:rowOff>
    </xdr:to>
    <xdr:pic>
      <xdr:nvPicPr>
        <xdr:cNvPr id="96240" name="Picture 16" descr="01stopcouplinghxh.tif">
          <a:extLst>
            <a:ext uri="{FF2B5EF4-FFF2-40B4-BE49-F238E27FC236}">
              <a16:creationId xmlns:a16="http://schemas.microsoft.com/office/drawing/2014/main" id="{00000000-0008-0000-0E00-0000F0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6" y="21183600"/>
          <a:ext cx="60519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7</xdr:row>
      <xdr:rowOff>161925</xdr:rowOff>
    </xdr:from>
    <xdr:to>
      <xdr:col>2</xdr:col>
      <xdr:colOff>283845</xdr:colOff>
      <xdr:row>10</xdr:row>
      <xdr:rowOff>76200</xdr:rowOff>
    </xdr:to>
    <xdr:pic>
      <xdr:nvPicPr>
        <xdr:cNvPr id="96246" name="Picture 33" descr="09cap.tif">
          <a:extLst>
            <a:ext uri="{FF2B5EF4-FFF2-40B4-BE49-F238E27FC236}">
              <a16:creationId xmlns:a16="http://schemas.microsoft.com/office/drawing/2014/main" id="{00000000-0008-0000-0E00-0000F6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19275"/>
          <a:ext cx="57721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43</xdr:row>
      <xdr:rowOff>123825</xdr:rowOff>
    </xdr:from>
    <xdr:to>
      <xdr:col>2</xdr:col>
      <xdr:colOff>250758</xdr:colOff>
      <xdr:row>45</xdr:row>
      <xdr:rowOff>163830</xdr:rowOff>
    </xdr:to>
    <xdr:pic>
      <xdr:nvPicPr>
        <xdr:cNvPr id="96247" name="Picture 32" descr="05fitcleanspig.tif">
          <a:extLst>
            <a:ext uri="{FF2B5EF4-FFF2-40B4-BE49-F238E27FC236}">
              <a16:creationId xmlns:a16="http://schemas.microsoft.com/office/drawing/2014/main" id="{00000000-0008-0000-0E00-0000F7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1915775"/>
          <a:ext cx="48126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37</xdr:row>
      <xdr:rowOff>76200</xdr:rowOff>
    </xdr:from>
    <xdr:to>
      <xdr:col>2</xdr:col>
      <xdr:colOff>321945</xdr:colOff>
      <xdr:row>38</xdr:row>
      <xdr:rowOff>243840</xdr:rowOff>
    </xdr:to>
    <xdr:pic>
      <xdr:nvPicPr>
        <xdr:cNvPr id="96249" name="Picture 30" descr="06ANEWFemadaptplug.tif">
          <a:extLst>
            <a:ext uri="{FF2B5EF4-FFF2-40B4-BE49-F238E27FC236}">
              <a16:creationId xmlns:a16="http://schemas.microsoft.com/office/drawing/2014/main" id="{00000000-0008-0000-0E00-0000F9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90612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285749</xdr:colOff>
      <xdr:row>49</xdr:row>
      <xdr:rowOff>95250</xdr:rowOff>
    </xdr:from>
    <xdr:to>
      <xdr:col>2</xdr:col>
      <xdr:colOff>228599</xdr:colOff>
      <xdr:row>50</xdr:row>
      <xdr:rowOff>255270</xdr:rowOff>
    </xdr:to>
    <xdr:pic>
      <xdr:nvPicPr>
        <xdr:cNvPr id="96250" name="Picture 29" descr="29maleadapthubxmipt.tif">
          <a:extLst>
            <a:ext uri="{FF2B5EF4-FFF2-40B4-BE49-F238E27FC236}">
              <a16:creationId xmlns:a16="http://schemas.microsoft.com/office/drawing/2014/main" id="{00000000-0008-0000-0E00-0000FA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49" y="17449800"/>
          <a:ext cx="5238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121</xdr:row>
      <xdr:rowOff>95251</xdr:rowOff>
    </xdr:from>
    <xdr:to>
      <xdr:col>2</xdr:col>
      <xdr:colOff>247504</xdr:colOff>
      <xdr:row>122</xdr:row>
      <xdr:rowOff>300991</xdr:rowOff>
    </xdr:to>
    <xdr:pic>
      <xdr:nvPicPr>
        <xdr:cNvPr id="96251" name="Picture 28" descr="07saddlewyewss.tif">
          <a:extLst>
            <a:ext uri="{FF2B5EF4-FFF2-40B4-BE49-F238E27FC236}">
              <a16:creationId xmlns:a16="http://schemas.microsoft.com/office/drawing/2014/main" id="{00000000-0008-0000-0E00-0000FB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7603451"/>
          <a:ext cx="550399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120</xdr:row>
      <xdr:rowOff>57151</xdr:rowOff>
    </xdr:from>
    <xdr:to>
      <xdr:col>2</xdr:col>
      <xdr:colOff>211025</xdr:colOff>
      <xdr:row>120</xdr:row>
      <xdr:rowOff>438151</xdr:rowOff>
    </xdr:to>
    <xdr:pic>
      <xdr:nvPicPr>
        <xdr:cNvPr id="96252" name="Picture 27" descr="08saddleteewss.tif">
          <a:extLst>
            <a:ext uri="{FF2B5EF4-FFF2-40B4-BE49-F238E27FC236}">
              <a16:creationId xmlns:a16="http://schemas.microsoft.com/office/drawing/2014/main" id="{00000000-0008-0000-0E00-0000FC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27089101"/>
          <a:ext cx="409144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93</xdr:row>
      <xdr:rowOff>133350</xdr:rowOff>
    </xdr:from>
    <xdr:to>
      <xdr:col>2</xdr:col>
      <xdr:colOff>360045</xdr:colOff>
      <xdr:row>96</xdr:row>
      <xdr:rowOff>0</xdr:rowOff>
    </xdr:to>
    <xdr:pic>
      <xdr:nvPicPr>
        <xdr:cNvPr id="96253" name="Picture 26" descr="21cleanoutplug.tif">
          <a:extLst>
            <a:ext uri="{FF2B5EF4-FFF2-40B4-BE49-F238E27FC236}">
              <a16:creationId xmlns:a16="http://schemas.microsoft.com/office/drawing/2014/main" id="{00000000-0008-0000-0E00-0000FD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840825"/>
          <a:ext cx="68389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97</xdr:row>
      <xdr:rowOff>76200</xdr:rowOff>
    </xdr:from>
    <xdr:to>
      <xdr:col>2</xdr:col>
      <xdr:colOff>171450</xdr:colOff>
      <xdr:row>98</xdr:row>
      <xdr:rowOff>167640</xdr:rowOff>
    </xdr:to>
    <xdr:pic>
      <xdr:nvPicPr>
        <xdr:cNvPr id="96254" name="Picture 25" descr="22cleanoutthrplug.tif">
          <a:extLst>
            <a:ext uri="{FF2B5EF4-FFF2-40B4-BE49-F238E27FC236}">
              <a16:creationId xmlns:a16="http://schemas.microsoft.com/office/drawing/2014/main" id="{00000000-0008-0000-0E00-0000FE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22545675"/>
          <a:ext cx="447674" cy="379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295276</xdr:colOff>
      <xdr:row>34</xdr:row>
      <xdr:rowOff>152400</xdr:rowOff>
    </xdr:from>
    <xdr:to>
      <xdr:col>2</xdr:col>
      <xdr:colOff>285750</xdr:colOff>
      <xdr:row>35</xdr:row>
      <xdr:rowOff>392430</xdr:rowOff>
    </xdr:to>
    <xdr:pic>
      <xdr:nvPicPr>
        <xdr:cNvPr id="96255" name="Picture 24" descr="25twowayhxhxh.tif">
          <a:extLst>
            <a:ext uri="{FF2B5EF4-FFF2-40B4-BE49-F238E27FC236}">
              <a16:creationId xmlns:a16="http://schemas.microsoft.com/office/drawing/2014/main" id="{00000000-0008-0000-0E00-0000FF77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2325350"/>
          <a:ext cx="57149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58</xdr:row>
      <xdr:rowOff>104775</xdr:rowOff>
    </xdr:from>
    <xdr:to>
      <xdr:col>2</xdr:col>
      <xdr:colOff>323850</xdr:colOff>
      <xdr:row>61</xdr:row>
      <xdr:rowOff>91440</xdr:rowOff>
    </xdr:to>
    <xdr:pic>
      <xdr:nvPicPr>
        <xdr:cNvPr id="98304" name="Picture 23" descr="27adaptdownsewhub.tif">
          <a:extLst>
            <a:ext uri="{FF2B5EF4-FFF2-40B4-BE49-F238E27FC236}">
              <a16:creationId xmlns:a16="http://schemas.microsoft.com/office/drawing/2014/main" id="{00000000-0008-0000-0E00-000000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9783425"/>
          <a:ext cx="704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54</xdr:row>
      <xdr:rowOff>104775</xdr:rowOff>
    </xdr:from>
    <xdr:to>
      <xdr:col>2</xdr:col>
      <xdr:colOff>304800</xdr:colOff>
      <xdr:row>57</xdr:row>
      <xdr:rowOff>76200</xdr:rowOff>
    </xdr:to>
    <xdr:pic>
      <xdr:nvPicPr>
        <xdr:cNvPr id="98305" name="Picture 22" descr="28adaptdownflushhub.tif">
          <a:extLst>
            <a:ext uri="{FF2B5EF4-FFF2-40B4-BE49-F238E27FC236}">
              <a16:creationId xmlns:a16="http://schemas.microsoft.com/office/drawing/2014/main" id="{00000000-0008-0000-0E00-0000018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9021425"/>
          <a:ext cx="6286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CxnSpPr/>
      </xdr:nvCxnSpPr>
      <xdr:spPr>
        <a:xfrm>
          <a:off x="83439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257175</xdr:colOff>
      <xdr:row>18</xdr:row>
      <xdr:rowOff>0</xdr:rowOff>
    </xdr:from>
    <xdr:to>
      <xdr:col>2</xdr:col>
      <xdr:colOff>362442</xdr:colOff>
      <xdr:row>22</xdr:row>
      <xdr:rowOff>93345</xdr:rowOff>
    </xdr:to>
    <xdr:pic>
      <xdr:nvPicPr>
        <xdr:cNvPr id="40" name="Picture 103" descr="30-29santee02.tif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43350"/>
          <a:ext cx="671052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36</xdr:row>
      <xdr:rowOff>47625</xdr:rowOff>
    </xdr:from>
    <xdr:to>
      <xdr:col>2</xdr:col>
      <xdr:colOff>169757</xdr:colOff>
      <xdr:row>37</xdr:row>
      <xdr:rowOff>0</xdr:rowOff>
    </xdr:to>
    <xdr:pic>
      <xdr:nvPicPr>
        <xdr:cNvPr id="45" name="Picture 47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9363075"/>
          <a:ext cx="39073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39</xdr:row>
      <xdr:rowOff>47625</xdr:rowOff>
    </xdr:from>
    <xdr:to>
      <xdr:col>2</xdr:col>
      <xdr:colOff>152400</xdr:colOff>
      <xdr:row>39</xdr:row>
      <xdr:rowOff>479872</xdr:rowOff>
    </xdr:to>
    <xdr:pic>
      <xdr:nvPicPr>
        <xdr:cNvPr id="46" name="Picture 4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4525625"/>
          <a:ext cx="352425" cy="441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40</xdr:row>
      <xdr:rowOff>28576</xdr:rowOff>
    </xdr:from>
    <xdr:to>
      <xdr:col>2</xdr:col>
      <xdr:colOff>230054</xdr:colOff>
      <xdr:row>42</xdr:row>
      <xdr:rowOff>167641</xdr:rowOff>
    </xdr:to>
    <xdr:pic>
      <xdr:nvPicPr>
        <xdr:cNvPr id="47" name="Picture 53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1058526"/>
          <a:ext cx="477704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46</xdr:row>
      <xdr:rowOff>66676</xdr:rowOff>
    </xdr:from>
    <xdr:to>
      <xdr:col>2</xdr:col>
      <xdr:colOff>286776</xdr:colOff>
      <xdr:row>48</xdr:row>
      <xdr:rowOff>91441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2658726"/>
          <a:ext cx="555381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51</xdr:row>
      <xdr:rowOff>47625</xdr:rowOff>
    </xdr:from>
    <xdr:to>
      <xdr:col>2</xdr:col>
      <xdr:colOff>266700</xdr:colOff>
      <xdr:row>53</xdr:row>
      <xdr:rowOff>134216</xdr:rowOff>
    </xdr:to>
    <xdr:pic>
      <xdr:nvPicPr>
        <xdr:cNvPr id="49" name="Picture 5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8392775"/>
          <a:ext cx="600075" cy="46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62</xdr:row>
      <xdr:rowOff>47625</xdr:rowOff>
    </xdr:from>
    <xdr:to>
      <xdr:col>2</xdr:col>
      <xdr:colOff>285750</xdr:colOff>
      <xdr:row>62</xdr:row>
      <xdr:rowOff>553932</xdr:rowOff>
    </xdr:to>
    <xdr:pic>
      <xdr:nvPicPr>
        <xdr:cNvPr id="50" name="Picture 40" descr="01stopcouplinghxh.tif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1440775"/>
          <a:ext cx="609600" cy="4910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99</xdr:row>
      <xdr:rowOff>66675</xdr:rowOff>
    </xdr:from>
    <xdr:to>
      <xdr:col>2</xdr:col>
      <xdr:colOff>320040</xdr:colOff>
      <xdr:row>102</xdr:row>
      <xdr:rowOff>121920</xdr:rowOff>
    </xdr:to>
    <xdr:pic>
      <xdr:nvPicPr>
        <xdr:cNvPr id="51" name="Picture 21" descr="02inccouplinghxh.tif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27603450"/>
          <a:ext cx="66294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103</xdr:row>
      <xdr:rowOff>133350</xdr:rowOff>
    </xdr:from>
    <xdr:to>
      <xdr:col>2</xdr:col>
      <xdr:colOff>281940</xdr:colOff>
      <xdr:row>106</xdr:row>
      <xdr:rowOff>171450</xdr:rowOff>
    </xdr:to>
    <xdr:pic>
      <xdr:nvPicPr>
        <xdr:cNvPr id="52" name="Picture 25" descr="26dwvbushsewspighub.tif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5936575"/>
          <a:ext cx="666750" cy="596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109</xdr:row>
      <xdr:rowOff>85725</xdr:rowOff>
    </xdr:from>
    <xdr:to>
      <xdr:col>2</xdr:col>
      <xdr:colOff>358140</xdr:colOff>
      <xdr:row>112</xdr:row>
      <xdr:rowOff>125730</xdr:rowOff>
    </xdr:to>
    <xdr:pic>
      <xdr:nvPicPr>
        <xdr:cNvPr id="53" name="Picture 81" descr="117-3308.tif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7793950"/>
          <a:ext cx="676275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113</xdr:row>
      <xdr:rowOff>66675</xdr:rowOff>
    </xdr:from>
    <xdr:to>
      <xdr:col>2</xdr:col>
      <xdr:colOff>396240</xdr:colOff>
      <xdr:row>116</xdr:row>
      <xdr:rowOff>95250</xdr:rowOff>
    </xdr:to>
    <xdr:pic>
      <xdr:nvPicPr>
        <xdr:cNvPr id="54" name="Picture 22" descr="03redbushcon.tif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3280350"/>
          <a:ext cx="70104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117</xdr:row>
      <xdr:rowOff>57150</xdr:rowOff>
    </xdr:from>
    <xdr:to>
      <xdr:col>2</xdr:col>
      <xdr:colOff>285750</xdr:colOff>
      <xdr:row>119</xdr:row>
      <xdr:rowOff>151924</xdr:rowOff>
    </xdr:to>
    <xdr:pic>
      <xdr:nvPicPr>
        <xdr:cNvPr id="55" name="Picture 26" descr="04redbusheccsxh.tif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34042350"/>
          <a:ext cx="552450" cy="475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1</xdr:row>
      <xdr:rowOff>19050</xdr:rowOff>
    </xdr:from>
    <xdr:to>
      <xdr:col>13</xdr:col>
      <xdr:colOff>53340</xdr:colOff>
      <xdr:row>5</xdr:row>
      <xdr:rowOff>40959</xdr:rowOff>
    </xdr:to>
    <xdr:pic>
      <xdr:nvPicPr>
        <xdr:cNvPr id="57" name="Picture 42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75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10</xdr:row>
      <xdr:rowOff>161926</xdr:rowOff>
    </xdr:from>
    <xdr:to>
      <xdr:col>2</xdr:col>
      <xdr:colOff>353930</xdr:colOff>
      <xdr:row>14</xdr:row>
      <xdr:rowOff>135255</xdr:rowOff>
    </xdr:to>
    <xdr:pic>
      <xdr:nvPicPr>
        <xdr:cNvPr id="97417" name="Picture 41" descr="01wyegxgxg.tif">
          <a:extLst>
            <a:ext uri="{FF2B5EF4-FFF2-40B4-BE49-F238E27FC236}">
              <a16:creationId xmlns:a16="http://schemas.microsoft.com/office/drawing/2014/main" id="{00000000-0008-0000-0F00-00008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533776"/>
          <a:ext cx="691115" cy="742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22</xdr:row>
      <xdr:rowOff>104775</xdr:rowOff>
    </xdr:from>
    <xdr:to>
      <xdr:col>2</xdr:col>
      <xdr:colOff>312420</xdr:colOff>
      <xdr:row>26</xdr:row>
      <xdr:rowOff>53340</xdr:rowOff>
    </xdr:to>
    <xdr:pic>
      <xdr:nvPicPr>
        <xdr:cNvPr id="97418" name="Picture 42" descr="02NEWwyesxgxg.tif">
          <a:extLst>
            <a:ext uri="{FF2B5EF4-FFF2-40B4-BE49-F238E27FC236}">
              <a16:creationId xmlns:a16="http://schemas.microsoft.com/office/drawing/2014/main" id="{00000000-0008-0000-0F00-00008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53125"/>
          <a:ext cx="600075" cy="702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27</xdr:row>
      <xdr:rowOff>66677</xdr:rowOff>
    </xdr:from>
    <xdr:to>
      <xdr:col>2</xdr:col>
      <xdr:colOff>304800</xdr:colOff>
      <xdr:row>29</xdr:row>
      <xdr:rowOff>156203</xdr:rowOff>
    </xdr:to>
    <xdr:pic>
      <xdr:nvPicPr>
        <xdr:cNvPr id="97419" name="Picture 44" descr="03dblwyegxgxgxg02.tif">
          <a:extLst>
            <a:ext uri="{FF2B5EF4-FFF2-40B4-BE49-F238E27FC236}">
              <a16:creationId xmlns:a16="http://schemas.microsoft.com/office/drawing/2014/main" id="{00000000-0008-0000-0F00-00008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134102"/>
          <a:ext cx="619125" cy="470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31</xdr:row>
      <xdr:rowOff>28576</xdr:rowOff>
    </xdr:from>
    <xdr:to>
      <xdr:col>2</xdr:col>
      <xdr:colOff>355017</xdr:colOff>
      <xdr:row>35</xdr:row>
      <xdr:rowOff>91440</xdr:rowOff>
    </xdr:to>
    <xdr:pic>
      <xdr:nvPicPr>
        <xdr:cNvPr id="97421" name="Picture 45" descr="04teegxgxg.tif">
          <a:extLst>
            <a:ext uri="{FF2B5EF4-FFF2-40B4-BE49-F238E27FC236}">
              <a16:creationId xmlns:a16="http://schemas.microsoft.com/office/drawing/2014/main" id="{00000000-0008-0000-0F00-00008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115426"/>
          <a:ext cx="652197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42</xdr:row>
      <xdr:rowOff>209550</xdr:rowOff>
    </xdr:from>
    <xdr:to>
      <xdr:col>2</xdr:col>
      <xdr:colOff>430530</xdr:colOff>
      <xdr:row>46</xdr:row>
      <xdr:rowOff>0</xdr:rowOff>
    </xdr:to>
    <xdr:pic>
      <xdr:nvPicPr>
        <xdr:cNvPr id="97422" name="Picture 46" descr="05couplingstop.tif">
          <a:extLst>
            <a:ext uri="{FF2B5EF4-FFF2-40B4-BE49-F238E27FC236}">
              <a16:creationId xmlns:a16="http://schemas.microsoft.com/office/drawing/2014/main" id="{00000000-0008-0000-0F00-00008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820775"/>
          <a:ext cx="8286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47</xdr:row>
      <xdr:rowOff>152400</xdr:rowOff>
    </xdr:from>
    <xdr:to>
      <xdr:col>2</xdr:col>
      <xdr:colOff>426720</xdr:colOff>
      <xdr:row>50</xdr:row>
      <xdr:rowOff>163830</xdr:rowOff>
    </xdr:to>
    <xdr:pic>
      <xdr:nvPicPr>
        <xdr:cNvPr id="97423" name="Picture 47" descr="06repaircoupling.tif">
          <a:extLst>
            <a:ext uri="{FF2B5EF4-FFF2-40B4-BE49-F238E27FC236}">
              <a16:creationId xmlns:a16="http://schemas.microsoft.com/office/drawing/2014/main" id="{00000000-0008-0000-0F00-00008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5078075"/>
          <a:ext cx="8001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117</xdr:row>
      <xdr:rowOff>152400</xdr:rowOff>
    </xdr:from>
    <xdr:to>
      <xdr:col>2</xdr:col>
      <xdr:colOff>316230</xdr:colOff>
      <xdr:row>121</xdr:row>
      <xdr:rowOff>0</xdr:rowOff>
    </xdr:to>
    <xdr:pic>
      <xdr:nvPicPr>
        <xdr:cNvPr id="97424" name="Picture 48" descr="07teewyegxgxg.tif">
          <a:extLst>
            <a:ext uri="{FF2B5EF4-FFF2-40B4-BE49-F238E27FC236}">
              <a16:creationId xmlns:a16="http://schemas.microsoft.com/office/drawing/2014/main" id="{00000000-0008-0000-0F00-00009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108525"/>
          <a:ext cx="666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124</xdr:row>
      <xdr:rowOff>95250</xdr:rowOff>
    </xdr:from>
    <xdr:to>
      <xdr:col>2</xdr:col>
      <xdr:colOff>306860</xdr:colOff>
      <xdr:row>125</xdr:row>
      <xdr:rowOff>255270</xdr:rowOff>
    </xdr:to>
    <xdr:pic>
      <xdr:nvPicPr>
        <xdr:cNvPr id="97426" name="Picture 50" descr="09teewyegxsxg.tif">
          <a:extLst>
            <a:ext uri="{FF2B5EF4-FFF2-40B4-BE49-F238E27FC236}">
              <a16:creationId xmlns:a16="http://schemas.microsoft.com/office/drawing/2014/main" id="{00000000-0008-0000-0F00-000092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28251150"/>
          <a:ext cx="50688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135</xdr:row>
      <xdr:rowOff>19051</xdr:rowOff>
    </xdr:from>
    <xdr:to>
      <xdr:col>2</xdr:col>
      <xdr:colOff>440966</xdr:colOff>
      <xdr:row>138</xdr:row>
      <xdr:rowOff>49530</xdr:rowOff>
    </xdr:to>
    <xdr:pic>
      <xdr:nvPicPr>
        <xdr:cNvPr id="97430" name="Picture 54" descr="11saddlewye.tif">
          <a:extLst>
            <a:ext uri="{FF2B5EF4-FFF2-40B4-BE49-F238E27FC236}">
              <a16:creationId xmlns:a16="http://schemas.microsoft.com/office/drawing/2014/main" id="{00000000-0008-0000-0F00-000096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4356676"/>
          <a:ext cx="844826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126</xdr:row>
      <xdr:rowOff>161925</xdr:rowOff>
    </xdr:from>
    <xdr:to>
      <xdr:col>2</xdr:col>
      <xdr:colOff>427913</xdr:colOff>
      <xdr:row>130</xdr:row>
      <xdr:rowOff>26669</xdr:rowOff>
    </xdr:to>
    <xdr:pic>
      <xdr:nvPicPr>
        <xdr:cNvPr id="97431" name="Picture 55" descr="12saddletee.tif">
          <a:extLst>
            <a:ext uri="{FF2B5EF4-FFF2-40B4-BE49-F238E27FC236}">
              <a16:creationId xmlns:a16="http://schemas.microsoft.com/office/drawing/2014/main" id="{00000000-0008-0000-0F00-000097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2213550"/>
          <a:ext cx="873683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52</xdr:row>
      <xdr:rowOff>47625</xdr:rowOff>
    </xdr:from>
    <xdr:to>
      <xdr:col>2</xdr:col>
      <xdr:colOff>277586</xdr:colOff>
      <xdr:row>54</xdr:row>
      <xdr:rowOff>152400</xdr:rowOff>
    </xdr:to>
    <xdr:pic>
      <xdr:nvPicPr>
        <xdr:cNvPr id="97433" name="Picture 57" descr="14-14bendlongggxg.tif">
          <a:extLst>
            <a:ext uri="{FF2B5EF4-FFF2-40B4-BE49-F238E27FC236}">
              <a16:creationId xmlns:a16="http://schemas.microsoft.com/office/drawing/2014/main" id="{00000000-0008-0000-0F00-000099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5039975"/>
          <a:ext cx="601436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57</xdr:row>
      <xdr:rowOff>180975</xdr:rowOff>
    </xdr:from>
    <xdr:to>
      <xdr:col>2</xdr:col>
      <xdr:colOff>321080</xdr:colOff>
      <xdr:row>61</xdr:row>
      <xdr:rowOff>38100</xdr:rowOff>
    </xdr:to>
    <xdr:pic>
      <xdr:nvPicPr>
        <xdr:cNvPr id="97434" name="Picture 59" descr="16elbow90gxg.tif">
          <a:extLst>
            <a:ext uri="{FF2B5EF4-FFF2-40B4-BE49-F238E27FC236}">
              <a16:creationId xmlns:a16="http://schemas.microsoft.com/office/drawing/2014/main" id="{00000000-0008-0000-0F00-00009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8030825"/>
          <a:ext cx="67541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62</xdr:row>
      <xdr:rowOff>57151</xdr:rowOff>
    </xdr:from>
    <xdr:to>
      <xdr:col>2</xdr:col>
      <xdr:colOff>189254</xdr:colOff>
      <xdr:row>64</xdr:row>
      <xdr:rowOff>129541</xdr:rowOff>
    </xdr:to>
    <xdr:pic>
      <xdr:nvPicPr>
        <xdr:cNvPr id="97435" name="Picture 60" descr="17elbow90gxs.tif">
          <a:extLst>
            <a:ext uri="{FF2B5EF4-FFF2-40B4-BE49-F238E27FC236}">
              <a16:creationId xmlns:a16="http://schemas.microsoft.com/office/drawing/2014/main" id="{00000000-0008-0000-0F00-00009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325976"/>
          <a:ext cx="522629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65</xdr:row>
      <xdr:rowOff>190499</xdr:rowOff>
    </xdr:from>
    <xdr:to>
      <xdr:col>2</xdr:col>
      <xdr:colOff>314325</xdr:colOff>
      <xdr:row>69</xdr:row>
      <xdr:rowOff>152400</xdr:rowOff>
    </xdr:to>
    <xdr:pic>
      <xdr:nvPicPr>
        <xdr:cNvPr id="97436" name="Picture 61" descr="18elbow45gxg.tif">
          <a:extLst>
            <a:ext uri="{FF2B5EF4-FFF2-40B4-BE49-F238E27FC236}">
              <a16:creationId xmlns:a16="http://schemas.microsoft.com/office/drawing/2014/main" id="{00000000-0008-0000-0F00-00009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0516849"/>
          <a:ext cx="666750" cy="723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71</xdr:row>
      <xdr:rowOff>161925</xdr:rowOff>
    </xdr:from>
    <xdr:to>
      <xdr:col>2</xdr:col>
      <xdr:colOff>314325</xdr:colOff>
      <xdr:row>75</xdr:row>
      <xdr:rowOff>53340</xdr:rowOff>
    </xdr:to>
    <xdr:pic>
      <xdr:nvPicPr>
        <xdr:cNvPr id="97437" name="Picture 62" descr="19elbow45gxs.tif">
          <a:extLst>
            <a:ext uri="{FF2B5EF4-FFF2-40B4-BE49-F238E27FC236}">
              <a16:creationId xmlns:a16="http://schemas.microsoft.com/office/drawing/2014/main" id="{00000000-0008-0000-0F00-00009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8217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77</xdr:row>
      <xdr:rowOff>38100</xdr:rowOff>
    </xdr:from>
    <xdr:to>
      <xdr:col>2</xdr:col>
      <xdr:colOff>293370</xdr:colOff>
      <xdr:row>80</xdr:row>
      <xdr:rowOff>95250</xdr:rowOff>
    </xdr:to>
    <xdr:pic>
      <xdr:nvPicPr>
        <xdr:cNvPr id="97438" name="Picture 63" descr="20elbow225gxg.tif">
          <a:extLst>
            <a:ext uri="{FF2B5EF4-FFF2-40B4-BE49-F238E27FC236}">
              <a16:creationId xmlns:a16="http://schemas.microsoft.com/office/drawing/2014/main" id="{00000000-0008-0000-0F00-00009E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3221950"/>
          <a:ext cx="609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349249</xdr:colOff>
      <xdr:row>81</xdr:row>
      <xdr:rowOff>174626</xdr:rowOff>
    </xdr:from>
    <xdr:to>
      <xdr:col>2</xdr:col>
      <xdr:colOff>248285</xdr:colOff>
      <xdr:row>84</xdr:row>
      <xdr:rowOff>140253</xdr:rowOff>
    </xdr:to>
    <xdr:pic>
      <xdr:nvPicPr>
        <xdr:cNvPr id="97439" name="Picture 64" descr="21elbow225gxs.tif">
          <a:extLst>
            <a:ext uri="{FF2B5EF4-FFF2-40B4-BE49-F238E27FC236}">
              <a16:creationId xmlns:a16="http://schemas.microsoft.com/office/drawing/2014/main" id="{00000000-0008-0000-0F00-00009F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49" y="15757526"/>
          <a:ext cx="492126" cy="500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89</xdr:row>
      <xdr:rowOff>57151</xdr:rowOff>
    </xdr:from>
    <xdr:to>
      <xdr:col>2</xdr:col>
      <xdr:colOff>125730</xdr:colOff>
      <xdr:row>89</xdr:row>
      <xdr:rowOff>397589</xdr:rowOff>
    </xdr:to>
    <xdr:pic>
      <xdr:nvPicPr>
        <xdr:cNvPr id="97441" name="Picture 66" descr="23tempplug.tif">
          <a:extLst>
            <a:ext uri="{FF2B5EF4-FFF2-40B4-BE49-F238E27FC236}">
              <a16:creationId xmlns:a16="http://schemas.microsoft.com/office/drawing/2014/main" id="{00000000-0008-0000-0F00-0000A1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18468976"/>
          <a:ext cx="295275" cy="34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111</xdr:row>
      <xdr:rowOff>57150</xdr:rowOff>
    </xdr:from>
    <xdr:to>
      <xdr:col>2</xdr:col>
      <xdr:colOff>238125</xdr:colOff>
      <xdr:row>112</xdr:row>
      <xdr:rowOff>243840</xdr:rowOff>
    </xdr:to>
    <xdr:pic>
      <xdr:nvPicPr>
        <xdr:cNvPr id="97450" name="Picture 75" descr="32twowayclouttee.tif">
          <a:extLst>
            <a:ext uri="{FF2B5EF4-FFF2-40B4-BE49-F238E27FC236}">
              <a16:creationId xmlns:a16="http://schemas.microsoft.com/office/drawing/2014/main" id="{00000000-0008-0000-0F00-0000AA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404300"/>
          <a:ext cx="495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113</xdr:row>
      <xdr:rowOff>47625</xdr:rowOff>
    </xdr:from>
    <xdr:to>
      <xdr:col>2</xdr:col>
      <xdr:colOff>198120</xdr:colOff>
      <xdr:row>113</xdr:row>
      <xdr:rowOff>472440</xdr:rowOff>
    </xdr:to>
    <xdr:pic>
      <xdr:nvPicPr>
        <xdr:cNvPr id="97451" name="Picture 76" descr="32twowayclouttee.tif">
          <a:extLst>
            <a:ext uri="{FF2B5EF4-FFF2-40B4-BE49-F238E27FC236}">
              <a16:creationId xmlns:a16="http://schemas.microsoft.com/office/drawing/2014/main" id="{00000000-0008-0000-0F00-0000AB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5042475"/>
          <a:ext cx="4191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91</xdr:row>
      <xdr:rowOff>95250</xdr:rowOff>
    </xdr:from>
    <xdr:to>
      <xdr:col>2</xdr:col>
      <xdr:colOff>293371</xdr:colOff>
      <xdr:row>94</xdr:row>
      <xdr:rowOff>59056</xdr:rowOff>
    </xdr:to>
    <xdr:pic>
      <xdr:nvPicPr>
        <xdr:cNvPr id="97452" name="Picture 77" descr="34permplug.tif">
          <a:extLst>
            <a:ext uri="{FF2B5EF4-FFF2-40B4-BE49-F238E27FC236}">
              <a16:creationId xmlns:a16="http://schemas.microsoft.com/office/drawing/2014/main" id="{00000000-0008-0000-0F00-0000AC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6" y="28927425"/>
          <a:ext cx="533400" cy="542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95</xdr:row>
      <xdr:rowOff>161925</xdr:rowOff>
    </xdr:from>
    <xdr:to>
      <xdr:col>2</xdr:col>
      <xdr:colOff>318134</xdr:colOff>
      <xdr:row>99</xdr:row>
      <xdr:rowOff>97155</xdr:rowOff>
    </xdr:to>
    <xdr:pic>
      <xdr:nvPicPr>
        <xdr:cNvPr id="97453" name="Picture 78" descr="35capgasket.tif">
          <a:extLst>
            <a:ext uri="{FF2B5EF4-FFF2-40B4-BE49-F238E27FC236}">
              <a16:creationId xmlns:a16="http://schemas.microsoft.com/office/drawing/2014/main" id="{00000000-0008-0000-0F00-0000AD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29632275"/>
          <a:ext cx="57721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293444</xdr:colOff>
      <xdr:row>55</xdr:row>
      <xdr:rowOff>66675</xdr:rowOff>
    </xdr:from>
    <xdr:to>
      <xdr:col>2</xdr:col>
      <xdr:colOff>205740</xdr:colOff>
      <xdr:row>56</xdr:row>
      <xdr:rowOff>240029</xdr:rowOff>
    </xdr:to>
    <xdr:pic>
      <xdr:nvPicPr>
        <xdr:cNvPr id="97456" name="Picture 58" descr="15-14bendlonggxs.tif">
          <a:extLst>
            <a:ext uri="{FF2B5EF4-FFF2-40B4-BE49-F238E27FC236}">
              <a16:creationId xmlns:a16="http://schemas.microsoft.com/office/drawing/2014/main" id="{00000000-0008-0000-0F00-0000B07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94" y="11658600"/>
          <a:ext cx="497131" cy="438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647313</xdr:colOff>
      <xdr:row>0</xdr:row>
      <xdr:rowOff>200025</xdr:rowOff>
    </xdr:from>
    <xdr:to>
      <xdr:col>12</xdr:col>
      <xdr:colOff>637788</xdr:colOff>
      <xdr:row>4</xdr:row>
      <xdr:rowOff>170499</xdr:rowOff>
    </xdr:to>
    <xdr:pic>
      <xdr:nvPicPr>
        <xdr:cNvPr id="97458" name="Picture 42">
          <a:extLst>
            <a:ext uri="{FF2B5EF4-FFF2-40B4-BE49-F238E27FC236}">
              <a16:creationId xmlns:a16="http://schemas.microsoft.com/office/drawing/2014/main" id="{00000000-0008-0000-0F00-0000B27C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10363" y="20002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44" name="Straight Arrow Connector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CxnSpPr/>
      </xdr:nvCxnSpPr>
      <xdr:spPr>
        <a:xfrm>
          <a:off x="82296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285750</xdr:colOff>
      <xdr:row>7</xdr:row>
      <xdr:rowOff>95250</xdr:rowOff>
    </xdr:from>
    <xdr:to>
      <xdr:col>2</xdr:col>
      <xdr:colOff>281940</xdr:colOff>
      <xdr:row>7</xdr:row>
      <xdr:rowOff>574826</xdr:rowOff>
    </xdr:to>
    <xdr:pic>
      <xdr:nvPicPr>
        <xdr:cNvPr id="47" name="Picture 40" descr="30adaptsewspigxdwv.tif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752600"/>
          <a:ext cx="581025" cy="479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</xdr:row>
      <xdr:rowOff>66675</xdr:rowOff>
    </xdr:from>
    <xdr:to>
      <xdr:col>2</xdr:col>
      <xdr:colOff>262890</xdr:colOff>
      <xdr:row>9</xdr:row>
      <xdr:rowOff>245745</xdr:rowOff>
    </xdr:to>
    <xdr:pic>
      <xdr:nvPicPr>
        <xdr:cNvPr id="48" name="Picture 44" descr="27adaptsewhubxdwv.tif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343150"/>
          <a:ext cx="586740" cy="459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85</xdr:row>
      <xdr:rowOff>85725</xdr:rowOff>
    </xdr:from>
    <xdr:to>
      <xdr:col>2</xdr:col>
      <xdr:colOff>314325</xdr:colOff>
      <xdr:row>88</xdr:row>
      <xdr:rowOff>91440</xdr:rowOff>
    </xdr:to>
    <xdr:pic>
      <xdr:nvPicPr>
        <xdr:cNvPr id="50" name="Picture 41" descr="22manholeslv.tif">
          <a:extLst>
            <a:ext uri="{FF2B5EF4-FFF2-40B4-BE49-F238E27FC236}">
              <a16:creationId xmlns:a16="http://schemas.microsoft.com/office/drawing/2014/main" id="{00000000-0008-0000-0F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735550"/>
          <a:ext cx="64579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108</xdr:row>
      <xdr:rowOff>95250</xdr:rowOff>
    </xdr:from>
    <xdr:to>
      <xdr:col>2</xdr:col>
      <xdr:colOff>228600</xdr:colOff>
      <xdr:row>110</xdr:row>
      <xdr:rowOff>135762</xdr:rowOff>
    </xdr:to>
    <xdr:pic>
      <xdr:nvPicPr>
        <xdr:cNvPr id="51" name="Picture 32" descr="Increaser Coupling Concentric.TIF">
          <a:extLst>
            <a:ext uri="{FF2B5EF4-FFF2-40B4-BE49-F238E27FC236}">
              <a16:creationId xmlns:a16="http://schemas.microsoft.com/office/drawing/2014/main" id="{00000000-0008-0000-0F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30241875"/>
          <a:ext cx="390525" cy="41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101</xdr:row>
      <xdr:rowOff>66675</xdr:rowOff>
    </xdr:from>
    <xdr:to>
      <xdr:col>2</xdr:col>
      <xdr:colOff>320040</xdr:colOff>
      <xdr:row>103</xdr:row>
      <xdr:rowOff>121855</xdr:rowOff>
    </xdr:to>
    <xdr:pic>
      <xdr:nvPicPr>
        <xdr:cNvPr id="52" name="Picture 28" descr="24rdcbuecsxg.tif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8498800"/>
          <a:ext cx="571500" cy="43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104</xdr:row>
      <xdr:rowOff>133350</xdr:rowOff>
    </xdr:from>
    <xdr:to>
      <xdr:col>2</xdr:col>
      <xdr:colOff>350520</xdr:colOff>
      <xdr:row>107</xdr:row>
      <xdr:rowOff>133350</xdr:rowOff>
    </xdr:to>
    <xdr:pic>
      <xdr:nvPicPr>
        <xdr:cNvPr id="53" name="Picture 33" descr="25reducbushing.tif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2270700"/>
          <a:ext cx="6572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100</xdr:row>
      <xdr:rowOff>104776</xdr:rowOff>
    </xdr:from>
    <xdr:to>
      <xdr:col>2</xdr:col>
      <xdr:colOff>171186</xdr:colOff>
      <xdr:row>100</xdr:row>
      <xdr:rowOff>483871</xdr:rowOff>
    </xdr:to>
    <xdr:pic>
      <xdr:nvPicPr>
        <xdr:cNvPr id="54" name="Picture 27" descr="26inccoupgxg.tif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7851101"/>
          <a:ext cx="384546" cy="390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323851</xdr:colOff>
      <xdr:row>114</xdr:row>
      <xdr:rowOff>38100</xdr:rowOff>
    </xdr:from>
    <xdr:to>
      <xdr:col>2</xdr:col>
      <xdr:colOff>163831</xdr:colOff>
      <xdr:row>114</xdr:row>
      <xdr:rowOff>374136</xdr:rowOff>
    </xdr:to>
    <xdr:pic>
      <xdr:nvPicPr>
        <xdr:cNvPr id="56" name="Picture 34" descr="27adaptsewhubxdwv.tif">
          <a:extLst>
            <a:ext uri="{FF2B5EF4-FFF2-40B4-BE49-F238E27FC236}">
              <a16:creationId xmlns:a16="http://schemas.microsoft.com/office/drawing/2014/main" id="{00000000-0008-0000-0F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24488775"/>
          <a:ext cx="419100" cy="337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115</xdr:row>
      <xdr:rowOff>95250</xdr:rowOff>
    </xdr:from>
    <xdr:to>
      <xdr:col>2</xdr:col>
      <xdr:colOff>129540</xdr:colOff>
      <xdr:row>115</xdr:row>
      <xdr:rowOff>399020</xdr:rowOff>
    </xdr:to>
    <xdr:pic>
      <xdr:nvPicPr>
        <xdr:cNvPr id="59" name="Picture 40" descr="30adaptsewspigxdwv.tif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945975"/>
          <a:ext cx="352425" cy="299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37" name="Picture 1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38</xdr:row>
      <xdr:rowOff>163606</xdr:rowOff>
    </xdr:from>
    <xdr:to>
      <xdr:col>2</xdr:col>
      <xdr:colOff>434340</xdr:colOff>
      <xdr:row>42</xdr:row>
      <xdr:rowOff>11430</xdr:rowOff>
    </xdr:to>
    <xdr:pic>
      <xdr:nvPicPr>
        <xdr:cNvPr id="93701" name="Picture 21" descr="03teegxgxg.tif">
          <a:extLst>
            <a:ext uri="{FF2B5EF4-FFF2-40B4-BE49-F238E27FC236}">
              <a16:creationId xmlns:a16="http://schemas.microsoft.com/office/drawing/2014/main" id="{00000000-0008-0000-1000-000005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9126631"/>
          <a:ext cx="725805" cy="60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45</xdr:row>
      <xdr:rowOff>171450</xdr:rowOff>
    </xdr:from>
    <xdr:to>
      <xdr:col>2</xdr:col>
      <xdr:colOff>388620</xdr:colOff>
      <xdr:row>48</xdr:row>
      <xdr:rowOff>152400</xdr:rowOff>
    </xdr:to>
    <xdr:pic>
      <xdr:nvPicPr>
        <xdr:cNvPr id="93702" name="Picture 22" descr="06teewyegxgxg.tif">
          <a:extLst>
            <a:ext uri="{FF2B5EF4-FFF2-40B4-BE49-F238E27FC236}">
              <a16:creationId xmlns:a16="http://schemas.microsoft.com/office/drawing/2014/main" id="{00000000-0008-0000-1000-000006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791825"/>
          <a:ext cx="72961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51</xdr:row>
      <xdr:rowOff>0</xdr:rowOff>
    </xdr:from>
    <xdr:to>
      <xdr:col>2</xdr:col>
      <xdr:colOff>430530</xdr:colOff>
      <xdr:row>53</xdr:row>
      <xdr:rowOff>125730</xdr:rowOff>
    </xdr:to>
    <xdr:pic>
      <xdr:nvPicPr>
        <xdr:cNvPr id="93704" name="Picture 24" descr="01wyegxgxg.tif">
          <a:extLst>
            <a:ext uri="{FF2B5EF4-FFF2-40B4-BE49-F238E27FC236}">
              <a16:creationId xmlns:a16="http://schemas.microsoft.com/office/drawing/2014/main" id="{00000000-0008-0000-1000-000008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763375"/>
          <a:ext cx="7334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266742</xdr:colOff>
      <xdr:row>25</xdr:row>
      <xdr:rowOff>74519</xdr:rowOff>
    </xdr:from>
    <xdr:to>
      <xdr:col>2</xdr:col>
      <xdr:colOff>247536</xdr:colOff>
      <xdr:row>26</xdr:row>
      <xdr:rowOff>181073</xdr:rowOff>
    </xdr:to>
    <xdr:pic>
      <xdr:nvPicPr>
        <xdr:cNvPr id="93706" name="Picture 28" descr="08elbow90gxg.tif">
          <a:extLst>
            <a:ext uri="{FF2B5EF4-FFF2-40B4-BE49-F238E27FC236}">
              <a16:creationId xmlns:a16="http://schemas.microsoft.com/office/drawing/2014/main" id="{00000000-0008-0000-1000-00000A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42" y="5637119"/>
          <a:ext cx="558009" cy="308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220756</xdr:colOff>
      <xdr:row>30</xdr:row>
      <xdr:rowOff>56031</xdr:rowOff>
    </xdr:from>
    <xdr:to>
      <xdr:col>2</xdr:col>
      <xdr:colOff>215705</xdr:colOff>
      <xdr:row>32</xdr:row>
      <xdr:rowOff>49578</xdr:rowOff>
    </xdr:to>
    <xdr:pic>
      <xdr:nvPicPr>
        <xdr:cNvPr id="93707" name="Picture 29" descr="09elbow90gxs.tif">
          <a:extLst>
            <a:ext uri="{FF2B5EF4-FFF2-40B4-BE49-F238E27FC236}">
              <a16:creationId xmlns:a16="http://schemas.microsoft.com/office/drawing/2014/main" id="{00000000-0008-0000-1000-00000B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156" y="6618756"/>
          <a:ext cx="577879" cy="391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335057</xdr:colOff>
      <xdr:row>19</xdr:row>
      <xdr:rowOff>66676</xdr:rowOff>
    </xdr:from>
    <xdr:to>
      <xdr:col>2</xdr:col>
      <xdr:colOff>354891</xdr:colOff>
      <xdr:row>21</xdr:row>
      <xdr:rowOff>60624</xdr:rowOff>
    </xdr:to>
    <xdr:pic>
      <xdr:nvPicPr>
        <xdr:cNvPr id="93708" name="Picture 30" descr="10elbow45gxg.tif">
          <a:extLst>
            <a:ext uri="{FF2B5EF4-FFF2-40B4-BE49-F238E27FC236}">
              <a16:creationId xmlns:a16="http://schemas.microsoft.com/office/drawing/2014/main" id="{00000000-0008-0000-1000-00000C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57" y="4429126"/>
          <a:ext cx="598954" cy="397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22</xdr:row>
      <xdr:rowOff>180974</xdr:rowOff>
    </xdr:from>
    <xdr:to>
      <xdr:col>2</xdr:col>
      <xdr:colOff>321945</xdr:colOff>
      <xdr:row>24</xdr:row>
      <xdr:rowOff>99059</xdr:rowOff>
    </xdr:to>
    <xdr:pic>
      <xdr:nvPicPr>
        <xdr:cNvPr id="93709" name="Picture 31" descr="11elbow45gxs.tif">
          <a:extLst>
            <a:ext uri="{FF2B5EF4-FFF2-40B4-BE49-F238E27FC236}">
              <a16:creationId xmlns:a16="http://schemas.microsoft.com/office/drawing/2014/main" id="{00000000-0008-0000-1000-00000D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143499"/>
          <a:ext cx="64960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336176</xdr:colOff>
      <xdr:row>13</xdr:row>
      <xdr:rowOff>63134</xdr:rowOff>
    </xdr:from>
    <xdr:to>
      <xdr:col>2</xdr:col>
      <xdr:colOff>326651</xdr:colOff>
      <xdr:row>15</xdr:row>
      <xdr:rowOff>74633</xdr:rowOff>
    </xdr:to>
    <xdr:pic>
      <xdr:nvPicPr>
        <xdr:cNvPr id="93710" name="Picture 32" descr="12elbow225gxg.tif">
          <a:extLst>
            <a:ext uri="{FF2B5EF4-FFF2-40B4-BE49-F238E27FC236}">
              <a16:creationId xmlns:a16="http://schemas.microsoft.com/office/drawing/2014/main" id="{00000000-0008-0000-1000-00000E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76" y="3225434"/>
          <a:ext cx="567690" cy="411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293593</xdr:colOff>
      <xdr:row>16</xdr:row>
      <xdr:rowOff>50890</xdr:rowOff>
    </xdr:from>
    <xdr:to>
      <xdr:col>2</xdr:col>
      <xdr:colOff>310738</xdr:colOff>
      <xdr:row>18</xdr:row>
      <xdr:rowOff>46840</xdr:rowOff>
    </xdr:to>
    <xdr:pic>
      <xdr:nvPicPr>
        <xdr:cNvPr id="93711" name="Picture 33" descr="13elbow225gxs.tif">
          <a:extLst>
            <a:ext uri="{FF2B5EF4-FFF2-40B4-BE49-F238E27FC236}">
              <a16:creationId xmlns:a16="http://schemas.microsoft.com/office/drawing/2014/main" id="{00000000-0008-0000-1000-00000F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93" y="3813265"/>
          <a:ext cx="596265" cy="394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212351</xdr:colOff>
      <xdr:row>11</xdr:row>
      <xdr:rowOff>28014</xdr:rowOff>
    </xdr:from>
    <xdr:to>
      <xdr:col>2</xdr:col>
      <xdr:colOff>359036</xdr:colOff>
      <xdr:row>12</xdr:row>
      <xdr:rowOff>163830</xdr:rowOff>
    </xdr:to>
    <xdr:pic>
      <xdr:nvPicPr>
        <xdr:cNvPr id="93712" name="Picture 34" descr="04couplingstop.tif">
          <a:extLst>
            <a:ext uri="{FF2B5EF4-FFF2-40B4-BE49-F238E27FC236}">
              <a16:creationId xmlns:a16="http://schemas.microsoft.com/office/drawing/2014/main" id="{00000000-0008-0000-1000-000010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751" y="2790264"/>
          <a:ext cx="723900" cy="3339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218854</xdr:colOff>
      <xdr:row>8</xdr:row>
      <xdr:rowOff>78441</xdr:rowOff>
    </xdr:from>
    <xdr:to>
      <xdr:col>2</xdr:col>
      <xdr:colOff>335952</xdr:colOff>
      <xdr:row>10</xdr:row>
      <xdr:rowOff>53340</xdr:rowOff>
    </xdr:to>
    <xdr:pic>
      <xdr:nvPicPr>
        <xdr:cNvPr id="93713" name="Picture 35" descr="05repaircoupling.tif">
          <a:extLst>
            <a:ext uri="{FF2B5EF4-FFF2-40B4-BE49-F238E27FC236}">
              <a16:creationId xmlns:a16="http://schemas.microsoft.com/office/drawing/2014/main" id="{00000000-0008-0000-1000-000011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254" y="2240616"/>
          <a:ext cx="700028" cy="378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330575</xdr:colOff>
      <xdr:row>7</xdr:row>
      <xdr:rowOff>59713</xdr:rowOff>
    </xdr:from>
    <xdr:to>
      <xdr:col>2</xdr:col>
      <xdr:colOff>160037</xdr:colOff>
      <xdr:row>7</xdr:row>
      <xdr:rowOff>434341</xdr:rowOff>
    </xdr:to>
    <xdr:pic>
      <xdr:nvPicPr>
        <xdr:cNvPr id="93715" name="Picture 37" descr="16capgasket.tif">
          <a:extLst>
            <a:ext uri="{FF2B5EF4-FFF2-40B4-BE49-F238E27FC236}">
              <a16:creationId xmlns:a16="http://schemas.microsoft.com/office/drawing/2014/main" id="{00000000-0008-0000-1000-0000136E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75" y="1717063"/>
          <a:ext cx="408582" cy="378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323850</xdr:colOff>
      <xdr:row>2</xdr:row>
      <xdr:rowOff>123825</xdr:rowOff>
    </xdr:from>
    <xdr:to>
      <xdr:col>11</xdr:col>
      <xdr:colOff>323850</xdr:colOff>
      <xdr:row>5</xdr:row>
      <xdr:rowOff>142875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CxnSpPr/>
      </xdr:nvCxnSpPr>
      <xdr:spPr>
        <a:xfrm>
          <a:off x="84963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263898</xdr:colOff>
      <xdr:row>28</xdr:row>
      <xdr:rowOff>53684</xdr:rowOff>
    </xdr:from>
    <xdr:to>
      <xdr:col>2</xdr:col>
      <xdr:colOff>231961</xdr:colOff>
      <xdr:row>29</xdr:row>
      <xdr:rowOff>170417</xdr:rowOff>
    </xdr:to>
    <xdr:pic>
      <xdr:nvPicPr>
        <xdr:cNvPr id="23" name="Picture 19" descr="14-14bendlongggxg.tif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298" y="6216359"/>
          <a:ext cx="549088" cy="312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33</xdr:row>
      <xdr:rowOff>66674</xdr:rowOff>
    </xdr:from>
    <xdr:to>
      <xdr:col>2</xdr:col>
      <xdr:colOff>312420</xdr:colOff>
      <xdr:row>33</xdr:row>
      <xdr:rowOff>454086</xdr:rowOff>
    </xdr:to>
    <xdr:pic>
      <xdr:nvPicPr>
        <xdr:cNvPr id="24" name="Picture 20" descr="15-14bendlonggxs.tif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229474"/>
          <a:ext cx="586740" cy="387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343146</xdr:colOff>
      <xdr:row>34</xdr:row>
      <xdr:rowOff>59952</xdr:rowOff>
    </xdr:from>
    <xdr:to>
      <xdr:col>2</xdr:col>
      <xdr:colOff>232036</xdr:colOff>
      <xdr:row>36</xdr:row>
      <xdr:rowOff>53340</xdr:rowOff>
    </xdr:to>
    <xdr:pic>
      <xdr:nvPicPr>
        <xdr:cNvPr id="25" name="Picture 32" descr="Increaser Coupling Concentric.TIF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546" y="7537077"/>
          <a:ext cx="469915" cy="39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390526</xdr:colOff>
      <xdr:row>37</xdr:row>
      <xdr:rowOff>66676</xdr:rowOff>
    </xdr:from>
    <xdr:to>
      <xdr:col>2</xdr:col>
      <xdr:colOff>205741</xdr:colOff>
      <xdr:row>37</xdr:row>
      <xdr:rowOff>516163</xdr:rowOff>
    </xdr:to>
    <xdr:pic>
      <xdr:nvPicPr>
        <xdr:cNvPr id="27" name="Picture 28" descr="24rdcbuecsxg.tif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6" y="8382001"/>
          <a:ext cx="400050" cy="453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43</xdr:row>
      <xdr:rowOff>76201</xdr:rowOff>
    </xdr:from>
    <xdr:to>
      <xdr:col>2</xdr:col>
      <xdr:colOff>278130</xdr:colOff>
      <xdr:row>44</xdr:row>
      <xdr:rowOff>287191</xdr:rowOff>
    </xdr:to>
    <xdr:pic>
      <xdr:nvPicPr>
        <xdr:cNvPr id="30" name="Picture 4" descr="33twowayclouttee02.tif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991726"/>
          <a:ext cx="495300" cy="5596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222437</xdr:colOff>
      <xdr:row>58</xdr:row>
      <xdr:rowOff>72838</xdr:rowOff>
    </xdr:from>
    <xdr:to>
      <xdr:col>2</xdr:col>
      <xdr:colOff>336737</xdr:colOff>
      <xdr:row>59</xdr:row>
      <xdr:rowOff>137159</xdr:rowOff>
    </xdr:to>
    <xdr:pic>
      <xdr:nvPicPr>
        <xdr:cNvPr id="34" name="Picture 9" descr="02dblwyegxgxgxg.tif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37" y="13169713"/>
          <a:ext cx="697230" cy="44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0</xdr:colOff>
      <xdr:row>1</xdr:row>
      <xdr:rowOff>19050</xdr:rowOff>
    </xdr:from>
    <xdr:to>
      <xdr:col>13</xdr:col>
      <xdr:colOff>741605</xdr:colOff>
      <xdr:row>5</xdr:row>
      <xdr:rowOff>53341</xdr:rowOff>
    </xdr:to>
    <xdr:pic>
      <xdr:nvPicPr>
        <xdr:cNvPr id="41" name="Picture 64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839325" y="257175"/>
          <a:ext cx="75303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2</xdr:row>
      <xdr:rowOff>123825</xdr:rowOff>
    </xdr:from>
    <xdr:to>
      <xdr:col>14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CxnSpPr/>
      </xdr:nvCxnSpPr>
      <xdr:spPr>
        <a:xfrm>
          <a:off x="8258175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0</xdr:colOff>
      <xdr:row>1</xdr:row>
      <xdr:rowOff>19050</xdr:rowOff>
    </xdr:from>
    <xdr:to>
      <xdr:col>17</xdr:col>
      <xdr:colOff>76200</xdr:colOff>
      <xdr:row>5</xdr:row>
      <xdr:rowOff>58104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9800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217884</xdr:colOff>
      <xdr:row>7</xdr:row>
      <xdr:rowOff>51197</xdr:rowOff>
    </xdr:from>
    <xdr:to>
      <xdr:col>2</xdr:col>
      <xdr:colOff>208667</xdr:colOff>
      <xdr:row>11</xdr:row>
      <xdr:rowOff>65481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id="{00000000-0008-0000-1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334" y="1679972"/>
          <a:ext cx="579428" cy="780094"/>
        </a:xfrm>
        <a:prstGeom prst="rect">
          <a:avLst/>
        </a:prstGeom>
      </xdr:spPr>
    </xdr:pic>
    <xdr:clientData/>
  </xdr:twoCellAnchor>
  <xdr:twoCellAnchor editAs="oneCell">
    <xdr:from>
      <xdr:col>1</xdr:col>
      <xdr:colOff>227410</xdr:colOff>
      <xdr:row>12</xdr:row>
      <xdr:rowOff>64892</xdr:rowOff>
    </xdr:from>
    <xdr:to>
      <xdr:col>2</xdr:col>
      <xdr:colOff>227665</xdr:colOff>
      <xdr:row>16</xdr:row>
      <xdr:rowOff>86795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1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1590" y="4961337"/>
          <a:ext cx="574136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208359</xdr:colOff>
      <xdr:row>17</xdr:row>
      <xdr:rowOff>50009</xdr:rowOff>
    </xdr:from>
    <xdr:to>
      <xdr:col>2</xdr:col>
      <xdr:colOff>194158</xdr:colOff>
      <xdr:row>21</xdr:row>
      <xdr:rowOff>64293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id="{00000000-0008-0000-1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2539" y="5913837"/>
          <a:ext cx="55968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208359</xdr:colOff>
      <xdr:row>22</xdr:row>
      <xdr:rowOff>54176</xdr:rowOff>
    </xdr:from>
    <xdr:to>
      <xdr:col>2</xdr:col>
      <xdr:colOff>202129</xdr:colOff>
      <xdr:row>26</xdr:row>
      <xdr:rowOff>68460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1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2539" y="6885387"/>
          <a:ext cx="563841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294085</xdr:colOff>
      <xdr:row>31</xdr:row>
      <xdr:rowOff>86918</xdr:rowOff>
    </xdr:from>
    <xdr:to>
      <xdr:col>2</xdr:col>
      <xdr:colOff>130083</xdr:colOff>
      <xdr:row>34</xdr:row>
      <xdr:rowOff>91440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1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5535" y="6287693"/>
          <a:ext cx="411308" cy="570307"/>
        </a:xfrm>
        <a:prstGeom prst="rect">
          <a:avLst/>
        </a:prstGeom>
      </xdr:spPr>
    </xdr:pic>
    <xdr:clientData/>
  </xdr:twoCellAnchor>
  <xdr:twoCellAnchor editAs="oneCell">
    <xdr:from>
      <xdr:col>1</xdr:col>
      <xdr:colOff>242292</xdr:colOff>
      <xdr:row>63</xdr:row>
      <xdr:rowOff>93464</xdr:rowOff>
    </xdr:from>
    <xdr:to>
      <xdr:col>2</xdr:col>
      <xdr:colOff>237545</xdr:colOff>
      <xdr:row>67</xdr:row>
      <xdr:rowOff>111558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1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6472" y="10794206"/>
          <a:ext cx="565324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242292</xdr:colOff>
      <xdr:row>68</xdr:row>
      <xdr:rowOff>88106</xdr:rowOff>
    </xdr:from>
    <xdr:to>
      <xdr:col>2</xdr:col>
      <xdr:colOff>237545</xdr:colOff>
      <xdr:row>72</xdr:row>
      <xdr:rowOff>102390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1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7067" y="11584781"/>
          <a:ext cx="572468" cy="780094"/>
        </a:xfrm>
        <a:prstGeom prst="rect">
          <a:avLst/>
        </a:prstGeom>
      </xdr:spPr>
    </xdr:pic>
    <xdr:clientData/>
  </xdr:twoCellAnchor>
  <xdr:twoCellAnchor editAs="oneCell">
    <xdr:from>
      <xdr:col>1</xdr:col>
      <xdr:colOff>242293</xdr:colOff>
      <xdr:row>36</xdr:row>
      <xdr:rowOff>98822</xdr:rowOff>
    </xdr:from>
    <xdr:to>
      <xdr:col>2</xdr:col>
      <xdr:colOff>219541</xdr:colOff>
      <xdr:row>40</xdr:row>
      <xdr:rowOff>116915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1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6473" y="9832181"/>
          <a:ext cx="554939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308968</xdr:colOff>
      <xdr:row>55</xdr:row>
      <xdr:rowOff>44648</xdr:rowOff>
    </xdr:from>
    <xdr:to>
      <xdr:col>2</xdr:col>
      <xdr:colOff>178022</xdr:colOff>
      <xdr:row>58</xdr:row>
      <xdr:rowOff>112218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1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13743" y="12493823"/>
          <a:ext cx="453889" cy="639070"/>
        </a:xfrm>
        <a:prstGeom prst="rect">
          <a:avLst/>
        </a:prstGeom>
      </xdr:spPr>
    </xdr:pic>
    <xdr:clientData/>
  </xdr:twoCellAnchor>
  <xdr:twoCellAnchor editAs="oneCell">
    <xdr:from>
      <xdr:col>1</xdr:col>
      <xdr:colOff>308967</xdr:colOff>
      <xdr:row>59</xdr:row>
      <xdr:rowOff>70842</xdr:rowOff>
    </xdr:from>
    <xdr:to>
      <xdr:col>2</xdr:col>
      <xdr:colOff>202071</xdr:colOff>
      <xdr:row>62</xdr:row>
      <xdr:rowOff>130792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1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13742" y="13282017"/>
          <a:ext cx="470319" cy="639070"/>
        </a:xfrm>
        <a:prstGeom prst="rect">
          <a:avLst/>
        </a:prstGeom>
      </xdr:spPr>
    </xdr:pic>
    <xdr:clientData/>
  </xdr:twoCellAnchor>
  <xdr:twoCellAnchor editAs="oneCell">
    <xdr:from>
      <xdr:col>1</xdr:col>
      <xdr:colOff>270867</xdr:colOff>
      <xdr:row>73</xdr:row>
      <xdr:rowOff>77986</xdr:rowOff>
    </xdr:from>
    <xdr:to>
      <xdr:col>2</xdr:col>
      <xdr:colOff>250330</xdr:colOff>
      <xdr:row>77</xdr:row>
      <xdr:rowOff>96079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1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5642" y="14051161"/>
          <a:ext cx="566203" cy="780093"/>
        </a:xfrm>
        <a:prstGeom prst="rect">
          <a:avLst/>
        </a:prstGeom>
      </xdr:spPr>
    </xdr:pic>
    <xdr:clientData/>
  </xdr:twoCellAnchor>
  <xdr:twoCellAnchor editAs="oneCell">
    <xdr:from>
      <xdr:col>1</xdr:col>
      <xdr:colOff>270867</xdr:colOff>
      <xdr:row>83</xdr:row>
      <xdr:rowOff>104179</xdr:rowOff>
    </xdr:from>
    <xdr:to>
      <xdr:col>2</xdr:col>
      <xdr:colOff>255068</xdr:colOff>
      <xdr:row>87</xdr:row>
      <xdr:rowOff>123107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1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5642" y="15029854"/>
          <a:ext cx="569036" cy="777118"/>
        </a:xfrm>
        <a:prstGeom prst="rect">
          <a:avLst/>
        </a:prstGeom>
      </xdr:spPr>
    </xdr:pic>
    <xdr:clientData/>
  </xdr:twoCellAnchor>
  <xdr:twoCellAnchor editAs="oneCell">
    <xdr:from>
      <xdr:col>1</xdr:col>
      <xdr:colOff>223242</xdr:colOff>
      <xdr:row>41</xdr:row>
      <xdr:rowOff>104179</xdr:rowOff>
    </xdr:from>
    <xdr:to>
      <xdr:col>2</xdr:col>
      <xdr:colOff>248781</xdr:colOff>
      <xdr:row>45</xdr:row>
      <xdr:rowOff>126083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1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7422" y="8870156"/>
          <a:ext cx="59180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270867</xdr:colOff>
      <xdr:row>46</xdr:row>
      <xdr:rowOff>70247</xdr:rowOff>
    </xdr:from>
    <xdr:to>
      <xdr:col>2</xdr:col>
      <xdr:colOff>266786</xdr:colOff>
      <xdr:row>50</xdr:row>
      <xdr:rowOff>89174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1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5642" y="15948422"/>
          <a:ext cx="576944" cy="777117"/>
        </a:xfrm>
        <a:prstGeom prst="rect">
          <a:avLst/>
        </a:prstGeom>
      </xdr:spPr>
    </xdr:pic>
    <xdr:clientData/>
  </xdr:twoCellAnchor>
  <xdr:twoCellAnchor editAs="oneCell">
    <xdr:from>
      <xdr:col>1</xdr:col>
      <xdr:colOff>299442</xdr:colOff>
      <xdr:row>51</xdr:row>
      <xdr:rowOff>36314</xdr:rowOff>
    </xdr:from>
    <xdr:to>
      <xdr:col>2</xdr:col>
      <xdr:colOff>239953</xdr:colOff>
      <xdr:row>54</xdr:row>
      <xdr:rowOff>172908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1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4217" y="16866989"/>
          <a:ext cx="517726" cy="70809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90</xdr:row>
      <xdr:rowOff>28575</xdr:rowOff>
    </xdr:from>
    <xdr:to>
      <xdr:col>2</xdr:col>
      <xdr:colOff>472440</xdr:colOff>
      <xdr:row>93</xdr:row>
      <xdr:rowOff>132364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1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" y="17621250"/>
          <a:ext cx="952500" cy="68290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94</xdr:row>
      <xdr:rowOff>57150</xdr:rowOff>
    </xdr:from>
    <xdr:to>
      <xdr:col>2</xdr:col>
      <xdr:colOff>289519</xdr:colOff>
      <xdr:row>94</xdr:row>
      <xdr:rowOff>454936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1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1950" y="19145250"/>
          <a:ext cx="672424" cy="3977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95</xdr:row>
      <xdr:rowOff>25003</xdr:rowOff>
    </xdr:from>
    <xdr:to>
      <xdr:col>2</xdr:col>
      <xdr:colOff>91693</xdr:colOff>
      <xdr:row>96</xdr:row>
      <xdr:rowOff>106440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1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2875" y="19198828"/>
          <a:ext cx="642238" cy="399572"/>
        </a:xfrm>
        <a:prstGeom prst="rect">
          <a:avLst/>
        </a:prstGeom>
      </xdr:spPr>
    </xdr:pic>
    <xdr:clientData/>
  </xdr:twoCellAnchor>
  <xdr:twoCellAnchor editAs="oneCell">
    <xdr:from>
      <xdr:col>1</xdr:col>
      <xdr:colOff>466725</xdr:colOff>
      <xdr:row>95</xdr:row>
      <xdr:rowOff>207764</xdr:rowOff>
    </xdr:from>
    <xdr:to>
      <xdr:col>2</xdr:col>
      <xdr:colOff>550159</xdr:colOff>
      <xdr:row>96</xdr:row>
      <xdr:rowOff>283605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1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0" y="19381589"/>
          <a:ext cx="658744" cy="39778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97</xdr:row>
      <xdr:rowOff>57150</xdr:rowOff>
    </xdr:from>
    <xdr:to>
      <xdr:col>2</xdr:col>
      <xdr:colOff>293585</xdr:colOff>
      <xdr:row>98</xdr:row>
      <xdr:rowOff>286397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00000000-0008-0000-1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00051" y="19859625"/>
          <a:ext cx="583144" cy="543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311350</xdr:colOff>
      <xdr:row>89</xdr:row>
      <xdr:rowOff>47625</xdr:rowOff>
    </xdr:from>
    <xdr:to>
      <xdr:col>2</xdr:col>
      <xdr:colOff>198430</xdr:colOff>
      <xdr:row>89</xdr:row>
      <xdr:rowOff>701340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1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82800" y="17106900"/>
          <a:ext cx="464295" cy="6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270867</xdr:colOff>
      <xdr:row>78</xdr:row>
      <xdr:rowOff>87511</xdr:rowOff>
    </xdr:from>
    <xdr:to>
      <xdr:col>2</xdr:col>
      <xdr:colOff>250330</xdr:colOff>
      <xdr:row>82</xdr:row>
      <xdr:rowOff>101794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5642" y="15013186"/>
          <a:ext cx="566203" cy="780093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88</xdr:row>
      <xdr:rowOff>85725</xdr:rowOff>
    </xdr:from>
    <xdr:to>
      <xdr:col>2</xdr:col>
      <xdr:colOff>163171</xdr:colOff>
      <xdr:row>88</xdr:row>
      <xdr:rowOff>739440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42925" y="16383000"/>
          <a:ext cx="368911" cy="648000"/>
        </a:xfrm>
        <a:prstGeom prst="rect">
          <a:avLst/>
        </a:prstGeom>
      </xdr:spPr>
    </xdr:pic>
    <xdr:clientData/>
  </xdr:twoCellAnchor>
  <xdr:oneCellAnchor>
    <xdr:from>
      <xdr:col>1</xdr:col>
      <xdr:colOff>275035</xdr:colOff>
      <xdr:row>27</xdr:row>
      <xdr:rowOff>67868</xdr:rowOff>
    </xdr:from>
    <xdr:ext cx="477440" cy="662004"/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46485" y="5506643"/>
          <a:ext cx="477440" cy="662004"/>
        </a:xfrm>
        <a:prstGeom prst="rect">
          <a:avLst/>
        </a:prstGeom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26317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1035386" y="-673436"/>
          <a:ext cx="792127" cy="252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2</xdr:row>
      <xdr:rowOff>123825</xdr:rowOff>
    </xdr:from>
    <xdr:to>
      <xdr:col>12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CxnSpPr/>
      </xdr:nvCxnSpPr>
      <xdr:spPr>
        <a:xfrm>
          <a:off x="9587865" y="554355"/>
          <a:ext cx="0" cy="55816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38100</xdr:colOff>
      <xdr:row>1</xdr:row>
      <xdr:rowOff>9525</xdr:rowOff>
    </xdr:from>
    <xdr:to>
      <xdr:col>15</xdr:col>
      <xdr:colOff>91863</xdr:colOff>
      <xdr:row>5</xdr:row>
      <xdr:rowOff>17316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0115550" y="240030"/>
          <a:ext cx="781050" cy="749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62193</xdr:colOff>
      <xdr:row>8</xdr:row>
      <xdr:rowOff>95250</xdr:rowOff>
    </xdr:from>
    <xdr:to>
      <xdr:col>2</xdr:col>
      <xdr:colOff>465996</xdr:colOff>
      <xdr:row>15</xdr:row>
      <xdr:rowOff>136824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58468" y1="77273" x2="56850" y2="7548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986" r="30357" b="7860"/>
        <a:stretch/>
      </xdr:blipFill>
      <xdr:spPr>
        <a:xfrm>
          <a:off x="214593" y="2114550"/>
          <a:ext cx="982923" cy="1397934"/>
        </a:xfrm>
        <a:prstGeom prst="rect">
          <a:avLst/>
        </a:prstGeom>
      </xdr:spPr>
    </xdr:pic>
    <xdr:clientData/>
  </xdr:twoCellAnchor>
  <xdr:twoCellAnchor editAs="oneCell">
    <xdr:from>
      <xdr:col>1</xdr:col>
      <xdr:colOff>204508</xdr:colOff>
      <xdr:row>22</xdr:row>
      <xdr:rowOff>63953</xdr:rowOff>
    </xdr:from>
    <xdr:to>
      <xdr:col>2</xdr:col>
      <xdr:colOff>406598</xdr:colOff>
      <xdr:row>27</xdr:row>
      <xdr:rowOff>63167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9771" y1="77011" x2="45124" y2="8074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431" t="12339" r="29412" b="9941"/>
        <a:stretch/>
      </xdr:blipFill>
      <xdr:spPr>
        <a:xfrm>
          <a:off x="356908" y="3759653"/>
          <a:ext cx="785020" cy="95361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37</xdr:row>
      <xdr:rowOff>0</xdr:rowOff>
    </xdr:from>
    <xdr:to>
      <xdr:col>2</xdr:col>
      <xdr:colOff>541158</xdr:colOff>
      <xdr:row>44</xdr:row>
      <xdr:rowOff>54957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>
                      <a14:foregroundMark x1="41551" y1="80896" x2="41551" y2="808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700" r="24343"/>
        <a:stretch/>
      </xdr:blipFill>
      <xdr:spPr>
        <a:xfrm>
          <a:off x="156883" y="22546235"/>
          <a:ext cx="1085850" cy="1390649"/>
        </a:xfrm>
        <a:prstGeom prst="rect">
          <a:avLst/>
        </a:prstGeom>
      </xdr:spPr>
    </xdr:pic>
    <xdr:clientData/>
  </xdr:twoCellAnchor>
  <xdr:twoCellAnchor editAs="oneCell">
    <xdr:from>
      <xdr:col>1</xdr:col>
      <xdr:colOff>251011</xdr:colOff>
      <xdr:row>54</xdr:row>
      <xdr:rowOff>108859</xdr:rowOff>
    </xdr:from>
    <xdr:to>
      <xdr:col>2</xdr:col>
      <xdr:colOff>278130</xdr:colOff>
      <xdr:row>59</xdr:row>
      <xdr:rowOff>56977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3411" y="11376934"/>
          <a:ext cx="606239" cy="904428"/>
        </a:xfrm>
        <a:prstGeom prst="rect">
          <a:avLst/>
        </a:prstGeom>
      </xdr:spPr>
    </xdr:pic>
    <xdr:clientData/>
  </xdr:twoCellAnchor>
  <xdr:twoCellAnchor editAs="oneCell">
    <xdr:from>
      <xdr:col>1</xdr:col>
      <xdr:colOff>31216</xdr:colOff>
      <xdr:row>69</xdr:row>
      <xdr:rowOff>57150</xdr:rowOff>
    </xdr:from>
    <xdr:to>
      <xdr:col>3</xdr:col>
      <xdr:colOff>219947</xdr:colOff>
      <xdr:row>75</xdr:row>
      <xdr:rowOff>3226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673"/>
        <a:stretch/>
      </xdr:blipFill>
      <xdr:spPr>
        <a:xfrm>
          <a:off x="183616" y="10687050"/>
          <a:ext cx="1352686" cy="10795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81</xdr:row>
      <xdr:rowOff>76200</xdr:rowOff>
    </xdr:from>
    <xdr:to>
      <xdr:col>2</xdr:col>
      <xdr:colOff>540507</xdr:colOff>
      <xdr:row>87</xdr:row>
      <xdr:rowOff>53901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52" r="20258"/>
        <a:stretch/>
      </xdr:blipFill>
      <xdr:spPr>
        <a:xfrm>
          <a:off x="161925" y="23307675"/>
          <a:ext cx="1110102" cy="123881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123826</xdr:colOff>
      <xdr:row>107</xdr:row>
      <xdr:rowOff>78122</xdr:rowOff>
    </xdr:from>
    <xdr:to>
      <xdr:col>2</xdr:col>
      <xdr:colOff>434341</xdr:colOff>
      <xdr:row>110</xdr:row>
      <xdr:rowOff>139926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813" t="12378" r="14437" b="10098"/>
        <a:stretch/>
      </xdr:blipFill>
      <xdr:spPr>
        <a:xfrm>
          <a:off x="276226" y="17318372"/>
          <a:ext cx="895350" cy="635209"/>
        </a:xfrm>
        <a:prstGeom prst="rect">
          <a:avLst/>
        </a:prstGeom>
      </xdr:spPr>
    </xdr:pic>
    <xdr:clientData/>
  </xdr:twoCellAnchor>
  <xdr:twoCellAnchor editAs="oneCell">
    <xdr:from>
      <xdr:col>1</xdr:col>
      <xdr:colOff>81244</xdr:colOff>
      <xdr:row>114</xdr:row>
      <xdr:rowOff>100453</xdr:rowOff>
    </xdr:from>
    <xdr:to>
      <xdr:col>2</xdr:col>
      <xdr:colOff>548641</xdr:colOff>
      <xdr:row>119</xdr:row>
      <xdr:rowOff>26129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5105" b="96997" l="10000" r="90000">
                      <a14:foregroundMark x1="51900" y1="96997" x2="51900" y2="96997"/>
                      <a14:foregroundMark x1="61200" y1="5105" x2="61200" y2="510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773"/>
        <a:stretch/>
      </xdr:blipFill>
      <xdr:spPr>
        <a:xfrm>
          <a:off x="233644" y="18112228"/>
          <a:ext cx="1052232" cy="880081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123</xdr:row>
      <xdr:rowOff>187140</xdr:rowOff>
    </xdr:from>
    <xdr:to>
      <xdr:col>2</xdr:col>
      <xdr:colOff>437953</xdr:colOff>
      <xdr:row>127</xdr:row>
      <xdr:rowOff>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25152165"/>
          <a:ext cx="937063" cy="60343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128</xdr:row>
      <xdr:rowOff>33057</xdr:rowOff>
    </xdr:from>
    <xdr:to>
      <xdr:col>3</xdr:col>
      <xdr:colOff>274270</xdr:colOff>
      <xdr:row>133</xdr:row>
      <xdr:rowOff>95555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231"/>
        <a:stretch/>
      </xdr:blipFill>
      <xdr:spPr>
        <a:xfrm>
          <a:off x="200025" y="38114007"/>
          <a:ext cx="1386790" cy="1133108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138</xdr:row>
      <xdr:rowOff>191064</xdr:rowOff>
    </xdr:from>
    <xdr:to>
      <xdr:col>2</xdr:col>
      <xdr:colOff>434340</xdr:colOff>
      <xdr:row>142</xdr:row>
      <xdr:rowOff>27118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732"/>
        <a:stretch/>
      </xdr:blipFill>
      <xdr:spPr>
        <a:xfrm>
          <a:off x="352425" y="28242189"/>
          <a:ext cx="819150" cy="628534"/>
        </a:xfrm>
        <a:prstGeom prst="rect">
          <a:avLst/>
        </a:prstGeom>
      </xdr:spPr>
    </xdr:pic>
    <xdr:clientData/>
  </xdr:twoCellAnchor>
  <xdr:twoCellAnchor editAs="oneCell">
    <xdr:from>
      <xdr:col>1</xdr:col>
      <xdr:colOff>266139</xdr:colOff>
      <xdr:row>63</xdr:row>
      <xdr:rowOff>87967</xdr:rowOff>
    </xdr:from>
    <xdr:to>
      <xdr:col>2</xdr:col>
      <xdr:colOff>217171</xdr:colOff>
      <xdr:row>65</xdr:row>
      <xdr:rowOff>134326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33" r="15833"/>
        <a:stretch/>
      </xdr:blipFill>
      <xdr:spPr>
        <a:xfrm>
          <a:off x="418539" y="13156267"/>
          <a:ext cx="533962" cy="42354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105443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2</xdr:row>
      <xdr:rowOff>123825</xdr:rowOff>
    </xdr:from>
    <xdr:to>
      <xdr:col>12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CxnSpPr/>
      </xdr:nvCxnSpPr>
      <xdr:spPr>
        <a:xfrm>
          <a:off x="11125200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38100</xdr:colOff>
      <xdr:row>1</xdr:row>
      <xdr:rowOff>9525</xdr:rowOff>
    </xdr:from>
    <xdr:to>
      <xdr:col>15</xdr:col>
      <xdr:colOff>95673</xdr:colOff>
      <xdr:row>5</xdr:row>
      <xdr:rowOff>21126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1630025" y="247650"/>
          <a:ext cx="771948" cy="775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94689</xdr:colOff>
      <xdr:row>9</xdr:row>
      <xdr:rowOff>76600</xdr:rowOff>
    </xdr:from>
    <xdr:to>
      <xdr:col>2</xdr:col>
      <xdr:colOff>514986</xdr:colOff>
      <xdr:row>14</xdr:row>
      <xdr:rowOff>21355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>
                      <a14:foregroundMark x1="33838" y1="65188" x2="41105" y2="68942"/>
                      <a14:foregroundMark x1="41105" y1="68942" x2="41900" y2="69795"/>
                      <a14:foregroundMark x1="41559" y1="69795" x2="39705" y2="68885"/>
                      <a14:foregroundMark x1="38986" y1="68885" x2="42657" y2="709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146" t="14656" r="23800" b="11443"/>
        <a:stretch/>
      </xdr:blipFill>
      <xdr:spPr>
        <a:xfrm>
          <a:off x="247089" y="1857775"/>
          <a:ext cx="1001322" cy="953621"/>
        </a:xfrm>
        <a:prstGeom prst="rect">
          <a:avLst/>
        </a:prstGeom>
      </xdr:spPr>
    </xdr:pic>
    <xdr:clientData/>
  </xdr:twoCellAnchor>
  <xdr:twoCellAnchor editAs="oneCell">
    <xdr:from>
      <xdr:col>1</xdr:col>
      <xdr:colOff>248771</xdr:colOff>
      <xdr:row>27</xdr:row>
      <xdr:rowOff>15282</xdr:rowOff>
    </xdr:from>
    <xdr:to>
      <xdr:col>2</xdr:col>
      <xdr:colOff>206079</xdr:colOff>
      <xdr:row>28</xdr:row>
      <xdr:rowOff>283846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10000" b="90000" l="10000" r="90000">
                      <a14:foregroundMark x1="37507" y1="67605" x2="37507" y2="67605"/>
                      <a14:foregroundMark x1="35902" y1="73151" x2="39326" y2="7604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250" r="25000" b="9830"/>
        <a:stretch/>
      </xdr:blipFill>
      <xdr:spPr>
        <a:xfrm>
          <a:off x="401171" y="5749332"/>
          <a:ext cx="545953" cy="660994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33</xdr:row>
      <xdr:rowOff>0</xdr:rowOff>
    </xdr:from>
    <xdr:to>
      <xdr:col>2</xdr:col>
      <xdr:colOff>479753</xdr:colOff>
      <xdr:row>36</xdr:row>
      <xdr:rowOff>93458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3879" t="21766" r="21514" b="15877"/>
        <a:stretch/>
      </xdr:blipFill>
      <xdr:spPr>
        <a:xfrm>
          <a:off x="275665" y="16474893"/>
          <a:ext cx="929893" cy="699248"/>
        </a:xfrm>
        <a:prstGeom prst="rect">
          <a:avLst/>
        </a:prstGeom>
      </xdr:spPr>
    </xdr:pic>
    <xdr:clientData/>
  </xdr:twoCellAnchor>
  <xdr:twoCellAnchor editAs="oneCell">
    <xdr:from>
      <xdr:col>1</xdr:col>
      <xdr:colOff>222998</xdr:colOff>
      <xdr:row>44</xdr:row>
      <xdr:rowOff>50827</xdr:rowOff>
    </xdr:from>
    <xdr:to>
      <xdr:col>2</xdr:col>
      <xdr:colOff>327582</xdr:colOff>
      <xdr:row>48</xdr:row>
      <xdr:rowOff>93345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>
                      <a14:foregroundMark x1="33150" y1="74556" x2="33150" y2="7455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402" r="22010"/>
        <a:stretch/>
      </xdr:blipFill>
      <xdr:spPr>
        <a:xfrm>
          <a:off x="375398" y="9509152"/>
          <a:ext cx="695134" cy="854048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100852</xdr:colOff>
      <xdr:row>50</xdr:row>
      <xdr:rowOff>169609</xdr:rowOff>
    </xdr:from>
    <xdr:to>
      <xdr:col>2</xdr:col>
      <xdr:colOff>439518</xdr:colOff>
      <xdr:row>54</xdr:row>
      <xdr:rowOff>19131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54" t="17496" r="20588" b="15282"/>
        <a:stretch/>
      </xdr:blipFill>
      <xdr:spPr>
        <a:xfrm>
          <a:off x="253252" y="15419134"/>
          <a:ext cx="919691" cy="642002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79</xdr:row>
      <xdr:rowOff>168090</xdr:rowOff>
    </xdr:from>
    <xdr:to>
      <xdr:col>2</xdr:col>
      <xdr:colOff>513926</xdr:colOff>
      <xdr:row>82</xdr:row>
      <xdr:rowOff>22240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1" r="13794"/>
        <a:stretch/>
      </xdr:blipFill>
      <xdr:spPr>
        <a:xfrm>
          <a:off x="174813" y="37118925"/>
          <a:ext cx="1087778" cy="10066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83</xdr:row>
      <xdr:rowOff>0</xdr:rowOff>
    </xdr:from>
    <xdr:to>
      <xdr:col>2</xdr:col>
      <xdr:colOff>474345</xdr:colOff>
      <xdr:row>85</xdr:row>
      <xdr:rowOff>75694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243" r="12956"/>
        <a:stretch/>
      </xdr:blipFill>
      <xdr:spPr>
        <a:xfrm>
          <a:off x="266700" y="17678400"/>
          <a:ext cx="952500" cy="913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99</xdr:row>
      <xdr:rowOff>170490</xdr:rowOff>
    </xdr:from>
    <xdr:to>
      <xdr:col>3</xdr:col>
      <xdr:colOff>15912</xdr:colOff>
      <xdr:row>104</xdr:row>
      <xdr:rowOff>92799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1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319740"/>
          <a:ext cx="1414182" cy="92624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124</xdr:row>
      <xdr:rowOff>161365</xdr:rowOff>
    </xdr:from>
    <xdr:to>
      <xdr:col>3</xdr:col>
      <xdr:colOff>211011</xdr:colOff>
      <xdr:row>128</xdr:row>
      <xdr:rowOff>55196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13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4890"/>
        <a:stretch/>
      </xdr:blipFill>
      <xdr:spPr>
        <a:xfrm>
          <a:off x="276224" y="26440840"/>
          <a:ext cx="1249237" cy="96063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130</xdr:row>
      <xdr:rowOff>179293</xdr:rowOff>
    </xdr:from>
    <xdr:to>
      <xdr:col>3</xdr:col>
      <xdr:colOff>3715</xdr:colOff>
      <xdr:row>134</xdr:row>
      <xdr:rowOff>172197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1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10000" b="90000" l="10000" r="90000">
                      <a14:foregroundMark x1="42640" y1="45547" x2="57699" y2="419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5116"/>
        <a:stretch/>
      </xdr:blipFill>
      <xdr:spPr>
        <a:xfrm>
          <a:off x="276225" y="27963718"/>
          <a:ext cx="1041940" cy="798719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</xdr:colOff>
      <xdr:row>137</xdr:row>
      <xdr:rowOff>194823</xdr:rowOff>
    </xdr:from>
    <xdr:to>
      <xdr:col>3</xdr:col>
      <xdr:colOff>212410</xdr:colOff>
      <xdr:row>143</xdr:row>
      <xdr:rowOff>19835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13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1905"/>
        <a:stretch/>
      </xdr:blipFill>
      <xdr:spPr>
        <a:xfrm>
          <a:off x="163606" y="42914448"/>
          <a:ext cx="1355634" cy="10137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29" name="Picture 1">
          <a:extLst>
            <a:ext uri="{FF2B5EF4-FFF2-40B4-BE49-F238E27FC236}">
              <a16:creationId xmlns:a16="http://schemas.microsoft.com/office/drawing/2014/main" id="{00000000-0008-0000-1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63" name="Straight Arrow Connector 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CxnSpPr/>
      </xdr:nvCxnSpPr>
      <xdr:spPr>
        <a:xfrm>
          <a:off x="9429750" y="561975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47625</xdr:colOff>
      <xdr:row>1</xdr:row>
      <xdr:rowOff>19050</xdr:rowOff>
    </xdr:from>
    <xdr:to>
      <xdr:col>13</xdr:col>
      <xdr:colOff>24765</xdr:colOff>
      <xdr:row>5</xdr:row>
      <xdr:rowOff>19369</xdr:rowOff>
    </xdr:to>
    <xdr:pic>
      <xdr:nvPicPr>
        <xdr:cNvPr id="84" name="Picture 42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91700" y="257175"/>
          <a:ext cx="786765" cy="781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282813</xdr:colOff>
      <xdr:row>7</xdr:row>
      <xdr:rowOff>71911</xdr:rowOff>
    </xdr:from>
    <xdr:to>
      <xdr:col>2</xdr:col>
      <xdr:colOff>357621</xdr:colOff>
      <xdr:row>10</xdr:row>
      <xdr:rowOff>153698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995" y="1743116"/>
          <a:ext cx="652369" cy="653287"/>
        </a:xfrm>
        <a:prstGeom prst="rect">
          <a:avLst/>
        </a:prstGeom>
      </xdr:spPr>
    </xdr:pic>
    <xdr:clientData/>
  </xdr:twoCellAnchor>
  <xdr:twoCellAnchor editAs="oneCell">
    <xdr:from>
      <xdr:col>1</xdr:col>
      <xdr:colOff>265493</xdr:colOff>
      <xdr:row>11</xdr:row>
      <xdr:rowOff>185031</xdr:rowOff>
    </xdr:from>
    <xdr:to>
      <xdr:col>2</xdr:col>
      <xdr:colOff>444212</xdr:colOff>
      <xdr:row>16</xdr:row>
      <xdr:rowOff>823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675" y="2618236"/>
          <a:ext cx="756280" cy="758767"/>
        </a:xfrm>
        <a:prstGeom prst="rect">
          <a:avLst/>
        </a:prstGeom>
      </xdr:spPr>
    </xdr:pic>
    <xdr:clientData/>
  </xdr:twoCellAnchor>
  <xdr:twoCellAnchor editAs="oneCell">
    <xdr:from>
      <xdr:col>1</xdr:col>
      <xdr:colOff>291472</xdr:colOff>
      <xdr:row>17</xdr:row>
      <xdr:rowOff>59930</xdr:rowOff>
    </xdr:from>
    <xdr:to>
      <xdr:col>2</xdr:col>
      <xdr:colOff>305666</xdr:colOff>
      <xdr:row>17</xdr:row>
      <xdr:rowOff>652616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54" y="3636135"/>
          <a:ext cx="591755" cy="592686"/>
        </a:xfrm>
        <a:prstGeom prst="rect">
          <a:avLst/>
        </a:prstGeom>
      </xdr:spPr>
    </xdr:pic>
    <xdr:clientData/>
  </xdr:twoCellAnchor>
  <xdr:twoCellAnchor editAs="oneCell">
    <xdr:from>
      <xdr:col>1</xdr:col>
      <xdr:colOff>274153</xdr:colOff>
      <xdr:row>18</xdr:row>
      <xdr:rowOff>73065</xdr:rowOff>
    </xdr:from>
    <xdr:to>
      <xdr:col>2</xdr:col>
      <xdr:colOff>366600</xdr:colOff>
      <xdr:row>21</xdr:row>
      <xdr:rowOff>172655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35" y="4376633"/>
          <a:ext cx="670008" cy="671090"/>
        </a:xfrm>
        <a:prstGeom prst="rect">
          <a:avLst/>
        </a:prstGeom>
      </xdr:spPr>
    </xdr:pic>
    <xdr:clientData/>
  </xdr:twoCellAnchor>
  <xdr:twoCellAnchor editAs="oneCell">
    <xdr:from>
      <xdr:col>1</xdr:col>
      <xdr:colOff>204880</xdr:colOff>
      <xdr:row>22</xdr:row>
      <xdr:rowOff>69566</xdr:rowOff>
    </xdr:from>
    <xdr:to>
      <xdr:col>2</xdr:col>
      <xdr:colOff>418806</xdr:colOff>
      <xdr:row>25</xdr:row>
      <xdr:rowOff>195385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62" y="5135134"/>
          <a:ext cx="791487" cy="792569"/>
        </a:xfrm>
        <a:prstGeom prst="rect">
          <a:avLst/>
        </a:prstGeom>
      </xdr:spPr>
    </xdr:pic>
    <xdr:clientData/>
  </xdr:twoCellAnchor>
  <xdr:twoCellAnchor editAs="oneCell">
    <xdr:from>
      <xdr:col>1</xdr:col>
      <xdr:colOff>230857</xdr:colOff>
      <xdr:row>29</xdr:row>
      <xdr:rowOff>208813</xdr:rowOff>
    </xdr:from>
    <xdr:to>
      <xdr:col>2</xdr:col>
      <xdr:colOff>348961</xdr:colOff>
      <xdr:row>32</xdr:row>
      <xdr:rowOff>48662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9" y="7378540"/>
          <a:ext cx="695665" cy="697099"/>
        </a:xfrm>
        <a:prstGeom prst="rect">
          <a:avLst/>
        </a:prstGeom>
      </xdr:spPr>
    </xdr:pic>
    <xdr:clientData/>
  </xdr:twoCellAnchor>
  <xdr:twoCellAnchor editAs="oneCell">
    <xdr:from>
      <xdr:col>1</xdr:col>
      <xdr:colOff>222197</xdr:colOff>
      <xdr:row>34</xdr:row>
      <xdr:rowOff>49149</xdr:rowOff>
    </xdr:from>
    <xdr:to>
      <xdr:col>2</xdr:col>
      <xdr:colOff>297007</xdr:colOff>
      <xdr:row>34</xdr:row>
      <xdr:rowOff>702562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79" y="8552376"/>
          <a:ext cx="652371" cy="653413"/>
        </a:xfrm>
        <a:prstGeom prst="rect">
          <a:avLst/>
        </a:prstGeom>
      </xdr:spPr>
    </xdr:pic>
    <xdr:clientData/>
  </xdr:twoCellAnchor>
  <xdr:twoCellAnchor editAs="oneCell">
    <xdr:from>
      <xdr:col>1</xdr:col>
      <xdr:colOff>239518</xdr:colOff>
      <xdr:row>45</xdr:row>
      <xdr:rowOff>186616</xdr:rowOff>
    </xdr:from>
    <xdr:to>
      <xdr:col>2</xdr:col>
      <xdr:colOff>245052</xdr:colOff>
      <xdr:row>49</xdr:row>
      <xdr:rowOff>8659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00" y="11556002"/>
          <a:ext cx="583095" cy="584043"/>
        </a:xfrm>
        <a:prstGeom prst="rect">
          <a:avLst/>
        </a:prstGeom>
      </xdr:spPr>
    </xdr:pic>
    <xdr:clientData/>
  </xdr:twoCellAnchor>
  <xdr:twoCellAnchor editAs="oneCell">
    <xdr:from>
      <xdr:col>1</xdr:col>
      <xdr:colOff>161584</xdr:colOff>
      <xdr:row>39</xdr:row>
      <xdr:rowOff>10556</xdr:rowOff>
    </xdr:from>
    <xdr:to>
      <xdr:col>2</xdr:col>
      <xdr:colOff>288348</xdr:colOff>
      <xdr:row>41</xdr:row>
      <xdr:rowOff>334921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66" y="10020465"/>
          <a:ext cx="704325" cy="705365"/>
        </a:xfrm>
        <a:prstGeom prst="rect">
          <a:avLst/>
        </a:prstGeom>
      </xdr:spPr>
    </xdr:pic>
    <xdr:clientData/>
  </xdr:twoCellAnchor>
  <xdr:twoCellAnchor editAs="oneCell">
    <xdr:from>
      <xdr:col>1</xdr:col>
      <xdr:colOff>259433</xdr:colOff>
      <xdr:row>49</xdr:row>
      <xdr:rowOff>25889</xdr:rowOff>
    </xdr:from>
    <xdr:to>
      <xdr:col>2</xdr:col>
      <xdr:colOff>285750</xdr:colOff>
      <xdr:row>51</xdr:row>
      <xdr:rowOff>3712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83" y="12151214"/>
          <a:ext cx="607342" cy="596948"/>
        </a:xfrm>
        <a:prstGeom prst="rect">
          <a:avLst/>
        </a:prstGeom>
      </xdr:spPr>
    </xdr:pic>
    <xdr:clientData/>
  </xdr:twoCellAnchor>
  <xdr:twoCellAnchor editAs="oneCell">
    <xdr:from>
      <xdr:col>1</xdr:col>
      <xdr:colOff>218736</xdr:colOff>
      <xdr:row>50</xdr:row>
      <xdr:rowOff>368970</xdr:rowOff>
    </xdr:from>
    <xdr:to>
      <xdr:col>2</xdr:col>
      <xdr:colOff>322651</xdr:colOff>
      <xdr:row>54</xdr:row>
      <xdr:rowOff>51706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186" y="12684795"/>
          <a:ext cx="684940" cy="682861"/>
        </a:xfrm>
        <a:prstGeom prst="rect">
          <a:avLst/>
        </a:prstGeom>
      </xdr:spPr>
    </xdr:pic>
    <xdr:clientData/>
  </xdr:twoCellAnchor>
  <xdr:twoCellAnchor editAs="oneCell">
    <xdr:from>
      <xdr:col>1</xdr:col>
      <xdr:colOff>245578</xdr:colOff>
      <xdr:row>54</xdr:row>
      <xdr:rowOff>59573</xdr:rowOff>
    </xdr:from>
    <xdr:to>
      <xdr:col>2</xdr:col>
      <xdr:colOff>445596</xdr:colOff>
      <xdr:row>56</xdr:row>
      <xdr:rowOff>76200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028" y="13375523"/>
          <a:ext cx="781043" cy="778627"/>
        </a:xfrm>
        <a:prstGeom prst="rect">
          <a:avLst/>
        </a:prstGeom>
      </xdr:spPr>
    </xdr:pic>
    <xdr:clientData/>
  </xdr:twoCellAnchor>
  <xdr:twoCellAnchor editAs="oneCell">
    <xdr:from>
      <xdr:col>1</xdr:col>
      <xdr:colOff>237786</xdr:colOff>
      <xdr:row>57</xdr:row>
      <xdr:rowOff>11245</xdr:rowOff>
    </xdr:from>
    <xdr:to>
      <xdr:col>2</xdr:col>
      <xdr:colOff>376620</xdr:colOff>
      <xdr:row>60</xdr:row>
      <xdr:rowOff>159603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36" y="14279695"/>
          <a:ext cx="719859" cy="719858"/>
        </a:xfrm>
        <a:prstGeom prst="rect">
          <a:avLst/>
        </a:prstGeom>
      </xdr:spPr>
    </xdr:pic>
    <xdr:clientData/>
  </xdr:twoCellAnchor>
  <xdr:twoCellAnchor editAs="oneCell">
    <xdr:from>
      <xdr:col>1</xdr:col>
      <xdr:colOff>249043</xdr:colOff>
      <xdr:row>61</xdr:row>
      <xdr:rowOff>247791</xdr:rowOff>
    </xdr:from>
    <xdr:to>
      <xdr:col>2</xdr:col>
      <xdr:colOff>400810</xdr:colOff>
      <xdr:row>63</xdr:row>
      <xdr:rowOff>73629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93" y="15278241"/>
          <a:ext cx="732792" cy="730713"/>
        </a:xfrm>
        <a:prstGeom prst="rect">
          <a:avLst/>
        </a:prstGeom>
      </xdr:spPr>
    </xdr:pic>
    <xdr:clientData/>
  </xdr:twoCellAnchor>
  <xdr:twoCellAnchor editAs="oneCell">
    <xdr:from>
      <xdr:col>1</xdr:col>
      <xdr:colOff>309656</xdr:colOff>
      <xdr:row>65</xdr:row>
      <xdr:rowOff>127777</xdr:rowOff>
    </xdr:from>
    <xdr:to>
      <xdr:col>2</xdr:col>
      <xdr:colOff>297174</xdr:colOff>
      <xdr:row>68</xdr:row>
      <xdr:rowOff>122741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106" y="16444102"/>
          <a:ext cx="568543" cy="566464"/>
        </a:xfrm>
        <a:prstGeom prst="rect">
          <a:avLst/>
        </a:prstGeom>
      </xdr:spPr>
    </xdr:pic>
    <xdr:clientData/>
  </xdr:twoCellAnchor>
  <xdr:twoCellAnchor editAs="oneCell">
    <xdr:from>
      <xdr:col>1</xdr:col>
      <xdr:colOff>266361</xdr:colOff>
      <xdr:row>69</xdr:row>
      <xdr:rowOff>4904</xdr:rowOff>
    </xdr:from>
    <xdr:to>
      <xdr:col>2</xdr:col>
      <xdr:colOff>288798</xdr:colOff>
      <xdr:row>70</xdr:row>
      <xdr:rowOff>330062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11" y="17168954"/>
          <a:ext cx="603462" cy="601383"/>
        </a:xfrm>
        <a:prstGeom prst="rect">
          <a:avLst/>
        </a:prstGeom>
      </xdr:spPr>
    </xdr:pic>
    <xdr:clientData/>
  </xdr:twoCellAnchor>
  <xdr:twoCellAnchor editAs="oneCell">
    <xdr:from>
      <xdr:col>1</xdr:col>
      <xdr:colOff>264412</xdr:colOff>
      <xdr:row>79</xdr:row>
      <xdr:rowOff>34626</xdr:rowOff>
    </xdr:from>
    <xdr:to>
      <xdr:col>2</xdr:col>
      <xdr:colOff>374638</xdr:colOff>
      <xdr:row>81</xdr:row>
      <xdr:rowOff>177973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594" y="19517581"/>
          <a:ext cx="687787" cy="688869"/>
        </a:xfrm>
        <a:prstGeom prst="rect">
          <a:avLst/>
        </a:prstGeom>
      </xdr:spPr>
    </xdr:pic>
    <xdr:clientData/>
  </xdr:twoCellAnchor>
  <xdr:twoCellAnchor editAs="oneCell">
    <xdr:from>
      <xdr:col>1</xdr:col>
      <xdr:colOff>264414</xdr:colOff>
      <xdr:row>87</xdr:row>
      <xdr:rowOff>40203</xdr:rowOff>
    </xdr:from>
    <xdr:to>
      <xdr:col>2</xdr:col>
      <xdr:colOff>366280</xdr:colOff>
      <xdr:row>90</xdr:row>
      <xdr:rowOff>144978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596" y="21558044"/>
          <a:ext cx="679427" cy="680513"/>
        </a:xfrm>
        <a:prstGeom prst="rect">
          <a:avLst/>
        </a:prstGeom>
      </xdr:spPr>
    </xdr:pic>
    <xdr:clientData/>
  </xdr:twoCellAnchor>
  <xdr:twoCellAnchor editAs="oneCell">
    <xdr:from>
      <xdr:col>1</xdr:col>
      <xdr:colOff>294935</xdr:colOff>
      <xdr:row>72</xdr:row>
      <xdr:rowOff>8560</xdr:rowOff>
    </xdr:from>
    <xdr:to>
      <xdr:col>2</xdr:col>
      <xdr:colOff>304441</xdr:colOff>
      <xdr:row>75</xdr:row>
      <xdr:rowOff>25512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385" y="17982235"/>
          <a:ext cx="590531" cy="588452"/>
        </a:xfrm>
        <a:prstGeom prst="rect">
          <a:avLst/>
        </a:prstGeom>
      </xdr:spPr>
    </xdr:pic>
    <xdr:clientData/>
  </xdr:twoCellAnchor>
  <xdr:twoCellAnchor editAs="oneCell">
    <xdr:from>
      <xdr:col>1</xdr:col>
      <xdr:colOff>161588</xdr:colOff>
      <xdr:row>26</xdr:row>
      <xdr:rowOff>193684</xdr:rowOff>
    </xdr:from>
    <xdr:to>
      <xdr:col>2</xdr:col>
      <xdr:colOff>335515</xdr:colOff>
      <xdr:row>28</xdr:row>
      <xdr:rowOff>374754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70" y="6211752"/>
          <a:ext cx="751488" cy="752570"/>
        </a:xfrm>
        <a:prstGeom prst="rect">
          <a:avLst/>
        </a:prstGeom>
      </xdr:spPr>
    </xdr:pic>
    <xdr:clientData/>
  </xdr:twoCellAnchor>
  <xdr:twoCellAnchor editAs="oneCell">
    <xdr:from>
      <xdr:col>1</xdr:col>
      <xdr:colOff>213542</xdr:colOff>
      <xdr:row>35</xdr:row>
      <xdr:rowOff>69273</xdr:rowOff>
    </xdr:from>
    <xdr:to>
      <xdr:col>2</xdr:col>
      <xdr:colOff>273346</xdr:colOff>
      <xdr:row>38</xdr:row>
      <xdr:rowOff>136009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724" y="9317182"/>
          <a:ext cx="637365" cy="638236"/>
        </a:xfrm>
        <a:prstGeom prst="rect">
          <a:avLst/>
        </a:prstGeom>
      </xdr:spPr>
    </xdr:pic>
    <xdr:clientData/>
  </xdr:twoCellAnchor>
  <xdr:twoCellAnchor editAs="oneCell">
    <xdr:from>
      <xdr:col>1</xdr:col>
      <xdr:colOff>230858</xdr:colOff>
      <xdr:row>42</xdr:row>
      <xdr:rowOff>23584</xdr:rowOff>
    </xdr:from>
    <xdr:to>
      <xdr:col>2</xdr:col>
      <xdr:colOff>323305</xdr:colOff>
      <xdr:row>45</xdr:row>
      <xdr:rowOff>126420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40" y="10821470"/>
          <a:ext cx="670008" cy="674336"/>
        </a:xfrm>
        <a:prstGeom prst="rect">
          <a:avLst/>
        </a:prstGeom>
      </xdr:spPr>
    </xdr:pic>
    <xdr:clientData/>
  </xdr:twoCellAnchor>
  <xdr:twoCellAnchor editAs="oneCell">
    <xdr:from>
      <xdr:col>1</xdr:col>
      <xdr:colOff>192666</xdr:colOff>
      <xdr:row>90</xdr:row>
      <xdr:rowOff>188801</xdr:rowOff>
    </xdr:from>
    <xdr:to>
      <xdr:col>2</xdr:col>
      <xdr:colOff>413999</xdr:colOff>
      <xdr:row>93</xdr:row>
      <xdr:rowOff>302545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848" y="22278142"/>
          <a:ext cx="798894" cy="806471"/>
        </a:xfrm>
        <a:prstGeom prst="rect">
          <a:avLst/>
        </a:prstGeom>
      </xdr:spPr>
    </xdr:pic>
    <xdr:clientData/>
  </xdr:twoCellAnchor>
  <xdr:twoCellAnchor editAs="oneCell">
    <xdr:from>
      <xdr:col>1</xdr:col>
      <xdr:colOff>123392</xdr:colOff>
      <xdr:row>98</xdr:row>
      <xdr:rowOff>287068</xdr:rowOff>
    </xdr:from>
    <xdr:to>
      <xdr:col>2</xdr:col>
      <xdr:colOff>562895</xdr:colOff>
      <xdr:row>100</xdr:row>
      <xdr:rowOff>157811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574" y="24679727"/>
          <a:ext cx="1017064" cy="1022402"/>
        </a:xfrm>
        <a:prstGeom prst="rect">
          <a:avLst/>
        </a:prstGeom>
      </xdr:spPr>
    </xdr:pic>
    <xdr:clientData/>
  </xdr:twoCellAnchor>
  <xdr:twoCellAnchor editAs="oneCell">
    <xdr:from>
      <xdr:col>1</xdr:col>
      <xdr:colOff>158029</xdr:colOff>
      <xdr:row>101</xdr:row>
      <xdr:rowOff>62259</xdr:rowOff>
    </xdr:from>
    <xdr:to>
      <xdr:col>2</xdr:col>
      <xdr:colOff>513484</xdr:colOff>
      <xdr:row>101</xdr:row>
      <xdr:rowOff>753341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32" b="11990"/>
        <a:stretch/>
      </xdr:blipFill>
      <xdr:spPr>
        <a:xfrm>
          <a:off x="331211" y="26325282"/>
          <a:ext cx="933016" cy="691082"/>
        </a:xfrm>
        <a:prstGeom prst="rect">
          <a:avLst/>
        </a:prstGeom>
      </xdr:spPr>
    </xdr:pic>
    <xdr:clientData/>
  </xdr:twoCellAnchor>
  <xdr:twoCellAnchor editAs="oneCell">
    <xdr:from>
      <xdr:col>1</xdr:col>
      <xdr:colOff>193749</xdr:colOff>
      <xdr:row>101</xdr:row>
      <xdr:rowOff>710045</xdr:rowOff>
    </xdr:from>
    <xdr:to>
      <xdr:col>2</xdr:col>
      <xdr:colOff>476044</xdr:colOff>
      <xdr:row>103</xdr:row>
      <xdr:rowOff>350012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931" y="26973068"/>
          <a:ext cx="859856" cy="860899"/>
        </a:xfrm>
        <a:prstGeom prst="rect">
          <a:avLst/>
        </a:prstGeom>
      </xdr:spPr>
    </xdr:pic>
    <xdr:clientData/>
  </xdr:twoCellAnchor>
  <xdr:twoCellAnchor editAs="oneCell">
    <xdr:from>
      <xdr:col>1</xdr:col>
      <xdr:colOff>228384</xdr:colOff>
      <xdr:row>108</xdr:row>
      <xdr:rowOff>19720</xdr:rowOff>
    </xdr:from>
    <xdr:to>
      <xdr:col>2</xdr:col>
      <xdr:colOff>383053</xdr:colOff>
      <xdr:row>112</xdr:row>
      <xdr:rowOff>557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566" y="29451970"/>
          <a:ext cx="732230" cy="733312"/>
        </a:xfrm>
        <a:prstGeom prst="rect">
          <a:avLst/>
        </a:prstGeom>
      </xdr:spPr>
    </xdr:pic>
    <xdr:clientData/>
  </xdr:twoCellAnchor>
  <xdr:twoCellAnchor editAs="oneCell">
    <xdr:from>
      <xdr:col>1</xdr:col>
      <xdr:colOff>227301</xdr:colOff>
      <xdr:row>94</xdr:row>
      <xdr:rowOff>43023</xdr:rowOff>
    </xdr:from>
    <xdr:to>
      <xdr:col>2</xdr:col>
      <xdr:colOff>389376</xdr:colOff>
      <xdr:row>96</xdr:row>
      <xdr:rowOff>13082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483" y="23188773"/>
          <a:ext cx="739636" cy="740718"/>
        </a:xfrm>
        <a:prstGeom prst="rect">
          <a:avLst/>
        </a:prstGeom>
      </xdr:spPr>
    </xdr:pic>
    <xdr:clientData/>
  </xdr:twoCellAnchor>
  <xdr:twoCellAnchor editAs="oneCell">
    <xdr:from>
      <xdr:col>1</xdr:col>
      <xdr:colOff>97416</xdr:colOff>
      <xdr:row>99</xdr:row>
      <xdr:rowOff>450259</xdr:rowOff>
    </xdr:from>
    <xdr:to>
      <xdr:col>3</xdr:col>
      <xdr:colOff>6266</xdr:colOff>
      <xdr:row>101</xdr:row>
      <xdr:rowOff>172409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598" y="25371123"/>
          <a:ext cx="1067436" cy="1064309"/>
        </a:xfrm>
        <a:prstGeom prst="rect">
          <a:avLst/>
        </a:prstGeom>
      </xdr:spPr>
    </xdr:pic>
    <xdr:clientData/>
  </xdr:twoCellAnchor>
  <xdr:twoCellAnchor editAs="oneCell">
    <xdr:from>
      <xdr:col>1</xdr:col>
      <xdr:colOff>176429</xdr:colOff>
      <xdr:row>112</xdr:row>
      <xdr:rowOff>130120</xdr:rowOff>
    </xdr:from>
    <xdr:to>
      <xdr:col>2</xdr:col>
      <xdr:colOff>360728</xdr:colOff>
      <xdr:row>115</xdr:row>
      <xdr:rowOff>35812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611" y="30324370"/>
          <a:ext cx="761860" cy="762942"/>
        </a:xfrm>
        <a:prstGeom prst="rect">
          <a:avLst/>
        </a:prstGeom>
      </xdr:spPr>
    </xdr:pic>
    <xdr:clientData/>
  </xdr:twoCellAnchor>
  <xdr:twoCellAnchor editAs="oneCell">
    <xdr:from>
      <xdr:col>1</xdr:col>
      <xdr:colOff>294409</xdr:colOff>
      <xdr:row>83</xdr:row>
      <xdr:rowOff>103910</xdr:rowOff>
    </xdr:from>
    <xdr:to>
      <xdr:col>2</xdr:col>
      <xdr:colOff>302201</xdr:colOff>
      <xdr:row>86</xdr:row>
      <xdr:rowOff>117763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591" y="20859751"/>
          <a:ext cx="585353" cy="585353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138548</xdr:colOff>
      <xdr:row>96</xdr:row>
      <xdr:rowOff>129887</xdr:rowOff>
    </xdr:from>
    <xdr:to>
      <xdr:col>2</xdr:col>
      <xdr:colOff>487507</xdr:colOff>
      <xdr:row>99</xdr:row>
      <xdr:rowOff>51952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BEBA8EAE-BF5A-486C-A8C5-ECC9F3942E4B}">
              <a14:imgProps xmlns:a14="http://schemas.microsoft.com/office/drawing/2010/main">
                <a14:imgLayer r:embed="rId34">
                  <a14:imgEffect>
                    <a14:colorTemperature colorTemp="11200"/>
                  </a14:imgEffect>
                  <a14:imgEffect>
                    <a14:saturation sat="0"/>
                  </a14:imgEffect>
                  <a14:imgEffect>
                    <a14:brightnessContrast bright="-4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730" y="24046296"/>
          <a:ext cx="926520" cy="926520"/>
        </a:xfrm>
        <a:prstGeom prst="rect">
          <a:avLst/>
        </a:prstGeom>
      </xdr:spPr>
    </xdr:pic>
    <xdr:clientData/>
  </xdr:twoCellAnchor>
  <xdr:twoCellAnchor editAs="oneCell">
    <xdr:from>
      <xdr:col>1</xdr:col>
      <xdr:colOff>226221</xdr:colOff>
      <xdr:row>76</xdr:row>
      <xdr:rowOff>0</xdr:rowOff>
    </xdr:from>
    <xdr:to>
      <xdr:col>2</xdr:col>
      <xdr:colOff>359570</xdr:colOff>
      <xdr:row>78</xdr:row>
      <xdr:rowOff>323850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9" y="18728531"/>
          <a:ext cx="711992" cy="711992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82</xdr:row>
      <xdr:rowOff>95249</xdr:rowOff>
    </xdr:from>
    <xdr:to>
      <xdr:col>2</xdr:col>
      <xdr:colOff>314326</xdr:colOff>
      <xdr:row>82</xdr:row>
      <xdr:rowOff>726280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20300155"/>
          <a:ext cx="631031" cy="631031"/>
        </a:xfrm>
        <a:prstGeom prst="rect">
          <a:avLst/>
        </a:prstGeom>
      </xdr:spPr>
    </xdr:pic>
    <xdr:clientData/>
  </xdr:twoCellAnchor>
  <xdr:twoCellAnchor editAs="oneCell">
    <xdr:from>
      <xdr:col>1</xdr:col>
      <xdr:colOff>178595</xdr:colOff>
      <xdr:row>104</xdr:row>
      <xdr:rowOff>1</xdr:rowOff>
    </xdr:from>
    <xdr:to>
      <xdr:col>2</xdr:col>
      <xdr:colOff>457202</xdr:colOff>
      <xdr:row>106</xdr:row>
      <xdr:rowOff>23813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BEBA8EAE-BF5A-486C-A8C5-ECC9F3942E4B}">
              <a14:imgProps xmlns:a14="http://schemas.microsoft.com/office/drawing/2010/main">
                <a14:imgLayer r:embed="rId38">
                  <a14:imgEffect>
                    <a14:backgroundRemoval t="8125" b="91063" l="10000" r="90438">
                      <a14:foregroundMark x1="79688" y1="8125" x2="71750" y2="8313"/>
                      <a14:foregroundMark x1="89938" y1="14313" x2="90438" y2="19875"/>
                      <a14:foregroundMark x1="34500" y1="91063" x2="51063" y2="91063"/>
                    </a14:backgroundRemoval>
                  </a14:imgEffect>
                  <a14:imgEffect>
                    <a14:sharpenSoften amount="50000"/>
                  </a14:imgEffect>
                  <a14:imgEffect>
                    <a14:saturation sat="0"/>
                  </a14:imgEffect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3" y="28063032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202409</xdr:colOff>
      <xdr:row>105</xdr:row>
      <xdr:rowOff>476253</xdr:rowOff>
    </xdr:from>
    <xdr:to>
      <xdr:col>2</xdr:col>
      <xdr:colOff>350045</xdr:colOff>
      <xdr:row>107</xdr:row>
      <xdr:rowOff>511969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BEBA8EAE-BF5A-486C-A8C5-ECC9F3942E4B}">
              <a14:imgProps xmlns:a14="http://schemas.microsoft.com/office/drawing/2010/main">
                <a14:imgLayer r:embed="rId40">
                  <a14:imgEffect>
                    <a14:backgroundRemoval t="10000" b="91224" l="6939" r="90204">
                      <a14:foregroundMark x1="90612" y1="23878" x2="90612" y2="23878"/>
                      <a14:foregroundMark x1="6939" y1="47347" x2="6939" y2="47347"/>
                      <a14:foregroundMark x1="41020" y1="91224" x2="41020" y2="91224"/>
                    </a14:backgroundRemoval>
                  </a14:imgEffect>
                  <a14:imgEffect>
                    <a14:saturation sat="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7" y="28872659"/>
          <a:ext cx="726279" cy="72627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510225</xdr:colOff>
      <xdr:row>5</xdr:row>
      <xdr:rowOff>11077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4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CxnSpPr/>
      </xdr:nvCxnSpPr>
      <xdr:spPr>
        <a:xfrm>
          <a:off x="9315450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66675</xdr:colOff>
      <xdr:row>1</xdr:row>
      <xdr:rowOff>19050</xdr:rowOff>
    </xdr:from>
    <xdr:to>
      <xdr:col>13</xdr:col>
      <xdr:colOff>131445</xdr:colOff>
      <xdr:row>5</xdr:row>
      <xdr:rowOff>40959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791700" y="257175"/>
          <a:ext cx="786765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117938</xdr:colOff>
      <xdr:row>7</xdr:row>
      <xdr:rowOff>133350</xdr:rowOff>
    </xdr:from>
    <xdr:to>
      <xdr:col>2</xdr:col>
      <xdr:colOff>513679</xdr:colOff>
      <xdr:row>8</xdr:row>
      <xdr:rowOff>215265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338" y="1790700"/>
          <a:ext cx="984386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9</xdr:row>
      <xdr:rowOff>57150</xdr:rowOff>
    </xdr:from>
    <xdr:to>
      <xdr:col>2</xdr:col>
      <xdr:colOff>339151</xdr:colOff>
      <xdr:row>10</xdr:row>
      <xdr:rowOff>247650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1475" y="2609850"/>
          <a:ext cx="701101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</xdr:row>
      <xdr:rowOff>66675</xdr:rowOff>
    </xdr:from>
    <xdr:to>
      <xdr:col>2</xdr:col>
      <xdr:colOff>511774</xdr:colOff>
      <xdr:row>12</xdr:row>
      <xdr:rowOff>329565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3590925"/>
          <a:ext cx="1054699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</xdr:row>
      <xdr:rowOff>47625</xdr:rowOff>
    </xdr:from>
    <xdr:to>
      <xdr:col>2</xdr:col>
      <xdr:colOff>513679</xdr:colOff>
      <xdr:row>14</xdr:row>
      <xdr:rowOff>304800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025" y="4772025"/>
          <a:ext cx="1054699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47624</xdr:rowOff>
    </xdr:from>
    <xdr:to>
      <xdr:col>2</xdr:col>
      <xdr:colOff>523586</xdr:colOff>
      <xdr:row>16</xdr:row>
      <xdr:rowOff>266699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0025" y="5915024"/>
          <a:ext cx="1060796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17</xdr:row>
      <xdr:rowOff>57150</xdr:rowOff>
    </xdr:from>
    <xdr:to>
      <xdr:col>2</xdr:col>
      <xdr:colOff>513679</xdr:colOff>
      <xdr:row>18</xdr:row>
      <xdr:rowOff>247650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7029450"/>
          <a:ext cx="1054699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47625</xdr:rowOff>
    </xdr:from>
    <xdr:to>
      <xdr:col>2</xdr:col>
      <xdr:colOff>513679</xdr:colOff>
      <xdr:row>19</xdr:row>
      <xdr:rowOff>862965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" y="8124825"/>
          <a:ext cx="1054699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20</xdr:row>
      <xdr:rowOff>47625</xdr:rowOff>
    </xdr:from>
    <xdr:to>
      <xdr:col>2</xdr:col>
      <xdr:colOff>530824</xdr:colOff>
      <xdr:row>20</xdr:row>
      <xdr:rowOff>901065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9550" y="9344025"/>
          <a:ext cx="1054699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21</xdr:row>
      <xdr:rowOff>76200</xdr:rowOff>
    </xdr:from>
    <xdr:to>
      <xdr:col>2</xdr:col>
      <xdr:colOff>530824</xdr:colOff>
      <xdr:row>22</xdr:row>
      <xdr:rowOff>215265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9550" y="10544175"/>
          <a:ext cx="1054699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23</xdr:row>
      <xdr:rowOff>57150</xdr:rowOff>
    </xdr:from>
    <xdr:to>
      <xdr:col>2</xdr:col>
      <xdr:colOff>513679</xdr:colOff>
      <xdr:row>23</xdr:row>
      <xdr:rowOff>857250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0025" y="11420475"/>
          <a:ext cx="1054699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24</xdr:row>
      <xdr:rowOff>95250</xdr:rowOff>
    </xdr:from>
    <xdr:to>
      <xdr:col>2</xdr:col>
      <xdr:colOff>520918</xdr:colOff>
      <xdr:row>25</xdr:row>
      <xdr:rowOff>253365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9550" y="12763500"/>
          <a:ext cx="104860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27</xdr:row>
      <xdr:rowOff>219075</xdr:rowOff>
    </xdr:from>
    <xdr:to>
      <xdr:col>2</xdr:col>
      <xdr:colOff>506059</xdr:colOff>
      <xdr:row>28</xdr:row>
      <xdr:rowOff>264098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0975" y="13839825"/>
          <a:ext cx="1054699" cy="502223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29</xdr:row>
      <xdr:rowOff>38100</xdr:rowOff>
    </xdr:from>
    <xdr:to>
      <xdr:col>2</xdr:col>
      <xdr:colOff>513679</xdr:colOff>
      <xdr:row>30</xdr:row>
      <xdr:rowOff>191572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0025" y="14573250"/>
          <a:ext cx="1054699" cy="51542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31</xdr:row>
      <xdr:rowOff>66674</xdr:rowOff>
    </xdr:from>
    <xdr:to>
      <xdr:col>2</xdr:col>
      <xdr:colOff>513679</xdr:colOff>
      <xdr:row>32</xdr:row>
      <xdr:rowOff>209549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1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0025" y="15325724"/>
          <a:ext cx="1054699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33</xdr:row>
      <xdr:rowOff>85725</xdr:rowOff>
    </xdr:from>
    <xdr:to>
      <xdr:col>2</xdr:col>
      <xdr:colOff>530824</xdr:colOff>
      <xdr:row>34</xdr:row>
      <xdr:rowOff>281940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1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9550" y="16068675"/>
          <a:ext cx="1054699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35</xdr:row>
      <xdr:rowOff>123824</xdr:rowOff>
    </xdr:from>
    <xdr:to>
      <xdr:col>2</xdr:col>
      <xdr:colOff>513679</xdr:colOff>
      <xdr:row>36</xdr:row>
      <xdr:rowOff>419099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1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0025" y="16830674"/>
          <a:ext cx="1054699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38</xdr:row>
      <xdr:rowOff>104774</xdr:rowOff>
    </xdr:from>
    <xdr:to>
      <xdr:col>2</xdr:col>
      <xdr:colOff>516345</xdr:colOff>
      <xdr:row>39</xdr:row>
      <xdr:rowOff>152399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1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9075" y="18126074"/>
          <a:ext cx="103641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95843</xdr:colOff>
      <xdr:row>40</xdr:row>
      <xdr:rowOff>68376</xdr:rowOff>
    </xdr:from>
    <xdr:to>
      <xdr:col>2</xdr:col>
      <xdr:colOff>479178</xdr:colOff>
      <xdr:row>41</xdr:row>
      <xdr:rowOff>318134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1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8243" y="18965976"/>
          <a:ext cx="964360" cy="617423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</xdr:row>
      <xdr:rowOff>47625</xdr:rowOff>
    </xdr:from>
    <xdr:to>
      <xdr:col>2</xdr:col>
      <xdr:colOff>530824</xdr:colOff>
      <xdr:row>43</xdr:row>
      <xdr:rowOff>611847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1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9550" y="20059650"/>
          <a:ext cx="1054699" cy="56422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44</xdr:row>
      <xdr:rowOff>123825</xdr:rowOff>
    </xdr:from>
    <xdr:to>
      <xdr:col>2</xdr:col>
      <xdr:colOff>513679</xdr:colOff>
      <xdr:row>45</xdr:row>
      <xdr:rowOff>367665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1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0025" y="20812125"/>
          <a:ext cx="1054699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47</xdr:row>
      <xdr:rowOff>38100</xdr:rowOff>
    </xdr:from>
    <xdr:to>
      <xdr:col>2</xdr:col>
      <xdr:colOff>513679</xdr:colOff>
      <xdr:row>48</xdr:row>
      <xdr:rowOff>247295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1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0025" y="22069425"/>
          <a:ext cx="1054699" cy="56162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49</xdr:row>
      <xdr:rowOff>57150</xdr:rowOff>
    </xdr:from>
    <xdr:to>
      <xdr:col>2</xdr:col>
      <xdr:colOff>530824</xdr:colOff>
      <xdr:row>50</xdr:row>
      <xdr:rowOff>171450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1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9550" y="22793325"/>
          <a:ext cx="1054699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146685</xdr:colOff>
      <xdr:row>51</xdr:row>
      <xdr:rowOff>11430</xdr:rowOff>
    </xdr:from>
    <xdr:to>
      <xdr:col>2</xdr:col>
      <xdr:colOff>457200</xdr:colOff>
      <xdr:row>52</xdr:row>
      <xdr:rowOff>218037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1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06705" y="23473410"/>
          <a:ext cx="904875" cy="477117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</xdr:row>
      <xdr:rowOff>66674</xdr:rowOff>
    </xdr:from>
    <xdr:to>
      <xdr:col>2</xdr:col>
      <xdr:colOff>513679</xdr:colOff>
      <xdr:row>54</xdr:row>
      <xdr:rowOff>304799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id="{00000000-0008-0000-1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0025" y="24536399"/>
          <a:ext cx="10546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139065</xdr:rowOff>
    </xdr:from>
    <xdr:to>
      <xdr:col>2</xdr:col>
      <xdr:colOff>523586</xdr:colOff>
      <xdr:row>56</xdr:row>
      <xdr:rowOff>247616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id="{00000000-0008-0000-1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7645" y="24774525"/>
          <a:ext cx="1074131" cy="55051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57</xdr:row>
      <xdr:rowOff>57150</xdr:rowOff>
    </xdr:from>
    <xdr:to>
      <xdr:col>2</xdr:col>
      <xdr:colOff>515203</xdr:colOff>
      <xdr:row>59</xdr:row>
      <xdr:rowOff>24765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id="{00000000-0008-0000-1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0025" y="26374725"/>
          <a:ext cx="1048603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61</xdr:row>
      <xdr:rowOff>123825</xdr:rowOff>
    </xdr:from>
    <xdr:to>
      <xdr:col>2</xdr:col>
      <xdr:colOff>475579</xdr:colOff>
      <xdr:row>64</xdr:row>
      <xdr:rowOff>15240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id="{00000000-0008-0000-1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1925" y="27489150"/>
          <a:ext cx="1054699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67</xdr:row>
      <xdr:rowOff>85724</xdr:rowOff>
    </xdr:from>
    <xdr:to>
      <xdr:col>2</xdr:col>
      <xdr:colOff>530824</xdr:colOff>
      <xdr:row>69</xdr:row>
      <xdr:rowOff>54314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00000000-0008-0000-1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9550" y="28603574"/>
          <a:ext cx="1054699" cy="362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71</xdr:row>
      <xdr:rowOff>85725</xdr:rowOff>
    </xdr:from>
    <xdr:to>
      <xdr:col>2</xdr:col>
      <xdr:colOff>544159</xdr:colOff>
      <xdr:row>73</xdr:row>
      <xdr:rowOff>133350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id="{00000000-0008-0000-1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9075" y="29356050"/>
          <a:ext cx="1054699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76</xdr:row>
      <xdr:rowOff>66675</xdr:rowOff>
    </xdr:from>
    <xdr:to>
      <xdr:col>2</xdr:col>
      <xdr:colOff>520918</xdr:colOff>
      <xdr:row>77</xdr:row>
      <xdr:rowOff>100965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00000000-0008-0000-1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9550" y="30099000"/>
          <a:ext cx="1048603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78</xdr:row>
      <xdr:rowOff>38100</xdr:rowOff>
    </xdr:from>
    <xdr:to>
      <xdr:col>2</xdr:col>
      <xdr:colOff>513679</xdr:colOff>
      <xdr:row>79</xdr:row>
      <xdr:rowOff>53340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00000000-0008-0000-1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0025" y="30946725"/>
          <a:ext cx="1054699" cy="4095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80</xdr:row>
      <xdr:rowOff>57150</xdr:rowOff>
    </xdr:from>
    <xdr:to>
      <xdr:col>2</xdr:col>
      <xdr:colOff>513679</xdr:colOff>
      <xdr:row>81</xdr:row>
      <xdr:rowOff>132252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1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0025" y="31765875"/>
          <a:ext cx="1054699" cy="456102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82</xdr:row>
      <xdr:rowOff>47624</xdr:rowOff>
    </xdr:from>
    <xdr:to>
      <xdr:col>2</xdr:col>
      <xdr:colOff>513679</xdr:colOff>
      <xdr:row>83</xdr:row>
      <xdr:rowOff>38099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1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0025" y="32518349"/>
          <a:ext cx="1054699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84</xdr:row>
      <xdr:rowOff>76199</xdr:rowOff>
    </xdr:from>
    <xdr:to>
      <xdr:col>2</xdr:col>
      <xdr:colOff>520918</xdr:colOff>
      <xdr:row>84</xdr:row>
      <xdr:rowOff>584834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id="{00000000-0008-0000-1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9550" y="33461324"/>
          <a:ext cx="1048603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100926</xdr:colOff>
      <xdr:row>85</xdr:row>
      <xdr:rowOff>85210</xdr:rowOff>
    </xdr:from>
    <xdr:to>
      <xdr:col>2</xdr:col>
      <xdr:colOff>453813</xdr:colOff>
      <xdr:row>86</xdr:row>
      <xdr:rowOff>419100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1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53326" y="34460935"/>
          <a:ext cx="933912" cy="867290"/>
        </a:xfrm>
        <a:prstGeom prst="rect">
          <a:avLst/>
        </a:prstGeom>
      </xdr:spPr>
    </xdr:pic>
    <xdr:clientData/>
  </xdr:twoCellAnchor>
  <xdr:twoCellAnchor editAs="oneCell">
    <xdr:from>
      <xdr:col>1</xdr:col>
      <xdr:colOff>104814</xdr:colOff>
      <xdr:row>87</xdr:row>
      <xdr:rowOff>50364</xdr:rowOff>
    </xdr:from>
    <xdr:to>
      <xdr:col>2</xdr:col>
      <xdr:colOff>477064</xdr:colOff>
      <xdr:row>87</xdr:row>
      <xdr:rowOff>533400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1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57214" y="35492889"/>
          <a:ext cx="953275" cy="483036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88</xdr:row>
      <xdr:rowOff>57150</xdr:rowOff>
    </xdr:from>
    <xdr:to>
      <xdr:col>2</xdr:col>
      <xdr:colOff>513679</xdr:colOff>
      <xdr:row>88</xdr:row>
      <xdr:rowOff>552450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1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0025" y="36233100"/>
          <a:ext cx="1054699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89</xdr:row>
      <xdr:rowOff>47625</xdr:rowOff>
    </xdr:from>
    <xdr:to>
      <xdr:col>2</xdr:col>
      <xdr:colOff>530824</xdr:colOff>
      <xdr:row>89</xdr:row>
      <xdr:rowOff>228600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1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9550" y="37109400"/>
          <a:ext cx="1054699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90</xdr:row>
      <xdr:rowOff>76200</xdr:rowOff>
    </xdr:from>
    <xdr:to>
      <xdr:col>2</xdr:col>
      <xdr:colOff>513679</xdr:colOff>
      <xdr:row>90</xdr:row>
      <xdr:rowOff>253365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1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0025" y="38119050"/>
          <a:ext cx="1054699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47" name="Picture 1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5400000">
          <a:off x="98776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2</xdr:row>
      <xdr:rowOff>123825</xdr:rowOff>
    </xdr:from>
    <xdr:to>
      <xdr:col>14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CxnSpPr/>
      </xdr:nvCxnSpPr>
      <xdr:spPr>
        <a:xfrm>
          <a:off x="9153525" y="485775"/>
          <a:ext cx="0" cy="5619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38100</xdr:colOff>
      <xdr:row>1</xdr:row>
      <xdr:rowOff>9525</xdr:rowOff>
    </xdr:from>
    <xdr:to>
      <xdr:col>17</xdr:col>
      <xdr:colOff>98164</xdr:colOff>
      <xdr:row>5</xdr:row>
      <xdr:rowOff>65724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658350" y="19050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33617</xdr:colOff>
      <xdr:row>13</xdr:row>
      <xdr:rowOff>11206</xdr:rowOff>
    </xdr:from>
    <xdr:to>
      <xdr:col>2</xdr:col>
      <xdr:colOff>514009</xdr:colOff>
      <xdr:row>14</xdr:row>
      <xdr:rowOff>15562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82" y="9121588"/>
          <a:ext cx="1063994" cy="292235"/>
        </a:xfrm>
        <a:prstGeom prst="rect">
          <a:avLst/>
        </a:prstGeom>
      </xdr:spPr>
    </xdr:pic>
    <xdr:clientData/>
  </xdr:twoCellAnchor>
  <xdr:twoCellAnchor editAs="oneCell">
    <xdr:from>
      <xdr:col>1</xdr:col>
      <xdr:colOff>78441</xdr:colOff>
      <xdr:row>8</xdr:row>
      <xdr:rowOff>89648</xdr:rowOff>
    </xdr:from>
    <xdr:to>
      <xdr:col>2</xdr:col>
      <xdr:colOff>518034</xdr:colOff>
      <xdr:row>9</xdr:row>
      <xdr:rowOff>91660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706" y="2241177"/>
          <a:ext cx="1007955" cy="2136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64417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98776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CxnSpPr/>
      </xdr:nvCxnSpPr>
      <xdr:spPr>
        <a:xfrm>
          <a:off x="9153525" y="485775"/>
          <a:ext cx="0" cy="5619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93345</xdr:colOff>
      <xdr:row>5</xdr:row>
      <xdr:rowOff>65724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658350" y="19050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56030</xdr:colOff>
      <xdr:row>8</xdr:row>
      <xdr:rowOff>44824</xdr:rowOff>
    </xdr:from>
    <xdr:to>
      <xdr:col>2</xdr:col>
      <xdr:colOff>524841</xdr:colOff>
      <xdr:row>8</xdr:row>
      <xdr:rowOff>723900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855" y="1835524"/>
          <a:ext cx="1053646" cy="6790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114296</xdr:colOff>
      <xdr:row>9</xdr:row>
      <xdr:rowOff>44824</xdr:rowOff>
    </xdr:from>
    <xdr:to>
      <xdr:col>2</xdr:col>
      <xdr:colOff>251264</xdr:colOff>
      <xdr:row>9</xdr:row>
      <xdr:rowOff>739140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1" y="2721349"/>
          <a:ext cx="723708" cy="688601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10</xdr:row>
      <xdr:rowOff>78442</xdr:rowOff>
    </xdr:from>
    <xdr:to>
      <xdr:col>2</xdr:col>
      <xdr:colOff>524841</xdr:colOff>
      <xdr:row>10</xdr:row>
      <xdr:rowOff>483099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5" y="3821207"/>
          <a:ext cx="1048603" cy="408467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11</xdr:row>
      <xdr:rowOff>78442</xdr:rowOff>
    </xdr:from>
    <xdr:to>
      <xdr:col>2</xdr:col>
      <xdr:colOff>517445</xdr:colOff>
      <xdr:row>11</xdr:row>
      <xdr:rowOff>358501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8089" y="4359089"/>
          <a:ext cx="1048603" cy="274344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12</xdr:row>
      <xdr:rowOff>89648</xdr:rowOff>
    </xdr:from>
    <xdr:to>
      <xdr:col>2</xdr:col>
      <xdr:colOff>517445</xdr:colOff>
      <xdr:row>12</xdr:row>
      <xdr:rowOff>312933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089" y="4784913"/>
          <a:ext cx="1048603" cy="2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13</xdr:row>
      <xdr:rowOff>33618</xdr:rowOff>
    </xdr:from>
    <xdr:to>
      <xdr:col>2</xdr:col>
      <xdr:colOff>534747</xdr:colOff>
      <xdr:row>13</xdr:row>
      <xdr:rowOff>723900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1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855" y="4948518"/>
          <a:ext cx="1059742" cy="690282"/>
        </a:xfrm>
        <a:prstGeom prst="rect">
          <a:avLst/>
        </a:prstGeom>
      </xdr:spPr>
    </xdr:pic>
    <xdr:clientData/>
  </xdr:twoCellAnchor>
  <xdr:twoCellAnchor editAs="oneCell">
    <xdr:from>
      <xdr:col>1</xdr:col>
      <xdr:colOff>64902</xdr:colOff>
      <xdr:row>14</xdr:row>
      <xdr:rowOff>56030</xdr:rowOff>
    </xdr:from>
    <xdr:to>
      <xdr:col>2</xdr:col>
      <xdr:colOff>326221</xdr:colOff>
      <xdr:row>14</xdr:row>
      <xdr:rowOff>666750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id="{00000000-0008-0000-1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8727" y="5942480"/>
          <a:ext cx="848059" cy="6107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105733</xdr:colOff>
      <xdr:row>15</xdr:row>
      <xdr:rowOff>94130</xdr:rowOff>
    </xdr:from>
    <xdr:to>
      <xdr:col>2</xdr:col>
      <xdr:colOff>384444</xdr:colOff>
      <xdr:row>15</xdr:row>
      <xdr:rowOff>742950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1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9558" y="6866405"/>
          <a:ext cx="859736" cy="64882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16</xdr:row>
      <xdr:rowOff>44823</xdr:rowOff>
    </xdr:from>
    <xdr:to>
      <xdr:col>2</xdr:col>
      <xdr:colOff>534747</xdr:colOff>
      <xdr:row>16</xdr:row>
      <xdr:rowOff>775334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id="{00000000-0008-0000-1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855" y="7702923"/>
          <a:ext cx="1059742" cy="726701"/>
        </a:xfrm>
        <a:prstGeom prst="rect">
          <a:avLst/>
        </a:prstGeom>
      </xdr:spPr>
    </xdr:pic>
    <xdr:clientData/>
  </xdr:twoCellAnchor>
  <xdr:twoCellAnchor editAs="oneCell">
    <xdr:from>
      <xdr:col>1</xdr:col>
      <xdr:colOff>302562</xdr:colOff>
      <xdr:row>17</xdr:row>
      <xdr:rowOff>33618</xdr:rowOff>
    </xdr:from>
    <xdr:to>
      <xdr:col>2</xdr:col>
      <xdr:colOff>263074</xdr:colOff>
      <xdr:row>17</xdr:row>
      <xdr:rowOff>662940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00000000-0008-0000-1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54962" y="8701368"/>
          <a:ext cx="541537" cy="623607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313768</xdr:colOff>
      <xdr:row>18</xdr:row>
      <xdr:rowOff>33617</xdr:rowOff>
    </xdr:from>
    <xdr:to>
      <xdr:col>2</xdr:col>
      <xdr:colOff>258277</xdr:colOff>
      <xdr:row>18</xdr:row>
      <xdr:rowOff>667510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1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66168" y="9587192"/>
          <a:ext cx="529344" cy="626273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313768</xdr:colOff>
      <xdr:row>19</xdr:row>
      <xdr:rowOff>56030</xdr:rowOff>
    </xdr:from>
    <xdr:to>
      <xdr:col>2</xdr:col>
      <xdr:colOff>258277</xdr:colOff>
      <xdr:row>19</xdr:row>
      <xdr:rowOff>702694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1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6168" y="10495430"/>
          <a:ext cx="529344" cy="640949"/>
        </a:xfrm>
        <a:prstGeom prst="rect">
          <a:avLst/>
        </a:prstGeom>
      </xdr:spPr>
    </xdr:pic>
    <xdr:clientData/>
  </xdr:twoCellAnchor>
  <xdr:twoCellAnchor editAs="oneCell">
    <xdr:from>
      <xdr:col>1</xdr:col>
      <xdr:colOff>251575</xdr:colOff>
      <xdr:row>20</xdr:row>
      <xdr:rowOff>109818</xdr:rowOff>
    </xdr:from>
    <xdr:to>
      <xdr:col>2</xdr:col>
      <xdr:colOff>257050</xdr:colOff>
      <xdr:row>20</xdr:row>
      <xdr:rowOff>727353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00000000-0008-0000-1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03975" y="11435043"/>
          <a:ext cx="590310" cy="617535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268944</xdr:colOff>
      <xdr:row>21</xdr:row>
      <xdr:rowOff>136712</xdr:rowOff>
    </xdr:from>
    <xdr:to>
      <xdr:col>2</xdr:col>
      <xdr:colOff>256129</xdr:colOff>
      <xdr:row>21</xdr:row>
      <xdr:rowOff>783020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1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1344" y="12347762"/>
          <a:ext cx="572020" cy="638688"/>
        </a:xfrm>
        <a:prstGeom prst="rect">
          <a:avLst/>
        </a:prstGeom>
      </xdr:spPr>
    </xdr:pic>
    <xdr:clientData/>
  </xdr:twoCellAnchor>
  <xdr:twoCellAnchor editAs="oneCell">
    <xdr:from>
      <xdr:col>1</xdr:col>
      <xdr:colOff>347386</xdr:colOff>
      <xdr:row>22</xdr:row>
      <xdr:rowOff>67236</xdr:rowOff>
    </xdr:from>
    <xdr:to>
      <xdr:col>2</xdr:col>
      <xdr:colOff>201971</xdr:colOff>
      <xdr:row>22</xdr:row>
      <xdr:rowOff>701040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id="{00000000-0008-0000-1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9786" y="13164111"/>
          <a:ext cx="431800" cy="628089"/>
        </a:xfrm>
        <a:prstGeom prst="rect">
          <a:avLst/>
        </a:prstGeom>
      </xdr:spPr>
    </xdr:pic>
    <xdr:clientData/>
  </xdr:twoCellAnchor>
  <xdr:twoCellAnchor editAs="oneCell">
    <xdr:from>
      <xdr:col>1</xdr:col>
      <xdr:colOff>324974</xdr:colOff>
      <xdr:row>23</xdr:row>
      <xdr:rowOff>33616</xdr:rowOff>
    </xdr:from>
    <xdr:to>
      <xdr:col>2</xdr:col>
      <xdr:colOff>168129</xdr:colOff>
      <xdr:row>23</xdr:row>
      <xdr:rowOff>664337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1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77374" y="14016316"/>
          <a:ext cx="431800" cy="638341"/>
        </a:xfrm>
        <a:prstGeom prst="rect">
          <a:avLst/>
        </a:prstGeom>
      </xdr:spPr>
    </xdr:pic>
    <xdr:clientData/>
  </xdr:twoCellAnchor>
  <xdr:twoCellAnchor editAs="oneCell">
    <xdr:from>
      <xdr:col>1</xdr:col>
      <xdr:colOff>151410</xdr:colOff>
      <xdr:row>24</xdr:row>
      <xdr:rowOff>71860</xdr:rowOff>
    </xdr:from>
    <xdr:to>
      <xdr:col>2</xdr:col>
      <xdr:colOff>362434</xdr:colOff>
      <xdr:row>24</xdr:row>
      <xdr:rowOff>701596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id="{00000000-0008-0000-1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3810" y="14940385"/>
          <a:ext cx="792049" cy="63735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190502</xdr:colOff>
      <xdr:row>25</xdr:row>
      <xdr:rowOff>44824</xdr:rowOff>
    </xdr:from>
    <xdr:to>
      <xdr:col>2</xdr:col>
      <xdr:colOff>402496</xdr:colOff>
      <xdr:row>25</xdr:row>
      <xdr:rowOff>685800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1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2902" y="15799174"/>
          <a:ext cx="785399" cy="640976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145678</xdr:colOff>
      <xdr:row>26</xdr:row>
      <xdr:rowOff>33618</xdr:rowOff>
    </xdr:from>
    <xdr:to>
      <xdr:col>2</xdr:col>
      <xdr:colOff>397300</xdr:colOff>
      <xdr:row>26</xdr:row>
      <xdr:rowOff>647700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98078" y="16673793"/>
          <a:ext cx="840267" cy="614082"/>
        </a:xfrm>
        <a:prstGeom prst="rect">
          <a:avLst/>
        </a:prstGeom>
      </xdr:spPr>
    </xdr:pic>
    <xdr:clientData/>
  </xdr:twoCellAnchor>
  <xdr:twoCellAnchor editAs="oneCell">
    <xdr:from>
      <xdr:col>1</xdr:col>
      <xdr:colOff>25774</xdr:colOff>
      <xdr:row>28</xdr:row>
      <xdr:rowOff>73397</xdr:rowOff>
    </xdr:from>
    <xdr:to>
      <xdr:col>2</xdr:col>
      <xdr:colOff>508301</xdr:colOff>
      <xdr:row>29</xdr:row>
      <xdr:rowOff>95249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00000000-0008-0000-1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8174" y="17923247"/>
          <a:ext cx="1059742" cy="52667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30</xdr:row>
      <xdr:rowOff>118802</xdr:rowOff>
    </xdr:from>
    <xdr:to>
      <xdr:col>2</xdr:col>
      <xdr:colOff>477439</xdr:colOff>
      <xdr:row>31</xdr:row>
      <xdr:rowOff>220690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1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66699" y="18978302"/>
          <a:ext cx="936545" cy="5057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64417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5400000">
          <a:off x="98776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CxnSpPr/>
      </xdr:nvCxnSpPr>
      <xdr:spPr>
        <a:xfrm>
          <a:off x="8401050" y="50482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98163</xdr:colOff>
      <xdr:row>5</xdr:row>
      <xdr:rowOff>27399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8905875" y="200025"/>
          <a:ext cx="781050" cy="781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123824</xdr:colOff>
      <xdr:row>9</xdr:row>
      <xdr:rowOff>94674</xdr:rowOff>
    </xdr:from>
    <xdr:to>
      <xdr:col>2</xdr:col>
      <xdr:colOff>524769</xdr:colOff>
      <xdr:row>11</xdr:row>
      <xdr:rowOff>111903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62" t="27369" r="9976" b="24428"/>
        <a:stretch/>
      </xdr:blipFill>
      <xdr:spPr bwMode="auto">
        <a:xfrm>
          <a:off x="228599" y="2228274"/>
          <a:ext cx="983875" cy="398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28222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68711" y="-673436"/>
          <a:ext cx="792127" cy="252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>
          <a:off x="9153525" y="485775"/>
          <a:ext cx="0" cy="5619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94354</xdr:colOff>
      <xdr:row>5</xdr:row>
      <xdr:rowOff>67629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658350" y="19050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48871</xdr:colOff>
      <xdr:row>9</xdr:row>
      <xdr:rowOff>143995</xdr:rowOff>
    </xdr:from>
    <xdr:to>
      <xdr:col>2</xdr:col>
      <xdr:colOff>544829</xdr:colOff>
      <xdr:row>13</xdr:row>
      <xdr:rowOff>97379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71" y="2210920"/>
          <a:ext cx="1075078" cy="71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66322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978236" y="-597236"/>
          <a:ext cx="792127" cy="252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55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CxnSpPr/>
      </xdr:nvCxnSpPr>
      <xdr:spPr>
        <a:xfrm>
          <a:off x="79724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11430</xdr:colOff>
      <xdr:row>5</xdr:row>
      <xdr:rowOff>57151</xdr:rowOff>
    </xdr:to>
    <xdr:pic>
      <xdr:nvPicPr>
        <xdr:cNvPr id="3" name="Picture 64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8401050" y="257175"/>
          <a:ext cx="752475" cy="80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7</xdr:row>
      <xdr:rowOff>124502</xdr:rowOff>
    </xdr:from>
    <xdr:to>
      <xdr:col>2</xdr:col>
      <xdr:colOff>506730</xdr:colOff>
      <xdr:row>10</xdr:row>
      <xdr:rowOff>150734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5275" y="1781852"/>
          <a:ext cx="942975" cy="59773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55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CxnSpPr/>
      </xdr:nvCxnSpPr>
      <xdr:spPr>
        <a:xfrm>
          <a:off x="79724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11430</xdr:colOff>
      <xdr:row>5</xdr:row>
      <xdr:rowOff>57151</xdr:rowOff>
    </xdr:to>
    <xdr:pic>
      <xdr:nvPicPr>
        <xdr:cNvPr id="3" name="Picture 64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8401050" y="257175"/>
          <a:ext cx="752475" cy="80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15</xdr:row>
      <xdr:rowOff>19293</xdr:rowOff>
    </xdr:from>
    <xdr:to>
      <xdr:col>2</xdr:col>
      <xdr:colOff>331470</xdr:colOff>
      <xdr:row>16</xdr:row>
      <xdr:rowOff>164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" y="3200643"/>
          <a:ext cx="571500" cy="58094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10</xdr:row>
      <xdr:rowOff>38101</xdr:rowOff>
    </xdr:from>
    <xdr:to>
      <xdr:col>2</xdr:col>
      <xdr:colOff>240031</xdr:colOff>
      <xdr:row>11</xdr:row>
      <xdr:rowOff>322763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9101" y="2266951"/>
          <a:ext cx="552450" cy="631372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333374</xdr:colOff>
      <xdr:row>7</xdr:row>
      <xdr:rowOff>123826</xdr:rowOff>
    </xdr:from>
    <xdr:to>
      <xdr:col>2</xdr:col>
      <xdr:colOff>201929</xdr:colOff>
      <xdr:row>9</xdr:row>
      <xdr:rowOff>209708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85774" y="1781176"/>
          <a:ext cx="447675" cy="729772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16</xdr:row>
      <xdr:rowOff>62062</xdr:rowOff>
    </xdr:from>
    <xdr:to>
      <xdr:col>2</xdr:col>
      <xdr:colOff>354331</xdr:colOff>
      <xdr:row>16</xdr:row>
      <xdr:rowOff>535645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57201" y="4548337"/>
          <a:ext cx="628650" cy="47358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17</xdr:row>
      <xdr:rowOff>57150</xdr:rowOff>
    </xdr:from>
    <xdr:to>
      <xdr:col>2</xdr:col>
      <xdr:colOff>407670</xdr:colOff>
      <xdr:row>17</xdr:row>
      <xdr:rowOff>513801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33375" y="5133975"/>
          <a:ext cx="809625" cy="452841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19</xdr:row>
      <xdr:rowOff>104775</xdr:rowOff>
    </xdr:from>
    <xdr:to>
      <xdr:col>2</xdr:col>
      <xdr:colOff>331470</xdr:colOff>
      <xdr:row>20</xdr:row>
      <xdr:rowOff>363781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3875" y="5953125"/>
          <a:ext cx="542925" cy="453316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18</xdr:row>
      <xdr:rowOff>47625</xdr:rowOff>
    </xdr:from>
    <xdr:to>
      <xdr:col>2</xdr:col>
      <xdr:colOff>265766</xdr:colOff>
      <xdr:row>18</xdr:row>
      <xdr:rowOff>521970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6250" y="5705475"/>
          <a:ext cx="522941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12</xdr:row>
      <xdr:rowOff>28575</xdr:rowOff>
    </xdr:from>
    <xdr:to>
      <xdr:col>2</xdr:col>
      <xdr:colOff>217170</xdr:colOff>
      <xdr:row>14</xdr:row>
      <xdr:rowOff>167640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8625" y="3343275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21</xdr:row>
      <xdr:rowOff>38100</xdr:rowOff>
    </xdr:from>
    <xdr:to>
      <xdr:col>2</xdr:col>
      <xdr:colOff>378515</xdr:colOff>
      <xdr:row>21</xdr:row>
      <xdr:rowOff>560070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8625" y="6943725"/>
          <a:ext cx="68331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26</xdr:row>
      <xdr:rowOff>104775</xdr:rowOff>
    </xdr:from>
    <xdr:to>
      <xdr:col>2</xdr:col>
      <xdr:colOff>304799</xdr:colOff>
      <xdr:row>27</xdr:row>
      <xdr:rowOff>255835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1475" y="8362950"/>
          <a:ext cx="666749" cy="51491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342901</xdr:colOff>
      <xdr:row>22</xdr:row>
      <xdr:rowOff>57544</xdr:rowOff>
    </xdr:from>
    <xdr:to>
      <xdr:col>2</xdr:col>
      <xdr:colOff>190854</xdr:colOff>
      <xdr:row>23</xdr:row>
      <xdr:rowOff>278130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5301" y="7553719"/>
          <a:ext cx="428978" cy="542531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314326</xdr:colOff>
      <xdr:row>25</xdr:row>
      <xdr:rowOff>35729</xdr:rowOff>
    </xdr:from>
    <xdr:to>
      <xdr:col>2</xdr:col>
      <xdr:colOff>243841</xdr:colOff>
      <xdr:row>25</xdr:row>
      <xdr:rowOff>430620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66726" y="8674904"/>
          <a:ext cx="514350" cy="392986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24</xdr:row>
      <xdr:rowOff>47625</xdr:rowOff>
    </xdr:from>
    <xdr:to>
      <xdr:col>2</xdr:col>
      <xdr:colOff>228600</xdr:colOff>
      <xdr:row>24</xdr:row>
      <xdr:rowOff>469583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28625" y="8191500"/>
          <a:ext cx="533400" cy="42005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CxnSpPr/>
      </xdr:nvCxnSpPr>
      <xdr:spPr>
        <a:xfrm>
          <a:off x="11125200" y="485775"/>
          <a:ext cx="0" cy="5619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97155</xdr:colOff>
      <xdr:row>5</xdr:row>
      <xdr:rowOff>67629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1630025" y="19050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80478</xdr:colOff>
      <xdr:row>218</xdr:row>
      <xdr:rowOff>76399</xdr:rowOff>
    </xdr:from>
    <xdr:to>
      <xdr:col>2</xdr:col>
      <xdr:colOff>513280</xdr:colOff>
      <xdr:row>220</xdr:row>
      <xdr:rowOff>76399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4" r="21825"/>
        <a:stretch/>
      </xdr:blipFill>
      <xdr:spPr bwMode="auto">
        <a:xfrm>
          <a:off x="204303" y="40014724"/>
          <a:ext cx="1017637" cy="1228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52974</xdr:colOff>
      <xdr:row>259</xdr:row>
      <xdr:rowOff>12225</xdr:rowOff>
    </xdr:from>
    <xdr:to>
      <xdr:col>2</xdr:col>
      <xdr:colOff>473316</xdr:colOff>
      <xdr:row>261</xdr:row>
      <xdr:rowOff>16035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5" r="15473"/>
        <a:stretch/>
      </xdr:blipFill>
      <xdr:spPr bwMode="auto">
        <a:xfrm>
          <a:off x="176799" y="47513400"/>
          <a:ext cx="1005177" cy="114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86591</xdr:colOff>
      <xdr:row>341</xdr:row>
      <xdr:rowOff>48899</xdr:rowOff>
    </xdr:from>
    <xdr:to>
      <xdr:col>2</xdr:col>
      <xdr:colOff>475332</xdr:colOff>
      <xdr:row>343</xdr:row>
      <xdr:rowOff>50804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95" r="21048"/>
        <a:stretch/>
      </xdr:blipFill>
      <xdr:spPr bwMode="auto">
        <a:xfrm>
          <a:off x="210416" y="62675774"/>
          <a:ext cx="973576" cy="131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105641</xdr:colOff>
      <xdr:row>378</xdr:row>
      <xdr:rowOff>8660</xdr:rowOff>
    </xdr:from>
    <xdr:ext cx="1005840" cy="1318711"/>
    <xdr:pic>
      <xdr:nvPicPr>
        <xdr:cNvPr id="15" name="Imagem 120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64" r="19173"/>
        <a:stretch/>
      </xdr:blipFill>
      <xdr:spPr bwMode="auto">
        <a:xfrm>
          <a:off x="229466" y="72474860"/>
          <a:ext cx="1005840" cy="131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69272</xdr:colOff>
      <xdr:row>440</xdr:row>
      <xdr:rowOff>103909</xdr:rowOff>
    </xdr:from>
    <xdr:to>
      <xdr:col>2</xdr:col>
      <xdr:colOff>493424</xdr:colOff>
      <xdr:row>442</xdr:row>
      <xdr:rowOff>113434</xdr:rowOff>
    </xdr:to>
    <xdr:pic>
      <xdr:nvPicPr>
        <xdr:cNvPr id="18" name="Imagem 17" descr="Swing Joints: Standard Kit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2" r="17412"/>
        <a:stretch/>
      </xdr:blipFill>
      <xdr:spPr bwMode="auto">
        <a:xfrm>
          <a:off x="193097" y="88562584"/>
          <a:ext cx="1005177" cy="145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103908</xdr:colOff>
      <xdr:row>452</xdr:row>
      <xdr:rowOff>114300</xdr:rowOff>
    </xdr:from>
    <xdr:to>
      <xdr:col>2</xdr:col>
      <xdr:colOff>502093</xdr:colOff>
      <xdr:row>454</xdr:row>
      <xdr:rowOff>125730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r="24019"/>
        <a:stretch/>
      </xdr:blipFill>
      <xdr:spPr bwMode="auto">
        <a:xfrm>
          <a:off x="227733" y="90887550"/>
          <a:ext cx="977305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69272</xdr:colOff>
      <xdr:row>472</xdr:row>
      <xdr:rowOff>142874</xdr:rowOff>
    </xdr:from>
    <xdr:to>
      <xdr:col>2</xdr:col>
      <xdr:colOff>529731</xdr:colOff>
      <xdr:row>474</xdr:row>
      <xdr:rowOff>152399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r="22181"/>
        <a:stretch/>
      </xdr:blipFill>
      <xdr:spPr bwMode="auto">
        <a:xfrm>
          <a:off x="193097" y="94678499"/>
          <a:ext cx="1041484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488</xdr:row>
      <xdr:rowOff>86591</xdr:rowOff>
    </xdr:from>
    <xdr:to>
      <xdr:col>2</xdr:col>
      <xdr:colOff>277704</xdr:colOff>
      <xdr:row>488</xdr:row>
      <xdr:rowOff>446636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16" r="19526"/>
        <a:stretch/>
      </xdr:blipFill>
      <xdr:spPr bwMode="auto">
        <a:xfrm>
          <a:off x="228600" y="101785016"/>
          <a:ext cx="752049" cy="723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155864</xdr:colOff>
      <xdr:row>490</xdr:row>
      <xdr:rowOff>121227</xdr:rowOff>
    </xdr:from>
    <xdr:to>
      <xdr:col>2</xdr:col>
      <xdr:colOff>397210</xdr:colOff>
      <xdr:row>492</xdr:row>
      <xdr:rowOff>35502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49" r="13807"/>
        <a:stretch/>
      </xdr:blipFill>
      <xdr:spPr bwMode="auto">
        <a:xfrm>
          <a:off x="279689" y="103000752"/>
          <a:ext cx="826181" cy="907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67236</xdr:colOff>
      <xdr:row>326</xdr:row>
      <xdr:rowOff>123265</xdr:rowOff>
    </xdr:from>
    <xdr:to>
      <xdr:col>2</xdr:col>
      <xdr:colOff>511033</xdr:colOff>
      <xdr:row>328</xdr:row>
      <xdr:rowOff>136600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1061" y="59892640"/>
          <a:ext cx="1028632" cy="1353110"/>
        </a:xfrm>
        <a:prstGeom prst="rect">
          <a:avLst/>
        </a:prstGeom>
      </xdr:spPr>
    </xdr:pic>
    <xdr:clientData/>
  </xdr:twoCellAnchor>
  <xdr:twoCellAnchor editAs="oneCell">
    <xdr:from>
      <xdr:col>1</xdr:col>
      <xdr:colOff>313764</xdr:colOff>
      <xdr:row>417</xdr:row>
      <xdr:rowOff>56029</xdr:rowOff>
    </xdr:from>
    <xdr:to>
      <xdr:col>2</xdr:col>
      <xdr:colOff>240030</xdr:colOff>
      <xdr:row>425</xdr:row>
      <xdr:rowOff>91440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37589" y="76808479"/>
          <a:ext cx="505386" cy="1487021"/>
        </a:xfrm>
        <a:prstGeom prst="rect">
          <a:avLst/>
        </a:prstGeom>
      </xdr:spPr>
    </xdr:pic>
    <xdr:clientData/>
  </xdr:twoCellAnchor>
  <xdr:twoCellAnchor editAs="oneCell">
    <xdr:from>
      <xdr:col>1</xdr:col>
      <xdr:colOff>100292</xdr:colOff>
      <xdr:row>9</xdr:row>
      <xdr:rowOff>146798</xdr:rowOff>
    </xdr:from>
    <xdr:to>
      <xdr:col>2</xdr:col>
      <xdr:colOff>522539</xdr:colOff>
      <xdr:row>11</xdr:row>
      <xdr:rowOff>144893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2" r="16969"/>
        <a:stretch/>
      </xdr:blipFill>
      <xdr:spPr bwMode="auto">
        <a:xfrm>
          <a:off x="252692" y="2223248"/>
          <a:ext cx="100517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66322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5400000">
          <a:off x="987761" y="-625811"/>
          <a:ext cx="792127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65</xdr:row>
      <xdr:rowOff>50800</xdr:rowOff>
    </xdr:from>
    <xdr:to>
      <xdr:col>2</xdr:col>
      <xdr:colOff>485747</xdr:colOff>
      <xdr:row>67</xdr:row>
      <xdr:rowOff>54610</xdr:rowOff>
    </xdr:to>
    <xdr:pic>
      <xdr:nvPicPr>
        <xdr:cNvPr id="4" name="Imagem 9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2" r="16969"/>
        <a:stretch/>
      </xdr:blipFill>
      <xdr:spPr bwMode="auto">
        <a:xfrm>
          <a:off x="228600" y="11988800"/>
          <a:ext cx="1021052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122</xdr:row>
      <xdr:rowOff>63500</xdr:rowOff>
    </xdr:from>
    <xdr:to>
      <xdr:col>2</xdr:col>
      <xdr:colOff>540357</xdr:colOff>
      <xdr:row>124</xdr:row>
      <xdr:rowOff>130810</xdr:rowOff>
    </xdr:to>
    <xdr:pic>
      <xdr:nvPicPr>
        <xdr:cNvPr id="6" name="Imagem 9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2" r="16969"/>
        <a:stretch/>
      </xdr:blipFill>
      <xdr:spPr bwMode="auto">
        <a:xfrm>
          <a:off x="279400" y="22136100"/>
          <a:ext cx="1021052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101600</xdr:colOff>
      <xdr:row>178</xdr:row>
      <xdr:rowOff>152400</xdr:rowOff>
    </xdr:from>
    <xdr:to>
      <xdr:col>2</xdr:col>
      <xdr:colOff>523847</xdr:colOff>
      <xdr:row>180</xdr:row>
      <xdr:rowOff>152400</xdr:rowOff>
    </xdr:to>
    <xdr:pic>
      <xdr:nvPicPr>
        <xdr:cNvPr id="9" name="Imagem 9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52" r="16969"/>
        <a:stretch/>
      </xdr:blipFill>
      <xdr:spPr bwMode="auto">
        <a:xfrm>
          <a:off x="266700" y="32181800"/>
          <a:ext cx="1021052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235</xdr:row>
      <xdr:rowOff>38100</xdr:rowOff>
    </xdr:from>
    <xdr:to>
      <xdr:col>2</xdr:col>
      <xdr:colOff>478522</xdr:colOff>
      <xdr:row>237</xdr:row>
      <xdr:rowOff>38100</xdr:rowOff>
    </xdr:to>
    <xdr:pic>
      <xdr:nvPicPr>
        <xdr:cNvPr id="13" name="Imagem 6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4" r="21825"/>
        <a:stretch/>
      </xdr:blipFill>
      <xdr:spPr bwMode="auto">
        <a:xfrm>
          <a:off x="203200" y="42341800"/>
          <a:ext cx="1033512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290</xdr:row>
      <xdr:rowOff>114300</xdr:rowOff>
    </xdr:from>
    <xdr:to>
      <xdr:col>2</xdr:col>
      <xdr:colOff>464157</xdr:colOff>
      <xdr:row>292</xdr:row>
      <xdr:rowOff>114300</xdr:rowOff>
    </xdr:to>
    <xdr:pic>
      <xdr:nvPicPr>
        <xdr:cNvPr id="14" name="Imagem 7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45" r="15473"/>
        <a:stretch/>
      </xdr:blipFill>
      <xdr:spPr bwMode="auto">
        <a:xfrm>
          <a:off x="203200" y="52336700"/>
          <a:ext cx="1021052" cy="35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77066</xdr:colOff>
      <xdr:row>395</xdr:row>
      <xdr:rowOff>110260</xdr:rowOff>
    </xdr:from>
    <xdr:ext cx="1005840" cy="1318711"/>
    <xdr:pic>
      <xdr:nvPicPr>
        <xdr:cNvPr id="16" name="Imagem 120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764" r="19173"/>
        <a:stretch/>
      </xdr:blipFill>
      <xdr:spPr bwMode="auto">
        <a:xfrm>
          <a:off x="242166" y="71420760"/>
          <a:ext cx="1005840" cy="13187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CxnSpPr/>
      </xdr:nvCxnSpPr>
      <xdr:spPr>
        <a:xfrm>
          <a:off x="9572625" y="542925"/>
          <a:ext cx="0" cy="5619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97155</xdr:colOff>
      <xdr:row>5</xdr:row>
      <xdr:rowOff>67629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0096500" y="24765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86591</xdr:colOff>
      <xdr:row>9</xdr:row>
      <xdr:rowOff>155865</xdr:rowOff>
    </xdr:from>
    <xdr:to>
      <xdr:col>2</xdr:col>
      <xdr:colOff>514553</xdr:colOff>
      <xdr:row>11</xdr:row>
      <xdr:rowOff>155865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991" y="1860840"/>
          <a:ext cx="1005177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185027</xdr:colOff>
      <xdr:row>107</xdr:row>
      <xdr:rowOff>45413</xdr:rowOff>
    </xdr:from>
    <xdr:to>
      <xdr:col>2</xdr:col>
      <xdr:colOff>391232</xdr:colOff>
      <xdr:row>109</xdr:row>
      <xdr:rowOff>47318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427" y="3379163"/>
          <a:ext cx="7853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66322</xdr:rowOff>
    </xdr:to>
    <xdr:pic>
      <xdr:nvPicPr>
        <xdr:cNvPr id="19" name="Picture 1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85</xdr:row>
      <xdr:rowOff>104775</xdr:rowOff>
    </xdr:from>
    <xdr:to>
      <xdr:col>2</xdr:col>
      <xdr:colOff>249248</xdr:colOff>
      <xdr:row>89</xdr:row>
      <xdr:rowOff>49530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225" y="14182725"/>
          <a:ext cx="702638" cy="6667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0</xdr:row>
          <xdr:rowOff>38100</xdr:rowOff>
        </xdr:from>
        <xdr:to>
          <xdr:col>13</xdr:col>
          <xdr:colOff>590550</xdr:colOff>
          <xdr:row>46</xdr:row>
          <xdr:rowOff>38100</xdr:rowOff>
        </xdr:to>
        <xdr:sp macro="" textlink="">
          <xdr:nvSpPr>
            <xdr:cNvPr id="25602" name="Object 2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1E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13</xdr:row>
      <xdr:rowOff>76200</xdr:rowOff>
    </xdr:from>
    <xdr:to>
      <xdr:col>2</xdr:col>
      <xdr:colOff>287020</xdr:colOff>
      <xdr:row>16</xdr:row>
      <xdr:rowOff>15875</xdr:rowOff>
    </xdr:to>
    <xdr:pic>
      <xdr:nvPicPr>
        <xdr:cNvPr id="97010" name="Picture 2" descr="101-3197.tif">
          <a:extLst>
            <a:ext uri="{FF2B5EF4-FFF2-40B4-BE49-F238E27FC236}">
              <a16:creationId xmlns:a16="http://schemas.microsoft.com/office/drawing/2014/main" id="{00000000-0008-0000-0300-0000F2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0670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24</xdr:row>
      <xdr:rowOff>85725</xdr:rowOff>
    </xdr:from>
    <xdr:to>
      <xdr:col>2</xdr:col>
      <xdr:colOff>287020</xdr:colOff>
      <xdr:row>25</xdr:row>
      <xdr:rowOff>206375</xdr:rowOff>
    </xdr:to>
    <xdr:pic>
      <xdr:nvPicPr>
        <xdr:cNvPr id="97011" name="Picture 4" descr="04-14trapadaptsmale.tif">
          <a:extLst>
            <a:ext uri="{FF2B5EF4-FFF2-40B4-BE49-F238E27FC236}">
              <a16:creationId xmlns:a16="http://schemas.microsoft.com/office/drawing/2014/main" id="{00000000-0008-0000-0300-0000F3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905375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</xdr:row>
      <xdr:rowOff>76200</xdr:rowOff>
    </xdr:from>
    <xdr:to>
      <xdr:col>2</xdr:col>
      <xdr:colOff>514985</xdr:colOff>
      <xdr:row>27</xdr:row>
      <xdr:rowOff>210820</xdr:rowOff>
    </xdr:to>
    <xdr:pic>
      <xdr:nvPicPr>
        <xdr:cNvPr id="97012" name="Picture 5" descr="103P3211.tif">
          <a:extLst>
            <a:ext uri="{FF2B5EF4-FFF2-40B4-BE49-F238E27FC236}">
              <a16:creationId xmlns:a16="http://schemas.microsoft.com/office/drawing/2014/main" id="{00000000-0008-0000-0300-0000F4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467350"/>
          <a:ext cx="9429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342899</xdr:colOff>
      <xdr:row>29</xdr:row>
      <xdr:rowOff>66675</xdr:rowOff>
    </xdr:from>
    <xdr:to>
      <xdr:col>2</xdr:col>
      <xdr:colOff>228599</xdr:colOff>
      <xdr:row>29</xdr:row>
      <xdr:rowOff>440639</xdr:rowOff>
    </xdr:to>
    <xdr:pic>
      <xdr:nvPicPr>
        <xdr:cNvPr id="97013" name="Picture 6" descr="06-06trapadaptsfem.tif">
          <a:extLst>
            <a:ext uri="{FF2B5EF4-FFF2-40B4-BE49-F238E27FC236}">
              <a16:creationId xmlns:a16="http://schemas.microsoft.com/office/drawing/2014/main" id="{00000000-0008-0000-0300-0000F5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95299" y="6696075"/>
          <a:ext cx="466725" cy="377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30</xdr:row>
      <xdr:rowOff>66675</xdr:rowOff>
    </xdr:from>
    <xdr:to>
      <xdr:col>2</xdr:col>
      <xdr:colOff>325120</xdr:colOff>
      <xdr:row>31</xdr:row>
      <xdr:rowOff>210820</xdr:rowOff>
    </xdr:to>
    <xdr:pic>
      <xdr:nvPicPr>
        <xdr:cNvPr id="97014" name="Picture 7" descr="07-07trapadaptfemnut.tif">
          <a:extLst>
            <a:ext uri="{FF2B5EF4-FFF2-40B4-BE49-F238E27FC236}">
              <a16:creationId xmlns:a16="http://schemas.microsoft.com/office/drawing/2014/main" id="{00000000-0008-0000-0300-0000F6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28625" y="7448550"/>
          <a:ext cx="5810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32</xdr:row>
      <xdr:rowOff>180975</xdr:rowOff>
    </xdr:from>
    <xdr:to>
      <xdr:col>2</xdr:col>
      <xdr:colOff>248920</xdr:colOff>
      <xdr:row>35</xdr:row>
      <xdr:rowOff>152400</xdr:rowOff>
    </xdr:to>
    <xdr:pic>
      <xdr:nvPicPr>
        <xdr:cNvPr id="97015" name="Picture 8" descr="08-10NEWfitcleadapt.tif">
          <a:extLst>
            <a:ext uri="{FF2B5EF4-FFF2-40B4-BE49-F238E27FC236}">
              <a16:creationId xmlns:a16="http://schemas.microsoft.com/office/drawing/2014/main" id="{00000000-0008-0000-0300-0000F7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7572375"/>
          <a:ext cx="447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38</xdr:row>
      <xdr:rowOff>38100</xdr:rowOff>
    </xdr:from>
    <xdr:to>
      <xdr:col>2</xdr:col>
      <xdr:colOff>477520</xdr:colOff>
      <xdr:row>41</xdr:row>
      <xdr:rowOff>20320</xdr:rowOff>
    </xdr:to>
    <xdr:pic>
      <xdr:nvPicPr>
        <xdr:cNvPr id="97016" name="Picture 9" descr="09-11fitcleadaptwcap.tif">
          <a:extLst>
            <a:ext uri="{FF2B5EF4-FFF2-40B4-BE49-F238E27FC236}">
              <a16:creationId xmlns:a16="http://schemas.microsoft.com/office/drawing/2014/main" id="{00000000-0008-0000-0300-0000F8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8572500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43</xdr:row>
      <xdr:rowOff>47625</xdr:rowOff>
    </xdr:from>
    <xdr:to>
      <xdr:col>2</xdr:col>
      <xdr:colOff>396875</xdr:colOff>
      <xdr:row>45</xdr:row>
      <xdr:rowOff>92075</xdr:rowOff>
    </xdr:to>
    <xdr:pic>
      <xdr:nvPicPr>
        <xdr:cNvPr id="97017" name="Picture 10" descr="10-12cleanoutplug.tif">
          <a:extLst>
            <a:ext uri="{FF2B5EF4-FFF2-40B4-BE49-F238E27FC236}">
              <a16:creationId xmlns:a16="http://schemas.microsoft.com/office/drawing/2014/main" id="{00000000-0008-0000-0300-0000F9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9534525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48</xdr:row>
      <xdr:rowOff>47625</xdr:rowOff>
    </xdr:from>
    <xdr:to>
      <xdr:col>2</xdr:col>
      <xdr:colOff>320675</xdr:colOff>
      <xdr:row>51</xdr:row>
      <xdr:rowOff>38735</xdr:rowOff>
    </xdr:to>
    <xdr:pic>
      <xdr:nvPicPr>
        <xdr:cNvPr id="97018" name="Picture 11" descr="11-03flushbusing02.tif">
          <a:extLst>
            <a:ext uri="{FF2B5EF4-FFF2-40B4-BE49-F238E27FC236}">
              <a16:creationId xmlns:a16="http://schemas.microsoft.com/office/drawing/2014/main" id="{00000000-0008-0000-0300-0000FA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4870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53</xdr:row>
      <xdr:rowOff>161925</xdr:rowOff>
    </xdr:from>
    <xdr:to>
      <xdr:col>2</xdr:col>
      <xdr:colOff>434975</xdr:colOff>
      <xdr:row>56</xdr:row>
      <xdr:rowOff>149860</xdr:rowOff>
    </xdr:to>
    <xdr:pic>
      <xdr:nvPicPr>
        <xdr:cNvPr id="97019" name="Picture 12" descr="12-13maleadapt.tif">
          <a:extLst>
            <a:ext uri="{FF2B5EF4-FFF2-40B4-BE49-F238E27FC236}">
              <a16:creationId xmlns:a16="http://schemas.microsoft.com/office/drawing/2014/main" id="{00000000-0008-0000-0300-0000FB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125325"/>
          <a:ext cx="8286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62</xdr:row>
      <xdr:rowOff>9525</xdr:rowOff>
    </xdr:from>
    <xdr:to>
      <xdr:col>2</xdr:col>
      <xdr:colOff>324485</xdr:colOff>
      <xdr:row>64</xdr:row>
      <xdr:rowOff>179716</xdr:rowOff>
    </xdr:to>
    <xdr:pic>
      <xdr:nvPicPr>
        <xdr:cNvPr id="97020" name="Picture 13" descr="13-16cap.tif">
          <a:extLst>
            <a:ext uri="{FF2B5EF4-FFF2-40B4-BE49-F238E27FC236}">
              <a16:creationId xmlns:a16="http://schemas.microsoft.com/office/drawing/2014/main" id="{00000000-0008-0000-0300-0000FC7A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3496925"/>
          <a:ext cx="628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79</xdr:row>
      <xdr:rowOff>57151</xdr:rowOff>
    </xdr:from>
    <xdr:to>
      <xdr:col>2</xdr:col>
      <xdr:colOff>326239</xdr:colOff>
      <xdr:row>81</xdr:row>
      <xdr:rowOff>114301</xdr:rowOff>
    </xdr:to>
    <xdr:pic>
      <xdr:nvPicPr>
        <xdr:cNvPr id="97024" name="Picture 17" descr="16-02repaircoupling.tif">
          <a:extLst>
            <a:ext uri="{FF2B5EF4-FFF2-40B4-BE49-F238E27FC236}">
              <a16:creationId xmlns:a16="http://schemas.microsoft.com/office/drawing/2014/main" id="{00000000-0008-0000-0300-00000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7840326"/>
          <a:ext cx="638659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83</xdr:row>
      <xdr:rowOff>76200</xdr:rowOff>
    </xdr:from>
    <xdr:to>
      <xdr:col>2</xdr:col>
      <xdr:colOff>169666</xdr:colOff>
      <xdr:row>85</xdr:row>
      <xdr:rowOff>133350</xdr:rowOff>
    </xdr:to>
    <xdr:pic>
      <xdr:nvPicPr>
        <xdr:cNvPr id="97025" name="Picture 18" descr="17-17testcap.tif">
          <a:extLst>
            <a:ext uri="{FF2B5EF4-FFF2-40B4-BE49-F238E27FC236}">
              <a16:creationId xmlns:a16="http://schemas.microsoft.com/office/drawing/2014/main" id="{00000000-0008-0000-0300-00000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18011775"/>
          <a:ext cx="388741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87</xdr:row>
      <xdr:rowOff>47625</xdr:rowOff>
    </xdr:from>
    <xdr:to>
      <xdr:col>2</xdr:col>
      <xdr:colOff>324485</xdr:colOff>
      <xdr:row>90</xdr:row>
      <xdr:rowOff>38735</xdr:rowOff>
    </xdr:to>
    <xdr:pic>
      <xdr:nvPicPr>
        <xdr:cNvPr id="97026" name="Picture 19" descr="DWV14bendHH.tif">
          <a:extLst>
            <a:ext uri="{FF2B5EF4-FFF2-40B4-BE49-F238E27FC236}">
              <a16:creationId xmlns:a16="http://schemas.microsoft.com/office/drawing/2014/main" id="{00000000-0008-0000-0300-00000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8659475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93</xdr:row>
      <xdr:rowOff>171450</xdr:rowOff>
    </xdr:from>
    <xdr:to>
      <xdr:col>2</xdr:col>
      <xdr:colOff>325120</xdr:colOff>
      <xdr:row>96</xdr:row>
      <xdr:rowOff>172085</xdr:rowOff>
    </xdr:to>
    <xdr:pic>
      <xdr:nvPicPr>
        <xdr:cNvPr id="97027" name="Picture 20" descr="DWV14bendHS.tif">
          <a:extLst>
            <a:ext uri="{FF2B5EF4-FFF2-40B4-BE49-F238E27FC236}">
              <a16:creationId xmlns:a16="http://schemas.microsoft.com/office/drawing/2014/main" id="{00000000-0008-0000-0300-00000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3117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98</xdr:row>
      <xdr:rowOff>47625</xdr:rowOff>
    </xdr:from>
    <xdr:to>
      <xdr:col>2</xdr:col>
      <xdr:colOff>211455</xdr:colOff>
      <xdr:row>99</xdr:row>
      <xdr:rowOff>247650</xdr:rowOff>
    </xdr:to>
    <xdr:pic>
      <xdr:nvPicPr>
        <xdr:cNvPr id="97028" name="Picture 21" descr="14bendstreetwlowheelHSH.tif">
          <a:extLst>
            <a:ext uri="{FF2B5EF4-FFF2-40B4-BE49-F238E27FC236}">
              <a16:creationId xmlns:a16="http://schemas.microsoft.com/office/drawing/2014/main" id="{00000000-0008-0000-0300-000004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945475"/>
          <a:ext cx="390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138</xdr:row>
      <xdr:rowOff>28575</xdr:rowOff>
    </xdr:from>
    <xdr:to>
      <xdr:col>2</xdr:col>
      <xdr:colOff>363855</xdr:colOff>
      <xdr:row>140</xdr:row>
      <xdr:rowOff>167640</xdr:rowOff>
    </xdr:to>
    <xdr:pic>
      <xdr:nvPicPr>
        <xdr:cNvPr id="97030" name="Picture 31" descr="327-3426.tif">
          <a:extLst>
            <a:ext uri="{FF2B5EF4-FFF2-40B4-BE49-F238E27FC236}">
              <a16:creationId xmlns:a16="http://schemas.microsoft.com/office/drawing/2014/main" id="{00000000-0008-0000-0300-00000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9718000"/>
          <a:ext cx="704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145</xdr:row>
      <xdr:rowOff>133350</xdr:rowOff>
    </xdr:from>
    <xdr:to>
      <xdr:col>2</xdr:col>
      <xdr:colOff>211455</xdr:colOff>
      <xdr:row>147</xdr:row>
      <xdr:rowOff>130175</xdr:rowOff>
    </xdr:to>
    <xdr:pic>
      <xdr:nvPicPr>
        <xdr:cNvPr id="97031" name="Picture 34" descr="VentEllHH.tif">
          <a:extLst>
            <a:ext uri="{FF2B5EF4-FFF2-40B4-BE49-F238E27FC236}">
              <a16:creationId xmlns:a16="http://schemas.microsoft.com/office/drawing/2014/main" id="{00000000-0008-0000-0300-00000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4756725"/>
          <a:ext cx="4667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149</xdr:row>
      <xdr:rowOff>104775</xdr:rowOff>
    </xdr:from>
    <xdr:to>
      <xdr:col>2</xdr:col>
      <xdr:colOff>212725</xdr:colOff>
      <xdr:row>151</xdr:row>
      <xdr:rowOff>91440</xdr:rowOff>
    </xdr:to>
    <xdr:pic>
      <xdr:nvPicPr>
        <xdr:cNvPr id="97032" name="Picture 35" descr="VentEllHS.tif">
          <a:extLst>
            <a:ext uri="{FF2B5EF4-FFF2-40B4-BE49-F238E27FC236}">
              <a16:creationId xmlns:a16="http://schemas.microsoft.com/office/drawing/2014/main" id="{00000000-0008-0000-0300-00000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2108775"/>
          <a:ext cx="44513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153</xdr:row>
      <xdr:rowOff>38100</xdr:rowOff>
    </xdr:from>
    <xdr:to>
      <xdr:col>2</xdr:col>
      <xdr:colOff>320675</xdr:colOff>
      <xdr:row>156</xdr:row>
      <xdr:rowOff>57150</xdr:rowOff>
    </xdr:to>
    <xdr:pic>
      <xdr:nvPicPr>
        <xdr:cNvPr id="97033" name="Picture 37" descr="30-29santee02.tif">
          <a:extLst>
            <a:ext uri="{FF2B5EF4-FFF2-40B4-BE49-F238E27FC236}">
              <a16:creationId xmlns:a16="http://schemas.microsoft.com/office/drawing/2014/main" id="{00000000-0008-0000-0300-000009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2804100"/>
          <a:ext cx="53213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159</xdr:row>
      <xdr:rowOff>180975</xdr:rowOff>
    </xdr:from>
    <xdr:to>
      <xdr:col>2</xdr:col>
      <xdr:colOff>396875</xdr:colOff>
      <xdr:row>163</xdr:row>
      <xdr:rowOff>95250</xdr:rowOff>
    </xdr:to>
    <xdr:pic>
      <xdr:nvPicPr>
        <xdr:cNvPr id="97034" name="Picture 36" descr="dblsanitaryteereducingall hub.tif">
          <a:extLst>
            <a:ext uri="{FF2B5EF4-FFF2-40B4-BE49-F238E27FC236}">
              <a16:creationId xmlns:a16="http://schemas.microsoft.com/office/drawing/2014/main" id="{00000000-0008-0000-0300-00000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089975"/>
          <a:ext cx="64643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166</xdr:row>
      <xdr:rowOff>123825</xdr:rowOff>
    </xdr:from>
    <xdr:to>
      <xdr:col>2</xdr:col>
      <xdr:colOff>282575</xdr:colOff>
      <xdr:row>169</xdr:row>
      <xdr:rowOff>55078</xdr:rowOff>
    </xdr:to>
    <xdr:pic>
      <xdr:nvPicPr>
        <xdr:cNvPr id="97035" name="Picture 38" descr="403-3479.tif">
          <a:extLst>
            <a:ext uri="{FF2B5EF4-FFF2-40B4-BE49-F238E27FC236}">
              <a16:creationId xmlns:a16="http://schemas.microsoft.com/office/drawing/2014/main" id="{00000000-0008-0000-0300-00000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6271200"/>
          <a:ext cx="522605" cy="506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352424</xdr:colOff>
      <xdr:row>170</xdr:row>
      <xdr:rowOff>49530</xdr:rowOff>
    </xdr:from>
    <xdr:to>
      <xdr:col>2</xdr:col>
      <xdr:colOff>308607</xdr:colOff>
      <xdr:row>172</xdr:row>
      <xdr:rowOff>111940</xdr:rowOff>
    </xdr:to>
    <xdr:pic>
      <xdr:nvPicPr>
        <xdr:cNvPr id="97036" name="Picture 39" descr="404-3487NEW.tif">
          <a:extLst>
            <a:ext uri="{FF2B5EF4-FFF2-40B4-BE49-F238E27FC236}">
              <a16:creationId xmlns:a16="http://schemas.microsoft.com/office/drawing/2014/main" id="{00000000-0008-0000-0300-00000C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621" r="-1"/>
        <a:stretch/>
      </xdr:blipFill>
      <xdr:spPr bwMode="auto">
        <a:xfrm flipH="1">
          <a:off x="504824" y="36054030"/>
          <a:ext cx="537208" cy="443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181</xdr:row>
      <xdr:rowOff>66674</xdr:rowOff>
    </xdr:from>
    <xdr:to>
      <xdr:col>2</xdr:col>
      <xdr:colOff>320675</xdr:colOff>
      <xdr:row>184</xdr:row>
      <xdr:rowOff>15240</xdr:rowOff>
    </xdr:to>
    <xdr:pic>
      <xdr:nvPicPr>
        <xdr:cNvPr id="97037" name="Picture 44" descr="doublesantteeallhub03.tif">
          <a:extLst>
            <a:ext uri="{FF2B5EF4-FFF2-40B4-BE49-F238E27FC236}">
              <a16:creationId xmlns:a16="http://schemas.microsoft.com/office/drawing/2014/main" id="{00000000-0008-0000-0300-00000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9547799"/>
          <a:ext cx="627380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185</xdr:row>
      <xdr:rowOff>152400</xdr:rowOff>
    </xdr:from>
    <xdr:to>
      <xdr:col>2</xdr:col>
      <xdr:colOff>286385</xdr:colOff>
      <xdr:row>188</xdr:row>
      <xdr:rowOff>114300</xdr:rowOff>
    </xdr:to>
    <xdr:pic>
      <xdr:nvPicPr>
        <xdr:cNvPr id="97038" name="Picture 43" descr="429-3513NEW.tif">
          <a:extLst>
            <a:ext uri="{FF2B5EF4-FFF2-40B4-BE49-F238E27FC236}">
              <a16:creationId xmlns:a16="http://schemas.microsoft.com/office/drawing/2014/main" id="{00000000-0008-0000-0300-00000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0395525"/>
          <a:ext cx="58166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366713</xdr:colOff>
      <xdr:row>195</xdr:row>
      <xdr:rowOff>71437</xdr:rowOff>
    </xdr:from>
    <xdr:to>
      <xdr:col>2</xdr:col>
      <xdr:colOff>244475</xdr:colOff>
      <xdr:row>197</xdr:row>
      <xdr:rowOff>174660</xdr:rowOff>
    </xdr:to>
    <xdr:pic>
      <xdr:nvPicPr>
        <xdr:cNvPr id="97039" name="Picture 47" descr="37-32cleanouttee.tif">
          <a:extLst>
            <a:ext uri="{FF2B5EF4-FFF2-40B4-BE49-F238E27FC236}">
              <a16:creationId xmlns:a16="http://schemas.microsoft.com/office/drawing/2014/main" id="{00000000-0008-0000-0300-00000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19730" y="42971420"/>
          <a:ext cx="488033" cy="451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199</xdr:row>
      <xdr:rowOff>142876</xdr:rowOff>
    </xdr:from>
    <xdr:to>
      <xdr:col>2</xdr:col>
      <xdr:colOff>248920</xdr:colOff>
      <xdr:row>202</xdr:row>
      <xdr:rowOff>57153</xdr:rowOff>
    </xdr:to>
    <xdr:pic>
      <xdr:nvPicPr>
        <xdr:cNvPr id="97040" name="Picture 48" descr="36-31cleanoutteewco.tif">
          <a:extLst>
            <a:ext uri="{FF2B5EF4-FFF2-40B4-BE49-F238E27FC236}">
              <a16:creationId xmlns:a16="http://schemas.microsoft.com/office/drawing/2014/main" id="{00000000-0008-0000-0300-00001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03554" y="43778172"/>
          <a:ext cx="476252" cy="49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429441</xdr:colOff>
      <xdr:row>206</xdr:row>
      <xdr:rowOff>57149</xdr:rowOff>
    </xdr:from>
    <xdr:to>
      <xdr:col>2</xdr:col>
      <xdr:colOff>173356</xdr:colOff>
      <xdr:row>208</xdr:row>
      <xdr:rowOff>57762</xdr:rowOff>
    </xdr:to>
    <xdr:pic>
      <xdr:nvPicPr>
        <xdr:cNvPr id="45" name="Picture 44" descr="448-3557.tif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00891" y="45415199"/>
          <a:ext cx="332560" cy="385423"/>
        </a:xfrm>
        <a:prstGeom prst="rect">
          <a:avLst/>
        </a:prstGeom>
        <a:scene3d>
          <a:camera prst="orthographicFront">
            <a:rot lat="0" lon="0" rev="0"/>
          </a:camera>
          <a:lightRig rig="threePt" dir="t"/>
        </a:scene3d>
      </xdr:spPr>
    </xdr:pic>
    <xdr:clientData/>
  </xdr:twoCellAnchor>
  <xdr:twoCellAnchor editAs="oneCell">
    <xdr:from>
      <xdr:col>1</xdr:col>
      <xdr:colOff>390525</xdr:colOff>
      <xdr:row>212</xdr:row>
      <xdr:rowOff>114300</xdr:rowOff>
    </xdr:from>
    <xdr:to>
      <xdr:col>2</xdr:col>
      <xdr:colOff>362585</xdr:colOff>
      <xdr:row>215</xdr:row>
      <xdr:rowOff>53552</xdr:rowOff>
    </xdr:to>
    <xdr:pic>
      <xdr:nvPicPr>
        <xdr:cNvPr id="97042" name="Picture 50" descr="501-3561.tif">
          <a:extLst>
            <a:ext uri="{FF2B5EF4-FFF2-40B4-BE49-F238E27FC236}">
              <a16:creationId xmlns:a16="http://schemas.microsoft.com/office/drawing/2014/main" id="{00000000-0008-0000-0300-00001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46615350"/>
          <a:ext cx="543560" cy="514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217</xdr:row>
      <xdr:rowOff>57150</xdr:rowOff>
    </xdr:from>
    <xdr:to>
      <xdr:col>2</xdr:col>
      <xdr:colOff>396875</xdr:colOff>
      <xdr:row>220</xdr:row>
      <xdr:rowOff>15769</xdr:rowOff>
    </xdr:to>
    <xdr:pic>
      <xdr:nvPicPr>
        <xdr:cNvPr id="97043" name="Picture 51" descr="502-3565.tif">
          <a:extLst>
            <a:ext uri="{FF2B5EF4-FFF2-40B4-BE49-F238E27FC236}">
              <a16:creationId xmlns:a16="http://schemas.microsoft.com/office/drawing/2014/main" id="{00000000-0008-0000-0300-000013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7701200"/>
          <a:ext cx="638810" cy="5091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221</xdr:row>
      <xdr:rowOff>85725</xdr:rowOff>
    </xdr:from>
    <xdr:to>
      <xdr:col>2</xdr:col>
      <xdr:colOff>229235</xdr:colOff>
      <xdr:row>221</xdr:row>
      <xdr:rowOff>554355</xdr:rowOff>
    </xdr:to>
    <xdr:pic>
      <xdr:nvPicPr>
        <xdr:cNvPr id="97045" name="Picture 53" descr="39-newcombowye18bend3.tif">
          <a:extLst>
            <a:ext uri="{FF2B5EF4-FFF2-40B4-BE49-F238E27FC236}">
              <a16:creationId xmlns:a16="http://schemas.microsoft.com/office/drawing/2014/main" id="{00000000-0008-0000-0300-000015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47424975"/>
          <a:ext cx="41973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222</xdr:row>
      <xdr:rowOff>123825</xdr:rowOff>
    </xdr:from>
    <xdr:to>
      <xdr:col>2</xdr:col>
      <xdr:colOff>326390</xdr:colOff>
      <xdr:row>225</xdr:row>
      <xdr:rowOff>18081</xdr:rowOff>
    </xdr:to>
    <xdr:pic>
      <xdr:nvPicPr>
        <xdr:cNvPr id="97046" name="Picture 54" descr="40-35dblcombowye.tif">
          <a:extLst>
            <a:ext uri="{FF2B5EF4-FFF2-40B4-BE49-F238E27FC236}">
              <a16:creationId xmlns:a16="http://schemas.microsoft.com/office/drawing/2014/main" id="{00000000-0008-0000-0300-000016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9577625"/>
          <a:ext cx="751205" cy="469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226</xdr:row>
      <xdr:rowOff>190499</xdr:rowOff>
    </xdr:from>
    <xdr:to>
      <xdr:col>2</xdr:col>
      <xdr:colOff>457200</xdr:colOff>
      <xdr:row>230</xdr:row>
      <xdr:rowOff>55244</xdr:rowOff>
    </xdr:to>
    <xdr:pic>
      <xdr:nvPicPr>
        <xdr:cNvPr id="97047" name="Picture 55" descr="41-36wye600-02.tif">
          <a:extLst>
            <a:ext uri="{FF2B5EF4-FFF2-40B4-BE49-F238E27FC236}">
              <a16:creationId xmlns:a16="http://schemas.microsoft.com/office/drawing/2014/main" id="{00000000-0008-0000-0300-000017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8777524"/>
          <a:ext cx="7810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232</xdr:row>
      <xdr:rowOff>133350</xdr:rowOff>
    </xdr:from>
    <xdr:to>
      <xdr:col>2</xdr:col>
      <xdr:colOff>434975</xdr:colOff>
      <xdr:row>236</xdr:row>
      <xdr:rowOff>38100</xdr:rowOff>
    </xdr:to>
    <xdr:pic>
      <xdr:nvPicPr>
        <xdr:cNvPr id="97048" name="Picture 56" descr="DWweyereducing all.tif">
          <a:extLst>
            <a:ext uri="{FF2B5EF4-FFF2-40B4-BE49-F238E27FC236}">
              <a16:creationId xmlns:a16="http://schemas.microsoft.com/office/drawing/2014/main" id="{00000000-0008-0000-0300-000018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9672875"/>
          <a:ext cx="70358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295274</xdr:colOff>
      <xdr:row>241</xdr:row>
      <xdr:rowOff>85725</xdr:rowOff>
    </xdr:from>
    <xdr:to>
      <xdr:col>2</xdr:col>
      <xdr:colOff>358774</xdr:colOff>
      <xdr:row>243</xdr:row>
      <xdr:rowOff>155564</xdr:rowOff>
    </xdr:to>
    <xdr:pic>
      <xdr:nvPicPr>
        <xdr:cNvPr id="97049" name="Picture 58" descr="43-37wyestreet602.tif">
          <a:extLst>
            <a:ext uri="{FF2B5EF4-FFF2-40B4-BE49-F238E27FC236}">
              <a16:creationId xmlns:a16="http://schemas.microsoft.com/office/drawing/2014/main" id="{00000000-0008-0000-0300-0000197B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18" r="-8773"/>
        <a:stretch/>
      </xdr:blipFill>
      <xdr:spPr bwMode="auto">
        <a:xfrm flipH="1">
          <a:off x="466724" y="53349525"/>
          <a:ext cx="636905" cy="450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245</xdr:row>
      <xdr:rowOff>47624</xdr:rowOff>
    </xdr:from>
    <xdr:to>
      <xdr:col>2</xdr:col>
      <xdr:colOff>281940</xdr:colOff>
      <xdr:row>247</xdr:row>
      <xdr:rowOff>115881</xdr:rowOff>
    </xdr:to>
    <xdr:pic>
      <xdr:nvPicPr>
        <xdr:cNvPr id="97050" name="Picture 57" descr="44-newwyestreet603.tif">
          <a:extLst>
            <a:ext uri="{FF2B5EF4-FFF2-40B4-BE49-F238E27FC236}">
              <a16:creationId xmlns:a16="http://schemas.microsoft.com/office/drawing/2014/main" id="{00000000-0008-0000-0300-00001A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523875" y="52063649"/>
          <a:ext cx="495300" cy="449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248</xdr:row>
      <xdr:rowOff>142875</xdr:rowOff>
    </xdr:from>
    <xdr:to>
      <xdr:col>2</xdr:col>
      <xdr:colOff>439420</xdr:colOff>
      <xdr:row>251</xdr:row>
      <xdr:rowOff>152400</xdr:rowOff>
    </xdr:to>
    <xdr:pic>
      <xdr:nvPicPr>
        <xdr:cNvPr id="97051" name="Picture 59" descr="doublesantteeallhub04.tif">
          <a:extLst>
            <a:ext uri="{FF2B5EF4-FFF2-40B4-BE49-F238E27FC236}">
              <a16:creationId xmlns:a16="http://schemas.microsoft.com/office/drawing/2014/main" id="{00000000-0008-0000-0300-00001B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2730400"/>
          <a:ext cx="82613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253</xdr:row>
      <xdr:rowOff>190499</xdr:rowOff>
    </xdr:from>
    <xdr:to>
      <xdr:col>2</xdr:col>
      <xdr:colOff>363855</xdr:colOff>
      <xdr:row>256</xdr:row>
      <xdr:rowOff>171449</xdr:rowOff>
    </xdr:to>
    <xdr:pic>
      <xdr:nvPicPr>
        <xdr:cNvPr id="97052" name="Picture 60" descr="doublesantteeallhub02.tif">
          <a:extLst>
            <a:ext uri="{FF2B5EF4-FFF2-40B4-BE49-F238E27FC236}">
              <a16:creationId xmlns:a16="http://schemas.microsoft.com/office/drawing/2014/main" id="{00000000-0008-0000-0300-00001C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53730524"/>
          <a:ext cx="695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259</xdr:row>
      <xdr:rowOff>123825</xdr:rowOff>
    </xdr:from>
    <xdr:to>
      <xdr:col>2</xdr:col>
      <xdr:colOff>358775</xdr:colOff>
      <xdr:row>262</xdr:row>
      <xdr:rowOff>38100</xdr:rowOff>
    </xdr:to>
    <xdr:pic>
      <xdr:nvPicPr>
        <xdr:cNvPr id="97053" name="Picture 61" descr="47-41returnbend.tif">
          <a:extLst>
            <a:ext uri="{FF2B5EF4-FFF2-40B4-BE49-F238E27FC236}">
              <a16:creationId xmlns:a16="http://schemas.microsoft.com/office/drawing/2014/main" id="{00000000-0008-0000-0300-00001D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56816625"/>
          <a:ext cx="62738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263</xdr:row>
      <xdr:rowOff>76200</xdr:rowOff>
    </xdr:from>
    <xdr:to>
      <xdr:col>2</xdr:col>
      <xdr:colOff>400685</xdr:colOff>
      <xdr:row>266</xdr:row>
      <xdr:rowOff>53347</xdr:rowOff>
    </xdr:to>
    <xdr:pic>
      <xdr:nvPicPr>
        <xdr:cNvPr id="97054" name="Picture 62" descr="48-39ptrap.tif">
          <a:extLst>
            <a:ext uri="{FF2B5EF4-FFF2-40B4-BE49-F238E27FC236}">
              <a16:creationId xmlns:a16="http://schemas.microsoft.com/office/drawing/2014/main" id="{00000000-0008-0000-0300-00001E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7531000"/>
          <a:ext cx="753110" cy="541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333376</xdr:colOff>
      <xdr:row>267</xdr:row>
      <xdr:rowOff>66674</xdr:rowOff>
    </xdr:from>
    <xdr:to>
      <xdr:col>2</xdr:col>
      <xdr:colOff>207914</xdr:colOff>
      <xdr:row>267</xdr:row>
      <xdr:rowOff>514350</xdr:rowOff>
    </xdr:to>
    <xdr:pic>
      <xdr:nvPicPr>
        <xdr:cNvPr id="97055" name="Picture 63" descr="707-X-3676.tif">
          <a:extLst>
            <a:ext uri="{FF2B5EF4-FFF2-40B4-BE49-F238E27FC236}">
              <a16:creationId xmlns:a16="http://schemas.microsoft.com/office/drawing/2014/main" id="{00000000-0008-0000-0300-00001F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58283474"/>
          <a:ext cx="468898" cy="438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268</xdr:row>
      <xdr:rowOff>85725</xdr:rowOff>
    </xdr:from>
    <xdr:to>
      <xdr:col>2</xdr:col>
      <xdr:colOff>343535</xdr:colOff>
      <xdr:row>269</xdr:row>
      <xdr:rowOff>247670</xdr:rowOff>
    </xdr:to>
    <xdr:pic>
      <xdr:nvPicPr>
        <xdr:cNvPr id="97056" name="Picture 64" descr="708-3680.tif">
          <a:extLst>
            <a:ext uri="{FF2B5EF4-FFF2-40B4-BE49-F238E27FC236}">
              <a16:creationId xmlns:a16="http://schemas.microsoft.com/office/drawing/2014/main" id="{00000000-0008-0000-0300-000020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58883550"/>
          <a:ext cx="667385" cy="537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271</xdr:row>
      <xdr:rowOff>76200</xdr:rowOff>
    </xdr:from>
    <xdr:to>
      <xdr:col>2</xdr:col>
      <xdr:colOff>434975</xdr:colOff>
      <xdr:row>272</xdr:row>
      <xdr:rowOff>231629</xdr:rowOff>
    </xdr:to>
    <xdr:pic>
      <xdr:nvPicPr>
        <xdr:cNvPr id="97057" name="Picture 65" descr="49-newclosetflange.tif">
          <a:extLst>
            <a:ext uri="{FF2B5EF4-FFF2-40B4-BE49-F238E27FC236}">
              <a16:creationId xmlns:a16="http://schemas.microsoft.com/office/drawing/2014/main" id="{00000000-0008-0000-0300-000021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0331350"/>
          <a:ext cx="770255" cy="431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273</xdr:row>
      <xdr:rowOff>85725</xdr:rowOff>
    </xdr:from>
    <xdr:to>
      <xdr:col>2</xdr:col>
      <xdr:colOff>401955</xdr:colOff>
      <xdr:row>274</xdr:row>
      <xdr:rowOff>209550</xdr:rowOff>
    </xdr:to>
    <xdr:pic>
      <xdr:nvPicPr>
        <xdr:cNvPr id="97058" name="Picture 66" descr="New_Pastors_letter_to_congregation.tif">
          <a:extLst>
            <a:ext uri="{FF2B5EF4-FFF2-40B4-BE49-F238E27FC236}">
              <a16:creationId xmlns:a16="http://schemas.microsoft.com/office/drawing/2014/main" id="{00000000-0008-0000-0300-0000227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0893325"/>
          <a:ext cx="752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</xdr:row>
      <xdr:rowOff>85725</xdr:rowOff>
    </xdr:from>
    <xdr:to>
      <xdr:col>2</xdr:col>
      <xdr:colOff>287020</xdr:colOff>
      <xdr:row>22</xdr:row>
      <xdr:rowOff>76200</xdr:rowOff>
    </xdr:to>
    <xdr:pic>
      <xdr:nvPicPr>
        <xdr:cNvPr id="97061" name="Picture 1106" descr="P102 Pipe Increaser - Reducer">
          <a:extLst>
            <a:ext uri="{FF2B5EF4-FFF2-40B4-BE49-F238E27FC236}">
              <a16:creationId xmlns:a16="http://schemas.microsoft.com/office/drawing/2014/main" id="{00000000-0008-0000-0300-000025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219575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101</xdr:row>
      <xdr:rowOff>28575</xdr:rowOff>
    </xdr:from>
    <xdr:to>
      <xdr:col>2</xdr:col>
      <xdr:colOff>282575</xdr:colOff>
      <xdr:row>104</xdr:row>
      <xdr:rowOff>21590</xdr:rowOff>
    </xdr:to>
    <xdr:pic>
      <xdr:nvPicPr>
        <xdr:cNvPr id="97062" name="Picture 3" descr="P304 Long Sweep 1/4 Bend">
          <a:extLst>
            <a:ext uri="{FF2B5EF4-FFF2-40B4-BE49-F238E27FC236}">
              <a16:creationId xmlns:a16="http://schemas.microsoft.com/office/drawing/2014/main" id="{00000000-0008-0000-0300-000026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29457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105</xdr:row>
      <xdr:rowOff>133350</xdr:rowOff>
    </xdr:from>
    <xdr:to>
      <xdr:col>2</xdr:col>
      <xdr:colOff>287020</xdr:colOff>
      <xdr:row>108</xdr:row>
      <xdr:rowOff>130175</xdr:rowOff>
    </xdr:to>
    <xdr:pic>
      <xdr:nvPicPr>
        <xdr:cNvPr id="97063" name="Picture 4" descr="P309 Long Sweep 1/4 Bend, Street">
          <a:extLst>
            <a:ext uri="{FF2B5EF4-FFF2-40B4-BE49-F238E27FC236}">
              <a16:creationId xmlns:a16="http://schemas.microsoft.com/office/drawing/2014/main" id="{00000000-0008-0000-0300-000027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9575" y="238125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295274</xdr:colOff>
      <xdr:row>109</xdr:row>
      <xdr:rowOff>123825</xdr:rowOff>
    </xdr:from>
    <xdr:to>
      <xdr:col>2</xdr:col>
      <xdr:colOff>287019</xdr:colOff>
      <xdr:row>112</xdr:row>
      <xdr:rowOff>15240</xdr:rowOff>
    </xdr:to>
    <xdr:pic>
      <xdr:nvPicPr>
        <xdr:cNvPr id="97064" name="Picture 1107" descr="P319 1/6 Bend">
          <a:extLst>
            <a:ext uri="{FF2B5EF4-FFF2-40B4-BE49-F238E27FC236}">
              <a16:creationId xmlns:a16="http://schemas.microsoft.com/office/drawing/2014/main" id="{00000000-0008-0000-0300-000028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94029" y="23528020"/>
          <a:ext cx="466725" cy="55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113</xdr:row>
      <xdr:rowOff>133350</xdr:rowOff>
    </xdr:from>
    <xdr:to>
      <xdr:col>2</xdr:col>
      <xdr:colOff>244475</xdr:colOff>
      <xdr:row>115</xdr:row>
      <xdr:rowOff>133985</xdr:rowOff>
    </xdr:to>
    <xdr:pic>
      <xdr:nvPicPr>
        <xdr:cNvPr id="97065" name="Picture 1025" descr="P320 1/6 Bend, Street">
          <a:extLst>
            <a:ext uri="{FF2B5EF4-FFF2-40B4-BE49-F238E27FC236}">
              <a16:creationId xmlns:a16="http://schemas.microsoft.com/office/drawing/2014/main" id="{00000000-0008-0000-0300-000029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6003250"/>
          <a:ext cx="5048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117</xdr:row>
      <xdr:rowOff>161925</xdr:rowOff>
    </xdr:from>
    <xdr:to>
      <xdr:col>2</xdr:col>
      <xdr:colOff>248285</xdr:colOff>
      <xdr:row>119</xdr:row>
      <xdr:rowOff>153035</xdr:rowOff>
    </xdr:to>
    <xdr:pic>
      <xdr:nvPicPr>
        <xdr:cNvPr id="97066" name="Picture 1" descr="P321 1/8 Bend">
          <a:extLst>
            <a:ext uri="{FF2B5EF4-FFF2-40B4-BE49-F238E27FC236}">
              <a16:creationId xmlns:a16="http://schemas.microsoft.com/office/drawing/2014/main" id="{00000000-0008-0000-0300-00002A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6793825"/>
          <a:ext cx="5524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123</xdr:row>
      <xdr:rowOff>0</xdr:rowOff>
    </xdr:from>
    <xdr:to>
      <xdr:col>2</xdr:col>
      <xdr:colOff>249555</xdr:colOff>
      <xdr:row>125</xdr:row>
      <xdr:rowOff>0</xdr:rowOff>
    </xdr:to>
    <xdr:pic>
      <xdr:nvPicPr>
        <xdr:cNvPr id="97067" name="Picture 2" descr="P323 1/8 Bend, Street">
          <a:extLst>
            <a:ext uri="{FF2B5EF4-FFF2-40B4-BE49-F238E27FC236}">
              <a16:creationId xmlns:a16="http://schemas.microsoft.com/office/drawing/2014/main" id="{00000000-0008-0000-0300-00002B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90525" y="27774900"/>
          <a:ext cx="5619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128</xdr:row>
      <xdr:rowOff>19050</xdr:rowOff>
    </xdr:from>
    <xdr:to>
      <xdr:col>2</xdr:col>
      <xdr:colOff>249555</xdr:colOff>
      <xdr:row>130</xdr:row>
      <xdr:rowOff>20320</xdr:rowOff>
    </xdr:to>
    <xdr:pic>
      <xdr:nvPicPr>
        <xdr:cNvPr id="97068" name="Picture 1104" descr="P324 1/16 Bend">
          <a:extLst>
            <a:ext uri="{FF2B5EF4-FFF2-40B4-BE49-F238E27FC236}">
              <a16:creationId xmlns:a16="http://schemas.microsoft.com/office/drawing/2014/main" id="{00000000-0008-0000-0300-00002C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8746450"/>
          <a:ext cx="533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133</xdr:row>
      <xdr:rowOff>0</xdr:rowOff>
    </xdr:from>
    <xdr:to>
      <xdr:col>2</xdr:col>
      <xdr:colOff>248285</xdr:colOff>
      <xdr:row>135</xdr:row>
      <xdr:rowOff>635</xdr:rowOff>
    </xdr:to>
    <xdr:pic>
      <xdr:nvPicPr>
        <xdr:cNvPr id="97069" name="Picture 1105" descr="P326 1/16 Bend, Street">
          <a:extLst>
            <a:ext uri="{FF2B5EF4-FFF2-40B4-BE49-F238E27FC236}">
              <a16:creationId xmlns:a16="http://schemas.microsoft.com/office/drawing/2014/main" id="{00000000-0008-0000-0300-00002D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9100" y="2967990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143</xdr:row>
      <xdr:rowOff>47625</xdr:rowOff>
    </xdr:from>
    <xdr:to>
      <xdr:col>2</xdr:col>
      <xdr:colOff>210820</xdr:colOff>
      <xdr:row>143</xdr:row>
      <xdr:rowOff>419100</xdr:rowOff>
    </xdr:to>
    <xdr:pic>
      <xdr:nvPicPr>
        <xdr:cNvPr id="97070" name="Picture 1026" descr="P329 Closet Bend, Reducing">
          <a:extLst>
            <a:ext uri="{FF2B5EF4-FFF2-40B4-BE49-F238E27FC236}">
              <a16:creationId xmlns:a16="http://schemas.microsoft.com/office/drawing/2014/main" id="{00000000-0008-0000-0300-00002E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1975425"/>
          <a:ext cx="4095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144</xdr:row>
      <xdr:rowOff>47625</xdr:rowOff>
    </xdr:from>
    <xdr:to>
      <xdr:col>2</xdr:col>
      <xdr:colOff>210185</xdr:colOff>
      <xdr:row>144</xdr:row>
      <xdr:rowOff>419100</xdr:rowOff>
    </xdr:to>
    <xdr:pic>
      <xdr:nvPicPr>
        <xdr:cNvPr id="97071" name="Picture 1027" descr="P330 Closet Bend, Reducing">
          <a:extLst>
            <a:ext uri="{FF2B5EF4-FFF2-40B4-BE49-F238E27FC236}">
              <a16:creationId xmlns:a16="http://schemas.microsoft.com/office/drawing/2014/main" id="{00000000-0008-0000-0300-00002F7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85775" y="324612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247649</xdr:colOff>
      <xdr:row>275</xdr:row>
      <xdr:rowOff>57149</xdr:rowOff>
    </xdr:from>
    <xdr:to>
      <xdr:col>2</xdr:col>
      <xdr:colOff>397782</xdr:colOff>
      <xdr:row>275</xdr:row>
      <xdr:rowOff>474344</xdr:rowOff>
    </xdr:to>
    <xdr:pic>
      <xdr:nvPicPr>
        <xdr:cNvPr id="66" name="Picture 67" descr="51-newclosetflange.tif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61493399"/>
          <a:ext cx="723538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66</xdr:row>
      <xdr:rowOff>47625</xdr:rowOff>
    </xdr:from>
    <xdr:to>
      <xdr:col>2</xdr:col>
      <xdr:colOff>320675</xdr:colOff>
      <xdr:row>67</xdr:row>
      <xdr:rowOff>228600</xdr:rowOff>
    </xdr:to>
    <xdr:pic>
      <xdr:nvPicPr>
        <xdr:cNvPr id="67" name="Picture 14" descr="03-08pipeincrred.tif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419100" y="14859000"/>
          <a:ext cx="5810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68</xdr:row>
      <xdr:rowOff>95250</xdr:rowOff>
    </xdr:from>
    <xdr:to>
      <xdr:col>2</xdr:col>
      <xdr:colOff>362585</xdr:colOff>
      <xdr:row>71</xdr:row>
      <xdr:rowOff>96520</xdr:rowOff>
    </xdr:to>
    <xdr:pic>
      <xdr:nvPicPr>
        <xdr:cNvPr id="68" name="Picture 15" descr="14-04nohubadapt.tif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4897100"/>
          <a:ext cx="7048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72</xdr:row>
      <xdr:rowOff>142875</xdr:rowOff>
    </xdr:from>
    <xdr:to>
      <xdr:col>2</xdr:col>
      <xdr:colOff>363220</xdr:colOff>
      <xdr:row>75</xdr:row>
      <xdr:rowOff>20320</xdr:rowOff>
    </xdr:to>
    <xdr:pic>
      <xdr:nvPicPr>
        <xdr:cNvPr id="69" name="Picture 16" descr="15-09hubadaptcast.tif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81000" y="162687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285750</xdr:colOff>
      <xdr:row>8</xdr:row>
      <xdr:rowOff>152400</xdr:rowOff>
    </xdr:from>
    <xdr:to>
      <xdr:col>2</xdr:col>
      <xdr:colOff>358775</xdr:colOff>
      <xdr:row>11</xdr:row>
      <xdr:rowOff>21590</xdr:rowOff>
    </xdr:to>
    <xdr:pic>
      <xdr:nvPicPr>
        <xdr:cNvPr id="70" name="Picture 47" descr="01-01stopcouplinghxh.tif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09775"/>
          <a:ext cx="643890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28</xdr:row>
      <xdr:rowOff>57150</xdr:rowOff>
    </xdr:from>
    <xdr:to>
      <xdr:col>2</xdr:col>
      <xdr:colOff>325120</xdr:colOff>
      <xdr:row>28</xdr:row>
      <xdr:rowOff>533400</xdr:rowOff>
    </xdr:to>
    <xdr:pic>
      <xdr:nvPicPr>
        <xdr:cNvPr id="71" name="Picture 1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120" b="12122"/>
        <a:stretch>
          <a:fillRect/>
        </a:stretch>
      </xdr:blipFill>
      <xdr:spPr bwMode="auto">
        <a:xfrm>
          <a:off x="381000" y="628650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59</xdr:row>
      <xdr:rowOff>47625</xdr:rowOff>
    </xdr:from>
    <xdr:to>
      <xdr:col>2</xdr:col>
      <xdr:colOff>377428</xdr:colOff>
      <xdr:row>60</xdr:row>
      <xdr:rowOff>135255</xdr:rowOff>
    </xdr:to>
    <xdr:pic>
      <xdr:nvPicPr>
        <xdr:cNvPr id="7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93" t="37003" r="14754" b="36430"/>
        <a:stretch/>
      </xdr:blipFill>
      <xdr:spPr bwMode="auto">
        <a:xfrm>
          <a:off x="400051" y="12963525"/>
          <a:ext cx="729852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76</xdr:row>
      <xdr:rowOff>95250</xdr:rowOff>
    </xdr:from>
    <xdr:to>
      <xdr:col>2</xdr:col>
      <xdr:colOff>210820</xdr:colOff>
      <xdr:row>77</xdr:row>
      <xdr:rowOff>247650</xdr:rowOff>
    </xdr:to>
    <xdr:pic>
      <xdr:nvPicPr>
        <xdr:cNvPr id="73" name="Picture 3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6983075"/>
          <a:ext cx="438150" cy="51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92</xdr:row>
      <xdr:rowOff>38100</xdr:rowOff>
    </xdr:from>
    <xdr:to>
      <xdr:col>2</xdr:col>
      <xdr:colOff>244475</xdr:colOff>
      <xdr:row>92</xdr:row>
      <xdr:rowOff>553720</xdr:rowOff>
    </xdr:to>
    <xdr:pic>
      <xdr:nvPicPr>
        <xdr:cNvPr id="74" name="Picture 1026" descr="https://images.ewins.com/digital_asset_manager/image_resize.php?cid=3&amp;ic=SPE%20P300S-338&amp;mdx=81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25"/>
        <a:stretch>
          <a:fillRect/>
        </a:stretch>
      </xdr:blipFill>
      <xdr:spPr bwMode="auto">
        <a:xfrm>
          <a:off x="390525" y="20488275"/>
          <a:ext cx="5334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142</xdr:row>
      <xdr:rowOff>38100</xdr:rowOff>
    </xdr:from>
    <xdr:to>
      <xdr:col>2</xdr:col>
      <xdr:colOff>211455</xdr:colOff>
      <xdr:row>142</xdr:row>
      <xdr:rowOff>401955</xdr:rowOff>
    </xdr:to>
    <xdr:pic>
      <xdr:nvPicPr>
        <xdr:cNvPr id="75" name="Picture 99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4" t="1671" r="8028" b="5351"/>
        <a:stretch>
          <a:fillRect/>
        </a:stretch>
      </xdr:blipFill>
      <xdr:spPr bwMode="auto">
        <a:xfrm>
          <a:off x="504825" y="31432500"/>
          <a:ext cx="4095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173</xdr:row>
      <xdr:rowOff>66675</xdr:rowOff>
    </xdr:from>
    <xdr:to>
      <xdr:col>2</xdr:col>
      <xdr:colOff>97155</xdr:colOff>
      <xdr:row>175</xdr:row>
      <xdr:rowOff>96165</xdr:rowOff>
    </xdr:to>
    <xdr:pic>
      <xdr:nvPicPr>
        <xdr:cNvPr id="76" name="Picture 107" descr="416-3500.tif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7738050"/>
          <a:ext cx="352425" cy="40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176</xdr:row>
      <xdr:rowOff>57149</xdr:rowOff>
    </xdr:from>
    <xdr:to>
      <xdr:col>2</xdr:col>
      <xdr:colOff>206375</xdr:colOff>
      <xdr:row>178</xdr:row>
      <xdr:rowOff>93876</xdr:rowOff>
    </xdr:to>
    <xdr:pic>
      <xdr:nvPicPr>
        <xdr:cNvPr id="77" name="Picture 108" descr="417-3503.tif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00024"/>
          <a:ext cx="370205" cy="413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179</xdr:row>
      <xdr:rowOff>114300</xdr:rowOff>
    </xdr:from>
    <xdr:to>
      <xdr:col>2</xdr:col>
      <xdr:colOff>206375</xdr:colOff>
      <xdr:row>180</xdr:row>
      <xdr:rowOff>190500</xdr:rowOff>
    </xdr:to>
    <xdr:pic>
      <xdr:nvPicPr>
        <xdr:cNvPr id="78" name="Picture 109" descr="418-3507.tif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8928675"/>
          <a:ext cx="45593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191</xdr:row>
      <xdr:rowOff>76200</xdr:rowOff>
    </xdr:from>
    <xdr:to>
      <xdr:col>2</xdr:col>
      <xdr:colOff>248920</xdr:colOff>
      <xdr:row>191</xdr:row>
      <xdr:rowOff>472440</xdr:rowOff>
    </xdr:to>
    <xdr:pic>
      <xdr:nvPicPr>
        <xdr:cNvPr id="79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400050" y="40681275"/>
          <a:ext cx="57848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192</xdr:row>
      <xdr:rowOff>38100</xdr:rowOff>
    </xdr:from>
    <xdr:to>
      <xdr:col>2</xdr:col>
      <xdr:colOff>210820</xdr:colOff>
      <xdr:row>194</xdr:row>
      <xdr:rowOff>133795</xdr:rowOff>
    </xdr:to>
    <xdr:pic>
      <xdr:nvPicPr>
        <xdr:cNvPr id="80" name="Picture 5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t="2940" r="12032" b="3209"/>
        <a:stretch>
          <a:fillRect/>
        </a:stretch>
      </xdr:blipFill>
      <xdr:spPr bwMode="auto">
        <a:xfrm>
          <a:off x="561975" y="42348150"/>
          <a:ext cx="387985" cy="472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204</xdr:row>
      <xdr:rowOff>47625</xdr:rowOff>
    </xdr:from>
    <xdr:to>
      <xdr:col>2</xdr:col>
      <xdr:colOff>133985</xdr:colOff>
      <xdr:row>205</xdr:row>
      <xdr:rowOff>173355</xdr:rowOff>
    </xdr:to>
    <xdr:pic>
      <xdr:nvPicPr>
        <xdr:cNvPr id="81" name="Picture 112" descr="37-32cleanouttee.tif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44643675"/>
          <a:ext cx="41973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204</xdr:row>
      <xdr:rowOff>152400</xdr:rowOff>
    </xdr:from>
    <xdr:to>
      <xdr:col>2</xdr:col>
      <xdr:colOff>288115</xdr:colOff>
      <xdr:row>205</xdr:row>
      <xdr:rowOff>59056</xdr:rowOff>
    </xdr:to>
    <xdr:pic>
      <xdr:nvPicPr>
        <xdr:cNvPr id="82" name="Picture 1024" descr="http://s3.pexsupply.com/images/products/large/p110-015-2.jpg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293" t="21587" r="40022" b="20030"/>
        <a:stretch>
          <a:fillRect/>
        </a:stretch>
      </xdr:blipFill>
      <xdr:spPr bwMode="auto">
        <a:xfrm>
          <a:off x="895350" y="44748450"/>
          <a:ext cx="149050" cy="295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283846</xdr:colOff>
      <xdr:row>209</xdr:row>
      <xdr:rowOff>97155</xdr:rowOff>
    </xdr:from>
    <xdr:to>
      <xdr:col>2</xdr:col>
      <xdr:colOff>325756</xdr:colOff>
      <xdr:row>211</xdr:row>
      <xdr:rowOff>95249</xdr:rowOff>
    </xdr:to>
    <xdr:pic>
      <xdr:nvPicPr>
        <xdr:cNvPr id="83" name="Picture 1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05" b="7018"/>
        <a:stretch>
          <a:fillRect/>
        </a:stretch>
      </xdr:blipFill>
      <xdr:spPr bwMode="auto">
        <a:xfrm>
          <a:off x="455296" y="46026705"/>
          <a:ext cx="626745" cy="388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270</xdr:row>
      <xdr:rowOff>95249</xdr:rowOff>
    </xdr:from>
    <xdr:to>
      <xdr:col>2</xdr:col>
      <xdr:colOff>248920</xdr:colOff>
      <xdr:row>270</xdr:row>
      <xdr:rowOff>516988</xdr:rowOff>
    </xdr:to>
    <xdr:pic>
      <xdr:nvPicPr>
        <xdr:cNvPr id="87" name="Picture 4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2" t="8331" r="3241" b="3703"/>
        <a:stretch>
          <a:fillRect/>
        </a:stretch>
      </xdr:blipFill>
      <xdr:spPr bwMode="auto">
        <a:xfrm>
          <a:off x="466725" y="59636024"/>
          <a:ext cx="521335" cy="4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276</xdr:row>
      <xdr:rowOff>66675</xdr:rowOff>
    </xdr:from>
    <xdr:to>
      <xdr:col>2</xdr:col>
      <xdr:colOff>363257</xdr:colOff>
      <xdr:row>277</xdr:row>
      <xdr:rowOff>208105</xdr:rowOff>
    </xdr:to>
    <xdr:pic>
      <xdr:nvPicPr>
        <xdr:cNvPr id="88" name="Picture 63" descr="49-newclosetflange.tif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62055375"/>
          <a:ext cx="715682" cy="4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278</xdr:row>
      <xdr:rowOff>57150</xdr:rowOff>
    </xdr:from>
    <xdr:to>
      <xdr:col>2</xdr:col>
      <xdr:colOff>325755</xdr:colOff>
      <xdr:row>279</xdr:row>
      <xdr:rowOff>210969</xdr:rowOff>
    </xdr:to>
    <xdr:pic>
      <xdr:nvPicPr>
        <xdr:cNvPr id="89" name="Picture 65" descr="51-newclosetflange.tif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2541150"/>
          <a:ext cx="685800" cy="405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180975</xdr:colOff>
      <xdr:row>280</xdr:row>
      <xdr:rowOff>123825</xdr:rowOff>
    </xdr:from>
    <xdr:to>
      <xdr:col>2</xdr:col>
      <xdr:colOff>396777</xdr:colOff>
      <xdr:row>281</xdr:row>
      <xdr:rowOff>211087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086" b="30482"/>
        <a:stretch>
          <a:fillRect/>
        </a:stretch>
      </xdr:blipFill>
      <xdr:spPr bwMode="auto">
        <a:xfrm>
          <a:off x="352425" y="63103125"/>
          <a:ext cx="789207" cy="321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295274</xdr:colOff>
      <xdr:row>282</xdr:row>
      <xdr:rowOff>114299</xdr:rowOff>
    </xdr:from>
    <xdr:to>
      <xdr:col>2</xdr:col>
      <xdr:colOff>361949</xdr:colOff>
      <xdr:row>282</xdr:row>
      <xdr:rowOff>436504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97" t="15752" b="25641"/>
        <a:stretch>
          <a:fillRect/>
        </a:stretch>
      </xdr:blipFill>
      <xdr:spPr bwMode="auto">
        <a:xfrm>
          <a:off x="447674" y="61579124"/>
          <a:ext cx="657225" cy="32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283</xdr:row>
      <xdr:rowOff>66675</xdr:rowOff>
    </xdr:from>
    <xdr:to>
      <xdr:col>2</xdr:col>
      <xdr:colOff>325120</xdr:colOff>
      <xdr:row>283</xdr:row>
      <xdr:rowOff>400050</xdr:rowOff>
    </xdr:to>
    <xdr:pic>
      <xdr:nvPicPr>
        <xdr:cNvPr id="92" name="Picture 65" descr="51-newclosetflange.tif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4065150"/>
          <a:ext cx="68326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1</xdr:row>
      <xdr:rowOff>19050</xdr:rowOff>
    </xdr:from>
    <xdr:to>
      <xdr:col>13</xdr:col>
      <xdr:colOff>20955</xdr:colOff>
      <xdr:row>5</xdr:row>
      <xdr:rowOff>15559</xdr:rowOff>
    </xdr:to>
    <xdr:pic>
      <xdr:nvPicPr>
        <xdr:cNvPr id="86" name="Picture 42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20275" y="257175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190</xdr:row>
      <xdr:rowOff>47626</xdr:rowOff>
    </xdr:from>
    <xdr:to>
      <xdr:col>2</xdr:col>
      <xdr:colOff>211455</xdr:colOff>
      <xdr:row>190</xdr:row>
      <xdr:rowOff>454922</xdr:rowOff>
    </xdr:to>
    <xdr:pic>
      <xdr:nvPicPr>
        <xdr:cNvPr id="93" name="Picture 1102" descr="http://s3.pexsupply.com/images/products/large/p439-338-1.jpg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45" t="21526" r="19972" b="26630"/>
        <a:stretch>
          <a:fillRect/>
        </a:stretch>
      </xdr:blipFill>
      <xdr:spPr bwMode="auto">
        <a:xfrm>
          <a:off x="466725" y="41243251"/>
          <a:ext cx="504825" cy="407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20602</xdr:rowOff>
    </xdr:to>
    <xdr:pic>
      <xdr:nvPicPr>
        <xdr:cNvPr id="101" name="Picture 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0</xdr:rowOff>
    </xdr:from>
    <xdr:to>
      <xdr:col>5</xdr:col>
      <xdr:colOff>592081</xdr:colOff>
      <xdr:row>4</xdr:row>
      <xdr:rowOff>171450</xdr:rowOff>
    </xdr:to>
    <xdr:pic>
      <xdr:nvPicPr>
        <xdr:cNvPr id="3" name="Picture 64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6696075" y="200025"/>
          <a:ext cx="515881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</xdr:row>
      <xdr:rowOff>38100</xdr:rowOff>
    </xdr:from>
    <xdr:to>
      <xdr:col>1</xdr:col>
      <xdr:colOff>1597980</xdr:colOff>
      <xdr:row>4</xdr:row>
      <xdr:rowOff>93482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2183857" y="-250282"/>
          <a:ext cx="447812" cy="1424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7</xdr:row>
      <xdr:rowOff>180975</xdr:rowOff>
    </xdr:from>
    <xdr:to>
      <xdr:col>2</xdr:col>
      <xdr:colOff>245745</xdr:colOff>
      <xdr:row>11</xdr:row>
      <xdr:rowOff>150495</xdr:rowOff>
    </xdr:to>
    <xdr:pic>
      <xdr:nvPicPr>
        <xdr:cNvPr id="92565" name="Picture 13" descr="401-005NEW.tif">
          <a:extLst>
            <a:ext uri="{FF2B5EF4-FFF2-40B4-BE49-F238E27FC236}">
              <a16:creationId xmlns:a16="http://schemas.microsoft.com/office/drawing/2014/main" id="{00000000-0008-0000-0400-000095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028825"/>
          <a:ext cx="523875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333373</xdr:colOff>
      <xdr:row>19</xdr:row>
      <xdr:rowOff>19049</xdr:rowOff>
    </xdr:from>
    <xdr:to>
      <xdr:col>2</xdr:col>
      <xdr:colOff>287654</xdr:colOff>
      <xdr:row>23</xdr:row>
      <xdr:rowOff>58272</xdr:rowOff>
    </xdr:to>
    <xdr:pic>
      <xdr:nvPicPr>
        <xdr:cNvPr id="92566" name="Picture 14" descr="401-101NEW.tif">
          <a:extLst>
            <a:ext uri="{FF2B5EF4-FFF2-40B4-BE49-F238E27FC236}">
              <a16:creationId xmlns:a16="http://schemas.microsoft.com/office/drawing/2014/main" id="{00000000-0008-0000-0400-000096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485773" y="5105399"/>
          <a:ext cx="535306" cy="801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52</xdr:row>
      <xdr:rowOff>171450</xdr:rowOff>
    </xdr:from>
    <xdr:to>
      <xdr:col>2</xdr:col>
      <xdr:colOff>324693</xdr:colOff>
      <xdr:row>56</xdr:row>
      <xdr:rowOff>167640</xdr:rowOff>
    </xdr:to>
    <xdr:pic>
      <xdr:nvPicPr>
        <xdr:cNvPr id="92567" name="Picture 15" descr="02 SCH40TEESSFPIT.tif">
          <a:extLst>
            <a:ext uri="{FF2B5EF4-FFF2-40B4-BE49-F238E27FC236}">
              <a16:creationId xmlns:a16="http://schemas.microsoft.com/office/drawing/2014/main" id="{00000000-0008-0000-0400-000097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6306800"/>
          <a:ext cx="530433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214312</xdr:colOff>
      <xdr:row>84</xdr:row>
      <xdr:rowOff>4765</xdr:rowOff>
    </xdr:from>
    <xdr:to>
      <xdr:col>2</xdr:col>
      <xdr:colOff>288607</xdr:colOff>
      <xdr:row>87</xdr:row>
      <xdr:rowOff>130495</xdr:rowOff>
    </xdr:to>
    <xdr:pic>
      <xdr:nvPicPr>
        <xdr:cNvPr id="92568" name="Picture 16" descr="03 ELBOW406.tif">
          <a:extLst>
            <a:ext uri="{FF2B5EF4-FFF2-40B4-BE49-F238E27FC236}">
              <a16:creationId xmlns:a16="http://schemas.microsoft.com/office/drawing/2014/main" id="{00000000-0008-0000-0400-000098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48615" y="16920212"/>
          <a:ext cx="697230" cy="661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99</xdr:row>
      <xdr:rowOff>142874</xdr:rowOff>
    </xdr:from>
    <xdr:to>
      <xdr:col>2</xdr:col>
      <xdr:colOff>247651</xdr:colOff>
      <xdr:row>102</xdr:row>
      <xdr:rowOff>97154</xdr:rowOff>
    </xdr:to>
    <xdr:pic>
      <xdr:nvPicPr>
        <xdr:cNvPr id="92569" name="Picture 17" descr="003 ELBOW406.tif">
          <a:extLst>
            <a:ext uri="{FF2B5EF4-FFF2-40B4-BE49-F238E27FC236}">
              <a16:creationId xmlns:a16="http://schemas.microsoft.com/office/drawing/2014/main" id="{00000000-0008-0000-0400-000099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7100000" flipV="1">
          <a:off x="444819" y="21015006"/>
          <a:ext cx="51054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358140</xdr:colOff>
      <xdr:row>140</xdr:row>
      <xdr:rowOff>110491</xdr:rowOff>
    </xdr:from>
    <xdr:to>
      <xdr:col>2</xdr:col>
      <xdr:colOff>281940</xdr:colOff>
      <xdr:row>144</xdr:row>
      <xdr:rowOff>2501</xdr:rowOff>
    </xdr:to>
    <xdr:pic>
      <xdr:nvPicPr>
        <xdr:cNvPr id="92570" name="Picture 18" descr="05 ELBOW417.tif">
          <a:extLst>
            <a:ext uri="{FF2B5EF4-FFF2-40B4-BE49-F238E27FC236}">
              <a16:creationId xmlns:a16="http://schemas.microsoft.com/office/drawing/2014/main" id="{00000000-0008-0000-0400-00009A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" y="47249716"/>
          <a:ext cx="514350" cy="65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155</xdr:row>
      <xdr:rowOff>161925</xdr:rowOff>
    </xdr:from>
    <xdr:to>
      <xdr:col>2</xdr:col>
      <xdr:colOff>287584</xdr:colOff>
      <xdr:row>159</xdr:row>
      <xdr:rowOff>95250</xdr:rowOff>
    </xdr:to>
    <xdr:pic>
      <xdr:nvPicPr>
        <xdr:cNvPr id="92571" name="Picture 19" descr="06 COUPLING429.tif">
          <a:extLst>
            <a:ext uri="{FF2B5EF4-FFF2-40B4-BE49-F238E27FC236}">
              <a16:creationId xmlns:a16="http://schemas.microsoft.com/office/drawing/2014/main" id="{00000000-0008-0000-0400-00009B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4251900"/>
          <a:ext cx="651439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207</xdr:row>
      <xdr:rowOff>114300</xdr:rowOff>
    </xdr:from>
    <xdr:to>
      <xdr:col>2</xdr:col>
      <xdr:colOff>301886</xdr:colOff>
      <xdr:row>211</xdr:row>
      <xdr:rowOff>53340</xdr:rowOff>
    </xdr:to>
    <xdr:pic>
      <xdr:nvPicPr>
        <xdr:cNvPr id="92573" name="Picture 21" descr="08 MALEADAPTSCH40.tif">
          <a:extLst>
            <a:ext uri="{FF2B5EF4-FFF2-40B4-BE49-F238E27FC236}">
              <a16:creationId xmlns:a16="http://schemas.microsoft.com/office/drawing/2014/main" id="{00000000-0008-0000-0400-00009D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45005625"/>
          <a:ext cx="597161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266701</xdr:colOff>
      <xdr:row>261</xdr:row>
      <xdr:rowOff>161925</xdr:rowOff>
    </xdr:from>
    <xdr:to>
      <xdr:col>2</xdr:col>
      <xdr:colOff>398146</xdr:colOff>
      <xdr:row>265</xdr:row>
      <xdr:rowOff>91440</xdr:rowOff>
    </xdr:to>
    <xdr:pic>
      <xdr:nvPicPr>
        <xdr:cNvPr id="92574" name="Picture 23" descr="10 REDUCBUSHTHRD.tif">
          <a:extLst>
            <a:ext uri="{FF2B5EF4-FFF2-40B4-BE49-F238E27FC236}">
              <a16:creationId xmlns:a16="http://schemas.microsoft.com/office/drawing/2014/main" id="{00000000-0008-0000-0400-00009E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82276950"/>
          <a:ext cx="723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228601</xdr:colOff>
      <xdr:row>232</xdr:row>
      <xdr:rowOff>57151</xdr:rowOff>
    </xdr:from>
    <xdr:to>
      <xdr:col>2</xdr:col>
      <xdr:colOff>398145</xdr:colOff>
      <xdr:row>236</xdr:row>
      <xdr:rowOff>20382</xdr:rowOff>
    </xdr:to>
    <xdr:pic>
      <xdr:nvPicPr>
        <xdr:cNvPr id="92575" name="Picture 22" descr="09 REDUCBUSHSLIP.tif">
          <a:extLst>
            <a:ext uri="{FF2B5EF4-FFF2-40B4-BE49-F238E27FC236}">
              <a16:creationId xmlns:a16="http://schemas.microsoft.com/office/drawing/2014/main" id="{00000000-0008-0000-0400-00009F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50282476"/>
          <a:ext cx="761999" cy="72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298</xdr:row>
      <xdr:rowOff>76200</xdr:rowOff>
    </xdr:from>
    <xdr:to>
      <xdr:col>2</xdr:col>
      <xdr:colOff>286726</xdr:colOff>
      <xdr:row>301</xdr:row>
      <xdr:rowOff>167640</xdr:rowOff>
    </xdr:to>
    <xdr:pic>
      <xdr:nvPicPr>
        <xdr:cNvPr id="92576" name="Picture 24" descr="SCH40CapNEW.tif">
          <a:extLst>
            <a:ext uri="{FF2B5EF4-FFF2-40B4-BE49-F238E27FC236}">
              <a16:creationId xmlns:a16="http://schemas.microsoft.com/office/drawing/2014/main" id="{00000000-0008-0000-0400-0000A0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4383225"/>
          <a:ext cx="561046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310</xdr:row>
      <xdr:rowOff>66675</xdr:rowOff>
    </xdr:from>
    <xdr:to>
      <xdr:col>2</xdr:col>
      <xdr:colOff>243840</xdr:colOff>
      <xdr:row>313</xdr:row>
      <xdr:rowOff>135224</xdr:rowOff>
    </xdr:to>
    <xdr:pic>
      <xdr:nvPicPr>
        <xdr:cNvPr id="92577" name="Picture 25" descr="12 SCH40CapFIPT.tif">
          <a:extLst>
            <a:ext uri="{FF2B5EF4-FFF2-40B4-BE49-F238E27FC236}">
              <a16:creationId xmlns:a16="http://schemas.microsoft.com/office/drawing/2014/main" id="{00000000-0008-0000-0400-0000A16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6659700"/>
          <a:ext cx="466725" cy="624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291820</xdr:colOff>
      <xdr:row>59</xdr:row>
      <xdr:rowOff>108230</xdr:rowOff>
    </xdr:from>
    <xdr:to>
      <xdr:col>2</xdr:col>
      <xdr:colOff>359690</xdr:colOff>
      <xdr:row>63</xdr:row>
      <xdr:rowOff>134900</xdr:rowOff>
    </xdr:to>
    <xdr:pic>
      <xdr:nvPicPr>
        <xdr:cNvPr id="18" name="Picture 14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75285" y="12121515"/>
          <a:ext cx="781050" cy="643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321673</xdr:colOff>
      <xdr:row>78</xdr:row>
      <xdr:rowOff>104775</xdr:rowOff>
    </xdr:from>
    <xdr:to>
      <xdr:col>2</xdr:col>
      <xdr:colOff>397873</xdr:colOff>
      <xdr:row>82</xdr:row>
      <xdr:rowOff>58510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2438" y="15690260"/>
          <a:ext cx="70049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280987</xdr:colOff>
      <xdr:row>95</xdr:row>
      <xdr:rowOff>71439</xdr:rowOff>
    </xdr:from>
    <xdr:to>
      <xdr:col>2</xdr:col>
      <xdr:colOff>269557</xdr:colOff>
      <xdr:row>98</xdr:row>
      <xdr:rowOff>113349</xdr:rowOff>
    </xdr:to>
    <xdr:pic>
      <xdr:nvPicPr>
        <xdr:cNvPr id="22" name="Picture 15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1480" y="19467196"/>
          <a:ext cx="613410" cy="56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265338</xdr:colOff>
      <xdr:row>105</xdr:row>
      <xdr:rowOff>115660</xdr:rowOff>
    </xdr:from>
    <xdr:to>
      <xdr:col>2</xdr:col>
      <xdr:colOff>397600</xdr:colOff>
      <xdr:row>108</xdr:row>
      <xdr:rowOff>130900</xdr:rowOff>
    </xdr:to>
    <xdr:pic>
      <xdr:nvPicPr>
        <xdr:cNvPr id="24" name="Picture 16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57199" y="36014024"/>
          <a:ext cx="600075" cy="698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341657</xdr:colOff>
      <xdr:row>109</xdr:row>
      <xdr:rowOff>38100</xdr:rowOff>
    </xdr:from>
    <xdr:to>
      <xdr:col>2</xdr:col>
      <xdr:colOff>190499</xdr:colOff>
      <xdr:row>111</xdr:row>
      <xdr:rowOff>153001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61040" y="22873967"/>
          <a:ext cx="495901" cy="4298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210449</xdr:colOff>
      <xdr:row>112</xdr:row>
      <xdr:rowOff>94353</xdr:rowOff>
    </xdr:from>
    <xdr:to>
      <xdr:col>2</xdr:col>
      <xdr:colOff>342001</xdr:colOff>
      <xdr:row>115</xdr:row>
      <xdr:rowOff>136263</xdr:rowOff>
    </xdr:to>
    <xdr:pic>
      <xdr:nvPicPr>
        <xdr:cNvPr id="28" name="Picture 3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12433" y="23419119"/>
          <a:ext cx="613410" cy="71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190499</xdr:colOff>
      <xdr:row>119</xdr:row>
      <xdr:rowOff>76200</xdr:rowOff>
    </xdr:from>
    <xdr:to>
      <xdr:col>2</xdr:col>
      <xdr:colOff>300990</xdr:colOff>
      <xdr:row>123</xdr:row>
      <xdr:rowOff>1</xdr:rowOff>
    </xdr:to>
    <xdr:pic>
      <xdr:nvPicPr>
        <xdr:cNvPr id="31" name="Picture 4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45756" y="24781193"/>
          <a:ext cx="685801" cy="6915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211501</xdr:colOff>
      <xdr:row>124</xdr:row>
      <xdr:rowOff>64724</xdr:rowOff>
    </xdr:from>
    <xdr:to>
      <xdr:col>2</xdr:col>
      <xdr:colOff>325801</xdr:colOff>
      <xdr:row>124</xdr:row>
      <xdr:rowOff>706803</xdr:rowOff>
    </xdr:to>
    <xdr:pic>
      <xdr:nvPicPr>
        <xdr:cNvPr id="33" name="Picture 6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5762" y="26084213"/>
          <a:ext cx="651604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212186</xdr:colOff>
      <xdr:row>125</xdr:row>
      <xdr:rowOff>102141</xdr:rowOff>
    </xdr:from>
    <xdr:to>
      <xdr:col>2</xdr:col>
      <xdr:colOff>283115</xdr:colOff>
      <xdr:row>125</xdr:row>
      <xdr:rowOff>666021</xdr:rowOff>
    </xdr:to>
    <xdr:pic>
      <xdr:nvPicPr>
        <xdr:cNvPr id="34" name="Picture 7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00051" y="26574751"/>
          <a:ext cx="571500" cy="6424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188973</xdr:colOff>
      <xdr:row>126</xdr:row>
      <xdr:rowOff>125355</xdr:rowOff>
    </xdr:from>
    <xdr:to>
      <xdr:col>2</xdr:col>
      <xdr:colOff>287277</xdr:colOff>
      <xdr:row>129</xdr:row>
      <xdr:rowOff>153929</xdr:rowOff>
    </xdr:to>
    <xdr:pic>
      <xdr:nvPicPr>
        <xdr:cNvPr id="35" name="Picture 8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1001" y="27432002"/>
          <a:ext cx="600074" cy="67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133</xdr:row>
      <xdr:rowOff>66675</xdr:rowOff>
    </xdr:from>
    <xdr:to>
      <xdr:col>2</xdr:col>
      <xdr:colOff>169372</xdr:colOff>
      <xdr:row>135</xdr:row>
      <xdr:rowOff>131445</xdr:rowOff>
    </xdr:to>
    <xdr:pic>
      <xdr:nvPicPr>
        <xdr:cNvPr id="36" name="Picture 9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8746450"/>
          <a:ext cx="407497" cy="453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276224</xdr:colOff>
      <xdr:row>136</xdr:row>
      <xdr:rowOff>126187</xdr:rowOff>
    </xdr:from>
    <xdr:to>
      <xdr:col>2</xdr:col>
      <xdr:colOff>205740</xdr:colOff>
      <xdr:row>136</xdr:row>
      <xdr:rowOff>705307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4" y="29758462"/>
          <a:ext cx="504826" cy="576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276226</xdr:colOff>
      <xdr:row>149</xdr:row>
      <xdr:rowOff>104775</xdr:rowOff>
    </xdr:from>
    <xdr:to>
      <xdr:col>2</xdr:col>
      <xdr:colOff>209551</xdr:colOff>
      <xdr:row>152</xdr:row>
      <xdr:rowOff>75663</xdr:rowOff>
    </xdr:to>
    <xdr:pic>
      <xdr:nvPicPr>
        <xdr:cNvPr id="40" name="Picture 10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6" y="32861250"/>
          <a:ext cx="514350" cy="5423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170</xdr:row>
      <xdr:rowOff>0</xdr:rowOff>
    </xdr:from>
    <xdr:to>
      <xdr:col>2</xdr:col>
      <xdr:colOff>324451</xdr:colOff>
      <xdr:row>173</xdr:row>
      <xdr:rowOff>15240</xdr:rowOff>
    </xdr:to>
    <xdr:pic>
      <xdr:nvPicPr>
        <xdr:cNvPr id="43" name="Picture 11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514350" y="54159151"/>
          <a:ext cx="526381" cy="600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183</xdr:row>
      <xdr:rowOff>95251</xdr:rowOff>
    </xdr:from>
    <xdr:to>
      <xdr:col>2</xdr:col>
      <xdr:colOff>249555</xdr:colOff>
      <xdr:row>186</xdr:row>
      <xdr:rowOff>18657</xdr:rowOff>
    </xdr:to>
    <xdr:pic>
      <xdr:nvPicPr>
        <xdr:cNvPr id="45" name="Picture 12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40414576"/>
          <a:ext cx="474345" cy="502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352426</xdr:colOff>
      <xdr:row>188</xdr:row>
      <xdr:rowOff>133350</xdr:rowOff>
    </xdr:from>
    <xdr:to>
      <xdr:col>2</xdr:col>
      <xdr:colOff>171451</xdr:colOff>
      <xdr:row>191</xdr:row>
      <xdr:rowOff>38100</xdr:rowOff>
    </xdr:to>
    <xdr:pic>
      <xdr:nvPicPr>
        <xdr:cNvPr id="48" name="Picture 14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41405175"/>
          <a:ext cx="400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201</xdr:row>
      <xdr:rowOff>152400</xdr:rowOff>
    </xdr:from>
    <xdr:to>
      <xdr:col>2</xdr:col>
      <xdr:colOff>285619</xdr:colOff>
      <xdr:row>205</xdr:row>
      <xdr:rowOff>15240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43900725"/>
          <a:ext cx="582799" cy="615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200024</xdr:colOff>
      <xdr:row>215</xdr:row>
      <xdr:rowOff>180975</xdr:rowOff>
    </xdr:from>
    <xdr:to>
      <xdr:col>2</xdr:col>
      <xdr:colOff>495300</xdr:colOff>
      <xdr:row>220</xdr:row>
      <xdr:rowOff>171809</xdr:rowOff>
    </xdr:to>
    <xdr:pic>
      <xdr:nvPicPr>
        <xdr:cNvPr id="54" name="Picture 51" descr="http://www.duraplastics.com/dura/graphics/orderportal/Dura_Images/Sch40/436043-21.gif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" y="47358300"/>
          <a:ext cx="876301" cy="943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287</xdr:row>
      <xdr:rowOff>0</xdr:rowOff>
    </xdr:from>
    <xdr:to>
      <xdr:col>2</xdr:col>
      <xdr:colOff>249555</xdr:colOff>
      <xdr:row>290</xdr:row>
      <xdr:rowOff>98305</xdr:rowOff>
    </xdr:to>
    <xdr:pic>
      <xdr:nvPicPr>
        <xdr:cNvPr id="59" name="Picture 1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61893450"/>
          <a:ext cx="588645" cy="679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319</xdr:row>
      <xdr:rowOff>38100</xdr:rowOff>
    </xdr:from>
    <xdr:to>
      <xdr:col>2</xdr:col>
      <xdr:colOff>320516</xdr:colOff>
      <xdr:row>323</xdr:row>
      <xdr:rowOff>15240</xdr:rowOff>
    </xdr:to>
    <xdr:pic>
      <xdr:nvPicPr>
        <xdr:cNvPr id="61" name="Picture 3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98345625"/>
          <a:ext cx="623411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325</xdr:row>
      <xdr:rowOff>0</xdr:rowOff>
    </xdr:from>
    <xdr:to>
      <xdr:col>2</xdr:col>
      <xdr:colOff>324803</xdr:colOff>
      <xdr:row>328</xdr:row>
      <xdr:rowOff>112395</xdr:rowOff>
    </xdr:to>
    <xdr:pic>
      <xdr:nvPicPr>
        <xdr:cNvPr id="62" name="Picture 4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0117275"/>
          <a:ext cx="625793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333</xdr:row>
      <xdr:rowOff>57151</xdr:rowOff>
    </xdr:from>
    <xdr:to>
      <xdr:col>2</xdr:col>
      <xdr:colOff>323850</xdr:colOff>
      <xdr:row>336</xdr:row>
      <xdr:rowOff>168495</xdr:rowOff>
    </xdr:to>
    <xdr:pic>
      <xdr:nvPicPr>
        <xdr:cNvPr id="64" name="Picture 5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2174676"/>
          <a:ext cx="628650" cy="682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304799</xdr:colOff>
      <xdr:row>342</xdr:row>
      <xdr:rowOff>161924</xdr:rowOff>
    </xdr:from>
    <xdr:to>
      <xdr:col>2</xdr:col>
      <xdr:colOff>283845</xdr:colOff>
      <xdr:row>345</xdr:row>
      <xdr:rowOff>173354</xdr:rowOff>
    </xdr:to>
    <xdr:pic>
      <xdr:nvPicPr>
        <xdr:cNvPr id="66" name="Picture 6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4" y="103993949"/>
          <a:ext cx="571501" cy="590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257175</xdr:colOff>
      <xdr:row>348</xdr:row>
      <xdr:rowOff>47625</xdr:rowOff>
    </xdr:from>
    <xdr:to>
      <xdr:col>2</xdr:col>
      <xdr:colOff>227033</xdr:colOff>
      <xdr:row>349</xdr:row>
      <xdr:rowOff>300990</xdr:rowOff>
    </xdr:to>
    <xdr:pic>
      <xdr:nvPicPr>
        <xdr:cNvPr id="68" name="Picture 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73132950"/>
          <a:ext cx="550883" cy="643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350</xdr:row>
      <xdr:rowOff>95250</xdr:rowOff>
    </xdr:from>
    <xdr:to>
      <xdr:col>2</xdr:col>
      <xdr:colOff>171450</xdr:colOff>
      <xdr:row>353</xdr:row>
      <xdr:rowOff>172526</xdr:rowOff>
    </xdr:to>
    <xdr:pic>
      <xdr:nvPicPr>
        <xdr:cNvPr id="69" name="Picture 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3961625"/>
          <a:ext cx="542925" cy="637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342901</xdr:colOff>
      <xdr:row>356</xdr:row>
      <xdr:rowOff>114300</xdr:rowOff>
    </xdr:from>
    <xdr:to>
      <xdr:col>2</xdr:col>
      <xdr:colOff>320041</xdr:colOff>
      <xdr:row>357</xdr:row>
      <xdr:rowOff>321086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1" y="75885675"/>
          <a:ext cx="552450" cy="6639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358</xdr:row>
      <xdr:rowOff>85726</xdr:rowOff>
    </xdr:from>
    <xdr:to>
      <xdr:col>2</xdr:col>
      <xdr:colOff>284578</xdr:colOff>
      <xdr:row>359</xdr:row>
      <xdr:rowOff>167641</xdr:rowOff>
    </xdr:to>
    <xdr:pic>
      <xdr:nvPicPr>
        <xdr:cNvPr id="74" name="Picture 44" descr="http://www.duraplastics.com/dura/graphics/orderportal/Dura_Images/insert/1474-015.gif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1118651"/>
          <a:ext cx="562708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304801</xdr:colOff>
      <xdr:row>363</xdr:row>
      <xdr:rowOff>47625</xdr:rowOff>
    </xdr:from>
    <xdr:to>
      <xdr:col>2</xdr:col>
      <xdr:colOff>245746</xdr:colOff>
      <xdr:row>365</xdr:row>
      <xdr:rowOff>131445</xdr:rowOff>
    </xdr:to>
    <xdr:pic>
      <xdr:nvPicPr>
        <xdr:cNvPr id="77" name="Picture 50" descr="http://www.duraplastics.com/dura/graphics/orderportal/Schedule_40/877-060_cat.jpg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77638275"/>
          <a:ext cx="533400" cy="472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366</xdr:row>
      <xdr:rowOff>104775</xdr:rowOff>
    </xdr:from>
    <xdr:to>
      <xdr:col>2</xdr:col>
      <xdr:colOff>207645</xdr:colOff>
      <xdr:row>369</xdr:row>
      <xdr:rowOff>36195</xdr:rowOff>
    </xdr:to>
    <xdr:pic>
      <xdr:nvPicPr>
        <xdr:cNvPr id="79" name="Picture 12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78266925"/>
          <a:ext cx="510540" cy="50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370</xdr:row>
      <xdr:rowOff>90390</xdr:rowOff>
    </xdr:from>
    <xdr:to>
      <xdr:col>2</xdr:col>
      <xdr:colOff>247650</xdr:colOff>
      <xdr:row>372</xdr:row>
      <xdr:rowOff>168922</xdr:rowOff>
    </xdr:to>
    <xdr:pic>
      <xdr:nvPicPr>
        <xdr:cNvPr id="81" name="Picture 52" descr="http://www.duraplastics.com/dura/graphics/orderportal/Dura_Images/Sch40/479-015.gif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79014540"/>
          <a:ext cx="523875" cy="545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56" name="Straight Arrow Connector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CxnSpPr/>
      </xdr:nvCxnSpPr>
      <xdr:spPr>
        <a:xfrm>
          <a:off x="8591550" y="552450"/>
          <a:ext cx="0" cy="60007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323850</xdr:colOff>
      <xdr:row>167</xdr:row>
      <xdr:rowOff>38100</xdr:rowOff>
    </xdr:from>
    <xdr:to>
      <xdr:col>2</xdr:col>
      <xdr:colOff>269197</xdr:colOff>
      <xdr:row>169</xdr:row>
      <xdr:rowOff>1904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04" t="13963" r="8024" b="8607"/>
        <a:stretch/>
      </xdr:blipFill>
      <xdr:spPr bwMode="auto">
        <a:xfrm>
          <a:off x="476250" y="36604575"/>
          <a:ext cx="526372" cy="45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15240</xdr:colOff>
      <xdr:row>5</xdr:row>
      <xdr:rowOff>53341</xdr:rowOff>
    </xdr:to>
    <xdr:pic>
      <xdr:nvPicPr>
        <xdr:cNvPr id="60" name="Picture 64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9258300" y="257175"/>
          <a:ext cx="752475" cy="800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373</xdr:row>
      <xdr:rowOff>93526</xdr:rowOff>
    </xdr:from>
    <xdr:to>
      <xdr:col>2</xdr:col>
      <xdr:colOff>321945</xdr:colOff>
      <xdr:row>373</xdr:row>
      <xdr:rowOff>324444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16384251"/>
          <a:ext cx="771525" cy="219488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374</xdr:row>
      <xdr:rowOff>61313</xdr:rowOff>
    </xdr:from>
    <xdr:to>
      <xdr:col>2</xdr:col>
      <xdr:colOff>437869</xdr:colOff>
      <xdr:row>374</xdr:row>
      <xdr:rowOff>436245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16209163"/>
          <a:ext cx="855064" cy="386362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174</xdr:row>
      <xdr:rowOff>66676</xdr:rowOff>
    </xdr:from>
    <xdr:ext cx="474345" cy="502526"/>
    <xdr:pic>
      <xdr:nvPicPr>
        <xdr:cNvPr id="63" name="Picture 1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1331476"/>
          <a:ext cx="474345" cy="502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285750</xdr:colOff>
      <xdr:row>360</xdr:row>
      <xdr:rowOff>126706</xdr:rowOff>
    </xdr:from>
    <xdr:to>
      <xdr:col>2</xdr:col>
      <xdr:colOff>304800</xdr:colOff>
      <xdr:row>361</xdr:row>
      <xdr:rowOff>152804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38150" y="76602931"/>
          <a:ext cx="600075" cy="349948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362</xdr:row>
      <xdr:rowOff>56065</xdr:rowOff>
    </xdr:from>
    <xdr:to>
      <xdr:col>2</xdr:col>
      <xdr:colOff>245746</xdr:colOff>
      <xdr:row>362</xdr:row>
      <xdr:rowOff>434340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76251" y="123757240"/>
          <a:ext cx="533400" cy="3725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5400000">
          <a:off x="1035386" y="-625811"/>
          <a:ext cx="792127" cy="25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192</xdr:row>
      <xdr:rowOff>114300</xdr:rowOff>
    </xdr:from>
    <xdr:to>
      <xdr:col>2</xdr:col>
      <xdr:colOff>249424</xdr:colOff>
      <xdr:row>195</xdr:row>
      <xdr:rowOff>167640</xdr:rowOff>
    </xdr:to>
    <xdr:pic>
      <xdr:nvPicPr>
        <xdr:cNvPr id="65" name="Picture 16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2148125"/>
          <a:ext cx="582799" cy="615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7</xdr:row>
      <xdr:rowOff>117556</xdr:rowOff>
    </xdr:from>
    <xdr:to>
      <xdr:col>2</xdr:col>
      <xdr:colOff>209550</xdr:colOff>
      <xdr:row>8</xdr:row>
      <xdr:rowOff>249555</xdr:rowOff>
    </xdr:to>
    <xdr:pic>
      <xdr:nvPicPr>
        <xdr:cNvPr id="2" name="Picture 13" descr="401-005NEW.tif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74906"/>
          <a:ext cx="371475" cy="518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247965</xdr:colOff>
      <xdr:row>9</xdr:row>
      <xdr:rowOff>76204</xdr:rowOff>
    </xdr:from>
    <xdr:to>
      <xdr:col>2</xdr:col>
      <xdr:colOff>246697</xdr:colOff>
      <xdr:row>10</xdr:row>
      <xdr:rowOff>306706</xdr:rowOff>
    </xdr:to>
    <xdr:pic>
      <xdr:nvPicPr>
        <xdr:cNvPr id="5" name="Picture 16" descr="03 ELBOW406.tif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384493" y="8416926"/>
          <a:ext cx="611502" cy="5797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339090</xdr:colOff>
      <xdr:row>11</xdr:row>
      <xdr:rowOff>53341</xdr:rowOff>
    </xdr:from>
    <xdr:to>
      <xdr:col>2</xdr:col>
      <xdr:colOff>245745</xdr:colOff>
      <xdr:row>12</xdr:row>
      <xdr:rowOff>326351</xdr:rowOff>
    </xdr:to>
    <xdr:pic>
      <xdr:nvPicPr>
        <xdr:cNvPr id="7" name="Picture 18" descr="05 ELBOW417.tif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" y="19093816"/>
          <a:ext cx="495300" cy="654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381001</xdr:colOff>
      <xdr:row>13</xdr:row>
      <xdr:rowOff>95249</xdr:rowOff>
    </xdr:from>
    <xdr:to>
      <xdr:col>2</xdr:col>
      <xdr:colOff>248904</xdr:colOff>
      <xdr:row>13</xdr:row>
      <xdr:rowOff>550544</xdr:rowOff>
    </xdr:to>
    <xdr:pic>
      <xdr:nvPicPr>
        <xdr:cNvPr id="8" name="Picture 19" descr="06 COUPLING429.tif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1" y="7086599"/>
          <a:ext cx="433688" cy="455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190501</xdr:colOff>
      <xdr:row>14</xdr:row>
      <xdr:rowOff>133351</xdr:rowOff>
    </xdr:from>
    <xdr:to>
      <xdr:col>2</xdr:col>
      <xdr:colOff>360045</xdr:colOff>
      <xdr:row>18</xdr:row>
      <xdr:rowOff>96582</xdr:rowOff>
    </xdr:to>
    <xdr:pic>
      <xdr:nvPicPr>
        <xdr:cNvPr id="11" name="Picture 22" descr="09 REDUCBUSHSLIP.tif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1" y="11944351"/>
          <a:ext cx="761999" cy="725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371476</xdr:colOff>
      <xdr:row>19</xdr:row>
      <xdr:rowOff>81187</xdr:rowOff>
    </xdr:from>
    <xdr:to>
      <xdr:col>2</xdr:col>
      <xdr:colOff>285751</xdr:colOff>
      <xdr:row>20</xdr:row>
      <xdr:rowOff>283844</xdr:rowOff>
    </xdr:to>
    <xdr:pic>
      <xdr:nvPicPr>
        <xdr:cNvPr id="12" name="Picture 24" descr="SCH40CapNEW.tif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16273687"/>
          <a:ext cx="495300" cy="591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44" name="Straight Arrow Connector 55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CxnSpPr/>
      </xdr:nvCxnSpPr>
      <xdr:spPr>
        <a:xfrm>
          <a:off x="95726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15240</xdr:colOff>
      <xdr:row>5</xdr:row>
      <xdr:rowOff>53341</xdr:rowOff>
    </xdr:to>
    <xdr:pic>
      <xdr:nvPicPr>
        <xdr:cNvPr id="46" name="Picture 6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10001250" y="257175"/>
          <a:ext cx="752475" cy="80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53" name="Picture 1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8" name="Straight Arrow Connector 55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CxnSpPr/>
      </xdr:nvCxnSpPr>
      <xdr:spPr>
        <a:xfrm>
          <a:off x="95726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19050</xdr:colOff>
      <xdr:row>5</xdr:row>
      <xdr:rowOff>57151</xdr:rowOff>
    </xdr:to>
    <xdr:pic>
      <xdr:nvPicPr>
        <xdr:cNvPr id="9" name="Picture 6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10001250" y="257175"/>
          <a:ext cx="752475" cy="80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8" name="Straight Arrow Connector 55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CxnSpPr/>
      </xdr:nvCxnSpPr>
      <xdr:spPr>
        <a:xfrm>
          <a:off x="95726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38100</xdr:colOff>
      <xdr:row>1</xdr:row>
      <xdr:rowOff>19050</xdr:rowOff>
    </xdr:from>
    <xdr:to>
      <xdr:col>13</xdr:col>
      <xdr:colOff>19050</xdr:colOff>
      <xdr:row>5</xdr:row>
      <xdr:rowOff>57151</xdr:rowOff>
    </xdr:to>
    <xdr:pic>
      <xdr:nvPicPr>
        <xdr:cNvPr id="9" name="Picture 6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28" t="10465" r="13954" b="10465"/>
        <a:stretch/>
      </xdr:blipFill>
      <xdr:spPr bwMode="auto">
        <a:xfrm>
          <a:off x="10001250" y="257175"/>
          <a:ext cx="752475" cy="805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152401</xdr:colOff>
      <xdr:row>7</xdr:row>
      <xdr:rowOff>104776</xdr:rowOff>
    </xdr:from>
    <xdr:to>
      <xdr:col>2</xdr:col>
      <xdr:colOff>477140</xdr:colOff>
      <xdr:row>9</xdr:row>
      <xdr:rowOff>38100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1" y="1762126"/>
          <a:ext cx="901954" cy="6953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514035</xdr:colOff>
      <xdr:row>5</xdr:row>
      <xdr:rowOff>16792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CxnSpPr/>
      </xdr:nvCxnSpPr>
      <xdr:spPr>
        <a:xfrm>
          <a:off x="8572500" y="552450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93345</xdr:colOff>
      <xdr:row>5</xdr:row>
      <xdr:rowOff>21909</xdr:rowOff>
    </xdr:to>
    <xdr:pic>
      <xdr:nvPicPr>
        <xdr:cNvPr id="6" name="Picture 4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9801225" y="247650"/>
          <a:ext cx="777240" cy="793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11</xdr:row>
      <xdr:rowOff>76200</xdr:rowOff>
    </xdr:from>
    <xdr:to>
      <xdr:col>2</xdr:col>
      <xdr:colOff>518004</xdr:colOff>
      <xdr:row>15</xdr:row>
      <xdr:rowOff>171450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2495550"/>
          <a:ext cx="1041879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20</xdr:row>
      <xdr:rowOff>94131</xdr:rowOff>
    </xdr:from>
    <xdr:to>
      <xdr:col>2</xdr:col>
      <xdr:colOff>512782</xdr:colOff>
      <xdr:row>24</xdr:row>
      <xdr:rowOff>93345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29" y="4227981"/>
          <a:ext cx="1053018" cy="772644"/>
        </a:xfrm>
        <a:prstGeom prst="rect">
          <a:avLst/>
        </a:prstGeom>
      </xdr:spPr>
    </xdr:pic>
    <xdr:clientData/>
  </xdr:twoCellAnchor>
  <xdr:twoCellAnchor editAs="oneCell">
    <xdr:from>
      <xdr:col>1</xdr:col>
      <xdr:colOff>35298</xdr:colOff>
      <xdr:row>28</xdr:row>
      <xdr:rowOff>66115</xdr:rowOff>
    </xdr:from>
    <xdr:to>
      <xdr:col>2</xdr:col>
      <xdr:colOff>510720</xdr:colOff>
      <xdr:row>34</xdr:row>
      <xdr:rowOff>17145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698" y="5723965"/>
          <a:ext cx="1046922" cy="110546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35</xdr:row>
      <xdr:rowOff>72278</xdr:rowOff>
    </xdr:from>
    <xdr:to>
      <xdr:col>2</xdr:col>
      <xdr:colOff>514307</xdr:colOff>
      <xdr:row>37</xdr:row>
      <xdr:rowOff>304800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855" y="16398128"/>
          <a:ext cx="1046922" cy="975472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</xdr:colOff>
      <xdr:row>38</xdr:row>
      <xdr:rowOff>70596</xdr:rowOff>
    </xdr:from>
    <xdr:to>
      <xdr:col>2</xdr:col>
      <xdr:colOff>529770</xdr:colOff>
      <xdr:row>43</xdr:row>
      <xdr:rowOff>133350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6273" y="8176371"/>
          <a:ext cx="1046922" cy="101525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142874</xdr:colOff>
      <xdr:row>46</xdr:row>
      <xdr:rowOff>52669</xdr:rowOff>
    </xdr:from>
    <xdr:to>
      <xdr:col>2</xdr:col>
      <xdr:colOff>440616</xdr:colOff>
      <xdr:row>47</xdr:row>
      <xdr:rowOff>360720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95274" y="9682444"/>
          <a:ext cx="878767" cy="774776"/>
        </a:xfrm>
        <a:prstGeom prst="rect">
          <a:avLst/>
        </a:prstGeom>
      </xdr:spPr>
    </xdr:pic>
    <xdr:clientData/>
  </xdr:twoCellAnchor>
  <xdr:twoCellAnchor editAs="oneCell">
    <xdr:from>
      <xdr:col>1</xdr:col>
      <xdr:colOff>228599</xdr:colOff>
      <xdr:row>48</xdr:row>
      <xdr:rowOff>33619</xdr:rowOff>
    </xdr:from>
    <xdr:to>
      <xdr:col>2</xdr:col>
      <xdr:colOff>326316</xdr:colOff>
      <xdr:row>48</xdr:row>
      <xdr:rowOff>627987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999" y="10596844"/>
          <a:ext cx="688267" cy="594368"/>
        </a:xfrm>
        <a:prstGeom prst="rect">
          <a:avLst/>
        </a:prstGeom>
      </xdr:spPr>
    </xdr:pic>
    <xdr:clientData/>
  </xdr:twoCellAnchor>
  <xdr:twoCellAnchor editAs="oneCell">
    <xdr:from>
      <xdr:col>1</xdr:col>
      <xdr:colOff>73398</xdr:colOff>
      <xdr:row>49</xdr:row>
      <xdr:rowOff>60512</xdr:rowOff>
    </xdr:from>
    <xdr:to>
      <xdr:col>2</xdr:col>
      <xdr:colOff>548820</xdr:colOff>
      <xdr:row>54</xdr:row>
      <xdr:rowOff>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5798" y="11300012"/>
          <a:ext cx="1046922" cy="891988"/>
        </a:xfrm>
        <a:prstGeom prst="rect">
          <a:avLst/>
        </a:prstGeom>
      </xdr:spPr>
    </xdr:pic>
    <xdr:clientData/>
  </xdr:twoCellAnchor>
  <xdr:twoCellAnchor editAs="oneCell">
    <xdr:from>
      <xdr:col>1</xdr:col>
      <xdr:colOff>216274</xdr:colOff>
      <xdr:row>62</xdr:row>
      <xdr:rowOff>57149</xdr:rowOff>
    </xdr:from>
    <xdr:to>
      <xdr:col>2</xdr:col>
      <xdr:colOff>345440</xdr:colOff>
      <xdr:row>65</xdr:row>
      <xdr:rowOff>97154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8674" y="13773149"/>
          <a:ext cx="710191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178174</xdr:colOff>
      <xdr:row>66</xdr:row>
      <xdr:rowOff>75909</xdr:rowOff>
    </xdr:from>
    <xdr:to>
      <xdr:col>2</xdr:col>
      <xdr:colOff>419100</xdr:colOff>
      <xdr:row>70</xdr:row>
      <xdr:rowOff>167640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30574" y="14553909"/>
          <a:ext cx="821951" cy="84801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79</xdr:row>
      <xdr:rowOff>76200</xdr:rowOff>
    </xdr:from>
    <xdr:to>
      <xdr:col>2</xdr:col>
      <xdr:colOff>284024</xdr:colOff>
      <xdr:row>80</xdr:row>
      <xdr:rowOff>287639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0524" y="17030700"/>
          <a:ext cx="634545" cy="565769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82</xdr:row>
      <xdr:rowOff>145678</xdr:rowOff>
    </xdr:from>
    <xdr:to>
      <xdr:col>2</xdr:col>
      <xdr:colOff>516817</xdr:colOff>
      <xdr:row>86</xdr:row>
      <xdr:rowOff>133350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97224" y="18014578"/>
          <a:ext cx="1053018" cy="749672"/>
        </a:xfrm>
        <a:prstGeom prst="rect">
          <a:avLst/>
        </a:prstGeom>
      </xdr:spPr>
    </xdr:pic>
    <xdr:clientData/>
  </xdr:twoCellAnchor>
  <xdr:twoCellAnchor editAs="oneCell">
    <xdr:from>
      <xdr:col>1</xdr:col>
      <xdr:colOff>227480</xdr:colOff>
      <xdr:row>91</xdr:row>
      <xdr:rowOff>48186</xdr:rowOff>
    </xdr:from>
    <xdr:to>
      <xdr:col>2</xdr:col>
      <xdr:colOff>400855</xdr:colOff>
      <xdr:row>91</xdr:row>
      <xdr:rowOff>647700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ackgroundRemoval t="7143" b="89286" l="7761" r="96231">
                      <a14:foregroundMark x1="7761" y1="54396" x2="11530" y2="40110"/>
                      <a14:foregroundMark x1="27716" y1="8516" x2="47450" y2="18407"/>
                      <a14:foregroundMark x1="48337" y1="9341" x2="31264" y2="7143"/>
                      <a14:foregroundMark x1="92018" y1="39560" x2="88914" y2="57967"/>
                      <a14:foregroundMark x1="96231" y1="51374" x2="91796" y2="69231"/>
                      <a14:foregroundMark x1="30155" y1="79121" x2="35698" y2="79396"/>
                      <a14:foregroundMark x1="39024" y1="82143" x2="25721" y2="78297"/>
                      <a14:foregroundMark x1="47007" y1="83791" x2="50554" y2="84066"/>
                      <a14:foregroundMark x1="53437" y1="85440" x2="48337" y2="84341"/>
                      <a14:foregroundMark x1="55211" y1="85440" x2="53659" y2="85440"/>
                      <a14:backgroundMark x1="56049" y1="87071" x2="63193" y2="87912"/>
                      <a14:backgroundMark x1="54085" y1="86840" x2="54397" y2="86877"/>
                      <a14:backgroundMark x1="40410" y1="85231" x2="45891" y2="85876"/>
                      <a14:backgroundMark x1="23503" y1="83242" x2="35354" y2="846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79880" y="19631586"/>
          <a:ext cx="742970" cy="599514"/>
        </a:xfrm>
        <a:prstGeom prst="rect">
          <a:avLst/>
        </a:prstGeom>
      </xdr:spPr>
    </xdr:pic>
    <xdr:clientData/>
  </xdr:twoCellAnchor>
  <xdr:twoCellAnchor editAs="oneCell">
    <xdr:from>
      <xdr:col>1</xdr:col>
      <xdr:colOff>149599</xdr:colOff>
      <xdr:row>92</xdr:row>
      <xdr:rowOff>24653</xdr:rowOff>
    </xdr:from>
    <xdr:to>
      <xdr:col>2</xdr:col>
      <xdr:colOff>438150</xdr:colOff>
      <xdr:row>93</xdr:row>
      <xdr:rowOff>0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01999" y="20322428"/>
          <a:ext cx="869576" cy="632572"/>
        </a:xfrm>
        <a:prstGeom prst="rect">
          <a:avLst/>
        </a:prstGeom>
      </xdr:spPr>
    </xdr:pic>
    <xdr:clientData/>
  </xdr:twoCellAnchor>
  <xdr:twoCellAnchor editAs="oneCell">
    <xdr:from>
      <xdr:col>1</xdr:col>
      <xdr:colOff>46507</xdr:colOff>
      <xdr:row>93</xdr:row>
      <xdr:rowOff>82925</xdr:rowOff>
    </xdr:from>
    <xdr:to>
      <xdr:col>2</xdr:col>
      <xdr:colOff>512404</xdr:colOff>
      <xdr:row>98</xdr:row>
      <xdr:rowOff>53340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8907" y="21056975"/>
          <a:ext cx="1046922" cy="91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105</xdr:row>
      <xdr:rowOff>123264</xdr:rowOff>
    </xdr:from>
    <xdr:to>
      <xdr:col>2</xdr:col>
      <xdr:colOff>510720</xdr:colOff>
      <xdr:row>111</xdr:row>
      <xdr:rowOff>17145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7223" y="23383314"/>
          <a:ext cx="1046922" cy="1048311"/>
        </a:xfrm>
        <a:prstGeom prst="rect">
          <a:avLst/>
        </a:prstGeom>
      </xdr:spPr>
    </xdr:pic>
    <xdr:clientData/>
  </xdr:twoCellAnchor>
  <xdr:twoCellAnchor editAs="oneCell">
    <xdr:from>
      <xdr:col>1</xdr:col>
      <xdr:colOff>187698</xdr:colOff>
      <xdr:row>114</xdr:row>
      <xdr:rowOff>57150</xdr:rowOff>
    </xdr:from>
    <xdr:to>
      <xdr:col>2</xdr:col>
      <xdr:colOff>438242</xdr:colOff>
      <xdr:row>118</xdr:row>
      <xdr:rowOff>55245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0098" y="25031700"/>
          <a:ext cx="820139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146</xdr:row>
      <xdr:rowOff>44827</xdr:rowOff>
    </xdr:from>
    <xdr:to>
      <xdr:col>2</xdr:col>
      <xdr:colOff>434340</xdr:colOff>
      <xdr:row>150</xdr:row>
      <xdr:rowOff>170341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8430" y="31115377"/>
          <a:ext cx="953620" cy="887514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</xdr:colOff>
      <xdr:row>119</xdr:row>
      <xdr:rowOff>146236</xdr:rowOff>
    </xdr:from>
    <xdr:to>
      <xdr:col>2</xdr:col>
      <xdr:colOff>535866</xdr:colOff>
      <xdr:row>124</xdr:row>
      <xdr:rowOff>55245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6273" y="26073286"/>
          <a:ext cx="1053018" cy="872939"/>
        </a:xfrm>
        <a:prstGeom prst="rect">
          <a:avLst/>
        </a:prstGeom>
      </xdr:spPr>
    </xdr:pic>
    <xdr:clientData/>
  </xdr:twoCellAnchor>
  <xdr:twoCellAnchor editAs="oneCell">
    <xdr:from>
      <xdr:col>1</xdr:col>
      <xdr:colOff>75081</xdr:colOff>
      <xdr:row>174</xdr:row>
      <xdr:rowOff>47625</xdr:rowOff>
    </xdr:from>
    <xdr:to>
      <xdr:col>2</xdr:col>
      <xdr:colOff>550503</xdr:colOff>
      <xdr:row>178</xdr:row>
      <xdr:rowOff>168727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7481" y="36452175"/>
          <a:ext cx="1046922" cy="873577"/>
        </a:xfrm>
        <a:prstGeom prst="rect">
          <a:avLst/>
        </a:prstGeom>
      </xdr:spPr>
    </xdr:pic>
    <xdr:clientData/>
  </xdr:twoCellAnchor>
  <xdr:twoCellAnchor editAs="oneCell">
    <xdr:from>
      <xdr:col>1</xdr:col>
      <xdr:colOff>63873</xdr:colOff>
      <xdr:row>196</xdr:row>
      <xdr:rowOff>84045</xdr:rowOff>
    </xdr:from>
    <xdr:to>
      <xdr:col>2</xdr:col>
      <xdr:colOff>535866</xdr:colOff>
      <xdr:row>201</xdr:row>
      <xdr:rowOff>114300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6273" y="40679595"/>
          <a:ext cx="1053018" cy="982755"/>
        </a:xfrm>
        <a:prstGeom prst="rect">
          <a:avLst/>
        </a:prstGeom>
      </xdr:spPr>
    </xdr:pic>
    <xdr:clientData/>
  </xdr:twoCellAnchor>
  <xdr:twoCellAnchor editAs="oneCell">
    <xdr:from>
      <xdr:col>1</xdr:col>
      <xdr:colOff>84604</xdr:colOff>
      <xdr:row>208</xdr:row>
      <xdr:rowOff>81803</xdr:rowOff>
    </xdr:from>
    <xdr:to>
      <xdr:col>2</xdr:col>
      <xdr:colOff>550501</xdr:colOff>
      <xdr:row>213</xdr:row>
      <xdr:rowOff>99059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7004" y="42963353"/>
          <a:ext cx="1046922" cy="975471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</xdr:colOff>
      <xdr:row>216</xdr:row>
      <xdr:rowOff>128309</xdr:rowOff>
    </xdr:from>
    <xdr:to>
      <xdr:col>2</xdr:col>
      <xdr:colOff>474682</xdr:colOff>
      <xdr:row>220</xdr:row>
      <xdr:rowOff>17145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0329" y="44533859"/>
          <a:ext cx="1053018" cy="662266"/>
        </a:xfrm>
        <a:prstGeom prst="rect">
          <a:avLst/>
        </a:prstGeom>
      </xdr:spPr>
    </xdr:pic>
    <xdr:clientData/>
  </xdr:twoCellAnchor>
  <xdr:twoCellAnchor editAs="oneCell">
    <xdr:from>
      <xdr:col>1</xdr:col>
      <xdr:colOff>160805</xdr:colOff>
      <xdr:row>225</xdr:row>
      <xdr:rowOff>51512</xdr:rowOff>
    </xdr:from>
    <xdr:to>
      <xdr:col>2</xdr:col>
      <xdr:colOff>285750</xdr:colOff>
      <xdr:row>225</xdr:row>
      <xdr:rowOff>723899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13205" y="55010762"/>
          <a:ext cx="705970" cy="672387"/>
        </a:xfrm>
        <a:prstGeom prst="rect">
          <a:avLst/>
        </a:prstGeom>
      </xdr:spPr>
    </xdr:pic>
    <xdr:clientData/>
  </xdr:twoCellAnchor>
  <xdr:twoCellAnchor editAs="oneCell">
    <xdr:from>
      <xdr:col>1</xdr:col>
      <xdr:colOff>134629</xdr:colOff>
      <xdr:row>225</xdr:row>
      <xdr:rowOff>751354</xdr:rowOff>
    </xdr:from>
    <xdr:to>
      <xdr:col>2</xdr:col>
      <xdr:colOff>402517</xdr:colOff>
      <xdr:row>227</xdr:row>
      <xdr:rowOff>249554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7029" y="54681904"/>
          <a:ext cx="858438" cy="524995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</xdr:colOff>
      <xdr:row>230</xdr:row>
      <xdr:rowOff>168088</xdr:rowOff>
    </xdr:from>
    <xdr:to>
      <xdr:col>2</xdr:col>
      <xdr:colOff>510720</xdr:colOff>
      <xdr:row>235</xdr:row>
      <xdr:rowOff>95250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97223" y="55794088"/>
          <a:ext cx="1046922" cy="879662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241</xdr:row>
      <xdr:rowOff>56591</xdr:rowOff>
    </xdr:from>
    <xdr:to>
      <xdr:col>2</xdr:col>
      <xdr:colOff>514306</xdr:colOff>
      <xdr:row>246</xdr:row>
      <xdr:rowOff>91440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8429" y="57778091"/>
          <a:ext cx="1046922" cy="9816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5400000">
          <a:off x="987761" y="-625811"/>
          <a:ext cx="792127" cy="252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323850</xdr:colOff>
      <xdr:row>2</xdr:row>
      <xdr:rowOff>123825</xdr:rowOff>
    </xdr:from>
    <xdr:to>
      <xdr:col>10</xdr:col>
      <xdr:colOff>323850</xdr:colOff>
      <xdr:row>5</xdr:row>
      <xdr:rowOff>142875</xdr:rowOff>
    </xdr:to>
    <xdr:cxnSp macro="">
      <xdr:nvCxnSpPr>
        <xdr:cNvPr id="2" name="Straight Arrow Connector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>
        <a:xfrm>
          <a:off x="9572625" y="561975"/>
          <a:ext cx="0" cy="590550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38100</xdr:colOff>
      <xdr:row>1</xdr:row>
      <xdr:rowOff>9525</xdr:rowOff>
    </xdr:from>
    <xdr:to>
      <xdr:col>13</xdr:col>
      <xdr:colOff>93345</xdr:colOff>
      <xdr:row>5</xdr:row>
      <xdr:rowOff>21909</xdr:rowOff>
    </xdr:to>
    <xdr:pic>
      <xdr:nvPicPr>
        <xdr:cNvPr id="3" name="Picture 4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3" t="10485" r="9678" b="10483"/>
        <a:stretch/>
      </xdr:blipFill>
      <xdr:spPr bwMode="auto">
        <a:xfrm>
          <a:off x="10096500" y="247650"/>
          <a:ext cx="777240" cy="783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44823</xdr:colOff>
      <xdr:row>8</xdr:row>
      <xdr:rowOff>168090</xdr:rowOff>
    </xdr:from>
    <xdr:to>
      <xdr:col>2</xdr:col>
      <xdr:colOff>510720</xdr:colOff>
      <xdr:row>12</xdr:row>
      <xdr:rowOff>171450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223" y="2006415"/>
          <a:ext cx="1046922" cy="765360"/>
        </a:xfrm>
        <a:prstGeom prst="rect">
          <a:avLst/>
        </a:prstGeom>
      </xdr:spPr>
    </xdr:pic>
    <xdr:clientData/>
  </xdr:twoCellAnchor>
  <xdr:twoCellAnchor editAs="oneCell">
    <xdr:from>
      <xdr:col>1</xdr:col>
      <xdr:colOff>56029</xdr:colOff>
      <xdr:row>15</xdr:row>
      <xdr:rowOff>161925</xdr:rowOff>
    </xdr:from>
    <xdr:to>
      <xdr:col>2</xdr:col>
      <xdr:colOff>514306</xdr:colOff>
      <xdr:row>19</xdr:row>
      <xdr:rowOff>129540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429" y="3333750"/>
          <a:ext cx="1046922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56030</xdr:colOff>
      <xdr:row>29</xdr:row>
      <xdr:rowOff>190499</xdr:rowOff>
    </xdr:from>
    <xdr:to>
      <xdr:col>2</xdr:col>
      <xdr:colOff>512783</xdr:colOff>
      <xdr:row>33</xdr:row>
      <xdr:rowOff>59054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430" y="6029324"/>
          <a:ext cx="105301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44824</xdr:colOff>
      <xdr:row>41</xdr:row>
      <xdr:rowOff>180976</xdr:rowOff>
    </xdr:from>
    <xdr:to>
      <xdr:col>2</xdr:col>
      <xdr:colOff>510721</xdr:colOff>
      <xdr:row>45</xdr:row>
      <xdr:rowOff>67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7224" y="8305801"/>
          <a:ext cx="1046922" cy="571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4</xdr:col>
      <xdr:colOff>517845</xdr:colOff>
      <xdr:row>5</xdr:row>
      <xdr:rowOff>20602</xdr:rowOff>
    </xdr:to>
    <xdr:pic>
      <xdr:nvPicPr>
        <xdr:cNvPr id="35" name="Pictur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016336" y="-625811"/>
          <a:ext cx="792127" cy="252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DRFa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DRFab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vmlDrawing" Target="../drawings/vmlDrawing1.vml"/><Relationship Id="rId7" Type="http://schemas.openxmlformats.org/officeDocument/2006/relationships/package" Target="../embeddings/Microsoft_Word_Document1.docx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Relationship Id="rId6" Type="http://schemas.openxmlformats.org/officeDocument/2006/relationships/image" Target="../media/image496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6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9"/>
    <pageSetUpPr fitToPage="1"/>
  </sheetPr>
  <dimension ref="A1:M122"/>
  <sheetViews>
    <sheetView showGridLines="0" topLeftCell="A16" zoomScaleNormal="100" zoomScaleSheetLayoutView="100" workbookViewId="0">
      <selection activeCell="F8" sqref="F8"/>
    </sheetView>
  </sheetViews>
  <sheetFormatPr defaultColWidth="0" defaultRowHeight="15" zeroHeight="1"/>
  <cols>
    <col min="1" max="1" width="6.7109375" style="2" customWidth="1"/>
    <col min="2" max="12" width="9.140625" style="2" customWidth="1"/>
    <col min="13" max="13" width="8.7109375" style="2" customWidth="1"/>
    <col min="14" max="16384" width="9.140625" style="2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</sheetData>
  <sheetProtection algorithmName="SHA-512" hashValue="I09bWwjKw0ZLPR28xgcBg053rDoKmMOlf5CsjDco4uphodinAq0S2YBEbfJZmuPxjUD5zOAgy7HP4a6I+z7clA==" saltValue="EShCx6gv6hZBBtyB6Ttbjg==" spinCount="100000" sheet="1" formatCells="0" formatColumns="0" formatRows="0" insertColumns="0" insertRows="0" insertHyperlinks="0" deleteColumns="0" deleteRows="0" sort="0" autoFilter="0" pivotTables="0"/>
  <printOptions horizontalCentered="1"/>
  <pageMargins left="0.7" right="0.7" top="0.95" bottom="0.75" header="0.3" footer="0.3"/>
  <pageSetup scale="82" fitToHeight="0" orientation="portrait" horizontalDpi="4294967292" r:id="rId1"/>
  <headerFooter>
    <oddHeader>&amp;L&amp;G&amp;R&amp;G</oddHeader>
    <oddFooter>&amp;L&amp;8V06032014&amp;CCopyright 2014
All rights reserved
For Tigre-ADS USA customer and rep use only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Word.Document.12" shapeId="24605" r:id="rId5">
          <objectPr defaultSize="0" autoPict="0" r:id="rId6">
            <anchor moveWithCells="1">
              <from>
                <xdr:col>0</xdr:col>
                <xdr:colOff>342900</xdr:colOff>
                <xdr:row>58</xdr:row>
                <xdr:rowOff>9525</xdr:rowOff>
              </from>
              <to>
                <xdr:col>12</xdr:col>
                <xdr:colOff>295275</xdr:colOff>
                <xdr:row>65</xdr:row>
                <xdr:rowOff>9525</xdr:rowOff>
              </to>
            </anchor>
          </objectPr>
        </oleObject>
      </mc:Choice>
      <mc:Fallback>
        <oleObject progId="Word.Document.12" shapeId="24605" r:id="rId5"/>
      </mc:Fallback>
    </mc:AlternateContent>
    <mc:AlternateContent xmlns:mc="http://schemas.openxmlformats.org/markup-compatibility/2006">
      <mc:Choice Requires="x14">
        <oleObject progId="Document" shapeId="24608" r:id="rId7">
          <objectPr defaultSize="0" r:id="rId8">
            <anchor moveWithCells="1">
              <from>
                <xdr:col>0</xdr:col>
                <xdr:colOff>342900</xdr:colOff>
                <xdr:row>0</xdr:row>
                <xdr:rowOff>161925</xdr:rowOff>
              </from>
              <to>
                <xdr:col>12</xdr:col>
                <xdr:colOff>114300</xdr:colOff>
                <xdr:row>59</xdr:row>
                <xdr:rowOff>171450</xdr:rowOff>
              </to>
            </anchor>
          </objectPr>
        </oleObject>
      </mc:Choice>
      <mc:Fallback>
        <oleObject progId="Document" shapeId="24608" r:id="rId7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2DF39-E684-4AD4-9D75-66DEB315D289}">
  <sheetPr>
    <tabColor theme="0"/>
    <pageSetUpPr fitToPage="1"/>
  </sheetPr>
  <dimension ref="A1:W523"/>
  <sheetViews>
    <sheetView showGridLines="0" zoomScaleNormal="100" workbookViewId="0">
      <pane xSplit="6" ySplit="7" topLeftCell="I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538" customWidth="1"/>
    <col min="9" max="9" width="10.7109375" style="560" customWidth="1"/>
    <col min="10" max="10" width="10.7109375" style="25" customWidth="1"/>
    <col min="11" max="11" width="10.7109375" style="20" customWidth="1"/>
    <col min="12" max="12" width="1.42578125" style="20" customWidth="1"/>
    <col min="13" max="13" width="10.7109375" style="20" customWidth="1"/>
    <col min="14" max="14" width="2.28515625" style="17" customWidth="1"/>
    <col min="15" max="15" width="12.7109375" style="20" customWidth="1"/>
    <col min="16" max="16" width="10.7109375" style="20" customWidth="1"/>
    <col min="17" max="17" width="11.28515625" style="536" bestFit="1" customWidth="1"/>
    <col min="18" max="18" width="11.28515625" style="20" bestFit="1" customWidth="1"/>
    <col min="19" max="19" width="13.140625" style="536" bestFit="1" customWidth="1"/>
    <col min="20" max="20" width="9.140625" style="485" customWidth="1"/>
    <col min="21" max="21" width="9.140625" style="17" customWidth="1"/>
    <col min="22" max="23" width="9.140625" style="485" customWidth="1"/>
    <col min="24" max="25" width="9.140625" style="17" customWidth="1"/>
    <col min="26" max="16384" width="9.140625" style="17"/>
  </cols>
  <sheetData>
    <row r="1" spans="1:23" ht="18.75">
      <c r="F1" s="173" t="s">
        <v>348</v>
      </c>
      <c r="G1" s="549"/>
      <c r="H1" s="537"/>
      <c r="O1" s="236"/>
      <c r="P1" s="236"/>
      <c r="Q1" s="535"/>
      <c r="R1" s="236"/>
      <c r="S1" s="535"/>
    </row>
    <row r="2" spans="1:23" ht="15.75">
      <c r="D2" s="238"/>
      <c r="E2" s="239"/>
      <c r="J2" s="628" t="s">
        <v>59</v>
      </c>
      <c r="K2" s="628"/>
    </row>
    <row r="3" spans="1:23" ht="15">
      <c r="F3" s="436" t="s">
        <v>349</v>
      </c>
      <c r="J3" s="628"/>
      <c r="K3" s="628"/>
    </row>
    <row r="4" spans="1:23" ht="15">
      <c r="E4" s="163" t="s">
        <v>346</v>
      </c>
      <c r="F4" s="440" t="s">
        <v>350</v>
      </c>
      <c r="J4" s="21"/>
      <c r="K4" s="17"/>
    </row>
    <row r="5" spans="1:23" ht="15">
      <c r="F5" s="438" t="s">
        <v>351</v>
      </c>
      <c r="J5" s="21"/>
      <c r="K5" s="17"/>
    </row>
    <row r="6" spans="1:23" ht="14.25" customHeight="1">
      <c r="J6" s="21"/>
      <c r="K6" s="17"/>
      <c r="O6" s="486" t="s">
        <v>63</v>
      </c>
      <c r="Q6" s="576" t="s">
        <v>64</v>
      </c>
      <c r="R6" s="576"/>
      <c r="S6" s="576"/>
    </row>
    <row r="7" spans="1:23" ht="36" customHeight="1"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524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542" t="s">
        <v>70</v>
      </c>
      <c r="R7" s="263" t="s">
        <v>71</v>
      </c>
      <c r="S7" s="542" t="s">
        <v>72</v>
      </c>
      <c r="T7" s="529" t="s">
        <v>73</v>
      </c>
      <c r="U7" s="263" t="s">
        <v>336</v>
      </c>
      <c r="V7" s="529" t="s">
        <v>330</v>
      </c>
      <c r="W7" s="529" t="s">
        <v>331</v>
      </c>
    </row>
    <row r="8" spans="1:23" ht="15">
      <c r="A8" s="104" t="str">
        <f>IF(K8&gt;0,COUNT($A$7:A7)+COUNT('DWV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8" s="577"/>
      <c r="C8" s="578"/>
      <c r="D8" s="562" t="str">
        <f>_xlfn.XLOOKUP(E8,'All Products'!D:D,'All Products'!C:C,FALSE)</f>
        <v>852-007</v>
      </c>
      <c r="E8" s="106">
        <v>100028011</v>
      </c>
      <c r="F8" s="563" t="str">
        <f>_xlfn.XLOOKUP(E8,'All Products'!D:D,'All Products'!E:E,FALSE)</f>
        <v>3/4 THREADED FLANGE GASKET TYPE</v>
      </c>
      <c r="G8" s="283">
        <f>_xlfn.XLOOKUP(E8,'All Products'!D:D,'All Products'!F:F,FALSE)</f>
        <v>75</v>
      </c>
      <c r="H8" s="234">
        <f>_xlfn.XLOOKUP(E8,'All Products'!D:D,'All Products'!G:G,FALSE)</f>
        <v>0</v>
      </c>
      <c r="I8" s="561">
        <f>_xlfn.XLOOKUP(E8,'All Products'!D:D,'All Products'!H:H,FALSE)</f>
        <v>63.65</v>
      </c>
      <c r="J8" s="135">
        <f>ROUND(I8*Order_Quote!$L$9,2)</f>
        <v>318.25</v>
      </c>
      <c r="K8" s="78"/>
      <c r="L8" s="116"/>
      <c r="M8" s="199">
        <f t="shared" ref="M8:M45" si="0">K8/G8</f>
        <v>0</v>
      </c>
      <c r="N8" s="275"/>
      <c r="O8" s="348" t="str">
        <f>_xlfn.XLOOKUP(E8,'All Products'!D:D,'All Products'!I:I,FALSE)</f>
        <v>Within 3 Weeks</v>
      </c>
      <c r="P8" s="348" t="str">
        <f>_xlfn.XLOOKUP(E8,'All Products'!D:D,'All Products'!J:J,FALSE)</f>
        <v>Manufactured</v>
      </c>
      <c r="Q8" s="351">
        <f>_xlfn.XLOOKUP(E8,'All Products'!D:D,'All Products'!K:K,FALSE)</f>
        <v>0</v>
      </c>
      <c r="R8" s="351" t="str">
        <f>_xlfn.XLOOKUP(E8,'All Products'!D:D,'All Products'!L:L,FALSE)</f>
        <v>-</v>
      </c>
      <c r="S8" s="351" t="str">
        <f>_xlfn.XLOOKUP(E8,'All Products'!D:D,'All Products'!M:M,FALSE)</f>
        <v>40049081164124</v>
      </c>
      <c r="T8" s="348">
        <f>_xlfn.XLOOKUP(E8,'All Products'!D:D,'All Products'!N:N,FALSE)</f>
        <v>0.27600000000000002</v>
      </c>
      <c r="U8" s="348" t="str">
        <f>_xlfn.XLOOKUP(F8,'All Products'!E:E,'All Products'!O:O,FALSE)</f>
        <v>-</v>
      </c>
      <c r="V8" s="348">
        <f>_xlfn.XLOOKUP(E8,'All Products'!D:D,'All Products'!P:P,FALSE)</f>
        <v>20.663</v>
      </c>
      <c r="W8" s="348" t="str">
        <f>_xlfn.XLOOKUP(E8,'All Products'!D:D,'All Products'!Q:Q,FALSE)</f>
        <v>-</v>
      </c>
    </row>
    <row r="9" spans="1:23" ht="15">
      <c r="A9" s="104" t="str">
        <f>IF(K9&gt;0,COUNT($A$7:A8)+COUNT('DWV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9" s="579"/>
      <c r="C9" s="580"/>
      <c r="D9" s="562" t="str">
        <f>_xlfn.XLOOKUP(E9,'All Products'!D:D,'All Products'!C:C,FALSE)</f>
        <v>852-010</v>
      </c>
      <c r="E9" s="106">
        <v>100028012</v>
      </c>
      <c r="F9" s="563" t="str">
        <f>_xlfn.XLOOKUP(E9,'All Products'!D:D,'All Products'!E:E,FALSE)</f>
        <v>1 THREADED FLANGE GASKET TYPE</v>
      </c>
      <c r="G9" s="283">
        <f>_xlfn.XLOOKUP(E9,'All Products'!D:D,'All Products'!F:F,FALSE)</f>
        <v>50</v>
      </c>
      <c r="H9" s="234">
        <f>_xlfn.XLOOKUP(E9,'All Products'!D:D,'All Products'!G:G,FALSE)</f>
        <v>0</v>
      </c>
      <c r="I9" s="561">
        <f>_xlfn.XLOOKUP(E9,'All Products'!D:D,'All Products'!H:H,FALSE)</f>
        <v>69.69</v>
      </c>
      <c r="J9" s="135">
        <f>ROUND(I9*Order_Quote!$L$9,2)</f>
        <v>348.45</v>
      </c>
      <c r="K9" s="78"/>
      <c r="L9" s="116"/>
      <c r="M9" s="199">
        <f t="shared" si="0"/>
        <v>0</v>
      </c>
      <c r="N9" s="275"/>
      <c r="O9" s="348" t="str">
        <f>_xlfn.XLOOKUP(E9,'All Products'!D:D,'All Products'!I:I,FALSE)</f>
        <v>Within 3 Weeks</v>
      </c>
      <c r="P9" s="348" t="str">
        <f>_xlfn.XLOOKUP(E9,'All Products'!D:D,'All Products'!J:J,FALSE)</f>
        <v>Manufactured</v>
      </c>
      <c r="Q9" s="351" t="str">
        <f>_xlfn.XLOOKUP(E9,'All Products'!D:D,'All Products'!K:K,FALSE)</f>
        <v>049081164140</v>
      </c>
      <c r="R9" s="351" t="str">
        <f>_xlfn.XLOOKUP(E9,'All Products'!D:D,'All Products'!L:L,FALSE)</f>
        <v>-</v>
      </c>
      <c r="S9" s="351" t="str">
        <f>_xlfn.XLOOKUP(E9,'All Products'!D:D,'All Products'!M:M,FALSE)</f>
        <v>40049081164148</v>
      </c>
      <c r="T9" s="348">
        <f>_xlfn.XLOOKUP(E9,'All Products'!D:D,'All Products'!N:N,FALSE)</f>
        <v>0.41</v>
      </c>
      <c r="U9" s="348" t="str">
        <f>_xlfn.XLOOKUP(F9,'All Products'!E:E,'All Products'!O:O,FALSE)</f>
        <v>-</v>
      </c>
      <c r="V9" s="348">
        <f>_xlfn.XLOOKUP(E9,'All Products'!D:D,'All Products'!P:P,FALSE)</f>
        <v>20.5</v>
      </c>
      <c r="W9" s="348" t="str">
        <f>_xlfn.XLOOKUP(E9,'All Products'!D:D,'All Products'!Q:Q,FALSE)</f>
        <v>-</v>
      </c>
    </row>
    <row r="10" spans="1:23" ht="15">
      <c r="A10" s="104" t="str">
        <f>IF(K10&gt;0,COUNT($A$7:A9)+COUNT('DWV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0" s="579"/>
      <c r="C10" s="580"/>
      <c r="D10" s="562" t="str">
        <f>_xlfn.XLOOKUP(E10,'All Products'!D:D,'All Products'!C:C,FALSE)</f>
        <v>852-012</v>
      </c>
      <c r="E10" s="106">
        <v>100028013</v>
      </c>
      <c r="F10" s="563" t="str">
        <f>_xlfn.XLOOKUP(E10,'All Products'!D:D,'All Products'!E:E,FALSE)</f>
        <v>1-1/4 THREADED FLANGE GASKET TYPE</v>
      </c>
      <c r="G10" s="283">
        <f>_xlfn.XLOOKUP(E10,'All Products'!D:D,'All Products'!F:F,FALSE)</f>
        <v>20</v>
      </c>
      <c r="H10" s="234">
        <f>_xlfn.XLOOKUP(E10,'All Products'!D:D,'All Products'!G:G,FALSE)</f>
        <v>0</v>
      </c>
      <c r="I10" s="561">
        <f>_xlfn.XLOOKUP(E10,'All Products'!D:D,'All Products'!H:H,FALSE)</f>
        <v>96.1</v>
      </c>
      <c r="J10" s="135">
        <f>ROUND(I10*Order_Quote!$L$9,2)</f>
        <v>480.5</v>
      </c>
      <c r="K10" s="78"/>
      <c r="L10" s="116"/>
      <c r="M10" s="199">
        <f t="shared" si="0"/>
        <v>0</v>
      </c>
      <c r="N10" s="275"/>
      <c r="O10" s="348" t="str">
        <f>_xlfn.XLOOKUP(E10,'All Products'!D:D,'All Products'!I:I,FALSE)</f>
        <v>Within 3 Weeks</v>
      </c>
      <c r="P10" s="348" t="str">
        <f>_xlfn.XLOOKUP(E10,'All Products'!D:D,'All Products'!J:J,FALSE)</f>
        <v>Manufactured</v>
      </c>
      <c r="Q10" s="351" t="str">
        <f>_xlfn.XLOOKUP(E10,'All Products'!D:D,'All Products'!K:K,FALSE)</f>
        <v>049081164164</v>
      </c>
      <c r="R10" s="351" t="str">
        <f>_xlfn.XLOOKUP(E10,'All Products'!D:D,'All Products'!L:L,FALSE)</f>
        <v>-</v>
      </c>
      <c r="S10" s="351" t="str">
        <f>_xlfn.XLOOKUP(E10,'All Products'!D:D,'All Products'!M:M,FALSE)</f>
        <v>40049081164162</v>
      </c>
      <c r="T10" s="348">
        <f>_xlfn.XLOOKUP(E10,'All Products'!D:D,'All Products'!N:N,FALSE)</f>
        <v>0.53100000000000003</v>
      </c>
      <c r="U10" s="348" t="str">
        <f>_xlfn.XLOOKUP(F10,'All Products'!E:E,'All Products'!O:O,FALSE)</f>
        <v>-</v>
      </c>
      <c r="V10" s="348">
        <f>_xlfn.XLOOKUP(E10,'All Products'!D:D,'All Products'!P:P,FALSE)</f>
        <v>10.625999999999999</v>
      </c>
      <c r="W10" s="348" t="str">
        <f>_xlfn.XLOOKUP(E10,'All Products'!D:D,'All Products'!Q:Q,FALSE)</f>
        <v>-</v>
      </c>
    </row>
    <row r="11" spans="1:23" ht="15">
      <c r="A11" s="104" t="str">
        <f>IF(K11&gt;0,COUNT($A$7:A10)+COUNT('DWV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1" s="579"/>
      <c r="C11" s="580"/>
      <c r="D11" s="562" t="str">
        <f>_xlfn.XLOOKUP(E11,'All Products'!D:D,'All Products'!C:C,FALSE)</f>
        <v>852-015</v>
      </c>
      <c r="E11" s="106">
        <v>100028014</v>
      </c>
      <c r="F11" s="563" t="str">
        <f>_xlfn.XLOOKUP(E11,'All Products'!D:D,'All Products'!E:E,FALSE)</f>
        <v>1-1/2 THREADED FLANGE GASKET TYPE</v>
      </c>
      <c r="G11" s="283">
        <f>_xlfn.XLOOKUP(E11,'All Products'!D:D,'All Products'!F:F,FALSE)</f>
        <v>30</v>
      </c>
      <c r="H11" s="234">
        <f>_xlfn.XLOOKUP(E11,'All Products'!D:D,'All Products'!G:G,FALSE)</f>
        <v>0</v>
      </c>
      <c r="I11" s="561">
        <f>_xlfn.XLOOKUP(E11,'All Products'!D:D,'All Products'!H:H,FALSE)</f>
        <v>104.87</v>
      </c>
      <c r="J11" s="135">
        <f>ROUND(I11*Order_Quote!$L$9,2)</f>
        <v>524.35</v>
      </c>
      <c r="K11" s="78"/>
      <c r="L11" s="116"/>
      <c r="M11" s="199">
        <f t="shared" si="0"/>
        <v>0</v>
      </c>
      <c r="N11" s="275"/>
      <c r="O11" s="348" t="str">
        <f>_xlfn.XLOOKUP(E11,'All Products'!D:D,'All Products'!I:I,FALSE)</f>
        <v>Within 3 Weeks</v>
      </c>
      <c r="P11" s="348" t="str">
        <f>_xlfn.XLOOKUP(E11,'All Products'!D:D,'All Products'!J:J,FALSE)</f>
        <v>Manufactured</v>
      </c>
      <c r="Q11" s="351" t="str">
        <f>_xlfn.XLOOKUP(E11,'All Products'!D:D,'All Products'!K:K,FALSE)</f>
        <v>049081164188</v>
      </c>
      <c r="R11" s="351" t="str">
        <f>_xlfn.XLOOKUP(E11,'All Products'!D:D,'All Products'!L:L,FALSE)</f>
        <v>-</v>
      </c>
      <c r="S11" s="351" t="str">
        <f>_xlfn.XLOOKUP(E11,'All Products'!D:D,'All Products'!M:M,FALSE)</f>
        <v>40049081164186</v>
      </c>
      <c r="T11" s="348">
        <f>_xlfn.XLOOKUP(E11,'All Products'!D:D,'All Products'!N:N,FALSE)</f>
        <v>0.65300000000000002</v>
      </c>
      <c r="U11" s="348" t="str">
        <f>_xlfn.XLOOKUP(F11,'All Products'!E:E,'All Products'!O:O,FALSE)</f>
        <v>-</v>
      </c>
      <c r="V11" s="348">
        <f>_xlfn.XLOOKUP(E11,'All Products'!D:D,'All Products'!P:P,FALSE)</f>
        <v>19.574999999999999</v>
      </c>
      <c r="W11" s="348" t="str">
        <f>_xlfn.XLOOKUP(E11,'All Products'!D:D,'All Products'!Q:Q,FALSE)</f>
        <v>-</v>
      </c>
    </row>
    <row r="12" spans="1:23" ht="15">
      <c r="A12" s="104" t="str">
        <f>IF(K12&gt;0,COUNT($A$7:A11)+COUNT('DWV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2" s="579"/>
      <c r="C12" s="580"/>
      <c r="D12" s="562" t="str">
        <f>_xlfn.XLOOKUP(E12,'All Products'!D:D,'All Products'!C:C,FALSE)</f>
        <v>852-020</v>
      </c>
      <c r="E12" s="106">
        <v>100028015</v>
      </c>
      <c r="F12" s="563" t="str">
        <f>_xlfn.XLOOKUP(E12,'All Products'!D:D,'All Products'!E:E,FALSE)</f>
        <v>2 THREADED FLANGE GASKET TYPE</v>
      </c>
      <c r="G12" s="283">
        <f>_xlfn.XLOOKUP(E12,'All Products'!D:D,'All Products'!F:F,FALSE)</f>
        <v>20</v>
      </c>
      <c r="H12" s="234">
        <f>_xlfn.XLOOKUP(E12,'All Products'!D:D,'All Products'!G:G,FALSE)</f>
        <v>0</v>
      </c>
      <c r="I12" s="561">
        <f>_xlfn.XLOOKUP(E12,'All Products'!D:D,'All Products'!H:H,FALSE)</f>
        <v>107.24</v>
      </c>
      <c r="J12" s="135">
        <f>ROUND(I12*Order_Quote!$L$9,2)</f>
        <v>536.20000000000005</v>
      </c>
      <c r="K12" s="78"/>
      <c r="L12" s="116"/>
      <c r="M12" s="199">
        <f t="shared" si="0"/>
        <v>0</v>
      </c>
      <c r="N12" s="275"/>
      <c r="O12" s="348" t="str">
        <f>_xlfn.XLOOKUP(E12,'All Products'!D:D,'All Products'!I:I,FALSE)</f>
        <v>In Stock</v>
      </c>
      <c r="P12" s="348" t="str">
        <f>_xlfn.XLOOKUP(E12,'All Products'!D:D,'All Products'!J:J,FALSE)</f>
        <v>Manufactured</v>
      </c>
      <c r="Q12" s="351">
        <f>_xlfn.XLOOKUP(E12,'All Products'!D:D,'All Products'!K:K,FALSE)</f>
        <v>0</v>
      </c>
      <c r="R12" s="351" t="str">
        <f>_xlfn.XLOOKUP(E12,'All Products'!D:D,'All Products'!L:L,FALSE)</f>
        <v>-</v>
      </c>
      <c r="S12" s="351" t="str">
        <f>_xlfn.XLOOKUP(E12,'All Products'!D:D,'All Products'!M:M,FALSE)</f>
        <v>40049081164209</v>
      </c>
      <c r="T12" s="348">
        <f>_xlfn.XLOOKUP(E12,'All Products'!D:D,'All Products'!N:N,FALSE)</f>
        <v>1.1419999999999999</v>
      </c>
      <c r="U12" s="348" t="str">
        <f>_xlfn.XLOOKUP(F12,'All Products'!E:E,'All Products'!O:O,FALSE)</f>
        <v>-</v>
      </c>
      <c r="V12" s="348">
        <f>_xlfn.XLOOKUP(E12,'All Products'!D:D,'All Products'!P:P,FALSE)</f>
        <v>22.84</v>
      </c>
      <c r="W12" s="348" t="str">
        <f>_xlfn.XLOOKUP(E12,'All Products'!D:D,'All Products'!Q:Q,FALSE)</f>
        <v>-</v>
      </c>
    </row>
    <row r="13" spans="1:23" ht="15">
      <c r="A13" s="104" t="str">
        <f>IF(K13&gt;0,COUNT($A$7:A12)+COUNT('DWV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3" s="579"/>
      <c r="C13" s="580"/>
      <c r="D13" s="562" t="str">
        <f>_xlfn.XLOOKUP(E13,'All Products'!D:D,'All Products'!C:C,FALSE)</f>
        <v>852-025</v>
      </c>
      <c r="E13" s="106">
        <v>100028016</v>
      </c>
      <c r="F13" s="563" t="str">
        <f>_xlfn.XLOOKUP(E13,'All Products'!D:D,'All Products'!E:E,FALSE)</f>
        <v>2-1/2 THREADED FLANGE GASKET TYPE</v>
      </c>
      <c r="G13" s="283">
        <f>_xlfn.XLOOKUP(E13,'All Products'!D:D,'All Products'!F:F,FALSE)</f>
        <v>10</v>
      </c>
      <c r="H13" s="234">
        <f>_xlfn.XLOOKUP(E13,'All Products'!D:D,'All Products'!G:G,FALSE)</f>
        <v>0</v>
      </c>
      <c r="I13" s="561">
        <f>_xlfn.XLOOKUP(E13,'All Products'!D:D,'All Products'!H:H,FALSE)</f>
        <v>246.5</v>
      </c>
      <c r="J13" s="135">
        <f>ROUND(I13*Order_Quote!$L$9,2)</f>
        <v>1232.5</v>
      </c>
      <c r="K13" s="78"/>
      <c r="L13" s="116"/>
      <c r="M13" s="199">
        <f t="shared" si="0"/>
        <v>0</v>
      </c>
      <c r="N13" s="275"/>
      <c r="O13" s="348" t="str">
        <f>_xlfn.XLOOKUP(E13,'All Products'!D:D,'All Products'!I:I,FALSE)</f>
        <v>Within 3 Weeks</v>
      </c>
      <c r="P13" s="348" t="str">
        <f>_xlfn.XLOOKUP(E13,'All Products'!D:D,'All Products'!J:J,FALSE)</f>
        <v>Manufactured</v>
      </c>
      <c r="Q13" s="351" t="str">
        <f>_xlfn.XLOOKUP(E13,'All Products'!D:D,'All Products'!K:K,FALSE)</f>
        <v>049081164225</v>
      </c>
      <c r="R13" s="351" t="str">
        <f>_xlfn.XLOOKUP(E13,'All Products'!D:D,'All Products'!L:L,FALSE)</f>
        <v>-</v>
      </c>
      <c r="S13" s="351" t="str">
        <f>_xlfn.XLOOKUP(E13,'All Products'!D:D,'All Products'!M:M,FALSE)</f>
        <v>40049081164223</v>
      </c>
      <c r="T13" s="348">
        <f>_xlfn.XLOOKUP(E13,'All Products'!D:D,'All Products'!N:N,FALSE)</f>
        <v>1.484</v>
      </c>
      <c r="U13" s="348" t="str">
        <f>_xlfn.XLOOKUP(F13,'All Products'!E:E,'All Products'!O:O,FALSE)</f>
        <v>-</v>
      </c>
      <c r="V13" s="348">
        <f>_xlfn.XLOOKUP(E13,'All Products'!D:D,'All Products'!P:P,FALSE)</f>
        <v>14.837</v>
      </c>
      <c r="W13" s="348" t="str">
        <f>_xlfn.XLOOKUP(E13,'All Products'!D:D,'All Products'!Q:Q,FALSE)</f>
        <v>-</v>
      </c>
    </row>
    <row r="14" spans="1:23" ht="15">
      <c r="A14" s="104" t="str">
        <f>IF(K14&gt;0,COUNT($A$7:A13)+COUNT('DWV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4" s="579"/>
      <c r="C14" s="580"/>
      <c r="D14" s="562" t="str">
        <f>_xlfn.XLOOKUP(E14,'All Products'!D:D,'All Products'!C:C,FALSE)</f>
        <v>852-030</v>
      </c>
      <c r="E14" s="106">
        <v>100028017</v>
      </c>
      <c r="F14" s="563" t="str">
        <f>_xlfn.XLOOKUP(E14,'All Products'!D:D,'All Products'!E:E,FALSE)</f>
        <v>3 THREADED FLANGE GASKET TYPE</v>
      </c>
      <c r="G14" s="283">
        <f>_xlfn.XLOOKUP(E14,'All Products'!D:D,'All Products'!F:F,FALSE)</f>
        <v>10</v>
      </c>
      <c r="H14" s="234">
        <f>_xlfn.XLOOKUP(E14,'All Products'!D:D,'All Products'!G:G,FALSE)</f>
        <v>0</v>
      </c>
      <c r="I14" s="561">
        <f>_xlfn.XLOOKUP(E14,'All Products'!D:D,'All Products'!H:H,FALSE)</f>
        <v>253.75</v>
      </c>
      <c r="J14" s="135">
        <f>ROUND(I14*Order_Quote!$L$9,2)</f>
        <v>1268.75</v>
      </c>
      <c r="K14" s="78"/>
      <c r="L14" s="116"/>
      <c r="M14" s="199">
        <f t="shared" si="0"/>
        <v>0</v>
      </c>
      <c r="N14" s="275"/>
      <c r="O14" s="348" t="str">
        <f>_xlfn.XLOOKUP(E14,'All Products'!D:D,'All Products'!I:I,FALSE)</f>
        <v>Within 3 Weeks</v>
      </c>
      <c r="P14" s="348" t="str">
        <f>_xlfn.XLOOKUP(E14,'All Products'!D:D,'All Products'!J:J,FALSE)</f>
        <v>Manufactured</v>
      </c>
      <c r="Q14" s="351" t="str">
        <f>_xlfn.XLOOKUP(E14,'All Products'!D:D,'All Products'!K:K,FALSE)</f>
        <v>049081164201</v>
      </c>
      <c r="R14" s="351" t="str">
        <f>_xlfn.XLOOKUP(E14,'All Products'!D:D,'All Products'!L:L,FALSE)</f>
        <v>-</v>
      </c>
      <c r="S14" s="351" t="str">
        <f>_xlfn.XLOOKUP(E14,'All Products'!D:D,'All Products'!M:M,FALSE)</f>
        <v>40049081164247</v>
      </c>
      <c r="T14" s="348">
        <f>_xlfn.XLOOKUP(E14,'All Products'!D:D,'All Products'!N:N,FALSE)</f>
        <v>1.9419999999999999</v>
      </c>
      <c r="U14" s="348" t="str">
        <f>_xlfn.XLOOKUP(F14,'All Products'!E:E,'All Products'!O:O,FALSE)</f>
        <v>-</v>
      </c>
      <c r="V14" s="348">
        <f>_xlfn.XLOOKUP(E14,'All Products'!D:D,'All Products'!P:P,FALSE)</f>
        <v>19.422000000000001</v>
      </c>
      <c r="W14" s="348" t="str">
        <f>_xlfn.XLOOKUP(E14,'All Products'!D:D,'All Products'!Q:Q,FALSE)</f>
        <v>-</v>
      </c>
    </row>
    <row r="15" spans="1:23" ht="15">
      <c r="A15" s="104" t="str">
        <f>IF(K15&gt;0,COUNT($A$7:A14)+COUNT('DWV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5" s="581"/>
      <c r="C15" s="582"/>
      <c r="D15" s="562" t="str">
        <f>_xlfn.XLOOKUP(E15,'All Products'!D:D,'All Products'!C:C,FALSE)</f>
        <v>852-040</v>
      </c>
      <c r="E15" s="106">
        <v>100028018</v>
      </c>
      <c r="F15" s="563" t="str">
        <f>_xlfn.XLOOKUP(E15,'All Products'!D:D,'All Products'!E:E,FALSE)</f>
        <v>4 THREADED FLANGE GASKET TYPE</v>
      </c>
      <c r="G15" s="283">
        <f>_xlfn.XLOOKUP(E15,'All Products'!D:D,'All Products'!F:F,FALSE)</f>
        <v>5</v>
      </c>
      <c r="H15" s="234">
        <f>_xlfn.XLOOKUP(E15,'All Products'!D:D,'All Products'!G:G,FALSE)</f>
        <v>0</v>
      </c>
      <c r="I15" s="561">
        <f>_xlfn.XLOOKUP(E15,'All Products'!D:D,'All Products'!H:H,FALSE)</f>
        <v>476.69</v>
      </c>
      <c r="J15" s="135">
        <f>ROUND(I15*Order_Quote!$L$9,2)</f>
        <v>2383.4499999999998</v>
      </c>
      <c r="K15" s="78"/>
      <c r="L15" s="116"/>
      <c r="M15" s="199">
        <f t="shared" si="0"/>
        <v>0</v>
      </c>
      <c r="N15" s="275"/>
      <c r="O15" s="348" t="str">
        <f>_xlfn.XLOOKUP(E15,'All Products'!D:D,'All Products'!I:I,FALSE)</f>
        <v>Within 3 Weeks</v>
      </c>
      <c r="P15" s="348" t="str">
        <f>_xlfn.XLOOKUP(E15,'All Products'!D:D,'All Products'!J:J,FALSE)</f>
        <v>Manufactured</v>
      </c>
      <c r="Q15" s="351" t="str">
        <f>_xlfn.XLOOKUP(E15,'All Products'!D:D,'All Products'!K:K,FALSE)</f>
        <v>049081164263</v>
      </c>
      <c r="R15" s="351" t="str">
        <f>_xlfn.XLOOKUP(E15,'All Products'!D:D,'All Products'!L:L,FALSE)</f>
        <v>-</v>
      </c>
      <c r="S15" s="351" t="str">
        <f>_xlfn.XLOOKUP(E15,'All Products'!D:D,'All Products'!M:M,FALSE)</f>
        <v>40049081164261</v>
      </c>
      <c r="T15" s="348">
        <f>_xlfn.XLOOKUP(E15,'All Products'!D:D,'All Products'!N:N,FALSE)</f>
        <v>2.8620000000000001</v>
      </c>
      <c r="U15" s="348" t="str">
        <f>_xlfn.XLOOKUP(F15,'All Products'!E:E,'All Products'!O:O,FALSE)</f>
        <v>-</v>
      </c>
      <c r="V15" s="348">
        <f>_xlfn.XLOOKUP(E15,'All Products'!D:D,'All Products'!P:P,FALSE)</f>
        <v>14.308</v>
      </c>
      <c r="W15" s="348" t="str">
        <f>_xlfn.XLOOKUP(E15,'All Products'!D:D,'All Products'!Q:Q,FALSE)</f>
        <v>-</v>
      </c>
    </row>
    <row r="16" spans="1:23" ht="15">
      <c r="A16" s="104" t="str">
        <f>IF(K16&gt;0,COUNT($A$7:A15)+COUNT('DWV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6" s="577"/>
      <c r="C16" s="578"/>
      <c r="D16" s="562" t="str">
        <f>_xlfn.XLOOKUP(E16,'All Products'!D:D,'All Products'!C:C,FALSE)</f>
        <v>853-015</v>
      </c>
      <c r="E16" s="106">
        <v>100028019</v>
      </c>
      <c r="F16" s="563" t="str">
        <f>_xlfn.XLOOKUP(E16,'All Products'!D:D,'All Products'!E:E,FALSE)</f>
        <v>1-1/2 BLIND FLANGE GASKET TYPE</v>
      </c>
      <c r="G16" s="283">
        <f>_xlfn.XLOOKUP(E16,'All Products'!D:D,'All Products'!F:F,FALSE)</f>
        <v>25</v>
      </c>
      <c r="H16" s="234">
        <f>_xlfn.XLOOKUP(E16,'All Products'!D:D,'All Products'!G:G,FALSE)</f>
        <v>3750</v>
      </c>
      <c r="I16" s="561">
        <f>_xlfn.XLOOKUP(E16,'All Products'!D:D,'All Products'!H:H,FALSE)</f>
        <v>127.04</v>
      </c>
      <c r="J16" s="135">
        <f>ROUND(I16*Order_Quote!$L$9,2)</f>
        <v>635.20000000000005</v>
      </c>
      <c r="K16" s="78"/>
      <c r="L16" s="116"/>
      <c r="M16" s="199">
        <f t="shared" si="0"/>
        <v>0</v>
      </c>
      <c r="N16" s="275"/>
      <c r="O16" s="348" t="str">
        <f>_xlfn.XLOOKUP(E16,'All Products'!D:D,'All Products'!I:I,FALSE)</f>
        <v>In Stock</v>
      </c>
      <c r="P16" s="348" t="str">
        <f>_xlfn.XLOOKUP(E16,'All Products'!D:D,'All Products'!J:J,FALSE)</f>
        <v>Manufactured</v>
      </c>
      <c r="Q16" s="351" t="str">
        <f>_xlfn.XLOOKUP(E16,'All Products'!D:D,'All Products'!K:K,FALSE)</f>
        <v>049081164447</v>
      </c>
      <c r="R16" s="351" t="str">
        <f>_xlfn.XLOOKUP(E16,'All Products'!D:D,'All Products'!L:L,FALSE)</f>
        <v>-</v>
      </c>
      <c r="S16" s="351" t="str">
        <f>_xlfn.XLOOKUP(E16,'All Products'!D:D,'All Products'!M:M,FALSE)</f>
        <v>40049081164445</v>
      </c>
      <c r="T16" s="348">
        <f>_xlfn.XLOOKUP(E16,'All Products'!D:D,'All Products'!N:N,FALSE)</f>
        <v>0.51500000000000001</v>
      </c>
      <c r="U16" s="348" t="str">
        <f>_xlfn.XLOOKUP(F16,'All Products'!E:E,'All Products'!O:O,FALSE)</f>
        <v>-</v>
      </c>
      <c r="V16" s="348">
        <f>_xlfn.XLOOKUP(E16,'All Products'!D:D,'All Products'!P:P,FALSE)</f>
        <v>13.97</v>
      </c>
      <c r="W16" s="348">
        <f>_xlfn.XLOOKUP(E16,'All Products'!D:D,'All Products'!Q:Q,FALSE)</f>
        <v>0.5</v>
      </c>
    </row>
    <row r="17" spans="1:23" ht="15">
      <c r="A17" s="104" t="str">
        <f>IF(K17&gt;0,COUNT($A$7:A16)+COUNT('DWV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7" s="579"/>
      <c r="C17" s="580"/>
      <c r="D17" s="562" t="str">
        <f>_xlfn.XLOOKUP(E17,'All Products'!D:D,'All Products'!C:C,FALSE)</f>
        <v>853-020</v>
      </c>
      <c r="E17" s="106">
        <v>100023467</v>
      </c>
      <c r="F17" s="563" t="str">
        <f>_xlfn.XLOOKUP(E17,'All Products'!D:D,'All Products'!E:E,FALSE)</f>
        <v>2 BLIND FLANGE GASKET TYPE</v>
      </c>
      <c r="G17" s="283">
        <f>_xlfn.XLOOKUP(E17,'All Products'!D:D,'All Products'!F:F,FALSE)</f>
        <v>25</v>
      </c>
      <c r="H17" s="234">
        <f>_xlfn.XLOOKUP(E17,'All Products'!D:D,'All Products'!G:G,FALSE)</f>
        <v>3000</v>
      </c>
      <c r="I17" s="561">
        <f>_xlfn.XLOOKUP(E17,'All Products'!D:D,'All Products'!H:H,FALSE)</f>
        <v>189.8</v>
      </c>
      <c r="J17" s="135">
        <f>ROUND(I17*Order_Quote!$L$9,2)</f>
        <v>949</v>
      </c>
      <c r="K17" s="78"/>
      <c r="L17" s="116"/>
      <c r="M17" s="199">
        <f t="shared" si="0"/>
        <v>0</v>
      </c>
      <c r="N17" s="275"/>
      <c r="O17" s="348" t="str">
        <f>_xlfn.XLOOKUP(E17,'All Products'!D:D,'All Products'!I:I,FALSE)</f>
        <v>Within 3 Weeks</v>
      </c>
      <c r="P17" s="348" t="str">
        <f>_xlfn.XLOOKUP(E17,'All Products'!D:D,'All Products'!J:J,FALSE)</f>
        <v>Manufactured</v>
      </c>
      <c r="Q17" s="351" t="str">
        <f>_xlfn.XLOOKUP(E17,'All Products'!D:D,'All Products'!K:K,FALSE)</f>
        <v>049081164461</v>
      </c>
      <c r="R17" s="351" t="str">
        <f>_xlfn.XLOOKUP(E17,'All Products'!D:D,'All Products'!L:L,FALSE)</f>
        <v>-</v>
      </c>
      <c r="S17" s="351" t="str">
        <f>_xlfn.XLOOKUP(E17,'All Products'!D:D,'All Products'!M:M,FALSE)</f>
        <v>40049081164469</v>
      </c>
      <c r="T17" s="348">
        <f>_xlfn.XLOOKUP(E17,'All Products'!D:D,'All Products'!N:N,FALSE)</f>
        <v>0.78</v>
      </c>
      <c r="U17" s="348" t="str">
        <f>_xlfn.XLOOKUP(F17,'All Products'!E:E,'All Products'!O:O,FALSE)</f>
        <v>-</v>
      </c>
      <c r="V17" s="348">
        <f>_xlfn.XLOOKUP(E17,'All Products'!D:D,'All Products'!P:P,FALSE)</f>
        <v>20.52</v>
      </c>
      <c r="W17" s="348">
        <f>_xlfn.XLOOKUP(E17,'All Products'!D:D,'All Products'!Q:Q,FALSE)</f>
        <v>0.65</v>
      </c>
    </row>
    <row r="18" spans="1:23" ht="15">
      <c r="A18" s="104" t="str">
        <f>IF(K18&gt;0,COUNT($A$7:A17)+COUNT('DWV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8" s="579"/>
      <c r="C18" s="580"/>
      <c r="D18" s="562" t="str">
        <f>_xlfn.XLOOKUP(E18,'All Products'!D:D,'All Products'!C:C,FALSE)</f>
        <v>853-020-1</v>
      </c>
      <c r="E18" s="106">
        <v>100028020</v>
      </c>
      <c r="F18" s="563" t="str">
        <f>_xlfn.XLOOKUP(E18,'All Products'!D:D,'All Products'!E:E,FALSE)</f>
        <v>2 BLIND FLANGE O-RING TYPE</v>
      </c>
      <c r="G18" s="283">
        <f>_xlfn.XLOOKUP(E18,'All Products'!D:D,'All Products'!F:F,FALSE)</f>
        <v>25</v>
      </c>
      <c r="H18" s="234">
        <f>_xlfn.XLOOKUP(E18,'All Products'!D:D,'All Products'!G:G,FALSE)</f>
        <v>3000</v>
      </c>
      <c r="I18" s="561">
        <f>_xlfn.XLOOKUP(E18,'All Products'!D:D,'All Products'!H:H,FALSE)</f>
        <v>189.8</v>
      </c>
      <c r="J18" s="135">
        <f>ROUND(I18*Order_Quote!$L$9,2)</f>
        <v>949</v>
      </c>
      <c r="K18" s="78"/>
      <c r="L18" s="116"/>
      <c r="M18" s="199">
        <f t="shared" si="0"/>
        <v>0</v>
      </c>
      <c r="N18" s="275"/>
      <c r="O18" s="348" t="str">
        <f>_xlfn.XLOOKUP(E18,'All Products'!D:D,'All Products'!I:I,FALSE)</f>
        <v>Within 6 Weeks</v>
      </c>
      <c r="P18" s="348" t="str">
        <f>_xlfn.XLOOKUP(E18,'All Products'!D:D,'All Products'!J:J,FALSE)</f>
        <v>Sourced</v>
      </c>
      <c r="Q18" s="351" t="str">
        <f>_xlfn.XLOOKUP(E18,'All Products'!D:D,'All Products'!K:K,FALSE)</f>
        <v>049081164379</v>
      </c>
      <c r="R18" s="351" t="str">
        <f>_xlfn.XLOOKUP(E18,'All Products'!D:D,'All Products'!L:L,FALSE)</f>
        <v>-</v>
      </c>
      <c r="S18" s="351" t="str">
        <f>_xlfn.XLOOKUP(E18,'All Products'!D:D,'All Products'!M:M,FALSE)</f>
        <v>40049081164377</v>
      </c>
      <c r="T18" s="348">
        <f>_xlfn.XLOOKUP(E18,'All Products'!D:D,'All Products'!N:N,FALSE)</f>
        <v>0.82899999999999996</v>
      </c>
      <c r="U18" s="348" t="str">
        <f>_xlfn.XLOOKUP(F18,'All Products'!E:E,'All Products'!O:O,FALSE)</f>
        <v>-</v>
      </c>
      <c r="V18" s="348">
        <f>_xlfn.XLOOKUP(E18,'All Products'!D:D,'All Products'!P:P,FALSE)</f>
        <v>20.3</v>
      </c>
      <c r="W18" s="348">
        <f>_xlfn.XLOOKUP(E18,'All Products'!D:D,'All Products'!Q:Q,FALSE)</f>
        <v>0.65</v>
      </c>
    </row>
    <row r="19" spans="1:23" ht="15">
      <c r="A19" s="104" t="str">
        <f>IF(K19&gt;0,COUNT($A$7:A18)+COUNT('DWV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19" s="579"/>
      <c r="C19" s="580"/>
      <c r="D19" s="562" t="str">
        <f>_xlfn.XLOOKUP(E19,'All Products'!D:D,'All Products'!C:C,FALSE)</f>
        <v>853-025</v>
      </c>
      <c r="E19" s="106">
        <v>100028021</v>
      </c>
      <c r="F19" s="563" t="str">
        <f>_xlfn.XLOOKUP(E19,'All Products'!D:D,'All Products'!E:E,FALSE)</f>
        <v>2-1/2 BLIND FLANGE GASKET TYPE</v>
      </c>
      <c r="G19" s="283">
        <f>_xlfn.XLOOKUP(E19,'All Products'!D:D,'All Products'!F:F,FALSE)</f>
        <v>15</v>
      </c>
      <c r="H19" s="234">
        <f>_xlfn.XLOOKUP(E19,'All Products'!D:D,'All Products'!G:G,FALSE)</f>
        <v>1800</v>
      </c>
      <c r="I19" s="561">
        <f>_xlfn.XLOOKUP(E19,'All Products'!D:D,'All Products'!H:H,FALSE)</f>
        <v>309.20999999999998</v>
      </c>
      <c r="J19" s="135">
        <f>ROUND(I19*Order_Quote!$L$9,2)</f>
        <v>1546.05</v>
      </c>
      <c r="K19" s="78"/>
      <c r="L19" s="116"/>
      <c r="M19" s="199">
        <f t="shared" si="0"/>
        <v>0</v>
      </c>
      <c r="N19" s="275"/>
      <c r="O19" s="348" t="str">
        <f>_xlfn.XLOOKUP(E19,'All Products'!D:D,'All Products'!I:I,FALSE)</f>
        <v>In Stock</v>
      </c>
      <c r="P19" s="348" t="str">
        <f>_xlfn.XLOOKUP(E19,'All Products'!D:D,'All Products'!J:J,FALSE)</f>
        <v>Manufactured</v>
      </c>
      <c r="Q19" s="351" t="str">
        <f>_xlfn.XLOOKUP(E19,'All Products'!D:D,'All Products'!K:K,FALSE)</f>
        <v>049081164485</v>
      </c>
      <c r="R19" s="351" t="str">
        <f>_xlfn.XLOOKUP(E19,'All Products'!D:D,'All Products'!L:L,FALSE)</f>
        <v>-</v>
      </c>
      <c r="S19" s="351" t="str">
        <f>_xlfn.XLOOKUP(E19,'All Products'!D:D,'All Products'!M:M,FALSE)</f>
        <v>40049081164483</v>
      </c>
      <c r="T19" s="348">
        <f>_xlfn.XLOOKUP(E19,'All Products'!D:D,'All Products'!N:N,FALSE)</f>
        <v>1.2350000000000001</v>
      </c>
      <c r="U19" s="348" t="str">
        <f>_xlfn.XLOOKUP(F19,'All Products'!E:E,'All Products'!O:O,FALSE)</f>
        <v>-</v>
      </c>
      <c r="V19" s="348">
        <f>_xlfn.XLOOKUP(E19,'All Products'!D:D,'All Products'!P:P,FALSE)</f>
        <v>18.48</v>
      </c>
      <c r="W19" s="348">
        <f>_xlfn.XLOOKUP(E19,'All Products'!D:D,'All Products'!Q:Q,FALSE)</f>
        <v>0.65</v>
      </c>
    </row>
    <row r="20" spans="1:23" ht="15">
      <c r="A20" s="104" t="str">
        <f>IF(K20&gt;0,COUNT($A$7:A19)+COUNT('DWV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0" s="579"/>
      <c r="C20" s="580"/>
      <c r="D20" s="562" t="str">
        <f>_xlfn.XLOOKUP(E20,'All Products'!D:D,'All Products'!C:C,FALSE)</f>
        <v>853-025-1</v>
      </c>
      <c r="E20" s="106">
        <v>100028022</v>
      </c>
      <c r="F20" s="563" t="str">
        <f>_xlfn.XLOOKUP(E20,'All Products'!D:D,'All Products'!E:E,FALSE)</f>
        <v>2-1/2 BLIND FLANGE O-RING TYPE</v>
      </c>
      <c r="G20" s="283">
        <f>_xlfn.XLOOKUP(E20,'All Products'!D:D,'All Products'!F:F,FALSE)</f>
        <v>15</v>
      </c>
      <c r="H20" s="234">
        <f>_xlfn.XLOOKUP(E20,'All Products'!D:D,'All Products'!G:G,FALSE)</f>
        <v>1800</v>
      </c>
      <c r="I20" s="561">
        <f>_xlfn.XLOOKUP(E20,'All Products'!D:D,'All Products'!H:H,FALSE)</f>
        <v>309.20999999999998</v>
      </c>
      <c r="J20" s="135">
        <f>ROUND(I20*Order_Quote!$L$9,2)</f>
        <v>1546.05</v>
      </c>
      <c r="K20" s="78"/>
      <c r="L20" s="116"/>
      <c r="M20" s="199">
        <f t="shared" si="0"/>
        <v>0</v>
      </c>
      <c r="N20" s="275"/>
      <c r="O20" s="348" t="str">
        <f>_xlfn.XLOOKUP(E20,'All Products'!D:D,'All Products'!I:I,FALSE)</f>
        <v>Within 6 Weeks</v>
      </c>
      <c r="P20" s="348" t="str">
        <f>_xlfn.XLOOKUP(E20,'All Products'!D:D,'All Products'!J:J,FALSE)</f>
        <v>Sourced</v>
      </c>
      <c r="Q20" s="351" t="str">
        <f>_xlfn.XLOOKUP(E20,'All Products'!D:D,'All Products'!K:K,FALSE)</f>
        <v>049081164393</v>
      </c>
      <c r="R20" s="351" t="str">
        <f>_xlfn.XLOOKUP(E20,'All Products'!D:D,'All Products'!L:L,FALSE)</f>
        <v>-</v>
      </c>
      <c r="S20" s="351" t="str">
        <f>_xlfn.XLOOKUP(E20,'All Products'!D:D,'All Products'!M:M,FALSE)</f>
        <v>40049081164391</v>
      </c>
      <c r="T20" s="348">
        <f>_xlfn.XLOOKUP(E20,'All Products'!D:D,'All Products'!N:N,FALSE)</f>
        <v>1.254</v>
      </c>
      <c r="U20" s="348" t="str">
        <f>_xlfn.XLOOKUP(F20,'All Products'!E:E,'All Products'!O:O,FALSE)</f>
        <v>-</v>
      </c>
      <c r="V20" s="348">
        <f>_xlfn.XLOOKUP(E20,'All Products'!D:D,'All Products'!P:P,FALSE)</f>
        <v>18.63</v>
      </c>
      <c r="W20" s="348">
        <f>_xlfn.XLOOKUP(E20,'All Products'!D:D,'All Products'!Q:Q,FALSE)</f>
        <v>0.65</v>
      </c>
    </row>
    <row r="21" spans="1:23" ht="15">
      <c r="A21" s="104" t="str">
        <f>IF(K21&gt;0,COUNT($A$7:A20)+COUNT('DWV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1" s="579"/>
      <c r="C21" s="580"/>
      <c r="D21" s="562" t="str">
        <f>_xlfn.XLOOKUP(E21,'All Products'!D:D,'All Products'!C:C,FALSE)</f>
        <v>853-030</v>
      </c>
      <c r="E21" s="106">
        <v>100023468</v>
      </c>
      <c r="F21" s="563" t="str">
        <f>_xlfn.XLOOKUP(E21,'All Products'!D:D,'All Products'!E:E,FALSE)</f>
        <v>3 BLIND FLANGE GASKET TYPE</v>
      </c>
      <c r="G21" s="283">
        <f>_xlfn.XLOOKUP(E21,'All Products'!D:D,'All Products'!F:F,FALSE)</f>
        <v>13</v>
      </c>
      <c r="H21" s="234">
        <f>_xlfn.XLOOKUP(E21,'All Products'!D:D,'All Products'!G:G,FALSE)</f>
        <v>1560</v>
      </c>
      <c r="I21" s="561">
        <f>_xlfn.XLOOKUP(E21,'All Products'!D:D,'All Products'!H:H,FALSE)</f>
        <v>373.11</v>
      </c>
      <c r="J21" s="135">
        <f>ROUND(I21*Order_Quote!$L$9,2)</f>
        <v>1865.55</v>
      </c>
      <c r="K21" s="78"/>
      <c r="L21" s="116"/>
      <c r="M21" s="199">
        <f t="shared" si="0"/>
        <v>0</v>
      </c>
      <c r="N21" s="275"/>
      <c r="O21" s="348" t="str">
        <f>_xlfn.XLOOKUP(E21,'All Products'!D:D,'All Products'!I:I,FALSE)</f>
        <v>In Stock</v>
      </c>
      <c r="P21" s="348" t="str">
        <f>_xlfn.XLOOKUP(E21,'All Products'!D:D,'All Products'!J:J,FALSE)</f>
        <v>Manufactured</v>
      </c>
      <c r="Q21" s="351" t="str">
        <f>_xlfn.XLOOKUP(E21,'All Products'!D:D,'All Products'!K:K,FALSE)</f>
        <v>049081164508</v>
      </c>
      <c r="R21" s="351" t="str">
        <f>_xlfn.XLOOKUP(E21,'All Products'!D:D,'All Products'!L:L,FALSE)</f>
        <v>-</v>
      </c>
      <c r="S21" s="351" t="str">
        <f>_xlfn.XLOOKUP(E21,'All Products'!D:D,'All Products'!M:M,FALSE)</f>
        <v>40049081164506</v>
      </c>
      <c r="T21" s="348">
        <f>_xlfn.XLOOKUP(E21,'All Products'!D:D,'All Products'!N:N,FALSE)</f>
        <v>1.575</v>
      </c>
      <c r="U21" s="348" t="str">
        <f>_xlfn.XLOOKUP(F21,'All Products'!E:E,'All Products'!O:O,FALSE)</f>
        <v>-</v>
      </c>
      <c r="V21" s="348">
        <f>_xlfn.XLOOKUP(E21,'All Products'!D:D,'All Products'!P:P,FALSE)</f>
        <v>21.66</v>
      </c>
      <c r="W21" s="348">
        <f>_xlfn.XLOOKUP(E21,'All Products'!D:D,'All Products'!Q:Q,FALSE)</f>
        <v>0.65</v>
      </c>
    </row>
    <row r="22" spans="1:23" ht="15">
      <c r="A22" s="104" t="str">
        <f>IF(K22&gt;0,COUNT($A$7:A21)+COUNT('DWV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2" s="579"/>
      <c r="C22" s="580"/>
      <c r="D22" s="562" t="str">
        <f>_xlfn.XLOOKUP(E22,'All Products'!D:D,'All Products'!C:C,FALSE)</f>
        <v>853-030-1</v>
      </c>
      <c r="E22" s="106">
        <v>100028023</v>
      </c>
      <c r="F22" s="563" t="str">
        <f>_xlfn.XLOOKUP(E22,'All Products'!D:D,'All Products'!E:E,FALSE)</f>
        <v>3 BLIND FLANGE O-RING TYPE</v>
      </c>
      <c r="G22" s="283">
        <f>_xlfn.XLOOKUP(E22,'All Products'!D:D,'All Products'!F:F,FALSE)</f>
        <v>13</v>
      </c>
      <c r="H22" s="234">
        <f>_xlfn.XLOOKUP(E22,'All Products'!D:D,'All Products'!G:G,FALSE)</f>
        <v>1560</v>
      </c>
      <c r="I22" s="561">
        <f>_xlfn.XLOOKUP(E22,'All Products'!D:D,'All Products'!H:H,FALSE)</f>
        <v>373.11</v>
      </c>
      <c r="J22" s="135">
        <f>ROUND(I22*Order_Quote!$L$9,2)</f>
        <v>1865.55</v>
      </c>
      <c r="K22" s="78"/>
      <c r="L22" s="116"/>
      <c r="M22" s="199">
        <f t="shared" si="0"/>
        <v>0</v>
      </c>
      <c r="N22" s="275"/>
      <c r="O22" s="348" t="str">
        <f>_xlfn.XLOOKUP(E22,'All Products'!D:D,'All Products'!I:I,FALSE)</f>
        <v>Within 6 Weeks</v>
      </c>
      <c r="P22" s="348" t="str">
        <f>_xlfn.XLOOKUP(E22,'All Products'!D:D,'All Products'!J:J,FALSE)</f>
        <v>Sourced</v>
      </c>
      <c r="Q22" s="351" t="str">
        <f>_xlfn.XLOOKUP(E22,'All Products'!D:D,'All Products'!K:K,FALSE)</f>
        <v>049081164416</v>
      </c>
      <c r="R22" s="351" t="str">
        <f>_xlfn.XLOOKUP(E22,'All Products'!D:D,'All Products'!L:L,FALSE)</f>
        <v>-</v>
      </c>
      <c r="S22" s="351" t="str">
        <f>_xlfn.XLOOKUP(E22,'All Products'!D:D,'All Products'!M:M,FALSE)</f>
        <v>40049081164414</v>
      </c>
      <c r="T22" s="348">
        <f>_xlfn.XLOOKUP(E22,'All Products'!D:D,'All Products'!N:N,FALSE)</f>
        <v>1.623</v>
      </c>
      <c r="U22" s="348" t="str">
        <f>_xlfn.XLOOKUP(F22,'All Products'!E:E,'All Products'!O:O,FALSE)</f>
        <v>-</v>
      </c>
      <c r="V22" s="348">
        <f>_xlfn.XLOOKUP(E22,'All Products'!D:D,'All Products'!P:P,FALSE)</f>
        <v>21.1</v>
      </c>
      <c r="W22" s="348">
        <f>_xlfn.XLOOKUP(E22,'All Products'!D:D,'All Products'!Q:Q,FALSE)</f>
        <v>0.65</v>
      </c>
    </row>
    <row r="23" spans="1:23" ht="15">
      <c r="A23" s="104" t="str">
        <f>IF(K23&gt;0,COUNT($A$7:A22)+COUNT('DWV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3" s="579"/>
      <c r="C23" s="580"/>
      <c r="D23" s="562" t="str">
        <f>_xlfn.XLOOKUP(E23,'All Products'!D:D,'All Products'!C:C,FALSE)</f>
        <v>853-040</v>
      </c>
      <c r="E23" s="106">
        <v>100023453</v>
      </c>
      <c r="F23" s="563" t="str">
        <f>_xlfn.XLOOKUP(E23,'All Products'!D:D,'All Products'!E:E,FALSE)</f>
        <v>4 BLIND FLANGE GASKET TYPE</v>
      </c>
      <c r="G23" s="283">
        <f>_xlfn.XLOOKUP(E23,'All Products'!D:D,'All Products'!F:F,FALSE)</f>
        <v>6</v>
      </c>
      <c r="H23" s="234">
        <f>_xlfn.XLOOKUP(E23,'All Products'!D:D,'All Products'!G:G,FALSE)</f>
        <v>540</v>
      </c>
      <c r="I23" s="561">
        <f>_xlfn.XLOOKUP(E23,'All Products'!D:D,'All Products'!H:H,FALSE)</f>
        <v>464.82</v>
      </c>
      <c r="J23" s="135">
        <f>ROUND(I23*Order_Quote!$L$9,2)</f>
        <v>2324.1</v>
      </c>
      <c r="K23" s="78"/>
      <c r="L23" s="116"/>
      <c r="M23" s="199">
        <f t="shared" si="0"/>
        <v>0</v>
      </c>
      <c r="N23" s="275"/>
      <c r="O23" s="348" t="str">
        <f>_xlfn.XLOOKUP(E23,'All Products'!D:D,'All Products'!I:I,FALSE)</f>
        <v>In Stock</v>
      </c>
      <c r="P23" s="348" t="str">
        <f>_xlfn.XLOOKUP(E23,'All Products'!D:D,'All Products'!J:J,FALSE)</f>
        <v>Manufactured</v>
      </c>
      <c r="Q23" s="351" t="str">
        <f>_xlfn.XLOOKUP(E23,'All Products'!D:D,'All Products'!K:K,FALSE)</f>
        <v>049081164522</v>
      </c>
      <c r="R23" s="351" t="str">
        <f>_xlfn.XLOOKUP(E23,'All Products'!D:D,'All Products'!L:L,FALSE)</f>
        <v>-</v>
      </c>
      <c r="S23" s="351" t="str">
        <f>_xlfn.XLOOKUP(E23,'All Products'!D:D,'All Products'!M:M,FALSE)</f>
        <v>40049081164520</v>
      </c>
      <c r="T23" s="348">
        <f>_xlfn.XLOOKUP(E23,'All Products'!D:D,'All Products'!N:N,FALSE)</f>
        <v>2.42</v>
      </c>
      <c r="U23" s="348" t="str">
        <f>_xlfn.XLOOKUP(F23,'All Products'!E:E,'All Products'!O:O,FALSE)</f>
        <v>-</v>
      </c>
      <c r="V23" s="348">
        <f>_xlfn.XLOOKUP(E23,'All Products'!D:D,'All Products'!P:P,FALSE)</f>
        <v>16</v>
      </c>
      <c r="W23" s="348">
        <f>_xlfn.XLOOKUP(E23,'All Products'!D:D,'All Products'!Q:Q,FALSE)</f>
        <v>0.8</v>
      </c>
    </row>
    <row r="24" spans="1:23" ht="15">
      <c r="A24" s="104" t="str">
        <f>IF(K24&gt;0,COUNT($A$7:A23)+COUNT('DWV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4" s="579"/>
      <c r="C24" s="580"/>
      <c r="D24" s="562" t="str">
        <f>_xlfn.XLOOKUP(E24,'All Products'!D:D,'All Products'!C:C,FALSE)</f>
        <v>853-040-1</v>
      </c>
      <c r="E24" s="106">
        <v>100023454</v>
      </c>
      <c r="F24" s="563" t="str">
        <f>_xlfn.XLOOKUP(E24,'All Products'!D:D,'All Products'!E:E,FALSE)</f>
        <v>4 BLIND FLANGE O-RING TYPE</v>
      </c>
      <c r="G24" s="283">
        <f>_xlfn.XLOOKUP(E24,'All Products'!D:D,'All Products'!F:F,FALSE)</f>
        <v>6</v>
      </c>
      <c r="H24" s="234">
        <f>_xlfn.XLOOKUP(E24,'All Products'!D:D,'All Products'!G:G,FALSE)</f>
        <v>540</v>
      </c>
      <c r="I24" s="561">
        <f>_xlfn.XLOOKUP(E24,'All Products'!D:D,'All Products'!H:H,FALSE)</f>
        <v>464.82</v>
      </c>
      <c r="J24" s="135">
        <f>ROUND(I24*Order_Quote!$L$9,2)</f>
        <v>2324.1</v>
      </c>
      <c r="K24" s="78"/>
      <c r="L24" s="116"/>
      <c r="M24" s="199">
        <f t="shared" si="0"/>
        <v>0</v>
      </c>
      <c r="N24" s="275"/>
      <c r="O24" s="348" t="str">
        <f>_xlfn.XLOOKUP(E24,'All Products'!D:D,'All Products'!I:I,FALSE)</f>
        <v>Within 3 Weeks</v>
      </c>
      <c r="P24" s="348" t="str">
        <f>_xlfn.XLOOKUP(E24,'All Products'!D:D,'All Products'!J:J,FALSE)</f>
        <v>Manufactured</v>
      </c>
      <c r="Q24" s="351" t="str">
        <f>_xlfn.XLOOKUP(E24,'All Products'!D:D,'All Products'!K:K,FALSE)</f>
        <v>049081164430</v>
      </c>
      <c r="R24" s="351" t="str">
        <f>_xlfn.XLOOKUP(E24,'All Products'!D:D,'All Products'!L:L,FALSE)</f>
        <v>-</v>
      </c>
      <c r="S24" s="351" t="str">
        <f>_xlfn.XLOOKUP(E24,'All Products'!D:D,'All Products'!M:M,FALSE)</f>
        <v>40049081164438</v>
      </c>
      <c r="T24" s="348">
        <f>_xlfn.XLOOKUP(E24,'All Products'!D:D,'All Products'!N:N,FALSE)</f>
        <v>2.56</v>
      </c>
      <c r="U24" s="348" t="str">
        <f>_xlfn.XLOOKUP(F24,'All Products'!E:E,'All Products'!O:O,FALSE)</f>
        <v>-</v>
      </c>
      <c r="V24" s="348">
        <f>_xlfn.XLOOKUP(E24,'All Products'!D:D,'All Products'!P:P,FALSE)</f>
        <v>15.54</v>
      </c>
      <c r="W24" s="348">
        <f>_xlfn.XLOOKUP(E24,'All Products'!D:D,'All Products'!Q:Q,FALSE)</f>
        <v>0.8</v>
      </c>
    </row>
    <row r="25" spans="1:23" ht="15">
      <c r="A25" s="104" t="str">
        <f>IF(K25&gt;0,COUNT($A$7:A24)+COUNT('DWV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5" s="579"/>
      <c r="C25" s="580"/>
      <c r="D25" s="562" t="str">
        <f>_xlfn.XLOOKUP(E25,'All Products'!D:D,'All Products'!C:C,FALSE)</f>
        <v>853-060</v>
      </c>
      <c r="E25" s="106">
        <v>100023469</v>
      </c>
      <c r="F25" s="563" t="str">
        <f>_xlfn.XLOOKUP(E25,'All Products'!D:D,'All Products'!E:E,FALSE)</f>
        <v>6 BLIND FLANGE GASKET TYPE</v>
      </c>
      <c r="G25" s="283">
        <f>_xlfn.XLOOKUP(E25,'All Products'!D:D,'All Products'!F:F,FALSE)</f>
        <v>5</v>
      </c>
      <c r="H25" s="234">
        <f>_xlfn.XLOOKUP(E25,'All Products'!D:D,'All Products'!G:G,FALSE)</f>
        <v>375</v>
      </c>
      <c r="I25" s="561">
        <f>_xlfn.XLOOKUP(E25,'All Products'!D:D,'All Products'!H:H,FALSE)</f>
        <v>564.86</v>
      </c>
      <c r="J25" s="135">
        <f>ROUND(I25*Order_Quote!$L$9,2)</f>
        <v>2824.3</v>
      </c>
      <c r="K25" s="78"/>
      <c r="L25" s="116"/>
      <c r="M25" s="199">
        <f t="shared" si="0"/>
        <v>0</v>
      </c>
      <c r="N25" s="275"/>
      <c r="O25" s="348" t="str">
        <f>_xlfn.XLOOKUP(E25,'All Products'!D:D,'All Products'!I:I,FALSE)</f>
        <v>Within 3 Weeks</v>
      </c>
      <c r="P25" s="348" t="str">
        <f>_xlfn.XLOOKUP(E25,'All Products'!D:D,'All Products'!J:J,FALSE)</f>
        <v>Manufactured</v>
      </c>
      <c r="Q25" s="351" t="str">
        <f>_xlfn.XLOOKUP(E25,'All Products'!D:D,'All Products'!K:K,FALSE)</f>
        <v>049081164546</v>
      </c>
      <c r="R25" s="351" t="str">
        <f>_xlfn.XLOOKUP(E25,'All Products'!D:D,'All Products'!L:L,FALSE)</f>
        <v>-</v>
      </c>
      <c r="S25" s="351" t="str">
        <f>_xlfn.XLOOKUP(E25,'All Products'!D:D,'All Products'!M:M,FALSE)</f>
        <v>40049081164544</v>
      </c>
      <c r="T25" s="348">
        <f>_xlfn.XLOOKUP(E25,'All Products'!D:D,'All Products'!N:N,FALSE)</f>
        <v>3.97</v>
      </c>
      <c r="U25" s="348" t="str">
        <f>_xlfn.XLOOKUP(F25,'All Products'!E:E,'All Products'!O:O,FALSE)</f>
        <v>-</v>
      </c>
      <c r="V25" s="348">
        <f>_xlfn.XLOOKUP(E25,'All Products'!D:D,'All Products'!P:P,FALSE)</f>
        <v>20.98</v>
      </c>
      <c r="W25" s="348">
        <f>_xlfn.XLOOKUP(E25,'All Products'!D:D,'All Products'!Q:Q,FALSE)</f>
        <v>0.95</v>
      </c>
    </row>
    <row r="26" spans="1:23" ht="15">
      <c r="A26" s="104" t="str">
        <f>IF(K26&gt;0,COUNT($A$7:A25)+COUNT('DWV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6" s="579"/>
      <c r="C26" s="580"/>
      <c r="D26" s="562" t="str">
        <f>_xlfn.XLOOKUP(E26,'All Products'!D:D,'All Products'!C:C,FALSE)</f>
        <v>853-060-1</v>
      </c>
      <c r="E26" s="106">
        <v>100028029</v>
      </c>
      <c r="F26" s="563" t="str">
        <f>_xlfn.XLOOKUP(E26,'All Products'!D:D,'All Products'!E:E,FALSE)</f>
        <v>6 BLIND FLANGE O-RING TYPE</v>
      </c>
      <c r="G26" s="283">
        <f>_xlfn.XLOOKUP(E26,'All Products'!D:D,'All Products'!F:F,FALSE)</f>
        <v>5</v>
      </c>
      <c r="H26" s="234">
        <f>_xlfn.XLOOKUP(E26,'All Products'!D:D,'All Products'!G:G,FALSE)</f>
        <v>375</v>
      </c>
      <c r="I26" s="561">
        <f>_xlfn.XLOOKUP(E26,'All Products'!D:D,'All Products'!H:H,FALSE)</f>
        <v>564.86</v>
      </c>
      <c r="J26" s="135">
        <f>ROUND(I26*Order_Quote!$L$9,2)</f>
        <v>2824.3</v>
      </c>
      <c r="K26" s="78"/>
      <c r="L26" s="116"/>
      <c r="M26" s="199">
        <f t="shared" si="0"/>
        <v>0</v>
      </c>
      <c r="N26" s="275"/>
      <c r="O26" s="348" t="str">
        <f>_xlfn.XLOOKUP(E26,'All Products'!D:D,'All Products'!I:I,FALSE)</f>
        <v>Within 6 Weeks</v>
      </c>
      <c r="P26" s="348" t="str">
        <f>_xlfn.XLOOKUP(E26,'All Products'!D:D,'All Products'!J:J,FALSE)</f>
        <v>Sourced</v>
      </c>
      <c r="Q26" s="351" t="str">
        <f>_xlfn.XLOOKUP(E26,'All Products'!D:D,'All Products'!K:K,FALSE)</f>
        <v>049081164478</v>
      </c>
      <c r="R26" s="351" t="str">
        <f>_xlfn.XLOOKUP(E26,'All Products'!D:D,'All Products'!L:L,FALSE)</f>
        <v>-</v>
      </c>
      <c r="S26" s="351" t="str">
        <f>_xlfn.XLOOKUP(E26,'All Products'!D:D,'All Products'!M:M,FALSE)</f>
        <v>40049081164476</v>
      </c>
      <c r="T26" s="348">
        <f>_xlfn.XLOOKUP(E26,'All Products'!D:D,'All Products'!N:N,FALSE)</f>
        <v>4.33</v>
      </c>
      <c r="U26" s="348" t="str">
        <f>_xlfn.XLOOKUP(F26,'All Products'!E:E,'All Products'!O:O,FALSE)</f>
        <v>-</v>
      </c>
      <c r="V26" s="348">
        <f>_xlfn.XLOOKUP(E26,'All Products'!D:D,'All Products'!P:P,FALSE)</f>
        <v>20.6</v>
      </c>
      <c r="W26" s="348">
        <f>_xlfn.XLOOKUP(E26,'All Products'!D:D,'All Products'!Q:Q,FALSE)</f>
        <v>1.1000000000000001</v>
      </c>
    </row>
    <row r="27" spans="1:23" ht="15">
      <c r="A27" s="104" t="str">
        <f>IF(K27&gt;0,COUNT($A$7:A26)+COUNT('DWV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7" s="579"/>
      <c r="C27" s="580"/>
      <c r="D27" s="562" t="str">
        <f>_xlfn.XLOOKUP(E27,'All Products'!D:D,'All Products'!C:C,FALSE)</f>
        <v>853-080-1</v>
      </c>
      <c r="E27" s="106">
        <v>100028030</v>
      </c>
      <c r="F27" s="563" t="str">
        <f>_xlfn.XLOOKUP(E27,'All Products'!D:D,'All Products'!E:E,FALSE)</f>
        <v>8 BLIND FLANGE O-RING TYPE</v>
      </c>
      <c r="G27" s="283">
        <f>_xlfn.XLOOKUP(E27,'All Products'!D:D,'All Products'!F:F,FALSE)</f>
        <v>3</v>
      </c>
      <c r="H27" s="234">
        <f>_xlfn.XLOOKUP(E27,'All Products'!D:D,'All Products'!G:G,FALSE)</f>
        <v>225</v>
      </c>
      <c r="I27" s="561">
        <f>_xlfn.XLOOKUP(E27,'All Products'!D:D,'All Products'!H:H,FALSE)</f>
        <v>707.01</v>
      </c>
      <c r="J27" s="135">
        <f>ROUND(I27*Order_Quote!$L$9,2)</f>
        <v>3535.05</v>
      </c>
      <c r="K27" s="78"/>
      <c r="L27" s="116"/>
      <c r="M27" s="199">
        <f t="shared" si="0"/>
        <v>0</v>
      </c>
      <c r="N27" s="275"/>
      <c r="O27" s="348" t="str">
        <f>_xlfn.XLOOKUP(E27,'All Products'!D:D,'All Products'!I:I,FALSE)</f>
        <v>Within 6 Weeks</v>
      </c>
      <c r="P27" s="348" t="str">
        <f>_xlfn.XLOOKUP(E27,'All Products'!D:D,'All Products'!J:J,FALSE)</f>
        <v>Sourced</v>
      </c>
      <c r="Q27" s="351" t="str">
        <f>_xlfn.XLOOKUP(E27,'All Products'!D:D,'All Products'!K:K,FALSE)</f>
        <v>049081164492</v>
      </c>
      <c r="R27" s="351" t="str">
        <f>_xlfn.XLOOKUP(E27,'All Products'!D:D,'All Products'!L:L,FALSE)</f>
        <v>-</v>
      </c>
      <c r="S27" s="351" t="str">
        <f>_xlfn.XLOOKUP(E27,'All Products'!D:D,'All Products'!M:M,FALSE)</f>
        <v>40049081164490</v>
      </c>
      <c r="T27" s="348">
        <f>_xlfn.XLOOKUP(E27,'All Products'!D:D,'All Products'!N:N,FALSE)</f>
        <v>7.5069999999999997</v>
      </c>
      <c r="U27" s="348" t="str">
        <f>_xlfn.XLOOKUP(F27,'All Products'!E:E,'All Products'!O:O,FALSE)</f>
        <v>-</v>
      </c>
      <c r="V27" s="348">
        <f>_xlfn.XLOOKUP(E27,'All Products'!D:D,'All Products'!P:P,FALSE)</f>
        <v>22.96</v>
      </c>
      <c r="W27" s="348">
        <f>_xlfn.XLOOKUP(E27,'All Products'!D:D,'All Products'!Q:Q,FALSE)</f>
        <v>1.1000000000000001</v>
      </c>
    </row>
    <row r="28" spans="1:23" ht="15">
      <c r="A28" s="104" t="str">
        <f>IF(K28&gt;0,COUNT($A$7:A27)+COUNT('DWV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8" s="577"/>
      <c r="C28" s="578"/>
      <c r="D28" s="562" t="str">
        <f>_xlfn.XLOOKUP(E28,'All Products'!D:D,'All Products'!C:C,FALSE)</f>
        <v>854-020</v>
      </c>
      <c r="E28" s="106">
        <v>100028032</v>
      </c>
      <c r="F28" s="563" t="str">
        <f>_xlfn.XLOOKUP(E28,'All Products'!D:D,'All Products'!E:E,FALSE)</f>
        <v>2 VANSTONE FLANGE SLIP GASKET TYPE</v>
      </c>
      <c r="G28" s="283">
        <f>_xlfn.XLOOKUP(E28,'All Products'!D:D,'All Products'!F:F,FALSE)</f>
        <v>5</v>
      </c>
      <c r="H28" s="234">
        <f>_xlfn.XLOOKUP(E28,'All Products'!D:D,'All Products'!G:G,FALSE)</f>
        <v>1350</v>
      </c>
      <c r="I28" s="561">
        <f>_xlfn.XLOOKUP(E28,'All Products'!D:D,'All Products'!H:H,FALSE)</f>
        <v>75.59</v>
      </c>
      <c r="J28" s="135">
        <f>ROUND(I28*Order_Quote!$L$9,2)</f>
        <v>377.95</v>
      </c>
      <c r="K28" s="78"/>
      <c r="L28" s="116"/>
      <c r="M28" s="199">
        <f t="shared" si="0"/>
        <v>0</v>
      </c>
      <c r="N28" s="275"/>
      <c r="O28" s="348" t="str">
        <f>_xlfn.XLOOKUP(E28,'All Products'!D:D,'All Products'!I:I,FALSE)</f>
        <v>Within 3 Weeks</v>
      </c>
      <c r="P28" s="348" t="str">
        <f>_xlfn.XLOOKUP(E28,'All Products'!D:D,'All Products'!J:J,FALSE)</f>
        <v>Manufactured</v>
      </c>
      <c r="Q28" s="351" t="str">
        <f>_xlfn.XLOOKUP(E28,'All Products'!D:D,'All Products'!K:K,FALSE)</f>
        <v>049081164768</v>
      </c>
      <c r="R28" s="351" t="str">
        <f>_xlfn.XLOOKUP(E28,'All Products'!D:D,'All Products'!L:L,FALSE)</f>
        <v>-</v>
      </c>
      <c r="S28" s="351" t="str">
        <f>_xlfn.XLOOKUP(E28,'All Products'!D:D,'All Products'!M:M,FALSE)</f>
        <v>40049081164766</v>
      </c>
      <c r="T28" s="348">
        <f>_xlfn.XLOOKUP(E28,'All Products'!D:D,'All Products'!N:N,FALSE)</f>
        <v>0.94799999999999995</v>
      </c>
      <c r="U28" s="348" t="str">
        <f>_xlfn.XLOOKUP(F28,'All Products'!E:E,'All Products'!O:O,FALSE)</f>
        <v>-</v>
      </c>
      <c r="V28" s="348">
        <f>_xlfn.XLOOKUP(E28,'All Products'!D:D,'All Products'!P:P,FALSE)</f>
        <v>5.32</v>
      </c>
      <c r="W28" s="348">
        <f>_xlfn.XLOOKUP(E28,'All Products'!D:D,'All Products'!Q:Q,FALSE)</f>
        <v>0.31</v>
      </c>
    </row>
    <row r="29" spans="1:23" ht="15">
      <c r="A29" s="104" t="str">
        <f>IF(K29&gt;0,COUNT($A$7:A28)+COUNT('DWV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29" s="579"/>
      <c r="C29" s="580"/>
      <c r="D29" s="562" t="str">
        <f>_xlfn.XLOOKUP(E29,'All Products'!D:D,'All Products'!C:C,FALSE)</f>
        <v>854-020-1</v>
      </c>
      <c r="E29" s="106">
        <v>100028033</v>
      </c>
      <c r="F29" s="563" t="str">
        <f>_xlfn.XLOOKUP(E29,'All Products'!D:D,'All Products'!E:E,FALSE)</f>
        <v>2 VANSTONE FLANGE SLIP O-RING TYPE</v>
      </c>
      <c r="G29" s="283">
        <f>_xlfn.XLOOKUP(E29,'All Products'!D:D,'All Products'!F:F,FALSE)</f>
        <v>5</v>
      </c>
      <c r="H29" s="234">
        <f>_xlfn.XLOOKUP(E29,'All Products'!D:D,'All Products'!G:G,FALSE)</f>
        <v>750</v>
      </c>
      <c r="I29" s="561">
        <f>_xlfn.XLOOKUP(E29,'All Products'!D:D,'All Products'!H:H,FALSE)</f>
        <v>75.59</v>
      </c>
      <c r="J29" s="135">
        <f>ROUND(I29*Order_Quote!$L$9,2)</f>
        <v>377.95</v>
      </c>
      <c r="K29" s="78"/>
      <c r="L29" s="116"/>
      <c r="M29" s="199">
        <f t="shared" si="0"/>
        <v>0</v>
      </c>
      <c r="N29" s="275"/>
      <c r="O29" s="348" t="str">
        <f>_xlfn.XLOOKUP(E29,'All Products'!D:D,'All Products'!I:I,FALSE)</f>
        <v>In Stock</v>
      </c>
      <c r="P29" s="348" t="str">
        <f>_xlfn.XLOOKUP(E29,'All Products'!D:D,'All Products'!J:J,FALSE)</f>
        <v>Manufactured</v>
      </c>
      <c r="Q29" s="351" t="str">
        <f>_xlfn.XLOOKUP(E29,'All Products'!D:D,'All Products'!K:K,FALSE)</f>
        <v>049081164676</v>
      </c>
      <c r="R29" s="351" t="str">
        <f>_xlfn.XLOOKUP(E29,'All Products'!D:D,'All Products'!L:L,FALSE)</f>
        <v>-</v>
      </c>
      <c r="S29" s="351" t="str">
        <f>_xlfn.XLOOKUP(E29,'All Products'!D:D,'All Products'!M:M,FALSE)</f>
        <v>40049081164674</v>
      </c>
      <c r="T29" s="348">
        <f>_xlfn.XLOOKUP(E29,'All Products'!D:D,'All Products'!N:N,FALSE)</f>
        <v>1.6830000000000001</v>
      </c>
      <c r="U29" s="348" t="str">
        <f>_xlfn.XLOOKUP(F29,'All Products'!E:E,'All Products'!O:O,FALSE)</f>
        <v>-</v>
      </c>
      <c r="V29" s="348">
        <f>_xlfn.XLOOKUP(E29,'All Products'!D:D,'All Products'!P:P,FALSE)</f>
        <v>5.42</v>
      </c>
      <c r="W29" s="348">
        <f>_xlfn.XLOOKUP(E29,'All Products'!D:D,'All Products'!Q:Q,FALSE)</f>
        <v>0.5</v>
      </c>
    </row>
    <row r="30" spans="1:23" ht="15">
      <c r="A30" s="104" t="str">
        <f>IF(K30&gt;0,COUNT($A$7:A29)+COUNT('DWV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0" s="579"/>
      <c r="C30" s="580"/>
      <c r="D30" s="562" t="str">
        <f>_xlfn.XLOOKUP(E30,'All Products'!D:D,'All Products'!C:C,FALSE)</f>
        <v>854-025-1</v>
      </c>
      <c r="E30" s="106">
        <v>100028036</v>
      </c>
      <c r="F30" s="563" t="str">
        <f>_xlfn.XLOOKUP(E30,'All Products'!D:D,'All Products'!E:E,FALSE)</f>
        <v>2-1/2 VANSTONE FLANGE SLIP O-RING</v>
      </c>
      <c r="G30" s="283">
        <f>_xlfn.XLOOKUP(E30,'All Products'!D:D,'All Products'!F:F,FALSE)</f>
        <v>10</v>
      </c>
      <c r="H30" s="234">
        <f>_xlfn.XLOOKUP(E30,'All Products'!D:D,'All Products'!G:G,FALSE)</f>
        <v>750</v>
      </c>
      <c r="I30" s="561">
        <f>_xlfn.XLOOKUP(E30,'All Products'!D:D,'All Products'!H:H,FALSE)</f>
        <v>116.67</v>
      </c>
      <c r="J30" s="135">
        <f>ROUND(I30*Order_Quote!$L$9,2)</f>
        <v>583.35</v>
      </c>
      <c r="K30" s="78"/>
      <c r="L30" s="116"/>
      <c r="M30" s="199">
        <f t="shared" si="0"/>
        <v>0</v>
      </c>
      <c r="N30" s="275"/>
      <c r="O30" s="348" t="str">
        <f>_xlfn.XLOOKUP(E30,'All Products'!D:D,'All Products'!I:I,FALSE)</f>
        <v>Within 3 Weeks</v>
      </c>
      <c r="P30" s="348" t="str">
        <f>_xlfn.XLOOKUP(E30,'All Products'!D:D,'All Products'!J:J,FALSE)</f>
        <v>Manufactured</v>
      </c>
      <c r="Q30" s="351" t="str">
        <f>_xlfn.XLOOKUP(E30,'All Products'!D:D,'All Products'!K:K,FALSE)</f>
        <v>049081164690</v>
      </c>
      <c r="R30" s="351" t="str">
        <f>_xlfn.XLOOKUP(E30,'All Products'!D:D,'All Products'!L:L,FALSE)</f>
        <v>-</v>
      </c>
      <c r="S30" s="351" t="str">
        <f>_xlfn.XLOOKUP(E30,'All Products'!D:D,'All Products'!M:M,FALSE)</f>
        <v>40049081164698</v>
      </c>
      <c r="T30" s="348">
        <f>_xlfn.XLOOKUP(E30,'All Products'!D:D,'All Products'!N:N,FALSE)</f>
        <v>2.3839999999999999</v>
      </c>
      <c r="U30" s="348" t="str">
        <f>_xlfn.XLOOKUP(F30,'All Products'!E:E,'All Products'!O:O,FALSE)</f>
        <v>-</v>
      </c>
      <c r="V30" s="348">
        <f>_xlfn.XLOOKUP(E30,'All Products'!D:D,'All Products'!P:P,FALSE)</f>
        <v>15.52</v>
      </c>
      <c r="W30" s="348">
        <f>_xlfn.XLOOKUP(E30,'All Products'!D:D,'All Products'!Q:Q,FALSE)</f>
        <v>0.95</v>
      </c>
    </row>
    <row r="31" spans="1:23" ht="15">
      <c r="A31" s="104" t="str">
        <f>IF(K31&gt;0,COUNT($A$7:A30)+COUNT('DWV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1" s="579"/>
      <c r="C31" s="580"/>
      <c r="D31" s="562" t="str">
        <f>_xlfn.XLOOKUP(E31,'All Products'!D:D,'All Products'!C:C,FALSE)</f>
        <v>854-030</v>
      </c>
      <c r="E31" s="106">
        <v>100028038</v>
      </c>
      <c r="F31" s="563" t="str">
        <f>_xlfn.XLOOKUP(E31,'All Products'!D:D,'All Products'!E:E,FALSE)</f>
        <v>3 VANSTONE FLANGE SLIP GASKET TYPE</v>
      </c>
      <c r="G31" s="283">
        <f>_xlfn.XLOOKUP(E31,'All Products'!D:D,'All Products'!F:F,FALSE)</f>
        <v>5</v>
      </c>
      <c r="H31" s="234">
        <f>_xlfn.XLOOKUP(E31,'All Products'!D:D,'All Products'!G:G,FALSE)</f>
        <v>600</v>
      </c>
      <c r="I31" s="561">
        <f>_xlfn.XLOOKUP(E31,'All Products'!D:D,'All Products'!H:H,FALSE)</f>
        <v>128.9</v>
      </c>
      <c r="J31" s="135">
        <f>ROUND(I31*Order_Quote!$L$9,2)</f>
        <v>644.5</v>
      </c>
      <c r="K31" s="78"/>
      <c r="L31" s="116"/>
      <c r="M31" s="199">
        <f t="shared" si="0"/>
        <v>0</v>
      </c>
      <c r="N31" s="275"/>
      <c r="O31" s="348" t="str">
        <f>_xlfn.XLOOKUP(E31,'All Products'!D:D,'All Products'!I:I,FALSE)</f>
        <v>In Stock</v>
      </c>
      <c r="P31" s="348" t="str">
        <f>_xlfn.XLOOKUP(E31,'All Products'!D:D,'All Products'!J:J,FALSE)</f>
        <v>Manufactured</v>
      </c>
      <c r="Q31" s="351" t="str">
        <f>_xlfn.XLOOKUP(E31,'All Products'!D:D,'All Products'!K:K,FALSE)</f>
        <v>049081164805</v>
      </c>
      <c r="R31" s="351" t="str">
        <f>_xlfn.XLOOKUP(E31,'All Products'!D:D,'All Products'!L:L,FALSE)</f>
        <v>-</v>
      </c>
      <c r="S31" s="351" t="str">
        <f>_xlfn.XLOOKUP(E31,'All Products'!D:D,'All Products'!M:M,FALSE)</f>
        <v>40049081164803</v>
      </c>
      <c r="T31" s="348">
        <f>_xlfn.XLOOKUP(E31,'All Products'!D:D,'All Products'!N:N,FALSE)</f>
        <v>1.7949999999999999</v>
      </c>
      <c r="U31" s="348" t="str">
        <f>_xlfn.XLOOKUP(F31,'All Products'!E:E,'All Products'!O:O,FALSE)</f>
        <v>-</v>
      </c>
      <c r="V31" s="348">
        <f>_xlfn.XLOOKUP(E31,'All Products'!D:D,'All Products'!P:P,FALSE)</f>
        <v>9.75</v>
      </c>
      <c r="W31" s="348">
        <f>_xlfn.XLOOKUP(E31,'All Products'!D:D,'All Products'!Q:Q,FALSE)</f>
        <v>0.65</v>
      </c>
    </row>
    <row r="32" spans="1:23" ht="15">
      <c r="A32" s="104" t="str">
        <f>IF(K32&gt;0,COUNT($A$7:A31)+COUNT('DWV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2" s="579"/>
      <c r="C32" s="580"/>
      <c r="D32" s="562" t="str">
        <f>_xlfn.XLOOKUP(E32,'All Products'!D:D,'All Products'!C:C,FALSE)</f>
        <v>854-030-1</v>
      </c>
      <c r="E32" s="106">
        <v>100028039</v>
      </c>
      <c r="F32" s="563" t="str">
        <f>_xlfn.XLOOKUP(E32,'All Products'!D:D,'All Products'!E:E,FALSE)</f>
        <v>3 VANSTONE FLANGE SLIP O-RING TYPE</v>
      </c>
      <c r="G32" s="283">
        <f>_xlfn.XLOOKUP(E32,'All Products'!D:D,'All Products'!F:F,FALSE)</f>
        <v>5</v>
      </c>
      <c r="H32" s="234">
        <f>_xlfn.XLOOKUP(E32,'All Products'!D:D,'All Products'!G:G,FALSE)</f>
        <v>600</v>
      </c>
      <c r="I32" s="561">
        <f>_xlfn.XLOOKUP(E32,'All Products'!D:D,'All Products'!H:H,FALSE)</f>
        <v>128.9</v>
      </c>
      <c r="J32" s="135">
        <f>ROUND(I32*Order_Quote!$L$9,2)</f>
        <v>644.5</v>
      </c>
      <c r="K32" s="78"/>
      <c r="L32" s="116"/>
      <c r="M32" s="199">
        <f t="shared" si="0"/>
        <v>0</v>
      </c>
      <c r="N32" s="275"/>
      <c r="O32" s="348" t="str">
        <f>_xlfn.XLOOKUP(E32,'All Products'!D:D,'All Products'!I:I,FALSE)</f>
        <v>In Stock</v>
      </c>
      <c r="P32" s="348" t="str">
        <f>_xlfn.XLOOKUP(E32,'All Products'!D:D,'All Products'!J:J,FALSE)</f>
        <v>Manufactured</v>
      </c>
      <c r="Q32" s="351" t="str">
        <f>_xlfn.XLOOKUP(E32,'All Products'!D:D,'All Products'!K:K,FALSE)</f>
        <v>049081164713</v>
      </c>
      <c r="R32" s="351" t="str">
        <f>_xlfn.XLOOKUP(E32,'All Products'!D:D,'All Products'!L:L,FALSE)</f>
        <v>-</v>
      </c>
      <c r="S32" s="351" t="str">
        <f>_xlfn.XLOOKUP(E32,'All Products'!D:D,'All Products'!M:M,FALSE)</f>
        <v>40049081164711</v>
      </c>
      <c r="T32" s="348">
        <f>_xlfn.XLOOKUP(E32,'All Products'!D:D,'All Products'!N:N,FALSE)</f>
        <v>1.7669999999999999</v>
      </c>
      <c r="U32" s="348" t="str">
        <f>_xlfn.XLOOKUP(F32,'All Products'!E:E,'All Products'!O:O,FALSE)</f>
        <v>-</v>
      </c>
      <c r="V32" s="348">
        <f>_xlfn.XLOOKUP(E32,'All Products'!D:D,'All Products'!P:P,FALSE)</f>
        <v>7.8</v>
      </c>
      <c r="W32" s="348">
        <f>_xlfn.XLOOKUP(E32,'All Products'!D:D,'All Products'!Q:Q,FALSE)</f>
        <v>0.65</v>
      </c>
    </row>
    <row r="33" spans="1:23" ht="15">
      <c r="A33" s="104" t="str">
        <f>IF(K33&gt;0,COUNT($A$7:A32)+COUNT('DWV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3" s="579"/>
      <c r="C33" s="580"/>
      <c r="D33" s="562" t="str">
        <f>_xlfn.XLOOKUP(E33,'All Products'!D:D,'All Products'!C:C,FALSE)</f>
        <v>854-040</v>
      </c>
      <c r="E33" s="106">
        <v>100028041</v>
      </c>
      <c r="F33" s="563" t="str">
        <f>_xlfn.XLOOKUP(E33,'All Products'!D:D,'All Products'!E:E,FALSE)</f>
        <v>4 VANSTONE FLANGE SLIP GASKET TYPE</v>
      </c>
      <c r="G33" s="283">
        <f>_xlfn.XLOOKUP(E33,'All Products'!D:D,'All Products'!F:F,FALSE)</f>
        <v>4</v>
      </c>
      <c r="H33" s="234">
        <f>_xlfn.XLOOKUP(E33,'All Products'!D:D,'All Products'!G:G,FALSE)</f>
        <v>360</v>
      </c>
      <c r="I33" s="561">
        <f>_xlfn.XLOOKUP(E33,'All Products'!D:D,'All Products'!H:H,FALSE)</f>
        <v>163.13</v>
      </c>
      <c r="J33" s="135">
        <f>ROUND(I33*Order_Quote!$L$9,2)</f>
        <v>815.65</v>
      </c>
      <c r="K33" s="78"/>
      <c r="L33" s="116"/>
      <c r="M33" s="199">
        <f t="shared" si="0"/>
        <v>0</v>
      </c>
      <c r="N33" s="275"/>
      <c r="O33" s="348" t="str">
        <f>_xlfn.XLOOKUP(E33,'All Products'!D:D,'All Products'!I:I,FALSE)</f>
        <v>In Stock</v>
      </c>
      <c r="P33" s="348" t="str">
        <f>_xlfn.XLOOKUP(E33,'All Products'!D:D,'All Products'!J:J,FALSE)</f>
        <v>Manufactured</v>
      </c>
      <c r="Q33" s="351" t="str">
        <f>_xlfn.XLOOKUP(E33,'All Products'!D:D,'All Products'!K:K,FALSE)</f>
        <v>049081164829</v>
      </c>
      <c r="R33" s="351" t="str">
        <f>_xlfn.XLOOKUP(E33,'All Products'!D:D,'All Products'!L:L,FALSE)</f>
        <v>-</v>
      </c>
      <c r="S33" s="351" t="str">
        <f>_xlfn.XLOOKUP(E33,'All Products'!D:D,'All Products'!M:M,FALSE)</f>
        <v>40049081164827</v>
      </c>
      <c r="T33" s="348">
        <f>_xlfn.XLOOKUP(E33,'All Products'!D:D,'All Products'!N:N,FALSE)</f>
        <v>3.032</v>
      </c>
      <c r="U33" s="348" t="str">
        <f>_xlfn.XLOOKUP(F33,'All Products'!E:E,'All Products'!O:O,FALSE)</f>
        <v>-</v>
      </c>
      <c r="V33" s="348">
        <f>_xlfn.XLOOKUP(E33,'All Products'!D:D,'All Products'!P:P,FALSE)</f>
        <v>12.35</v>
      </c>
      <c r="W33" s="348">
        <f>_xlfn.XLOOKUP(E33,'All Products'!D:D,'All Products'!Q:Q,FALSE)</f>
        <v>0.8</v>
      </c>
    </row>
    <row r="34" spans="1:23" ht="15">
      <c r="A34" s="104" t="str">
        <f>IF(K34&gt;0,COUNT($A$7:A33)+COUNT('DWV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4" s="579"/>
      <c r="C34" s="580"/>
      <c r="D34" s="562" t="str">
        <f>_xlfn.XLOOKUP(E34,'All Products'!D:D,'All Products'!C:C,FALSE)</f>
        <v>854-040-1</v>
      </c>
      <c r="E34" s="106">
        <v>100028042</v>
      </c>
      <c r="F34" s="563" t="str">
        <f>_xlfn.XLOOKUP(E34,'All Products'!D:D,'All Products'!E:E,FALSE)</f>
        <v>4 VANSTONE FLANGE SLIP O-RING TYPE</v>
      </c>
      <c r="G34" s="283">
        <f>_xlfn.XLOOKUP(E34,'All Products'!D:D,'All Products'!F:F,FALSE)</f>
        <v>4</v>
      </c>
      <c r="H34" s="234">
        <f>_xlfn.XLOOKUP(E34,'All Products'!D:D,'All Products'!G:G,FALSE)</f>
        <v>360</v>
      </c>
      <c r="I34" s="561">
        <f>_xlfn.XLOOKUP(E34,'All Products'!D:D,'All Products'!H:H,FALSE)</f>
        <v>163.13</v>
      </c>
      <c r="J34" s="135">
        <f>ROUND(I34*Order_Quote!$L$9,2)</f>
        <v>815.65</v>
      </c>
      <c r="K34" s="78"/>
      <c r="L34" s="116"/>
      <c r="M34" s="199">
        <f t="shared" si="0"/>
        <v>0</v>
      </c>
      <c r="N34" s="275"/>
      <c r="O34" s="348" t="str">
        <f>_xlfn.XLOOKUP(E34,'All Products'!D:D,'All Products'!I:I,FALSE)</f>
        <v>Within 3 Weeks</v>
      </c>
      <c r="P34" s="348" t="str">
        <f>_xlfn.XLOOKUP(E34,'All Products'!D:D,'All Products'!J:J,FALSE)</f>
        <v>Manufactured</v>
      </c>
      <c r="Q34" s="351" t="str">
        <f>_xlfn.XLOOKUP(E34,'All Products'!D:D,'All Products'!K:K,FALSE)</f>
        <v>049081164737</v>
      </c>
      <c r="R34" s="351" t="str">
        <f>_xlfn.XLOOKUP(E34,'All Products'!D:D,'All Products'!L:L,FALSE)</f>
        <v>-</v>
      </c>
      <c r="S34" s="351" t="str">
        <f>_xlfn.XLOOKUP(E34,'All Products'!D:D,'All Products'!M:M,FALSE)</f>
        <v>40049081164735</v>
      </c>
      <c r="T34" s="348">
        <f>_xlfn.XLOOKUP(E34,'All Products'!D:D,'All Products'!N:N,FALSE)</f>
        <v>3.0110000000000001</v>
      </c>
      <c r="U34" s="348" t="str">
        <f>_xlfn.XLOOKUP(F34,'All Products'!E:E,'All Products'!O:O,FALSE)</f>
        <v>-</v>
      </c>
      <c r="V34" s="348">
        <f>_xlfn.XLOOKUP(E34,'All Products'!D:D,'All Products'!P:P,FALSE)</f>
        <v>12</v>
      </c>
      <c r="W34" s="348">
        <f>_xlfn.XLOOKUP(E34,'All Products'!D:D,'All Products'!Q:Q,FALSE)</f>
        <v>0.8</v>
      </c>
    </row>
    <row r="35" spans="1:23" ht="15">
      <c r="A35" s="104" t="str">
        <f>IF(K35&gt;0,COUNT($A$7:A34)+COUNT('DWV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5" s="579"/>
      <c r="C35" s="580"/>
      <c r="D35" s="562" t="str">
        <f>_xlfn.XLOOKUP(E35,'All Products'!D:D,'All Products'!C:C,FALSE)</f>
        <v>854-050</v>
      </c>
      <c r="E35" s="106">
        <v>100028044</v>
      </c>
      <c r="F35" s="563" t="str">
        <f>_xlfn.XLOOKUP(E35,'All Products'!D:D,'All Products'!E:E,FALSE)</f>
        <v>5 VANSTONE FLANGE SLIP GASKET TYPE</v>
      </c>
      <c r="G35" s="283">
        <f>_xlfn.XLOOKUP(E35,'All Products'!D:D,'All Products'!F:F,FALSE)</f>
        <v>2</v>
      </c>
      <c r="H35" s="234">
        <f>_xlfn.XLOOKUP(E35,'All Products'!D:D,'All Products'!G:G,FALSE)</f>
        <v>180</v>
      </c>
      <c r="I35" s="561">
        <f>_xlfn.XLOOKUP(E35,'All Products'!D:D,'All Products'!H:H,FALSE)</f>
        <v>256.57</v>
      </c>
      <c r="J35" s="135">
        <f>ROUND(I35*Order_Quote!$L$9,2)</f>
        <v>1282.8499999999999</v>
      </c>
      <c r="K35" s="78"/>
      <c r="L35" s="116"/>
      <c r="M35" s="199">
        <f t="shared" si="0"/>
        <v>0</v>
      </c>
      <c r="N35" s="275"/>
      <c r="O35" s="348" t="str">
        <f>_xlfn.XLOOKUP(E35,'All Products'!D:D,'All Products'!I:I,FALSE)</f>
        <v>In Stock</v>
      </c>
      <c r="P35" s="348" t="str">
        <f>_xlfn.XLOOKUP(E35,'All Products'!D:D,'All Products'!J:J,FALSE)</f>
        <v>Manufactured</v>
      </c>
      <c r="Q35" s="351" t="str">
        <f>_xlfn.XLOOKUP(E35,'All Products'!D:D,'All Products'!K:K,FALSE)</f>
        <v>049081164836</v>
      </c>
      <c r="R35" s="351" t="str">
        <f>_xlfn.XLOOKUP(E35,'All Products'!D:D,'All Products'!L:L,FALSE)</f>
        <v>-</v>
      </c>
      <c r="S35" s="351" t="str">
        <f>_xlfn.XLOOKUP(E35,'All Products'!D:D,'All Products'!M:M,FALSE)</f>
        <v>40049081164834</v>
      </c>
      <c r="T35" s="348">
        <f>_xlfn.XLOOKUP(E35,'All Products'!D:D,'All Products'!N:N,FALSE)</f>
        <v>5.7060000000000004</v>
      </c>
      <c r="U35" s="348" t="str">
        <f>_xlfn.XLOOKUP(F35,'All Products'!E:E,'All Products'!O:O,FALSE)</f>
        <v>-</v>
      </c>
      <c r="V35" s="348">
        <f>_xlfn.XLOOKUP(E35,'All Products'!D:D,'All Products'!P:P,FALSE)</f>
        <v>8.02</v>
      </c>
      <c r="W35" s="348">
        <f>_xlfn.XLOOKUP(E35,'All Products'!D:D,'All Products'!Q:Q,FALSE)</f>
        <v>0.8</v>
      </c>
    </row>
    <row r="36" spans="1:23" ht="15">
      <c r="A36" s="104" t="str">
        <f>IF(K36&gt;0,COUNT($A$7:A35)+COUNT('DWV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6" s="579"/>
      <c r="C36" s="580"/>
      <c r="D36" s="562" t="str">
        <f>_xlfn.XLOOKUP(E36,'All Products'!D:D,'All Products'!C:C,FALSE)</f>
        <v>854-050-1</v>
      </c>
      <c r="E36" s="106">
        <v>100028045</v>
      </c>
      <c r="F36" s="563" t="str">
        <f>_xlfn.XLOOKUP(E36,'All Products'!D:D,'All Products'!E:E,FALSE)</f>
        <v>5 VANSTONE FLANGE SLIP O-RING TYPE</v>
      </c>
      <c r="G36" s="283">
        <f>_xlfn.XLOOKUP(E36,'All Products'!D:D,'All Products'!F:F,FALSE)</f>
        <v>2</v>
      </c>
      <c r="H36" s="234">
        <f>_xlfn.XLOOKUP(E36,'All Products'!D:D,'All Products'!G:G,FALSE)</f>
        <v>180</v>
      </c>
      <c r="I36" s="561">
        <f>_xlfn.XLOOKUP(E36,'All Products'!D:D,'All Products'!H:H,FALSE)</f>
        <v>256.57</v>
      </c>
      <c r="J36" s="135">
        <f>ROUND(I36*Order_Quote!$L$9,2)</f>
        <v>1282.8499999999999</v>
      </c>
      <c r="K36" s="78"/>
      <c r="L36" s="116"/>
      <c r="M36" s="199">
        <f t="shared" si="0"/>
        <v>0</v>
      </c>
      <c r="N36" s="275"/>
      <c r="O36" s="348" t="str">
        <f>_xlfn.XLOOKUP(E36,'All Products'!D:D,'All Products'!I:I,FALSE)</f>
        <v>Within 6 Weeks</v>
      </c>
      <c r="P36" s="348" t="str">
        <f>_xlfn.XLOOKUP(E36,'All Products'!D:D,'All Products'!J:J,FALSE)</f>
        <v>Sourced</v>
      </c>
      <c r="Q36" s="351" t="str">
        <f>_xlfn.XLOOKUP(E36,'All Products'!D:D,'All Products'!K:K,FALSE)</f>
        <v>049081164751</v>
      </c>
      <c r="R36" s="351" t="str">
        <f>_xlfn.XLOOKUP(E36,'All Products'!D:D,'All Products'!L:L,FALSE)</f>
        <v>-</v>
      </c>
      <c r="S36" s="351" t="str">
        <f>_xlfn.XLOOKUP(E36,'All Products'!D:D,'All Products'!M:M,FALSE)</f>
        <v>40049081164759</v>
      </c>
      <c r="T36" s="348">
        <f>_xlfn.XLOOKUP(E36,'All Products'!D:D,'All Products'!N:N,FALSE)</f>
        <v>3.7250000000000001</v>
      </c>
      <c r="U36" s="348" t="str">
        <f>_xlfn.XLOOKUP(F36,'All Products'!E:E,'All Products'!O:O,FALSE)</f>
        <v>-</v>
      </c>
      <c r="V36" s="348">
        <f>_xlfn.XLOOKUP(E36,'All Products'!D:D,'All Products'!P:P,FALSE)</f>
        <v>7.45</v>
      </c>
      <c r="W36" s="348">
        <f>_xlfn.XLOOKUP(E36,'All Products'!D:D,'All Products'!Q:Q,FALSE)</f>
        <v>0.8</v>
      </c>
    </row>
    <row r="37" spans="1:23" ht="15">
      <c r="A37" s="104" t="str">
        <f>IF(K37&gt;0,COUNT($A$7:A36)+COUNT('DWV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7" s="579"/>
      <c r="C37" s="580"/>
      <c r="D37" s="562" t="str">
        <f>_xlfn.XLOOKUP(E37,'All Products'!D:D,'All Products'!C:C,FALSE)</f>
        <v>854-060</v>
      </c>
      <c r="E37" s="106">
        <v>100028047</v>
      </c>
      <c r="F37" s="563" t="str">
        <f>_xlfn.XLOOKUP(E37,'All Products'!D:D,'All Products'!E:E,FALSE)</f>
        <v>6 VANSTONE FLANGE SLIP GASKET TYPE</v>
      </c>
      <c r="G37" s="283">
        <f>_xlfn.XLOOKUP(E37,'All Products'!D:D,'All Products'!F:F,FALSE)</f>
        <v>2</v>
      </c>
      <c r="H37" s="234">
        <f>_xlfn.XLOOKUP(E37,'All Products'!D:D,'All Products'!G:G,FALSE)</f>
        <v>150</v>
      </c>
      <c r="I37" s="561">
        <f>_xlfn.XLOOKUP(E37,'All Products'!D:D,'All Products'!H:H,FALSE)</f>
        <v>256.57</v>
      </c>
      <c r="J37" s="135">
        <f>ROUND(I37*Order_Quote!$L$9,2)</f>
        <v>1282.8499999999999</v>
      </c>
      <c r="K37" s="78"/>
      <c r="L37" s="116"/>
      <c r="M37" s="199">
        <f t="shared" si="0"/>
        <v>0</v>
      </c>
      <c r="N37" s="275"/>
      <c r="O37" s="348" t="str">
        <f>_xlfn.XLOOKUP(E37,'All Products'!D:D,'All Products'!I:I,FALSE)</f>
        <v>In Stock</v>
      </c>
      <c r="P37" s="348" t="str">
        <f>_xlfn.XLOOKUP(E37,'All Products'!D:D,'All Products'!J:J,FALSE)</f>
        <v>Manufactured</v>
      </c>
      <c r="Q37" s="351" t="str">
        <f>_xlfn.XLOOKUP(E37,'All Products'!D:D,'All Products'!K:K,FALSE)</f>
        <v>049081164843</v>
      </c>
      <c r="R37" s="351" t="str">
        <f>_xlfn.XLOOKUP(E37,'All Products'!D:D,'All Products'!L:L,FALSE)</f>
        <v>-</v>
      </c>
      <c r="S37" s="351" t="str">
        <f>_xlfn.XLOOKUP(E37,'All Products'!D:D,'All Products'!M:M,FALSE)</f>
        <v>40049081164841</v>
      </c>
      <c r="T37" s="348">
        <f>_xlfn.XLOOKUP(E37,'All Products'!D:D,'All Products'!N:N,FALSE)</f>
        <v>4.8659999999999997</v>
      </c>
      <c r="U37" s="348" t="str">
        <f>_xlfn.XLOOKUP(F37,'All Products'!E:E,'All Products'!O:O,FALSE)</f>
        <v>-</v>
      </c>
      <c r="V37" s="348">
        <f>_xlfn.XLOOKUP(E37,'All Products'!D:D,'All Products'!P:P,FALSE)</f>
        <v>10.53</v>
      </c>
      <c r="W37" s="348">
        <f>_xlfn.XLOOKUP(E37,'All Products'!D:D,'All Products'!Q:Q,FALSE)</f>
        <v>0.95</v>
      </c>
    </row>
    <row r="38" spans="1:23" ht="15">
      <c r="A38" s="104" t="str">
        <f>IF(K38&gt;0,COUNT($A$7:A37)+COUNT('DWV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8" s="579"/>
      <c r="C38" s="580"/>
      <c r="D38" s="562" t="str">
        <f>_xlfn.XLOOKUP(E38,'All Products'!D:D,'All Products'!C:C,FALSE)</f>
        <v>854-060-1</v>
      </c>
      <c r="E38" s="106">
        <v>100028048</v>
      </c>
      <c r="F38" s="563" t="str">
        <f>_xlfn.XLOOKUP(E38,'All Products'!D:D,'All Products'!E:E,FALSE)</f>
        <v>6 VANSTONE FLANGE SLIP O-RING TYPE</v>
      </c>
      <c r="G38" s="283">
        <f>_xlfn.XLOOKUP(E38,'All Products'!D:D,'All Products'!F:F,FALSE)</f>
        <v>2</v>
      </c>
      <c r="H38" s="234">
        <f>_xlfn.XLOOKUP(E38,'All Products'!D:D,'All Products'!G:G,FALSE)</f>
        <v>150</v>
      </c>
      <c r="I38" s="561">
        <f>_xlfn.XLOOKUP(E38,'All Products'!D:D,'All Products'!H:H,FALSE)</f>
        <v>256.57</v>
      </c>
      <c r="J38" s="135">
        <f>ROUND(I38*Order_Quote!$L$9,2)</f>
        <v>1282.8499999999999</v>
      </c>
      <c r="K38" s="78"/>
      <c r="L38" s="116"/>
      <c r="M38" s="199">
        <f t="shared" si="0"/>
        <v>0</v>
      </c>
      <c r="N38" s="275"/>
      <c r="O38" s="348" t="str">
        <f>_xlfn.XLOOKUP(E38,'All Products'!D:D,'All Products'!I:I,FALSE)</f>
        <v>Within 3 Weeks</v>
      </c>
      <c r="P38" s="348" t="str">
        <f>_xlfn.XLOOKUP(E38,'All Products'!D:D,'All Products'!J:J,FALSE)</f>
        <v>Manufactured</v>
      </c>
      <c r="Q38" s="351" t="str">
        <f>_xlfn.XLOOKUP(E38,'All Products'!D:D,'All Products'!K:K,FALSE)</f>
        <v>049081164775</v>
      </c>
      <c r="R38" s="351" t="str">
        <f>_xlfn.XLOOKUP(E38,'All Products'!D:D,'All Products'!L:L,FALSE)</f>
        <v>-</v>
      </c>
      <c r="S38" s="351" t="str">
        <f>_xlfn.XLOOKUP(E38,'All Products'!D:D,'All Products'!M:M,FALSE)</f>
        <v>40049081164773</v>
      </c>
      <c r="T38" s="348">
        <f>_xlfn.XLOOKUP(E38,'All Products'!D:D,'All Products'!N:N,FALSE)</f>
        <v>7.6859999999999999</v>
      </c>
      <c r="U38" s="348" t="str">
        <f>_xlfn.XLOOKUP(F38,'All Products'!E:E,'All Products'!O:O,FALSE)</f>
        <v>-</v>
      </c>
      <c r="V38" s="348">
        <f>_xlfn.XLOOKUP(E38,'All Products'!D:D,'All Products'!P:P,FALSE)</f>
        <v>10.050000000000001</v>
      </c>
      <c r="W38" s="348">
        <f>_xlfn.XLOOKUP(E38,'All Products'!D:D,'All Products'!Q:Q,FALSE)</f>
        <v>0.95</v>
      </c>
    </row>
    <row r="39" spans="1:23" ht="15">
      <c r="A39" s="104" t="str">
        <f>IF(K39&gt;0,COUNT($A$7:A38)+COUNT('DWV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39" s="579"/>
      <c r="C39" s="580"/>
      <c r="D39" s="562" t="str">
        <f>_xlfn.XLOOKUP(E39,'All Products'!D:D,'All Products'!C:C,FALSE)</f>
        <v>854-080</v>
      </c>
      <c r="E39" s="106">
        <v>100028050</v>
      </c>
      <c r="F39" s="563" t="str">
        <f>_xlfn.XLOOKUP(E39,'All Products'!D:D,'All Products'!E:E,FALSE)</f>
        <v>8 VANSTONE FLANGE SLIP GASKET TYPE</v>
      </c>
      <c r="G39" s="283">
        <f>_xlfn.XLOOKUP(E39,'All Products'!D:D,'All Products'!F:F,FALSE)</f>
        <v>1</v>
      </c>
      <c r="H39" s="234">
        <f>_xlfn.XLOOKUP(E39,'All Products'!D:D,'All Products'!G:G,FALSE)</f>
        <v>75</v>
      </c>
      <c r="I39" s="561">
        <f>_xlfn.XLOOKUP(E39,'All Products'!D:D,'All Products'!H:H,FALSE)</f>
        <v>417.68</v>
      </c>
      <c r="J39" s="135">
        <f>ROUND(I39*Order_Quote!$L$9,2)</f>
        <v>2088.4</v>
      </c>
      <c r="K39" s="78"/>
      <c r="L39" s="116"/>
      <c r="M39" s="199">
        <f t="shared" si="0"/>
        <v>0</v>
      </c>
      <c r="N39" s="275"/>
      <c r="O39" s="348" t="str">
        <f>_xlfn.XLOOKUP(E39,'All Products'!D:D,'All Products'!I:I,FALSE)</f>
        <v>Within 3 Weeks</v>
      </c>
      <c r="P39" s="348" t="str">
        <f>_xlfn.XLOOKUP(E39,'All Products'!D:D,'All Products'!J:J,FALSE)</f>
        <v>Manufactured</v>
      </c>
      <c r="Q39" s="351" t="str">
        <f>_xlfn.XLOOKUP(E39,'All Products'!D:D,'All Products'!K:K,FALSE)</f>
        <v>049081164867</v>
      </c>
      <c r="R39" s="351" t="str">
        <f>_xlfn.XLOOKUP(E39,'All Products'!D:D,'All Products'!L:L,FALSE)</f>
        <v>-</v>
      </c>
      <c r="S39" s="351" t="str">
        <f>_xlfn.XLOOKUP(E39,'All Products'!D:D,'All Products'!M:M,FALSE)</f>
        <v>40049081164865</v>
      </c>
      <c r="T39" s="348">
        <f>_xlfn.XLOOKUP(E39,'All Products'!D:D,'All Products'!N:N,FALSE)</f>
        <v>9.7240000000000002</v>
      </c>
      <c r="U39" s="348" t="str">
        <f>_xlfn.XLOOKUP(F39,'All Products'!E:E,'All Products'!O:O,FALSE)</f>
        <v>-</v>
      </c>
      <c r="V39" s="348">
        <f>_xlfn.XLOOKUP(E39,'All Products'!D:D,'All Products'!P:P,FALSE)</f>
        <v>10.7</v>
      </c>
      <c r="W39" s="348">
        <f>_xlfn.XLOOKUP(E39,'All Products'!D:D,'All Products'!Q:Q,FALSE)</f>
        <v>1.1000000000000001</v>
      </c>
    </row>
    <row r="40" spans="1:23" ht="15">
      <c r="A40" s="104" t="str">
        <f>IF(K40&gt;0,COUNT($A$7:A39)+COUNT('DWV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0" s="579"/>
      <c r="C40" s="580"/>
      <c r="D40" s="562" t="str">
        <f>_xlfn.XLOOKUP(E40,'All Products'!D:D,'All Products'!C:C,FALSE)</f>
        <v>854-080-1</v>
      </c>
      <c r="E40" s="106">
        <v>100028051</v>
      </c>
      <c r="F40" s="563" t="str">
        <f>_xlfn.XLOOKUP(E40,'All Products'!D:D,'All Products'!E:E,FALSE)</f>
        <v>8 VANSTONE FLANGE SLIP O-RING TYPE</v>
      </c>
      <c r="G40" s="283">
        <f>_xlfn.XLOOKUP(E40,'All Products'!D:D,'All Products'!F:F,FALSE)</f>
        <v>1</v>
      </c>
      <c r="H40" s="234">
        <f>_xlfn.XLOOKUP(E40,'All Products'!D:D,'All Products'!G:G,FALSE)</f>
        <v>75</v>
      </c>
      <c r="I40" s="561">
        <f>_xlfn.XLOOKUP(E40,'All Products'!D:D,'All Products'!H:H,FALSE)</f>
        <v>417.68</v>
      </c>
      <c r="J40" s="135">
        <f>ROUND(I40*Order_Quote!$L$9,2)</f>
        <v>2088.4</v>
      </c>
      <c r="K40" s="78"/>
      <c r="L40" s="116"/>
      <c r="M40" s="199">
        <f t="shared" si="0"/>
        <v>0</v>
      </c>
      <c r="N40" s="275"/>
      <c r="O40" s="348" t="str">
        <f>_xlfn.XLOOKUP(E40,'All Products'!D:D,'All Products'!I:I,FALSE)</f>
        <v>Within 3 Weeks</v>
      </c>
      <c r="P40" s="348" t="str">
        <f>_xlfn.XLOOKUP(E40,'All Products'!D:D,'All Products'!J:J,FALSE)</f>
        <v>Manufactured</v>
      </c>
      <c r="Q40" s="351" t="str">
        <f>_xlfn.XLOOKUP(E40,'All Products'!D:D,'All Products'!K:K,FALSE)</f>
        <v>049081164799</v>
      </c>
      <c r="R40" s="351" t="str">
        <f>_xlfn.XLOOKUP(E40,'All Products'!D:D,'All Products'!L:L,FALSE)</f>
        <v>-</v>
      </c>
      <c r="S40" s="351" t="str">
        <f>_xlfn.XLOOKUP(E40,'All Products'!D:D,'All Products'!M:M,FALSE)</f>
        <v>40049081164797</v>
      </c>
      <c r="T40" s="348">
        <f>_xlfn.XLOOKUP(E40,'All Products'!D:D,'All Products'!N:N,FALSE)</f>
        <v>9.7230000000000008</v>
      </c>
      <c r="U40" s="348" t="str">
        <f>_xlfn.XLOOKUP(F40,'All Products'!E:E,'All Products'!O:O,FALSE)</f>
        <v>-</v>
      </c>
      <c r="V40" s="348">
        <f>_xlfn.XLOOKUP(E40,'All Products'!D:D,'All Products'!P:P,FALSE)</f>
        <v>10.08</v>
      </c>
      <c r="W40" s="348">
        <f>_xlfn.XLOOKUP(E40,'All Products'!D:D,'All Products'!Q:Q,FALSE)</f>
        <v>1.1000000000000001</v>
      </c>
    </row>
    <row r="41" spans="1:23" ht="15">
      <c r="A41" s="104" t="str">
        <f>IF(K41&gt;0,COUNT($A$7:A40)+COUNT('DWV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1" s="577"/>
      <c r="C41" s="578"/>
      <c r="D41" s="562" t="str">
        <f>_xlfn.XLOOKUP(E41,'All Products'!D:D,'All Products'!C:C,FALSE)</f>
        <v>856-020-1</v>
      </c>
      <c r="E41" s="106">
        <v>100028054</v>
      </c>
      <c r="F41" s="563" t="str">
        <f>_xlfn.XLOOKUP(E41,'All Products'!D:D,'All Products'!E:E,FALSE)</f>
        <v>2 VANSTONE FLANGE SPG O-RING TYPE</v>
      </c>
      <c r="G41" s="283">
        <f>_xlfn.XLOOKUP(E41,'All Products'!D:D,'All Products'!F:F,FALSE)</f>
        <v>5</v>
      </c>
      <c r="H41" s="234">
        <f>_xlfn.XLOOKUP(E41,'All Products'!D:D,'All Products'!G:G,FALSE)</f>
        <v>750</v>
      </c>
      <c r="I41" s="561">
        <f>_xlfn.XLOOKUP(E41,'All Products'!D:D,'All Products'!H:H,FALSE)</f>
        <v>75.59</v>
      </c>
      <c r="J41" s="135">
        <f>ROUND(I41*Order_Quote!$L$9,2)</f>
        <v>377.95</v>
      </c>
      <c r="K41" s="78"/>
      <c r="L41" s="116"/>
      <c r="M41" s="199">
        <f t="shared" si="0"/>
        <v>0</v>
      </c>
      <c r="N41" s="275"/>
      <c r="O41" s="348" t="str">
        <f>_xlfn.XLOOKUP(E41,'All Products'!D:D,'All Products'!I:I,FALSE)</f>
        <v>Within 3 Weeks</v>
      </c>
      <c r="P41" s="348" t="str">
        <f>_xlfn.XLOOKUP(E41,'All Products'!D:D,'All Products'!J:J,FALSE)</f>
        <v>Manufactured</v>
      </c>
      <c r="Q41" s="351" t="str">
        <f>_xlfn.XLOOKUP(E41,'All Products'!D:D,'All Products'!K:K,FALSE)</f>
        <v>049081160517</v>
      </c>
      <c r="R41" s="351" t="str">
        <f>_xlfn.XLOOKUP(E41,'All Products'!D:D,'All Products'!L:L,FALSE)</f>
        <v>-</v>
      </c>
      <c r="S41" s="351" t="str">
        <f>_xlfn.XLOOKUP(E41,'All Products'!D:D,'All Products'!M:M,FALSE)</f>
        <v>40049081160515</v>
      </c>
      <c r="T41" s="348">
        <f>_xlfn.XLOOKUP(E41,'All Products'!D:D,'All Products'!N:N,FALSE)</f>
        <v>1.67</v>
      </c>
      <c r="U41" s="348" t="str">
        <f>_xlfn.XLOOKUP(F41,'All Products'!E:E,'All Products'!O:O,FALSE)</f>
        <v>-</v>
      </c>
      <c r="V41" s="348">
        <f>_xlfn.XLOOKUP(E41,'All Products'!D:D,'All Products'!P:P,FALSE)</f>
        <v>5.36</v>
      </c>
      <c r="W41" s="348">
        <f>_xlfn.XLOOKUP(E41,'All Products'!D:D,'All Products'!Q:Q,FALSE)</f>
        <v>0.5</v>
      </c>
    </row>
    <row r="42" spans="1:23" ht="15">
      <c r="A42" s="104" t="str">
        <f>IF(K42&gt;0,COUNT($A$7:A41)+COUNT('DWV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2" s="579"/>
      <c r="C42" s="580"/>
      <c r="D42" s="562" t="str">
        <f>_xlfn.XLOOKUP(E42,'All Products'!D:D,'All Products'!C:C,FALSE)</f>
        <v>856-025-1</v>
      </c>
      <c r="E42" s="106">
        <v>100028057</v>
      </c>
      <c r="F42" s="563" t="str">
        <f>_xlfn.XLOOKUP(E42,'All Products'!D:D,'All Products'!E:E,FALSE)</f>
        <v>2-1/2 VANSTONE FLANGE SPG O-RING</v>
      </c>
      <c r="G42" s="283">
        <f>_xlfn.XLOOKUP(E42,'All Products'!D:D,'All Products'!F:F,FALSE)</f>
        <v>10</v>
      </c>
      <c r="H42" s="234">
        <f>_xlfn.XLOOKUP(E42,'All Products'!D:D,'All Products'!G:G,FALSE)</f>
        <v>750</v>
      </c>
      <c r="I42" s="561">
        <f>_xlfn.XLOOKUP(E42,'All Products'!D:D,'All Products'!H:H,FALSE)</f>
        <v>116.67</v>
      </c>
      <c r="J42" s="135">
        <f>ROUND(I42*Order_Quote!$L$9,2)</f>
        <v>583.35</v>
      </c>
      <c r="K42" s="78"/>
      <c r="L42" s="116"/>
      <c r="M42" s="199">
        <f t="shared" si="0"/>
        <v>0</v>
      </c>
      <c r="N42" s="275"/>
      <c r="O42" s="348" t="str">
        <f>_xlfn.XLOOKUP(E42,'All Products'!D:D,'All Products'!I:I,FALSE)</f>
        <v>Within 3 Weeks</v>
      </c>
      <c r="P42" s="348" t="str">
        <f>_xlfn.XLOOKUP(E42,'All Products'!D:D,'All Products'!J:J,FALSE)</f>
        <v>Manufactured</v>
      </c>
      <c r="Q42" s="351" t="str">
        <f>_xlfn.XLOOKUP(E42,'All Products'!D:D,'All Products'!K:K,FALSE)</f>
        <v>049081160524</v>
      </c>
      <c r="R42" s="351" t="str">
        <f>_xlfn.XLOOKUP(E42,'All Products'!D:D,'All Products'!L:L,FALSE)</f>
        <v>-</v>
      </c>
      <c r="S42" s="351" t="str">
        <f>_xlfn.XLOOKUP(E42,'All Products'!D:D,'All Products'!M:M,FALSE)</f>
        <v>40049081165022</v>
      </c>
      <c r="T42" s="348">
        <f>_xlfn.XLOOKUP(E42,'All Products'!D:D,'All Products'!N:N,FALSE)</f>
        <v>2.37</v>
      </c>
      <c r="U42" s="348" t="str">
        <f>_xlfn.XLOOKUP(F42,'All Products'!E:E,'All Products'!O:O,FALSE)</f>
        <v>-</v>
      </c>
      <c r="V42" s="348">
        <f>_xlfn.XLOOKUP(E42,'All Products'!D:D,'All Products'!P:P,FALSE)</f>
        <v>15.16</v>
      </c>
      <c r="W42" s="348">
        <f>_xlfn.XLOOKUP(E42,'All Products'!D:D,'All Products'!Q:Q,FALSE)</f>
        <v>0.95</v>
      </c>
    </row>
    <row r="43" spans="1:23" ht="15">
      <c r="A43" s="104" t="str">
        <f>IF(K43&gt;0,COUNT($A$7:A42)+COUNT('DWV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3" s="579"/>
      <c r="C43" s="580"/>
      <c r="D43" s="562" t="str">
        <f>_xlfn.XLOOKUP(E43,'All Products'!D:D,'All Products'!C:C,FALSE)</f>
        <v>856-030-1</v>
      </c>
      <c r="E43" s="106">
        <v>100028060</v>
      </c>
      <c r="F43" s="563" t="str">
        <f>_xlfn.XLOOKUP(E43,'All Products'!D:D,'All Products'!E:E,FALSE)</f>
        <v>3 VANSTONE FLANGE SPG O-RING TYPE</v>
      </c>
      <c r="G43" s="283">
        <f>_xlfn.XLOOKUP(E43,'All Products'!D:D,'All Products'!F:F,FALSE)</f>
        <v>5</v>
      </c>
      <c r="H43" s="234">
        <f>_xlfn.XLOOKUP(E43,'All Products'!D:D,'All Products'!G:G,FALSE)</f>
        <v>600</v>
      </c>
      <c r="I43" s="561">
        <f>_xlfn.XLOOKUP(E43,'All Products'!D:D,'All Products'!H:H,FALSE)</f>
        <v>128.9</v>
      </c>
      <c r="J43" s="135">
        <f>ROUND(I43*Order_Quote!$L$9,2)</f>
        <v>644.5</v>
      </c>
      <c r="K43" s="78"/>
      <c r="L43" s="116"/>
      <c r="M43" s="199">
        <f t="shared" si="0"/>
        <v>0</v>
      </c>
      <c r="N43" s="275"/>
      <c r="O43" s="348" t="str">
        <f>_xlfn.XLOOKUP(E43,'All Products'!D:D,'All Products'!I:I,FALSE)</f>
        <v>Within 3 Weeks</v>
      </c>
      <c r="P43" s="348" t="str">
        <f>_xlfn.XLOOKUP(E43,'All Products'!D:D,'All Products'!J:J,FALSE)</f>
        <v>Manufactured</v>
      </c>
      <c r="Q43" s="351" t="str">
        <f>_xlfn.XLOOKUP(E43,'All Products'!D:D,'All Products'!K:K,FALSE)</f>
        <v>049081160531</v>
      </c>
      <c r="R43" s="351" t="str">
        <f>_xlfn.XLOOKUP(E43,'All Products'!D:D,'All Products'!L:L,FALSE)</f>
        <v>-</v>
      </c>
      <c r="S43" s="351" t="str">
        <f>_xlfn.XLOOKUP(E43,'All Products'!D:D,'All Products'!M:M,FALSE)</f>
        <v>40049081160539</v>
      </c>
      <c r="T43" s="348">
        <f>_xlfn.XLOOKUP(E43,'All Products'!D:D,'All Products'!N:N,FALSE)</f>
        <v>3.0880000000000001</v>
      </c>
      <c r="U43" s="348" t="str">
        <f>_xlfn.XLOOKUP(F43,'All Products'!E:E,'All Products'!O:O,FALSE)</f>
        <v>-</v>
      </c>
      <c r="V43" s="348">
        <f>_xlfn.XLOOKUP(E43,'All Products'!D:D,'All Products'!P:P,FALSE)</f>
        <v>10.130000000000001</v>
      </c>
      <c r="W43" s="348">
        <f>_xlfn.XLOOKUP(E43,'All Products'!D:D,'All Products'!Q:Q,FALSE)</f>
        <v>0.65</v>
      </c>
    </row>
    <row r="44" spans="1:23" ht="15">
      <c r="A44" s="104" t="str">
        <f>IF(K44&gt;0,COUNT($A$7:A43)+COUNT('DWV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4" s="579"/>
      <c r="C44" s="580"/>
      <c r="D44" s="562" t="str">
        <f>_xlfn.XLOOKUP(E44,'All Products'!D:D,'All Products'!C:C,FALSE)</f>
        <v>856-040-1</v>
      </c>
      <c r="E44" s="106">
        <v>100028063</v>
      </c>
      <c r="F44" s="563" t="str">
        <f>_xlfn.XLOOKUP(E44,'All Products'!D:D,'All Products'!E:E,FALSE)</f>
        <v>4 VANSTONE FLANGE SPG O-RING TYPE</v>
      </c>
      <c r="G44" s="283">
        <f>_xlfn.XLOOKUP(E44,'All Products'!D:D,'All Products'!F:F,FALSE)</f>
        <v>4</v>
      </c>
      <c r="H44" s="234">
        <f>_xlfn.XLOOKUP(E44,'All Products'!D:D,'All Products'!G:G,FALSE)</f>
        <v>360</v>
      </c>
      <c r="I44" s="561">
        <f>_xlfn.XLOOKUP(E44,'All Products'!D:D,'All Products'!H:H,FALSE)</f>
        <v>163.13</v>
      </c>
      <c r="J44" s="135">
        <f>ROUND(I44*Order_Quote!$L$9,2)</f>
        <v>815.65</v>
      </c>
      <c r="K44" s="78"/>
      <c r="L44" s="116"/>
      <c r="M44" s="199">
        <f t="shared" si="0"/>
        <v>0</v>
      </c>
      <c r="N44" s="275"/>
      <c r="O44" s="348" t="str">
        <f>_xlfn.XLOOKUP(E44,'All Products'!D:D,'All Products'!I:I,FALSE)</f>
        <v>Within 3 Weeks</v>
      </c>
      <c r="P44" s="348" t="str">
        <f>_xlfn.XLOOKUP(E44,'All Products'!D:D,'All Products'!J:J,FALSE)</f>
        <v>Manufactured</v>
      </c>
      <c r="Q44" s="351" t="str">
        <f>_xlfn.XLOOKUP(E44,'All Products'!D:D,'All Products'!K:K,FALSE)</f>
        <v>049081160548</v>
      </c>
      <c r="R44" s="351" t="str">
        <f>_xlfn.XLOOKUP(E44,'All Products'!D:D,'All Products'!L:L,FALSE)</f>
        <v>-</v>
      </c>
      <c r="S44" s="351" t="str">
        <f>_xlfn.XLOOKUP(E44,'All Products'!D:D,'All Products'!M:M,FALSE)</f>
        <v>40049081160546</v>
      </c>
      <c r="T44" s="348">
        <f>_xlfn.XLOOKUP(E44,'All Products'!D:D,'All Products'!N:N,FALSE)</f>
        <v>3.0129999999999999</v>
      </c>
      <c r="U44" s="348" t="str">
        <f>_xlfn.XLOOKUP(F44,'All Products'!E:E,'All Products'!O:O,FALSE)</f>
        <v>-</v>
      </c>
      <c r="V44" s="348">
        <f>_xlfn.XLOOKUP(E44,'All Products'!D:D,'All Products'!P:P,FALSE)</f>
        <v>12.06</v>
      </c>
      <c r="W44" s="348">
        <f>_xlfn.XLOOKUP(E44,'All Products'!D:D,'All Products'!Q:Q,FALSE)</f>
        <v>0.8</v>
      </c>
    </row>
    <row r="45" spans="1:23" ht="15">
      <c r="A45" s="104" t="str">
        <f>IF(K45&gt;0,COUNT($A$7:A44)+COUNT('DWV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5" s="579"/>
      <c r="C45" s="580"/>
      <c r="D45" s="562" t="str">
        <f>_xlfn.XLOOKUP(E45,'All Products'!D:D,'All Products'!C:C,FALSE)</f>
        <v>856-050-1</v>
      </c>
      <c r="E45" s="106">
        <v>100028066</v>
      </c>
      <c r="F45" s="563" t="str">
        <f>_xlfn.XLOOKUP(E45,'All Products'!D:D,'All Products'!E:E,FALSE)</f>
        <v>5 VANSTONE FLANGE SPG O-RING TYPE</v>
      </c>
      <c r="G45" s="283">
        <f>_xlfn.XLOOKUP(E45,'All Products'!D:D,'All Products'!F:F,FALSE)</f>
        <v>2</v>
      </c>
      <c r="H45" s="234">
        <f>_xlfn.XLOOKUP(E45,'All Products'!D:D,'All Products'!G:G,FALSE)</f>
        <v>180</v>
      </c>
      <c r="I45" s="561">
        <f>_xlfn.XLOOKUP(E45,'All Products'!D:D,'All Products'!H:H,FALSE)</f>
        <v>256.57</v>
      </c>
      <c r="J45" s="135">
        <f>ROUND(I45*Order_Quote!$L$9,2)</f>
        <v>1282.8499999999999</v>
      </c>
      <c r="K45" s="78"/>
      <c r="L45" s="116"/>
      <c r="M45" s="199">
        <f t="shared" si="0"/>
        <v>0</v>
      </c>
      <c r="N45" s="275"/>
      <c r="O45" s="348" t="str">
        <f>_xlfn.XLOOKUP(E45,'All Products'!D:D,'All Products'!I:I,FALSE)</f>
        <v>Within 3 Weeks</v>
      </c>
      <c r="P45" s="348" t="str">
        <f>_xlfn.XLOOKUP(E45,'All Products'!D:D,'All Products'!J:J,FALSE)</f>
        <v>Manufactured</v>
      </c>
      <c r="Q45" s="351" t="str">
        <f>_xlfn.XLOOKUP(E45,'All Products'!D:D,'All Products'!K:K,FALSE)</f>
        <v>049081160555</v>
      </c>
      <c r="R45" s="351" t="str">
        <f>_xlfn.XLOOKUP(E45,'All Products'!D:D,'All Products'!L:L,FALSE)</f>
        <v>-</v>
      </c>
      <c r="S45" s="351" t="str">
        <f>_xlfn.XLOOKUP(E45,'All Products'!D:D,'All Products'!M:M,FALSE)</f>
        <v>40049081160553</v>
      </c>
      <c r="T45" s="348">
        <f>_xlfn.XLOOKUP(E45,'All Products'!D:D,'All Products'!N:N,FALSE)</f>
        <v>6.2460000000000004</v>
      </c>
      <c r="U45" s="348" t="str">
        <f>_xlfn.XLOOKUP(F45,'All Products'!E:E,'All Products'!O:O,FALSE)</f>
        <v>-</v>
      </c>
      <c r="V45" s="348">
        <f>_xlfn.XLOOKUP(E45,'All Products'!D:D,'All Products'!P:P,FALSE)</f>
        <v>8.4499999999999993</v>
      </c>
      <c r="W45" s="348">
        <f>_xlfn.XLOOKUP(E45,'All Products'!D:D,'All Products'!Q:Q,FALSE)</f>
        <v>0.8</v>
      </c>
    </row>
    <row r="46" spans="1:23" ht="15">
      <c r="A46" s="104" t="str">
        <f>IF(K46&gt;0,COUNT($A$7:A45)+COUNT('DWV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6" s="579"/>
      <c r="C46" s="580"/>
      <c r="D46" s="562" t="str">
        <f>_xlfn.XLOOKUP(E46,'All Products'!D:D,'All Products'!C:C,FALSE)</f>
        <v>856-060</v>
      </c>
      <c r="E46" s="106">
        <v>100028068</v>
      </c>
      <c r="F46" s="563" t="str">
        <f>_xlfn.XLOOKUP(E46,'All Products'!D:D,'All Products'!E:E,FALSE)</f>
        <v>6 VANSTONE FLANGE SPG GASKET TYPE</v>
      </c>
      <c r="G46" s="283">
        <f>_xlfn.XLOOKUP(E46,'All Products'!D:D,'All Products'!F:F,FALSE)</f>
        <v>2</v>
      </c>
      <c r="H46" s="234">
        <f>_xlfn.XLOOKUP(E46,'All Products'!D:D,'All Products'!G:G,FALSE)</f>
        <v>150</v>
      </c>
      <c r="I46" s="561">
        <f>_xlfn.XLOOKUP(E46,'All Products'!D:D,'All Products'!H:H,FALSE)</f>
        <v>256.57</v>
      </c>
      <c r="J46" s="135">
        <f>ROUND(I46*Order_Quote!$L$9,2)</f>
        <v>1282.8499999999999</v>
      </c>
      <c r="K46" s="78"/>
      <c r="L46" s="116"/>
      <c r="M46" s="199">
        <f t="shared" ref="M46:M48" si="1">K46/G46</f>
        <v>0</v>
      </c>
      <c r="N46" s="275"/>
      <c r="O46" s="348" t="str">
        <f>_xlfn.XLOOKUP(E46,'All Products'!D:D,'All Products'!I:I,FALSE)</f>
        <v>In Stock</v>
      </c>
      <c r="P46" s="348" t="str">
        <f>_xlfn.XLOOKUP(E46,'All Products'!D:D,'All Products'!J:J,FALSE)</f>
        <v>Manufactured</v>
      </c>
      <c r="Q46" s="351" t="str">
        <f>_xlfn.XLOOKUP(E46,'All Products'!D:D,'All Products'!K:K,FALSE)</f>
        <v>049081165369</v>
      </c>
      <c r="R46" s="351" t="str">
        <f>_xlfn.XLOOKUP(E46,'All Products'!D:D,'All Products'!L:L,FALSE)</f>
        <v>-</v>
      </c>
      <c r="S46" s="351" t="str">
        <f>_xlfn.XLOOKUP(E46,'All Products'!D:D,'All Products'!M:M,FALSE)</f>
        <v>40049081165367</v>
      </c>
      <c r="T46" s="348">
        <f>_xlfn.XLOOKUP(E46,'All Products'!D:D,'All Products'!N:N,FALSE)</f>
        <v>4.74</v>
      </c>
      <c r="U46" s="348" t="str">
        <f>_xlfn.XLOOKUP(F46,'All Products'!E:E,'All Products'!O:O,FALSE)</f>
        <v>-</v>
      </c>
      <c r="V46" s="348">
        <f>_xlfn.XLOOKUP(E46,'All Products'!D:D,'All Products'!P:P,FALSE)</f>
        <v>9.85</v>
      </c>
      <c r="W46" s="348">
        <f>_xlfn.XLOOKUP(E46,'All Products'!D:D,'All Products'!Q:Q,FALSE)</f>
        <v>0.95</v>
      </c>
    </row>
    <row r="47" spans="1:23" ht="15">
      <c r="A47" s="104" t="str">
        <f>IF(K47&gt;0,COUNT($A$7:A46)+COUNT('DWV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7" s="579"/>
      <c r="C47" s="580"/>
      <c r="D47" s="562" t="str">
        <f>_xlfn.XLOOKUP(E47,'All Products'!D:D,'All Products'!C:C,FALSE)</f>
        <v>856-060-1</v>
      </c>
      <c r="E47" s="106">
        <v>100028069</v>
      </c>
      <c r="F47" s="563" t="str">
        <f>_xlfn.XLOOKUP(E47,'All Products'!D:D,'All Products'!E:E,FALSE)</f>
        <v>6 VANSTONE FLANGE SPG O-RING TYPE</v>
      </c>
      <c r="G47" s="283">
        <f>_xlfn.XLOOKUP(E47,'All Products'!D:D,'All Products'!F:F,FALSE)</f>
        <v>2</v>
      </c>
      <c r="H47" s="234">
        <f>_xlfn.XLOOKUP(E47,'All Products'!D:D,'All Products'!G:G,FALSE)</f>
        <v>150</v>
      </c>
      <c r="I47" s="561">
        <f>_xlfn.XLOOKUP(E47,'All Products'!D:D,'All Products'!H:H,FALSE)</f>
        <v>256.57</v>
      </c>
      <c r="J47" s="135">
        <f>ROUND(I47*Order_Quote!$L$9,2)</f>
        <v>1282.8499999999999</v>
      </c>
      <c r="K47" s="78"/>
      <c r="L47" s="116"/>
      <c r="M47" s="199">
        <f t="shared" si="1"/>
        <v>0</v>
      </c>
      <c r="N47" s="275"/>
      <c r="O47" s="348" t="str">
        <f>_xlfn.XLOOKUP(E47,'All Products'!D:D,'All Products'!I:I,FALSE)</f>
        <v>Within 3 Weeks</v>
      </c>
      <c r="P47" s="348" t="str">
        <f>_xlfn.XLOOKUP(E47,'All Products'!D:D,'All Products'!J:J,FALSE)</f>
        <v>Manufactured</v>
      </c>
      <c r="Q47" s="351" t="str">
        <f>_xlfn.XLOOKUP(E47,'All Products'!D:D,'All Products'!K:K,FALSE)</f>
        <v>049081160562</v>
      </c>
      <c r="R47" s="351" t="str">
        <f>_xlfn.XLOOKUP(E47,'All Products'!D:D,'All Products'!L:L,FALSE)</f>
        <v>-</v>
      </c>
      <c r="S47" s="351" t="str">
        <f>_xlfn.XLOOKUP(E47,'All Products'!D:D,'All Products'!M:M,FALSE)</f>
        <v>40049081160560</v>
      </c>
      <c r="T47" s="348">
        <f>_xlfn.XLOOKUP(E47,'All Products'!D:D,'All Products'!N:N,FALSE)</f>
        <v>4.7110000000000003</v>
      </c>
      <c r="U47" s="348" t="str">
        <f>_xlfn.XLOOKUP(F47,'All Products'!E:E,'All Products'!O:O,FALSE)</f>
        <v>-</v>
      </c>
      <c r="V47" s="348">
        <f>_xlfn.XLOOKUP(E47,'All Products'!D:D,'All Products'!P:P,FALSE)</f>
        <v>9.92</v>
      </c>
      <c r="W47" s="348">
        <f>_xlfn.XLOOKUP(E47,'All Products'!D:D,'All Products'!Q:Q,FALSE)</f>
        <v>0.95</v>
      </c>
    </row>
    <row r="48" spans="1:23" ht="15">
      <c r="A48" s="104" t="str">
        <f>IF(K48&gt;0,COUNT($A$7:A47)+COUNT('DWV PVC'!$A$8:$A$284)
+COUNT('DWV ABS'!$A$8:$A$116)
+COUNT('PVC SCH40'!$A$8:$A$375)
+COUNT('PVC SCH40 LD'!$A$8:$A$21)
+COUNT('Pool &amp; SPA Sweep Elbows'!$A$8:$A$11)
+COUNT('Pool &amp; SPA Pipe Extender'!$A$8:$A$10)
+COUNT('PVC SCH80'!$A$8:$A$249)+1,"")</f>
        <v/>
      </c>
      <c r="B48" s="581"/>
      <c r="C48" s="582"/>
      <c r="D48" s="562" t="str">
        <f>_xlfn.XLOOKUP(E48,'All Products'!D:D,'All Products'!C:C,FALSE)</f>
        <v>856-080-1</v>
      </c>
      <c r="E48" s="106">
        <v>100028072</v>
      </c>
      <c r="F48" s="563" t="str">
        <f>_xlfn.XLOOKUP(E48,'All Products'!D:D,'All Products'!E:E,FALSE)</f>
        <v>8 VANSTONE FLANGE SPG O-RING TYPE</v>
      </c>
      <c r="G48" s="283">
        <f>_xlfn.XLOOKUP(E48,'All Products'!D:D,'All Products'!F:F,FALSE)</f>
        <v>1</v>
      </c>
      <c r="H48" s="234">
        <f>_xlfn.XLOOKUP(E48,'All Products'!D:D,'All Products'!G:G,FALSE)</f>
        <v>75</v>
      </c>
      <c r="I48" s="561">
        <f>_xlfn.XLOOKUP(E48,'All Products'!D:D,'All Products'!H:H,FALSE)</f>
        <v>417.68</v>
      </c>
      <c r="J48" s="135">
        <f>ROUND(I48*Order_Quote!$L$9,2)</f>
        <v>2088.4</v>
      </c>
      <c r="K48" s="78"/>
      <c r="L48" s="116"/>
      <c r="M48" s="199">
        <f t="shared" si="1"/>
        <v>0</v>
      </c>
      <c r="N48" s="275"/>
      <c r="O48" s="348" t="str">
        <f>_xlfn.XLOOKUP(E48,'All Products'!D:D,'All Products'!I:I,FALSE)</f>
        <v>Within 3 Weeks</v>
      </c>
      <c r="P48" s="348" t="str">
        <f>_xlfn.XLOOKUP(E48,'All Products'!D:D,'All Products'!J:J,FALSE)</f>
        <v>Manufactured</v>
      </c>
      <c r="Q48" s="351" t="str">
        <f>_xlfn.XLOOKUP(E48,'All Products'!D:D,'All Products'!K:K,FALSE)</f>
        <v>049081160579</v>
      </c>
      <c r="R48" s="351" t="str">
        <f>_xlfn.XLOOKUP(E48,'All Products'!D:D,'All Products'!L:L,FALSE)</f>
        <v>-</v>
      </c>
      <c r="S48" s="351" t="str">
        <f>_xlfn.XLOOKUP(E48,'All Products'!D:D,'All Products'!M:M,FALSE)</f>
        <v>40049081160577</v>
      </c>
      <c r="T48" s="348">
        <f>_xlfn.XLOOKUP(E48,'All Products'!D:D,'All Products'!N:N,FALSE)</f>
        <v>14.032999999999999</v>
      </c>
      <c r="U48" s="348" t="str">
        <f>_xlfn.XLOOKUP(F48,'All Products'!E:E,'All Products'!O:O,FALSE)</f>
        <v>-</v>
      </c>
      <c r="V48" s="348">
        <f>_xlfn.XLOOKUP(E48,'All Products'!D:D,'All Products'!P:P,FALSE)</f>
        <v>9.94</v>
      </c>
      <c r="W48" s="348">
        <f>_xlfn.XLOOKUP(E48,'All Products'!D:D,'All Products'!Q:Q,FALSE)</f>
        <v>1.1000000000000001</v>
      </c>
    </row>
    <row r="49" spans="1:23" ht="15">
      <c r="A49" s="104">
        <f>MAX(A8:A48)+1</f>
        <v>1</v>
      </c>
    </row>
    <row r="50" spans="1:23" ht="15"/>
    <row r="51" spans="1:23" ht="15"/>
    <row r="52" spans="1:23" ht="15"/>
    <row r="53" spans="1:23" ht="15"/>
    <row r="54" spans="1:23" ht="15"/>
    <row r="55" spans="1:23" ht="15"/>
    <row r="56" spans="1:23" ht="15"/>
    <row r="57" spans="1:23" ht="15"/>
    <row r="58" spans="1:23" ht="15"/>
    <row r="59" spans="1:23" ht="15"/>
    <row r="60" spans="1:23" ht="15"/>
    <row r="61" spans="1:23" ht="15"/>
    <row r="62" spans="1:23" ht="15"/>
    <row r="63" spans="1:23" s="104" customFormat="1" ht="15">
      <c r="B63" s="17"/>
      <c r="C63" s="17"/>
      <c r="D63" s="20"/>
      <c r="E63" s="20"/>
      <c r="F63" s="217"/>
      <c r="G63" s="536"/>
      <c r="H63" s="538"/>
      <c r="I63" s="560"/>
      <c r="J63" s="25"/>
      <c r="K63" s="20"/>
      <c r="L63" s="20"/>
      <c r="M63" s="20"/>
      <c r="N63" s="17"/>
      <c r="O63" s="20"/>
      <c r="P63" s="20"/>
      <c r="Q63" s="536"/>
      <c r="R63" s="20"/>
      <c r="S63" s="536"/>
      <c r="T63" s="485"/>
      <c r="U63" s="17"/>
      <c r="V63" s="485"/>
      <c r="W63" s="485"/>
    </row>
    <row r="64" spans="1:23" s="104" customFormat="1" ht="15">
      <c r="B64" s="17"/>
      <c r="C64" s="17"/>
      <c r="D64" s="20"/>
      <c r="E64" s="20"/>
      <c r="F64" s="217"/>
      <c r="G64" s="536"/>
      <c r="H64" s="538"/>
      <c r="I64" s="560"/>
      <c r="J64" s="25"/>
      <c r="K64" s="20"/>
      <c r="L64" s="20"/>
      <c r="M64" s="20"/>
      <c r="N64" s="17"/>
      <c r="O64" s="20"/>
      <c r="P64" s="20"/>
      <c r="Q64" s="536"/>
      <c r="R64" s="20"/>
      <c r="S64" s="536"/>
      <c r="T64" s="485"/>
      <c r="U64" s="17"/>
      <c r="V64" s="485"/>
      <c r="W64" s="485"/>
    </row>
    <row r="65" spans="2:23" s="104" customFormat="1" ht="15">
      <c r="B65" s="17"/>
      <c r="C65" s="17"/>
      <c r="D65" s="20"/>
      <c r="E65" s="20"/>
      <c r="F65" s="217"/>
      <c r="G65" s="536"/>
      <c r="H65" s="538"/>
      <c r="I65" s="560"/>
      <c r="J65" s="25"/>
      <c r="K65" s="20"/>
      <c r="L65" s="20"/>
      <c r="M65" s="20"/>
      <c r="N65" s="17"/>
      <c r="O65" s="20"/>
      <c r="P65" s="20"/>
      <c r="Q65" s="536"/>
      <c r="R65" s="20"/>
      <c r="S65" s="536"/>
      <c r="T65" s="485"/>
      <c r="U65" s="17"/>
      <c r="V65" s="485"/>
      <c r="W65" s="485"/>
    </row>
    <row r="66" spans="2:23" s="104" customFormat="1" ht="15">
      <c r="B66" s="17"/>
      <c r="C66" s="17"/>
      <c r="D66" s="20"/>
      <c r="E66" s="20"/>
      <c r="F66" s="217"/>
      <c r="G66" s="536"/>
      <c r="H66" s="538"/>
      <c r="I66" s="560"/>
      <c r="J66" s="25"/>
      <c r="K66" s="20"/>
      <c r="L66" s="20"/>
      <c r="M66" s="20"/>
      <c r="N66" s="17"/>
      <c r="O66" s="20"/>
      <c r="P66" s="20"/>
      <c r="Q66" s="536"/>
      <c r="R66" s="20"/>
      <c r="S66" s="536"/>
      <c r="T66" s="485"/>
      <c r="U66" s="17"/>
      <c r="V66" s="485"/>
      <c r="W66" s="485"/>
    </row>
    <row r="67" spans="2:23" s="104" customFormat="1" ht="15">
      <c r="B67" s="17"/>
      <c r="C67" s="17"/>
      <c r="D67" s="20"/>
      <c r="E67" s="20"/>
      <c r="F67" s="217"/>
      <c r="G67" s="536"/>
      <c r="H67" s="538"/>
      <c r="I67" s="560"/>
      <c r="J67" s="25"/>
      <c r="K67" s="20"/>
      <c r="L67" s="20"/>
      <c r="M67" s="20"/>
      <c r="N67" s="17"/>
      <c r="O67" s="20"/>
      <c r="P67" s="20"/>
      <c r="Q67" s="536"/>
      <c r="R67" s="20"/>
      <c r="S67" s="536"/>
      <c r="T67" s="485"/>
      <c r="U67" s="17"/>
      <c r="V67" s="485"/>
      <c r="W67" s="485"/>
    </row>
    <row r="68" spans="2:23" s="104" customFormat="1" ht="15">
      <c r="B68" s="17"/>
      <c r="C68" s="17"/>
      <c r="D68" s="20"/>
      <c r="E68" s="20"/>
      <c r="F68" s="217"/>
      <c r="G68" s="536"/>
      <c r="H68" s="538"/>
      <c r="I68" s="560"/>
      <c r="J68" s="25"/>
      <c r="K68" s="20"/>
      <c r="L68" s="20"/>
      <c r="M68" s="20"/>
      <c r="N68" s="17"/>
      <c r="O68" s="20"/>
      <c r="P68" s="20"/>
      <c r="Q68" s="536"/>
      <c r="R68" s="20"/>
      <c r="S68" s="536"/>
      <c r="T68" s="485"/>
      <c r="U68" s="17"/>
      <c r="V68" s="485"/>
      <c r="W68" s="485"/>
    </row>
    <row r="69" spans="2:23" s="104" customFormat="1" ht="15">
      <c r="B69" s="17"/>
      <c r="C69" s="17"/>
      <c r="D69" s="20"/>
      <c r="E69" s="20"/>
      <c r="F69" s="217"/>
      <c r="G69" s="536"/>
      <c r="H69" s="538"/>
      <c r="I69" s="560"/>
      <c r="J69" s="25"/>
      <c r="K69" s="20"/>
      <c r="L69" s="20"/>
      <c r="M69" s="20"/>
      <c r="N69" s="17"/>
      <c r="O69" s="20"/>
      <c r="P69" s="20"/>
      <c r="Q69" s="536"/>
      <c r="R69" s="20"/>
      <c r="S69" s="536"/>
      <c r="T69" s="485"/>
      <c r="U69" s="17"/>
      <c r="V69" s="485"/>
      <c r="W69" s="485"/>
    </row>
    <row r="70" spans="2:23" s="104" customFormat="1" ht="15">
      <c r="B70" s="17"/>
      <c r="C70" s="17"/>
      <c r="D70" s="20"/>
      <c r="E70" s="20"/>
      <c r="F70" s="217"/>
      <c r="G70" s="536"/>
      <c r="H70" s="538"/>
      <c r="I70" s="560"/>
      <c r="J70" s="25"/>
      <c r="K70" s="20"/>
      <c r="L70" s="20"/>
      <c r="M70" s="20"/>
      <c r="N70" s="17"/>
      <c r="O70" s="20"/>
      <c r="P70" s="20"/>
      <c r="Q70" s="536"/>
      <c r="R70" s="20"/>
      <c r="S70" s="536"/>
      <c r="T70" s="485"/>
      <c r="U70" s="17"/>
      <c r="V70" s="485"/>
      <c r="W70" s="485"/>
    </row>
    <row r="71" spans="2:23" s="104" customFormat="1" ht="15">
      <c r="B71" s="17"/>
      <c r="C71" s="17"/>
      <c r="D71" s="20"/>
      <c r="E71" s="20"/>
      <c r="F71" s="217"/>
      <c r="G71" s="536"/>
      <c r="H71" s="538"/>
      <c r="I71" s="560"/>
      <c r="J71" s="25"/>
      <c r="K71" s="20"/>
      <c r="L71" s="20"/>
      <c r="M71" s="20"/>
      <c r="N71" s="17"/>
      <c r="O71" s="20"/>
      <c r="P71" s="20"/>
      <c r="Q71" s="536"/>
      <c r="R71" s="20"/>
      <c r="S71" s="536"/>
      <c r="T71" s="485"/>
      <c r="U71" s="17"/>
      <c r="V71" s="485"/>
      <c r="W71" s="485"/>
    </row>
    <row r="72" spans="2:23" s="104" customFormat="1" ht="15">
      <c r="B72" s="17"/>
      <c r="C72" s="17"/>
      <c r="D72" s="20"/>
      <c r="E72" s="20"/>
      <c r="F72" s="217"/>
      <c r="G72" s="536"/>
      <c r="H72" s="538"/>
      <c r="I72" s="560"/>
      <c r="J72" s="25"/>
      <c r="K72" s="20"/>
      <c r="L72" s="20"/>
      <c r="M72" s="20"/>
      <c r="N72" s="17"/>
      <c r="O72" s="20"/>
      <c r="P72" s="20"/>
      <c r="Q72" s="536"/>
      <c r="R72" s="20"/>
      <c r="S72" s="536"/>
      <c r="T72" s="485"/>
      <c r="U72" s="17"/>
      <c r="V72" s="485"/>
      <c r="W72" s="485"/>
    </row>
    <row r="73" spans="2:23" s="104" customFormat="1" ht="15">
      <c r="B73" s="17"/>
      <c r="C73" s="17"/>
      <c r="D73" s="20"/>
      <c r="E73" s="20"/>
      <c r="F73" s="217"/>
      <c r="G73" s="536"/>
      <c r="H73" s="538"/>
      <c r="I73" s="560"/>
      <c r="J73" s="25"/>
      <c r="K73" s="20"/>
      <c r="L73" s="20"/>
      <c r="M73" s="20"/>
      <c r="N73" s="17"/>
      <c r="O73" s="20"/>
      <c r="P73" s="20"/>
      <c r="Q73" s="536"/>
      <c r="R73" s="20"/>
      <c r="S73" s="536"/>
      <c r="T73" s="485"/>
      <c r="U73" s="17"/>
      <c r="V73" s="485"/>
      <c r="W73" s="485"/>
    </row>
    <row r="74" spans="2:23" s="104" customFormat="1" ht="15">
      <c r="B74" s="17"/>
      <c r="C74" s="17"/>
      <c r="D74" s="20"/>
      <c r="E74" s="20"/>
      <c r="F74" s="217"/>
      <c r="G74" s="536"/>
      <c r="H74" s="538"/>
      <c r="I74" s="560"/>
      <c r="J74" s="25"/>
      <c r="K74" s="20"/>
      <c r="L74" s="20"/>
      <c r="M74" s="20"/>
      <c r="N74" s="17"/>
      <c r="O74" s="20"/>
      <c r="P74" s="20"/>
      <c r="Q74" s="536"/>
      <c r="R74" s="20"/>
      <c r="S74" s="536"/>
      <c r="T74" s="485"/>
      <c r="U74" s="17"/>
      <c r="V74" s="485"/>
      <c r="W74" s="485"/>
    </row>
    <row r="75" spans="2:23" s="104" customFormat="1" ht="15">
      <c r="B75" s="17"/>
      <c r="C75" s="17"/>
      <c r="D75" s="20"/>
      <c r="E75" s="20"/>
      <c r="F75" s="217"/>
      <c r="G75" s="536"/>
      <c r="H75" s="538"/>
      <c r="I75" s="560"/>
      <c r="J75" s="25"/>
      <c r="K75" s="20"/>
      <c r="L75" s="20"/>
      <c r="M75" s="20"/>
      <c r="N75" s="17"/>
      <c r="O75" s="20"/>
      <c r="P75" s="20"/>
      <c r="Q75" s="536"/>
      <c r="R75" s="20"/>
      <c r="S75" s="536"/>
      <c r="T75" s="485"/>
      <c r="U75" s="17"/>
      <c r="V75" s="485"/>
      <c r="W75" s="485"/>
    </row>
    <row r="76" spans="2:23" s="104" customFormat="1" ht="15">
      <c r="B76" s="17"/>
      <c r="C76" s="17"/>
      <c r="D76" s="20"/>
      <c r="E76" s="20"/>
      <c r="F76" s="217"/>
      <c r="G76" s="536"/>
      <c r="H76" s="538"/>
      <c r="I76" s="560"/>
      <c r="J76" s="25"/>
      <c r="K76" s="20"/>
      <c r="L76" s="20"/>
      <c r="M76" s="20"/>
      <c r="N76" s="17"/>
      <c r="O76" s="20"/>
      <c r="P76" s="20"/>
      <c r="Q76" s="536"/>
      <c r="R76" s="20"/>
      <c r="S76" s="536"/>
      <c r="T76" s="485"/>
      <c r="U76" s="17"/>
      <c r="V76" s="485"/>
      <c r="W76" s="485"/>
    </row>
    <row r="77" spans="2:23" s="104" customFormat="1" ht="15">
      <c r="B77" s="17"/>
      <c r="C77" s="17"/>
      <c r="D77" s="20"/>
      <c r="E77" s="20"/>
      <c r="F77" s="217"/>
      <c r="G77" s="536"/>
      <c r="H77" s="538"/>
      <c r="I77" s="560"/>
      <c r="J77" s="25"/>
      <c r="K77" s="20"/>
      <c r="L77" s="20"/>
      <c r="M77" s="20"/>
      <c r="N77" s="17"/>
      <c r="O77" s="20"/>
      <c r="P77" s="20"/>
      <c r="Q77" s="536"/>
      <c r="R77" s="20"/>
      <c r="S77" s="536"/>
      <c r="T77" s="485"/>
      <c r="U77" s="17"/>
      <c r="V77" s="485"/>
      <c r="W77" s="485"/>
    </row>
    <row r="78" spans="2:23" s="104" customFormat="1" ht="15">
      <c r="B78" s="17"/>
      <c r="C78" s="17"/>
      <c r="D78" s="20"/>
      <c r="E78" s="20"/>
      <c r="F78" s="217"/>
      <c r="G78" s="536"/>
      <c r="H78" s="538"/>
      <c r="I78" s="560"/>
      <c r="J78" s="25"/>
      <c r="K78" s="20"/>
      <c r="L78" s="20"/>
      <c r="M78" s="20"/>
      <c r="N78" s="17"/>
      <c r="O78" s="20"/>
      <c r="P78" s="20"/>
      <c r="Q78" s="536"/>
      <c r="R78" s="20"/>
      <c r="S78" s="536"/>
      <c r="T78" s="485"/>
      <c r="U78" s="17"/>
      <c r="V78" s="485"/>
      <c r="W78" s="485"/>
    </row>
    <row r="79" spans="2:23" s="104" customFormat="1" ht="15">
      <c r="B79" s="17"/>
      <c r="C79" s="17"/>
      <c r="D79" s="20"/>
      <c r="E79" s="20"/>
      <c r="F79" s="217"/>
      <c r="G79" s="536"/>
      <c r="H79" s="538"/>
      <c r="I79" s="560"/>
      <c r="J79" s="25"/>
      <c r="K79" s="20"/>
      <c r="L79" s="20"/>
      <c r="M79" s="20"/>
      <c r="N79" s="17"/>
      <c r="O79" s="20"/>
      <c r="P79" s="20"/>
      <c r="Q79" s="536"/>
      <c r="R79" s="20"/>
      <c r="S79" s="536"/>
      <c r="T79" s="485"/>
      <c r="U79" s="17"/>
      <c r="V79" s="485"/>
      <c r="W79" s="485"/>
    </row>
    <row r="80" spans="2:23" s="104" customFormat="1" ht="15">
      <c r="B80" s="17"/>
      <c r="C80" s="17"/>
      <c r="D80" s="20"/>
      <c r="E80" s="20"/>
      <c r="F80" s="217"/>
      <c r="G80" s="536"/>
      <c r="H80" s="538"/>
      <c r="I80" s="560"/>
      <c r="J80" s="25"/>
      <c r="K80" s="20"/>
      <c r="L80" s="20"/>
      <c r="M80" s="20"/>
      <c r="N80" s="17"/>
      <c r="O80" s="20"/>
      <c r="P80" s="20"/>
      <c r="Q80" s="536"/>
      <c r="R80" s="20"/>
      <c r="S80" s="536"/>
      <c r="T80" s="485"/>
      <c r="U80" s="17"/>
      <c r="V80" s="485"/>
      <c r="W80" s="485"/>
    </row>
    <row r="81" spans="2:23" s="104" customFormat="1" ht="15">
      <c r="B81" s="17"/>
      <c r="C81" s="17"/>
      <c r="D81" s="20"/>
      <c r="E81" s="20"/>
      <c r="F81" s="217"/>
      <c r="G81" s="536"/>
      <c r="H81" s="538"/>
      <c r="I81" s="560"/>
      <c r="J81" s="25"/>
      <c r="K81" s="20"/>
      <c r="L81" s="20"/>
      <c r="M81" s="20"/>
      <c r="N81" s="17"/>
      <c r="O81" s="20"/>
      <c r="P81" s="20"/>
      <c r="Q81" s="536"/>
      <c r="R81" s="20"/>
      <c r="S81" s="536"/>
      <c r="T81" s="485"/>
      <c r="U81" s="17"/>
      <c r="V81" s="485"/>
      <c r="W81" s="485"/>
    </row>
    <row r="82" spans="2:23" s="104" customFormat="1" ht="15">
      <c r="B82" s="17"/>
      <c r="C82" s="17"/>
      <c r="D82" s="20"/>
      <c r="E82" s="20"/>
      <c r="F82" s="217"/>
      <c r="G82" s="536"/>
      <c r="H82" s="538"/>
      <c r="I82" s="560"/>
      <c r="J82" s="25"/>
      <c r="K82" s="20"/>
      <c r="L82" s="20"/>
      <c r="M82" s="20"/>
      <c r="N82" s="17"/>
      <c r="O82" s="20"/>
      <c r="P82" s="20"/>
      <c r="Q82" s="536"/>
      <c r="R82" s="20"/>
      <c r="S82" s="536"/>
      <c r="T82" s="485"/>
      <c r="U82" s="17"/>
      <c r="V82" s="485"/>
      <c r="W82" s="485"/>
    </row>
    <row r="83" spans="2:23" s="104" customFormat="1" ht="15">
      <c r="B83" s="17"/>
      <c r="C83" s="17"/>
      <c r="D83" s="20"/>
      <c r="E83" s="20"/>
      <c r="F83" s="217"/>
      <c r="G83" s="536"/>
      <c r="H83" s="538"/>
      <c r="I83" s="560"/>
      <c r="J83" s="25"/>
      <c r="K83" s="20"/>
      <c r="L83" s="20"/>
      <c r="M83" s="20"/>
      <c r="N83" s="17"/>
      <c r="O83" s="20"/>
      <c r="P83" s="20"/>
      <c r="Q83" s="536"/>
      <c r="R83" s="20"/>
      <c r="S83" s="536"/>
      <c r="T83" s="485"/>
      <c r="U83" s="17"/>
      <c r="V83" s="485"/>
      <c r="W83" s="485"/>
    </row>
    <row r="84" spans="2:23" s="104" customFormat="1" ht="15">
      <c r="B84" s="17"/>
      <c r="C84" s="17"/>
      <c r="D84" s="20"/>
      <c r="E84" s="20"/>
      <c r="F84" s="217"/>
      <c r="G84" s="536"/>
      <c r="H84" s="538"/>
      <c r="I84" s="560"/>
      <c r="J84" s="25"/>
      <c r="K84" s="20"/>
      <c r="L84" s="20"/>
      <c r="M84" s="20"/>
      <c r="N84" s="17"/>
      <c r="O84" s="20"/>
      <c r="P84" s="20"/>
      <c r="Q84" s="536"/>
      <c r="R84" s="20"/>
      <c r="S84" s="536"/>
      <c r="T84" s="485"/>
      <c r="U84" s="17"/>
      <c r="V84" s="485"/>
      <c r="W84" s="485"/>
    </row>
    <row r="85" spans="2:23" s="104" customFormat="1" ht="15">
      <c r="B85" s="17"/>
      <c r="C85" s="17"/>
      <c r="D85" s="20"/>
      <c r="E85" s="20"/>
      <c r="F85" s="217"/>
      <c r="G85" s="536"/>
      <c r="H85" s="538"/>
      <c r="I85" s="560"/>
      <c r="J85" s="25"/>
      <c r="K85" s="20"/>
      <c r="L85" s="20"/>
      <c r="M85" s="20"/>
      <c r="N85" s="17"/>
      <c r="O85" s="20"/>
      <c r="P85" s="20"/>
      <c r="Q85" s="536"/>
      <c r="R85" s="20"/>
      <c r="S85" s="536"/>
      <c r="T85" s="485"/>
      <c r="U85" s="17"/>
      <c r="V85" s="485"/>
      <c r="W85" s="485"/>
    </row>
    <row r="86" spans="2:23" s="104" customFormat="1" ht="15">
      <c r="B86" s="17"/>
      <c r="C86" s="17"/>
      <c r="D86" s="20"/>
      <c r="E86" s="20"/>
      <c r="F86" s="217"/>
      <c r="G86" s="536"/>
      <c r="H86" s="538"/>
      <c r="I86" s="560"/>
      <c r="J86" s="25"/>
      <c r="K86" s="20"/>
      <c r="L86" s="20"/>
      <c r="M86" s="20"/>
      <c r="N86" s="17"/>
      <c r="O86" s="20"/>
      <c r="P86" s="20"/>
      <c r="Q86" s="536"/>
      <c r="R86" s="20"/>
      <c r="S86" s="536"/>
      <c r="T86" s="485"/>
      <c r="U86" s="17"/>
      <c r="V86" s="485"/>
      <c r="W86" s="485"/>
    </row>
    <row r="87" spans="2:23" s="104" customFormat="1" ht="15">
      <c r="B87" s="17"/>
      <c r="C87" s="17"/>
      <c r="D87" s="20"/>
      <c r="E87" s="20"/>
      <c r="F87" s="217"/>
      <c r="G87" s="536"/>
      <c r="H87" s="538"/>
      <c r="I87" s="560"/>
      <c r="J87" s="25"/>
      <c r="K87" s="20"/>
      <c r="L87" s="20"/>
      <c r="M87" s="20"/>
      <c r="N87" s="17"/>
      <c r="O87" s="20"/>
      <c r="P87" s="20"/>
      <c r="Q87" s="536"/>
      <c r="R87" s="20"/>
      <c r="S87" s="536"/>
      <c r="T87" s="485"/>
      <c r="U87" s="17"/>
      <c r="V87" s="485"/>
      <c r="W87" s="485"/>
    </row>
    <row r="88" spans="2:23" s="104" customFormat="1" ht="15">
      <c r="B88" s="17"/>
      <c r="C88" s="17"/>
      <c r="D88" s="20"/>
      <c r="E88" s="20"/>
      <c r="F88" s="217"/>
      <c r="G88" s="536"/>
      <c r="H88" s="538"/>
      <c r="I88" s="560"/>
      <c r="J88" s="25"/>
      <c r="K88" s="20"/>
      <c r="L88" s="20"/>
      <c r="M88" s="20"/>
      <c r="N88" s="17"/>
      <c r="O88" s="20"/>
      <c r="P88" s="20"/>
      <c r="Q88" s="536"/>
      <c r="R88" s="20"/>
      <c r="S88" s="536"/>
      <c r="T88" s="485"/>
      <c r="U88" s="17"/>
      <c r="V88" s="485"/>
      <c r="W88" s="485"/>
    </row>
    <row r="89" spans="2:23" s="104" customFormat="1" ht="15">
      <c r="B89" s="17"/>
      <c r="C89" s="17"/>
      <c r="D89" s="20"/>
      <c r="E89" s="20"/>
      <c r="F89" s="217"/>
      <c r="G89" s="536"/>
      <c r="H89" s="538"/>
      <c r="I89" s="560"/>
      <c r="J89" s="25"/>
      <c r="K89" s="20"/>
      <c r="L89" s="20"/>
      <c r="M89" s="20"/>
      <c r="N89" s="17"/>
      <c r="O89" s="20"/>
      <c r="P89" s="20"/>
      <c r="Q89" s="536"/>
      <c r="R89" s="20"/>
      <c r="S89" s="536"/>
      <c r="T89" s="485"/>
      <c r="U89" s="17"/>
      <c r="V89" s="485"/>
      <c r="W89" s="485"/>
    </row>
    <row r="90" spans="2:23" s="104" customFormat="1" ht="15">
      <c r="B90" s="17"/>
      <c r="C90" s="17"/>
      <c r="D90" s="20"/>
      <c r="E90" s="20"/>
      <c r="F90" s="217"/>
      <c r="G90" s="536"/>
      <c r="H90" s="538"/>
      <c r="I90" s="560"/>
      <c r="J90" s="25"/>
      <c r="K90" s="20"/>
      <c r="L90" s="20"/>
      <c r="M90" s="20"/>
      <c r="N90" s="17"/>
      <c r="O90" s="20"/>
      <c r="P90" s="20"/>
      <c r="Q90" s="536"/>
      <c r="R90" s="20"/>
      <c r="S90" s="536"/>
      <c r="T90" s="485"/>
      <c r="U90" s="17"/>
      <c r="V90" s="485"/>
      <c r="W90" s="485"/>
    </row>
    <row r="91" spans="2:23" s="104" customFormat="1" ht="15">
      <c r="B91" s="17"/>
      <c r="C91" s="17"/>
      <c r="D91" s="20"/>
      <c r="E91" s="20"/>
      <c r="F91" s="217"/>
      <c r="G91" s="536"/>
      <c r="H91" s="538"/>
      <c r="I91" s="560"/>
      <c r="J91" s="25"/>
      <c r="K91" s="20"/>
      <c r="L91" s="20"/>
      <c r="M91" s="20"/>
      <c r="N91" s="17"/>
      <c r="O91" s="20"/>
      <c r="P91" s="20"/>
      <c r="Q91" s="536"/>
      <c r="R91" s="20"/>
      <c r="S91" s="536"/>
      <c r="T91" s="485"/>
      <c r="U91" s="17"/>
      <c r="V91" s="485"/>
      <c r="W91" s="485"/>
    </row>
    <row r="92" spans="2:23" s="104" customFormat="1" ht="15">
      <c r="B92" s="17"/>
      <c r="C92" s="17"/>
      <c r="D92" s="20"/>
      <c r="E92" s="20"/>
      <c r="F92" s="217"/>
      <c r="G92" s="536"/>
      <c r="H92" s="538"/>
      <c r="I92" s="560"/>
      <c r="J92" s="25"/>
      <c r="K92" s="20"/>
      <c r="L92" s="20"/>
      <c r="M92" s="20"/>
      <c r="N92" s="17"/>
      <c r="O92" s="20"/>
      <c r="P92" s="20"/>
      <c r="Q92" s="536"/>
      <c r="R92" s="20"/>
      <c r="S92" s="536"/>
      <c r="T92" s="485"/>
      <c r="U92" s="17"/>
      <c r="V92" s="485"/>
      <c r="W92" s="485"/>
    </row>
    <row r="93" spans="2:23" s="104" customFormat="1" ht="15">
      <c r="B93" s="17"/>
      <c r="C93" s="17"/>
      <c r="D93" s="20"/>
      <c r="E93" s="20"/>
      <c r="F93" s="217"/>
      <c r="G93" s="536"/>
      <c r="H93" s="538"/>
      <c r="I93" s="560"/>
      <c r="J93" s="25"/>
      <c r="K93" s="20"/>
      <c r="L93" s="20"/>
      <c r="M93" s="20"/>
      <c r="N93" s="17"/>
      <c r="O93" s="20"/>
      <c r="P93" s="20"/>
      <c r="Q93" s="536"/>
      <c r="R93" s="20"/>
      <c r="S93" s="536"/>
      <c r="T93" s="485"/>
      <c r="U93" s="17"/>
      <c r="V93" s="485"/>
      <c r="W93" s="485"/>
    </row>
    <row r="94" spans="2:23" s="104" customFormat="1" ht="15">
      <c r="B94" s="17"/>
      <c r="C94" s="17"/>
      <c r="D94" s="20"/>
      <c r="E94" s="20"/>
      <c r="F94" s="217"/>
      <c r="G94" s="536"/>
      <c r="H94" s="538"/>
      <c r="I94" s="560"/>
      <c r="J94" s="25"/>
      <c r="K94" s="20"/>
      <c r="L94" s="20"/>
      <c r="M94" s="20"/>
      <c r="N94" s="17"/>
      <c r="O94" s="20"/>
      <c r="P94" s="20"/>
      <c r="Q94" s="536"/>
      <c r="R94" s="20"/>
      <c r="S94" s="536"/>
      <c r="T94" s="485"/>
      <c r="U94" s="17"/>
      <c r="V94" s="485"/>
      <c r="W94" s="485"/>
    </row>
    <row r="95" spans="2:23" s="104" customFormat="1" ht="15">
      <c r="B95" s="17"/>
      <c r="C95" s="17"/>
      <c r="D95" s="20"/>
      <c r="E95" s="20"/>
      <c r="F95" s="217"/>
      <c r="G95" s="536"/>
      <c r="H95" s="538"/>
      <c r="I95" s="560"/>
      <c r="J95" s="25"/>
      <c r="K95" s="20"/>
      <c r="L95" s="20"/>
      <c r="M95" s="20"/>
      <c r="N95" s="17"/>
      <c r="O95" s="20"/>
      <c r="P95" s="20"/>
      <c r="Q95" s="536"/>
      <c r="R95" s="20"/>
      <c r="S95" s="536"/>
      <c r="T95" s="485"/>
      <c r="U95" s="17"/>
      <c r="V95" s="485"/>
      <c r="W95" s="485"/>
    </row>
    <row r="96" spans="2:23" s="104" customFormat="1" ht="15">
      <c r="B96" s="17"/>
      <c r="C96" s="17"/>
      <c r="D96" s="20"/>
      <c r="E96" s="20"/>
      <c r="F96" s="217"/>
      <c r="G96" s="536"/>
      <c r="H96" s="538"/>
      <c r="I96" s="560"/>
      <c r="J96" s="25"/>
      <c r="K96" s="20"/>
      <c r="L96" s="20"/>
      <c r="M96" s="20"/>
      <c r="N96" s="17"/>
      <c r="O96" s="20"/>
      <c r="P96" s="20"/>
      <c r="Q96" s="536"/>
      <c r="R96" s="20"/>
      <c r="S96" s="536"/>
      <c r="T96" s="485"/>
      <c r="U96" s="17"/>
      <c r="V96" s="485"/>
      <c r="W96" s="485"/>
    </row>
    <row r="97" spans="2:23" s="104" customFormat="1" ht="15">
      <c r="B97" s="17"/>
      <c r="C97" s="17"/>
      <c r="D97" s="20"/>
      <c r="E97" s="20"/>
      <c r="F97" s="217"/>
      <c r="G97" s="536"/>
      <c r="H97" s="538"/>
      <c r="I97" s="560"/>
      <c r="J97" s="25"/>
      <c r="K97" s="20"/>
      <c r="L97" s="20"/>
      <c r="M97" s="20"/>
      <c r="N97" s="17"/>
      <c r="O97" s="20"/>
      <c r="P97" s="20"/>
      <c r="Q97" s="536"/>
      <c r="R97" s="20"/>
      <c r="S97" s="536"/>
      <c r="T97" s="485"/>
      <c r="U97" s="17"/>
      <c r="V97" s="485"/>
      <c r="W97" s="485"/>
    </row>
    <row r="98" spans="2:23" s="104" customFormat="1" ht="15">
      <c r="B98" s="17"/>
      <c r="C98" s="17"/>
      <c r="D98" s="20"/>
      <c r="E98" s="20"/>
      <c r="F98" s="217"/>
      <c r="G98" s="536"/>
      <c r="H98" s="538"/>
      <c r="I98" s="560"/>
      <c r="J98" s="25"/>
      <c r="K98" s="20"/>
      <c r="L98" s="20"/>
      <c r="M98" s="20"/>
      <c r="N98" s="17"/>
      <c r="O98" s="20"/>
      <c r="P98" s="20"/>
      <c r="Q98" s="536"/>
      <c r="R98" s="20"/>
      <c r="S98" s="536"/>
      <c r="T98" s="485"/>
      <c r="U98" s="17"/>
      <c r="V98" s="485"/>
      <c r="W98" s="485"/>
    </row>
    <row r="99" spans="2:23" s="104" customFormat="1" ht="15">
      <c r="B99" s="17"/>
      <c r="C99" s="17"/>
      <c r="D99" s="20"/>
      <c r="E99" s="20"/>
      <c r="F99" s="217"/>
      <c r="G99" s="536"/>
      <c r="H99" s="538"/>
      <c r="I99" s="560"/>
      <c r="J99" s="25"/>
      <c r="K99" s="20"/>
      <c r="L99" s="20"/>
      <c r="M99" s="20"/>
      <c r="N99" s="17"/>
      <c r="O99" s="20"/>
      <c r="P99" s="20"/>
      <c r="Q99" s="536"/>
      <c r="R99" s="20"/>
      <c r="S99" s="536"/>
      <c r="T99" s="485"/>
      <c r="U99" s="17"/>
      <c r="V99" s="485"/>
      <c r="W99" s="485"/>
    </row>
    <row r="100" spans="2:23" s="104" customFormat="1" ht="15">
      <c r="B100" s="17"/>
      <c r="C100" s="17"/>
      <c r="D100" s="20"/>
      <c r="E100" s="20"/>
      <c r="F100" s="217"/>
      <c r="G100" s="536"/>
      <c r="H100" s="538"/>
      <c r="I100" s="560"/>
      <c r="J100" s="25"/>
      <c r="K100" s="20"/>
      <c r="L100" s="20"/>
      <c r="M100" s="20"/>
      <c r="N100" s="17"/>
      <c r="O100" s="20"/>
      <c r="P100" s="20"/>
      <c r="Q100" s="536"/>
      <c r="R100" s="20"/>
      <c r="S100" s="536"/>
      <c r="T100" s="485"/>
      <c r="U100" s="17"/>
      <c r="V100" s="485"/>
      <c r="W100" s="485"/>
    </row>
    <row r="101" spans="2:23" s="104" customFormat="1" ht="15">
      <c r="B101" s="17"/>
      <c r="C101" s="17"/>
      <c r="D101" s="20"/>
      <c r="E101" s="20"/>
      <c r="F101" s="217"/>
      <c r="G101" s="536"/>
      <c r="H101" s="538"/>
      <c r="I101" s="560"/>
      <c r="J101" s="25"/>
      <c r="K101" s="20"/>
      <c r="L101" s="20"/>
      <c r="M101" s="20"/>
      <c r="N101" s="17"/>
      <c r="O101" s="20"/>
      <c r="P101" s="20"/>
      <c r="Q101" s="536"/>
      <c r="R101" s="20"/>
      <c r="S101" s="536"/>
      <c r="T101" s="485"/>
      <c r="U101" s="17"/>
      <c r="V101" s="485"/>
      <c r="W101" s="485"/>
    </row>
    <row r="102" spans="2:23" s="104" customFormat="1" ht="15">
      <c r="B102" s="17"/>
      <c r="C102" s="17"/>
      <c r="D102" s="20"/>
      <c r="E102" s="20"/>
      <c r="F102" s="217"/>
      <c r="G102" s="536"/>
      <c r="H102" s="538"/>
      <c r="I102" s="560"/>
      <c r="J102" s="25"/>
      <c r="K102" s="20"/>
      <c r="L102" s="20"/>
      <c r="M102" s="20"/>
      <c r="N102" s="17"/>
      <c r="O102" s="20"/>
      <c r="P102" s="20"/>
      <c r="Q102" s="536"/>
      <c r="R102" s="20"/>
      <c r="S102" s="536"/>
      <c r="T102" s="485"/>
      <c r="U102" s="17"/>
      <c r="V102" s="485"/>
      <c r="W102" s="485"/>
    </row>
    <row r="103" spans="2:23" s="104" customFormat="1" ht="15">
      <c r="B103" s="17"/>
      <c r="C103" s="17"/>
      <c r="D103" s="20"/>
      <c r="E103" s="20"/>
      <c r="F103" s="217"/>
      <c r="G103" s="536"/>
      <c r="H103" s="538"/>
      <c r="I103" s="560"/>
      <c r="J103" s="25"/>
      <c r="K103" s="20"/>
      <c r="L103" s="20"/>
      <c r="M103" s="20"/>
      <c r="N103" s="17"/>
      <c r="O103" s="20"/>
      <c r="P103" s="20"/>
      <c r="Q103" s="536"/>
      <c r="R103" s="20"/>
      <c r="S103" s="536"/>
      <c r="T103" s="485"/>
      <c r="U103" s="17"/>
      <c r="V103" s="485"/>
      <c r="W103" s="485"/>
    </row>
    <row r="104" spans="2:23" s="104" customFormat="1" ht="15">
      <c r="B104" s="17"/>
      <c r="C104" s="17"/>
      <c r="D104" s="20"/>
      <c r="E104" s="20"/>
      <c r="F104" s="217"/>
      <c r="G104" s="536"/>
      <c r="H104" s="538"/>
      <c r="I104" s="560"/>
      <c r="J104" s="25"/>
      <c r="K104" s="20"/>
      <c r="L104" s="20"/>
      <c r="M104" s="20"/>
      <c r="N104" s="17"/>
      <c r="O104" s="20"/>
      <c r="P104" s="20"/>
      <c r="Q104" s="536"/>
      <c r="R104" s="20"/>
      <c r="S104" s="536"/>
      <c r="T104" s="485"/>
      <c r="U104" s="17"/>
      <c r="V104" s="485"/>
      <c r="W104" s="485"/>
    </row>
    <row r="105" spans="2:23" s="104" customFormat="1" ht="15">
      <c r="B105" s="17"/>
      <c r="C105" s="17"/>
      <c r="D105" s="20"/>
      <c r="E105" s="20"/>
      <c r="F105" s="217"/>
      <c r="G105" s="536"/>
      <c r="H105" s="538"/>
      <c r="I105" s="560"/>
      <c r="J105" s="25"/>
      <c r="K105" s="20"/>
      <c r="L105" s="20"/>
      <c r="M105" s="20"/>
      <c r="N105" s="17"/>
      <c r="O105" s="20"/>
      <c r="P105" s="20"/>
      <c r="Q105" s="536"/>
      <c r="R105" s="20"/>
      <c r="S105" s="536"/>
      <c r="T105" s="485"/>
      <c r="U105" s="17"/>
      <c r="V105" s="485"/>
      <c r="W105" s="485"/>
    </row>
    <row r="106" spans="2:23" s="104" customFormat="1" ht="15">
      <c r="B106" s="17"/>
      <c r="C106" s="17"/>
      <c r="D106" s="20"/>
      <c r="E106" s="20"/>
      <c r="F106" s="217"/>
      <c r="G106" s="536"/>
      <c r="H106" s="538"/>
      <c r="I106" s="560"/>
      <c r="J106" s="25"/>
      <c r="K106" s="20"/>
      <c r="L106" s="20"/>
      <c r="M106" s="20"/>
      <c r="N106" s="17"/>
      <c r="O106" s="20"/>
      <c r="P106" s="20"/>
      <c r="Q106" s="536"/>
      <c r="R106" s="20"/>
      <c r="S106" s="536"/>
      <c r="T106" s="485"/>
      <c r="U106" s="17"/>
      <c r="V106" s="485"/>
      <c r="W106" s="485"/>
    </row>
    <row r="107" spans="2:23" s="104" customFormat="1" ht="15">
      <c r="B107" s="17"/>
      <c r="C107" s="17"/>
      <c r="D107" s="20"/>
      <c r="E107" s="20"/>
      <c r="F107" s="217"/>
      <c r="G107" s="536"/>
      <c r="H107" s="538"/>
      <c r="I107" s="560"/>
      <c r="J107" s="25"/>
      <c r="K107" s="20"/>
      <c r="L107" s="20"/>
      <c r="M107" s="20"/>
      <c r="N107" s="17"/>
      <c r="O107" s="20"/>
      <c r="P107" s="20"/>
      <c r="Q107" s="536"/>
      <c r="R107" s="20"/>
      <c r="S107" s="536"/>
      <c r="T107" s="485"/>
      <c r="U107" s="17"/>
      <c r="V107" s="485"/>
      <c r="W107" s="485"/>
    </row>
    <row r="108" spans="2:23" s="104" customFormat="1" ht="15">
      <c r="B108" s="17"/>
      <c r="C108" s="17"/>
      <c r="D108" s="20"/>
      <c r="E108" s="20"/>
      <c r="F108" s="217"/>
      <c r="G108" s="536"/>
      <c r="H108" s="538"/>
      <c r="I108" s="560"/>
      <c r="J108" s="25"/>
      <c r="K108" s="20"/>
      <c r="L108" s="20"/>
      <c r="M108" s="20"/>
      <c r="N108" s="17"/>
      <c r="O108" s="20"/>
      <c r="P108" s="20"/>
      <c r="Q108" s="536"/>
      <c r="R108" s="20"/>
      <c r="S108" s="536"/>
      <c r="T108" s="485"/>
      <c r="U108" s="17"/>
      <c r="V108" s="485"/>
      <c r="W108" s="485"/>
    </row>
    <row r="109" spans="2:23" s="104" customFormat="1" ht="15">
      <c r="B109" s="17"/>
      <c r="C109" s="17"/>
      <c r="D109" s="20"/>
      <c r="E109" s="20"/>
      <c r="F109" s="217"/>
      <c r="G109" s="536"/>
      <c r="H109" s="538"/>
      <c r="I109" s="560"/>
      <c r="J109" s="25"/>
      <c r="K109" s="20"/>
      <c r="L109" s="20"/>
      <c r="M109" s="20"/>
      <c r="N109" s="17"/>
      <c r="O109" s="20"/>
      <c r="P109" s="20"/>
      <c r="Q109" s="536"/>
      <c r="R109" s="20"/>
      <c r="S109" s="536"/>
      <c r="T109" s="485"/>
      <c r="U109" s="17"/>
      <c r="V109" s="485"/>
      <c r="W109" s="485"/>
    </row>
    <row r="110" spans="2:23" s="104" customFormat="1" ht="15">
      <c r="B110" s="17"/>
      <c r="C110" s="17"/>
      <c r="D110" s="20"/>
      <c r="E110" s="20"/>
      <c r="F110" s="217"/>
      <c r="G110" s="536"/>
      <c r="H110" s="538"/>
      <c r="I110" s="560"/>
      <c r="J110" s="25"/>
      <c r="K110" s="20"/>
      <c r="L110" s="20"/>
      <c r="M110" s="20"/>
      <c r="N110" s="17"/>
      <c r="O110" s="20"/>
      <c r="P110" s="20"/>
      <c r="Q110" s="536"/>
      <c r="R110" s="20"/>
      <c r="S110" s="536"/>
      <c r="T110" s="485"/>
      <c r="U110" s="17"/>
      <c r="V110" s="485"/>
      <c r="W110" s="485"/>
    </row>
    <row r="111" spans="2:23" s="104" customFormat="1" ht="15">
      <c r="B111" s="17"/>
      <c r="C111" s="17"/>
      <c r="D111" s="20"/>
      <c r="E111" s="20"/>
      <c r="F111" s="217"/>
      <c r="G111" s="536"/>
      <c r="H111" s="538"/>
      <c r="I111" s="560"/>
      <c r="J111" s="25"/>
      <c r="K111" s="20"/>
      <c r="L111" s="20"/>
      <c r="M111" s="20"/>
      <c r="N111" s="17"/>
      <c r="O111" s="20"/>
      <c r="P111" s="20"/>
      <c r="Q111" s="536"/>
      <c r="R111" s="20"/>
      <c r="S111" s="536"/>
      <c r="T111" s="485"/>
      <c r="U111" s="17"/>
      <c r="V111" s="485"/>
      <c r="W111" s="485"/>
    </row>
    <row r="112" spans="2:23" s="104" customFormat="1" ht="15">
      <c r="B112" s="17"/>
      <c r="C112" s="17"/>
      <c r="D112" s="20"/>
      <c r="E112" s="20"/>
      <c r="F112" s="217"/>
      <c r="G112" s="536"/>
      <c r="H112" s="538"/>
      <c r="I112" s="560"/>
      <c r="J112" s="25"/>
      <c r="K112" s="20"/>
      <c r="L112" s="20"/>
      <c r="M112" s="20"/>
      <c r="N112" s="17"/>
      <c r="O112" s="20"/>
      <c r="P112" s="20"/>
      <c r="Q112" s="536"/>
      <c r="R112" s="20"/>
      <c r="S112" s="536"/>
      <c r="T112" s="485"/>
      <c r="U112" s="17"/>
      <c r="V112" s="485"/>
      <c r="W112" s="485"/>
    </row>
    <row r="113" spans="2:23" s="104" customFormat="1" ht="15">
      <c r="B113" s="17"/>
      <c r="C113" s="17"/>
      <c r="D113" s="20"/>
      <c r="E113" s="20"/>
      <c r="F113" s="217"/>
      <c r="G113" s="536"/>
      <c r="H113" s="538"/>
      <c r="I113" s="560"/>
      <c r="J113" s="25"/>
      <c r="K113" s="20"/>
      <c r="L113" s="20"/>
      <c r="M113" s="20"/>
      <c r="N113" s="17"/>
      <c r="O113" s="20"/>
      <c r="P113" s="20"/>
      <c r="Q113" s="536"/>
      <c r="R113" s="20"/>
      <c r="S113" s="536"/>
      <c r="T113" s="485"/>
      <c r="U113" s="17"/>
      <c r="V113" s="485"/>
      <c r="W113" s="485"/>
    </row>
    <row r="114" spans="2:23" s="104" customFormat="1" ht="15">
      <c r="B114" s="17"/>
      <c r="C114" s="17"/>
      <c r="D114" s="20"/>
      <c r="E114" s="20"/>
      <c r="F114" s="217"/>
      <c r="G114" s="536"/>
      <c r="H114" s="538"/>
      <c r="I114" s="560"/>
      <c r="J114" s="25"/>
      <c r="K114" s="20"/>
      <c r="L114" s="20"/>
      <c r="M114" s="20"/>
      <c r="N114" s="17"/>
      <c r="O114" s="20"/>
      <c r="P114" s="20"/>
      <c r="Q114" s="536"/>
      <c r="R114" s="20"/>
      <c r="S114" s="536"/>
      <c r="T114" s="485"/>
      <c r="U114" s="17"/>
      <c r="V114" s="485"/>
      <c r="W114" s="485"/>
    </row>
    <row r="115" spans="2:23" s="104" customFormat="1" ht="15">
      <c r="B115" s="17"/>
      <c r="C115" s="17"/>
      <c r="D115" s="20"/>
      <c r="E115" s="20"/>
      <c r="F115" s="217"/>
      <c r="G115" s="536"/>
      <c r="H115" s="538"/>
      <c r="I115" s="560"/>
      <c r="J115" s="25"/>
      <c r="K115" s="20"/>
      <c r="L115" s="20"/>
      <c r="M115" s="20"/>
      <c r="N115" s="17"/>
      <c r="O115" s="20"/>
      <c r="P115" s="20"/>
      <c r="Q115" s="536"/>
      <c r="R115" s="20"/>
      <c r="S115" s="536"/>
      <c r="T115" s="485"/>
      <c r="U115" s="17"/>
      <c r="V115" s="485"/>
      <c r="W115" s="485"/>
    </row>
    <row r="116" spans="2:23" s="104" customFormat="1" ht="15">
      <c r="B116" s="17"/>
      <c r="C116" s="17"/>
      <c r="D116" s="20"/>
      <c r="E116" s="20"/>
      <c r="F116" s="217"/>
      <c r="G116" s="536"/>
      <c r="H116" s="538"/>
      <c r="I116" s="560"/>
      <c r="J116" s="25"/>
      <c r="K116" s="20"/>
      <c r="L116" s="20"/>
      <c r="M116" s="20"/>
      <c r="N116" s="17"/>
      <c r="O116" s="20"/>
      <c r="P116" s="20"/>
      <c r="Q116" s="536"/>
      <c r="R116" s="20"/>
      <c r="S116" s="536"/>
      <c r="T116" s="485"/>
      <c r="U116" s="17"/>
      <c r="V116" s="485"/>
      <c r="W116" s="485"/>
    </row>
    <row r="117" spans="2:23" s="104" customFormat="1" ht="15">
      <c r="B117" s="17"/>
      <c r="C117" s="17"/>
      <c r="D117" s="20"/>
      <c r="E117" s="20"/>
      <c r="F117" s="217"/>
      <c r="G117" s="536"/>
      <c r="H117" s="538"/>
      <c r="I117" s="560"/>
      <c r="J117" s="25"/>
      <c r="K117" s="20"/>
      <c r="L117" s="20"/>
      <c r="M117" s="20"/>
      <c r="N117" s="17"/>
      <c r="O117" s="20"/>
      <c r="P117" s="20"/>
      <c r="Q117" s="536"/>
      <c r="R117" s="20"/>
      <c r="S117" s="536"/>
      <c r="T117" s="485"/>
      <c r="U117" s="17"/>
      <c r="V117" s="485"/>
      <c r="W117" s="485"/>
    </row>
    <row r="118" spans="2:23" s="104" customFormat="1" ht="15">
      <c r="B118" s="17"/>
      <c r="C118" s="17"/>
      <c r="D118" s="20"/>
      <c r="E118" s="20"/>
      <c r="F118" s="217"/>
      <c r="G118" s="536"/>
      <c r="H118" s="538"/>
      <c r="I118" s="560"/>
      <c r="J118" s="25"/>
      <c r="K118" s="20"/>
      <c r="L118" s="20"/>
      <c r="M118" s="20"/>
      <c r="N118" s="17"/>
      <c r="O118" s="20"/>
      <c r="P118" s="20"/>
      <c r="Q118" s="536"/>
      <c r="R118" s="20"/>
      <c r="S118" s="536"/>
      <c r="T118" s="485"/>
      <c r="U118" s="17"/>
      <c r="V118" s="485"/>
      <c r="W118" s="485"/>
    </row>
    <row r="119" spans="2:23" s="104" customFormat="1" ht="15">
      <c r="B119" s="17"/>
      <c r="C119" s="17"/>
      <c r="D119" s="20"/>
      <c r="E119" s="20"/>
      <c r="F119" s="217"/>
      <c r="G119" s="536"/>
      <c r="H119" s="538"/>
      <c r="I119" s="560"/>
      <c r="J119" s="25"/>
      <c r="K119" s="20"/>
      <c r="L119" s="20"/>
      <c r="M119" s="20"/>
      <c r="N119" s="17"/>
      <c r="O119" s="20"/>
      <c r="P119" s="20"/>
      <c r="Q119" s="536"/>
      <c r="R119" s="20"/>
      <c r="S119" s="536"/>
      <c r="T119" s="485"/>
      <c r="U119" s="17"/>
      <c r="V119" s="485"/>
      <c r="W119" s="485"/>
    </row>
    <row r="120" spans="2:23" s="104" customFormat="1" ht="15">
      <c r="B120" s="17"/>
      <c r="C120" s="17"/>
      <c r="D120" s="20"/>
      <c r="E120" s="20"/>
      <c r="F120" s="217"/>
      <c r="G120" s="536"/>
      <c r="H120" s="538"/>
      <c r="I120" s="560"/>
      <c r="J120" s="25"/>
      <c r="K120" s="20"/>
      <c r="L120" s="20"/>
      <c r="M120" s="20"/>
      <c r="N120" s="17"/>
      <c r="O120" s="20"/>
      <c r="P120" s="20"/>
      <c r="Q120" s="536"/>
      <c r="R120" s="20"/>
      <c r="S120" s="536"/>
      <c r="T120" s="485"/>
      <c r="U120" s="17"/>
      <c r="V120" s="485"/>
      <c r="W120" s="485"/>
    </row>
    <row r="121" spans="2:23" s="104" customFormat="1" ht="15">
      <c r="B121" s="17"/>
      <c r="C121" s="17"/>
      <c r="D121" s="20"/>
      <c r="E121" s="20"/>
      <c r="F121" s="217"/>
      <c r="G121" s="536"/>
      <c r="H121" s="538"/>
      <c r="I121" s="560"/>
      <c r="J121" s="25"/>
      <c r="K121" s="20"/>
      <c r="L121" s="20"/>
      <c r="M121" s="20"/>
      <c r="N121" s="17"/>
      <c r="O121" s="20"/>
      <c r="P121" s="20"/>
      <c r="Q121" s="536"/>
      <c r="R121" s="20"/>
      <c r="S121" s="536"/>
      <c r="T121" s="485"/>
      <c r="U121" s="17"/>
      <c r="V121" s="485"/>
      <c r="W121" s="485"/>
    </row>
    <row r="122" spans="2:23" s="104" customFormat="1" ht="15">
      <c r="B122" s="17"/>
      <c r="C122" s="17"/>
      <c r="D122" s="20"/>
      <c r="E122" s="20"/>
      <c r="F122" s="217"/>
      <c r="G122" s="536"/>
      <c r="H122" s="538"/>
      <c r="I122" s="560"/>
      <c r="J122" s="25"/>
      <c r="K122" s="20"/>
      <c r="L122" s="20"/>
      <c r="M122" s="20"/>
      <c r="N122" s="17"/>
      <c r="O122" s="20"/>
      <c r="P122" s="20"/>
      <c r="Q122" s="536"/>
      <c r="R122" s="20"/>
      <c r="S122" s="536"/>
      <c r="T122" s="485"/>
      <c r="U122" s="17"/>
      <c r="V122" s="485"/>
      <c r="W122" s="485"/>
    </row>
    <row r="123" spans="2:23" s="104" customFormat="1" ht="15">
      <c r="B123" s="17"/>
      <c r="C123" s="17"/>
      <c r="D123" s="20"/>
      <c r="E123" s="20"/>
      <c r="F123" s="217"/>
      <c r="G123" s="536"/>
      <c r="H123" s="538"/>
      <c r="I123" s="560"/>
      <c r="J123" s="25"/>
      <c r="K123" s="20"/>
      <c r="L123" s="20"/>
      <c r="M123" s="20"/>
      <c r="N123" s="17"/>
      <c r="O123" s="20"/>
      <c r="P123" s="20"/>
      <c r="Q123" s="536"/>
      <c r="R123" s="20"/>
      <c r="S123" s="536"/>
      <c r="T123" s="485"/>
      <c r="U123" s="17"/>
      <c r="V123" s="485"/>
      <c r="W123" s="485"/>
    </row>
    <row r="124" spans="2:23" s="104" customFormat="1" ht="15">
      <c r="B124" s="17"/>
      <c r="C124" s="17"/>
      <c r="D124" s="20"/>
      <c r="E124" s="20"/>
      <c r="F124" s="217"/>
      <c r="G124" s="536"/>
      <c r="H124" s="538"/>
      <c r="I124" s="560"/>
      <c r="J124" s="25"/>
      <c r="K124" s="20"/>
      <c r="L124" s="20"/>
      <c r="M124" s="20"/>
      <c r="N124" s="17"/>
      <c r="O124" s="20"/>
      <c r="P124" s="20"/>
      <c r="Q124" s="536"/>
      <c r="R124" s="20"/>
      <c r="S124" s="536"/>
      <c r="T124" s="485"/>
      <c r="U124" s="17"/>
      <c r="V124" s="485"/>
      <c r="W124" s="485"/>
    </row>
    <row r="125" spans="2:23" s="104" customFormat="1" ht="15">
      <c r="B125" s="17"/>
      <c r="C125" s="17"/>
      <c r="D125" s="20"/>
      <c r="E125" s="20"/>
      <c r="F125" s="217"/>
      <c r="G125" s="536"/>
      <c r="H125" s="538"/>
      <c r="I125" s="560"/>
      <c r="J125" s="25"/>
      <c r="K125" s="20"/>
      <c r="L125" s="20"/>
      <c r="M125" s="20"/>
      <c r="N125" s="17"/>
      <c r="O125" s="20"/>
      <c r="P125" s="20"/>
      <c r="Q125" s="536"/>
      <c r="R125" s="20"/>
      <c r="S125" s="536"/>
      <c r="T125" s="485"/>
      <c r="U125" s="17"/>
      <c r="V125" s="485"/>
      <c r="W125" s="485"/>
    </row>
    <row r="126" spans="2:23" s="104" customFormat="1" ht="15">
      <c r="B126" s="17"/>
      <c r="C126" s="17"/>
      <c r="D126" s="20"/>
      <c r="E126" s="20"/>
      <c r="F126" s="217"/>
      <c r="G126" s="536"/>
      <c r="H126" s="538"/>
      <c r="I126" s="560"/>
      <c r="J126" s="25"/>
      <c r="K126" s="20"/>
      <c r="L126" s="20"/>
      <c r="M126" s="20"/>
      <c r="N126" s="17"/>
      <c r="O126" s="20"/>
      <c r="P126" s="20"/>
      <c r="Q126" s="536"/>
      <c r="R126" s="20"/>
      <c r="S126" s="536"/>
      <c r="T126" s="485"/>
      <c r="U126" s="17"/>
      <c r="V126" s="485"/>
      <c r="W126" s="485"/>
    </row>
    <row r="127" spans="2:23" s="104" customFormat="1" ht="15">
      <c r="B127" s="17"/>
      <c r="C127" s="17"/>
      <c r="D127" s="20"/>
      <c r="E127" s="20"/>
      <c r="F127" s="217"/>
      <c r="G127" s="536"/>
      <c r="H127" s="538"/>
      <c r="I127" s="560"/>
      <c r="J127" s="25"/>
      <c r="K127" s="20"/>
      <c r="L127" s="20"/>
      <c r="M127" s="20"/>
      <c r="N127" s="17"/>
      <c r="O127" s="20"/>
      <c r="P127" s="20"/>
      <c r="Q127" s="536"/>
      <c r="R127" s="20"/>
      <c r="S127" s="536"/>
      <c r="T127" s="485"/>
      <c r="U127" s="17"/>
      <c r="V127" s="485"/>
      <c r="W127" s="485"/>
    </row>
    <row r="128" spans="2:23" s="104" customFormat="1" ht="15">
      <c r="B128" s="17"/>
      <c r="C128" s="17"/>
      <c r="D128" s="20"/>
      <c r="E128" s="20"/>
      <c r="F128" s="217"/>
      <c r="G128" s="536"/>
      <c r="H128" s="538"/>
      <c r="I128" s="560"/>
      <c r="J128" s="25"/>
      <c r="K128" s="20"/>
      <c r="L128" s="20"/>
      <c r="M128" s="20"/>
      <c r="N128" s="17"/>
      <c r="O128" s="20"/>
      <c r="P128" s="20"/>
      <c r="Q128" s="536"/>
      <c r="R128" s="20"/>
      <c r="S128" s="536"/>
      <c r="T128" s="485"/>
      <c r="U128" s="17"/>
      <c r="V128" s="485"/>
      <c r="W128" s="485"/>
    </row>
    <row r="129" spans="2:23" s="104" customFormat="1" ht="15">
      <c r="B129" s="17"/>
      <c r="C129" s="17"/>
      <c r="D129" s="20"/>
      <c r="E129" s="20"/>
      <c r="F129" s="217"/>
      <c r="G129" s="536"/>
      <c r="H129" s="538"/>
      <c r="I129" s="560"/>
      <c r="J129" s="25"/>
      <c r="K129" s="20"/>
      <c r="L129" s="20"/>
      <c r="M129" s="20"/>
      <c r="N129" s="17"/>
      <c r="O129" s="20"/>
      <c r="P129" s="20"/>
      <c r="Q129" s="536"/>
      <c r="R129" s="20"/>
      <c r="S129" s="536"/>
      <c r="T129" s="485"/>
      <c r="U129" s="17"/>
      <c r="V129" s="485"/>
      <c r="W129" s="485"/>
    </row>
    <row r="130" spans="2:23" s="104" customFormat="1" ht="15">
      <c r="B130" s="17"/>
      <c r="C130" s="17"/>
      <c r="D130" s="20"/>
      <c r="E130" s="20"/>
      <c r="F130" s="217"/>
      <c r="G130" s="536"/>
      <c r="H130" s="538"/>
      <c r="I130" s="560"/>
      <c r="J130" s="25"/>
      <c r="K130" s="20"/>
      <c r="L130" s="20"/>
      <c r="M130" s="20"/>
      <c r="N130" s="17"/>
      <c r="O130" s="20"/>
      <c r="P130" s="20"/>
      <c r="Q130" s="536"/>
      <c r="R130" s="20"/>
      <c r="S130" s="536"/>
      <c r="T130" s="485"/>
      <c r="U130" s="17"/>
      <c r="V130" s="485"/>
      <c r="W130" s="485"/>
    </row>
    <row r="131" spans="2:23" s="104" customFormat="1" ht="15">
      <c r="B131" s="17"/>
      <c r="C131" s="17"/>
      <c r="D131" s="20"/>
      <c r="E131" s="20"/>
      <c r="F131" s="217"/>
      <c r="G131" s="536"/>
      <c r="H131" s="538"/>
      <c r="I131" s="560"/>
      <c r="J131" s="25"/>
      <c r="K131" s="20"/>
      <c r="L131" s="20"/>
      <c r="M131" s="20"/>
      <c r="N131" s="17"/>
      <c r="O131" s="20"/>
      <c r="P131" s="20"/>
      <c r="Q131" s="536"/>
      <c r="R131" s="20"/>
      <c r="S131" s="536"/>
      <c r="T131" s="485"/>
      <c r="U131" s="17"/>
      <c r="V131" s="485"/>
      <c r="W131" s="485"/>
    </row>
    <row r="132" spans="2:23" s="104" customFormat="1" ht="15">
      <c r="B132" s="17"/>
      <c r="C132" s="17"/>
      <c r="D132" s="20"/>
      <c r="E132" s="20"/>
      <c r="F132" s="217"/>
      <c r="G132" s="536"/>
      <c r="H132" s="538"/>
      <c r="I132" s="560"/>
      <c r="J132" s="25"/>
      <c r="K132" s="20"/>
      <c r="L132" s="20"/>
      <c r="M132" s="20"/>
      <c r="N132" s="17"/>
      <c r="O132" s="20"/>
      <c r="P132" s="20"/>
      <c r="Q132" s="536"/>
      <c r="R132" s="20"/>
      <c r="S132" s="536"/>
      <c r="T132" s="485"/>
      <c r="U132" s="17"/>
      <c r="V132" s="485"/>
      <c r="W132" s="485"/>
    </row>
    <row r="133" spans="2:23" s="104" customFormat="1" ht="15">
      <c r="B133" s="17"/>
      <c r="C133" s="17"/>
      <c r="D133" s="20"/>
      <c r="E133" s="20"/>
      <c r="F133" s="217"/>
      <c r="G133" s="536"/>
      <c r="H133" s="538"/>
      <c r="I133" s="560"/>
      <c r="J133" s="25"/>
      <c r="K133" s="20"/>
      <c r="L133" s="20"/>
      <c r="M133" s="20"/>
      <c r="N133" s="17"/>
      <c r="O133" s="20"/>
      <c r="P133" s="20"/>
      <c r="Q133" s="536"/>
      <c r="R133" s="20"/>
      <c r="S133" s="536"/>
      <c r="T133" s="485"/>
      <c r="U133" s="17"/>
      <c r="V133" s="485"/>
      <c r="W133" s="485"/>
    </row>
    <row r="134" spans="2:23" s="104" customFormat="1" ht="15">
      <c r="B134" s="17"/>
      <c r="C134" s="17"/>
      <c r="D134" s="20"/>
      <c r="E134" s="20"/>
      <c r="F134" s="217"/>
      <c r="G134" s="536"/>
      <c r="H134" s="538"/>
      <c r="I134" s="560"/>
      <c r="J134" s="25"/>
      <c r="K134" s="20"/>
      <c r="L134" s="20"/>
      <c r="M134" s="20"/>
      <c r="N134" s="17"/>
      <c r="O134" s="20"/>
      <c r="P134" s="20"/>
      <c r="Q134" s="536"/>
      <c r="R134" s="20"/>
      <c r="S134" s="536"/>
      <c r="T134" s="485"/>
      <c r="U134" s="17"/>
      <c r="V134" s="485"/>
      <c r="W134" s="485"/>
    </row>
    <row r="135" spans="2:23" s="104" customFormat="1" ht="15">
      <c r="B135" s="17"/>
      <c r="C135" s="17"/>
      <c r="D135" s="20"/>
      <c r="E135" s="20"/>
      <c r="F135" s="217"/>
      <c r="G135" s="536"/>
      <c r="H135" s="538"/>
      <c r="I135" s="560"/>
      <c r="J135" s="25"/>
      <c r="K135" s="20"/>
      <c r="L135" s="20"/>
      <c r="M135" s="20"/>
      <c r="N135" s="17"/>
      <c r="O135" s="20"/>
      <c r="P135" s="20"/>
      <c r="Q135" s="536"/>
      <c r="R135" s="20"/>
      <c r="S135" s="536"/>
      <c r="T135" s="485"/>
      <c r="U135" s="17"/>
      <c r="V135" s="485"/>
      <c r="W135" s="485"/>
    </row>
    <row r="136" spans="2:23" s="104" customFormat="1" ht="15">
      <c r="B136" s="17"/>
      <c r="C136" s="17"/>
      <c r="D136" s="20"/>
      <c r="E136" s="20"/>
      <c r="F136" s="217"/>
      <c r="G136" s="536"/>
      <c r="H136" s="538"/>
      <c r="I136" s="560"/>
      <c r="J136" s="25"/>
      <c r="K136" s="20"/>
      <c r="L136" s="20"/>
      <c r="M136" s="20"/>
      <c r="N136" s="17"/>
      <c r="O136" s="20"/>
      <c r="P136" s="20"/>
      <c r="Q136" s="536"/>
      <c r="R136" s="20"/>
      <c r="S136" s="536"/>
      <c r="T136" s="485"/>
      <c r="U136" s="17"/>
      <c r="V136" s="485"/>
      <c r="W136" s="485"/>
    </row>
    <row r="137" spans="2:23" s="104" customFormat="1" ht="15">
      <c r="B137" s="17"/>
      <c r="C137" s="17"/>
      <c r="D137" s="20"/>
      <c r="E137" s="20"/>
      <c r="F137" s="217"/>
      <c r="G137" s="536"/>
      <c r="H137" s="538"/>
      <c r="I137" s="560"/>
      <c r="J137" s="25"/>
      <c r="K137" s="20"/>
      <c r="L137" s="20"/>
      <c r="M137" s="20"/>
      <c r="N137" s="17"/>
      <c r="O137" s="20"/>
      <c r="P137" s="20"/>
      <c r="Q137" s="536"/>
      <c r="R137" s="20"/>
      <c r="S137" s="536"/>
      <c r="T137" s="485"/>
      <c r="U137" s="17"/>
      <c r="V137" s="485"/>
      <c r="W137" s="485"/>
    </row>
    <row r="138" spans="2:23" s="104" customFormat="1" ht="15">
      <c r="B138" s="17"/>
      <c r="C138" s="17"/>
      <c r="D138" s="20"/>
      <c r="E138" s="20"/>
      <c r="F138" s="217"/>
      <c r="G138" s="536"/>
      <c r="H138" s="538"/>
      <c r="I138" s="560"/>
      <c r="J138" s="25"/>
      <c r="K138" s="20"/>
      <c r="L138" s="20"/>
      <c r="M138" s="20"/>
      <c r="N138" s="17"/>
      <c r="O138" s="20"/>
      <c r="P138" s="20"/>
      <c r="Q138" s="536"/>
      <c r="R138" s="20"/>
      <c r="S138" s="536"/>
      <c r="T138" s="485"/>
      <c r="U138" s="17"/>
      <c r="V138" s="485"/>
      <c r="W138" s="485"/>
    </row>
    <row r="139" spans="2:23" s="104" customFormat="1" ht="15">
      <c r="B139" s="17"/>
      <c r="C139" s="17"/>
      <c r="D139" s="20"/>
      <c r="E139" s="20"/>
      <c r="F139" s="217"/>
      <c r="G139" s="536"/>
      <c r="H139" s="538"/>
      <c r="I139" s="560"/>
      <c r="J139" s="25"/>
      <c r="K139" s="20"/>
      <c r="L139" s="20"/>
      <c r="M139" s="20"/>
      <c r="N139" s="17"/>
      <c r="O139" s="20"/>
      <c r="P139" s="20"/>
      <c r="Q139" s="536"/>
      <c r="R139" s="20"/>
      <c r="S139" s="536"/>
      <c r="T139" s="485"/>
      <c r="U139" s="17"/>
      <c r="V139" s="485"/>
      <c r="W139" s="485"/>
    </row>
    <row r="140" spans="2:23" s="104" customFormat="1" ht="15">
      <c r="B140" s="17"/>
      <c r="C140" s="17"/>
      <c r="D140" s="20"/>
      <c r="E140" s="20"/>
      <c r="F140" s="217"/>
      <c r="G140" s="536"/>
      <c r="H140" s="538"/>
      <c r="I140" s="560"/>
      <c r="J140" s="25"/>
      <c r="K140" s="20"/>
      <c r="L140" s="20"/>
      <c r="M140" s="20"/>
      <c r="N140" s="17"/>
      <c r="O140" s="20"/>
      <c r="P140" s="20"/>
      <c r="Q140" s="536"/>
      <c r="R140" s="20"/>
      <c r="S140" s="536"/>
      <c r="T140" s="485"/>
      <c r="U140" s="17"/>
      <c r="V140" s="485"/>
      <c r="W140" s="485"/>
    </row>
    <row r="141" spans="2:23" s="104" customFormat="1" ht="15">
      <c r="B141" s="17"/>
      <c r="C141" s="17"/>
      <c r="D141" s="20"/>
      <c r="E141" s="20"/>
      <c r="F141" s="217"/>
      <c r="G141" s="536"/>
      <c r="H141" s="538"/>
      <c r="I141" s="560"/>
      <c r="J141" s="25"/>
      <c r="K141" s="20"/>
      <c r="L141" s="20"/>
      <c r="M141" s="20"/>
      <c r="N141" s="17"/>
      <c r="O141" s="20"/>
      <c r="P141" s="20"/>
      <c r="Q141" s="536"/>
      <c r="R141" s="20"/>
      <c r="S141" s="536"/>
      <c r="T141" s="485"/>
      <c r="U141" s="17"/>
      <c r="V141" s="485"/>
      <c r="W141" s="485"/>
    </row>
    <row r="142" spans="2:23" s="104" customFormat="1" ht="15">
      <c r="B142" s="17"/>
      <c r="C142" s="17"/>
      <c r="D142" s="20"/>
      <c r="E142" s="20"/>
      <c r="F142" s="217"/>
      <c r="G142" s="536"/>
      <c r="H142" s="538"/>
      <c r="I142" s="560"/>
      <c r="J142" s="25"/>
      <c r="K142" s="20"/>
      <c r="L142" s="20"/>
      <c r="M142" s="20"/>
      <c r="N142" s="17"/>
      <c r="O142" s="20"/>
      <c r="P142" s="20"/>
      <c r="Q142" s="536"/>
      <c r="R142" s="20"/>
      <c r="S142" s="536"/>
      <c r="T142" s="485"/>
      <c r="U142" s="17"/>
      <c r="V142" s="485"/>
      <c r="W142" s="485"/>
    </row>
    <row r="143" spans="2:23" s="104" customFormat="1" ht="15">
      <c r="B143" s="17"/>
      <c r="C143" s="17"/>
      <c r="D143" s="20"/>
      <c r="E143" s="20"/>
      <c r="F143" s="217"/>
      <c r="G143" s="536"/>
      <c r="H143" s="538"/>
      <c r="I143" s="560"/>
      <c r="J143" s="25"/>
      <c r="K143" s="20"/>
      <c r="L143" s="20"/>
      <c r="M143" s="20"/>
      <c r="N143" s="17"/>
      <c r="O143" s="20"/>
      <c r="P143" s="20"/>
      <c r="Q143" s="536"/>
      <c r="R143" s="20"/>
      <c r="S143" s="536"/>
      <c r="T143" s="485"/>
      <c r="U143" s="17"/>
      <c r="V143" s="485"/>
      <c r="W143" s="485"/>
    </row>
    <row r="144" spans="2:23" s="104" customFormat="1" ht="15">
      <c r="B144" s="17"/>
      <c r="C144" s="17"/>
      <c r="D144" s="20"/>
      <c r="E144" s="20"/>
      <c r="F144" s="217"/>
      <c r="G144" s="536"/>
      <c r="H144" s="538"/>
      <c r="I144" s="560"/>
      <c r="J144" s="25"/>
      <c r="K144" s="20"/>
      <c r="L144" s="20"/>
      <c r="M144" s="20"/>
      <c r="N144" s="17"/>
      <c r="O144" s="20"/>
      <c r="P144" s="20"/>
      <c r="Q144" s="536"/>
      <c r="R144" s="20"/>
      <c r="S144" s="536"/>
      <c r="T144" s="485"/>
      <c r="U144" s="17"/>
      <c r="V144" s="485"/>
      <c r="W144" s="485"/>
    </row>
    <row r="145" spans="2:23" s="104" customFormat="1" ht="15">
      <c r="B145" s="17"/>
      <c r="C145" s="17"/>
      <c r="D145" s="20"/>
      <c r="E145" s="20"/>
      <c r="F145" s="217"/>
      <c r="G145" s="536"/>
      <c r="H145" s="538"/>
      <c r="I145" s="560"/>
      <c r="J145" s="25"/>
      <c r="K145" s="20"/>
      <c r="L145" s="20"/>
      <c r="M145" s="20"/>
      <c r="N145" s="17"/>
      <c r="O145" s="20"/>
      <c r="P145" s="20"/>
      <c r="Q145" s="536"/>
      <c r="R145" s="20"/>
      <c r="S145" s="536"/>
      <c r="T145" s="485"/>
      <c r="U145" s="17"/>
      <c r="V145" s="485"/>
      <c r="W145" s="485"/>
    </row>
    <row r="146" spans="2:23" s="104" customFormat="1" ht="15">
      <c r="B146" s="17"/>
      <c r="C146" s="17"/>
      <c r="D146" s="20"/>
      <c r="E146" s="20"/>
      <c r="F146" s="217"/>
      <c r="G146" s="536"/>
      <c r="H146" s="538"/>
      <c r="I146" s="560"/>
      <c r="J146" s="25"/>
      <c r="K146" s="20"/>
      <c r="L146" s="20"/>
      <c r="M146" s="20"/>
      <c r="N146" s="17"/>
      <c r="O146" s="20"/>
      <c r="P146" s="20"/>
      <c r="Q146" s="536"/>
      <c r="R146" s="20"/>
      <c r="S146" s="536"/>
      <c r="T146" s="485"/>
      <c r="U146" s="17"/>
      <c r="V146" s="485"/>
      <c r="W146" s="485"/>
    </row>
    <row r="147" spans="2:23" s="104" customFormat="1" ht="15">
      <c r="B147" s="17"/>
      <c r="C147" s="17"/>
      <c r="D147" s="20"/>
      <c r="E147" s="20"/>
      <c r="F147" s="217"/>
      <c r="G147" s="536"/>
      <c r="H147" s="538"/>
      <c r="I147" s="560"/>
      <c r="J147" s="25"/>
      <c r="K147" s="20"/>
      <c r="L147" s="20"/>
      <c r="M147" s="20"/>
      <c r="N147" s="17"/>
      <c r="O147" s="20"/>
      <c r="P147" s="20"/>
      <c r="Q147" s="536"/>
      <c r="R147" s="20"/>
      <c r="S147" s="536"/>
      <c r="T147" s="485"/>
      <c r="U147" s="17"/>
      <c r="V147" s="485"/>
      <c r="W147" s="485"/>
    </row>
    <row r="148" spans="2:23" s="104" customFormat="1" ht="15">
      <c r="B148" s="17"/>
      <c r="C148" s="17"/>
      <c r="D148" s="20"/>
      <c r="E148" s="20"/>
      <c r="F148" s="217"/>
      <c r="G148" s="536"/>
      <c r="H148" s="538"/>
      <c r="I148" s="560"/>
      <c r="J148" s="25"/>
      <c r="K148" s="20"/>
      <c r="L148" s="20"/>
      <c r="M148" s="20"/>
      <c r="N148" s="17"/>
      <c r="O148" s="20"/>
      <c r="P148" s="20"/>
      <c r="Q148" s="536"/>
      <c r="R148" s="20"/>
      <c r="S148" s="536"/>
      <c r="T148" s="485"/>
      <c r="U148" s="17"/>
      <c r="V148" s="485"/>
      <c r="W148" s="485"/>
    </row>
    <row r="149" spans="2:23" s="104" customFormat="1" ht="15">
      <c r="B149" s="17"/>
      <c r="C149" s="17"/>
      <c r="D149" s="20"/>
      <c r="E149" s="20"/>
      <c r="F149" s="217"/>
      <c r="G149" s="536"/>
      <c r="H149" s="538"/>
      <c r="I149" s="560"/>
      <c r="J149" s="25"/>
      <c r="K149" s="20"/>
      <c r="L149" s="20"/>
      <c r="M149" s="20"/>
      <c r="N149" s="17"/>
      <c r="O149" s="20"/>
      <c r="P149" s="20"/>
      <c r="Q149" s="536"/>
      <c r="R149" s="20"/>
      <c r="S149" s="536"/>
      <c r="T149" s="485"/>
      <c r="U149" s="17"/>
      <c r="V149" s="485"/>
      <c r="W149" s="485"/>
    </row>
    <row r="150" spans="2:23" s="104" customFormat="1" ht="15">
      <c r="B150" s="17"/>
      <c r="C150" s="17"/>
      <c r="D150" s="20"/>
      <c r="E150" s="20"/>
      <c r="F150" s="217"/>
      <c r="G150" s="536"/>
      <c r="H150" s="538"/>
      <c r="I150" s="560"/>
      <c r="J150" s="25"/>
      <c r="K150" s="20"/>
      <c r="L150" s="20"/>
      <c r="M150" s="20"/>
      <c r="N150" s="17"/>
      <c r="O150" s="20"/>
      <c r="P150" s="20"/>
      <c r="Q150" s="536"/>
      <c r="R150" s="20"/>
      <c r="S150" s="536"/>
      <c r="T150" s="485"/>
      <c r="U150" s="17"/>
      <c r="V150" s="485"/>
      <c r="W150" s="485"/>
    </row>
    <row r="151" spans="2:23" s="104" customFormat="1" ht="15">
      <c r="B151" s="17"/>
      <c r="C151" s="17"/>
      <c r="D151" s="20"/>
      <c r="E151" s="20"/>
      <c r="F151" s="217"/>
      <c r="G151" s="536"/>
      <c r="H151" s="538"/>
      <c r="I151" s="560"/>
      <c r="J151" s="25"/>
      <c r="K151" s="20"/>
      <c r="L151" s="20"/>
      <c r="M151" s="20"/>
      <c r="N151" s="17"/>
      <c r="O151" s="20"/>
      <c r="P151" s="20"/>
      <c r="Q151" s="536"/>
      <c r="R151" s="20"/>
      <c r="S151" s="536"/>
      <c r="T151" s="485"/>
      <c r="U151" s="17"/>
      <c r="V151" s="485"/>
      <c r="W151" s="485"/>
    </row>
    <row r="152" spans="2:23" s="104" customFormat="1" ht="15">
      <c r="B152" s="17"/>
      <c r="C152" s="17"/>
      <c r="D152" s="20"/>
      <c r="E152" s="20"/>
      <c r="F152" s="217"/>
      <c r="G152" s="536"/>
      <c r="H152" s="538"/>
      <c r="I152" s="560"/>
      <c r="J152" s="25"/>
      <c r="K152" s="20"/>
      <c r="L152" s="20"/>
      <c r="M152" s="20"/>
      <c r="N152" s="17"/>
      <c r="O152" s="20"/>
      <c r="P152" s="20"/>
      <c r="Q152" s="536"/>
      <c r="R152" s="20"/>
      <c r="S152" s="536"/>
      <c r="T152" s="485"/>
      <c r="U152" s="17"/>
      <c r="V152" s="485"/>
      <c r="W152" s="485"/>
    </row>
    <row r="153" spans="2:23" s="104" customFormat="1" ht="15">
      <c r="B153" s="17"/>
      <c r="C153" s="17"/>
      <c r="D153" s="20"/>
      <c r="E153" s="20"/>
      <c r="F153" s="217"/>
      <c r="G153" s="536"/>
      <c r="H153" s="538"/>
      <c r="I153" s="560"/>
      <c r="J153" s="25"/>
      <c r="K153" s="20"/>
      <c r="L153" s="20"/>
      <c r="M153" s="20"/>
      <c r="N153" s="17"/>
      <c r="O153" s="20"/>
      <c r="P153" s="20"/>
      <c r="Q153" s="536"/>
      <c r="R153" s="20"/>
      <c r="S153" s="536"/>
      <c r="T153" s="485"/>
      <c r="U153" s="17"/>
      <c r="V153" s="485"/>
      <c r="W153" s="485"/>
    </row>
    <row r="154" spans="2:23" s="104" customFormat="1" ht="15">
      <c r="B154" s="17"/>
      <c r="C154" s="17"/>
      <c r="D154" s="20"/>
      <c r="E154" s="20"/>
      <c r="F154" s="217"/>
      <c r="G154" s="536"/>
      <c r="H154" s="538"/>
      <c r="I154" s="560"/>
      <c r="J154" s="25"/>
      <c r="K154" s="20"/>
      <c r="L154" s="20"/>
      <c r="M154" s="20"/>
      <c r="N154" s="17"/>
      <c r="O154" s="20"/>
      <c r="P154" s="20"/>
      <c r="Q154" s="536"/>
      <c r="R154" s="20"/>
      <c r="S154" s="536"/>
      <c r="T154" s="485"/>
      <c r="U154" s="17"/>
      <c r="V154" s="485"/>
      <c r="W154" s="485"/>
    </row>
    <row r="155" spans="2:23" s="104" customFormat="1" ht="15">
      <c r="B155" s="17"/>
      <c r="C155" s="17"/>
      <c r="D155" s="20"/>
      <c r="E155" s="20"/>
      <c r="F155" s="217"/>
      <c r="G155" s="536"/>
      <c r="H155" s="538"/>
      <c r="I155" s="560"/>
      <c r="J155" s="25"/>
      <c r="K155" s="20"/>
      <c r="L155" s="20"/>
      <c r="M155" s="20"/>
      <c r="N155" s="17"/>
      <c r="O155" s="20"/>
      <c r="P155" s="20"/>
      <c r="Q155" s="536"/>
      <c r="R155" s="20"/>
      <c r="S155" s="536"/>
      <c r="T155" s="485"/>
      <c r="U155" s="17"/>
      <c r="V155" s="485"/>
      <c r="W155" s="485"/>
    </row>
    <row r="156" spans="2:23" s="104" customFormat="1" ht="15">
      <c r="B156" s="17"/>
      <c r="C156" s="17"/>
      <c r="D156" s="20"/>
      <c r="E156" s="20"/>
      <c r="F156" s="217"/>
      <c r="G156" s="536"/>
      <c r="H156" s="538"/>
      <c r="I156" s="560"/>
      <c r="J156" s="25"/>
      <c r="K156" s="20"/>
      <c r="L156" s="20"/>
      <c r="M156" s="20"/>
      <c r="N156" s="17"/>
      <c r="O156" s="20"/>
      <c r="P156" s="20"/>
      <c r="Q156" s="536"/>
      <c r="R156" s="20"/>
      <c r="S156" s="536"/>
      <c r="T156" s="485"/>
      <c r="U156" s="17"/>
      <c r="V156" s="485"/>
      <c r="W156" s="485"/>
    </row>
    <row r="157" spans="2:23" s="104" customFormat="1" ht="15">
      <c r="B157" s="17"/>
      <c r="C157" s="17"/>
      <c r="D157" s="20"/>
      <c r="E157" s="20"/>
      <c r="F157" s="217"/>
      <c r="G157" s="536"/>
      <c r="H157" s="538"/>
      <c r="I157" s="560"/>
      <c r="J157" s="25"/>
      <c r="K157" s="20"/>
      <c r="L157" s="20"/>
      <c r="M157" s="20"/>
      <c r="N157" s="17"/>
      <c r="O157" s="20"/>
      <c r="P157" s="20"/>
      <c r="Q157" s="536"/>
      <c r="R157" s="20"/>
      <c r="S157" s="536"/>
      <c r="T157" s="485"/>
      <c r="U157" s="17"/>
      <c r="V157" s="485"/>
      <c r="W157" s="485"/>
    </row>
    <row r="158" spans="2:23" s="104" customFormat="1" ht="15">
      <c r="B158" s="17"/>
      <c r="C158" s="17"/>
      <c r="D158" s="20"/>
      <c r="E158" s="20"/>
      <c r="F158" s="217"/>
      <c r="G158" s="536"/>
      <c r="H158" s="538"/>
      <c r="I158" s="560"/>
      <c r="J158" s="25"/>
      <c r="K158" s="20"/>
      <c r="L158" s="20"/>
      <c r="M158" s="20"/>
      <c r="N158" s="17"/>
      <c r="O158" s="20"/>
      <c r="P158" s="20"/>
      <c r="Q158" s="536"/>
      <c r="R158" s="20"/>
      <c r="S158" s="536"/>
      <c r="T158" s="485"/>
      <c r="U158" s="17"/>
      <c r="V158" s="485"/>
      <c r="W158" s="485"/>
    </row>
    <row r="159" spans="2:23" s="104" customFormat="1" ht="15">
      <c r="B159" s="17"/>
      <c r="C159" s="17"/>
      <c r="D159" s="20"/>
      <c r="E159" s="20"/>
      <c r="F159" s="217"/>
      <c r="G159" s="536"/>
      <c r="H159" s="538"/>
      <c r="I159" s="560"/>
      <c r="J159" s="25"/>
      <c r="K159" s="20"/>
      <c r="L159" s="20"/>
      <c r="M159" s="20"/>
      <c r="N159" s="17"/>
      <c r="O159" s="20"/>
      <c r="P159" s="20"/>
      <c r="Q159" s="536"/>
      <c r="R159" s="20"/>
      <c r="S159" s="536"/>
      <c r="T159" s="485"/>
      <c r="U159" s="17"/>
      <c r="V159" s="485"/>
      <c r="W159" s="485"/>
    </row>
    <row r="160" spans="2:23" s="104" customFormat="1" ht="15">
      <c r="B160" s="17"/>
      <c r="C160" s="17"/>
      <c r="D160" s="20"/>
      <c r="E160" s="20"/>
      <c r="F160" s="217"/>
      <c r="G160" s="536"/>
      <c r="H160" s="538"/>
      <c r="I160" s="560"/>
      <c r="J160" s="25"/>
      <c r="K160" s="20"/>
      <c r="L160" s="20"/>
      <c r="M160" s="20"/>
      <c r="N160" s="17"/>
      <c r="O160" s="20"/>
      <c r="P160" s="20"/>
      <c r="Q160" s="536"/>
      <c r="R160" s="20"/>
      <c r="S160" s="536"/>
      <c r="T160" s="485"/>
      <c r="U160" s="17"/>
      <c r="V160" s="485"/>
      <c r="W160" s="485"/>
    </row>
    <row r="161" spans="2:23" s="104" customFormat="1" ht="15">
      <c r="B161" s="17"/>
      <c r="C161" s="17"/>
      <c r="D161" s="20"/>
      <c r="E161" s="20"/>
      <c r="F161" s="217"/>
      <c r="G161" s="536"/>
      <c r="H161" s="538"/>
      <c r="I161" s="560"/>
      <c r="J161" s="25"/>
      <c r="K161" s="20"/>
      <c r="L161" s="20"/>
      <c r="M161" s="20"/>
      <c r="N161" s="17"/>
      <c r="O161" s="20"/>
      <c r="P161" s="20"/>
      <c r="Q161" s="536"/>
      <c r="R161" s="20"/>
      <c r="S161" s="536"/>
      <c r="T161" s="485"/>
      <c r="U161" s="17"/>
      <c r="V161" s="485"/>
      <c r="W161" s="485"/>
    </row>
    <row r="162" spans="2:23" s="104" customFormat="1" ht="15">
      <c r="B162" s="17"/>
      <c r="C162" s="17"/>
      <c r="D162" s="20"/>
      <c r="E162" s="20"/>
      <c r="F162" s="217"/>
      <c r="G162" s="536"/>
      <c r="H162" s="538"/>
      <c r="I162" s="560"/>
      <c r="J162" s="25"/>
      <c r="K162" s="20"/>
      <c r="L162" s="20"/>
      <c r="M162" s="20"/>
      <c r="N162" s="17"/>
      <c r="O162" s="20"/>
      <c r="P162" s="20"/>
      <c r="Q162" s="536"/>
      <c r="R162" s="20"/>
      <c r="S162" s="536"/>
      <c r="T162" s="485"/>
      <c r="U162" s="17"/>
      <c r="V162" s="485"/>
      <c r="W162" s="485"/>
    </row>
    <row r="163" spans="2:23" s="104" customFormat="1" ht="15">
      <c r="B163" s="17"/>
      <c r="C163" s="17"/>
      <c r="D163" s="20"/>
      <c r="E163" s="20"/>
      <c r="F163" s="217"/>
      <c r="G163" s="536"/>
      <c r="H163" s="538"/>
      <c r="I163" s="560"/>
      <c r="J163" s="25"/>
      <c r="K163" s="20"/>
      <c r="L163" s="20"/>
      <c r="M163" s="20"/>
      <c r="N163" s="17"/>
      <c r="O163" s="20"/>
      <c r="P163" s="20"/>
      <c r="Q163" s="536"/>
      <c r="R163" s="20"/>
      <c r="S163" s="536"/>
      <c r="T163" s="485"/>
      <c r="U163" s="17"/>
      <c r="V163" s="485"/>
      <c r="W163" s="485"/>
    </row>
    <row r="164" spans="2:23" s="104" customFormat="1" ht="15">
      <c r="B164" s="17"/>
      <c r="C164" s="17"/>
      <c r="D164" s="20"/>
      <c r="E164" s="20"/>
      <c r="F164" s="217"/>
      <c r="G164" s="536"/>
      <c r="H164" s="538"/>
      <c r="I164" s="560"/>
      <c r="J164" s="25"/>
      <c r="K164" s="20"/>
      <c r="L164" s="20"/>
      <c r="M164" s="20"/>
      <c r="N164" s="17"/>
      <c r="O164" s="20"/>
      <c r="P164" s="20"/>
      <c r="Q164" s="536"/>
      <c r="R164" s="20"/>
      <c r="S164" s="536"/>
      <c r="T164" s="485"/>
      <c r="U164" s="17"/>
      <c r="V164" s="485"/>
      <c r="W164" s="485"/>
    </row>
    <row r="165" spans="2:23" s="104" customFormat="1" ht="15">
      <c r="B165" s="17"/>
      <c r="C165" s="17"/>
      <c r="D165" s="20"/>
      <c r="E165" s="20"/>
      <c r="F165" s="217"/>
      <c r="G165" s="536"/>
      <c r="H165" s="538"/>
      <c r="I165" s="560"/>
      <c r="J165" s="25"/>
      <c r="K165" s="20"/>
      <c r="L165" s="20"/>
      <c r="M165" s="20"/>
      <c r="N165" s="17"/>
      <c r="O165" s="20"/>
      <c r="P165" s="20"/>
      <c r="Q165" s="536"/>
      <c r="R165" s="20"/>
      <c r="S165" s="536"/>
      <c r="T165" s="485"/>
      <c r="U165" s="17"/>
      <c r="V165" s="485"/>
      <c r="W165" s="485"/>
    </row>
    <row r="166" spans="2:23" s="104" customFormat="1" ht="15">
      <c r="B166" s="17"/>
      <c r="C166" s="17"/>
      <c r="D166" s="20"/>
      <c r="E166" s="20"/>
      <c r="F166" s="217"/>
      <c r="G166" s="536"/>
      <c r="H166" s="538"/>
      <c r="I166" s="560"/>
      <c r="J166" s="25"/>
      <c r="K166" s="20"/>
      <c r="L166" s="20"/>
      <c r="M166" s="20"/>
      <c r="N166" s="17"/>
      <c r="O166" s="20"/>
      <c r="P166" s="20"/>
      <c r="Q166" s="536"/>
      <c r="R166" s="20"/>
      <c r="S166" s="536"/>
      <c r="T166" s="485"/>
      <c r="U166" s="17"/>
      <c r="V166" s="485"/>
      <c r="W166" s="485"/>
    </row>
    <row r="167" spans="2:23" s="104" customFormat="1" ht="15">
      <c r="B167" s="17"/>
      <c r="C167" s="17"/>
      <c r="D167" s="20"/>
      <c r="E167" s="20"/>
      <c r="F167" s="217"/>
      <c r="G167" s="536"/>
      <c r="H167" s="538"/>
      <c r="I167" s="560"/>
      <c r="J167" s="25"/>
      <c r="K167" s="20"/>
      <c r="L167" s="20"/>
      <c r="M167" s="20"/>
      <c r="N167" s="17"/>
      <c r="O167" s="20"/>
      <c r="P167" s="20"/>
      <c r="Q167" s="536"/>
      <c r="R167" s="20"/>
      <c r="S167" s="536"/>
      <c r="T167" s="485"/>
      <c r="U167" s="17"/>
      <c r="V167" s="485"/>
      <c r="W167" s="485"/>
    </row>
    <row r="168" spans="2:23" s="104" customFormat="1" ht="15">
      <c r="B168" s="17"/>
      <c r="C168" s="17"/>
      <c r="D168" s="20"/>
      <c r="E168" s="20"/>
      <c r="F168" s="217"/>
      <c r="G168" s="536"/>
      <c r="H168" s="538"/>
      <c r="I168" s="560"/>
      <c r="J168" s="25"/>
      <c r="K168" s="20"/>
      <c r="L168" s="20"/>
      <c r="M168" s="20"/>
      <c r="N168" s="17"/>
      <c r="O168" s="20"/>
      <c r="P168" s="20"/>
      <c r="Q168" s="536"/>
      <c r="R168" s="20"/>
      <c r="S168" s="536"/>
      <c r="T168" s="485"/>
      <c r="U168" s="17"/>
      <c r="V168" s="485"/>
      <c r="W168" s="485"/>
    </row>
    <row r="169" spans="2:23" s="104" customFormat="1" ht="15">
      <c r="B169" s="17"/>
      <c r="C169" s="17"/>
      <c r="D169" s="20"/>
      <c r="E169" s="20"/>
      <c r="F169" s="217"/>
      <c r="G169" s="536"/>
      <c r="H169" s="538"/>
      <c r="I169" s="560"/>
      <c r="J169" s="25"/>
      <c r="K169" s="20"/>
      <c r="L169" s="20"/>
      <c r="M169" s="20"/>
      <c r="N169" s="17"/>
      <c r="O169" s="20"/>
      <c r="P169" s="20"/>
      <c r="Q169" s="536"/>
      <c r="R169" s="20"/>
      <c r="S169" s="536"/>
      <c r="T169" s="485"/>
      <c r="U169" s="17"/>
      <c r="V169" s="485"/>
      <c r="W169" s="485"/>
    </row>
    <row r="170" spans="2:23" s="104" customFormat="1" ht="15">
      <c r="B170" s="17"/>
      <c r="C170" s="17"/>
      <c r="D170" s="20"/>
      <c r="E170" s="20"/>
      <c r="F170" s="217"/>
      <c r="G170" s="536"/>
      <c r="H170" s="538"/>
      <c r="I170" s="560"/>
      <c r="J170" s="25"/>
      <c r="K170" s="20"/>
      <c r="L170" s="20"/>
      <c r="M170" s="20"/>
      <c r="N170" s="17"/>
      <c r="O170" s="20"/>
      <c r="P170" s="20"/>
      <c r="Q170" s="536"/>
      <c r="R170" s="20"/>
      <c r="S170" s="536"/>
      <c r="T170" s="485"/>
      <c r="U170" s="17"/>
      <c r="V170" s="485"/>
      <c r="W170" s="485"/>
    </row>
    <row r="171" spans="2:23" s="104" customFormat="1" ht="15">
      <c r="B171" s="17"/>
      <c r="C171" s="17"/>
      <c r="D171" s="20"/>
      <c r="E171" s="20"/>
      <c r="F171" s="217"/>
      <c r="G171" s="536"/>
      <c r="H171" s="538"/>
      <c r="I171" s="560"/>
      <c r="J171" s="25"/>
      <c r="K171" s="20"/>
      <c r="L171" s="20"/>
      <c r="M171" s="20"/>
      <c r="N171" s="17"/>
      <c r="O171" s="20"/>
      <c r="P171" s="20"/>
      <c r="Q171" s="536"/>
      <c r="R171" s="20"/>
      <c r="S171" s="536"/>
      <c r="T171" s="485"/>
      <c r="U171" s="17"/>
      <c r="V171" s="485"/>
      <c r="W171" s="485"/>
    </row>
    <row r="172" spans="2:23" s="104" customFormat="1" ht="15">
      <c r="B172" s="17"/>
      <c r="C172" s="17"/>
      <c r="D172" s="20"/>
      <c r="E172" s="20"/>
      <c r="F172" s="217"/>
      <c r="G172" s="536"/>
      <c r="H172" s="538"/>
      <c r="I172" s="560"/>
      <c r="J172" s="25"/>
      <c r="K172" s="20"/>
      <c r="L172" s="20"/>
      <c r="M172" s="20"/>
      <c r="N172" s="17"/>
      <c r="O172" s="20"/>
      <c r="P172" s="20"/>
      <c r="Q172" s="536"/>
      <c r="R172" s="20"/>
      <c r="S172" s="536"/>
      <c r="T172" s="485"/>
      <c r="U172" s="17"/>
      <c r="V172" s="485"/>
      <c r="W172" s="485"/>
    </row>
    <row r="173" spans="2:23" s="104" customFormat="1" ht="15">
      <c r="B173" s="17"/>
      <c r="C173" s="17"/>
      <c r="D173" s="20"/>
      <c r="E173" s="20"/>
      <c r="F173" s="217"/>
      <c r="G173" s="536"/>
      <c r="H173" s="538"/>
      <c r="I173" s="560"/>
      <c r="J173" s="25"/>
      <c r="K173" s="20"/>
      <c r="L173" s="20"/>
      <c r="M173" s="20"/>
      <c r="N173" s="17"/>
      <c r="O173" s="20"/>
      <c r="P173" s="20"/>
      <c r="Q173" s="536"/>
      <c r="R173" s="20"/>
      <c r="S173" s="536"/>
      <c r="T173" s="485"/>
      <c r="U173" s="17"/>
      <c r="V173" s="485"/>
      <c r="W173" s="485"/>
    </row>
    <row r="174" spans="2:23" s="104" customFormat="1" ht="15">
      <c r="B174" s="17"/>
      <c r="C174" s="17"/>
      <c r="D174" s="20"/>
      <c r="E174" s="20"/>
      <c r="F174" s="217"/>
      <c r="G174" s="536"/>
      <c r="H174" s="538"/>
      <c r="I174" s="560"/>
      <c r="J174" s="25"/>
      <c r="K174" s="20"/>
      <c r="L174" s="20"/>
      <c r="M174" s="20"/>
      <c r="N174" s="17"/>
      <c r="O174" s="20"/>
      <c r="P174" s="20"/>
      <c r="Q174" s="536"/>
      <c r="R174" s="20"/>
      <c r="S174" s="536"/>
      <c r="T174" s="485"/>
      <c r="U174" s="17"/>
      <c r="V174" s="485"/>
      <c r="W174" s="485"/>
    </row>
    <row r="175" spans="2:23" s="104" customFormat="1" ht="15">
      <c r="B175" s="17"/>
      <c r="C175" s="17"/>
      <c r="D175" s="20"/>
      <c r="E175" s="20"/>
      <c r="F175" s="217"/>
      <c r="G175" s="536"/>
      <c r="H175" s="538"/>
      <c r="I175" s="560"/>
      <c r="J175" s="25"/>
      <c r="K175" s="20"/>
      <c r="L175" s="20"/>
      <c r="M175" s="20"/>
      <c r="N175" s="17"/>
      <c r="O175" s="20"/>
      <c r="P175" s="20"/>
      <c r="Q175" s="536"/>
      <c r="R175" s="20"/>
      <c r="S175" s="536"/>
      <c r="T175" s="485"/>
      <c r="U175" s="17"/>
      <c r="V175" s="485"/>
      <c r="W175" s="485"/>
    </row>
    <row r="176" spans="2:23" s="104" customFormat="1" ht="15">
      <c r="B176" s="17"/>
      <c r="C176" s="17"/>
      <c r="D176" s="20"/>
      <c r="E176" s="20"/>
      <c r="F176" s="217"/>
      <c r="G176" s="536"/>
      <c r="H176" s="538"/>
      <c r="I176" s="560"/>
      <c r="J176" s="25"/>
      <c r="K176" s="20"/>
      <c r="L176" s="20"/>
      <c r="M176" s="20"/>
      <c r="N176" s="17"/>
      <c r="O176" s="20"/>
      <c r="P176" s="20"/>
      <c r="Q176" s="536"/>
      <c r="R176" s="20"/>
      <c r="S176" s="536"/>
      <c r="T176" s="485"/>
      <c r="U176" s="17"/>
      <c r="V176" s="485"/>
      <c r="W176" s="485"/>
    </row>
    <row r="177" spans="2:23" s="104" customFormat="1" ht="15">
      <c r="B177" s="17"/>
      <c r="C177" s="17"/>
      <c r="D177" s="20"/>
      <c r="E177" s="20"/>
      <c r="F177" s="217"/>
      <c r="G177" s="536"/>
      <c r="H177" s="538"/>
      <c r="I177" s="560"/>
      <c r="J177" s="25"/>
      <c r="K177" s="20"/>
      <c r="L177" s="20"/>
      <c r="M177" s="20"/>
      <c r="N177" s="17"/>
      <c r="O177" s="20"/>
      <c r="P177" s="20"/>
      <c r="Q177" s="536"/>
      <c r="R177" s="20"/>
      <c r="S177" s="536"/>
      <c r="T177" s="485"/>
      <c r="U177" s="17"/>
      <c r="V177" s="485"/>
      <c r="W177" s="485"/>
    </row>
    <row r="178" spans="2:23" s="104" customFormat="1" ht="15">
      <c r="B178" s="17"/>
      <c r="C178" s="17"/>
      <c r="D178" s="20"/>
      <c r="E178" s="20"/>
      <c r="F178" s="217"/>
      <c r="G178" s="536"/>
      <c r="H178" s="538"/>
      <c r="I178" s="560"/>
      <c r="J178" s="25"/>
      <c r="K178" s="20"/>
      <c r="L178" s="20"/>
      <c r="M178" s="20"/>
      <c r="N178" s="17"/>
      <c r="O178" s="20"/>
      <c r="P178" s="20"/>
      <c r="Q178" s="536"/>
      <c r="R178" s="20"/>
      <c r="S178" s="536"/>
      <c r="T178" s="485"/>
      <c r="U178" s="17"/>
      <c r="V178" s="485"/>
      <c r="W178" s="485"/>
    </row>
    <row r="179" spans="2:23" s="104" customFormat="1" ht="15">
      <c r="B179" s="17"/>
      <c r="C179" s="17"/>
      <c r="D179" s="20"/>
      <c r="E179" s="20"/>
      <c r="F179" s="217"/>
      <c r="G179" s="536"/>
      <c r="H179" s="538"/>
      <c r="I179" s="560"/>
      <c r="J179" s="25"/>
      <c r="K179" s="20"/>
      <c r="L179" s="20"/>
      <c r="M179" s="20"/>
      <c r="N179" s="17"/>
      <c r="O179" s="20"/>
      <c r="P179" s="20"/>
      <c r="Q179" s="536"/>
      <c r="R179" s="20"/>
      <c r="S179" s="536"/>
      <c r="T179" s="485"/>
      <c r="U179" s="17"/>
      <c r="V179" s="485"/>
      <c r="W179" s="485"/>
    </row>
    <row r="180" spans="2:23" s="104" customFormat="1" ht="15">
      <c r="B180" s="17"/>
      <c r="C180" s="17"/>
      <c r="D180" s="20"/>
      <c r="E180" s="20"/>
      <c r="F180" s="217"/>
      <c r="G180" s="536"/>
      <c r="H180" s="538"/>
      <c r="I180" s="560"/>
      <c r="J180" s="25"/>
      <c r="K180" s="20"/>
      <c r="L180" s="20"/>
      <c r="M180" s="20"/>
      <c r="N180" s="17"/>
      <c r="O180" s="20"/>
      <c r="P180" s="20"/>
      <c r="Q180" s="536"/>
      <c r="R180" s="20"/>
      <c r="S180" s="536"/>
      <c r="T180" s="485"/>
      <c r="U180" s="17"/>
      <c r="V180" s="485"/>
      <c r="W180" s="485"/>
    </row>
    <row r="181" spans="2:23" s="104" customFormat="1" ht="15">
      <c r="B181" s="17"/>
      <c r="C181" s="17"/>
      <c r="D181" s="20"/>
      <c r="E181" s="20"/>
      <c r="F181" s="217"/>
      <c r="G181" s="536"/>
      <c r="H181" s="538"/>
      <c r="I181" s="560"/>
      <c r="J181" s="25"/>
      <c r="K181" s="20"/>
      <c r="L181" s="20"/>
      <c r="M181" s="20"/>
      <c r="N181" s="17"/>
      <c r="O181" s="20"/>
      <c r="P181" s="20"/>
      <c r="Q181" s="536"/>
      <c r="R181" s="20"/>
      <c r="S181" s="536"/>
      <c r="T181" s="485"/>
      <c r="U181" s="17"/>
      <c r="V181" s="485"/>
      <c r="W181" s="485"/>
    </row>
    <row r="182" spans="2:23" s="104" customFormat="1" ht="15">
      <c r="B182" s="17"/>
      <c r="C182" s="17"/>
      <c r="D182" s="20"/>
      <c r="E182" s="20"/>
      <c r="F182" s="217"/>
      <c r="G182" s="536"/>
      <c r="H182" s="538"/>
      <c r="I182" s="560"/>
      <c r="J182" s="25"/>
      <c r="K182" s="20"/>
      <c r="L182" s="20"/>
      <c r="M182" s="20"/>
      <c r="N182" s="17"/>
      <c r="O182" s="20"/>
      <c r="P182" s="20"/>
      <c r="Q182" s="536"/>
      <c r="R182" s="20"/>
      <c r="S182" s="536"/>
      <c r="T182" s="485"/>
      <c r="U182" s="17"/>
      <c r="V182" s="485"/>
      <c r="W182" s="485"/>
    </row>
    <row r="183" spans="2:23" s="104" customFormat="1" ht="15">
      <c r="B183" s="17"/>
      <c r="C183" s="17"/>
      <c r="D183" s="20"/>
      <c r="E183" s="20"/>
      <c r="F183" s="217"/>
      <c r="G183" s="536"/>
      <c r="H183" s="538"/>
      <c r="I183" s="560"/>
      <c r="J183" s="25"/>
      <c r="K183" s="20"/>
      <c r="L183" s="20"/>
      <c r="M183" s="20"/>
      <c r="N183" s="17"/>
      <c r="O183" s="20"/>
      <c r="P183" s="20"/>
      <c r="Q183" s="536"/>
      <c r="R183" s="20"/>
      <c r="S183" s="536"/>
      <c r="T183" s="485"/>
      <c r="U183" s="17"/>
      <c r="V183" s="485"/>
      <c r="W183" s="485"/>
    </row>
    <row r="184" spans="2:23" s="104" customFormat="1" ht="15">
      <c r="B184" s="17"/>
      <c r="C184" s="17"/>
      <c r="D184" s="20"/>
      <c r="E184" s="20"/>
      <c r="F184" s="217"/>
      <c r="G184" s="536"/>
      <c r="H184" s="538"/>
      <c r="I184" s="560"/>
      <c r="J184" s="25"/>
      <c r="K184" s="20"/>
      <c r="L184" s="20"/>
      <c r="M184" s="20"/>
      <c r="N184" s="17"/>
      <c r="O184" s="20"/>
      <c r="P184" s="20"/>
      <c r="Q184" s="536"/>
      <c r="R184" s="20"/>
      <c r="S184" s="536"/>
      <c r="T184" s="485"/>
      <c r="U184" s="17"/>
      <c r="V184" s="485"/>
      <c r="W184" s="485"/>
    </row>
    <row r="185" spans="2:23" s="104" customFormat="1" ht="15">
      <c r="B185" s="17"/>
      <c r="C185" s="17"/>
      <c r="D185" s="20"/>
      <c r="E185" s="20"/>
      <c r="F185" s="217"/>
      <c r="G185" s="536"/>
      <c r="H185" s="538"/>
      <c r="I185" s="560"/>
      <c r="J185" s="25"/>
      <c r="K185" s="20"/>
      <c r="L185" s="20"/>
      <c r="M185" s="20"/>
      <c r="N185" s="17"/>
      <c r="O185" s="20"/>
      <c r="P185" s="20"/>
      <c r="Q185" s="536"/>
      <c r="R185" s="20"/>
      <c r="S185" s="536"/>
      <c r="T185" s="485"/>
      <c r="U185" s="17"/>
      <c r="V185" s="485"/>
      <c r="W185" s="485"/>
    </row>
    <row r="186" spans="2:23" s="104" customFormat="1" ht="15">
      <c r="B186" s="17"/>
      <c r="C186" s="17"/>
      <c r="D186" s="20"/>
      <c r="E186" s="20"/>
      <c r="F186" s="217"/>
      <c r="G186" s="536"/>
      <c r="H186" s="538"/>
      <c r="I186" s="560"/>
      <c r="J186" s="25"/>
      <c r="K186" s="20"/>
      <c r="L186" s="20"/>
      <c r="M186" s="20"/>
      <c r="N186" s="17"/>
      <c r="O186" s="20"/>
      <c r="P186" s="20"/>
      <c r="Q186" s="536"/>
      <c r="R186" s="20"/>
      <c r="S186" s="536"/>
      <c r="T186" s="485"/>
      <c r="U186" s="17"/>
      <c r="V186" s="485"/>
      <c r="W186" s="485"/>
    </row>
    <row r="187" spans="2:23" s="104" customFormat="1" ht="15">
      <c r="B187" s="17"/>
      <c r="C187" s="17"/>
      <c r="D187" s="20"/>
      <c r="E187" s="20"/>
      <c r="F187" s="217"/>
      <c r="G187" s="536"/>
      <c r="H187" s="538"/>
      <c r="I187" s="560"/>
      <c r="J187" s="25"/>
      <c r="K187" s="20"/>
      <c r="L187" s="20"/>
      <c r="M187" s="20"/>
      <c r="N187" s="17"/>
      <c r="O187" s="20"/>
      <c r="P187" s="20"/>
      <c r="Q187" s="536"/>
      <c r="R187" s="20"/>
      <c r="S187" s="536"/>
      <c r="T187" s="485"/>
      <c r="U187" s="17"/>
      <c r="V187" s="485"/>
      <c r="W187" s="485"/>
    </row>
    <row r="188" spans="2:23" s="104" customFormat="1" ht="15">
      <c r="B188" s="17"/>
      <c r="C188" s="17"/>
      <c r="D188" s="20"/>
      <c r="E188" s="20"/>
      <c r="F188" s="217"/>
      <c r="G188" s="536"/>
      <c r="H188" s="538"/>
      <c r="I188" s="560"/>
      <c r="J188" s="25"/>
      <c r="K188" s="20"/>
      <c r="L188" s="20"/>
      <c r="M188" s="20"/>
      <c r="N188" s="17"/>
      <c r="O188" s="20"/>
      <c r="P188" s="20"/>
      <c r="Q188" s="536"/>
      <c r="R188" s="20"/>
      <c r="S188" s="536"/>
      <c r="T188" s="485"/>
      <c r="U188" s="17"/>
      <c r="V188" s="485"/>
      <c r="W188" s="485"/>
    </row>
    <row r="189" spans="2:23" s="104" customFormat="1" ht="15">
      <c r="B189" s="17"/>
      <c r="C189" s="17"/>
      <c r="D189" s="20"/>
      <c r="E189" s="20"/>
      <c r="F189" s="217"/>
      <c r="G189" s="536"/>
      <c r="H189" s="538"/>
      <c r="I189" s="560"/>
      <c r="J189" s="25"/>
      <c r="K189" s="20"/>
      <c r="L189" s="20"/>
      <c r="M189" s="20"/>
      <c r="N189" s="17"/>
      <c r="O189" s="20"/>
      <c r="P189" s="20"/>
      <c r="Q189" s="536"/>
      <c r="R189" s="20"/>
      <c r="S189" s="536"/>
      <c r="T189" s="485"/>
      <c r="U189" s="17"/>
      <c r="V189" s="485"/>
      <c r="W189" s="485"/>
    </row>
    <row r="190" spans="2:23" s="104" customFormat="1" ht="15">
      <c r="B190" s="17"/>
      <c r="C190" s="17"/>
      <c r="D190" s="20"/>
      <c r="E190" s="20"/>
      <c r="F190" s="217"/>
      <c r="G190" s="536"/>
      <c r="H190" s="538"/>
      <c r="I190" s="560"/>
      <c r="J190" s="25"/>
      <c r="K190" s="20"/>
      <c r="L190" s="20"/>
      <c r="M190" s="20"/>
      <c r="N190" s="17"/>
      <c r="O190" s="20"/>
      <c r="P190" s="20"/>
      <c r="Q190" s="536"/>
      <c r="R190" s="20"/>
      <c r="S190" s="536"/>
      <c r="T190" s="485"/>
      <c r="U190" s="17"/>
      <c r="V190" s="485"/>
      <c r="W190" s="485"/>
    </row>
    <row r="191" spans="2:23" s="104" customFormat="1" ht="15">
      <c r="B191" s="17"/>
      <c r="C191" s="17"/>
      <c r="D191" s="20"/>
      <c r="E191" s="20"/>
      <c r="F191" s="217"/>
      <c r="G191" s="536"/>
      <c r="H191" s="538"/>
      <c r="I191" s="560"/>
      <c r="J191" s="25"/>
      <c r="K191" s="20"/>
      <c r="L191" s="20"/>
      <c r="M191" s="20"/>
      <c r="N191" s="17"/>
      <c r="O191" s="20"/>
      <c r="P191" s="20"/>
      <c r="Q191" s="536"/>
      <c r="R191" s="20"/>
      <c r="S191" s="536"/>
      <c r="T191" s="485"/>
      <c r="U191" s="17"/>
      <c r="V191" s="485"/>
      <c r="W191" s="485"/>
    </row>
    <row r="192" spans="2:23" s="104" customFormat="1" ht="15">
      <c r="B192" s="17"/>
      <c r="C192" s="17"/>
      <c r="D192" s="20"/>
      <c r="E192" s="20"/>
      <c r="F192" s="217"/>
      <c r="G192" s="536"/>
      <c r="H192" s="538"/>
      <c r="I192" s="560"/>
      <c r="J192" s="25"/>
      <c r="K192" s="20"/>
      <c r="L192" s="20"/>
      <c r="M192" s="20"/>
      <c r="N192" s="17"/>
      <c r="O192" s="20"/>
      <c r="P192" s="20"/>
      <c r="Q192" s="536"/>
      <c r="R192" s="20"/>
      <c r="S192" s="536"/>
      <c r="T192" s="485"/>
      <c r="U192" s="17"/>
      <c r="V192" s="485"/>
      <c r="W192" s="485"/>
    </row>
    <row r="193" spans="2:23" s="104" customFormat="1" ht="15">
      <c r="B193" s="17"/>
      <c r="C193" s="17"/>
      <c r="D193" s="20"/>
      <c r="E193" s="20"/>
      <c r="F193" s="217"/>
      <c r="G193" s="536"/>
      <c r="H193" s="538"/>
      <c r="I193" s="560"/>
      <c r="J193" s="25"/>
      <c r="K193" s="20"/>
      <c r="L193" s="20"/>
      <c r="M193" s="20"/>
      <c r="N193" s="17"/>
      <c r="O193" s="20"/>
      <c r="P193" s="20"/>
      <c r="Q193" s="536"/>
      <c r="R193" s="20"/>
      <c r="S193" s="536"/>
      <c r="T193" s="485"/>
      <c r="U193" s="17"/>
      <c r="V193" s="485"/>
      <c r="W193" s="485"/>
    </row>
    <row r="194" spans="2:23" s="104" customFormat="1" ht="15">
      <c r="B194" s="17"/>
      <c r="C194" s="17"/>
      <c r="D194" s="20"/>
      <c r="E194" s="20"/>
      <c r="F194" s="217"/>
      <c r="G194" s="536"/>
      <c r="H194" s="538"/>
      <c r="I194" s="560"/>
      <c r="J194" s="25"/>
      <c r="K194" s="20"/>
      <c r="L194" s="20"/>
      <c r="M194" s="20"/>
      <c r="N194" s="17"/>
      <c r="O194" s="20"/>
      <c r="P194" s="20"/>
      <c r="Q194" s="536"/>
      <c r="R194" s="20"/>
      <c r="S194" s="536"/>
      <c r="T194" s="485"/>
      <c r="U194" s="17"/>
      <c r="V194" s="485"/>
      <c r="W194" s="485"/>
    </row>
    <row r="195" spans="2:23" s="104" customFormat="1" ht="15">
      <c r="B195" s="17"/>
      <c r="C195" s="17"/>
      <c r="D195" s="20"/>
      <c r="E195" s="20"/>
      <c r="F195" s="217"/>
      <c r="G195" s="536"/>
      <c r="H195" s="538"/>
      <c r="I195" s="560"/>
      <c r="J195" s="25"/>
      <c r="K195" s="20"/>
      <c r="L195" s="20"/>
      <c r="M195" s="20"/>
      <c r="N195" s="17"/>
      <c r="O195" s="20"/>
      <c r="P195" s="20"/>
      <c r="Q195" s="536"/>
      <c r="R195" s="20"/>
      <c r="S195" s="536"/>
      <c r="T195" s="485"/>
      <c r="U195" s="17"/>
      <c r="V195" s="485"/>
      <c r="W195" s="485"/>
    </row>
    <row r="196" spans="2:23" s="104" customFormat="1" ht="15">
      <c r="B196" s="17"/>
      <c r="C196" s="17"/>
      <c r="D196" s="20"/>
      <c r="E196" s="20"/>
      <c r="F196" s="217"/>
      <c r="G196" s="536"/>
      <c r="H196" s="538"/>
      <c r="I196" s="560"/>
      <c r="J196" s="25"/>
      <c r="K196" s="20"/>
      <c r="L196" s="20"/>
      <c r="M196" s="20"/>
      <c r="N196" s="17"/>
      <c r="O196" s="20"/>
      <c r="P196" s="20"/>
      <c r="Q196" s="536"/>
      <c r="R196" s="20"/>
      <c r="S196" s="536"/>
      <c r="T196" s="485"/>
      <c r="U196" s="17"/>
      <c r="V196" s="485"/>
      <c r="W196" s="485"/>
    </row>
    <row r="197" spans="2:23" s="104" customFormat="1" ht="15">
      <c r="B197" s="17"/>
      <c r="C197" s="17"/>
      <c r="D197" s="20"/>
      <c r="E197" s="20"/>
      <c r="F197" s="217"/>
      <c r="G197" s="536"/>
      <c r="H197" s="538"/>
      <c r="I197" s="560"/>
      <c r="J197" s="25"/>
      <c r="K197" s="20"/>
      <c r="L197" s="20"/>
      <c r="M197" s="20"/>
      <c r="N197" s="17"/>
      <c r="O197" s="20"/>
      <c r="P197" s="20"/>
      <c r="Q197" s="536"/>
      <c r="R197" s="20"/>
      <c r="S197" s="536"/>
      <c r="T197" s="485"/>
      <c r="U197" s="17"/>
      <c r="V197" s="485"/>
      <c r="W197" s="485"/>
    </row>
    <row r="198" spans="2:23" s="104" customFormat="1" ht="15">
      <c r="B198" s="17"/>
      <c r="C198" s="17"/>
      <c r="D198" s="20"/>
      <c r="E198" s="20"/>
      <c r="F198" s="217"/>
      <c r="G198" s="536"/>
      <c r="H198" s="538"/>
      <c r="I198" s="560"/>
      <c r="J198" s="25"/>
      <c r="K198" s="20"/>
      <c r="L198" s="20"/>
      <c r="M198" s="20"/>
      <c r="N198" s="17"/>
      <c r="O198" s="20"/>
      <c r="P198" s="20"/>
      <c r="Q198" s="536"/>
      <c r="R198" s="20"/>
      <c r="S198" s="536"/>
      <c r="T198" s="485"/>
      <c r="U198" s="17"/>
      <c r="V198" s="485"/>
      <c r="W198" s="485"/>
    </row>
    <row r="199" spans="2:23" s="104" customFormat="1" ht="15">
      <c r="B199" s="17"/>
      <c r="C199" s="17"/>
      <c r="D199" s="20"/>
      <c r="E199" s="20"/>
      <c r="F199" s="217"/>
      <c r="G199" s="536"/>
      <c r="H199" s="538"/>
      <c r="I199" s="560"/>
      <c r="J199" s="25"/>
      <c r="K199" s="20"/>
      <c r="L199" s="20"/>
      <c r="M199" s="20"/>
      <c r="N199" s="17"/>
      <c r="O199" s="20"/>
      <c r="P199" s="20"/>
      <c r="Q199" s="536"/>
      <c r="R199" s="20"/>
      <c r="S199" s="536"/>
      <c r="T199" s="485"/>
      <c r="U199" s="17"/>
      <c r="V199" s="485"/>
      <c r="W199" s="485"/>
    </row>
    <row r="200" spans="2:23" s="104" customFormat="1" ht="15">
      <c r="B200" s="17"/>
      <c r="C200" s="17"/>
      <c r="D200" s="20"/>
      <c r="E200" s="20"/>
      <c r="F200" s="217"/>
      <c r="G200" s="536"/>
      <c r="H200" s="538"/>
      <c r="I200" s="560"/>
      <c r="J200" s="25"/>
      <c r="K200" s="20"/>
      <c r="L200" s="20"/>
      <c r="M200" s="20"/>
      <c r="N200" s="17"/>
      <c r="O200" s="20"/>
      <c r="P200" s="20"/>
      <c r="Q200" s="536"/>
      <c r="R200" s="20"/>
      <c r="S200" s="536"/>
      <c r="T200" s="485"/>
      <c r="U200" s="17"/>
      <c r="V200" s="485"/>
      <c r="W200" s="485"/>
    </row>
    <row r="201" spans="2:23" s="104" customFormat="1" ht="15">
      <c r="B201" s="17"/>
      <c r="C201" s="17"/>
      <c r="D201" s="20"/>
      <c r="E201" s="20"/>
      <c r="F201" s="217"/>
      <c r="G201" s="536"/>
      <c r="H201" s="538"/>
      <c r="I201" s="560"/>
      <c r="J201" s="25"/>
      <c r="K201" s="20"/>
      <c r="L201" s="20"/>
      <c r="M201" s="20"/>
      <c r="N201" s="17"/>
      <c r="O201" s="20"/>
      <c r="P201" s="20"/>
      <c r="Q201" s="536"/>
      <c r="R201" s="20"/>
      <c r="S201" s="536"/>
      <c r="T201" s="485"/>
      <c r="U201" s="17"/>
      <c r="V201" s="485"/>
      <c r="W201" s="485"/>
    </row>
    <row r="202" spans="2:23" s="104" customFormat="1" ht="15">
      <c r="B202" s="17"/>
      <c r="C202" s="17"/>
      <c r="D202" s="20"/>
      <c r="E202" s="20"/>
      <c r="F202" s="217"/>
      <c r="G202" s="536"/>
      <c r="H202" s="538"/>
      <c r="I202" s="560"/>
      <c r="J202" s="25"/>
      <c r="K202" s="20"/>
      <c r="L202" s="20"/>
      <c r="M202" s="20"/>
      <c r="N202" s="17"/>
      <c r="O202" s="20"/>
      <c r="P202" s="20"/>
      <c r="Q202" s="536"/>
      <c r="R202" s="20"/>
      <c r="S202" s="536"/>
      <c r="T202" s="485"/>
      <c r="U202" s="17"/>
      <c r="V202" s="485"/>
      <c r="W202" s="485"/>
    </row>
    <row r="203" spans="2:23" s="104" customFormat="1" ht="15">
      <c r="B203" s="17"/>
      <c r="C203" s="17"/>
      <c r="D203" s="20"/>
      <c r="E203" s="20"/>
      <c r="F203" s="217"/>
      <c r="G203" s="536"/>
      <c r="H203" s="538"/>
      <c r="I203" s="560"/>
      <c r="J203" s="25"/>
      <c r="K203" s="20"/>
      <c r="L203" s="20"/>
      <c r="M203" s="20"/>
      <c r="N203" s="17"/>
      <c r="O203" s="20"/>
      <c r="P203" s="20"/>
      <c r="Q203" s="536"/>
      <c r="R203" s="20"/>
      <c r="S203" s="536"/>
      <c r="T203" s="485"/>
      <c r="U203" s="17"/>
      <c r="V203" s="485"/>
      <c r="W203" s="485"/>
    </row>
    <row r="204" spans="2:23" s="104" customFormat="1" ht="15">
      <c r="B204" s="17"/>
      <c r="C204" s="17"/>
      <c r="D204" s="20"/>
      <c r="E204" s="20"/>
      <c r="F204" s="217"/>
      <c r="G204" s="536"/>
      <c r="H204" s="538"/>
      <c r="I204" s="560"/>
      <c r="J204" s="25"/>
      <c r="K204" s="20"/>
      <c r="L204" s="20"/>
      <c r="M204" s="20"/>
      <c r="N204" s="17"/>
      <c r="O204" s="20"/>
      <c r="P204" s="20"/>
      <c r="Q204" s="536"/>
      <c r="R204" s="20"/>
      <c r="S204" s="536"/>
      <c r="T204" s="485"/>
      <c r="U204" s="17"/>
      <c r="V204" s="485"/>
      <c r="W204" s="485"/>
    </row>
    <row r="205" spans="2:23" s="104" customFormat="1" ht="15">
      <c r="B205" s="17"/>
      <c r="C205" s="17"/>
      <c r="D205" s="20"/>
      <c r="E205" s="20"/>
      <c r="F205" s="217"/>
      <c r="G205" s="536"/>
      <c r="H205" s="538"/>
      <c r="I205" s="560"/>
      <c r="J205" s="25"/>
      <c r="K205" s="20"/>
      <c r="L205" s="20"/>
      <c r="M205" s="20"/>
      <c r="N205" s="17"/>
      <c r="O205" s="20"/>
      <c r="P205" s="20"/>
      <c r="Q205" s="536"/>
      <c r="R205" s="20"/>
      <c r="S205" s="536"/>
      <c r="T205" s="485"/>
      <c r="U205" s="17"/>
      <c r="V205" s="485"/>
      <c r="W205" s="485"/>
    </row>
    <row r="206" spans="2:23" s="104" customFormat="1" ht="15">
      <c r="B206" s="17"/>
      <c r="C206" s="17"/>
      <c r="D206" s="20"/>
      <c r="E206" s="20"/>
      <c r="F206" s="217"/>
      <c r="G206" s="536"/>
      <c r="H206" s="538"/>
      <c r="I206" s="560"/>
      <c r="J206" s="25"/>
      <c r="K206" s="20"/>
      <c r="L206" s="20"/>
      <c r="M206" s="20"/>
      <c r="N206" s="17"/>
      <c r="O206" s="20"/>
      <c r="P206" s="20"/>
      <c r="Q206" s="536"/>
      <c r="R206" s="20"/>
      <c r="S206" s="536"/>
      <c r="T206" s="485"/>
      <c r="U206" s="17"/>
      <c r="V206" s="485"/>
      <c r="W206" s="485"/>
    </row>
    <row r="207" spans="2:23" s="104" customFormat="1" ht="15">
      <c r="B207" s="17"/>
      <c r="C207" s="17"/>
      <c r="D207" s="20"/>
      <c r="E207" s="20"/>
      <c r="F207" s="217"/>
      <c r="G207" s="536"/>
      <c r="H207" s="538"/>
      <c r="I207" s="560"/>
      <c r="J207" s="25"/>
      <c r="K207" s="20"/>
      <c r="L207" s="20"/>
      <c r="M207" s="20"/>
      <c r="N207" s="17"/>
      <c r="O207" s="20"/>
      <c r="P207" s="20"/>
      <c r="Q207" s="536"/>
      <c r="R207" s="20"/>
      <c r="S207" s="536"/>
      <c r="T207" s="485"/>
      <c r="U207" s="17"/>
      <c r="V207" s="485"/>
      <c r="W207" s="485"/>
    </row>
    <row r="208" spans="2:23" s="104" customFormat="1" ht="15">
      <c r="B208" s="17"/>
      <c r="C208" s="17"/>
      <c r="D208" s="20"/>
      <c r="E208" s="20"/>
      <c r="F208" s="217"/>
      <c r="G208" s="536"/>
      <c r="H208" s="538"/>
      <c r="I208" s="560"/>
      <c r="J208" s="25"/>
      <c r="K208" s="20"/>
      <c r="L208" s="20"/>
      <c r="M208" s="20"/>
      <c r="N208" s="17"/>
      <c r="O208" s="20"/>
      <c r="P208" s="20"/>
      <c r="Q208" s="536"/>
      <c r="R208" s="20"/>
      <c r="S208" s="536"/>
      <c r="T208" s="485"/>
      <c r="U208" s="17"/>
      <c r="V208" s="485"/>
      <c r="W208" s="485"/>
    </row>
    <row r="209" spans="2:23" s="104" customFormat="1" ht="15">
      <c r="B209" s="17"/>
      <c r="C209" s="17"/>
      <c r="D209" s="20"/>
      <c r="E209" s="20"/>
      <c r="F209" s="217"/>
      <c r="G209" s="536"/>
      <c r="H209" s="538"/>
      <c r="I209" s="560"/>
      <c r="J209" s="25"/>
      <c r="K209" s="20"/>
      <c r="L209" s="20"/>
      <c r="M209" s="20"/>
      <c r="N209" s="17"/>
      <c r="O209" s="20"/>
      <c r="P209" s="20"/>
      <c r="Q209" s="536"/>
      <c r="R209" s="20"/>
      <c r="S209" s="536"/>
      <c r="T209" s="485"/>
      <c r="U209" s="17"/>
      <c r="V209" s="485"/>
      <c r="W209" s="485"/>
    </row>
    <row r="210" spans="2:23" s="104" customFormat="1" ht="15">
      <c r="B210" s="17"/>
      <c r="C210" s="17"/>
      <c r="D210" s="20"/>
      <c r="E210" s="20"/>
      <c r="F210" s="217"/>
      <c r="G210" s="536"/>
      <c r="H210" s="538"/>
      <c r="I210" s="560"/>
      <c r="J210" s="25"/>
      <c r="K210" s="20"/>
      <c r="L210" s="20"/>
      <c r="M210" s="20"/>
      <c r="N210" s="17"/>
      <c r="O210" s="20"/>
      <c r="P210" s="20"/>
      <c r="Q210" s="536"/>
      <c r="R210" s="20"/>
      <c r="S210" s="536"/>
      <c r="T210" s="485"/>
      <c r="U210" s="17"/>
      <c r="V210" s="485"/>
      <c r="W210" s="485"/>
    </row>
    <row r="211" spans="2:23" s="104" customFormat="1" ht="15">
      <c r="B211" s="17"/>
      <c r="C211" s="17"/>
      <c r="D211" s="20"/>
      <c r="E211" s="20"/>
      <c r="F211" s="217"/>
      <c r="G211" s="536"/>
      <c r="H211" s="538"/>
      <c r="I211" s="560"/>
      <c r="J211" s="25"/>
      <c r="K211" s="20"/>
      <c r="L211" s="20"/>
      <c r="M211" s="20"/>
      <c r="N211" s="17"/>
      <c r="O211" s="20"/>
      <c r="P211" s="20"/>
      <c r="Q211" s="536"/>
      <c r="R211" s="20"/>
      <c r="S211" s="536"/>
      <c r="T211" s="485"/>
      <c r="U211" s="17"/>
      <c r="V211" s="485"/>
      <c r="W211" s="485"/>
    </row>
    <row r="212" spans="2:23" s="104" customFormat="1" ht="15">
      <c r="B212" s="17"/>
      <c r="C212" s="17"/>
      <c r="D212" s="20"/>
      <c r="E212" s="20"/>
      <c r="F212" s="217"/>
      <c r="G212" s="536"/>
      <c r="H212" s="538"/>
      <c r="I212" s="560"/>
      <c r="J212" s="25"/>
      <c r="K212" s="20"/>
      <c r="L212" s="20"/>
      <c r="M212" s="20"/>
      <c r="N212" s="17"/>
      <c r="O212" s="20"/>
      <c r="P212" s="20"/>
      <c r="Q212" s="536"/>
      <c r="R212" s="20"/>
      <c r="S212" s="536"/>
      <c r="T212" s="485"/>
      <c r="U212" s="17"/>
      <c r="V212" s="485"/>
      <c r="W212" s="485"/>
    </row>
    <row r="213" spans="2:23" s="104" customFormat="1" ht="15">
      <c r="B213" s="17"/>
      <c r="C213" s="17"/>
      <c r="D213" s="20"/>
      <c r="E213" s="20"/>
      <c r="F213" s="217"/>
      <c r="G213" s="536"/>
      <c r="H213" s="538"/>
      <c r="I213" s="560"/>
      <c r="J213" s="25"/>
      <c r="K213" s="20"/>
      <c r="L213" s="20"/>
      <c r="M213" s="20"/>
      <c r="N213" s="17"/>
      <c r="O213" s="20"/>
      <c r="P213" s="20"/>
      <c r="Q213" s="536"/>
      <c r="R213" s="20"/>
      <c r="S213" s="536"/>
      <c r="T213" s="485"/>
      <c r="U213" s="17"/>
      <c r="V213" s="485"/>
      <c r="W213" s="485"/>
    </row>
    <row r="214" spans="2:23" s="104" customFormat="1" ht="15">
      <c r="B214" s="17"/>
      <c r="C214" s="17"/>
      <c r="D214" s="20"/>
      <c r="E214" s="20"/>
      <c r="F214" s="217"/>
      <c r="G214" s="536"/>
      <c r="H214" s="538"/>
      <c r="I214" s="560"/>
      <c r="J214" s="25"/>
      <c r="K214" s="20"/>
      <c r="L214" s="20"/>
      <c r="M214" s="20"/>
      <c r="N214" s="17"/>
      <c r="O214" s="20"/>
      <c r="P214" s="20"/>
      <c r="Q214" s="536"/>
      <c r="R214" s="20"/>
      <c r="S214" s="536"/>
      <c r="T214" s="485"/>
      <c r="U214" s="17"/>
      <c r="V214" s="485"/>
      <c r="W214" s="485"/>
    </row>
    <row r="215" spans="2:23" s="104" customFormat="1" ht="15">
      <c r="B215" s="17"/>
      <c r="C215" s="17"/>
      <c r="D215" s="20"/>
      <c r="E215" s="20"/>
      <c r="F215" s="217"/>
      <c r="G215" s="536"/>
      <c r="H215" s="538"/>
      <c r="I215" s="560"/>
      <c r="J215" s="25"/>
      <c r="K215" s="20"/>
      <c r="L215" s="20"/>
      <c r="M215" s="20"/>
      <c r="N215" s="17"/>
      <c r="O215" s="20"/>
      <c r="P215" s="20"/>
      <c r="Q215" s="536"/>
      <c r="R215" s="20"/>
      <c r="S215" s="536"/>
      <c r="T215" s="485"/>
      <c r="U215" s="17"/>
      <c r="V215" s="485"/>
      <c r="W215" s="485"/>
    </row>
    <row r="216" spans="2:23" s="104" customFormat="1" ht="15">
      <c r="B216" s="17"/>
      <c r="C216" s="17"/>
      <c r="D216" s="20"/>
      <c r="E216" s="20"/>
      <c r="F216" s="217"/>
      <c r="G216" s="536"/>
      <c r="H216" s="538"/>
      <c r="I216" s="560"/>
      <c r="J216" s="25"/>
      <c r="K216" s="20"/>
      <c r="L216" s="20"/>
      <c r="M216" s="20"/>
      <c r="N216" s="17"/>
      <c r="O216" s="20"/>
      <c r="P216" s="20"/>
      <c r="Q216" s="536"/>
      <c r="R216" s="20"/>
      <c r="S216" s="536"/>
      <c r="T216" s="485"/>
      <c r="U216" s="17"/>
      <c r="V216" s="485"/>
      <c r="W216" s="485"/>
    </row>
    <row r="217" spans="2:23" s="104" customFormat="1" ht="15">
      <c r="B217" s="17"/>
      <c r="C217" s="17"/>
      <c r="D217" s="20"/>
      <c r="E217" s="20"/>
      <c r="F217" s="217"/>
      <c r="G217" s="536"/>
      <c r="H217" s="538"/>
      <c r="I217" s="560"/>
      <c r="J217" s="25"/>
      <c r="K217" s="20"/>
      <c r="L217" s="20"/>
      <c r="M217" s="20"/>
      <c r="N217" s="17"/>
      <c r="O217" s="20"/>
      <c r="P217" s="20"/>
      <c r="Q217" s="536"/>
      <c r="R217" s="20"/>
      <c r="S217" s="536"/>
      <c r="T217" s="485"/>
      <c r="U217" s="17"/>
      <c r="V217" s="485"/>
      <c r="W217" s="485"/>
    </row>
    <row r="218" spans="2:23" s="104" customFormat="1" ht="15">
      <c r="B218" s="17"/>
      <c r="C218" s="17"/>
      <c r="D218" s="20"/>
      <c r="E218" s="20"/>
      <c r="F218" s="217"/>
      <c r="G218" s="536"/>
      <c r="H218" s="538"/>
      <c r="I218" s="560"/>
      <c r="J218" s="25"/>
      <c r="K218" s="20"/>
      <c r="L218" s="20"/>
      <c r="M218" s="20"/>
      <c r="N218" s="17"/>
      <c r="O218" s="20"/>
      <c r="P218" s="20"/>
      <c r="Q218" s="536"/>
      <c r="R218" s="20"/>
      <c r="S218" s="536"/>
      <c r="T218" s="485"/>
      <c r="U218" s="17"/>
      <c r="V218" s="485"/>
      <c r="W218" s="485"/>
    </row>
    <row r="219" spans="2:23" s="104" customFormat="1" ht="15">
      <c r="B219" s="17"/>
      <c r="C219" s="17"/>
      <c r="D219" s="20"/>
      <c r="E219" s="20"/>
      <c r="F219" s="217"/>
      <c r="G219" s="536"/>
      <c r="H219" s="538"/>
      <c r="I219" s="560"/>
      <c r="J219" s="25"/>
      <c r="K219" s="20"/>
      <c r="L219" s="20"/>
      <c r="M219" s="20"/>
      <c r="N219" s="17"/>
      <c r="O219" s="20"/>
      <c r="P219" s="20"/>
      <c r="Q219" s="536"/>
      <c r="R219" s="20"/>
      <c r="S219" s="536"/>
      <c r="T219" s="485"/>
      <c r="U219" s="17"/>
      <c r="V219" s="485"/>
      <c r="W219" s="485"/>
    </row>
    <row r="220" spans="2:23" s="104" customFormat="1" ht="15">
      <c r="B220" s="17"/>
      <c r="C220" s="17"/>
      <c r="D220" s="20"/>
      <c r="E220" s="20"/>
      <c r="F220" s="217"/>
      <c r="G220" s="536"/>
      <c r="H220" s="538"/>
      <c r="I220" s="560"/>
      <c r="J220" s="25"/>
      <c r="K220" s="20"/>
      <c r="L220" s="20"/>
      <c r="M220" s="20"/>
      <c r="N220" s="17"/>
      <c r="O220" s="20"/>
      <c r="P220" s="20"/>
      <c r="Q220" s="536"/>
      <c r="R220" s="20"/>
      <c r="S220" s="536"/>
      <c r="T220" s="485"/>
      <c r="U220" s="17"/>
      <c r="V220" s="485"/>
      <c r="W220" s="485"/>
    </row>
    <row r="221" spans="2:23" s="104" customFormat="1" ht="15">
      <c r="B221" s="17"/>
      <c r="C221" s="17"/>
      <c r="D221" s="20"/>
      <c r="E221" s="20"/>
      <c r="F221" s="217"/>
      <c r="G221" s="536"/>
      <c r="H221" s="538"/>
      <c r="I221" s="560"/>
      <c r="J221" s="25"/>
      <c r="K221" s="20"/>
      <c r="L221" s="20"/>
      <c r="M221" s="20"/>
      <c r="N221" s="17"/>
      <c r="O221" s="20"/>
      <c r="P221" s="20"/>
      <c r="Q221" s="536"/>
      <c r="R221" s="20"/>
      <c r="S221" s="536"/>
      <c r="T221" s="485"/>
      <c r="U221" s="17"/>
      <c r="V221" s="485"/>
      <c r="W221" s="485"/>
    </row>
    <row r="222" spans="2:23" s="104" customFormat="1" ht="15">
      <c r="B222" s="17"/>
      <c r="C222" s="17"/>
      <c r="D222" s="20"/>
      <c r="E222" s="20"/>
      <c r="F222" s="217"/>
      <c r="G222" s="536"/>
      <c r="H222" s="538"/>
      <c r="I222" s="560"/>
      <c r="J222" s="25"/>
      <c r="K222" s="20"/>
      <c r="L222" s="20"/>
      <c r="M222" s="20"/>
      <c r="N222" s="17"/>
      <c r="O222" s="20"/>
      <c r="P222" s="20"/>
      <c r="Q222" s="536"/>
      <c r="R222" s="20"/>
      <c r="S222" s="536"/>
      <c r="T222" s="485"/>
      <c r="U222" s="17"/>
      <c r="V222" s="485"/>
      <c r="W222" s="485"/>
    </row>
    <row r="223" spans="2:23" s="104" customFormat="1" ht="15">
      <c r="B223" s="17"/>
      <c r="C223" s="17"/>
      <c r="D223" s="20"/>
      <c r="E223" s="20"/>
      <c r="F223" s="217"/>
      <c r="G223" s="536"/>
      <c r="H223" s="538"/>
      <c r="I223" s="560"/>
      <c r="J223" s="25"/>
      <c r="K223" s="20"/>
      <c r="L223" s="20"/>
      <c r="M223" s="20"/>
      <c r="N223" s="17"/>
      <c r="O223" s="20"/>
      <c r="P223" s="20"/>
      <c r="Q223" s="536"/>
      <c r="R223" s="20"/>
      <c r="S223" s="536"/>
      <c r="T223" s="485"/>
      <c r="U223" s="17"/>
      <c r="V223" s="485"/>
      <c r="W223" s="485"/>
    </row>
    <row r="224" spans="2:23" s="104" customFormat="1" ht="15">
      <c r="B224" s="17"/>
      <c r="C224" s="17"/>
      <c r="D224" s="20"/>
      <c r="E224" s="20"/>
      <c r="F224" s="217"/>
      <c r="G224" s="536"/>
      <c r="H224" s="538"/>
      <c r="I224" s="560"/>
      <c r="J224" s="25"/>
      <c r="K224" s="20"/>
      <c r="L224" s="20"/>
      <c r="M224" s="20"/>
      <c r="N224" s="17"/>
      <c r="O224" s="20"/>
      <c r="P224" s="20"/>
      <c r="Q224" s="536"/>
      <c r="R224" s="20"/>
      <c r="S224" s="536"/>
      <c r="T224" s="485"/>
      <c r="U224" s="17"/>
      <c r="V224" s="485"/>
      <c r="W224" s="485"/>
    </row>
    <row r="225" spans="2:23" s="104" customFormat="1" ht="15">
      <c r="B225" s="17"/>
      <c r="C225" s="17"/>
      <c r="D225" s="20"/>
      <c r="E225" s="20"/>
      <c r="F225" s="217"/>
      <c r="G225" s="536"/>
      <c r="H225" s="538"/>
      <c r="I225" s="560"/>
      <c r="J225" s="25"/>
      <c r="K225" s="20"/>
      <c r="L225" s="20"/>
      <c r="M225" s="20"/>
      <c r="N225" s="17"/>
      <c r="O225" s="20"/>
      <c r="P225" s="20"/>
      <c r="Q225" s="536"/>
      <c r="R225" s="20"/>
      <c r="S225" s="536"/>
      <c r="T225" s="485"/>
      <c r="U225" s="17"/>
      <c r="V225" s="485"/>
      <c r="W225" s="485"/>
    </row>
    <row r="226" spans="2:23" s="104" customFormat="1" ht="15">
      <c r="B226" s="17"/>
      <c r="C226" s="17"/>
      <c r="D226" s="20"/>
      <c r="E226" s="20"/>
      <c r="F226" s="217"/>
      <c r="G226" s="536"/>
      <c r="H226" s="538"/>
      <c r="I226" s="560"/>
      <c r="J226" s="25"/>
      <c r="K226" s="20"/>
      <c r="L226" s="20"/>
      <c r="M226" s="20"/>
      <c r="N226" s="17"/>
      <c r="O226" s="20"/>
      <c r="P226" s="20"/>
      <c r="Q226" s="536"/>
      <c r="R226" s="20"/>
      <c r="S226" s="536"/>
      <c r="T226" s="485"/>
      <c r="U226" s="17"/>
      <c r="V226" s="485"/>
      <c r="W226" s="485"/>
    </row>
    <row r="227" spans="2:23" s="104" customFormat="1" ht="15">
      <c r="B227" s="17"/>
      <c r="C227" s="17"/>
      <c r="D227" s="20"/>
      <c r="E227" s="20"/>
      <c r="F227" s="217"/>
      <c r="G227" s="536"/>
      <c r="H227" s="538"/>
      <c r="I227" s="560"/>
      <c r="J227" s="25"/>
      <c r="K227" s="20"/>
      <c r="L227" s="20"/>
      <c r="M227" s="20"/>
      <c r="N227" s="17"/>
      <c r="O227" s="20"/>
      <c r="P227" s="20"/>
      <c r="Q227" s="536"/>
      <c r="R227" s="20"/>
      <c r="S227" s="536"/>
      <c r="T227" s="485"/>
      <c r="U227" s="17"/>
      <c r="V227" s="485"/>
      <c r="W227" s="485"/>
    </row>
    <row r="228" spans="2:23" s="104" customFormat="1" ht="15">
      <c r="B228" s="17"/>
      <c r="C228" s="17"/>
      <c r="D228" s="20"/>
      <c r="E228" s="20"/>
      <c r="F228" s="217"/>
      <c r="G228" s="536"/>
      <c r="H228" s="538"/>
      <c r="I228" s="560"/>
      <c r="J228" s="25"/>
      <c r="K228" s="20"/>
      <c r="L228" s="20"/>
      <c r="M228" s="20"/>
      <c r="N228" s="17"/>
      <c r="O228" s="20"/>
      <c r="P228" s="20"/>
      <c r="Q228" s="536"/>
      <c r="R228" s="20"/>
      <c r="S228" s="536"/>
      <c r="T228" s="485"/>
      <c r="U228" s="17"/>
      <c r="V228" s="485"/>
      <c r="W228" s="485"/>
    </row>
    <row r="229" spans="2:23" s="104" customFormat="1" ht="15">
      <c r="B229" s="17"/>
      <c r="C229" s="17"/>
      <c r="D229" s="20"/>
      <c r="E229" s="20"/>
      <c r="F229" s="217"/>
      <c r="G229" s="536"/>
      <c r="H229" s="538"/>
      <c r="I229" s="560"/>
      <c r="J229" s="25"/>
      <c r="K229" s="20"/>
      <c r="L229" s="20"/>
      <c r="M229" s="20"/>
      <c r="N229" s="17"/>
      <c r="O229" s="20"/>
      <c r="P229" s="20"/>
      <c r="Q229" s="536"/>
      <c r="R229" s="20"/>
      <c r="S229" s="536"/>
      <c r="T229" s="485"/>
      <c r="U229" s="17"/>
      <c r="V229" s="485"/>
      <c r="W229" s="485"/>
    </row>
    <row r="230" spans="2:23" s="104" customFormat="1" ht="15">
      <c r="B230" s="17"/>
      <c r="C230" s="17"/>
      <c r="D230" s="20"/>
      <c r="E230" s="20"/>
      <c r="F230" s="217"/>
      <c r="G230" s="536"/>
      <c r="H230" s="538"/>
      <c r="I230" s="560"/>
      <c r="J230" s="25"/>
      <c r="K230" s="20"/>
      <c r="L230" s="20"/>
      <c r="M230" s="20"/>
      <c r="N230" s="17"/>
      <c r="O230" s="20"/>
      <c r="P230" s="20"/>
      <c r="Q230" s="536"/>
      <c r="R230" s="20"/>
      <c r="S230" s="536"/>
      <c r="T230" s="485"/>
      <c r="U230" s="17"/>
      <c r="V230" s="485"/>
      <c r="W230" s="485"/>
    </row>
    <row r="231" spans="2:23" s="104" customFormat="1" ht="15">
      <c r="B231" s="17"/>
      <c r="C231" s="17"/>
      <c r="D231" s="20"/>
      <c r="E231" s="20"/>
      <c r="F231" s="217"/>
      <c r="G231" s="536"/>
      <c r="H231" s="538"/>
      <c r="I231" s="560"/>
      <c r="J231" s="25"/>
      <c r="K231" s="20"/>
      <c r="L231" s="20"/>
      <c r="M231" s="20"/>
      <c r="N231" s="17"/>
      <c r="O231" s="20"/>
      <c r="P231" s="20"/>
      <c r="Q231" s="536"/>
      <c r="R231" s="20"/>
      <c r="S231" s="536"/>
      <c r="T231" s="485"/>
      <c r="U231" s="17"/>
      <c r="V231" s="485"/>
      <c r="W231" s="485"/>
    </row>
    <row r="232" spans="2:23" s="104" customFormat="1" ht="15">
      <c r="B232" s="17"/>
      <c r="C232" s="17"/>
      <c r="D232" s="20"/>
      <c r="E232" s="20"/>
      <c r="F232" s="217"/>
      <c r="G232" s="536"/>
      <c r="H232" s="538"/>
      <c r="I232" s="560"/>
      <c r="J232" s="25"/>
      <c r="K232" s="20"/>
      <c r="L232" s="20"/>
      <c r="M232" s="20"/>
      <c r="N232" s="17"/>
      <c r="O232" s="20"/>
      <c r="P232" s="20"/>
      <c r="Q232" s="536"/>
      <c r="R232" s="20"/>
      <c r="S232" s="536"/>
      <c r="T232" s="485"/>
      <c r="U232" s="17"/>
      <c r="V232" s="485"/>
      <c r="W232" s="485"/>
    </row>
    <row r="233" spans="2:23" s="104" customFormat="1" ht="15">
      <c r="B233" s="17"/>
      <c r="C233" s="17"/>
      <c r="D233" s="20"/>
      <c r="E233" s="20"/>
      <c r="F233" s="217"/>
      <c r="G233" s="536"/>
      <c r="H233" s="538"/>
      <c r="I233" s="560"/>
      <c r="J233" s="25"/>
      <c r="K233" s="20"/>
      <c r="L233" s="20"/>
      <c r="M233" s="20"/>
      <c r="N233" s="17"/>
      <c r="O233" s="20"/>
      <c r="P233" s="20"/>
      <c r="Q233" s="536"/>
      <c r="R233" s="20"/>
      <c r="S233" s="536"/>
      <c r="T233" s="485"/>
      <c r="U233" s="17"/>
      <c r="V233" s="485"/>
      <c r="W233" s="485"/>
    </row>
    <row r="234" spans="2:23" s="104" customFormat="1" ht="15">
      <c r="B234" s="17"/>
      <c r="C234" s="17"/>
      <c r="D234" s="20"/>
      <c r="E234" s="20"/>
      <c r="F234" s="217"/>
      <c r="G234" s="536"/>
      <c r="H234" s="538"/>
      <c r="I234" s="560"/>
      <c r="J234" s="25"/>
      <c r="K234" s="20"/>
      <c r="L234" s="20"/>
      <c r="M234" s="20"/>
      <c r="N234" s="17"/>
      <c r="O234" s="20"/>
      <c r="P234" s="20"/>
      <c r="Q234" s="536"/>
      <c r="R234" s="20"/>
      <c r="S234" s="536"/>
      <c r="T234" s="485"/>
      <c r="U234" s="17"/>
      <c r="V234" s="485"/>
      <c r="W234" s="485"/>
    </row>
    <row r="235" spans="2:23" s="104" customFormat="1" ht="15">
      <c r="B235" s="17"/>
      <c r="C235" s="17"/>
      <c r="D235" s="20"/>
      <c r="E235" s="20"/>
      <c r="F235" s="217"/>
      <c r="G235" s="536"/>
      <c r="H235" s="538"/>
      <c r="I235" s="560"/>
      <c r="J235" s="25"/>
      <c r="K235" s="20"/>
      <c r="L235" s="20"/>
      <c r="M235" s="20"/>
      <c r="N235" s="17"/>
      <c r="O235" s="20"/>
      <c r="P235" s="20"/>
      <c r="Q235" s="536"/>
      <c r="R235" s="20"/>
      <c r="S235" s="536"/>
      <c r="T235" s="485"/>
      <c r="U235" s="17"/>
      <c r="V235" s="485"/>
      <c r="W235" s="485"/>
    </row>
    <row r="236" spans="2:23" s="104" customFormat="1" ht="15">
      <c r="B236" s="17"/>
      <c r="C236" s="17"/>
      <c r="D236" s="20"/>
      <c r="E236" s="20"/>
      <c r="F236" s="217"/>
      <c r="G236" s="536"/>
      <c r="H236" s="538"/>
      <c r="I236" s="560"/>
      <c r="J236" s="25"/>
      <c r="K236" s="20"/>
      <c r="L236" s="20"/>
      <c r="M236" s="20"/>
      <c r="N236" s="17"/>
      <c r="O236" s="20"/>
      <c r="P236" s="20"/>
      <c r="Q236" s="536"/>
      <c r="R236" s="20"/>
      <c r="S236" s="536"/>
      <c r="T236" s="485"/>
      <c r="U236" s="17"/>
      <c r="V236" s="485"/>
      <c r="W236" s="485"/>
    </row>
    <row r="237" spans="2:23" s="104" customFormat="1" ht="15">
      <c r="B237" s="17"/>
      <c r="C237" s="17"/>
      <c r="D237" s="20"/>
      <c r="E237" s="20"/>
      <c r="F237" s="217"/>
      <c r="G237" s="536"/>
      <c r="H237" s="538"/>
      <c r="I237" s="560"/>
      <c r="J237" s="25"/>
      <c r="K237" s="20"/>
      <c r="L237" s="20"/>
      <c r="M237" s="20"/>
      <c r="N237" s="17"/>
      <c r="O237" s="20"/>
      <c r="P237" s="20"/>
      <c r="Q237" s="536"/>
      <c r="R237" s="20"/>
      <c r="S237" s="536"/>
      <c r="T237" s="485"/>
      <c r="U237" s="17"/>
      <c r="V237" s="485"/>
      <c r="W237" s="485"/>
    </row>
    <row r="238" spans="2:23" s="104" customFormat="1" ht="15">
      <c r="B238" s="17"/>
      <c r="C238" s="17"/>
      <c r="D238" s="20"/>
      <c r="E238" s="20"/>
      <c r="F238" s="217"/>
      <c r="G238" s="536"/>
      <c r="H238" s="538"/>
      <c r="I238" s="560"/>
      <c r="J238" s="25"/>
      <c r="K238" s="20"/>
      <c r="L238" s="20"/>
      <c r="M238" s="20"/>
      <c r="N238" s="17"/>
      <c r="O238" s="20"/>
      <c r="P238" s="20"/>
      <c r="Q238" s="536"/>
      <c r="R238" s="20"/>
      <c r="S238" s="536"/>
      <c r="T238" s="485"/>
      <c r="U238" s="17"/>
      <c r="V238" s="485"/>
      <c r="W238" s="485"/>
    </row>
    <row r="239" spans="2:23" s="104" customFormat="1" ht="15">
      <c r="B239" s="17"/>
      <c r="C239" s="17"/>
      <c r="D239" s="20"/>
      <c r="E239" s="20"/>
      <c r="F239" s="217"/>
      <c r="G239" s="536"/>
      <c r="H239" s="538"/>
      <c r="I239" s="560"/>
      <c r="J239" s="25"/>
      <c r="K239" s="20"/>
      <c r="L239" s="20"/>
      <c r="M239" s="20"/>
      <c r="N239" s="17"/>
      <c r="O239" s="20"/>
      <c r="P239" s="20"/>
      <c r="Q239" s="536"/>
      <c r="R239" s="20"/>
      <c r="S239" s="536"/>
      <c r="T239" s="485"/>
      <c r="U239" s="17"/>
      <c r="V239" s="485"/>
      <c r="W239" s="485"/>
    </row>
    <row r="240" spans="2:23" s="104" customFormat="1" ht="15">
      <c r="B240" s="17"/>
      <c r="C240" s="17"/>
      <c r="D240" s="20"/>
      <c r="E240" s="20"/>
      <c r="F240" s="217"/>
      <c r="G240" s="536"/>
      <c r="H240" s="538"/>
      <c r="I240" s="560"/>
      <c r="J240" s="25"/>
      <c r="K240" s="20"/>
      <c r="L240" s="20"/>
      <c r="M240" s="20"/>
      <c r="N240" s="17"/>
      <c r="O240" s="20"/>
      <c r="P240" s="20"/>
      <c r="Q240" s="536"/>
      <c r="R240" s="20"/>
      <c r="S240" s="536"/>
      <c r="T240" s="485"/>
      <c r="U240" s="17"/>
      <c r="V240" s="485"/>
      <c r="W240" s="485"/>
    </row>
    <row r="241" spans="2:23" s="104" customFormat="1" ht="15">
      <c r="B241" s="17"/>
      <c r="C241" s="17"/>
      <c r="D241" s="20"/>
      <c r="E241" s="20"/>
      <c r="F241" s="217"/>
      <c r="G241" s="536"/>
      <c r="H241" s="538"/>
      <c r="I241" s="560"/>
      <c r="J241" s="25"/>
      <c r="K241" s="20"/>
      <c r="L241" s="20"/>
      <c r="M241" s="20"/>
      <c r="N241" s="17"/>
      <c r="O241" s="20"/>
      <c r="P241" s="20"/>
      <c r="Q241" s="536"/>
      <c r="R241" s="20"/>
      <c r="S241" s="536"/>
      <c r="T241" s="485"/>
      <c r="U241" s="17"/>
      <c r="V241" s="485"/>
      <c r="W241" s="485"/>
    </row>
    <row r="242" spans="2:23" s="104" customFormat="1" ht="15">
      <c r="B242" s="17"/>
      <c r="C242" s="17"/>
      <c r="D242" s="20"/>
      <c r="E242" s="20"/>
      <c r="F242" s="217"/>
      <c r="G242" s="536"/>
      <c r="H242" s="538"/>
      <c r="I242" s="560"/>
      <c r="J242" s="25"/>
      <c r="K242" s="20"/>
      <c r="L242" s="20"/>
      <c r="M242" s="20"/>
      <c r="N242" s="17"/>
      <c r="O242" s="20"/>
      <c r="P242" s="20"/>
      <c r="Q242" s="536"/>
      <c r="R242" s="20"/>
      <c r="S242" s="536"/>
      <c r="T242" s="485"/>
      <c r="U242" s="17"/>
      <c r="V242" s="485"/>
      <c r="W242" s="485"/>
    </row>
    <row r="243" spans="2:23" s="104" customFormat="1" ht="15">
      <c r="B243" s="17"/>
      <c r="C243" s="17"/>
      <c r="D243" s="20"/>
      <c r="E243" s="20"/>
      <c r="F243" s="217"/>
      <c r="G243" s="536"/>
      <c r="H243" s="538"/>
      <c r="I243" s="560"/>
      <c r="J243" s="25"/>
      <c r="K243" s="20"/>
      <c r="L243" s="20"/>
      <c r="M243" s="20"/>
      <c r="N243" s="17"/>
      <c r="O243" s="20"/>
      <c r="P243" s="20"/>
      <c r="Q243" s="536"/>
      <c r="R243" s="20"/>
      <c r="S243" s="536"/>
      <c r="T243" s="485"/>
      <c r="U243" s="17"/>
      <c r="V243" s="485"/>
      <c r="W243" s="485"/>
    </row>
    <row r="244" spans="2:23" s="104" customFormat="1" ht="15">
      <c r="B244" s="17"/>
      <c r="C244" s="17"/>
      <c r="D244" s="20"/>
      <c r="E244" s="20"/>
      <c r="F244" s="217"/>
      <c r="G244" s="536"/>
      <c r="H244" s="538"/>
      <c r="I244" s="560"/>
      <c r="J244" s="25"/>
      <c r="K244" s="20"/>
      <c r="L244" s="20"/>
      <c r="M244" s="20"/>
      <c r="N244" s="17"/>
      <c r="O244" s="20"/>
      <c r="P244" s="20"/>
      <c r="Q244" s="536"/>
      <c r="R244" s="20"/>
      <c r="S244" s="536"/>
      <c r="T244" s="485"/>
      <c r="U244" s="17"/>
      <c r="V244" s="485"/>
      <c r="W244" s="485"/>
    </row>
    <row r="245" spans="2:23" s="104" customFormat="1" ht="15">
      <c r="B245" s="17"/>
      <c r="C245" s="17"/>
      <c r="D245" s="20"/>
      <c r="E245" s="20"/>
      <c r="F245" s="217"/>
      <c r="G245" s="536"/>
      <c r="H245" s="538"/>
      <c r="I245" s="560"/>
      <c r="J245" s="25"/>
      <c r="K245" s="20"/>
      <c r="L245" s="20"/>
      <c r="M245" s="20"/>
      <c r="N245" s="17"/>
      <c r="O245" s="20"/>
      <c r="P245" s="20"/>
      <c r="Q245" s="536"/>
      <c r="R245" s="20"/>
      <c r="S245" s="536"/>
      <c r="T245" s="485"/>
      <c r="U245" s="17"/>
      <c r="V245" s="485"/>
      <c r="W245" s="485"/>
    </row>
    <row r="246" spans="2:23" s="104" customFormat="1" ht="15">
      <c r="B246" s="17"/>
      <c r="C246" s="17"/>
      <c r="D246" s="20"/>
      <c r="E246" s="20"/>
      <c r="F246" s="217"/>
      <c r="G246" s="536"/>
      <c r="H246" s="538"/>
      <c r="I246" s="560"/>
      <c r="J246" s="25"/>
      <c r="K246" s="20"/>
      <c r="L246" s="20"/>
      <c r="M246" s="20"/>
      <c r="N246" s="17"/>
      <c r="O246" s="20"/>
      <c r="P246" s="20"/>
      <c r="Q246" s="536"/>
      <c r="R246" s="20"/>
      <c r="S246" s="536"/>
      <c r="T246" s="485"/>
      <c r="U246" s="17"/>
      <c r="V246" s="485"/>
      <c r="W246" s="485"/>
    </row>
    <row r="247" spans="2:23" s="104" customFormat="1" ht="15">
      <c r="B247" s="17"/>
      <c r="C247" s="17"/>
      <c r="D247" s="20"/>
      <c r="E247" s="20"/>
      <c r="F247" s="217"/>
      <c r="G247" s="536"/>
      <c r="H247" s="538"/>
      <c r="I247" s="560"/>
      <c r="J247" s="25"/>
      <c r="K247" s="20"/>
      <c r="L247" s="20"/>
      <c r="M247" s="20"/>
      <c r="N247" s="17"/>
      <c r="O247" s="20"/>
      <c r="P247" s="20"/>
      <c r="Q247" s="536"/>
      <c r="R247" s="20"/>
      <c r="S247" s="536"/>
      <c r="T247" s="485"/>
      <c r="U247" s="17"/>
      <c r="V247" s="485"/>
      <c r="W247" s="485"/>
    </row>
    <row r="248" spans="2:23" s="104" customFormat="1" ht="15">
      <c r="B248" s="17"/>
      <c r="C248" s="17"/>
      <c r="D248" s="20"/>
      <c r="E248" s="20"/>
      <c r="F248" s="217"/>
      <c r="G248" s="536"/>
      <c r="H248" s="538"/>
      <c r="I248" s="560"/>
      <c r="J248" s="25"/>
      <c r="K248" s="20"/>
      <c r="L248" s="20"/>
      <c r="M248" s="20"/>
      <c r="N248" s="17"/>
      <c r="O248" s="20"/>
      <c r="P248" s="20"/>
      <c r="Q248" s="536"/>
      <c r="R248" s="20"/>
      <c r="S248" s="536"/>
      <c r="T248" s="485"/>
      <c r="U248" s="17"/>
      <c r="V248" s="485"/>
      <c r="W248" s="485"/>
    </row>
    <row r="249" spans="2:23" s="104" customFormat="1" ht="15">
      <c r="B249" s="17"/>
      <c r="C249" s="17"/>
      <c r="D249" s="20"/>
      <c r="E249" s="20"/>
      <c r="F249" s="217"/>
      <c r="G249" s="536"/>
      <c r="H249" s="538"/>
      <c r="I249" s="560"/>
      <c r="J249" s="25"/>
      <c r="K249" s="20"/>
      <c r="L249" s="20"/>
      <c r="M249" s="20"/>
      <c r="N249" s="17"/>
      <c r="O249" s="20"/>
      <c r="P249" s="20"/>
      <c r="Q249" s="536"/>
      <c r="R249" s="20"/>
      <c r="S249" s="536"/>
      <c r="T249" s="485"/>
      <c r="U249" s="17"/>
      <c r="V249" s="485"/>
      <c r="W249" s="485"/>
    </row>
    <row r="250" spans="2:23" s="104" customFormat="1" ht="15">
      <c r="B250" s="17"/>
      <c r="C250" s="17"/>
      <c r="D250" s="20"/>
      <c r="E250" s="20"/>
      <c r="F250" s="217"/>
      <c r="G250" s="536"/>
      <c r="H250" s="538"/>
      <c r="I250" s="560"/>
      <c r="J250" s="25"/>
      <c r="K250" s="20"/>
      <c r="L250" s="20"/>
      <c r="M250" s="20"/>
      <c r="N250" s="17"/>
      <c r="O250" s="20"/>
      <c r="P250" s="20"/>
      <c r="Q250" s="536"/>
      <c r="R250" s="20"/>
      <c r="S250" s="536"/>
      <c r="T250" s="485"/>
      <c r="U250" s="17"/>
      <c r="V250" s="485"/>
      <c r="W250" s="485"/>
    </row>
    <row r="251" spans="2:23" s="104" customFormat="1" ht="15">
      <c r="B251" s="17"/>
      <c r="C251" s="17"/>
      <c r="D251" s="20"/>
      <c r="E251" s="20"/>
      <c r="F251" s="217"/>
      <c r="G251" s="536"/>
      <c r="H251" s="538"/>
      <c r="I251" s="560"/>
      <c r="J251" s="25"/>
      <c r="K251" s="20"/>
      <c r="L251" s="20"/>
      <c r="M251" s="20"/>
      <c r="N251" s="17"/>
      <c r="O251" s="20"/>
      <c r="P251" s="20"/>
      <c r="Q251" s="536"/>
      <c r="R251" s="20"/>
      <c r="S251" s="536"/>
      <c r="T251" s="485"/>
      <c r="U251" s="17"/>
      <c r="V251" s="485"/>
      <c r="W251" s="485"/>
    </row>
    <row r="252" spans="2:23" s="104" customFormat="1" ht="15">
      <c r="B252" s="17"/>
      <c r="C252" s="17"/>
      <c r="D252" s="20"/>
      <c r="E252" s="20"/>
      <c r="F252" s="217"/>
      <c r="G252" s="536"/>
      <c r="H252" s="538"/>
      <c r="I252" s="560"/>
      <c r="J252" s="25"/>
      <c r="K252" s="20"/>
      <c r="L252" s="20"/>
      <c r="M252" s="20"/>
      <c r="N252" s="17"/>
      <c r="O252" s="20"/>
      <c r="P252" s="20"/>
      <c r="Q252" s="536"/>
      <c r="R252" s="20"/>
      <c r="S252" s="536"/>
      <c r="T252" s="485"/>
      <c r="U252" s="17"/>
      <c r="V252" s="485"/>
      <c r="W252" s="485"/>
    </row>
    <row r="253" spans="2:23" s="104" customFormat="1" ht="15">
      <c r="B253" s="17"/>
      <c r="C253" s="17"/>
      <c r="D253" s="20"/>
      <c r="E253" s="20"/>
      <c r="F253" s="217"/>
      <c r="G253" s="536"/>
      <c r="H253" s="538"/>
      <c r="I253" s="560"/>
      <c r="J253" s="25"/>
      <c r="K253" s="20"/>
      <c r="L253" s="20"/>
      <c r="M253" s="20"/>
      <c r="N253" s="17"/>
      <c r="O253" s="20"/>
      <c r="P253" s="20"/>
      <c r="Q253" s="536"/>
      <c r="R253" s="20"/>
      <c r="S253" s="536"/>
      <c r="T253" s="485"/>
      <c r="U253" s="17"/>
      <c r="V253" s="485"/>
      <c r="W253" s="485"/>
    </row>
    <row r="254" spans="2:23" s="104" customFormat="1" ht="15">
      <c r="B254" s="17"/>
      <c r="C254" s="17"/>
      <c r="D254" s="20"/>
      <c r="E254" s="20"/>
      <c r="F254" s="217"/>
      <c r="G254" s="536"/>
      <c r="H254" s="538"/>
      <c r="I254" s="560"/>
      <c r="J254" s="25"/>
      <c r="K254" s="20"/>
      <c r="L254" s="20"/>
      <c r="M254" s="20"/>
      <c r="N254" s="17"/>
      <c r="O254" s="20"/>
      <c r="P254" s="20"/>
      <c r="Q254" s="536"/>
      <c r="R254" s="20"/>
      <c r="S254" s="536"/>
      <c r="T254" s="485"/>
      <c r="U254" s="17"/>
      <c r="V254" s="485"/>
      <c r="W254" s="485"/>
    </row>
    <row r="255" spans="2:23" s="104" customFormat="1" ht="15">
      <c r="B255" s="17"/>
      <c r="C255" s="17"/>
      <c r="D255" s="20"/>
      <c r="E255" s="20"/>
      <c r="F255" s="217"/>
      <c r="G255" s="536"/>
      <c r="H255" s="538"/>
      <c r="I255" s="560"/>
      <c r="J255" s="25"/>
      <c r="K255" s="20"/>
      <c r="L255" s="20"/>
      <c r="M255" s="20"/>
      <c r="N255" s="17"/>
      <c r="O255" s="20"/>
      <c r="P255" s="20"/>
      <c r="Q255" s="536"/>
      <c r="R255" s="20"/>
      <c r="S255" s="536"/>
      <c r="T255" s="485"/>
      <c r="U255" s="17"/>
      <c r="V255" s="485"/>
      <c r="W255" s="485"/>
    </row>
    <row r="256" spans="2:23" s="104" customFormat="1" ht="15">
      <c r="B256" s="17"/>
      <c r="C256" s="17"/>
      <c r="D256" s="20"/>
      <c r="E256" s="20"/>
      <c r="F256" s="217"/>
      <c r="G256" s="536"/>
      <c r="H256" s="538"/>
      <c r="I256" s="560"/>
      <c r="J256" s="25"/>
      <c r="K256" s="20"/>
      <c r="L256" s="20"/>
      <c r="M256" s="20"/>
      <c r="N256" s="17"/>
      <c r="O256" s="20"/>
      <c r="P256" s="20"/>
      <c r="Q256" s="536"/>
      <c r="R256" s="20"/>
      <c r="S256" s="536"/>
      <c r="T256" s="485"/>
      <c r="U256" s="17"/>
      <c r="V256" s="485"/>
      <c r="W256" s="485"/>
    </row>
    <row r="257" spans="2:23" s="104" customFormat="1" ht="15">
      <c r="B257" s="17"/>
      <c r="C257" s="17"/>
      <c r="D257" s="20"/>
      <c r="E257" s="20"/>
      <c r="F257" s="217"/>
      <c r="G257" s="536"/>
      <c r="H257" s="538"/>
      <c r="I257" s="560"/>
      <c r="J257" s="25"/>
      <c r="K257" s="20"/>
      <c r="L257" s="20"/>
      <c r="M257" s="20"/>
      <c r="N257" s="17"/>
      <c r="O257" s="20"/>
      <c r="P257" s="20"/>
      <c r="Q257" s="536"/>
      <c r="R257" s="20"/>
      <c r="S257" s="536"/>
      <c r="T257" s="485"/>
      <c r="U257" s="17"/>
      <c r="V257" s="485"/>
      <c r="W257" s="485"/>
    </row>
    <row r="258" spans="2:23" s="104" customFormat="1" ht="15">
      <c r="B258" s="17"/>
      <c r="C258" s="17"/>
      <c r="D258" s="20"/>
      <c r="E258" s="20"/>
      <c r="F258" s="217"/>
      <c r="G258" s="536"/>
      <c r="H258" s="538"/>
      <c r="I258" s="560"/>
      <c r="J258" s="25"/>
      <c r="K258" s="20"/>
      <c r="L258" s="20"/>
      <c r="M258" s="20"/>
      <c r="N258" s="17"/>
      <c r="O258" s="20"/>
      <c r="P258" s="20"/>
      <c r="Q258" s="536"/>
      <c r="R258" s="20"/>
      <c r="S258" s="536"/>
      <c r="T258" s="485"/>
      <c r="U258" s="17"/>
      <c r="V258" s="485"/>
      <c r="W258" s="485"/>
    </row>
    <row r="259" spans="2:23" s="104" customFormat="1" ht="15">
      <c r="B259" s="17"/>
      <c r="C259" s="17"/>
      <c r="D259" s="20"/>
      <c r="E259" s="20"/>
      <c r="F259" s="217"/>
      <c r="G259" s="536"/>
      <c r="H259" s="538"/>
      <c r="I259" s="560"/>
      <c r="J259" s="25"/>
      <c r="K259" s="20"/>
      <c r="L259" s="20"/>
      <c r="M259" s="20"/>
      <c r="N259" s="17"/>
      <c r="O259" s="20"/>
      <c r="P259" s="20"/>
      <c r="Q259" s="536"/>
      <c r="R259" s="20"/>
      <c r="S259" s="536"/>
      <c r="T259" s="485"/>
      <c r="U259" s="17"/>
      <c r="V259" s="485"/>
      <c r="W259" s="485"/>
    </row>
    <row r="260" spans="2:23" s="104" customFormat="1" ht="15">
      <c r="B260" s="17"/>
      <c r="C260" s="17"/>
      <c r="D260" s="20"/>
      <c r="E260" s="20"/>
      <c r="F260" s="217"/>
      <c r="G260" s="536"/>
      <c r="H260" s="538"/>
      <c r="I260" s="560"/>
      <c r="J260" s="25"/>
      <c r="K260" s="20"/>
      <c r="L260" s="20"/>
      <c r="M260" s="20"/>
      <c r="N260" s="17"/>
      <c r="O260" s="20"/>
      <c r="P260" s="20"/>
      <c r="Q260" s="536"/>
      <c r="R260" s="20"/>
      <c r="S260" s="536"/>
      <c r="T260" s="485"/>
      <c r="U260" s="17"/>
      <c r="V260" s="485"/>
      <c r="W260" s="485"/>
    </row>
    <row r="261" spans="2:23" s="104" customFormat="1" ht="15">
      <c r="B261" s="17"/>
      <c r="C261" s="17"/>
      <c r="D261" s="20"/>
      <c r="E261" s="20"/>
      <c r="F261" s="217"/>
      <c r="G261" s="536"/>
      <c r="H261" s="538"/>
      <c r="I261" s="560"/>
      <c r="J261" s="25"/>
      <c r="K261" s="20"/>
      <c r="L261" s="20"/>
      <c r="M261" s="20"/>
      <c r="N261" s="17"/>
      <c r="O261" s="20"/>
      <c r="P261" s="20"/>
      <c r="Q261" s="536"/>
      <c r="R261" s="20"/>
      <c r="S261" s="536"/>
      <c r="T261" s="485"/>
      <c r="U261" s="17"/>
      <c r="V261" s="485"/>
      <c r="W261" s="485"/>
    </row>
    <row r="262" spans="2:23" s="104" customFormat="1" ht="15">
      <c r="B262" s="17"/>
      <c r="C262" s="17"/>
      <c r="D262" s="20"/>
      <c r="E262" s="20"/>
      <c r="F262" s="217"/>
      <c r="G262" s="536"/>
      <c r="H262" s="538"/>
      <c r="I262" s="560"/>
      <c r="J262" s="25"/>
      <c r="K262" s="20"/>
      <c r="L262" s="20"/>
      <c r="M262" s="20"/>
      <c r="N262" s="17"/>
      <c r="O262" s="20"/>
      <c r="P262" s="20"/>
      <c r="Q262" s="536"/>
      <c r="R262" s="20"/>
      <c r="S262" s="536"/>
      <c r="T262" s="485"/>
      <c r="U262" s="17"/>
      <c r="V262" s="485"/>
      <c r="W262" s="485"/>
    </row>
    <row r="263" spans="2:23" s="104" customFormat="1" ht="15">
      <c r="B263" s="17"/>
      <c r="C263" s="17"/>
      <c r="D263" s="20"/>
      <c r="E263" s="20"/>
      <c r="F263" s="217"/>
      <c r="G263" s="536"/>
      <c r="H263" s="538"/>
      <c r="I263" s="560"/>
      <c r="J263" s="25"/>
      <c r="K263" s="20"/>
      <c r="L263" s="20"/>
      <c r="M263" s="20"/>
      <c r="N263" s="17"/>
      <c r="O263" s="20"/>
      <c r="P263" s="20"/>
      <c r="Q263" s="536"/>
      <c r="R263" s="20"/>
      <c r="S263" s="536"/>
      <c r="T263" s="485"/>
      <c r="U263" s="17"/>
      <c r="V263" s="485"/>
      <c r="W263" s="485"/>
    </row>
    <row r="264" spans="2:23" s="104" customFormat="1" ht="15">
      <c r="B264" s="17"/>
      <c r="C264" s="17"/>
      <c r="D264" s="20"/>
      <c r="E264" s="20"/>
      <c r="F264" s="217"/>
      <c r="G264" s="536"/>
      <c r="H264" s="538"/>
      <c r="I264" s="560"/>
      <c r="J264" s="25"/>
      <c r="K264" s="20"/>
      <c r="L264" s="20"/>
      <c r="M264" s="20"/>
      <c r="N264" s="17"/>
      <c r="O264" s="20"/>
      <c r="P264" s="20"/>
      <c r="Q264" s="536"/>
      <c r="R264" s="20"/>
      <c r="S264" s="536"/>
      <c r="T264" s="485"/>
      <c r="U264" s="17"/>
      <c r="V264" s="485"/>
      <c r="W264" s="485"/>
    </row>
    <row r="265" spans="2:23" s="104" customFormat="1" ht="15">
      <c r="B265" s="17"/>
      <c r="C265" s="17"/>
      <c r="D265" s="20"/>
      <c r="E265" s="20"/>
      <c r="F265" s="217"/>
      <c r="G265" s="536"/>
      <c r="H265" s="538"/>
      <c r="I265" s="560"/>
      <c r="J265" s="25"/>
      <c r="K265" s="20"/>
      <c r="L265" s="20"/>
      <c r="M265" s="20"/>
      <c r="N265" s="17"/>
      <c r="O265" s="20"/>
      <c r="P265" s="20"/>
      <c r="Q265" s="536"/>
      <c r="R265" s="20"/>
      <c r="S265" s="536"/>
      <c r="T265" s="485"/>
      <c r="U265" s="17"/>
      <c r="V265" s="485"/>
      <c r="W265" s="485"/>
    </row>
    <row r="266" spans="2:23" s="104" customFormat="1" ht="15">
      <c r="B266" s="17"/>
      <c r="C266" s="17"/>
      <c r="D266" s="20"/>
      <c r="E266" s="20"/>
      <c r="F266" s="217"/>
      <c r="G266" s="536"/>
      <c r="H266" s="538"/>
      <c r="I266" s="560"/>
      <c r="J266" s="25"/>
      <c r="K266" s="20"/>
      <c r="L266" s="20"/>
      <c r="M266" s="20"/>
      <c r="N266" s="17"/>
      <c r="O266" s="20"/>
      <c r="P266" s="20"/>
      <c r="Q266" s="536"/>
      <c r="R266" s="20"/>
      <c r="S266" s="536"/>
      <c r="T266" s="485"/>
      <c r="U266" s="17"/>
      <c r="V266" s="485"/>
      <c r="W266" s="485"/>
    </row>
    <row r="267" spans="2:23" s="104" customFormat="1" ht="15">
      <c r="B267" s="17"/>
      <c r="C267" s="17"/>
      <c r="D267" s="20"/>
      <c r="E267" s="20"/>
      <c r="F267" s="217"/>
      <c r="G267" s="536"/>
      <c r="H267" s="538"/>
      <c r="I267" s="560"/>
      <c r="J267" s="25"/>
      <c r="K267" s="20"/>
      <c r="L267" s="20"/>
      <c r="M267" s="20"/>
      <c r="N267" s="17"/>
      <c r="O267" s="20"/>
      <c r="P267" s="20"/>
      <c r="Q267" s="536"/>
      <c r="R267" s="20"/>
      <c r="S267" s="536"/>
      <c r="T267" s="485"/>
      <c r="U267" s="17"/>
      <c r="V267" s="485"/>
      <c r="W267" s="485"/>
    </row>
    <row r="268" spans="2:23" s="104" customFormat="1" ht="15">
      <c r="B268" s="17"/>
      <c r="C268" s="17"/>
      <c r="D268" s="20"/>
      <c r="E268" s="20"/>
      <c r="F268" s="217"/>
      <c r="G268" s="536"/>
      <c r="H268" s="538"/>
      <c r="I268" s="560"/>
      <c r="J268" s="25"/>
      <c r="K268" s="20"/>
      <c r="L268" s="20"/>
      <c r="M268" s="20"/>
      <c r="N268" s="17"/>
      <c r="O268" s="20"/>
      <c r="P268" s="20"/>
      <c r="Q268" s="536"/>
      <c r="R268" s="20"/>
      <c r="S268" s="536"/>
      <c r="T268" s="485"/>
      <c r="U268" s="17"/>
      <c r="V268" s="485"/>
      <c r="W268" s="485"/>
    </row>
    <row r="269" spans="2:23" s="104" customFormat="1" ht="15">
      <c r="B269" s="17"/>
      <c r="C269" s="17"/>
      <c r="D269" s="20"/>
      <c r="E269" s="20"/>
      <c r="F269" s="217"/>
      <c r="G269" s="536"/>
      <c r="H269" s="538"/>
      <c r="I269" s="560"/>
      <c r="J269" s="25"/>
      <c r="K269" s="20"/>
      <c r="L269" s="20"/>
      <c r="M269" s="20"/>
      <c r="N269" s="17"/>
      <c r="O269" s="20"/>
      <c r="P269" s="20"/>
      <c r="Q269" s="536"/>
      <c r="R269" s="20"/>
      <c r="S269" s="536"/>
      <c r="T269" s="485"/>
      <c r="U269" s="17"/>
      <c r="V269" s="485"/>
      <c r="W269" s="485"/>
    </row>
    <row r="270" spans="2:23" s="104" customFormat="1" ht="15">
      <c r="B270" s="17"/>
      <c r="C270" s="17"/>
      <c r="D270" s="20"/>
      <c r="E270" s="20"/>
      <c r="F270" s="217"/>
      <c r="G270" s="536"/>
      <c r="H270" s="538"/>
      <c r="I270" s="560"/>
      <c r="J270" s="25"/>
      <c r="K270" s="20"/>
      <c r="L270" s="20"/>
      <c r="M270" s="20"/>
      <c r="N270" s="17"/>
      <c r="O270" s="20"/>
      <c r="P270" s="20"/>
      <c r="Q270" s="536"/>
      <c r="R270" s="20"/>
      <c r="S270" s="536"/>
      <c r="T270" s="485"/>
      <c r="U270" s="17"/>
      <c r="V270" s="485"/>
      <c r="W270" s="485"/>
    </row>
    <row r="271" spans="2:23" s="104" customFormat="1" ht="15">
      <c r="B271" s="17"/>
      <c r="C271" s="17"/>
      <c r="D271" s="20"/>
      <c r="E271" s="20"/>
      <c r="F271" s="217"/>
      <c r="G271" s="536"/>
      <c r="H271" s="538"/>
      <c r="I271" s="560"/>
      <c r="J271" s="25"/>
      <c r="K271" s="20"/>
      <c r="L271" s="20"/>
      <c r="M271" s="20"/>
      <c r="N271" s="17"/>
      <c r="O271" s="20"/>
      <c r="P271" s="20"/>
      <c r="Q271" s="536"/>
      <c r="R271" s="20"/>
      <c r="S271" s="536"/>
      <c r="T271" s="485"/>
      <c r="U271" s="17"/>
      <c r="V271" s="485"/>
      <c r="W271" s="485"/>
    </row>
    <row r="272" spans="2:23" s="104" customFormat="1" ht="15">
      <c r="B272" s="17"/>
      <c r="C272" s="17"/>
      <c r="D272" s="20"/>
      <c r="E272" s="20"/>
      <c r="F272" s="217"/>
      <c r="G272" s="536"/>
      <c r="H272" s="538"/>
      <c r="I272" s="560"/>
      <c r="J272" s="25"/>
      <c r="K272" s="20"/>
      <c r="L272" s="20"/>
      <c r="M272" s="20"/>
      <c r="N272" s="17"/>
      <c r="O272" s="20"/>
      <c r="P272" s="20"/>
      <c r="Q272" s="536"/>
      <c r="R272" s="20"/>
      <c r="S272" s="536"/>
      <c r="T272" s="485"/>
      <c r="U272" s="17"/>
      <c r="V272" s="485"/>
      <c r="W272" s="485"/>
    </row>
    <row r="273" spans="2:23" s="104" customFormat="1" ht="15">
      <c r="B273" s="17"/>
      <c r="C273" s="17"/>
      <c r="D273" s="20"/>
      <c r="E273" s="20"/>
      <c r="F273" s="217"/>
      <c r="G273" s="536"/>
      <c r="H273" s="538"/>
      <c r="I273" s="560"/>
      <c r="J273" s="25"/>
      <c r="K273" s="20"/>
      <c r="L273" s="20"/>
      <c r="M273" s="20"/>
      <c r="N273" s="17"/>
      <c r="O273" s="20"/>
      <c r="P273" s="20"/>
      <c r="Q273" s="536"/>
      <c r="R273" s="20"/>
      <c r="S273" s="536"/>
      <c r="T273" s="485"/>
      <c r="U273" s="17"/>
      <c r="V273" s="485"/>
      <c r="W273" s="485"/>
    </row>
    <row r="274" spans="2:23" s="104" customFormat="1" ht="15">
      <c r="B274" s="17"/>
      <c r="C274" s="17"/>
      <c r="D274" s="20"/>
      <c r="E274" s="20"/>
      <c r="F274" s="217"/>
      <c r="G274" s="536"/>
      <c r="H274" s="538"/>
      <c r="I274" s="560"/>
      <c r="J274" s="25"/>
      <c r="K274" s="20"/>
      <c r="L274" s="20"/>
      <c r="M274" s="20"/>
      <c r="N274" s="17"/>
      <c r="O274" s="20"/>
      <c r="P274" s="20"/>
      <c r="Q274" s="536"/>
      <c r="R274" s="20"/>
      <c r="S274" s="536"/>
      <c r="T274" s="485"/>
      <c r="U274" s="17"/>
      <c r="V274" s="485"/>
      <c r="W274" s="485"/>
    </row>
    <row r="275" spans="2:23" s="104" customFormat="1" ht="15">
      <c r="B275" s="17"/>
      <c r="C275" s="17"/>
      <c r="D275" s="20"/>
      <c r="E275" s="20"/>
      <c r="F275" s="217"/>
      <c r="G275" s="536"/>
      <c r="H275" s="538"/>
      <c r="I275" s="560"/>
      <c r="J275" s="25"/>
      <c r="K275" s="20"/>
      <c r="L275" s="20"/>
      <c r="M275" s="20"/>
      <c r="N275" s="17"/>
      <c r="O275" s="20"/>
      <c r="P275" s="20"/>
      <c r="Q275" s="536"/>
      <c r="R275" s="20"/>
      <c r="S275" s="536"/>
      <c r="T275" s="485"/>
      <c r="U275" s="17"/>
      <c r="V275" s="485"/>
      <c r="W275" s="485"/>
    </row>
    <row r="276" spans="2:23" s="104" customFormat="1" ht="15">
      <c r="B276" s="17"/>
      <c r="C276" s="17"/>
      <c r="D276" s="20"/>
      <c r="E276" s="20"/>
      <c r="F276" s="217"/>
      <c r="G276" s="536"/>
      <c r="H276" s="538"/>
      <c r="I276" s="560"/>
      <c r="J276" s="25"/>
      <c r="K276" s="20"/>
      <c r="L276" s="20"/>
      <c r="M276" s="20"/>
      <c r="N276" s="17"/>
      <c r="O276" s="20"/>
      <c r="P276" s="20"/>
      <c r="Q276" s="536"/>
      <c r="R276" s="20"/>
      <c r="S276" s="536"/>
      <c r="T276" s="485"/>
      <c r="U276" s="17"/>
      <c r="V276" s="485"/>
      <c r="W276" s="485"/>
    </row>
    <row r="277" spans="2:23" s="104" customFormat="1" ht="15">
      <c r="B277" s="17"/>
      <c r="C277" s="17"/>
      <c r="D277" s="20"/>
      <c r="E277" s="20"/>
      <c r="F277" s="217"/>
      <c r="G277" s="536"/>
      <c r="H277" s="538"/>
      <c r="I277" s="560"/>
      <c r="J277" s="25"/>
      <c r="K277" s="20"/>
      <c r="L277" s="20"/>
      <c r="M277" s="20"/>
      <c r="N277" s="17"/>
      <c r="O277" s="20"/>
      <c r="P277" s="20"/>
      <c r="Q277" s="536"/>
      <c r="R277" s="20"/>
      <c r="S277" s="536"/>
      <c r="T277" s="485"/>
      <c r="U277" s="17"/>
      <c r="V277" s="485"/>
      <c r="W277" s="485"/>
    </row>
    <row r="278" spans="2:23" s="104" customFormat="1" ht="15">
      <c r="B278" s="17"/>
      <c r="C278" s="17"/>
      <c r="D278" s="20"/>
      <c r="E278" s="20"/>
      <c r="F278" s="217"/>
      <c r="G278" s="536"/>
      <c r="H278" s="538"/>
      <c r="I278" s="560"/>
      <c r="J278" s="25"/>
      <c r="K278" s="20"/>
      <c r="L278" s="20"/>
      <c r="M278" s="20"/>
      <c r="N278" s="17"/>
      <c r="O278" s="20"/>
      <c r="P278" s="20"/>
      <c r="Q278" s="536"/>
      <c r="R278" s="20"/>
      <c r="S278" s="536"/>
      <c r="T278" s="485"/>
      <c r="U278" s="17"/>
      <c r="V278" s="485"/>
      <c r="W278" s="485"/>
    </row>
    <row r="279" spans="2:23" s="104" customFormat="1" ht="15">
      <c r="B279" s="17"/>
      <c r="C279" s="17"/>
      <c r="D279" s="20"/>
      <c r="E279" s="20"/>
      <c r="F279" s="217"/>
      <c r="G279" s="536"/>
      <c r="H279" s="538"/>
      <c r="I279" s="560"/>
      <c r="J279" s="25"/>
      <c r="K279" s="20"/>
      <c r="L279" s="20"/>
      <c r="M279" s="20"/>
      <c r="N279" s="17"/>
      <c r="O279" s="20"/>
      <c r="P279" s="20"/>
      <c r="Q279" s="536"/>
      <c r="R279" s="20"/>
      <c r="S279" s="536"/>
      <c r="T279" s="485"/>
      <c r="U279" s="17"/>
      <c r="V279" s="485"/>
      <c r="W279" s="485"/>
    </row>
    <row r="280" spans="2:23" s="104" customFormat="1" ht="15">
      <c r="B280" s="17"/>
      <c r="C280" s="17"/>
      <c r="D280" s="20"/>
      <c r="E280" s="20"/>
      <c r="F280" s="217"/>
      <c r="G280" s="536"/>
      <c r="H280" s="538"/>
      <c r="I280" s="560"/>
      <c r="J280" s="25"/>
      <c r="K280" s="20"/>
      <c r="L280" s="20"/>
      <c r="M280" s="20"/>
      <c r="N280" s="17"/>
      <c r="O280" s="20"/>
      <c r="P280" s="20"/>
      <c r="Q280" s="536"/>
      <c r="R280" s="20"/>
      <c r="S280" s="536"/>
      <c r="T280" s="485"/>
      <c r="U280" s="17"/>
      <c r="V280" s="485"/>
      <c r="W280" s="485"/>
    </row>
    <row r="281" spans="2:23" s="104" customFormat="1" ht="15">
      <c r="B281" s="17"/>
      <c r="C281" s="17"/>
      <c r="D281" s="20"/>
      <c r="E281" s="20"/>
      <c r="F281" s="217"/>
      <c r="G281" s="536"/>
      <c r="H281" s="538"/>
      <c r="I281" s="560"/>
      <c r="J281" s="25"/>
      <c r="K281" s="20"/>
      <c r="L281" s="20"/>
      <c r="M281" s="20"/>
      <c r="N281" s="17"/>
      <c r="O281" s="20"/>
      <c r="P281" s="20"/>
      <c r="Q281" s="536"/>
      <c r="R281" s="20"/>
      <c r="S281" s="536"/>
      <c r="T281" s="485"/>
      <c r="U281" s="17"/>
      <c r="V281" s="485"/>
      <c r="W281" s="485"/>
    </row>
    <row r="282" spans="2:23" ht="15" customHeight="1"/>
    <row r="283" spans="2:23" ht="15" customHeight="1"/>
    <row r="284" spans="2:23" ht="15" customHeight="1"/>
    <row r="285" spans="2:23" ht="15" customHeight="1"/>
    <row r="286" spans="2:23" ht="15" customHeight="1"/>
    <row r="287" spans="2:23" ht="15" customHeight="1"/>
    <row r="288" spans="2:23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</sheetData>
  <sheetProtection algorithmName="SHA-512" hashValue="azs00e8hAO7QUgTFumDHVxwuq1ZfZwGT9JU4g9Xo4d2si4vUHf4LEFMrcEYOxhEEiZCFP3QMi6MfRtQd+TsLGw==" saltValue="9Y9Nq6UDNTVGnsqhWD8Y/Q==" spinCount="100000" sheet="1" formatCells="0" formatColumns="0" formatRows="0" insertColumns="0" insertRows="0" insertHyperlinks="0" deleteColumns="0" deleteRows="0" sort="0" autoFilter="0" pivotTables="0"/>
  <mergeCells count="6">
    <mergeCell ref="B41:C48"/>
    <mergeCell ref="J2:K3"/>
    <mergeCell ref="Q6:S6"/>
    <mergeCell ref="B8:C15"/>
    <mergeCell ref="B16:C27"/>
    <mergeCell ref="B28:C40"/>
  </mergeCells>
  <dataValidations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2B5BD5D3-78FE-4196-9215-F2EB195804CB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55FC317E-379C-4548-AB8B-515624C65641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K8:L65065" xr:uid="{8B11CF67-B4D4-4F68-9DEB-FE1DB4C5552D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  <pageSetUpPr fitToPage="1"/>
  </sheetPr>
  <dimension ref="A1:W27"/>
  <sheetViews>
    <sheetView showGridLines="0" zoomScaleNormal="100" workbookViewId="0">
      <pane xSplit="6" ySplit="7" topLeftCell="I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2.28515625" style="5" customWidth="1"/>
    <col min="2" max="3" width="8.7109375" style="2" customWidth="1"/>
    <col min="4" max="5" width="12.7109375" style="4" customWidth="1"/>
    <col min="6" max="6" width="50.7109375" style="8" customWidth="1"/>
    <col min="7" max="7" width="10.7109375" style="280" customWidth="1"/>
    <col min="8" max="8" width="10.7109375" style="4" customWidth="1"/>
    <col min="9" max="9" width="10.7109375" style="564" customWidth="1"/>
    <col min="10" max="10" width="10.7109375" style="7" customWidth="1"/>
    <col min="11" max="11" width="10.7109375" style="4" customWidth="1"/>
    <col min="12" max="12" width="1.42578125" style="4" customWidth="1"/>
    <col min="13" max="13" width="10.7109375" style="4" customWidth="1"/>
    <col min="14" max="14" width="2.28515625" style="2" customWidth="1"/>
    <col min="15" max="15" width="12.7109375" style="373" customWidth="1"/>
    <col min="16" max="16" width="11.7109375" style="4" customWidth="1"/>
    <col min="17" max="17" width="13" style="2" customWidth="1"/>
    <col min="18" max="18" width="9.140625" style="2" customWidth="1"/>
    <col min="19" max="19" width="14.140625" style="2" customWidth="1"/>
    <col min="20" max="20" width="11.7109375" style="528" customWidth="1"/>
    <col min="21" max="21" width="11.7109375" style="2" customWidth="1"/>
    <col min="22" max="23" width="11.7109375" style="528" customWidth="1"/>
    <col min="24" max="16384" width="9.140625" style="2"/>
  </cols>
  <sheetData>
    <row r="1" spans="1:23" ht="18.75">
      <c r="F1" s="257" t="s">
        <v>352</v>
      </c>
      <c r="G1" s="531"/>
      <c r="H1" s="170"/>
      <c r="O1" s="569"/>
      <c r="P1" s="170"/>
    </row>
    <row r="2" spans="1:23" ht="15.75">
      <c r="D2" s="19"/>
      <c r="E2" s="29"/>
      <c r="J2" s="585" t="s">
        <v>59</v>
      </c>
      <c r="K2" s="585"/>
    </row>
    <row r="3" spans="1:23">
      <c r="F3" s="436" t="s">
        <v>353</v>
      </c>
      <c r="J3" s="585"/>
      <c r="K3" s="585"/>
    </row>
    <row r="4" spans="1:23">
      <c r="E4" s="14" t="s">
        <v>354</v>
      </c>
      <c r="F4" s="440" t="s">
        <v>355</v>
      </c>
      <c r="J4" s="10"/>
      <c r="K4" s="2"/>
    </row>
    <row r="5" spans="1:23">
      <c r="F5" s="438" t="s">
        <v>351</v>
      </c>
      <c r="J5" s="10"/>
      <c r="K5" s="2"/>
    </row>
    <row r="6" spans="1:23">
      <c r="J6" s="10"/>
      <c r="K6" s="2"/>
      <c r="O6" s="486" t="s">
        <v>63</v>
      </c>
      <c r="Q6" s="629" t="s">
        <v>64</v>
      </c>
      <c r="R6" s="629"/>
      <c r="S6" s="629"/>
      <c r="T6" s="560"/>
      <c r="U6" s="25"/>
      <c r="V6" s="560"/>
      <c r="W6" s="560"/>
    </row>
    <row r="7" spans="1:23" s="17" customFormat="1" ht="36" customHeight="1">
      <c r="A7" s="10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149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41" t="s">
        <v>70</v>
      </c>
      <c r="R7" s="241" t="s">
        <v>71</v>
      </c>
      <c r="S7" s="241" t="s">
        <v>72</v>
      </c>
      <c r="T7" s="529" t="s">
        <v>73</v>
      </c>
      <c r="U7" s="263" t="s">
        <v>336</v>
      </c>
      <c r="V7" s="529" t="s">
        <v>330</v>
      </c>
      <c r="W7" s="529" t="s">
        <v>331</v>
      </c>
    </row>
    <row r="8" spans="1:23">
      <c r="A8" s="5" t="str">
        <f>IF(K8&gt;0,COUNT($A$7:A7)+COUNT('DWV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8" s="613"/>
      <c r="C8" s="614"/>
      <c r="D8" s="567" t="str">
        <f>_xlfn.XLOOKUP(E8,'All Products'!D:D,'All Products'!C:C,FALSE)</f>
        <v>853-100-1</v>
      </c>
      <c r="E8" s="1">
        <v>100027973</v>
      </c>
      <c r="F8" s="566" t="str">
        <f>_xlfn.XLOOKUP(E8,'All Products'!D:D,'All Products'!E:E,FALSE)</f>
        <v>10 VANSTONE FLANGE BLIND O-RING</v>
      </c>
      <c r="G8" s="568">
        <f>_xlfn.XLOOKUP(E8,'All Products'!D:D,'All Products'!F:F,FALSE)</f>
        <v>2</v>
      </c>
      <c r="H8" s="568" t="str">
        <f>_xlfn.XLOOKUP(E8,'All Products'!D:D,'All Products'!G:G,FALSE)</f>
        <v>-</v>
      </c>
      <c r="I8" s="565">
        <f>_xlfn.XLOOKUP(E8,'All Products'!D:D,'All Products'!H:H,FALSE)</f>
        <v>1182.25</v>
      </c>
      <c r="J8" s="136">
        <f>ROUND(I8*Order_Quote!$L$10,2)</f>
        <v>5911.25</v>
      </c>
      <c r="K8" s="77"/>
      <c r="L8" s="16"/>
      <c r="M8" s="56">
        <f t="shared" ref="M8:M16" si="0">K8/G8</f>
        <v>0</v>
      </c>
      <c r="O8" s="570" t="str">
        <f>_xlfn.XLOOKUP(E8,'All Products'!D:D,'All Products'!I:I,FALSE)</f>
        <v>Within 3 Weeks</v>
      </c>
      <c r="P8" s="570" t="str">
        <f>_xlfn.XLOOKUP(E8,'All Products'!D:D,'All Products'!J:J,FALSE)</f>
        <v>Manufactured</v>
      </c>
      <c r="Q8" s="570" t="str">
        <f>_xlfn.XLOOKUP(E8,'All Products'!D:D,'All Products'!K:K,FALSE)</f>
        <v>049081165437</v>
      </c>
      <c r="R8" s="570" t="str">
        <f>_xlfn.XLOOKUP(E8,'All Products'!D:D,'All Products'!L:L,FALSE)</f>
        <v>-</v>
      </c>
      <c r="S8" s="570" t="str">
        <f>_xlfn.XLOOKUP(E8,'All Products'!D:D,'All Products'!M:M,FALSE)</f>
        <v>40049081165435</v>
      </c>
      <c r="T8" s="571">
        <f>_xlfn.XLOOKUP(E8,'All Products'!D:D,'All Products'!N:N,FALSE)</f>
        <v>14.025</v>
      </c>
      <c r="U8" s="571" t="str">
        <f>_xlfn.XLOOKUP(E8,'All Products'!D:D,'All Products'!O:O,FALSE)</f>
        <v>-</v>
      </c>
      <c r="V8" s="571">
        <f>_xlfn.XLOOKUP(E8,'All Products'!D:D,'All Products'!P:P,FALSE)</f>
        <v>28.05</v>
      </c>
      <c r="W8" s="571">
        <f>_xlfn.XLOOKUP(E8,'All Products'!D:D,'All Products'!Q:Q,FALSE)</f>
        <v>1.25</v>
      </c>
    </row>
    <row r="9" spans="1:23">
      <c r="A9" s="5" t="str">
        <f>IF(K9&gt;0,COUNT($A$7:A8)+COUNT('DWV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9" s="613"/>
      <c r="C9" s="614"/>
      <c r="D9" s="567" t="str">
        <f>_xlfn.XLOOKUP(E9,'All Products'!D:D,'All Products'!C:C,FALSE)</f>
        <v>853-120</v>
      </c>
      <c r="E9" s="1">
        <v>100023466</v>
      </c>
      <c r="F9" s="566" t="str">
        <f>_xlfn.XLOOKUP(E9,'All Products'!D:D,'All Products'!E:E,FALSE)</f>
        <v>12 VANSTONE FLANGE BLIND GASKET</v>
      </c>
      <c r="G9" s="568">
        <f>_xlfn.XLOOKUP(E9,'All Products'!D:D,'All Products'!F:F,FALSE)</f>
        <v>2</v>
      </c>
      <c r="H9" s="568" t="str">
        <f>_xlfn.XLOOKUP(E9,'All Products'!D:D,'All Products'!G:G,FALSE)</f>
        <v>-</v>
      </c>
      <c r="I9" s="565">
        <f>_xlfn.XLOOKUP(E9,'All Products'!D:D,'All Products'!H:H,FALSE)</f>
        <v>1841.29</v>
      </c>
      <c r="J9" s="136">
        <f>ROUND(I9*Order_Quote!$L$10,2)</f>
        <v>9206.4500000000007</v>
      </c>
      <c r="K9" s="77"/>
      <c r="L9" s="16"/>
      <c r="M9" s="56">
        <f t="shared" si="0"/>
        <v>0</v>
      </c>
      <c r="O9" s="570" t="str">
        <f>_xlfn.XLOOKUP(E9,'All Products'!D:D,'All Products'!I:I,FALSE)</f>
        <v>Within 3 Weeks</v>
      </c>
      <c r="P9" s="570" t="str">
        <f>_xlfn.XLOOKUP(E9,'All Products'!D:D,'All Products'!J:J,FALSE)</f>
        <v>Manufactured</v>
      </c>
      <c r="Q9" s="570" t="str">
        <f>_xlfn.XLOOKUP(E9,'All Products'!D:D,'All Products'!K:K,FALSE)</f>
        <v>049081164515</v>
      </c>
      <c r="R9" s="570" t="str">
        <f>_xlfn.XLOOKUP(E9,'All Products'!D:D,'All Products'!L:L,FALSE)</f>
        <v>-</v>
      </c>
      <c r="S9" s="570" t="str">
        <f>_xlfn.XLOOKUP(E9,'All Products'!D:D,'All Products'!M:M,FALSE)</f>
        <v>40049081164513</v>
      </c>
      <c r="T9" s="571">
        <f>_xlfn.XLOOKUP(E9,'All Products'!D:D,'All Products'!N:N,FALSE)</f>
        <v>20.87</v>
      </c>
      <c r="U9" s="571" t="str">
        <f>_xlfn.XLOOKUP(E9,'All Products'!D:D,'All Products'!O:O,FALSE)</f>
        <v>-</v>
      </c>
      <c r="V9" s="571">
        <f>_xlfn.XLOOKUP(E9,'All Products'!D:D,'All Products'!P:P,FALSE)</f>
        <v>42.22</v>
      </c>
      <c r="W9" s="571">
        <f>_xlfn.XLOOKUP(E9,'All Products'!D:D,'All Products'!Q:Q,FALSE)</f>
        <v>3.96</v>
      </c>
    </row>
    <row r="10" spans="1:23">
      <c r="A10" s="5" t="str">
        <f>IF(K10&gt;0,COUNT($A$7:A9)+COUNT('DWV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0" s="613"/>
      <c r="C10" s="614"/>
      <c r="D10" s="567" t="str">
        <f>_xlfn.XLOOKUP(E10,'All Products'!D:D,'All Products'!C:C,FALSE)</f>
        <v>853-120-1</v>
      </c>
      <c r="E10" s="1">
        <v>100027974</v>
      </c>
      <c r="F10" s="566" t="str">
        <f>_xlfn.XLOOKUP(E10,'All Products'!D:D,'All Products'!E:E,FALSE)</f>
        <v>12 VANSTONE FLANGE BLIND O-RING</v>
      </c>
      <c r="G10" s="568">
        <f>_xlfn.XLOOKUP(E10,'All Products'!D:D,'All Products'!F:F,FALSE)</f>
        <v>4</v>
      </c>
      <c r="H10" s="568" t="str">
        <f>_xlfn.XLOOKUP(E10,'All Products'!D:D,'All Products'!G:G,FALSE)</f>
        <v>-</v>
      </c>
      <c r="I10" s="565">
        <f>_xlfn.XLOOKUP(E10,'All Products'!D:D,'All Products'!H:H,FALSE)</f>
        <v>1841.29</v>
      </c>
      <c r="J10" s="136">
        <f>ROUND(I10*Order_Quote!$L$10,2)</f>
        <v>9206.4500000000007</v>
      </c>
      <c r="K10" s="77"/>
      <c r="L10" s="16"/>
      <c r="M10" s="56">
        <f t="shared" si="0"/>
        <v>0</v>
      </c>
      <c r="O10" s="570" t="str">
        <f>_xlfn.XLOOKUP(E10,'All Products'!D:D,'All Products'!I:I,FALSE)</f>
        <v>Within 3 Weeks</v>
      </c>
      <c r="P10" s="570" t="str">
        <f>_xlfn.XLOOKUP(E10,'All Products'!D:D,'All Products'!J:J,FALSE)</f>
        <v>Manufactured</v>
      </c>
      <c r="Q10" s="570" t="str">
        <f>_xlfn.XLOOKUP(E10,'All Products'!D:D,'All Products'!K:K,FALSE)</f>
        <v>049081165444</v>
      </c>
      <c r="R10" s="570" t="str">
        <f>_xlfn.XLOOKUP(E10,'All Products'!D:D,'All Products'!L:L,FALSE)</f>
        <v>-</v>
      </c>
      <c r="S10" s="570" t="str">
        <f>_xlfn.XLOOKUP(E10,'All Products'!D:D,'All Products'!M:M,FALSE)</f>
        <v>40049081165442</v>
      </c>
      <c r="T10" s="571">
        <f>_xlfn.XLOOKUP(E10,'All Products'!D:D,'All Products'!N:N,FALSE)</f>
        <v>11.81</v>
      </c>
      <c r="U10" s="571" t="str">
        <f>_xlfn.XLOOKUP(E10,'All Products'!D:D,'All Products'!O:O,FALSE)</f>
        <v>-</v>
      </c>
      <c r="V10" s="571">
        <f>_xlfn.XLOOKUP(E10,'All Products'!D:D,'All Products'!P:P,FALSE)</f>
        <v>79.3</v>
      </c>
      <c r="W10" s="571">
        <f>_xlfn.XLOOKUP(E10,'All Products'!D:D,'All Products'!Q:Q,FALSE)</f>
        <v>3.96</v>
      </c>
    </row>
    <row r="11" spans="1:23">
      <c r="A11" s="5" t="str">
        <f>IF(K11&gt;0,COUNT($A$7:A10)+COUNT('DWV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1" s="611"/>
      <c r="C11" s="612"/>
      <c r="D11" s="567" t="str">
        <f>_xlfn.XLOOKUP(E11,'All Products'!D:D,'All Products'!C:C,FALSE)</f>
        <v>854-100</v>
      </c>
      <c r="E11" s="1">
        <v>100027976</v>
      </c>
      <c r="F11" s="566" t="str">
        <f>_xlfn.XLOOKUP(E11,'All Products'!D:D,'All Products'!E:E,FALSE)</f>
        <v>10 VANSTONE FLANGE SLIP GASKET TYPE</v>
      </c>
      <c r="G11" s="568">
        <f>_xlfn.XLOOKUP(E11,'All Products'!D:D,'All Products'!F:F,FALSE)</f>
        <v>1</v>
      </c>
      <c r="H11" s="568" t="str">
        <f>_xlfn.XLOOKUP(E11,'All Products'!D:D,'All Products'!G:G,FALSE)</f>
        <v>-</v>
      </c>
      <c r="I11" s="565">
        <f>_xlfn.XLOOKUP(E11,'All Products'!D:D,'All Products'!H:H,FALSE)</f>
        <v>540.80999999999995</v>
      </c>
      <c r="J11" s="136">
        <f>ROUND(I11*Order_Quote!$L$10,2)</f>
        <v>2704.05</v>
      </c>
      <c r="K11" s="77"/>
      <c r="L11" s="16"/>
      <c r="M11" s="56">
        <f t="shared" si="0"/>
        <v>0</v>
      </c>
      <c r="O11" s="570" t="str">
        <f>_xlfn.XLOOKUP(E11,'All Products'!D:D,'All Products'!I:I,FALSE)</f>
        <v>In Stock</v>
      </c>
      <c r="P11" s="570" t="str">
        <f>_xlfn.XLOOKUP(E11,'All Products'!D:D,'All Products'!J:J,FALSE)</f>
        <v>Manufactured</v>
      </c>
      <c r="Q11" s="570" t="str">
        <f>_xlfn.XLOOKUP(E11,'All Products'!D:D,'All Products'!K:K,FALSE)</f>
        <v>049081164881</v>
      </c>
      <c r="R11" s="570" t="str">
        <f>_xlfn.XLOOKUP(E11,'All Products'!D:D,'All Products'!L:L,FALSE)</f>
        <v>-</v>
      </c>
      <c r="S11" s="570" t="str">
        <f>_xlfn.XLOOKUP(E11,'All Products'!D:D,'All Products'!M:M,FALSE)</f>
        <v>40049081164889</v>
      </c>
      <c r="T11" s="571">
        <f>_xlfn.XLOOKUP(E11,'All Products'!D:D,'All Products'!N:N,FALSE)</f>
        <v>15.010999999999999</v>
      </c>
      <c r="U11" s="571" t="str">
        <f>_xlfn.XLOOKUP(E11,'All Products'!D:D,'All Products'!O:O,FALSE)</f>
        <v>-</v>
      </c>
      <c r="V11" s="571">
        <f>_xlfn.XLOOKUP(E11,'All Products'!D:D,'All Products'!P:P,FALSE)</f>
        <v>16.34</v>
      </c>
      <c r="W11" s="571">
        <f>_xlfn.XLOOKUP(E11,'All Products'!D:D,'All Products'!Q:Q,FALSE)</f>
        <v>1.25</v>
      </c>
    </row>
    <row r="12" spans="1:23">
      <c r="A12" s="5" t="str">
        <f>IF(K12&gt;0,COUNT($A$7:A11)+COUNT('DWV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2" s="613"/>
      <c r="C12" s="614"/>
      <c r="D12" s="567" t="str">
        <f>_xlfn.XLOOKUP(E12,'All Products'!D:D,'All Products'!C:C,FALSE)</f>
        <v>854-100-1</v>
      </c>
      <c r="E12" s="1">
        <v>100027977</v>
      </c>
      <c r="F12" s="566" t="str">
        <f>_xlfn.XLOOKUP(E12,'All Products'!D:D,'All Products'!E:E,FALSE)</f>
        <v>10 VANSTONE FLANGE SLIP O-RING TYPE</v>
      </c>
      <c r="G12" s="568">
        <f>_xlfn.XLOOKUP(E12,'All Products'!D:D,'All Products'!F:F,FALSE)</f>
        <v>1</v>
      </c>
      <c r="H12" s="568" t="str">
        <f>_xlfn.XLOOKUP(E12,'All Products'!D:D,'All Products'!G:G,FALSE)</f>
        <v>-</v>
      </c>
      <c r="I12" s="565">
        <f>_xlfn.XLOOKUP(E12,'All Products'!D:D,'All Products'!H:H,FALSE)</f>
        <v>540.80999999999995</v>
      </c>
      <c r="J12" s="136">
        <f>ROUND(I12*Order_Quote!$L$10,2)</f>
        <v>2704.05</v>
      </c>
      <c r="K12" s="77"/>
      <c r="L12" s="16"/>
      <c r="M12" s="56">
        <f t="shared" si="0"/>
        <v>0</v>
      </c>
      <c r="O12" s="570" t="str">
        <f>_xlfn.XLOOKUP(E12,'All Products'!D:D,'All Products'!I:I,FALSE)</f>
        <v>Within 3 Weeks</v>
      </c>
      <c r="P12" s="570" t="str">
        <f>_xlfn.XLOOKUP(E12,'All Products'!D:D,'All Products'!J:J,FALSE)</f>
        <v>Manufactured</v>
      </c>
      <c r="Q12" s="570" t="str">
        <f>_xlfn.XLOOKUP(E12,'All Products'!D:D,'All Products'!K:K,FALSE)</f>
        <v>049081164812</v>
      </c>
      <c r="R12" s="570" t="str">
        <f>_xlfn.XLOOKUP(E12,'All Products'!D:D,'All Products'!L:L,FALSE)</f>
        <v>-</v>
      </c>
      <c r="S12" s="570" t="str">
        <f>_xlfn.XLOOKUP(E12,'All Products'!D:D,'All Products'!M:M,FALSE)</f>
        <v>40049081164810</v>
      </c>
      <c r="T12" s="571">
        <f>_xlfn.XLOOKUP(E12,'All Products'!D:D,'All Products'!N:N,FALSE)</f>
        <v>15.93</v>
      </c>
      <c r="U12" s="571" t="str">
        <f>_xlfn.XLOOKUP(E12,'All Products'!D:D,'All Products'!O:O,FALSE)</f>
        <v>-</v>
      </c>
      <c r="V12" s="571">
        <f>_xlfn.XLOOKUP(E12,'All Products'!D:D,'All Products'!P:P,FALSE)</f>
        <v>16.03</v>
      </c>
      <c r="W12" s="571">
        <f>_xlfn.XLOOKUP(E12,'All Products'!D:D,'All Products'!Q:Q,FALSE)</f>
        <v>1.25</v>
      </c>
    </row>
    <row r="13" spans="1:23">
      <c r="A13" s="5" t="str">
        <f>IF(K13&gt;0,COUNT($A$7:A12)+COUNT('DWV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3" s="613"/>
      <c r="C13" s="614"/>
      <c r="D13" s="567" t="str">
        <f>_xlfn.XLOOKUP(E13,'All Products'!D:D,'All Products'!C:C,FALSE)</f>
        <v>854-120</v>
      </c>
      <c r="E13" s="1">
        <v>100027979</v>
      </c>
      <c r="F13" s="566" t="str">
        <f>_xlfn.XLOOKUP(E13,'All Products'!D:D,'All Products'!E:E,FALSE)</f>
        <v>12 VANSTONE FLANGE SLIP GASKET TYPE</v>
      </c>
      <c r="G13" s="568">
        <f>_xlfn.XLOOKUP(E13,'All Products'!D:D,'All Products'!F:F,FALSE)</f>
        <v>2</v>
      </c>
      <c r="H13" s="568" t="str">
        <f>_xlfn.XLOOKUP(E13,'All Products'!D:D,'All Products'!G:G,FALSE)</f>
        <v>-</v>
      </c>
      <c r="I13" s="565">
        <f>_xlfn.XLOOKUP(E13,'All Products'!D:D,'All Products'!H:H,FALSE)</f>
        <v>583.04999999999995</v>
      </c>
      <c r="J13" s="136">
        <f>ROUND(I13*Order_Quote!$L$10,2)</f>
        <v>2915.25</v>
      </c>
      <c r="K13" s="77"/>
      <c r="L13" s="16"/>
      <c r="M13" s="56">
        <f t="shared" si="0"/>
        <v>0</v>
      </c>
      <c r="O13" s="570" t="str">
        <f>_xlfn.XLOOKUP(E13,'All Products'!D:D,'All Products'!I:I,FALSE)</f>
        <v>In Stock</v>
      </c>
      <c r="P13" s="570" t="str">
        <f>_xlfn.XLOOKUP(E13,'All Products'!D:D,'All Products'!J:J,FALSE)</f>
        <v>Manufactured</v>
      </c>
      <c r="Q13" s="570" t="str">
        <f>_xlfn.XLOOKUP(E13,'All Products'!D:D,'All Products'!K:K,FALSE)</f>
        <v>049081164904</v>
      </c>
      <c r="R13" s="570" t="str">
        <f>_xlfn.XLOOKUP(E13,'All Products'!D:D,'All Products'!L:L,FALSE)</f>
        <v>-</v>
      </c>
      <c r="S13" s="570" t="str">
        <f>_xlfn.XLOOKUP(E13,'All Products'!D:D,'All Products'!M:M,FALSE)</f>
        <v>40049081164902</v>
      </c>
      <c r="T13" s="571">
        <f>_xlfn.XLOOKUP(E13,'All Products'!D:D,'All Products'!N:N,FALSE)</f>
        <v>20.725999999999999</v>
      </c>
      <c r="U13" s="571" t="str">
        <f>_xlfn.XLOOKUP(E13,'All Products'!D:D,'All Products'!O:O,FALSE)</f>
        <v>-</v>
      </c>
      <c r="V13" s="571">
        <f>_xlfn.XLOOKUP(E13,'All Products'!D:D,'All Products'!P:P,FALSE)</f>
        <v>44.16</v>
      </c>
      <c r="W13" s="571">
        <f>_xlfn.XLOOKUP(E13,'All Products'!D:D,'All Products'!Q:Q,FALSE)</f>
        <v>4.38</v>
      </c>
    </row>
    <row r="14" spans="1:23">
      <c r="A14" s="5" t="str">
        <f>IF(K14&gt;0,COUNT($A$7:A13)+COUNT('DWV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4" s="615"/>
      <c r="C14" s="616"/>
      <c r="D14" s="567" t="str">
        <f>_xlfn.XLOOKUP(E14,'All Products'!D:D,'All Products'!C:C,FALSE)</f>
        <v>854-120-1</v>
      </c>
      <c r="E14" s="1">
        <v>100027980</v>
      </c>
      <c r="F14" s="566" t="str">
        <f>_xlfn.XLOOKUP(E14,'All Products'!D:D,'All Products'!E:E,FALSE)</f>
        <v>12 VANSTONE FLANGE SLIP O-RING TYPE</v>
      </c>
      <c r="G14" s="568">
        <f>_xlfn.XLOOKUP(E14,'All Products'!D:D,'All Products'!F:F,FALSE)</f>
        <v>2</v>
      </c>
      <c r="H14" s="568" t="str">
        <f>_xlfn.XLOOKUP(E14,'All Products'!D:D,'All Products'!G:G,FALSE)</f>
        <v>-</v>
      </c>
      <c r="I14" s="565">
        <f>_xlfn.XLOOKUP(E14,'All Products'!D:D,'All Products'!H:H,FALSE)</f>
        <v>583.04999999999995</v>
      </c>
      <c r="J14" s="136">
        <f>ROUND(I14*Order_Quote!$L$10,2)</f>
        <v>2915.25</v>
      </c>
      <c r="K14" s="77"/>
      <c r="L14" s="16"/>
      <c r="M14" s="56">
        <f t="shared" si="0"/>
        <v>0</v>
      </c>
      <c r="O14" s="570" t="str">
        <f>_xlfn.XLOOKUP(E14,'All Products'!D:D,'All Products'!I:I,FALSE)</f>
        <v>Within 3 Weeks</v>
      </c>
      <c r="P14" s="570" t="str">
        <f>_xlfn.XLOOKUP(E14,'All Products'!D:D,'All Products'!J:J,FALSE)</f>
        <v>Manufactured</v>
      </c>
      <c r="Q14" s="570" t="str">
        <f>_xlfn.XLOOKUP(E14,'All Products'!D:D,'All Products'!K:K,FALSE)</f>
        <v>049081164850</v>
      </c>
      <c r="R14" s="570" t="str">
        <f>_xlfn.XLOOKUP(E14,'All Products'!D:D,'All Products'!L:L,FALSE)</f>
        <v>-</v>
      </c>
      <c r="S14" s="570" t="str">
        <f>_xlfn.XLOOKUP(E14,'All Products'!D:D,'All Products'!M:M,FALSE)</f>
        <v>40049081164858</v>
      </c>
      <c r="T14" s="571">
        <f>_xlfn.XLOOKUP(E14,'All Products'!D:D,'All Products'!N:N,FALSE)</f>
        <v>20.504000000000001</v>
      </c>
      <c r="U14" s="571" t="str">
        <f>_xlfn.XLOOKUP(E14,'All Products'!D:D,'All Products'!O:O,FALSE)</f>
        <v>-</v>
      </c>
      <c r="V14" s="571">
        <f>_xlfn.XLOOKUP(E14,'All Products'!D:D,'All Products'!P:P,FALSE)</f>
        <v>42.44</v>
      </c>
      <c r="W14" s="571">
        <f>_xlfn.XLOOKUP(E14,'All Products'!D:D,'All Products'!Q:Q,FALSE)</f>
        <v>3.96</v>
      </c>
    </row>
    <row r="15" spans="1:23" ht="26.25" customHeight="1">
      <c r="A15" s="5" t="str">
        <f>IF(K15&gt;0,COUNT($A$7:A14)+COUNT('DWV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5" s="613"/>
      <c r="C15" s="614"/>
      <c r="D15" s="567" t="str">
        <f>_xlfn.XLOOKUP(E15,'All Products'!D:D,'All Products'!C:C,FALSE)</f>
        <v>856-100-1</v>
      </c>
      <c r="E15" s="1">
        <v>100027983</v>
      </c>
      <c r="F15" s="566" t="str">
        <f>_xlfn.XLOOKUP(E15,'All Products'!D:D,'All Products'!E:E,FALSE)</f>
        <v>10 VANSTONE FLANGE SPG O-RING TYPE</v>
      </c>
      <c r="G15" s="568">
        <f>_xlfn.XLOOKUP(E15,'All Products'!D:D,'All Products'!F:F,FALSE)</f>
        <v>1</v>
      </c>
      <c r="H15" s="568" t="str">
        <f>_xlfn.XLOOKUP(E15,'All Products'!D:D,'All Products'!G:G,FALSE)</f>
        <v>-</v>
      </c>
      <c r="I15" s="565">
        <f>_xlfn.XLOOKUP(E15,'All Products'!D:D,'All Products'!H:H,FALSE)</f>
        <v>540.80999999999995</v>
      </c>
      <c r="J15" s="136">
        <f>ROUND(I15*Order_Quote!$L$10,2)</f>
        <v>2704.05</v>
      </c>
      <c r="K15" s="77"/>
      <c r="L15" s="16"/>
      <c r="M15" s="56">
        <f t="shared" si="0"/>
        <v>0</v>
      </c>
      <c r="O15" s="570" t="str">
        <f>_xlfn.XLOOKUP(E15,'All Products'!D:D,'All Products'!I:I,FALSE)</f>
        <v>Within 3 Weeks</v>
      </c>
      <c r="P15" s="570" t="str">
        <f>_xlfn.XLOOKUP(E15,'All Products'!D:D,'All Products'!J:J,FALSE)</f>
        <v>Manufactured</v>
      </c>
      <c r="Q15" s="570" t="str">
        <f>_xlfn.XLOOKUP(E15,'All Products'!D:D,'All Products'!K:K,FALSE)</f>
        <v>049081160586</v>
      </c>
      <c r="R15" s="570" t="str">
        <f>_xlfn.XLOOKUP(E15,'All Products'!D:D,'All Products'!L:L,FALSE)</f>
        <v>-</v>
      </c>
      <c r="S15" s="570" t="str">
        <f>_xlfn.XLOOKUP(E15,'All Products'!D:D,'All Products'!M:M,FALSE)</f>
        <v>40049081160584</v>
      </c>
      <c r="T15" s="571">
        <f>_xlfn.XLOOKUP(E15,'All Products'!D:D,'All Products'!N:N,FALSE)</f>
        <v>20.381</v>
      </c>
      <c r="U15" s="571" t="str">
        <f>_xlfn.XLOOKUP(E15,'All Products'!D:D,'All Products'!O:O,FALSE)</f>
        <v>-</v>
      </c>
      <c r="V15" s="571">
        <f>_xlfn.XLOOKUP(E15,'All Products'!D:D,'All Products'!P:P,FALSE)</f>
        <v>14.76</v>
      </c>
      <c r="W15" s="571">
        <f>_xlfn.XLOOKUP(E15,'All Products'!D:D,'All Products'!Q:Q,FALSE)</f>
        <v>1.25</v>
      </c>
    </row>
    <row r="16" spans="1:23" ht="26.25" customHeight="1">
      <c r="A16" s="5" t="str">
        <f>IF(K16&gt;0,COUNT($A$7:A15)+COUNT('DWV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Flange'!$A$8:$A$48)+1,"")</f>
        <v/>
      </c>
      <c r="B16" s="615"/>
      <c r="C16" s="616"/>
      <c r="D16" s="567" t="str">
        <f>_xlfn.XLOOKUP(E16,'All Products'!D:D,'All Products'!C:C,FALSE)</f>
        <v>856-120-1</v>
      </c>
      <c r="E16" s="1">
        <v>100027986</v>
      </c>
      <c r="F16" s="566" t="str">
        <f>_xlfn.XLOOKUP(E16,'All Products'!D:D,'All Products'!E:E,FALSE)</f>
        <v>12 VANSTONE FLANGE SPG O-RING TYPE</v>
      </c>
      <c r="G16" s="568">
        <f>_xlfn.XLOOKUP(E16,'All Products'!D:D,'All Products'!F:F,FALSE)</f>
        <v>2</v>
      </c>
      <c r="H16" s="568" t="str">
        <f>_xlfn.XLOOKUP(E16,'All Products'!D:D,'All Products'!G:G,FALSE)</f>
        <v>-</v>
      </c>
      <c r="I16" s="565">
        <f>_xlfn.XLOOKUP(E16,'All Products'!D:D,'All Products'!H:H,FALSE)</f>
        <v>583.04999999999995</v>
      </c>
      <c r="J16" s="136">
        <f>ROUND(I16*Order_Quote!$L$10,2)</f>
        <v>2915.25</v>
      </c>
      <c r="K16" s="77"/>
      <c r="L16" s="16"/>
      <c r="M16" s="56">
        <f t="shared" si="0"/>
        <v>0</v>
      </c>
      <c r="O16" s="570" t="str">
        <f>_xlfn.XLOOKUP(E16,'All Products'!D:D,'All Products'!I:I,FALSE)</f>
        <v>Within 3 Weeks</v>
      </c>
      <c r="P16" s="570" t="str">
        <f>_xlfn.XLOOKUP(E16,'All Products'!D:D,'All Products'!J:J,FALSE)</f>
        <v>Manufactured</v>
      </c>
      <c r="Q16" s="570" t="str">
        <f>_xlfn.XLOOKUP(E16,'All Products'!D:D,'All Products'!K:K,FALSE)</f>
        <v>049081160593</v>
      </c>
      <c r="R16" s="570" t="str">
        <f>_xlfn.XLOOKUP(E16,'All Products'!D:D,'All Products'!L:L,FALSE)</f>
        <v>-</v>
      </c>
      <c r="S16" s="570" t="str">
        <f>_xlfn.XLOOKUP(E16,'All Products'!D:D,'All Products'!M:M,FALSE)</f>
        <v>40049081160591</v>
      </c>
      <c r="T16" s="571">
        <f>_xlfn.XLOOKUP(E16,'All Products'!D:D,'All Products'!N:N,FALSE)</f>
        <v>8.0500000000000007</v>
      </c>
      <c r="U16" s="571" t="str">
        <f>_xlfn.XLOOKUP(E16,'All Products'!D:D,'All Products'!O:O,FALSE)</f>
        <v>-</v>
      </c>
      <c r="V16" s="571">
        <f>_xlfn.XLOOKUP(E16,'All Products'!D:D,'All Products'!P:P,FALSE)</f>
        <v>22.4</v>
      </c>
      <c r="W16" s="571">
        <f>_xlfn.XLOOKUP(E16,'All Products'!D:D,'All Products'!Q:Q,FALSE)</f>
        <v>3.96</v>
      </c>
    </row>
    <row r="17" spans="1:13">
      <c r="A17" s="5">
        <f>MAX(A8:A16)+1</f>
        <v>1</v>
      </c>
      <c r="B17" s="4"/>
      <c r="C17" s="4"/>
      <c r="M17" s="30"/>
    </row>
    <row r="18" spans="1:13"/>
    <row r="19" spans="1:13"/>
    <row r="20" spans="1:13"/>
    <row r="21" spans="1:13"/>
    <row r="22" spans="1:13"/>
    <row r="23" spans="1:13"/>
    <row r="24" spans="1:13"/>
    <row r="25" spans="1:13"/>
    <row r="26" spans="1:13"/>
    <row r="27" spans="1:13"/>
  </sheetData>
  <sheetProtection algorithmName="SHA-512" hashValue="v04f4N4J6FnR5bvtXiV4coWHnl8ungRS9E+Q+xORX3bSF9gK4j3FJCIfne+Ew8OL/piZGPRYajcV6Puda8/TAQ==" saltValue="rA7zLvRwAvrTte+nMHi3TA==" spinCount="100000" sheet="1" formatCells="0" formatColumns="0" formatRows="0" insertColumns="0" insertRows="0" insertHyperlinks="0" deleteColumns="0" deleteRows="0" sort="0" autoFilter="0" pivotTables="0"/>
  <mergeCells count="5">
    <mergeCell ref="B8:C10"/>
    <mergeCell ref="B11:C14"/>
    <mergeCell ref="B15:C16"/>
    <mergeCell ref="J2:K3"/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" xr:uid="{00000000-0002-0000-0B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B00-000002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00000000-0002-0000-0B00-000003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7" xr:uid="{00000000-0002-0000-0B00-000001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  <pageSetUpPr fitToPage="1"/>
  </sheetPr>
  <dimension ref="A1:T101"/>
  <sheetViews>
    <sheetView showGridLines="0" zoomScale="90" zoomScaleNormal="90" workbookViewId="0">
      <pane xSplit="6" ySplit="7" topLeftCell="G13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2.28515625" style="5" customWidth="1"/>
    <col min="2" max="3" width="8.7109375" style="2" customWidth="1"/>
    <col min="4" max="5" width="12.7109375" style="4" customWidth="1"/>
    <col min="6" max="6" width="49.42578125" style="8" customWidth="1"/>
    <col min="7" max="7" width="10.7109375" style="280" customWidth="1"/>
    <col min="8" max="8" width="10.7109375" style="4" customWidth="1"/>
    <col min="9" max="9" width="10.7109375" style="10" customWidth="1"/>
    <col min="10" max="10" width="10.42578125" style="18" customWidth="1"/>
    <col min="11" max="11" width="9.5703125" style="2" customWidth="1"/>
    <col min="12" max="12" width="1.140625" style="2" customWidth="1"/>
    <col min="13" max="13" width="12.7109375" style="2" customWidth="1"/>
    <col min="14" max="14" width="1.28515625" style="2" customWidth="1"/>
    <col min="15" max="15" width="12.7109375" style="8" customWidth="1"/>
    <col min="16" max="16" width="10.7109375" style="8" customWidth="1"/>
    <col min="17" max="17" width="11.7109375" style="8" customWidth="1"/>
    <col min="18" max="18" width="10.7109375" style="2" customWidth="1"/>
    <col min="19" max="19" width="13.140625" style="2" bestFit="1" customWidth="1"/>
    <col min="20" max="20" width="10.7109375" style="8" customWidth="1"/>
    <col min="21" max="16384" width="9.140625" style="2"/>
  </cols>
  <sheetData>
    <row r="1" spans="1:20" ht="18.75">
      <c r="F1" s="257" t="s">
        <v>356</v>
      </c>
      <c r="G1" s="531"/>
      <c r="H1" s="170"/>
      <c r="O1" s="170"/>
      <c r="P1" s="170"/>
      <c r="Q1" s="170"/>
      <c r="T1" s="170"/>
    </row>
    <row r="2" spans="1:20" ht="15.75">
      <c r="D2" s="19"/>
      <c r="E2" s="13"/>
      <c r="J2" s="585" t="s">
        <v>59</v>
      </c>
      <c r="K2" s="585"/>
    </row>
    <row r="3" spans="1:20">
      <c r="F3" s="436" t="s">
        <v>357</v>
      </c>
      <c r="J3" s="585"/>
      <c r="K3" s="585"/>
    </row>
    <row r="4" spans="1:20">
      <c r="E4" s="132" t="s">
        <v>358</v>
      </c>
      <c r="F4" s="440" t="s">
        <v>358</v>
      </c>
      <c r="I4" s="21"/>
      <c r="J4" s="10"/>
    </row>
    <row r="5" spans="1:20">
      <c r="F5" s="438" t="s">
        <v>329</v>
      </c>
      <c r="I5" s="21"/>
      <c r="J5" s="10"/>
    </row>
    <row r="6" spans="1:20">
      <c r="F6" s="17"/>
      <c r="I6" s="21"/>
      <c r="J6" s="10"/>
      <c r="O6" s="17"/>
      <c r="P6" s="17"/>
      <c r="Q6" s="576" t="s">
        <v>64</v>
      </c>
      <c r="R6" s="576"/>
      <c r="S6" s="576"/>
      <c r="T6" s="17"/>
    </row>
    <row r="7" spans="1:20" ht="36" customHeight="1" thickBot="1">
      <c r="A7" s="59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149" t="s">
        <v>66</v>
      </c>
      <c r="I7" s="176" t="s">
        <v>51</v>
      </c>
      <c r="J7" s="176" t="s">
        <v>55</v>
      </c>
      <c r="K7" s="60" t="s">
        <v>52</v>
      </c>
      <c r="L7" s="61"/>
      <c r="M7" s="62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</row>
    <row r="8" spans="1:20">
      <c r="A8" s="5" t="str">
        <f>IF(K8&gt;0,COUNT($A$7:A7)+COUNT('DWV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" s="611"/>
      <c r="C8" s="612"/>
      <c r="D8" s="572" t="str">
        <f>_xlfn.XLOOKUP(E8,'All Products'!D:D,'All Products'!C:C,FALSE)</f>
        <v>4101-005</v>
      </c>
      <c r="E8" s="6">
        <v>300006054</v>
      </c>
      <c r="F8" s="573" t="str">
        <f>_xlfn.XLOOKUP(E8,'All Products'!D:D,'All Products'!E:E,FALSE)</f>
        <v>CPVC TEE ASTM 1/2"</v>
      </c>
      <c r="G8" s="574">
        <f>_xlfn.XLOOKUP(E8,'All Products'!D:D,'All Products'!F:F,FALSE)</f>
        <v>500</v>
      </c>
      <c r="H8" s="574" t="str">
        <f>_xlfn.XLOOKUP(E8,'All Products'!D:D,'All Products'!G:G,FALSE)</f>
        <v>-</v>
      </c>
      <c r="I8" s="354">
        <f>_xlfn.XLOOKUP(E8,'All Products'!D:D,'All Products'!H:H,FALSE)</f>
        <v>3.91</v>
      </c>
      <c r="J8" s="134">
        <f>ROUNDUP(I8*Order_Quote!$L$11,2)</f>
        <v>19.55</v>
      </c>
      <c r="K8" s="72"/>
      <c r="L8" s="50"/>
      <c r="M8" s="47">
        <f t="shared" ref="M8:M38" si="0">K8/G8</f>
        <v>0</v>
      </c>
      <c r="O8" s="265" t="s">
        <v>359</v>
      </c>
      <c r="P8" s="265" t="s">
        <v>77</v>
      </c>
      <c r="Q8" s="265" t="s">
        <v>360</v>
      </c>
      <c r="R8" s="265">
        <v>0</v>
      </c>
      <c r="S8" s="265" t="s">
        <v>361</v>
      </c>
      <c r="T8" s="265">
        <v>3.5000000000000003E-2</v>
      </c>
    </row>
    <row r="9" spans="1:20">
      <c r="A9" s="5" t="str">
        <f>IF(K9&gt;0,COUNT($A$7:A8)+COUNT('DWV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" s="613"/>
      <c r="C9" s="614"/>
      <c r="D9" s="572" t="str">
        <f>_xlfn.XLOOKUP(E9,'All Products'!D:D,'All Products'!C:C,FALSE)</f>
        <v>4101-007</v>
      </c>
      <c r="E9" s="6">
        <v>300006053</v>
      </c>
      <c r="F9" s="573" t="str">
        <f>_xlfn.XLOOKUP(E9,'All Products'!D:D,'All Products'!E:E,FALSE)</f>
        <v>CPVC TEE ASTM 3/4"</v>
      </c>
      <c r="G9" s="574">
        <f>_xlfn.XLOOKUP(E9,'All Products'!D:D,'All Products'!F:F,FALSE)</f>
        <v>250</v>
      </c>
      <c r="H9" s="574" t="str">
        <f>_xlfn.XLOOKUP(E9,'All Products'!D:D,'All Products'!G:G,FALSE)</f>
        <v>-</v>
      </c>
      <c r="I9" s="354">
        <f>_xlfn.XLOOKUP(E9,'All Products'!D:D,'All Products'!H:H,FALSE)</f>
        <v>6.95</v>
      </c>
      <c r="J9" s="134">
        <f>ROUNDUP(I9*Order_Quote!$L$11,2)</f>
        <v>34.75</v>
      </c>
      <c r="K9" s="73"/>
      <c r="L9" s="50"/>
      <c r="M9" s="47">
        <f t="shared" si="0"/>
        <v>0</v>
      </c>
      <c r="O9" s="265" t="s">
        <v>359</v>
      </c>
      <c r="P9" s="265" t="s">
        <v>77</v>
      </c>
      <c r="Q9" s="265" t="s">
        <v>362</v>
      </c>
      <c r="R9" s="265">
        <v>0</v>
      </c>
      <c r="S9" s="265" t="s">
        <v>363</v>
      </c>
      <c r="T9" s="265">
        <v>6.8000000000000005E-2</v>
      </c>
    </row>
    <row r="10" spans="1:20">
      <c r="A10" s="5" t="str">
        <f>IF(K10&gt;0,COUNT($A$7:A9)+COUNT('DWV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0" s="613"/>
      <c r="C10" s="614"/>
      <c r="D10" s="572" t="str">
        <f>_xlfn.XLOOKUP(E10,'All Products'!D:D,'All Products'!C:C,FALSE)</f>
        <v>4101-010</v>
      </c>
      <c r="E10" s="22">
        <v>300005784</v>
      </c>
      <c r="F10" s="573" t="str">
        <f>_xlfn.XLOOKUP(E10,'All Products'!D:D,'All Products'!E:E,FALSE)</f>
        <v>CPVC TEE ASTM 1"</v>
      </c>
      <c r="G10" s="574">
        <f>_xlfn.XLOOKUP(E10,'All Products'!D:D,'All Products'!F:F,FALSE)</f>
        <v>100</v>
      </c>
      <c r="H10" s="574" t="str">
        <f>_xlfn.XLOOKUP(E10,'All Products'!D:D,'All Products'!G:G,FALSE)</f>
        <v>-</v>
      </c>
      <c r="I10" s="354">
        <f>_xlfn.XLOOKUP(E10,'All Products'!D:D,'All Products'!H:H,FALSE)</f>
        <v>36.36</v>
      </c>
      <c r="J10" s="134">
        <f>ROUNDUP(I10*Order_Quote!$L$11,2)</f>
        <v>181.8</v>
      </c>
      <c r="K10" s="73"/>
      <c r="L10" s="50"/>
      <c r="M10" s="52">
        <f t="shared" si="0"/>
        <v>0</v>
      </c>
      <c r="O10" s="265" t="s">
        <v>359</v>
      </c>
      <c r="P10" s="265" t="s">
        <v>77</v>
      </c>
      <c r="Q10" s="265">
        <v>0</v>
      </c>
      <c r="R10" s="265">
        <v>0</v>
      </c>
      <c r="S10" s="265">
        <v>0</v>
      </c>
      <c r="T10" s="265">
        <v>0.13900000000000001</v>
      </c>
    </row>
    <row r="11" spans="1:20">
      <c r="A11" s="5" t="str">
        <f>IF(K11&gt;0,COUNT($A$7:A10)+COUNT('DWV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1" s="613"/>
      <c r="C11" s="614"/>
      <c r="D11" s="572" t="str">
        <f>_xlfn.XLOOKUP(E11,'All Products'!D:D,'All Products'!C:C,FALSE)</f>
        <v>4101-012</v>
      </c>
      <c r="E11" s="6">
        <v>300005789</v>
      </c>
      <c r="F11" s="573" t="str">
        <f>_xlfn.XLOOKUP(E11,'All Products'!D:D,'All Products'!E:E,FALSE)</f>
        <v>CPVC TEE ASTM  1.1/4"</v>
      </c>
      <c r="G11" s="574">
        <f>_xlfn.XLOOKUP(E11,'All Products'!D:D,'All Products'!F:F,FALSE)</f>
        <v>100</v>
      </c>
      <c r="H11" s="574" t="str">
        <f>_xlfn.XLOOKUP(E11,'All Products'!D:D,'All Products'!G:G,FALSE)</f>
        <v>-</v>
      </c>
      <c r="I11" s="354">
        <f>_xlfn.XLOOKUP(E11,'All Products'!D:D,'All Products'!H:H,FALSE)</f>
        <v>55.81</v>
      </c>
      <c r="J11" s="134">
        <f>ROUNDUP(I11*Order_Quote!$L$11,2)</f>
        <v>279.05</v>
      </c>
      <c r="K11" s="73"/>
      <c r="L11" s="50"/>
      <c r="M11" s="47">
        <f t="shared" si="0"/>
        <v>0</v>
      </c>
      <c r="O11" s="265" t="s">
        <v>359</v>
      </c>
      <c r="P11" s="265" t="s">
        <v>77</v>
      </c>
      <c r="Q11" s="265" t="s">
        <v>364</v>
      </c>
      <c r="R11" s="265">
        <v>0</v>
      </c>
      <c r="S11" s="265">
        <v>0</v>
      </c>
      <c r="T11" s="265">
        <v>0.19400000000000001</v>
      </c>
    </row>
    <row r="12" spans="1:20">
      <c r="A12" s="5" t="str">
        <f>IF(K12&gt;0,COUNT($A$7:A11)+COUNT('DWV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2" s="613"/>
      <c r="C12" s="614"/>
      <c r="D12" s="572" t="str">
        <f>_xlfn.XLOOKUP(E12,'All Products'!D:D,'All Products'!C:C,FALSE)</f>
        <v>4101-015</v>
      </c>
      <c r="E12" s="6">
        <v>300005790</v>
      </c>
      <c r="F12" s="573" t="str">
        <f>_xlfn.XLOOKUP(E12,'All Products'!D:D,'All Products'!E:E,FALSE)</f>
        <v>CPVC TEE ASTM 1.1/2"</v>
      </c>
      <c r="G12" s="574">
        <f>_xlfn.XLOOKUP(E12,'All Products'!D:D,'All Products'!F:F,FALSE)</f>
        <v>100</v>
      </c>
      <c r="H12" s="574" t="str">
        <f>_xlfn.XLOOKUP(E12,'All Products'!D:D,'All Products'!G:G,FALSE)</f>
        <v>-</v>
      </c>
      <c r="I12" s="354">
        <f>_xlfn.XLOOKUP(E12,'All Products'!D:D,'All Products'!H:H,FALSE)</f>
        <v>72.69</v>
      </c>
      <c r="J12" s="134">
        <f>ROUNDUP(I12*Order_Quote!$L$11,2)</f>
        <v>363.45</v>
      </c>
      <c r="K12" s="73"/>
      <c r="L12" s="50"/>
      <c r="M12" s="47">
        <f t="shared" si="0"/>
        <v>0</v>
      </c>
      <c r="O12" s="265" t="s">
        <v>359</v>
      </c>
      <c r="P12" s="265" t="s">
        <v>77</v>
      </c>
      <c r="Q12" s="265" t="s">
        <v>365</v>
      </c>
      <c r="R12" s="265">
        <v>0</v>
      </c>
      <c r="S12" s="265">
        <v>0</v>
      </c>
      <c r="T12" s="265">
        <v>0.30599999999999999</v>
      </c>
    </row>
    <row r="13" spans="1:20">
      <c r="A13" s="5" t="str">
        <f>IF(K13&gt;0,COUNT($A$7:A12)+COUNT('DWV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3" s="615"/>
      <c r="C13" s="616"/>
      <c r="D13" s="572" t="str">
        <f>_xlfn.XLOOKUP(E13,'All Products'!D:D,'All Products'!C:C,FALSE)</f>
        <v>4101-020</v>
      </c>
      <c r="E13" s="6">
        <v>300005783</v>
      </c>
      <c r="F13" s="573" t="str">
        <f>_xlfn.XLOOKUP(E13,'All Products'!D:D,'All Products'!E:E,FALSE)</f>
        <v>CPVC TEE ASTM 2"</v>
      </c>
      <c r="G13" s="574">
        <f>_xlfn.XLOOKUP(E13,'All Products'!D:D,'All Products'!F:F,FALSE)</f>
        <v>50</v>
      </c>
      <c r="H13" s="574" t="str">
        <f>_xlfn.XLOOKUP(E13,'All Products'!D:D,'All Products'!G:G,FALSE)</f>
        <v>-</v>
      </c>
      <c r="I13" s="354">
        <f>_xlfn.XLOOKUP(E13,'All Products'!D:D,'All Products'!H:H,FALSE)</f>
        <v>121.28</v>
      </c>
      <c r="J13" s="134">
        <f>ROUNDUP(I13*Order_Quote!$L$11,2)</f>
        <v>606.4</v>
      </c>
      <c r="K13" s="73"/>
      <c r="L13" s="50"/>
      <c r="M13" s="47">
        <f t="shared" si="0"/>
        <v>0</v>
      </c>
      <c r="O13" s="265" t="s">
        <v>359</v>
      </c>
      <c r="P13" s="265" t="s">
        <v>77</v>
      </c>
      <c r="Q13" s="265" t="s">
        <v>366</v>
      </c>
      <c r="R13" s="265">
        <v>0</v>
      </c>
      <c r="S13" s="265">
        <v>0</v>
      </c>
      <c r="T13" s="265">
        <v>0.69199999999999995</v>
      </c>
    </row>
    <row r="14" spans="1:20">
      <c r="A14" s="5" t="str">
        <f>IF(K14&gt;0,COUNT($A$7:A13)+COUNT('DWV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4" s="611"/>
      <c r="C14" s="612"/>
      <c r="D14" s="572" t="str">
        <f>_xlfn.XLOOKUP(E14,'All Products'!D:D,'All Products'!C:C,FALSE)</f>
        <v>4101-094</v>
      </c>
      <c r="E14" s="6">
        <v>300005736</v>
      </c>
      <c r="F14" s="573" t="str">
        <f>_xlfn.XLOOKUP(E14,'All Products'!D:D,'All Products'!E:E,FALSE)</f>
        <v>3/4 X 1/2 X 1/2" CPVC REDUCTION TEE ASTM</v>
      </c>
      <c r="G14" s="574">
        <f>_xlfn.XLOOKUP(E14,'All Products'!D:D,'All Products'!F:F,FALSE)</f>
        <v>320</v>
      </c>
      <c r="H14" s="574" t="str">
        <f>_xlfn.XLOOKUP(E14,'All Products'!D:D,'All Products'!G:G,FALSE)</f>
        <v>-</v>
      </c>
      <c r="I14" s="354">
        <f>_xlfn.XLOOKUP(E14,'All Products'!D:D,'All Products'!H:H,FALSE)</f>
        <v>7.15</v>
      </c>
      <c r="J14" s="134">
        <f>ROUNDUP(I14*Order_Quote!$L$11,2)</f>
        <v>35.75</v>
      </c>
      <c r="K14" s="73"/>
      <c r="L14" s="50"/>
      <c r="M14" s="52">
        <f t="shared" si="0"/>
        <v>0</v>
      </c>
      <c r="O14" s="265" t="s">
        <v>359</v>
      </c>
      <c r="P14" s="265" t="s">
        <v>77</v>
      </c>
      <c r="Q14" s="265">
        <v>0</v>
      </c>
      <c r="R14" s="265">
        <v>0</v>
      </c>
      <c r="S14" s="265">
        <v>0</v>
      </c>
      <c r="T14" s="265">
        <v>7.0999999999999994E-2</v>
      </c>
    </row>
    <row r="15" spans="1:20">
      <c r="A15" s="5" t="str">
        <f>IF(K15&gt;0,COUNT($A$7:A14)+COUNT('DWV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5" s="613"/>
      <c r="C15" s="614"/>
      <c r="D15" s="572" t="str">
        <f>_xlfn.XLOOKUP(E15,'All Products'!D:D,'All Products'!C:C,FALSE)</f>
        <v>4101-095</v>
      </c>
      <c r="E15" s="6">
        <v>300005734</v>
      </c>
      <c r="F15" s="573" t="str">
        <f>_xlfn.XLOOKUP(E15,'All Products'!D:D,'All Products'!E:E,FALSE)</f>
        <v>3/4 X 1/2 X 3/4" CPVC REDUCTION TEE ASTM</v>
      </c>
      <c r="G15" s="574">
        <f>_xlfn.XLOOKUP(E15,'All Products'!D:D,'All Products'!F:F,FALSE)</f>
        <v>100</v>
      </c>
      <c r="H15" s="574" t="str">
        <f>_xlfn.XLOOKUP(E15,'All Products'!D:D,'All Products'!G:G,FALSE)</f>
        <v>-</v>
      </c>
      <c r="I15" s="354">
        <f>_xlfn.XLOOKUP(E15,'All Products'!D:D,'All Products'!H:H,FALSE)</f>
        <v>7.54</v>
      </c>
      <c r="J15" s="134">
        <f>ROUNDUP(I15*Order_Quote!$L$11,2)</f>
        <v>37.700000000000003</v>
      </c>
      <c r="K15" s="73"/>
      <c r="L15" s="50"/>
      <c r="M15" s="47">
        <f t="shared" si="0"/>
        <v>0</v>
      </c>
      <c r="O15" s="265" t="s">
        <v>359</v>
      </c>
      <c r="P15" s="265" t="s">
        <v>77</v>
      </c>
      <c r="Q15" s="265" t="s">
        <v>367</v>
      </c>
      <c r="R15" s="265">
        <v>0</v>
      </c>
      <c r="S15" s="265" t="s">
        <v>368</v>
      </c>
      <c r="T15" s="265">
        <v>7.0999999999999994E-2</v>
      </c>
    </row>
    <row r="16" spans="1:20">
      <c r="A16" s="5" t="str">
        <f>IF(K16&gt;0,COUNT($A$7:A15)+COUNT('DWV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6" s="613"/>
      <c r="C16" s="614"/>
      <c r="D16" s="572" t="str">
        <f>_xlfn.XLOOKUP(E16,'All Products'!D:D,'All Products'!C:C,FALSE)</f>
        <v>4101-101</v>
      </c>
      <c r="E16" s="6">
        <v>300005822</v>
      </c>
      <c r="F16" s="573" t="str">
        <f>_xlfn.XLOOKUP(E16,'All Products'!D:D,'All Products'!E:E,FALSE)</f>
        <v>3/4 X 3/4 X 1/2" CPVC REDUCTION TEE ASTM</v>
      </c>
      <c r="G16" s="574">
        <f>_xlfn.XLOOKUP(E16,'All Products'!D:D,'All Products'!F:F,FALSE)</f>
        <v>100</v>
      </c>
      <c r="H16" s="574" t="str">
        <f>_xlfn.XLOOKUP(E16,'All Products'!D:D,'All Products'!G:G,FALSE)</f>
        <v>-</v>
      </c>
      <c r="I16" s="354">
        <f>_xlfn.XLOOKUP(E16,'All Products'!D:D,'All Products'!H:H,FALSE)</f>
        <v>26.05</v>
      </c>
      <c r="J16" s="134">
        <f>ROUNDUP(I16*Order_Quote!$L$11,2)</f>
        <v>130.25</v>
      </c>
      <c r="K16" s="73"/>
      <c r="L16" s="50"/>
      <c r="M16" s="47">
        <f t="shared" si="0"/>
        <v>0</v>
      </c>
      <c r="O16" s="265" t="s">
        <v>369</v>
      </c>
      <c r="P16" s="265" t="s">
        <v>77</v>
      </c>
      <c r="Q16" s="265">
        <v>0</v>
      </c>
      <c r="R16" s="265">
        <v>0</v>
      </c>
      <c r="S16" s="265">
        <v>0</v>
      </c>
      <c r="T16" s="265">
        <v>7.0999999999999994E-2</v>
      </c>
    </row>
    <row r="17" spans="1:20">
      <c r="A17" s="5" t="str">
        <f>IF(K17&gt;0,COUNT($A$7:A16)+COUNT('DWV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7" s="613"/>
      <c r="C17" s="614"/>
      <c r="D17" s="572" t="str">
        <f>_xlfn.XLOOKUP(E17,'All Products'!D:D,'All Products'!C:C,FALSE)</f>
        <v>4101-130</v>
      </c>
      <c r="E17" s="6">
        <v>300005806</v>
      </c>
      <c r="F17" s="573" t="str">
        <f>_xlfn.XLOOKUP(E17,'All Products'!D:D,'All Products'!E:E,FALSE)</f>
        <v>1 X 1 X 1/2 CPVC REDUCTION TEE ASTM</v>
      </c>
      <c r="G17" s="574">
        <f>_xlfn.XLOOKUP(E17,'All Products'!D:D,'All Products'!F:F,FALSE)</f>
        <v>100</v>
      </c>
      <c r="H17" s="574" t="str">
        <f>_xlfn.XLOOKUP(E17,'All Products'!D:D,'All Products'!G:G,FALSE)</f>
        <v>-</v>
      </c>
      <c r="I17" s="354">
        <f>_xlfn.XLOOKUP(E17,'All Products'!D:D,'All Products'!H:H,FALSE)</f>
        <v>84.91</v>
      </c>
      <c r="J17" s="134">
        <f>ROUNDUP(I17*Order_Quote!$L$11,2)</f>
        <v>424.55</v>
      </c>
      <c r="K17" s="73"/>
      <c r="L17" s="50"/>
      <c r="M17" s="47">
        <f t="shared" si="0"/>
        <v>0</v>
      </c>
      <c r="O17" s="265" t="s">
        <v>369</v>
      </c>
      <c r="P17" s="265" t="s">
        <v>77</v>
      </c>
      <c r="Q17" s="265">
        <v>0</v>
      </c>
      <c r="R17" s="265">
        <v>0</v>
      </c>
      <c r="S17" s="265">
        <v>0</v>
      </c>
      <c r="T17" s="265">
        <v>9.9000000000000005E-2</v>
      </c>
    </row>
    <row r="18" spans="1:20" ht="15" customHeight="1">
      <c r="A18" s="5" t="str">
        <f>IF(K18&gt;0,COUNT($A$7:A17)+COUNT('DWV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8" s="613"/>
      <c r="C18" s="614"/>
      <c r="D18" s="572" t="str">
        <f>_xlfn.XLOOKUP(E18,'All Products'!D:D,'All Products'!C:C,FALSE)</f>
        <v>4101-131</v>
      </c>
      <c r="E18" s="6">
        <v>300005807</v>
      </c>
      <c r="F18" s="573" t="str">
        <f>_xlfn.XLOOKUP(E18,'All Products'!D:D,'All Products'!E:E,FALSE)</f>
        <v>1 X 1 X 3/4 CPVC REDUCTION TEE ASTM</v>
      </c>
      <c r="G18" s="574">
        <f>_xlfn.XLOOKUP(E18,'All Products'!D:D,'All Products'!F:F,FALSE)</f>
        <v>100</v>
      </c>
      <c r="H18" s="574" t="str">
        <f>_xlfn.XLOOKUP(E18,'All Products'!D:D,'All Products'!G:G,FALSE)</f>
        <v>-</v>
      </c>
      <c r="I18" s="354">
        <f>_xlfn.XLOOKUP(E18,'All Products'!D:D,'All Products'!H:H,FALSE)</f>
        <v>39.409999999999997</v>
      </c>
      <c r="J18" s="134">
        <f>ROUNDUP(I18*Order_Quote!$L$11,2)</f>
        <v>197.05</v>
      </c>
      <c r="K18" s="73"/>
      <c r="L18" s="50"/>
      <c r="M18" s="52">
        <f t="shared" si="0"/>
        <v>0</v>
      </c>
      <c r="O18" s="265" t="s">
        <v>369</v>
      </c>
      <c r="P18" s="265" t="s">
        <v>77</v>
      </c>
      <c r="Q18" s="265">
        <v>0</v>
      </c>
      <c r="R18" s="265">
        <v>0</v>
      </c>
      <c r="S18" s="265">
        <v>0</v>
      </c>
      <c r="T18" s="265">
        <v>0.11899999999999999</v>
      </c>
    </row>
    <row r="19" spans="1:20" ht="15" customHeight="1">
      <c r="A19" s="5" t="str">
        <f>IF(K19&gt;0,COUNT($A$7:A18)+COUNT('DWV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19" s="613"/>
      <c r="C19" s="614"/>
      <c r="D19" s="572" t="str">
        <f>_xlfn.XLOOKUP(E19,'All Products'!D:D,'All Products'!C:C,FALSE)</f>
        <v>4101-167</v>
      </c>
      <c r="E19" s="6">
        <v>300005814</v>
      </c>
      <c r="F19" s="573" t="str">
        <f>_xlfn.XLOOKUP(E19,'All Products'!D:D,'All Products'!E:E,FALSE)</f>
        <v>1.1/4 X 1.1/4 X 3/4 CPVC REDUCTION TEE ASTM</v>
      </c>
      <c r="G19" s="574">
        <f>_xlfn.XLOOKUP(E19,'All Products'!D:D,'All Products'!F:F,FALSE)</f>
        <v>100</v>
      </c>
      <c r="H19" s="574" t="str">
        <f>_xlfn.XLOOKUP(E19,'All Products'!D:D,'All Products'!G:G,FALSE)</f>
        <v>-</v>
      </c>
      <c r="I19" s="354">
        <f>_xlfn.XLOOKUP(E19,'All Products'!D:D,'All Products'!H:H,FALSE)</f>
        <v>171.49</v>
      </c>
      <c r="J19" s="134">
        <f>ROUNDUP(I19*Order_Quote!$L$11,2)</f>
        <v>857.45</v>
      </c>
      <c r="K19" s="73"/>
      <c r="L19" s="50"/>
      <c r="M19" s="52">
        <f t="shared" si="0"/>
        <v>0</v>
      </c>
      <c r="O19" s="265" t="s">
        <v>359</v>
      </c>
      <c r="P19" s="265" t="s">
        <v>77</v>
      </c>
      <c r="Q19" s="265">
        <v>0</v>
      </c>
      <c r="R19" s="265">
        <v>0</v>
      </c>
      <c r="S19" s="265">
        <v>0</v>
      </c>
      <c r="T19" s="265">
        <v>0.16800000000000001</v>
      </c>
    </row>
    <row r="20" spans="1:20" ht="15" customHeight="1">
      <c r="A20" s="5" t="str">
        <f>IF(K20&gt;0,COUNT($A$7:A19)+COUNT('DWV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0" s="613"/>
      <c r="C20" s="614"/>
      <c r="D20" s="572" t="str">
        <f>_xlfn.XLOOKUP(E20,'All Products'!D:D,'All Products'!C:C,FALSE)</f>
        <v>4101-210</v>
      </c>
      <c r="E20" s="6">
        <v>300005815</v>
      </c>
      <c r="F20" s="573" t="str">
        <f>_xlfn.XLOOKUP(E20,'All Products'!D:D,'All Products'!E:E,FALSE)</f>
        <v>1.1/2 X 1.1/2 X 3/4 CPVC REDUCTION TEE ASTM</v>
      </c>
      <c r="G20" s="574">
        <f>_xlfn.XLOOKUP(E20,'All Products'!D:D,'All Products'!F:F,FALSE)</f>
        <v>100</v>
      </c>
      <c r="H20" s="574" t="str">
        <f>_xlfn.XLOOKUP(E20,'All Products'!D:D,'All Products'!G:G,FALSE)</f>
        <v>-</v>
      </c>
      <c r="I20" s="354">
        <f>_xlfn.XLOOKUP(E20,'All Products'!D:D,'All Products'!H:H,FALSE)</f>
        <v>174.54</v>
      </c>
      <c r="J20" s="134">
        <f>ROUNDUP(I20*Order_Quote!$L$11,2)</f>
        <v>872.7</v>
      </c>
      <c r="K20" s="73"/>
      <c r="L20" s="50"/>
      <c r="M20" s="52">
        <f t="shared" si="0"/>
        <v>0</v>
      </c>
      <c r="O20" s="265" t="s">
        <v>369</v>
      </c>
      <c r="P20" s="265" t="s">
        <v>77</v>
      </c>
      <c r="Q20" s="265">
        <v>0</v>
      </c>
      <c r="R20" s="265">
        <v>0</v>
      </c>
      <c r="S20" s="265">
        <v>0</v>
      </c>
      <c r="T20" s="265">
        <v>0.24299999999999999</v>
      </c>
    </row>
    <row r="21" spans="1:20" ht="15" customHeight="1">
      <c r="A21" s="5" t="str">
        <f>IF(K21&gt;0,COUNT($A$7:A20)+COUNT('DWV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1" s="615"/>
      <c r="C21" s="616"/>
      <c r="D21" s="572" t="str">
        <f>_xlfn.XLOOKUP(E21,'All Products'!D:D,'All Products'!C:C,FALSE)</f>
        <v>4101-248</v>
      </c>
      <c r="E21" s="6">
        <v>300005808</v>
      </c>
      <c r="F21" s="573" t="str">
        <f>_xlfn.XLOOKUP(E21,'All Products'!D:D,'All Products'!E:E,FALSE)</f>
        <v>2 X 2 X 3/4 CPVC REDUCTION TEE ASTM</v>
      </c>
      <c r="G21" s="574">
        <f>_xlfn.XLOOKUP(E21,'All Products'!D:D,'All Products'!F:F,FALSE)</f>
        <v>50</v>
      </c>
      <c r="H21" s="574" t="str">
        <f>_xlfn.XLOOKUP(E21,'All Products'!D:D,'All Products'!G:G,FALSE)</f>
        <v>-</v>
      </c>
      <c r="I21" s="354">
        <f>_xlfn.XLOOKUP(E21,'All Products'!D:D,'All Products'!H:H,FALSE)</f>
        <v>188.92</v>
      </c>
      <c r="J21" s="134">
        <f>ROUNDUP(I21*Order_Quote!$L$11,2)</f>
        <v>944.6</v>
      </c>
      <c r="K21" s="73"/>
      <c r="L21" s="50"/>
      <c r="M21" s="47">
        <f t="shared" si="0"/>
        <v>0</v>
      </c>
      <c r="O21" s="265" t="s">
        <v>359</v>
      </c>
      <c r="P21" s="265" t="s">
        <v>77</v>
      </c>
      <c r="Q21" s="265">
        <v>0</v>
      </c>
      <c r="R21" s="265">
        <v>0</v>
      </c>
      <c r="S21" s="265">
        <v>0</v>
      </c>
      <c r="T21" s="265">
        <v>0.47199999999999998</v>
      </c>
    </row>
    <row r="22" spans="1:20" ht="15" customHeight="1">
      <c r="A22" s="5" t="str">
        <f>IF(K22&gt;0,COUNT($A$7:A21)+COUNT('DWV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2" s="611"/>
      <c r="C22" s="612"/>
      <c r="D22" s="572" t="str">
        <f>_xlfn.XLOOKUP(E22,'All Products'!D:D,'All Products'!C:C,FALSE)</f>
        <v>4106-005</v>
      </c>
      <c r="E22" s="6">
        <v>300006060</v>
      </c>
      <c r="F22" s="573" t="str">
        <f>_xlfn.XLOOKUP(E22,'All Products'!D:D,'All Products'!E:E,FALSE)</f>
        <v>90º CPVC ELBOW ASTM 1/2"</v>
      </c>
      <c r="G22" s="574">
        <f>_xlfn.XLOOKUP(E22,'All Products'!D:D,'All Products'!F:F,FALSE)</f>
        <v>500</v>
      </c>
      <c r="H22" s="574" t="str">
        <f>_xlfn.XLOOKUP(E22,'All Products'!D:D,'All Products'!G:G,FALSE)</f>
        <v>-</v>
      </c>
      <c r="I22" s="354">
        <f>_xlfn.XLOOKUP(E22,'All Products'!D:D,'All Products'!H:H,FALSE)</f>
        <v>2.89</v>
      </c>
      <c r="J22" s="134">
        <f>ROUNDUP(I22*Order_Quote!$L$11,2)</f>
        <v>14.45</v>
      </c>
      <c r="K22" s="73"/>
      <c r="L22" s="50"/>
      <c r="M22" s="47">
        <f t="shared" si="0"/>
        <v>0</v>
      </c>
      <c r="O22" s="265" t="s">
        <v>359</v>
      </c>
      <c r="P22" s="265" t="s">
        <v>77</v>
      </c>
      <c r="Q22" s="265" t="s">
        <v>370</v>
      </c>
      <c r="R22" s="265">
        <v>0</v>
      </c>
      <c r="S22" s="265" t="s">
        <v>371</v>
      </c>
      <c r="T22" s="265">
        <v>2.9000000000000001E-2</v>
      </c>
    </row>
    <row r="23" spans="1:20" ht="15" customHeight="1">
      <c r="A23" s="5" t="str">
        <f>IF(K23&gt;0,COUNT($A$7:A22)+COUNT('DWV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3" s="613"/>
      <c r="C23" s="614"/>
      <c r="D23" s="572" t="str">
        <f>_xlfn.XLOOKUP(E23,'All Products'!D:D,'All Products'!C:C,FALSE)</f>
        <v>4106-007</v>
      </c>
      <c r="E23" s="6">
        <v>300006059</v>
      </c>
      <c r="F23" s="573" t="str">
        <f>_xlfn.XLOOKUP(E23,'All Products'!D:D,'All Products'!E:E,FALSE)</f>
        <v>90º CPVC ELBOW ASTM 3/4"</v>
      </c>
      <c r="G23" s="574">
        <f>_xlfn.XLOOKUP(E23,'All Products'!D:D,'All Products'!F:F,FALSE)</f>
        <v>250</v>
      </c>
      <c r="H23" s="574" t="str">
        <f>_xlfn.XLOOKUP(E23,'All Products'!D:D,'All Products'!G:G,FALSE)</f>
        <v>-</v>
      </c>
      <c r="I23" s="354">
        <f>_xlfn.XLOOKUP(E23,'All Products'!D:D,'All Products'!H:H,FALSE)</f>
        <v>4.75</v>
      </c>
      <c r="J23" s="134">
        <f>ROUNDUP(I23*Order_Quote!$L$11,2)</f>
        <v>23.75</v>
      </c>
      <c r="K23" s="73"/>
      <c r="L23" s="50"/>
      <c r="M23" s="52">
        <f t="shared" si="0"/>
        <v>0</v>
      </c>
      <c r="O23" s="265" t="s">
        <v>359</v>
      </c>
      <c r="P23" s="265" t="s">
        <v>77</v>
      </c>
      <c r="Q23" s="265" t="s">
        <v>372</v>
      </c>
      <c r="R23" s="265">
        <v>0</v>
      </c>
      <c r="S23" s="265" t="s">
        <v>373</v>
      </c>
      <c r="T23" s="265">
        <v>5.7000000000000002E-2</v>
      </c>
    </row>
    <row r="24" spans="1:20" ht="15" customHeight="1">
      <c r="A24" s="5" t="str">
        <f>IF(K24&gt;0,COUNT($A$7:A23)+COUNT('DWV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4" s="613"/>
      <c r="C24" s="614"/>
      <c r="D24" s="572" t="str">
        <f>_xlfn.XLOOKUP(E24,'All Products'!D:D,'All Products'!C:C,FALSE)</f>
        <v>4106-010</v>
      </c>
      <c r="E24" s="6">
        <v>300005793</v>
      </c>
      <c r="F24" s="573" t="str">
        <f>_xlfn.XLOOKUP(E24,'All Products'!D:D,'All Products'!E:E,FALSE)</f>
        <v>90º CPVC ELBOW ASTM 1"</v>
      </c>
      <c r="G24" s="574">
        <f>_xlfn.XLOOKUP(E24,'All Products'!D:D,'All Products'!F:F,FALSE)</f>
        <v>100</v>
      </c>
      <c r="H24" s="574" t="str">
        <f>_xlfn.XLOOKUP(E24,'All Products'!D:D,'All Products'!G:G,FALSE)</f>
        <v>-</v>
      </c>
      <c r="I24" s="354">
        <f>_xlfn.XLOOKUP(E24,'All Products'!D:D,'All Products'!H:H,FALSE)</f>
        <v>13.86</v>
      </c>
      <c r="J24" s="134">
        <f>ROUNDUP(I24*Order_Quote!$L$11,2)</f>
        <v>69.3</v>
      </c>
      <c r="K24" s="73"/>
      <c r="L24" s="50"/>
      <c r="M24" s="47">
        <f t="shared" si="0"/>
        <v>0</v>
      </c>
      <c r="O24" s="265" t="s">
        <v>359</v>
      </c>
      <c r="P24" s="265" t="s">
        <v>77</v>
      </c>
      <c r="Q24" s="265" t="s">
        <v>374</v>
      </c>
      <c r="R24" s="265">
        <v>0</v>
      </c>
      <c r="S24" s="265">
        <v>0</v>
      </c>
      <c r="T24" s="265">
        <v>0.108</v>
      </c>
    </row>
    <row r="25" spans="1:20" ht="15" customHeight="1">
      <c r="A25" s="5" t="str">
        <f>IF(K25&gt;0,COUNT($A$7:A24)+COUNT('DWV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5" s="613"/>
      <c r="C25" s="614"/>
      <c r="D25" s="572" t="str">
        <f>_xlfn.XLOOKUP(E25,'All Products'!D:D,'All Products'!C:C,FALSE)</f>
        <v>4106-012</v>
      </c>
      <c r="E25" s="6">
        <v>300005800</v>
      </c>
      <c r="F25" s="573" t="str">
        <f>_xlfn.XLOOKUP(E25,'All Products'!D:D,'All Products'!E:E,FALSE)</f>
        <v>90º CPVC ELBOW ASTM  1.1/4"</v>
      </c>
      <c r="G25" s="574">
        <f>_xlfn.XLOOKUP(E25,'All Products'!D:D,'All Products'!F:F,FALSE)</f>
        <v>100</v>
      </c>
      <c r="H25" s="574" t="str">
        <f>_xlfn.XLOOKUP(E25,'All Products'!D:D,'All Products'!G:G,FALSE)</f>
        <v>-</v>
      </c>
      <c r="I25" s="354">
        <f>_xlfn.XLOOKUP(E25,'All Products'!D:D,'All Products'!H:H,FALSE)</f>
        <v>27.65</v>
      </c>
      <c r="J25" s="134">
        <f>ROUNDUP(I25*Order_Quote!$L$11,2)</f>
        <v>138.25</v>
      </c>
      <c r="K25" s="73"/>
      <c r="L25" s="50"/>
      <c r="M25" s="47">
        <f t="shared" si="0"/>
        <v>0</v>
      </c>
      <c r="O25" s="265" t="s">
        <v>359</v>
      </c>
      <c r="P25" s="265" t="s">
        <v>77</v>
      </c>
      <c r="Q25" s="265" t="s">
        <v>375</v>
      </c>
      <c r="R25" s="265">
        <v>0</v>
      </c>
      <c r="S25" s="265">
        <v>0</v>
      </c>
      <c r="T25" s="265">
        <v>0.17399999999999999</v>
      </c>
    </row>
    <row r="26" spans="1:20" ht="15" customHeight="1">
      <c r="A26" s="5" t="str">
        <f>IF(K26&gt;0,COUNT($A$7:A25)+COUNT('DWV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6" s="613"/>
      <c r="C26" s="614"/>
      <c r="D26" s="572" t="str">
        <f>_xlfn.XLOOKUP(E26,'All Products'!D:D,'All Products'!C:C,FALSE)</f>
        <v>4106-015</v>
      </c>
      <c r="E26" s="6">
        <v>300005801</v>
      </c>
      <c r="F26" s="573" t="str">
        <f>_xlfn.XLOOKUP(E26,'All Products'!D:D,'All Products'!E:E,FALSE)</f>
        <v>90º CPVC ELBOW ASTM  1.1/2"</v>
      </c>
      <c r="G26" s="574">
        <f>_xlfn.XLOOKUP(E26,'All Products'!D:D,'All Products'!F:F,FALSE)</f>
        <v>100</v>
      </c>
      <c r="H26" s="574" t="str">
        <f>_xlfn.XLOOKUP(E26,'All Products'!D:D,'All Products'!G:G,FALSE)</f>
        <v>-</v>
      </c>
      <c r="I26" s="354">
        <f>_xlfn.XLOOKUP(E26,'All Products'!D:D,'All Products'!H:H,FALSE)</f>
        <v>49.86</v>
      </c>
      <c r="J26" s="134">
        <f>ROUNDUP(I26*Order_Quote!$L$11,2)</f>
        <v>249.3</v>
      </c>
      <c r="K26" s="73"/>
      <c r="L26" s="50"/>
      <c r="M26" s="47">
        <f t="shared" si="0"/>
        <v>0</v>
      </c>
      <c r="O26" s="265" t="s">
        <v>359</v>
      </c>
      <c r="P26" s="265" t="s">
        <v>77</v>
      </c>
      <c r="Q26" s="265">
        <v>0</v>
      </c>
      <c r="R26" s="265">
        <v>0</v>
      </c>
      <c r="S26" s="265">
        <v>0</v>
      </c>
      <c r="T26" s="265">
        <v>0.27600000000000002</v>
      </c>
    </row>
    <row r="27" spans="1:20" ht="15" customHeight="1">
      <c r="A27" s="5" t="str">
        <f>IF(K27&gt;0,COUNT($A$7:A26)+COUNT('DWV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7" s="615"/>
      <c r="C27" s="616"/>
      <c r="D27" s="572" t="str">
        <f>_xlfn.XLOOKUP(E27,'All Products'!D:D,'All Products'!C:C,FALSE)</f>
        <v>4106-020</v>
      </c>
      <c r="E27" s="130">
        <v>300005794</v>
      </c>
      <c r="F27" s="573" t="str">
        <f>_xlfn.XLOOKUP(E27,'All Products'!D:D,'All Products'!E:E,FALSE)</f>
        <v>90º CPVC ELBOW ASTM 2"</v>
      </c>
      <c r="G27" s="574">
        <f>_xlfn.XLOOKUP(E27,'All Products'!D:D,'All Products'!F:F,FALSE)</f>
        <v>50</v>
      </c>
      <c r="H27" s="574" t="str">
        <f>_xlfn.XLOOKUP(E27,'All Products'!D:D,'All Products'!G:G,FALSE)</f>
        <v>-</v>
      </c>
      <c r="I27" s="354">
        <f>_xlfn.XLOOKUP(E27,'All Products'!D:D,'All Products'!H:H,FALSE)</f>
        <v>95.66</v>
      </c>
      <c r="J27" s="134">
        <f>ROUNDUP(I27*Order_Quote!$L$11,2)</f>
        <v>478.3</v>
      </c>
      <c r="K27" s="73"/>
      <c r="L27" s="50"/>
      <c r="M27" s="52">
        <f t="shared" si="0"/>
        <v>0</v>
      </c>
      <c r="O27" s="265" t="s">
        <v>359</v>
      </c>
      <c r="P27" s="265" t="s">
        <v>77</v>
      </c>
      <c r="Q27" s="265">
        <v>0</v>
      </c>
      <c r="R27" s="265">
        <v>0</v>
      </c>
      <c r="S27" s="265">
        <v>0</v>
      </c>
      <c r="T27" s="265">
        <v>0.6</v>
      </c>
    </row>
    <row r="28" spans="1:20" ht="15" customHeight="1">
      <c r="A28" s="5" t="str">
        <f>IF(K28&gt;0,COUNT($A$7:A27)+COUNT('DWV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8" s="611"/>
      <c r="C28" s="612"/>
      <c r="D28" s="572" t="str">
        <f>_xlfn.XLOOKUP(E28,'All Products'!D:D,'All Products'!C:C,FALSE)</f>
        <v>4109-005</v>
      </c>
      <c r="E28" s="130">
        <v>300005727</v>
      </c>
      <c r="F28" s="573" t="str">
        <f>_xlfn.XLOOKUP(E28,'All Products'!D:D,'All Products'!E:E,FALSE)</f>
        <v>90 CPVC 1/2  STREET ELBOW</v>
      </c>
      <c r="G28" s="574">
        <f>_xlfn.XLOOKUP(E28,'All Products'!D:D,'All Products'!F:F,FALSE)</f>
        <v>500</v>
      </c>
      <c r="H28" s="574" t="str">
        <f>_xlfn.XLOOKUP(E28,'All Products'!D:D,'All Products'!G:G,FALSE)</f>
        <v>-</v>
      </c>
      <c r="I28" s="354">
        <f>_xlfn.XLOOKUP(E28,'All Products'!D:D,'All Products'!H:H,FALSE)</f>
        <v>3.6</v>
      </c>
      <c r="J28" s="134">
        <f>ROUNDUP(I28*Order_Quote!$L$11,2)</f>
        <v>18</v>
      </c>
      <c r="K28" s="73"/>
      <c r="L28" s="50"/>
      <c r="M28" s="47">
        <f t="shared" si="0"/>
        <v>0</v>
      </c>
      <c r="O28" s="265" t="s">
        <v>359</v>
      </c>
      <c r="P28" s="265" t="s">
        <v>77</v>
      </c>
      <c r="Q28" s="265">
        <v>0</v>
      </c>
      <c r="R28" s="265">
        <v>0</v>
      </c>
      <c r="S28" s="265">
        <v>0</v>
      </c>
      <c r="T28" s="265">
        <v>2.9000000000000001E-2</v>
      </c>
    </row>
    <row r="29" spans="1:20" ht="15" customHeight="1">
      <c r="A29" s="5" t="str">
        <f>IF(K29&gt;0,COUNT($A$7:A28)+COUNT('DWV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29" s="613"/>
      <c r="C29" s="614"/>
      <c r="D29" s="572" t="str">
        <f>_xlfn.XLOOKUP(E29,'All Products'!D:D,'All Products'!C:C,FALSE)</f>
        <v>4109-007</v>
      </c>
      <c r="E29" s="130">
        <v>300005724</v>
      </c>
      <c r="F29" s="573" t="str">
        <f>_xlfn.XLOOKUP(E29,'All Products'!D:D,'All Products'!E:E,FALSE)</f>
        <v>90 CPVC 3/4 STREET ELBOW</v>
      </c>
      <c r="G29" s="574">
        <f>_xlfn.XLOOKUP(E29,'All Products'!D:D,'All Products'!F:F,FALSE)</f>
        <v>250</v>
      </c>
      <c r="H29" s="574" t="str">
        <f>_xlfn.XLOOKUP(E29,'All Products'!D:D,'All Products'!G:G,FALSE)</f>
        <v>-</v>
      </c>
      <c r="I29" s="354">
        <f>_xlfn.XLOOKUP(E29,'All Products'!D:D,'All Products'!H:H,FALSE)</f>
        <v>6.28</v>
      </c>
      <c r="J29" s="134">
        <f>ROUNDUP(I29*Order_Quote!$L$11,2)</f>
        <v>31.4</v>
      </c>
      <c r="K29" s="73"/>
      <c r="L29" s="50"/>
      <c r="M29" s="47">
        <f t="shared" si="0"/>
        <v>0</v>
      </c>
      <c r="O29" s="265" t="s">
        <v>359</v>
      </c>
      <c r="P29" s="265" t="s">
        <v>77</v>
      </c>
      <c r="Q29" s="265">
        <v>0</v>
      </c>
      <c r="R29" s="265">
        <v>0</v>
      </c>
      <c r="S29" s="265">
        <v>0</v>
      </c>
      <c r="T29" s="265">
        <v>5.7000000000000002E-2</v>
      </c>
    </row>
    <row r="30" spans="1:20" ht="15" customHeight="1">
      <c r="A30" s="5" t="str">
        <f>IF(K30&gt;0,COUNT($A$7:A29)+COUNT('DWV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0" s="615"/>
      <c r="C30" s="616"/>
      <c r="D30" s="572" t="str">
        <f>_xlfn.XLOOKUP(E30,'All Products'!D:D,'All Products'!C:C,FALSE)</f>
        <v>4109-010</v>
      </c>
      <c r="E30" s="130">
        <v>300005719</v>
      </c>
      <c r="F30" s="573" t="str">
        <f>_xlfn.XLOOKUP(E30,'All Products'!D:D,'All Products'!E:E,FALSE)</f>
        <v>90 CPVC 1 STREET ELBOW</v>
      </c>
      <c r="G30" s="574">
        <f>_xlfn.XLOOKUP(E30,'All Products'!D:D,'All Products'!F:F,FALSE)</f>
        <v>100</v>
      </c>
      <c r="H30" s="574" t="str">
        <f>_xlfn.XLOOKUP(E30,'All Products'!D:D,'All Products'!G:G,FALSE)</f>
        <v>-</v>
      </c>
      <c r="I30" s="354">
        <f>_xlfn.XLOOKUP(E30,'All Products'!D:D,'All Products'!H:H,FALSE)</f>
        <v>25.75</v>
      </c>
      <c r="J30" s="134">
        <f>ROUNDUP(I30*Order_Quote!$L$11,2)</f>
        <v>128.75</v>
      </c>
      <c r="K30" s="73"/>
      <c r="L30" s="50"/>
      <c r="M30" s="47">
        <f t="shared" si="0"/>
        <v>0</v>
      </c>
      <c r="O30" s="265" t="s">
        <v>359</v>
      </c>
      <c r="P30" s="265" t="s">
        <v>77</v>
      </c>
      <c r="Q30" s="265">
        <v>0</v>
      </c>
      <c r="R30" s="265">
        <v>0</v>
      </c>
      <c r="S30" s="265">
        <v>0</v>
      </c>
      <c r="T30" s="265">
        <v>3.6999999999999998E-2</v>
      </c>
    </row>
    <row r="31" spans="1:20" ht="15" customHeight="1">
      <c r="A31" s="5" t="str">
        <f>IF(K31&gt;0,COUNT($A$7:A30)+COUNT('DWV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1" s="611"/>
      <c r="C31" s="612"/>
      <c r="D31" s="572" t="str">
        <f>_xlfn.XLOOKUP(E31,'All Products'!D:D,'All Products'!C:C,FALSE)</f>
        <v>4117-005</v>
      </c>
      <c r="E31" s="130">
        <v>300006062</v>
      </c>
      <c r="F31" s="573" t="str">
        <f>_xlfn.XLOOKUP(E31,'All Products'!D:D,'All Products'!E:E,FALSE)</f>
        <v>45º CPVC ELBOW ASTM 1/2"</v>
      </c>
      <c r="G31" s="574">
        <f>_xlfn.XLOOKUP(E31,'All Products'!D:D,'All Products'!F:F,FALSE)</f>
        <v>500</v>
      </c>
      <c r="H31" s="574" t="str">
        <f>_xlfn.XLOOKUP(E31,'All Products'!D:D,'All Products'!G:G,FALSE)</f>
        <v>-</v>
      </c>
      <c r="I31" s="354">
        <f>_xlfn.XLOOKUP(E31,'All Products'!D:D,'All Products'!H:H,FALSE)</f>
        <v>3.85</v>
      </c>
      <c r="J31" s="134">
        <f>ROUNDUP(I31*Order_Quote!$L$11,2)</f>
        <v>19.25</v>
      </c>
      <c r="K31" s="73"/>
      <c r="L31" s="50"/>
      <c r="M31" s="52">
        <f t="shared" si="0"/>
        <v>0</v>
      </c>
      <c r="O31" s="265" t="s">
        <v>369</v>
      </c>
      <c r="P31" s="265" t="s">
        <v>77</v>
      </c>
      <c r="Q31" s="265" t="s">
        <v>376</v>
      </c>
      <c r="R31" s="265">
        <v>0</v>
      </c>
      <c r="S31" s="265" t="s">
        <v>377</v>
      </c>
      <c r="T31" s="265">
        <v>2.4E-2</v>
      </c>
    </row>
    <row r="32" spans="1:20" ht="15" customHeight="1">
      <c r="A32" s="5" t="str">
        <f>IF(K32&gt;0,COUNT($A$7:A31)+COUNT('DWV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2" s="613"/>
      <c r="C32" s="614"/>
      <c r="D32" s="572" t="str">
        <f>_xlfn.XLOOKUP(E32,'All Products'!D:D,'All Products'!C:C,FALSE)</f>
        <v>4117-007</v>
      </c>
      <c r="E32" s="130">
        <v>300006061</v>
      </c>
      <c r="F32" s="573" t="str">
        <f>_xlfn.XLOOKUP(E32,'All Products'!D:D,'All Products'!E:E,FALSE)</f>
        <v>45º CPVC ELBOW ASTM 3/4"</v>
      </c>
      <c r="G32" s="574">
        <f>_xlfn.XLOOKUP(E32,'All Products'!D:D,'All Products'!F:F,FALSE)</f>
        <v>250</v>
      </c>
      <c r="H32" s="574" t="str">
        <f>_xlfn.XLOOKUP(E32,'All Products'!D:D,'All Products'!G:G,FALSE)</f>
        <v>-</v>
      </c>
      <c r="I32" s="354">
        <f>_xlfn.XLOOKUP(E32,'All Products'!D:D,'All Products'!H:H,FALSE)</f>
        <v>6.7</v>
      </c>
      <c r="J32" s="134">
        <f>ROUNDUP(I32*Order_Quote!$L$11,2)</f>
        <v>33.5</v>
      </c>
      <c r="K32" s="73"/>
      <c r="L32" s="50"/>
      <c r="M32" s="47">
        <f t="shared" si="0"/>
        <v>0</v>
      </c>
      <c r="O32" s="265" t="s">
        <v>359</v>
      </c>
      <c r="P32" s="265" t="s">
        <v>77</v>
      </c>
      <c r="Q32" s="265" t="s">
        <v>378</v>
      </c>
      <c r="R32" s="265">
        <v>0</v>
      </c>
      <c r="S32" s="265" t="s">
        <v>379</v>
      </c>
      <c r="T32" s="265">
        <v>4.9000000000000002E-2</v>
      </c>
    </row>
    <row r="33" spans="1:20">
      <c r="A33" s="5" t="str">
        <f>IF(K33&gt;0,COUNT($A$7:A32)+COUNT('DWV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3" s="613"/>
      <c r="C33" s="614"/>
      <c r="D33" s="572" t="str">
        <f>_xlfn.XLOOKUP(E33,'All Products'!D:D,'All Products'!C:C,FALSE)</f>
        <v>4117-010</v>
      </c>
      <c r="E33" s="130">
        <v>300005791</v>
      </c>
      <c r="F33" s="573" t="str">
        <f>_xlfn.XLOOKUP(E33,'All Products'!D:D,'All Products'!E:E,FALSE)</f>
        <v>45º CPVC ELBOW ASTM 1"</v>
      </c>
      <c r="G33" s="574">
        <f>_xlfn.XLOOKUP(E33,'All Products'!D:D,'All Products'!F:F,FALSE)</f>
        <v>100</v>
      </c>
      <c r="H33" s="574" t="str">
        <f>_xlfn.XLOOKUP(E33,'All Products'!D:D,'All Products'!G:G,FALSE)</f>
        <v>-</v>
      </c>
      <c r="I33" s="354">
        <f>_xlfn.XLOOKUP(E33,'All Products'!D:D,'All Products'!H:H,FALSE)</f>
        <v>16.100000000000001</v>
      </c>
      <c r="J33" s="134">
        <f>ROUNDUP(I33*Order_Quote!$L$11,2)</f>
        <v>80.5</v>
      </c>
      <c r="K33" s="73"/>
      <c r="L33" s="50"/>
      <c r="M33" s="47">
        <f t="shared" si="0"/>
        <v>0</v>
      </c>
      <c r="O33" s="265" t="s">
        <v>359</v>
      </c>
      <c r="P33" s="265" t="s">
        <v>77</v>
      </c>
      <c r="Q33" s="265" t="s">
        <v>380</v>
      </c>
      <c r="R33" s="265">
        <v>0</v>
      </c>
      <c r="S33" s="265">
        <v>0</v>
      </c>
      <c r="T33" s="265">
        <v>7.9000000000000001E-2</v>
      </c>
    </row>
    <row r="34" spans="1:20">
      <c r="A34" s="5" t="str">
        <f>IF(K34&gt;0,COUNT($A$7:A33)+COUNT('DWV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4" s="613"/>
      <c r="C34" s="614"/>
      <c r="D34" s="572" t="str">
        <f>_xlfn.XLOOKUP(E34,'All Products'!D:D,'All Products'!C:C,FALSE)</f>
        <v>4117-012</v>
      </c>
      <c r="E34" s="130">
        <v>300005804</v>
      </c>
      <c r="F34" s="573" t="str">
        <f>_xlfn.XLOOKUP(E34,'All Products'!D:D,'All Products'!E:E,FALSE)</f>
        <v>45º CPVC ELBOW ASTM  1.1/4"</v>
      </c>
      <c r="G34" s="574">
        <f>_xlfn.XLOOKUP(E34,'All Products'!D:D,'All Products'!F:F,FALSE)</f>
        <v>100</v>
      </c>
      <c r="H34" s="574" t="str">
        <f>_xlfn.XLOOKUP(E34,'All Products'!D:D,'All Products'!G:G,FALSE)</f>
        <v>-</v>
      </c>
      <c r="I34" s="354">
        <f>_xlfn.XLOOKUP(E34,'All Products'!D:D,'All Products'!H:H,FALSE)</f>
        <v>36.020000000000003</v>
      </c>
      <c r="J34" s="134">
        <f>ROUNDUP(I34*Order_Quote!$L$11,2)</f>
        <v>180.1</v>
      </c>
      <c r="K34" s="73"/>
      <c r="L34" s="50"/>
      <c r="M34" s="47">
        <f t="shared" si="0"/>
        <v>0</v>
      </c>
      <c r="O34" s="265" t="s">
        <v>359</v>
      </c>
      <c r="P34" s="265" t="s">
        <v>77</v>
      </c>
      <c r="Q34" s="265" t="s">
        <v>381</v>
      </c>
      <c r="R34" s="265">
        <v>0</v>
      </c>
      <c r="S34" s="265">
        <v>0</v>
      </c>
      <c r="T34" s="265">
        <v>0.13</v>
      </c>
    </row>
    <row r="35" spans="1:20">
      <c r="A35" s="5" t="str">
        <f>IF(K35&gt;0,COUNT($A$7:A34)+COUNT('DWV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5" s="613"/>
      <c r="C35" s="614"/>
      <c r="D35" s="572" t="str">
        <f>_xlfn.XLOOKUP(E35,'All Products'!D:D,'All Products'!C:C,FALSE)</f>
        <v>4117-015</v>
      </c>
      <c r="E35" s="130">
        <v>300005799</v>
      </c>
      <c r="F35" s="573" t="str">
        <f>_xlfn.XLOOKUP(E35,'All Products'!D:D,'All Products'!E:E,FALSE)</f>
        <v>45º CPVC ELBOW ASTM  1.1/2"</v>
      </c>
      <c r="G35" s="574">
        <f>_xlfn.XLOOKUP(E35,'All Products'!D:D,'All Products'!F:F,FALSE)</f>
        <v>100</v>
      </c>
      <c r="H35" s="574" t="str">
        <f>_xlfn.XLOOKUP(E35,'All Products'!D:D,'All Products'!G:G,FALSE)</f>
        <v>-</v>
      </c>
      <c r="I35" s="354">
        <f>_xlfn.XLOOKUP(E35,'All Products'!D:D,'All Products'!H:H,FALSE)</f>
        <v>52.19</v>
      </c>
      <c r="J35" s="134">
        <f>ROUNDUP(I35*Order_Quote!$L$11,2)</f>
        <v>260.95</v>
      </c>
      <c r="K35" s="73"/>
      <c r="L35" s="50"/>
      <c r="M35" s="52">
        <f t="shared" si="0"/>
        <v>0</v>
      </c>
      <c r="O35" s="265" t="s">
        <v>359</v>
      </c>
      <c r="P35" s="265" t="s">
        <v>77</v>
      </c>
      <c r="Q35" s="265">
        <v>0</v>
      </c>
      <c r="R35" s="265">
        <v>0</v>
      </c>
      <c r="S35" s="265">
        <v>0</v>
      </c>
      <c r="T35" s="265">
        <v>0.20499999999999999</v>
      </c>
    </row>
    <row r="36" spans="1:20">
      <c r="A36" s="5" t="str">
        <f>IF(K36&gt;0,COUNT($A$7:A35)+COUNT('DWV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6" s="615"/>
      <c r="C36" s="616"/>
      <c r="D36" s="572" t="str">
        <f>_xlfn.XLOOKUP(E36,'All Products'!D:D,'All Products'!C:C,FALSE)</f>
        <v>4117-020</v>
      </c>
      <c r="E36" s="130">
        <v>300005792</v>
      </c>
      <c r="F36" s="573" t="str">
        <f>_xlfn.XLOOKUP(E36,'All Products'!D:D,'All Products'!E:E,FALSE)</f>
        <v>45º CPVC ELBOW ASTM      2"</v>
      </c>
      <c r="G36" s="574">
        <f>_xlfn.XLOOKUP(E36,'All Products'!D:D,'All Products'!F:F,FALSE)</f>
        <v>50</v>
      </c>
      <c r="H36" s="574" t="str">
        <f>_xlfn.XLOOKUP(E36,'All Products'!D:D,'All Products'!G:G,FALSE)</f>
        <v>-</v>
      </c>
      <c r="I36" s="354">
        <f>_xlfn.XLOOKUP(E36,'All Products'!D:D,'All Products'!H:H,FALSE)</f>
        <v>103.33</v>
      </c>
      <c r="J36" s="134">
        <f>ROUNDUP(I36*Order_Quote!$L$11,2)</f>
        <v>516.65</v>
      </c>
      <c r="K36" s="73"/>
      <c r="L36" s="50"/>
      <c r="M36" s="47">
        <f t="shared" si="0"/>
        <v>0</v>
      </c>
      <c r="O36" s="265" t="s">
        <v>359</v>
      </c>
      <c r="P36" s="265" t="s">
        <v>77</v>
      </c>
      <c r="Q36" s="265">
        <v>0</v>
      </c>
      <c r="R36" s="265">
        <v>0</v>
      </c>
      <c r="S36" s="265">
        <v>0</v>
      </c>
      <c r="T36" s="265">
        <v>0.45600000000000002</v>
      </c>
    </row>
    <row r="37" spans="1:20">
      <c r="A37" s="5" t="str">
        <f>IF(K37&gt;0,COUNT($A$7:A36)+COUNT('DWV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7" s="611"/>
      <c r="C37" s="612"/>
      <c r="D37" s="572" t="str">
        <f>_xlfn.XLOOKUP(E37,'All Products'!D:D,'All Products'!C:C,FALSE)</f>
        <v>4127-005</v>
      </c>
      <c r="E37" s="130">
        <v>300005725</v>
      </c>
      <c r="F37" s="573" t="str">
        <f>_xlfn.XLOOKUP(E37,'All Products'!D:D,'All Products'!E:E,FALSE)</f>
        <v>45 CPVC 1/2 STREET ELBOW</v>
      </c>
      <c r="G37" s="574">
        <f>_xlfn.XLOOKUP(E37,'All Products'!D:D,'All Products'!F:F,FALSE)</f>
        <v>500</v>
      </c>
      <c r="H37" s="574" t="str">
        <f>_xlfn.XLOOKUP(E37,'All Products'!D:D,'All Products'!G:G,FALSE)</f>
        <v>-</v>
      </c>
      <c r="I37" s="354">
        <f>_xlfn.XLOOKUP(E37,'All Products'!D:D,'All Products'!H:H,FALSE)</f>
        <v>21.84</v>
      </c>
      <c r="J37" s="134">
        <f>ROUNDUP(I37*Order_Quote!$L$11,2)</f>
        <v>109.2</v>
      </c>
      <c r="K37" s="73"/>
      <c r="L37" s="50"/>
      <c r="M37" s="52">
        <f t="shared" si="0"/>
        <v>0</v>
      </c>
      <c r="O37" s="265" t="s">
        <v>359</v>
      </c>
      <c r="P37" s="265" t="s">
        <v>77</v>
      </c>
      <c r="Q37" s="265">
        <v>0</v>
      </c>
      <c r="R37" s="265">
        <v>0</v>
      </c>
      <c r="S37" s="265">
        <v>0</v>
      </c>
      <c r="T37" s="265">
        <v>7.0000000000000001E-3</v>
      </c>
    </row>
    <row r="38" spans="1:20">
      <c r="A38" s="5" t="str">
        <f>IF(K38&gt;0,COUNT($A$7:A37)+COUNT('DWV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8" s="613"/>
      <c r="C38" s="614"/>
      <c r="D38" s="572" t="str">
        <f>_xlfn.XLOOKUP(E38,'All Products'!D:D,'All Products'!C:C,FALSE)</f>
        <v>4127-007</v>
      </c>
      <c r="E38" s="130">
        <v>300005726</v>
      </c>
      <c r="F38" s="573" t="str">
        <f>_xlfn.XLOOKUP(E38,'All Products'!D:D,'All Products'!E:E,FALSE)</f>
        <v>45 CPVC 3/4 STREET ELBOW</v>
      </c>
      <c r="G38" s="574">
        <f>_xlfn.XLOOKUP(E38,'All Products'!D:D,'All Products'!F:F,FALSE)</f>
        <v>250</v>
      </c>
      <c r="H38" s="574" t="str">
        <f>_xlfn.XLOOKUP(E38,'All Products'!D:D,'All Products'!G:G,FALSE)</f>
        <v>-</v>
      </c>
      <c r="I38" s="354">
        <f>_xlfn.XLOOKUP(E38,'All Products'!D:D,'All Products'!H:H,FALSE)</f>
        <v>10.94</v>
      </c>
      <c r="J38" s="134">
        <f>ROUNDUP(I38*Order_Quote!$L$11,2)</f>
        <v>54.7</v>
      </c>
      <c r="K38" s="73"/>
      <c r="L38" s="50"/>
      <c r="M38" s="47">
        <f t="shared" si="0"/>
        <v>0</v>
      </c>
      <c r="O38" s="265" t="s">
        <v>369</v>
      </c>
      <c r="P38" s="265" t="s">
        <v>77</v>
      </c>
      <c r="Q38" s="265">
        <v>0</v>
      </c>
      <c r="R38" s="265">
        <v>0</v>
      </c>
      <c r="S38" s="265">
        <v>0</v>
      </c>
      <c r="T38" s="265">
        <v>1.4E-2</v>
      </c>
    </row>
    <row r="39" spans="1:20">
      <c r="A39" s="5" t="str">
        <f>IF(K39&gt;0,COUNT($A$7:A38)+COUNT('DWV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39" s="615"/>
      <c r="C39" s="616"/>
      <c r="D39" s="572" t="str">
        <f>_xlfn.XLOOKUP(E39,'All Products'!D:D,'All Products'!C:C,FALSE)</f>
        <v>4127-010</v>
      </c>
      <c r="E39" s="130">
        <v>300005720</v>
      </c>
      <c r="F39" s="573" t="str">
        <f>_xlfn.XLOOKUP(E39,'All Products'!D:D,'All Products'!E:E,FALSE)</f>
        <v>45 CPVC 1 STREET ELBOW</v>
      </c>
      <c r="G39" s="574">
        <f>_xlfn.XLOOKUP(E39,'All Products'!D:D,'All Products'!F:F,FALSE)</f>
        <v>100</v>
      </c>
      <c r="H39" s="574" t="str">
        <f>_xlfn.XLOOKUP(E39,'All Products'!D:D,'All Products'!G:G,FALSE)</f>
        <v>-</v>
      </c>
      <c r="I39" s="354">
        <f>_xlfn.XLOOKUP(E39,'All Products'!D:D,'All Products'!H:H,FALSE)</f>
        <v>76.790000000000006</v>
      </c>
      <c r="J39" s="134">
        <f>ROUNDUP(I39*Order_Quote!$L$11,2)</f>
        <v>383.95</v>
      </c>
      <c r="K39" s="73"/>
      <c r="L39" s="50"/>
      <c r="M39" s="52">
        <f t="shared" ref="M39:M70" si="1">K39/G39</f>
        <v>0</v>
      </c>
      <c r="O39" s="265" t="s">
        <v>369</v>
      </c>
      <c r="P39" s="265" t="s">
        <v>77</v>
      </c>
      <c r="Q39" s="265">
        <v>0</v>
      </c>
      <c r="R39" s="265">
        <v>0</v>
      </c>
      <c r="S39" s="265">
        <v>0</v>
      </c>
      <c r="T39" s="265">
        <v>2.8000000000000001E-2</v>
      </c>
    </row>
    <row r="40" spans="1:20">
      <c r="A40" s="5" t="str">
        <f>IF(K40&gt;0,COUNT($A$7:A39)+COUNT('DWV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0" s="611"/>
      <c r="C40" s="612"/>
      <c r="D40" s="572" t="str">
        <f>_xlfn.XLOOKUP(E40,'All Products'!D:D,'All Products'!C:C,FALSE)</f>
        <v>4129-005</v>
      </c>
      <c r="E40" s="130">
        <v>300006058</v>
      </c>
      <c r="F40" s="573" t="str">
        <f>_xlfn.XLOOKUP(E40,'All Products'!D:D,'All Products'!E:E,FALSE)</f>
        <v>CPVC COUPLING ASTM 1/2"</v>
      </c>
      <c r="G40" s="574">
        <f>_xlfn.XLOOKUP(E40,'All Products'!D:D,'All Products'!F:F,FALSE)</f>
        <v>500</v>
      </c>
      <c r="H40" s="574" t="str">
        <f>_xlfn.XLOOKUP(E40,'All Products'!D:D,'All Products'!G:G,FALSE)</f>
        <v>-</v>
      </c>
      <c r="I40" s="354">
        <f>_xlfn.XLOOKUP(E40,'All Products'!D:D,'All Products'!H:H,FALSE)</f>
        <v>2.5</v>
      </c>
      <c r="J40" s="134">
        <f>ROUNDUP(I40*Order_Quote!$L$11,2)</f>
        <v>12.5</v>
      </c>
      <c r="K40" s="73"/>
      <c r="L40" s="50"/>
      <c r="M40" s="47">
        <f t="shared" si="1"/>
        <v>0</v>
      </c>
      <c r="O40" s="265" t="s">
        <v>359</v>
      </c>
      <c r="P40" s="265" t="s">
        <v>77</v>
      </c>
      <c r="Q40" s="265" t="s">
        <v>382</v>
      </c>
      <c r="R40" s="265">
        <v>0</v>
      </c>
      <c r="S40" s="265" t="s">
        <v>383</v>
      </c>
      <c r="T40" s="265">
        <v>1.7999999999999999E-2</v>
      </c>
    </row>
    <row r="41" spans="1:20">
      <c r="A41" s="5" t="str">
        <f>IF(K41&gt;0,COUNT($A$7:A40)+COUNT('DWV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1" s="613"/>
      <c r="C41" s="614"/>
      <c r="D41" s="572" t="str">
        <f>_xlfn.XLOOKUP(E41,'All Products'!D:D,'All Products'!C:C,FALSE)</f>
        <v>4129-007</v>
      </c>
      <c r="E41" s="130">
        <v>300006057</v>
      </c>
      <c r="F41" s="573" t="str">
        <f>_xlfn.XLOOKUP(E41,'All Products'!D:D,'All Products'!E:E,FALSE)</f>
        <v>CPVC COUPLING ASTM 3/4"</v>
      </c>
      <c r="G41" s="574">
        <f>_xlfn.XLOOKUP(E41,'All Products'!D:D,'All Products'!F:F,FALSE)</f>
        <v>250</v>
      </c>
      <c r="H41" s="574" t="str">
        <f>_xlfn.XLOOKUP(E41,'All Products'!D:D,'All Products'!G:G,FALSE)</f>
        <v>-</v>
      </c>
      <c r="I41" s="354">
        <f>_xlfn.XLOOKUP(E41,'All Products'!D:D,'All Products'!H:H,FALSE)</f>
        <v>4.01</v>
      </c>
      <c r="J41" s="134">
        <f>ROUNDUP(I41*Order_Quote!$L$11,2)</f>
        <v>20.05</v>
      </c>
      <c r="K41" s="73"/>
      <c r="L41" s="50"/>
      <c r="M41" s="52">
        <f t="shared" si="1"/>
        <v>0</v>
      </c>
      <c r="O41" s="265" t="s">
        <v>359</v>
      </c>
      <c r="P41" s="265" t="s">
        <v>77</v>
      </c>
      <c r="Q41" s="265" t="s">
        <v>384</v>
      </c>
      <c r="R41" s="265">
        <v>0</v>
      </c>
      <c r="S41" s="265" t="s">
        <v>385</v>
      </c>
      <c r="T41" s="265">
        <v>3.1E-2</v>
      </c>
    </row>
    <row r="42" spans="1:20">
      <c r="A42" s="5" t="str">
        <f>IF(K42&gt;0,COUNT($A$7:A41)+COUNT('DWV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2" s="613"/>
      <c r="C42" s="614"/>
      <c r="D42" s="572" t="str">
        <f>_xlfn.XLOOKUP(E42,'All Products'!D:D,'All Products'!C:C,FALSE)</f>
        <v>4129-010</v>
      </c>
      <c r="E42" s="130">
        <v>300005795</v>
      </c>
      <c r="F42" s="573" t="str">
        <f>_xlfn.XLOOKUP(E42,'All Products'!D:D,'All Products'!E:E,FALSE)</f>
        <v>CPVC COUPLING ASTM 1"</v>
      </c>
      <c r="G42" s="574">
        <f>_xlfn.XLOOKUP(E42,'All Products'!D:D,'All Products'!F:F,FALSE)</f>
        <v>100</v>
      </c>
      <c r="H42" s="574" t="str">
        <f>_xlfn.XLOOKUP(E42,'All Products'!D:D,'All Products'!G:G,FALSE)</f>
        <v>-</v>
      </c>
      <c r="I42" s="354">
        <f>_xlfn.XLOOKUP(E42,'All Products'!D:D,'All Products'!H:H,FALSE)</f>
        <v>14.08</v>
      </c>
      <c r="J42" s="134">
        <f>ROUNDUP(I42*Order_Quote!$L$11,2)</f>
        <v>70.400000000000006</v>
      </c>
      <c r="K42" s="73"/>
      <c r="L42" s="50"/>
      <c r="M42" s="47">
        <f t="shared" si="1"/>
        <v>0</v>
      </c>
      <c r="O42" s="265" t="s">
        <v>359</v>
      </c>
      <c r="P42" s="265" t="s">
        <v>77</v>
      </c>
      <c r="Q42" s="265" t="s">
        <v>386</v>
      </c>
      <c r="R42" s="265">
        <v>0</v>
      </c>
      <c r="S42" s="265">
        <v>0</v>
      </c>
      <c r="T42" s="265">
        <v>0.06</v>
      </c>
    </row>
    <row r="43" spans="1:20">
      <c r="A43" s="5" t="str">
        <f>IF(K43&gt;0,COUNT($A$7:A42)+COUNT('DWV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3" s="613"/>
      <c r="C43" s="614"/>
      <c r="D43" s="572" t="str">
        <f>_xlfn.XLOOKUP(E43,'All Products'!D:D,'All Products'!C:C,FALSE)</f>
        <v>4129-012</v>
      </c>
      <c r="E43" s="130">
        <v>300005802</v>
      </c>
      <c r="F43" s="573" t="str">
        <f>_xlfn.XLOOKUP(E43,'All Products'!D:D,'All Products'!E:E,FALSE)</f>
        <v>CPVC COUPLING ASTM 1.1/4</v>
      </c>
      <c r="G43" s="574">
        <f>_xlfn.XLOOKUP(E43,'All Products'!D:D,'All Products'!F:F,FALSE)</f>
        <v>100</v>
      </c>
      <c r="H43" s="574" t="str">
        <f>_xlfn.XLOOKUP(E43,'All Products'!D:D,'All Products'!G:G,FALSE)</f>
        <v>-</v>
      </c>
      <c r="I43" s="354">
        <f>_xlfn.XLOOKUP(E43,'All Products'!D:D,'All Products'!H:H,FALSE)</f>
        <v>19.260000000000002</v>
      </c>
      <c r="J43" s="134">
        <f>ROUNDUP(I43*Order_Quote!$L$11,2)</f>
        <v>96.3</v>
      </c>
      <c r="K43" s="73"/>
      <c r="L43" s="50"/>
      <c r="M43" s="52">
        <f t="shared" si="1"/>
        <v>0</v>
      </c>
      <c r="O43" s="265" t="s">
        <v>359</v>
      </c>
      <c r="P43" s="265" t="s">
        <v>77</v>
      </c>
      <c r="Q43" s="265" t="s">
        <v>387</v>
      </c>
      <c r="R43" s="265">
        <v>0</v>
      </c>
      <c r="S43" s="265">
        <v>0</v>
      </c>
      <c r="T43" s="265">
        <v>0.09</v>
      </c>
    </row>
    <row r="44" spans="1:20">
      <c r="A44" s="5" t="str">
        <f>IF(K44&gt;0,COUNT($A$7:A43)+COUNT('DWV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4" s="613"/>
      <c r="C44" s="614"/>
      <c r="D44" s="572" t="str">
        <f>_xlfn.XLOOKUP(E44,'All Products'!D:D,'All Products'!C:C,FALSE)</f>
        <v>4129-015</v>
      </c>
      <c r="E44" s="130">
        <v>300005803</v>
      </c>
      <c r="F44" s="573" t="str">
        <f>_xlfn.XLOOKUP(E44,'All Products'!D:D,'All Products'!E:E,FALSE)</f>
        <v>CPVC COUPLING ASTM 1.1/2</v>
      </c>
      <c r="G44" s="574">
        <f>_xlfn.XLOOKUP(E44,'All Products'!D:D,'All Products'!F:F,FALSE)</f>
        <v>100</v>
      </c>
      <c r="H44" s="574" t="str">
        <f>_xlfn.XLOOKUP(E44,'All Products'!D:D,'All Products'!G:G,FALSE)</f>
        <v>-</v>
      </c>
      <c r="I44" s="354">
        <f>_xlfn.XLOOKUP(E44,'All Products'!D:D,'All Products'!H:H,FALSE)</f>
        <v>29.66</v>
      </c>
      <c r="J44" s="134">
        <f>ROUNDUP(I44*Order_Quote!$L$11,2)</f>
        <v>148.30000000000001</v>
      </c>
      <c r="K44" s="73"/>
      <c r="L44" s="50"/>
      <c r="M44" s="47">
        <f t="shared" si="1"/>
        <v>0</v>
      </c>
      <c r="O44" s="265" t="s">
        <v>359</v>
      </c>
      <c r="P44" s="265" t="s">
        <v>77</v>
      </c>
      <c r="Q44" s="265">
        <v>0</v>
      </c>
      <c r="R44" s="265">
        <v>0</v>
      </c>
      <c r="S44" s="265">
        <v>0</v>
      </c>
      <c r="T44" s="265">
        <v>0.13400000000000001</v>
      </c>
    </row>
    <row r="45" spans="1:20">
      <c r="A45" s="5" t="str">
        <f>IF(K45&gt;0,COUNT($A$7:A44)+COUNT('DWV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5" s="615"/>
      <c r="C45" s="616"/>
      <c r="D45" s="572" t="str">
        <f>_xlfn.XLOOKUP(E45,'All Products'!D:D,'All Products'!C:C,FALSE)</f>
        <v>4129-020</v>
      </c>
      <c r="E45" s="130">
        <v>300005796</v>
      </c>
      <c r="F45" s="573" t="str">
        <f>_xlfn.XLOOKUP(E45,'All Products'!D:D,'All Products'!E:E,FALSE)</f>
        <v>CPVC COUPLING ASTM 2"</v>
      </c>
      <c r="G45" s="574">
        <f>_xlfn.XLOOKUP(E45,'All Products'!D:D,'All Products'!F:F,FALSE)</f>
        <v>50</v>
      </c>
      <c r="H45" s="574" t="str">
        <f>_xlfn.XLOOKUP(E45,'All Products'!D:D,'All Products'!G:G,FALSE)</f>
        <v>-</v>
      </c>
      <c r="I45" s="354">
        <f>_xlfn.XLOOKUP(E45,'All Products'!D:D,'All Products'!H:H,FALSE)</f>
        <v>49.07</v>
      </c>
      <c r="J45" s="134">
        <f>ROUNDUP(I45*Order_Quote!$L$11,2)</f>
        <v>245.35</v>
      </c>
      <c r="K45" s="73"/>
      <c r="L45" s="50"/>
      <c r="M45" s="52">
        <f t="shared" si="1"/>
        <v>0</v>
      </c>
      <c r="O45" s="265" t="s">
        <v>359</v>
      </c>
      <c r="P45" s="265" t="s">
        <v>77</v>
      </c>
      <c r="Q45" s="265">
        <v>0</v>
      </c>
      <c r="R45" s="265">
        <v>0</v>
      </c>
      <c r="S45" s="265">
        <v>0</v>
      </c>
      <c r="T45" s="265">
        <v>0.317</v>
      </c>
    </row>
    <row r="46" spans="1:20">
      <c r="A46" s="5" t="str">
        <f>IF(K46&gt;0,COUNT($A$7:A45)+COUNT('DWV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6" s="258"/>
      <c r="C46" s="259"/>
      <c r="D46" s="572" t="str">
        <f>_xlfn.XLOOKUP(E46,'All Products'!D:D,'All Products'!C:C,FALSE)</f>
        <v>4129-101</v>
      </c>
      <c r="E46" s="130">
        <v>300005728</v>
      </c>
      <c r="F46" s="573" t="str">
        <f>_xlfn.XLOOKUP(E46,'All Products'!D:D,'All Products'!E:E,FALSE)</f>
        <v>CPVC RED COUPLING 3/4X1/2"</v>
      </c>
      <c r="G46" s="574">
        <f>_xlfn.XLOOKUP(E46,'All Products'!D:D,'All Products'!F:F,FALSE)</f>
        <v>750</v>
      </c>
      <c r="H46" s="574" t="str">
        <f>_xlfn.XLOOKUP(E46,'All Products'!D:D,'All Products'!G:G,FALSE)</f>
        <v>-</v>
      </c>
      <c r="I46" s="354">
        <f>_xlfn.XLOOKUP(E46,'All Products'!D:D,'All Products'!H:H,FALSE)</f>
        <v>5.76</v>
      </c>
      <c r="J46" s="134">
        <f>ROUNDUP(I46*Order_Quote!$L$11,2)</f>
        <v>28.8</v>
      </c>
      <c r="K46" s="73"/>
      <c r="L46" s="50"/>
      <c r="M46" s="52">
        <f t="shared" si="1"/>
        <v>0</v>
      </c>
      <c r="O46" s="265" t="s">
        <v>369</v>
      </c>
      <c r="P46" s="265" t="s">
        <v>77</v>
      </c>
      <c r="Q46" s="265">
        <v>0</v>
      </c>
      <c r="R46" s="265">
        <v>0</v>
      </c>
      <c r="S46" s="265">
        <v>0</v>
      </c>
      <c r="T46" s="265">
        <v>0.01</v>
      </c>
    </row>
    <row r="47" spans="1:20" ht="14.25" customHeight="1">
      <c r="A47" s="5" t="str">
        <f>IF(K47&gt;0,COUNT($A$7:A46)+COUNT('DWV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7" s="261"/>
      <c r="C47" s="262"/>
      <c r="D47" s="572" t="str">
        <f>_xlfn.XLOOKUP(E47,'All Products'!D:D,'All Products'!C:C,FALSE)</f>
        <v>4129-131</v>
      </c>
      <c r="E47" s="130">
        <v>300005723</v>
      </c>
      <c r="F47" s="573" t="str">
        <f>_xlfn.XLOOKUP(E47,'All Products'!D:D,'All Products'!E:E,FALSE)</f>
        <v>CPVC RED COUPLING 1X3/4"</v>
      </c>
      <c r="G47" s="574">
        <f>_xlfn.XLOOKUP(E47,'All Products'!D:D,'All Products'!F:F,FALSE)</f>
        <v>350</v>
      </c>
      <c r="H47" s="574" t="str">
        <f>_xlfn.XLOOKUP(E47,'All Products'!D:D,'All Products'!G:G,FALSE)</f>
        <v>-</v>
      </c>
      <c r="I47" s="354">
        <f>_xlfn.XLOOKUP(E47,'All Products'!D:D,'All Products'!H:H,FALSE)</f>
        <v>8.6</v>
      </c>
      <c r="J47" s="134">
        <f>ROUNDUP(I47*Order_Quote!$L$11,2)</f>
        <v>43</v>
      </c>
      <c r="K47" s="73"/>
      <c r="L47" s="50"/>
      <c r="M47" s="52">
        <f t="shared" si="1"/>
        <v>0</v>
      </c>
      <c r="O47" s="265" t="s">
        <v>369</v>
      </c>
      <c r="P47" s="265" t="s">
        <v>77</v>
      </c>
      <c r="Q47" s="265">
        <v>0</v>
      </c>
      <c r="R47" s="265">
        <v>0</v>
      </c>
      <c r="S47" s="265">
        <v>0</v>
      </c>
      <c r="T47" s="265">
        <v>1.7999999999999999E-2</v>
      </c>
    </row>
    <row r="48" spans="1:20">
      <c r="A48" s="5" t="str">
        <f>IF(K48&gt;0,COUNT($A$7:A47)+COUNT('DWV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8" s="260"/>
      <c r="C48" s="16"/>
      <c r="D48" s="572" t="str">
        <f>_xlfn.XLOOKUP(E48,'All Products'!D:D,'All Products'!C:C,FALSE)</f>
        <v>4135-005</v>
      </c>
      <c r="E48" s="130">
        <v>300005721</v>
      </c>
      <c r="F48" s="573" t="str">
        <f>_xlfn.XLOOKUP(E48,'All Products'!D:D,'All Products'!E:E,FALSE)</f>
        <v>1/2" CPVC FEMALE ADAPTER</v>
      </c>
      <c r="G48" s="574">
        <f>_xlfn.XLOOKUP(E48,'All Products'!D:D,'All Products'!F:F,FALSE)</f>
        <v>500</v>
      </c>
      <c r="H48" s="574" t="str">
        <f>_xlfn.XLOOKUP(E48,'All Products'!D:D,'All Products'!G:G,FALSE)</f>
        <v>-</v>
      </c>
      <c r="I48" s="354">
        <f>_xlfn.XLOOKUP(E48,'All Products'!D:D,'All Products'!H:H,FALSE)</f>
        <v>10.5</v>
      </c>
      <c r="J48" s="134">
        <f>ROUNDUP(I48*Order_Quote!$L$11,2)</f>
        <v>52.5</v>
      </c>
      <c r="K48" s="73"/>
      <c r="L48" s="50"/>
      <c r="M48" s="52">
        <f t="shared" si="1"/>
        <v>0</v>
      </c>
      <c r="O48" s="265" t="s">
        <v>369</v>
      </c>
      <c r="P48" s="265" t="s">
        <v>77</v>
      </c>
      <c r="Q48" s="265">
        <v>0</v>
      </c>
      <c r="R48" s="265">
        <v>0</v>
      </c>
      <c r="S48" s="265">
        <v>0</v>
      </c>
      <c r="T48" s="265">
        <v>0.01</v>
      </c>
    </row>
    <row r="49" spans="1:20">
      <c r="A49" s="5" t="str">
        <f>IF(K49&gt;0,COUNT($A$7:A48)+COUNT('DWV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49" s="260"/>
      <c r="C49" s="16"/>
      <c r="D49" s="572" t="str">
        <f>_xlfn.XLOOKUP(E49,'All Products'!D:D,'All Products'!C:C,FALSE)</f>
        <v>4135-007</v>
      </c>
      <c r="E49" s="130">
        <v>300005722</v>
      </c>
      <c r="F49" s="573" t="str">
        <f>_xlfn.XLOOKUP(E49,'All Products'!D:D,'All Products'!E:E,FALSE)</f>
        <v>3/4" CPVC FEMALE ADAPTER</v>
      </c>
      <c r="G49" s="574">
        <f>_xlfn.XLOOKUP(E49,'All Products'!D:D,'All Products'!F:F,FALSE)</f>
        <v>250</v>
      </c>
      <c r="H49" s="574" t="str">
        <f>_xlfn.XLOOKUP(E49,'All Products'!D:D,'All Products'!G:G,FALSE)</f>
        <v>-</v>
      </c>
      <c r="I49" s="354">
        <f>_xlfn.XLOOKUP(E49,'All Products'!D:D,'All Products'!H:H,FALSE)</f>
        <v>14.99</v>
      </c>
      <c r="J49" s="134">
        <f>ROUNDUP(I49*Order_Quote!$L$11,2)</f>
        <v>74.95</v>
      </c>
      <c r="K49" s="73"/>
      <c r="L49" s="50"/>
      <c r="M49" s="52">
        <f t="shared" si="1"/>
        <v>0</v>
      </c>
      <c r="O49" s="265" t="s">
        <v>359</v>
      </c>
      <c r="P49" s="265" t="s">
        <v>77</v>
      </c>
      <c r="Q49" s="265" t="s">
        <v>388</v>
      </c>
      <c r="R49" s="265">
        <v>0</v>
      </c>
      <c r="S49" s="265">
        <v>0</v>
      </c>
      <c r="T49" s="265">
        <v>1.7999999999999999E-2</v>
      </c>
    </row>
    <row r="50" spans="1:20" ht="14.25" customHeight="1">
      <c r="A50" s="5" t="str">
        <f>IF(K50&gt;0,COUNT($A$7:A49)+COUNT('DWV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0" s="260"/>
      <c r="C50" s="16"/>
      <c r="D50" s="572" t="str">
        <f>_xlfn.XLOOKUP(E50,'All Products'!D:D,'All Products'!C:C,FALSE)</f>
        <v>4135-010</v>
      </c>
      <c r="E50" s="130">
        <v>300005718</v>
      </c>
      <c r="F50" s="573" t="str">
        <f>_xlfn.XLOOKUP(E50,'All Products'!D:D,'All Products'!E:E,FALSE)</f>
        <v>1" CPVC FEMALE ADAPTER</v>
      </c>
      <c r="G50" s="574">
        <f>_xlfn.XLOOKUP(E50,'All Products'!D:D,'All Products'!F:F,FALSE)</f>
        <v>100</v>
      </c>
      <c r="H50" s="574" t="str">
        <f>_xlfn.XLOOKUP(E50,'All Products'!D:D,'All Products'!G:G,FALSE)</f>
        <v>-</v>
      </c>
      <c r="I50" s="354">
        <f>_xlfn.XLOOKUP(E50,'All Products'!D:D,'All Products'!H:H,FALSE)</f>
        <v>61.33</v>
      </c>
      <c r="J50" s="134">
        <f>ROUNDUP(I50*Order_Quote!$L$11,2)</f>
        <v>306.64999999999998</v>
      </c>
      <c r="K50" s="73"/>
      <c r="L50" s="50"/>
      <c r="M50" s="52">
        <f t="shared" si="1"/>
        <v>0</v>
      </c>
      <c r="O50" s="265" t="s">
        <v>369</v>
      </c>
      <c r="P50" s="265" t="s">
        <v>77</v>
      </c>
      <c r="Q50" s="265">
        <v>0</v>
      </c>
      <c r="R50" s="265">
        <v>0</v>
      </c>
      <c r="S50" s="265">
        <v>0</v>
      </c>
      <c r="T50" s="265">
        <v>0.04</v>
      </c>
    </row>
    <row r="51" spans="1:20">
      <c r="A51" s="5" t="str">
        <f>IF(K51&gt;0,COUNT($A$7:A50)+COUNT('DWV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1" s="611"/>
      <c r="C51" s="612"/>
      <c r="D51" s="572" t="str">
        <f>_xlfn.XLOOKUP(E51,'All Products'!D:D,'All Products'!C:C,FALSE)</f>
        <v>4135-005BR</v>
      </c>
      <c r="E51" s="130">
        <v>300006056</v>
      </c>
      <c r="F51" s="573" t="str">
        <f>_xlfn.XLOOKUP(E51,'All Products'!D:D,'All Products'!E:E,FALSE)</f>
        <v>CPVC FEMALE ADAPTER ASTM 1/2" BRASS X CPVC</v>
      </c>
      <c r="G51" s="574">
        <f>_xlfn.XLOOKUP(E51,'All Products'!D:D,'All Products'!F:F,FALSE)</f>
        <v>500</v>
      </c>
      <c r="H51" s="574" t="str">
        <f>_xlfn.XLOOKUP(E51,'All Products'!D:D,'All Products'!G:G,FALSE)</f>
        <v>-</v>
      </c>
      <c r="I51" s="354">
        <f>_xlfn.XLOOKUP(E51,'All Products'!D:D,'All Products'!H:H,FALSE)</f>
        <v>109.12</v>
      </c>
      <c r="J51" s="134">
        <f>ROUNDUP(I51*Order_Quote!$L$11,2)</f>
        <v>545.6</v>
      </c>
      <c r="K51" s="73"/>
      <c r="L51" s="50"/>
      <c r="M51" s="47">
        <f t="shared" si="1"/>
        <v>0</v>
      </c>
      <c r="O51" s="265" t="s">
        <v>369</v>
      </c>
      <c r="P51" s="265" t="s">
        <v>77</v>
      </c>
      <c r="Q51" s="265" t="s">
        <v>389</v>
      </c>
      <c r="R51" s="265">
        <v>0</v>
      </c>
      <c r="S51" s="265" t="s">
        <v>390</v>
      </c>
      <c r="T51" s="265">
        <v>8.2000000000000003E-2</v>
      </c>
    </row>
    <row r="52" spans="1:20">
      <c r="A52" s="5" t="str">
        <f>IF(K52&gt;0,COUNT($A$7:A51)+COUNT('DWV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2" s="613"/>
      <c r="C52" s="614"/>
      <c r="D52" s="572" t="str">
        <f>_xlfn.XLOOKUP(E52,'All Products'!D:D,'All Products'!C:C,FALSE)</f>
        <v>4135-007BR</v>
      </c>
      <c r="E52" s="130">
        <v>300006055</v>
      </c>
      <c r="F52" s="573" t="str">
        <f>_xlfn.XLOOKUP(E52,'All Products'!D:D,'All Products'!E:E,FALSE)</f>
        <v>CPVC FEMALE ADAPTER ASTM 3/4" BRASS X CPVC</v>
      </c>
      <c r="G52" s="574">
        <f>_xlfn.XLOOKUP(E52,'All Products'!D:D,'All Products'!F:F,FALSE)</f>
        <v>250</v>
      </c>
      <c r="H52" s="574" t="str">
        <f>_xlfn.XLOOKUP(E52,'All Products'!D:D,'All Products'!G:G,FALSE)</f>
        <v>-</v>
      </c>
      <c r="I52" s="354">
        <f>_xlfn.XLOOKUP(E52,'All Products'!D:D,'All Products'!H:H,FALSE)</f>
        <v>127.96</v>
      </c>
      <c r="J52" s="134">
        <f>ROUNDUP(I52*Order_Quote!$L$11,2)</f>
        <v>639.79999999999995</v>
      </c>
      <c r="K52" s="73"/>
      <c r="L52" s="50"/>
      <c r="M52" s="52">
        <f t="shared" si="1"/>
        <v>0</v>
      </c>
      <c r="O52" s="265" t="s">
        <v>359</v>
      </c>
      <c r="P52" s="265" t="s">
        <v>77</v>
      </c>
      <c r="Q52" s="265" t="s">
        <v>391</v>
      </c>
      <c r="R52" s="265">
        <v>0</v>
      </c>
      <c r="S52" s="265" t="s">
        <v>392</v>
      </c>
      <c r="T52" s="265">
        <v>0.126</v>
      </c>
    </row>
    <row r="53" spans="1:20">
      <c r="A53" s="5" t="str">
        <f>IF(K53&gt;0,COUNT($A$7:A52)+COUNT('DWV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3" s="613"/>
      <c r="C53" s="614"/>
      <c r="D53" s="572" t="str">
        <f>_xlfn.XLOOKUP(E53,'All Products'!D:D,'All Products'!C:C,FALSE)</f>
        <v>4135-010BR</v>
      </c>
      <c r="E53" s="130">
        <v>300005828</v>
      </c>
      <c r="F53" s="573" t="str">
        <f>_xlfn.XLOOKUP(E53,'All Products'!D:D,'All Products'!E:E,FALSE)</f>
        <v>CPVC FEMALE ADAPTER ASTM 1" BRASS X CPVC</v>
      </c>
      <c r="G53" s="574">
        <f>_xlfn.XLOOKUP(E53,'All Products'!D:D,'All Products'!F:F,FALSE)</f>
        <v>100</v>
      </c>
      <c r="H53" s="574" t="str">
        <f>_xlfn.XLOOKUP(E53,'All Products'!D:D,'All Products'!G:G,FALSE)</f>
        <v>-</v>
      </c>
      <c r="I53" s="354">
        <f>_xlfn.XLOOKUP(E53,'All Products'!D:D,'All Products'!H:H,FALSE)</f>
        <v>291.07</v>
      </c>
      <c r="J53" s="134">
        <f>ROUNDUP(I53*Order_Quote!$L$11,2)</f>
        <v>1455.35</v>
      </c>
      <c r="K53" s="73"/>
      <c r="L53" s="50"/>
      <c r="M53" s="47">
        <f t="shared" si="1"/>
        <v>0</v>
      </c>
      <c r="O53" s="265" t="s">
        <v>369</v>
      </c>
      <c r="P53" s="265" t="s">
        <v>77</v>
      </c>
      <c r="Q53" s="265">
        <v>0</v>
      </c>
      <c r="R53" s="265">
        <v>0</v>
      </c>
      <c r="S53" s="265">
        <v>0</v>
      </c>
      <c r="T53" s="265">
        <v>0.23799999999999999</v>
      </c>
    </row>
    <row r="54" spans="1:20">
      <c r="A54" s="5" t="str">
        <f>IF(K54&gt;0,COUNT($A$7:A53)+COUNT('DWV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4" s="613"/>
      <c r="C54" s="614"/>
      <c r="D54" s="572" t="str">
        <f>_xlfn.XLOOKUP(E54,'All Products'!D:D,'All Products'!C:C,FALSE)</f>
        <v>4135-012BR</v>
      </c>
      <c r="E54" s="130">
        <v>300005741</v>
      </c>
      <c r="F54" s="573" t="str">
        <f>_xlfn.XLOOKUP(E54,'All Products'!D:D,'All Products'!E:E,FALSE)</f>
        <v>CPVC FEMALE ADAPTER ASTM 1.1/4" BRASS X CPVC</v>
      </c>
      <c r="G54" s="574">
        <f>_xlfn.XLOOKUP(E54,'All Products'!D:D,'All Products'!F:F,FALSE)</f>
        <v>100</v>
      </c>
      <c r="H54" s="574" t="str">
        <f>_xlfn.XLOOKUP(E54,'All Products'!D:D,'All Products'!G:G,FALSE)</f>
        <v>-</v>
      </c>
      <c r="I54" s="354">
        <f>_xlfn.XLOOKUP(E54,'All Products'!D:D,'All Products'!H:H,FALSE)</f>
        <v>413.77</v>
      </c>
      <c r="J54" s="134">
        <f>ROUNDUP(I54*Order_Quote!$L$11,2)</f>
        <v>2068.85</v>
      </c>
      <c r="K54" s="73"/>
      <c r="L54" s="50"/>
      <c r="M54" s="52">
        <f t="shared" si="1"/>
        <v>0</v>
      </c>
      <c r="O54" s="265" t="s">
        <v>359</v>
      </c>
      <c r="P54" s="265" t="s">
        <v>77</v>
      </c>
      <c r="Q54" s="265">
        <v>0</v>
      </c>
      <c r="R54" s="265">
        <v>0</v>
      </c>
      <c r="S54" s="265">
        <v>0</v>
      </c>
      <c r="T54" s="265">
        <v>0.85299999999999998</v>
      </c>
    </row>
    <row r="55" spans="1:20">
      <c r="A55" s="5" t="str">
        <f>IF(K55&gt;0,COUNT($A$7:A54)+COUNT('DWV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5" s="613"/>
      <c r="C55" s="614"/>
      <c r="D55" s="572" t="str">
        <f>_xlfn.XLOOKUP(E55,'All Products'!D:D,'All Products'!C:C,FALSE)</f>
        <v>4135-015BR</v>
      </c>
      <c r="E55" s="130">
        <v>300005742</v>
      </c>
      <c r="F55" s="573" t="str">
        <f>_xlfn.XLOOKUP(E55,'All Products'!D:D,'All Products'!E:E,FALSE)</f>
        <v>CPVC FEMALE ADAPTER ASTM 1.1/2" BRASS X CPVC</v>
      </c>
      <c r="G55" s="574">
        <f>_xlfn.XLOOKUP(E55,'All Products'!D:D,'All Products'!F:F,FALSE)</f>
        <v>100</v>
      </c>
      <c r="H55" s="574" t="str">
        <f>_xlfn.XLOOKUP(E55,'All Products'!D:D,'All Products'!G:G,FALSE)</f>
        <v>-</v>
      </c>
      <c r="I55" s="354">
        <f>_xlfn.XLOOKUP(E55,'All Products'!D:D,'All Products'!H:H,FALSE)</f>
        <v>463.59</v>
      </c>
      <c r="J55" s="134">
        <f>ROUNDUP(I55*Order_Quote!$L$11,2)</f>
        <v>2317.9499999999998</v>
      </c>
      <c r="K55" s="73"/>
      <c r="L55" s="50"/>
      <c r="M55" s="47">
        <f t="shared" si="1"/>
        <v>0</v>
      </c>
      <c r="O55" s="265" t="s">
        <v>369</v>
      </c>
      <c r="P55" s="265" t="s">
        <v>77</v>
      </c>
      <c r="Q55" s="265">
        <v>0</v>
      </c>
      <c r="R55" s="265">
        <v>0</v>
      </c>
      <c r="S55" s="265">
        <v>0</v>
      </c>
      <c r="T55" s="265">
        <v>1.113</v>
      </c>
    </row>
    <row r="56" spans="1:20">
      <c r="A56" s="5" t="str">
        <f>IF(K56&gt;0,COUNT($A$7:A55)+COUNT('DWV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6" s="615"/>
      <c r="C56" s="616"/>
      <c r="D56" s="572" t="str">
        <f>_xlfn.XLOOKUP(E56,'All Products'!D:D,'All Products'!C:C,FALSE)</f>
        <v>4135-020BR</v>
      </c>
      <c r="E56" s="130">
        <v>300005738</v>
      </c>
      <c r="F56" s="573" t="str">
        <f>_xlfn.XLOOKUP(E56,'All Products'!D:D,'All Products'!E:E,FALSE)</f>
        <v>CPVC FEMALE ADAPTER ASTM 2" BRASS X CPVC</v>
      </c>
      <c r="G56" s="574">
        <f>_xlfn.XLOOKUP(E56,'All Products'!D:D,'All Products'!F:F,FALSE)</f>
        <v>50</v>
      </c>
      <c r="H56" s="574" t="str">
        <f>_xlfn.XLOOKUP(E56,'All Products'!D:D,'All Products'!G:G,FALSE)</f>
        <v>-</v>
      </c>
      <c r="I56" s="354">
        <f>_xlfn.XLOOKUP(E56,'All Products'!D:D,'All Products'!H:H,FALSE)</f>
        <v>932.18</v>
      </c>
      <c r="J56" s="134">
        <f>ROUNDUP(I56*Order_Quote!$L$11,2)</f>
        <v>4660.8999999999996</v>
      </c>
      <c r="K56" s="73"/>
      <c r="L56" s="50"/>
      <c r="M56" s="52">
        <f t="shared" si="1"/>
        <v>0</v>
      </c>
      <c r="O56" s="265" t="s">
        <v>369</v>
      </c>
      <c r="P56" s="265" t="s">
        <v>77</v>
      </c>
      <c r="Q56" s="265">
        <v>0</v>
      </c>
      <c r="R56" s="265">
        <v>0</v>
      </c>
      <c r="S56" s="265">
        <v>0</v>
      </c>
      <c r="T56" s="265">
        <v>1.7789999999999999</v>
      </c>
    </row>
    <row r="57" spans="1:20">
      <c r="A57" s="5" t="str">
        <f>IF(K57&gt;0,COUNT($A$7:A56)+COUNT('DWV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7" s="260"/>
      <c r="C57" s="16"/>
      <c r="D57" s="572" t="str">
        <f>_xlfn.XLOOKUP(E57,'All Products'!D:D,'All Products'!C:C,FALSE)</f>
        <v>4136-005</v>
      </c>
      <c r="E57" s="130">
        <v>100029325</v>
      </c>
      <c r="F57" s="573" t="str">
        <f>_xlfn.XLOOKUP(E57,'All Products'!D:D,'All Products'!E:E,FALSE)</f>
        <v>1/2" CPVC MALE ADAPTER</v>
      </c>
      <c r="G57" s="574">
        <f>_xlfn.XLOOKUP(E57,'All Products'!D:D,'All Products'!F:F,FALSE)</f>
        <v>250</v>
      </c>
      <c r="H57" s="574" t="str">
        <f>_xlfn.XLOOKUP(E57,'All Products'!D:D,'All Products'!G:G,FALSE)</f>
        <v>-</v>
      </c>
      <c r="I57" s="354">
        <f>_xlfn.XLOOKUP(E57,'All Products'!D:D,'All Products'!H:H,FALSE)</f>
        <v>3.42</v>
      </c>
      <c r="J57" s="134">
        <f>ROUNDUP(I57*Order_Quote!$L$11,2)</f>
        <v>17.100000000000001</v>
      </c>
      <c r="K57" s="73"/>
      <c r="L57" s="50"/>
      <c r="M57" s="52">
        <f t="shared" si="1"/>
        <v>0</v>
      </c>
      <c r="O57" s="265" t="s">
        <v>359</v>
      </c>
      <c r="P57" s="265" t="s">
        <v>77</v>
      </c>
      <c r="Q57" s="265">
        <v>0</v>
      </c>
      <c r="R57" s="265">
        <v>0</v>
      </c>
      <c r="S57" s="265">
        <v>0</v>
      </c>
      <c r="T57" s="265">
        <v>2.4E-2</v>
      </c>
    </row>
    <row r="58" spans="1:20">
      <c r="A58" s="5" t="str">
        <f>IF(K58&gt;0,COUNT($A$7:A57)+COUNT('DWV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8" s="260"/>
      <c r="C58" s="16"/>
      <c r="D58" s="572" t="str">
        <f>_xlfn.XLOOKUP(E58,'All Products'!D:D,'All Products'!C:C,FALSE)</f>
        <v>4136-007</v>
      </c>
      <c r="E58" s="130">
        <v>300005717</v>
      </c>
      <c r="F58" s="573" t="str">
        <f>_xlfn.XLOOKUP(E58,'All Products'!D:D,'All Products'!E:E,FALSE)</f>
        <v>3/4" CPVC MALE ADAPTER</v>
      </c>
      <c r="G58" s="574">
        <f>_xlfn.XLOOKUP(E58,'All Products'!D:D,'All Products'!F:F,FALSE)</f>
        <v>250</v>
      </c>
      <c r="H58" s="574" t="str">
        <f>_xlfn.XLOOKUP(E58,'All Products'!D:D,'All Products'!G:G,FALSE)</f>
        <v>-</v>
      </c>
      <c r="I58" s="354">
        <f>_xlfn.XLOOKUP(E58,'All Products'!D:D,'All Products'!H:H,FALSE)</f>
        <v>8.81</v>
      </c>
      <c r="J58" s="134">
        <f>ROUNDUP(I58*Order_Quote!$L$11,2)</f>
        <v>44.05</v>
      </c>
      <c r="K58" s="73"/>
      <c r="L58" s="50"/>
      <c r="M58" s="52">
        <f t="shared" si="1"/>
        <v>0</v>
      </c>
      <c r="O58" s="265" t="s">
        <v>359</v>
      </c>
      <c r="P58" s="265" t="s">
        <v>77</v>
      </c>
      <c r="Q58" s="265" t="s">
        <v>393</v>
      </c>
      <c r="R58" s="265">
        <v>0</v>
      </c>
      <c r="S58" s="265">
        <v>0</v>
      </c>
      <c r="T58" s="265">
        <v>0.14000000000000001</v>
      </c>
    </row>
    <row r="59" spans="1:20">
      <c r="A59" s="5" t="str">
        <f>IF(K59&gt;0,COUNT($A$7:A58)+COUNT('DWV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59" s="260"/>
      <c r="C59" s="16"/>
      <c r="D59" s="572" t="str">
        <f>_xlfn.XLOOKUP(E59,'All Products'!D:D,'All Products'!C:C,FALSE)</f>
        <v>4136-007P</v>
      </c>
      <c r="E59" s="130">
        <v>300005950</v>
      </c>
      <c r="F59" s="573" t="str">
        <f>_xlfn.XLOOKUP(E59,'All Products'!D:D,'All Products'!E:E,FALSE)</f>
        <v>3/4" CPVC MALE ADAPTER</v>
      </c>
      <c r="G59" s="574">
        <f>_xlfn.XLOOKUP(E59,'All Products'!D:D,'All Products'!F:F,FALSE)</f>
        <v>250</v>
      </c>
      <c r="H59" s="574" t="str">
        <f>_xlfn.XLOOKUP(E59,'All Products'!D:D,'All Products'!G:G,FALSE)</f>
        <v>-</v>
      </c>
      <c r="I59" s="354">
        <f>_xlfn.XLOOKUP(E59,'All Products'!D:D,'All Products'!H:H,FALSE)</f>
        <v>5.4</v>
      </c>
      <c r="J59" s="134">
        <f>ROUNDUP(I59*Order_Quote!$L$11,2)</f>
        <v>27</v>
      </c>
      <c r="K59" s="73"/>
      <c r="L59" s="50"/>
      <c r="M59" s="52">
        <f t="shared" si="1"/>
        <v>0</v>
      </c>
      <c r="O59" s="265" t="s">
        <v>359</v>
      </c>
      <c r="P59" s="265" t="s">
        <v>77</v>
      </c>
      <c r="Q59" s="265">
        <v>0</v>
      </c>
      <c r="R59" s="265">
        <v>0</v>
      </c>
      <c r="S59" s="265">
        <v>0</v>
      </c>
      <c r="T59" s="265">
        <v>1.4E-2</v>
      </c>
    </row>
    <row r="60" spans="1:20" ht="14.25" customHeight="1">
      <c r="A60" s="5" t="str">
        <f>IF(K60&gt;0,COUNT($A$7:A59)+COUNT('DWV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0" s="260"/>
      <c r="C60" s="16"/>
      <c r="D60" s="572" t="str">
        <f>_xlfn.XLOOKUP(E60,'All Products'!D:D,'All Products'!C:C,FALSE)</f>
        <v>4136-010</v>
      </c>
      <c r="E60" s="130">
        <v>300005716</v>
      </c>
      <c r="F60" s="573" t="str">
        <f>_xlfn.XLOOKUP(E60,'All Products'!D:D,'All Products'!E:E,FALSE)</f>
        <v>1" CPVC MALE ADAPTER</v>
      </c>
      <c r="G60" s="574">
        <f>_xlfn.XLOOKUP(E60,'All Products'!D:D,'All Products'!F:F,FALSE)</f>
        <v>100</v>
      </c>
      <c r="H60" s="574" t="str">
        <f>_xlfn.XLOOKUP(E60,'All Products'!D:D,'All Products'!G:G,FALSE)</f>
        <v>-</v>
      </c>
      <c r="I60" s="354">
        <f>_xlfn.XLOOKUP(E60,'All Products'!D:D,'All Products'!H:H,FALSE)</f>
        <v>24.09</v>
      </c>
      <c r="J60" s="134">
        <f>ROUNDUP(I60*Order_Quote!$L$11,2)</f>
        <v>120.45</v>
      </c>
      <c r="K60" s="73"/>
      <c r="L60" s="50"/>
      <c r="M60" s="52">
        <f t="shared" si="1"/>
        <v>0</v>
      </c>
      <c r="O60" s="265" t="s">
        <v>359</v>
      </c>
      <c r="P60" s="265" t="s">
        <v>77</v>
      </c>
      <c r="Q60" s="265" t="s">
        <v>394</v>
      </c>
      <c r="R60" s="265">
        <v>0</v>
      </c>
      <c r="S60" s="265">
        <v>0</v>
      </c>
      <c r="T60" s="265">
        <v>2.5999999999999999E-2</v>
      </c>
    </row>
    <row r="61" spans="1:20">
      <c r="A61" s="5" t="str">
        <f>IF(K61&gt;0,COUNT($A$7:A60)+COUNT('DWV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1" s="611"/>
      <c r="C61" s="612"/>
      <c r="D61" s="572" t="str">
        <f>_xlfn.XLOOKUP(E61,'All Products'!D:D,'All Products'!C:C,FALSE)</f>
        <v>4136-005BR</v>
      </c>
      <c r="E61" s="130">
        <v>300006064</v>
      </c>
      <c r="F61" s="573" t="str">
        <f>_xlfn.XLOOKUP(E61,'All Products'!D:D,'All Products'!E:E,FALSE)</f>
        <v>CPVC MALE ADAPTER ASTM 1/2" BRASS X CPVC</v>
      </c>
      <c r="G61" s="574">
        <f>_xlfn.XLOOKUP(E61,'All Products'!D:D,'All Products'!F:F,FALSE)</f>
        <v>500</v>
      </c>
      <c r="H61" s="574" t="str">
        <f>_xlfn.XLOOKUP(E61,'All Products'!D:D,'All Products'!G:G,FALSE)</f>
        <v>-</v>
      </c>
      <c r="I61" s="354">
        <f>_xlfn.XLOOKUP(E61,'All Products'!D:D,'All Products'!H:H,FALSE)</f>
        <v>93.9</v>
      </c>
      <c r="J61" s="134">
        <f>ROUNDUP(I61*Order_Quote!$L$11,2)</f>
        <v>469.5</v>
      </c>
      <c r="K61" s="73"/>
      <c r="L61" s="50"/>
      <c r="M61" s="47">
        <f t="shared" si="1"/>
        <v>0</v>
      </c>
      <c r="O61" s="265" t="s">
        <v>359</v>
      </c>
      <c r="P61" s="265" t="s">
        <v>77</v>
      </c>
      <c r="Q61" s="265" t="s">
        <v>395</v>
      </c>
      <c r="R61" s="265">
        <v>0</v>
      </c>
      <c r="S61" s="265" t="s">
        <v>396</v>
      </c>
      <c r="T61" s="265">
        <v>0.13</v>
      </c>
    </row>
    <row r="62" spans="1:20">
      <c r="A62" s="5" t="str">
        <f>IF(K62&gt;0,COUNT($A$7:A61)+COUNT('DWV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2" s="613"/>
      <c r="C62" s="614"/>
      <c r="D62" s="572" t="str">
        <f>_xlfn.XLOOKUP(E62,'All Products'!D:D,'All Products'!C:C,FALSE)</f>
        <v>4136-007BR</v>
      </c>
      <c r="E62" s="130">
        <v>300006063</v>
      </c>
      <c r="F62" s="573" t="str">
        <f>_xlfn.XLOOKUP(E62,'All Products'!D:D,'All Products'!E:E,FALSE)</f>
        <v>CPVC MALE ADAPTER ASTM 3/4" BRASS X CPVC</v>
      </c>
      <c r="G62" s="574">
        <f>_xlfn.XLOOKUP(E62,'All Products'!D:D,'All Products'!F:F,FALSE)</f>
        <v>250</v>
      </c>
      <c r="H62" s="574" t="str">
        <f>_xlfn.XLOOKUP(E62,'All Products'!D:D,'All Products'!G:G,FALSE)</f>
        <v>-</v>
      </c>
      <c r="I62" s="354">
        <f>_xlfn.XLOOKUP(E62,'All Products'!D:D,'All Products'!H:H,FALSE)</f>
        <v>103.4</v>
      </c>
      <c r="J62" s="134">
        <f>ROUNDUP(I62*Order_Quote!$L$11,2)</f>
        <v>517</v>
      </c>
      <c r="K62" s="73"/>
      <c r="L62" s="50"/>
      <c r="M62" s="52">
        <f t="shared" si="1"/>
        <v>0</v>
      </c>
      <c r="O62" s="265" t="s">
        <v>359</v>
      </c>
      <c r="P62" s="265" t="s">
        <v>77</v>
      </c>
      <c r="Q62" s="265" t="s">
        <v>397</v>
      </c>
      <c r="R62" s="265">
        <v>0</v>
      </c>
      <c r="S62" s="265" t="s">
        <v>398</v>
      </c>
      <c r="T62" s="265">
        <v>0.19</v>
      </c>
    </row>
    <row r="63" spans="1:20">
      <c r="A63" s="5" t="str">
        <f>IF(K63&gt;0,COUNT($A$7:A62)+COUNT('DWV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3" s="613"/>
      <c r="C63" s="614"/>
      <c r="D63" s="572" t="str">
        <f>_xlfn.XLOOKUP(E63,'All Products'!D:D,'All Products'!C:C,FALSE)</f>
        <v>4136-010BR</v>
      </c>
      <c r="E63" s="130">
        <v>300005825</v>
      </c>
      <c r="F63" s="573" t="str">
        <f>_xlfn.XLOOKUP(E63,'All Products'!D:D,'All Products'!E:E,FALSE)</f>
        <v>CPVC MALE ADAPTER ASTM 1" BRASS X CPVC</v>
      </c>
      <c r="G63" s="574">
        <f>_xlfn.XLOOKUP(E63,'All Products'!D:D,'All Products'!F:F,FALSE)</f>
        <v>100</v>
      </c>
      <c r="H63" s="574" t="str">
        <f>_xlfn.XLOOKUP(E63,'All Products'!D:D,'All Products'!G:G,FALSE)</f>
        <v>-</v>
      </c>
      <c r="I63" s="354">
        <f>_xlfn.XLOOKUP(E63,'All Products'!D:D,'All Products'!H:H,FALSE)</f>
        <v>256.64999999999998</v>
      </c>
      <c r="J63" s="134">
        <f>ROUNDUP(I63*Order_Quote!$L$11,2)</f>
        <v>1283.25</v>
      </c>
      <c r="K63" s="73"/>
      <c r="L63" s="50"/>
      <c r="M63" s="47">
        <f t="shared" si="1"/>
        <v>0</v>
      </c>
      <c r="O63" s="265" t="s">
        <v>359</v>
      </c>
      <c r="P63" s="265" t="s">
        <v>77</v>
      </c>
      <c r="Q63" s="265">
        <v>0</v>
      </c>
      <c r="R63" s="265">
        <v>0</v>
      </c>
      <c r="S63" s="265">
        <v>0</v>
      </c>
      <c r="T63" s="265">
        <v>0.42799999999999999</v>
      </c>
    </row>
    <row r="64" spans="1:20">
      <c r="A64" s="5" t="str">
        <f>IF(K64&gt;0,COUNT($A$7:A63)+COUNT('DWV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4" s="613"/>
      <c r="C64" s="614"/>
      <c r="D64" s="572" t="str">
        <f>_xlfn.XLOOKUP(E64,'All Products'!D:D,'All Products'!C:C,FALSE)</f>
        <v>4136-012BR</v>
      </c>
      <c r="E64" s="130">
        <v>300005739</v>
      </c>
      <c r="F64" s="573" t="str">
        <f>_xlfn.XLOOKUP(E64,'All Products'!D:D,'All Products'!E:E,FALSE)</f>
        <v>CPVC MALE ADAPTER ASTM 1.1/4" BRASS X CPVC</v>
      </c>
      <c r="G64" s="574">
        <f>_xlfn.XLOOKUP(E64,'All Products'!D:D,'All Products'!F:F,FALSE)</f>
        <v>100</v>
      </c>
      <c r="H64" s="574" t="str">
        <f>_xlfn.XLOOKUP(E64,'All Products'!D:D,'All Products'!G:G,FALSE)</f>
        <v>-</v>
      </c>
      <c r="I64" s="354">
        <f>_xlfn.XLOOKUP(E64,'All Products'!D:D,'All Products'!H:H,FALSE)</f>
        <v>345.47</v>
      </c>
      <c r="J64" s="134">
        <f>ROUNDUP(I64*Order_Quote!$L$11,2)</f>
        <v>1727.35</v>
      </c>
      <c r="K64" s="73"/>
      <c r="L64" s="50"/>
      <c r="M64" s="52">
        <f t="shared" si="1"/>
        <v>0</v>
      </c>
      <c r="O64" s="265" t="s">
        <v>369</v>
      </c>
      <c r="P64" s="265" t="s">
        <v>77</v>
      </c>
      <c r="Q64" s="265">
        <v>0</v>
      </c>
      <c r="R64" s="265">
        <v>0</v>
      </c>
      <c r="S64" s="265">
        <v>0</v>
      </c>
      <c r="T64" s="265">
        <v>9.5000000000000001E-2</v>
      </c>
    </row>
    <row r="65" spans="1:20">
      <c r="A65" s="5" t="str">
        <f>IF(K65&gt;0,COUNT($A$7:A64)+COUNT('DWV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5" s="613"/>
      <c r="C65" s="614"/>
      <c r="D65" s="572" t="str">
        <f>_xlfn.XLOOKUP(E65,'All Products'!D:D,'All Products'!C:C,FALSE)</f>
        <v>4136-015BR</v>
      </c>
      <c r="E65" s="130">
        <v>300005740</v>
      </c>
      <c r="F65" s="573" t="str">
        <f>_xlfn.XLOOKUP(E65,'All Products'!D:D,'All Products'!E:E,FALSE)</f>
        <v>CPVC MALE ADAPTER ASTM 1.1/2" BRASS X CPVC</v>
      </c>
      <c r="G65" s="574">
        <f>_xlfn.XLOOKUP(E65,'All Products'!D:D,'All Products'!F:F,FALSE)</f>
        <v>100</v>
      </c>
      <c r="H65" s="574" t="str">
        <f>_xlfn.XLOOKUP(E65,'All Products'!D:D,'All Products'!G:G,FALSE)</f>
        <v>-</v>
      </c>
      <c r="I65" s="354">
        <f>_xlfn.XLOOKUP(E65,'All Products'!D:D,'All Products'!H:H,FALSE)</f>
        <v>393.92</v>
      </c>
      <c r="J65" s="134">
        <f>ROUNDUP(I65*Order_Quote!$L$11,2)</f>
        <v>1969.6</v>
      </c>
      <c r="K65" s="73"/>
      <c r="L65" s="50"/>
      <c r="M65" s="47">
        <f t="shared" si="1"/>
        <v>0</v>
      </c>
      <c r="O65" s="265" t="s">
        <v>369</v>
      </c>
      <c r="P65" s="265" t="s">
        <v>77</v>
      </c>
      <c r="Q65" s="265">
        <v>0</v>
      </c>
      <c r="R65" s="265">
        <v>0</v>
      </c>
      <c r="S65" s="265">
        <v>0</v>
      </c>
      <c r="T65" s="265">
        <v>0.91900000000000004</v>
      </c>
    </row>
    <row r="66" spans="1:20">
      <c r="A66" s="5" t="str">
        <f>IF(K66&gt;0,COUNT($A$7:A65)+COUNT('DWV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6" s="613"/>
      <c r="C66" s="614"/>
      <c r="D66" s="572" t="str">
        <f>_xlfn.XLOOKUP(E66,'All Products'!D:D,'All Products'!C:C,FALSE)</f>
        <v>4136-020BR</v>
      </c>
      <c r="E66" s="130">
        <v>300005737</v>
      </c>
      <c r="F66" s="573" t="str">
        <f>_xlfn.XLOOKUP(E66,'All Products'!D:D,'All Products'!E:E,FALSE)</f>
        <v>CPVC MALE ADAPTER ASTM 2" BRASS X CPVC</v>
      </c>
      <c r="G66" s="574">
        <f>_xlfn.XLOOKUP(E66,'All Products'!D:D,'All Products'!F:F,FALSE)</f>
        <v>50</v>
      </c>
      <c r="H66" s="574" t="str">
        <f>_xlfn.XLOOKUP(E66,'All Products'!D:D,'All Products'!G:G,FALSE)</f>
        <v>-</v>
      </c>
      <c r="I66" s="354">
        <f>_xlfn.XLOOKUP(E66,'All Products'!D:D,'All Products'!H:H,FALSE)</f>
        <v>778.21</v>
      </c>
      <c r="J66" s="134">
        <f>ROUNDUP(I66*Order_Quote!$L$11,2)</f>
        <v>3891.05</v>
      </c>
      <c r="K66" s="73"/>
      <c r="L66" s="50"/>
      <c r="M66" s="52">
        <f t="shared" si="1"/>
        <v>0</v>
      </c>
      <c r="O66" s="265" t="s">
        <v>359</v>
      </c>
      <c r="P66" s="265" t="s">
        <v>77</v>
      </c>
      <c r="Q66" s="265">
        <v>0</v>
      </c>
      <c r="R66" s="265">
        <v>0</v>
      </c>
      <c r="S66" s="265">
        <v>0</v>
      </c>
      <c r="T66" s="265">
        <v>0.313</v>
      </c>
    </row>
    <row r="67" spans="1:20">
      <c r="A67" s="5" t="str">
        <f>IF(K67&gt;0,COUNT($A$7:A66)+COUNT('DWV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7" s="615"/>
      <c r="C67" s="616"/>
      <c r="D67" s="572" t="str">
        <f>_xlfn.XLOOKUP(E67,'All Products'!D:D,'All Products'!C:C,FALSE)</f>
        <v>4136-101BR</v>
      </c>
      <c r="E67" s="130">
        <v>300005829</v>
      </c>
      <c r="F67" s="573" t="str">
        <f>_xlfn.XLOOKUP(E67,'All Products'!D:D,'All Products'!E:E,FALSE)</f>
        <v>CPVC MALE ADAPTER ASTM 3/4X1/2" BRASS X CPVC</v>
      </c>
      <c r="G67" s="574">
        <f>_xlfn.XLOOKUP(E67,'All Products'!D:D,'All Products'!F:F,FALSE)</f>
        <v>250</v>
      </c>
      <c r="H67" s="574" t="str">
        <f>_xlfn.XLOOKUP(E67,'All Products'!D:D,'All Products'!G:G,FALSE)</f>
        <v>-</v>
      </c>
      <c r="I67" s="354">
        <f>_xlfn.XLOOKUP(E67,'All Products'!D:D,'All Products'!H:H,FALSE)</f>
        <v>97.76</v>
      </c>
      <c r="J67" s="134">
        <f>ROUNDUP(I67*Order_Quote!$L$11,2)</f>
        <v>488.8</v>
      </c>
      <c r="K67" s="73"/>
      <c r="L67" s="50"/>
      <c r="M67" s="47">
        <f t="shared" si="1"/>
        <v>0</v>
      </c>
      <c r="O67" s="265" t="s">
        <v>369</v>
      </c>
      <c r="P67" s="265" t="s">
        <v>77</v>
      </c>
      <c r="Q67" s="265">
        <v>0</v>
      </c>
      <c r="R67" s="265">
        <v>0</v>
      </c>
      <c r="S67" s="265">
        <v>0</v>
      </c>
      <c r="T67" s="265">
        <v>0.13900000000000001</v>
      </c>
    </row>
    <row r="68" spans="1:20">
      <c r="A68" s="5" t="str">
        <f>IF(K68&gt;0,COUNT($A$7:A67)+COUNT('DWV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8" s="611"/>
      <c r="C68" s="612"/>
      <c r="D68" s="572" t="str">
        <f>_xlfn.XLOOKUP(E68,'All Products'!D:D,'All Products'!C:C,FALSE)</f>
        <v>4137-101</v>
      </c>
      <c r="E68" s="130">
        <v>300006067</v>
      </c>
      <c r="F68" s="573" t="str">
        <f>_xlfn.XLOOKUP(E68,'All Products'!D:D,'All Products'!E:E,FALSE)</f>
        <v>CPVC REDUCTION BUSHING ASTM 3/4" X 1/2"</v>
      </c>
      <c r="G68" s="574">
        <f>_xlfn.XLOOKUP(E68,'All Products'!D:D,'All Products'!F:F,FALSE)</f>
        <v>250</v>
      </c>
      <c r="H68" s="574" t="str">
        <f>_xlfn.XLOOKUP(E68,'All Products'!D:D,'All Products'!G:G,FALSE)</f>
        <v>-</v>
      </c>
      <c r="I68" s="354">
        <f>_xlfn.XLOOKUP(E68,'All Products'!D:D,'All Products'!H:H,FALSE)</f>
        <v>3.78</v>
      </c>
      <c r="J68" s="134">
        <f>ROUNDUP(I68*Order_Quote!$L$11,2)</f>
        <v>18.899999999999999</v>
      </c>
      <c r="K68" s="73"/>
      <c r="L68" s="50"/>
      <c r="M68" s="52">
        <f t="shared" si="1"/>
        <v>0</v>
      </c>
      <c r="O68" s="265" t="s">
        <v>359</v>
      </c>
      <c r="P68" s="265" t="s">
        <v>77</v>
      </c>
      <c r="Q68" s="265" t="s">
        <v>399</v>
      </c>
      <c r="R68" s="265">
        <v>0</v>
      </c>
      <c r="S68" s="265" t="s">
        <v>400</v>
      </c>
      <c r="T68" s="265">
        <v>1.2999999999999999E-2</v>
      </c>
    </row>
    <row r="69" spans="1:20">
      <c r="A69" s="5" t="str">
        <f>IF(K69&gt;0,COUNT($A$7:A68)+COUNT('DWV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69" s="613"/>
      <c r="C69" s="614"/>
      <c r="D69" s="572" t="str">
        <f>_xlfn.XLOOKUP(E69,'All Products'!D:D,'All Products'!C:C,FALSE)</f>
        <v>4137-130</v>
      </c>
      <c r="E69" s="130">
        <v>300005812</v>
      </c>
      <c r="F69" s="573" t="str">
        <f>_xlfn.XLOOKUP(E69,'All Products'!D:D,'All Products'!E:E,FALSE)</f>
        <v>CPVC REDUCTION BUSHING ASTM 1X1/2"</v>
      </c>
      <c r="G69" s="574">
        <f>_xlfn.XLOOKUP(E69,'All Products'!D:D,'All Products'!F:F,FALSE)</f>
        <v>100</v>
      </c>
      <c r="H69" s="574" t="str">
        <f>_xlfn.XLOOKUP(E69,'All Products'!D:D,'All Products'!G:G,FALSE)</f>
        <v>-</v>
      </c>
      <c r="I69" s="354">
        <f>_xlfn.XLOOKUP(E69,'All Products'!D:D,'All Products'!H:H,FALSE)</f>
        <v>8.86</v>
      </c>
      <c r="J69" s="134">
        <f>ROUNDUP(I69*Order_Quote!$L$11,2)</f>
        <v>44.3</v>
      </c>
      <c r="K69" s="73"/>
      <c r="L69" s="50"/>
      <c r="M69" s="47">
        <f t="shared" si="1"/>
        <v>0</v>
      </c>
      <c r="O69" s="265" t="s">
        <v>369</v>
      </c>
      <c r="P69" s="265" t="s">
        <v>77</v>
      </c>
      <c r="Q69" s="265">
        <v>0</v>
      </c>
      <c r="R69" s="265">
        <v>0</v>
      </c>
      <c r="S69" s="265">
        <v>0</v>
      </c>
      <c r="T69" s="265">
        <v>3.5000000000000003E-2</v>
      </c>
    </row>
    <row r="70" spans="1:20">
      <c r="A70" s="5" t="str">
        <f>IF(K70&gt;0,COUNT($A$7:A69)+COUNT('DWV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0" s="613"/>
      <c r="C70" s="614"/>
      <c r="D70" s="572" t="str">
        <f>_xlfn.XLOOKUP(E70,'All Products'!D:D,'All Products'!C:C,FALSE)</f>
        <v>4137-131</v>
      </c>
      <c r="E70" s="130">
        <v>300005813</v>
      </c>
      <c r="F70" s="573" t="str">
        <f>_xlfn.XLOOKUP(E70,'All Products'!D:D,'All Products'!E:E,FALSE)</f>
        <v>CPVC REDUCTION BUSHING ASTM 1" X 3/4"</v>
      </c>
      <c r="G70" s="574">
        <f>_xlfn.XLOOKUP(E70,'All Products'!D:D,'All Products'!F:F,FALSE)</f>
        <v>100</v>
      </c>
      <c r="H70" s="574" t="str">
        <f>_xlfn.XLOOKUP(E70,'All Products'!D:D,'All Products'!G:G,FALSE)</f>
        <v>-</v>
      </c>
      <c r="I70" s="354">
        <f>_xlfn.XLOOKUP(E70,'All Products'!D:D,'All Products'!H:H,FALSE)</f>
        <v>8.01</v>
      </c>
      <c r="J70" s="134">
        <f>ROUNDUP(I70*Order_Quote!$L$11,2)</f>
        <v>40.049999999999997</v>
      </c>
      <c r="K70" s="73"/>
      <c r="L70" s="50"/>
      <c r="M70" s="52">
        <f t="shared" si="1"/>
        <v>0</v>
      </c>
      <c r="O70" s="265" t="s">
        <v>369</v>
      </c>
      <c r="P70" s="265" t="s">
        <v>77</v>
      </c>
      <c r="Q70" s="265" t="s">
        <v>401</v>
      </c>
      <c r="R70" s="265">
        <v>0</v>
      </c>
      <c r="S70" s="265">
        <v>0</v>
      </c>
      <c r="T70" s="265">
        <v>0.02</v>
      </c>
    </row>
    <row r="71" spans="1:20">
      <c r="A71" s="5" t="str">
        <f>IF(K71&gt;0,COUNT($A$7:A70)+COUNT('DWV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1" s="613"/>
      <c r="C71" s="614"/>
      <c r="D71" s="572" t="str">
        <f>_xlfn.XLOOKUP(E71,'All Products'!D:D,'All Products'!C:C,FALSE)</f>
        <v>4137-166</v>
      </c>
      <c r="E71" s="130">
        <v>300005823</v>
      </c>
      <c r="F71" s="573" t="str">
        <f>_xlfn.XLOOKUP(E71,'All Products'!D:D,'All Products'!E:E,FALSE)</f>
        <v>CPVC REDUCTION BUSHING ASTM 1.1/4X1/2"</v>
      </c>
      <c r="G71" s="574">
        <f>_xlfn.XLOOKUP(E71,'All Products'!D:D,'All Products'!F:F,FALSE)</f>
        <v>100</v>
      </c>
      <c r="H71" s="574" t="str">
        <f>_xlfn.XLOOKUP(E71,'All Products'!D:D,'All Products'!G:G,FALSE)</f>
        <v>-</v>
      </c>
      <c r="I71" s="354">
        <f>_xlfn.XLOOKUP(E71,'All Products'!D:D,'All Products'!H:H,FALSE)</f>
        <v>12.51</v>
      </c>
      <c r="J71" s="134">
        <f>ROUNDUP(I71*Order_Quote!$L$11,2)</f>
        <v>62.55</v>
      </c>
      <c r="K71" s="73"/>
      <c r="L71" s="50"/>
      <c r="M71" s="47">
        <f t="shared" ref="M71:M99" si="2">K71/G71</f>
        <v>0</v>
      </c>
      <c r="O71" s="265" t="s">
        <v>359</v>
      </c>
      <c r="P71" s="265" t="s">
        <v>77</v>
      </c>
      <c r="Q71" s="265">
        <v>0</v>
      </c>
      <c r="R71" s="265">
        <v>0</v>
      </c>
      <c r="S71" s="265">
        <v>0</v>
      </c>
      <c r="T71" s="265">
        <v>0.51600000000000001</v>
      </c>
    </row>
    <row r="72" spans="1:20">
      <c r="A72" s="5" t="str">
        <f>IF(K72&gt;0,COUNT($A$7:A71)+COUNT('DWV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2" s="613"/>
      <c r="C72" s="614"/>
      <c r="D72" s="572" t="str">
        <f>_xlfn.XLOOKUP(E72,'All Products'!D:D,'All Products'!C:C,FALSE)</f>
        <v>4137-167</v>
      </c>
      <c r="E72" s="130">
        <v>300005826</v>
      </c>
      <c r="F72" s="573" t="str">
        <f>_xlfn.XLOOKUP(E72,'All Products'!D:D,'All Products'!E:E,FALSE)</f>
        <v>CPVC REDUCTION BUSHING ASTM  1.1/4X3/4"</v>
      </c>
      <c r="G72" s="574">
        <f>_xlfn.XLOOKUP(E72,'All Products'!D:D,'All Products'!F:F,FALSE)</f>
        <v>100</v>
      </c>
      <c r="H72" s="574" t="str">
        <f>_xlfn.XLOOKUP(E72,'All Products'!D:D,'All Products'!G:G,FALSE)</f>
        <v>-</v>
      </c>
      <c r="I72" s="354">
        <f>_xlfn.XLOOKUP(E72,'All Products'!D:D,'All Products'!H:H,FALSE)</f>
        <v>14.55</v>
      </c>
      <c r="J72" s="134">
        <f>ROUNDUP(I72*Order_Quote!$L$11,2)</f>
        <v>72.75</v>
      </c>
      <c r="K72" s="73"/>
      <c r="L72" s="50"/>
      <c r="M72" s="52">
        <f t="shared" si="2"/>
        <v>0</v>
      </c>
      <c r="O72" s="265" t="s">
        <v>359</v>
      </c>
      <c r="P72" s="265" t="s">
        <v>77</v>
      </c>
      <c r="Q72" s="265" t="s">
        <v>402</v>
      </c>
      <c r="R72" s="265">
        <v>0</v>
      </c>
      <c r="S72" s="265">
        <v>0</v>
      </c>
      <c r="T72" s="265">
        <v>0.55100000000000005</v>
      </c>
    </row>
    <row r="73" spans="1:20">
      <c r="A73" s="5" t="str">
        <f>IF(K73&gt;0,COUNT($A$7:A72)+COUNT('DWV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3" s="613"/>
      <c r="C73" s="614"/>
      <c r="D73" s="572" t="str">
        <f>_xlfn.XLOOKUP(E73,'All Products'!D:D,'All Products'!C:C,FALSE)</f>
        <v>4137-168</v>
      </c>
      <c r="E73" s="130">
        <v>300005818</v>
      </c>
      <c r="F73" s="573" t="str">
        <f>_xlfn.XLOOKUP(E73,'All Products'!D:D,'All Products'!E:E,FALSE)</f>
        <v>CPVC REDUCTION BUSHING ASTM 1.1/4X 1"</v>
      </c>
      <c r="G73" s="574">
        <f>_xlfn.XLOOKUP(E73,'All Products'!D:D,'All Products'!F:F,FALSE)</f>
        <v>100</v>
      </c>
      <c r="H73" s="574" t="str">
        <f>_xlfn.XLOOKUP(E73,'All Products'!D:D,'All Products'!G:G,FALSE)</f>
        <v>-</v>
      </c>
      <c r="I73" s="354">
        <f>_xlfn.XLOOKUP(E73,'All Products'!D:D,'All Products'!H:H,FALSE)</f>
        <v>14.07</v>
      </c>
      <c r="J73" s="134">
        <f>ROUNDUP(I73*Order_Quote!$L$11,2)</f>
        <v>70.349999999999994</v>
      </c>
      <c r="K73" s="73"/>
      <c r="L73" s="50"/>
      <c r="M73" s="47">
        <f t="shared" si="2"/>
        <v>0</v>
      </c>
      <c r="O73" s="265" t="s">
        <v>359</v>
      </c>
      <c r="P73" s="265" t="s">
        <v>77</v>
      </c>
      <c r="Q73" s="265" t="s">
        <v>403</v>
      </c>
      <c r="R73" s="265">
        <v>0</v>
      </c>
      <c r="S73" s="265">
        <v>0</v>
      </c>
      <c r="T73" s="265">
        <v>4.2000000000000003E-2</v>
      </c>
    </row>
    <row r="74" spans="1:20">
      <c r="A74" s="5" t="str">
        <f>IF(K74&gt;0,COUNT($A$7:A73)+COUNT('DWV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4" s="613"/>
      <c r="C74" s="614"/>
      <c r="D74" s="572" t="str">
        <f>_xlfn.XLOOKUP(E74,'All Products'!D:D,'All Products'!C:C,FALSE)</f>
        <v>4137-210</v>
      </c>
      <c r="E74" s="130">
        <v>300005824</v>
      </c>
      <c r="F74" s="573" t="str">
        <f>_xlfn.XLOOKUP(E74,'All Products'!D:D,'All Products'!E:E,FALSE)</f>
        <v>CPVC REDUCTION BUSHING ASTM 1.1/2X3/4"</v>
      </c>
      <c r="G74" s="574">
        <f>_xlfn.XLOOKUP(E74,'All Products'!D:D,'All Products'!F:F,FALSE)</f>
        <v>100</v>
      </c>
      <c r="H74" s="574" t="str">
        <f>_xlfn.XLOOKUP(E74,'All Products'!D:D,'All Products'!G:G,FALSE)</f>
        <v>-</v>
      </c>
      <c r="I74" s="354">
        <f>_xlfn.XLOOKUP(E74,'All Products'!D:D,'All Products'!H:H,FALSE)</f>
        <v>9.5</v>
      </c>
      <c r="J74" s="134">
        <f>ROUNDUP(I74*Order_Quote!$L$11,2)</f>
        <v>47.5</v>
      </c>
      <c r="K74" s="73"/>
      <c r="L74" s="50"/>
      <c r="M74" s="52">
        <f t="shared" si="2"/>
        <v>0</v>
      </c>
      <c r="O74" s="265" t="s">
        <v>369</v>
      </c>
      <c r="P74" s="265" t="s">
        <v>77</v>
      </c>
      <c r="Q74" s="265">
        <v>0</v>
      </c>
      <c r="R74" s="265">
        <v>0</v>
      </c>
      <c r="S74" s="265">
        <v>0</v>
      </c>
      <c r="T74" s="265">
        <v>8.5999999999999993E-2</v>
      </c>
    </row>
    <row r="75" spans="1:20">
      <c r="A75" s="5" t="str">
        <f>IF(K75&gt;0,COUNT($A$7:A74)+COUNT('DWV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5" s="613"/>
      <c r="C75" s="614"/>
      <c r="D75" s="572" t="str">
        <f>_xlfn.XLOOKUP(E75,'All Products'!D:D,'All Products'!C:C,FALSE)</f>
        <v>4137-211</v>
      </c>
      <c r="E75" s="130">
        <v>300005817</v>
      </c>
      <c r="F75" s="573" t="str">
        <f>_xlfn.XLOOKUP(E75,'All Products'!D:D,'All Products'!E:E,FALSE)</f>
        <v>CPVC REDUCTION BUSHING ASTM 1.1/2X1"</v>
      </c>
      <c r="G75" s="574">
        <f>_xlfn.XLOOKUP(E75,'All Products'!D:D,'All Products'!F:F,FALSE)</f>
        <v>100</v>
      </c>
      <c r="H75" s="574" t="str">
        <f>_xlfn.XLOOKUP(E75,'All Products'!D:D,'All Products'!G:G,FALSE)</f>
        <v>-</v>
      </c>
      <c r="I75" s="354">
        <f>_xlfn.XLOOKUP(E75,'All Products'!D:D,'All Products'!H:H,FALSE)</f>
        <v>8.1</v>
      </c>
      <c r="J75" s="134">
        <f>ROUNDUP(I75*Order_Quote!$L$11,2)</f>
        <v>40.5</v>
      </c>
      <c r="K75" s="73"/>
      <c r="L75" s="50"/>
      <c r="M75" s="47">
        <f t="shared" si="2"/>
        <v>0</v>
      </c>
      <c r="O75" s="265" t="s">
        <v>369</v>
      </c>
      <c r="P75" s="265" t="s">
        <v>77</v>
      </c>
      <c r="Q75" s="265">
        <v>0</v>
      </c>
      <c r="R75" s="265">
        <v>0</v>
      </c>
      <c r="S75" s="265">
        <v>0</v>
      </c>
      <c r="T75" s="265">
        <v>8.4000000000000005E-2</v>
      </c>
    </row>
    <row r="76" spans="1:20">
      <c r="A76" s="5" t="str">
        <f>IF(K76&gt;0,COUNT($A$7:A75)+COUNT('DWV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6" s="613"/>
      <c r="C76" s="614"/>
      <c r="D76" s="572" t="str">
        <f>_xlfn.XLOOKUP(E76,'All Products'!D:D,'All Products'!C:C,FALSE)</f>
        <v>4137-212</v>
      </c>
      <c r="E76" s="130">
        <v>300005827</v>
      </c>
      <c r="F76" s="573" t="str">
        <f>_xlfn.XLOOKUP(E76,'All Products'!D:D,'All Products'!E:E,FALSE)</f>
        <v>CPVC REDUCTION BUSHING ASTM 1.1/2" X1.1/4</v>
      </c>
      <c r="G76" s="574">
        <f>_xlfn.XLOOKUP(E76,'All Products'!D:D,'All Products'!F:F,FALSE)</f>
        <v>100</v>
      </c>
      <c r="H76" s="574" t="str">
        <f>_xlfn.XLOOKUP(E76,'All Products'!D:D,'All Products'!G:G,FALSE)</f>
        <v>-</v>
      </c>
      <c r="I76" s="354">
        <f>_xlfn.XLOOKUP(E76,'All Products'!D:D,'All Products'!H:H,FALSE)</f>
        <v>21.69</v>
      </c>
      <c r="J76" s="134">
        <f>ROUNDUP(I76*Order_Quote!$L$11,2)</f>
        <v>108.45</v>
      </c>
      <c r="K76" s="73"/>
      <c r="L76" s="50"/>
      <c r="M76" s="52">
        <f t="shared" si="2"/>
        <v>0</v>
      </c>
      <c r="O76" s="265" t="s">
        <v>359</v>
      </c>
      <c r="P76" s="265" t="s">
        <v>77</v>
      </c>
      <c r="Q76" s="265">
        <v>0</v>
      </c>
      <c r="R76" s="265">
        <v>0</v>
      </c>
      <c r="S76" s="265">
        <v>0</v>
      </c>
      <c r="T76" s="265">
        <v>5.5E-2</v>
      </c>
    </row>
    <row r="77" spans="1:20">
      <c r="A77" s="5" t="str">
        <f>IF(K77&gt;0,COUNT($A$7:A76)+COUNT('DWV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7" s="613"/>
      <c r="C77" s="614"/>
      <c r="D77" s="572" t="str">
        <f>_xlfn.XLOOKUP(E77,'All Products'!D:D,'All Products'!C:C,FALSE)</f>
        <v>4137-249</v>
      </c>
      <c r="E77" s="130">
        <v>300005811</v>
      </c>
      <c r="F77" s="573" t="str">
        <f>_xlfn.XLOOKUP(E77,'All Products'!D:D,'All Products'!E:E,FALSE)</f>
        <v>CPVC REDUCTION BUSHING ASTM 2X1"</v>
      </c>
      <c r="G77" s="574">
        <f>_xlfn.XLOOKUP(E77,'All Products'!D:D,'All Products'!F:F,FALSE)</f>
        <v>50</v>
      </c>
      <c r="H77" s="574" t="str">
        <f>_xlfn.XLOOKUP(E77,'All Products'!D:D,'All Products'!G:G,FALSE)</f>
        <v>-</v>
      </c>
      <c r="I77" s="354">
        <f>_xlfn.XLOOKUP(E77,'All Products'!D:D,'All Products'!H:H,FALSE)</f>
        <v>101.1</v>
      </c>
      <c r="J77" s="134">
        <f>ROUNDUP(I77*Order_Quote!$L$11,2)</f>
        <v>505.5</v>
      </c>
      <c r="K77" s="73"/>
      <c r="L77" s="50"/>
      <c r="M77" s="47">
        <f t="shared" si="2"/>
        <v>0</v>
      </c>
      <c r="O77" s="265" t="s">
        <v>369</v>
      </c>
      <c r="P77" s="265" t="s">
        <v>77</v>
      </c>
      <c r="Q77" s="265">
        <v>0</v>
      </c>
      <c r="R77" s="265">
        <v>0</v>
      </c>
      <c r="S77" s="265">
        <v>0</v>
      </c>
      <c r="T77" s="265">
        <v>0.17899999999999999</v>
      </c>
    </row>
    <row r="78" spans="1:20">
      <c r="A78" s="5" t="str">
        <f>IF(K78&gt;0,COUNT($A$7:A77)+COUNT('DWV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8" s="613"/>
      <c r="C78" s="614"/>
      <c r="D78" s="572" t="str">
        <f>_xlfn.XLOOKUP(E78,'All Products'!D:D,'All Products'!C:C,FALSE)</f>
        <v>4137-250</v>
      </c>
      <c r="E78" s="130">
        <v>300005819</v>
      </c>
      <c r="F78" s="573" t="str">
        <f>_xlfn.XLOOKUP(E78,'All Products'!D:D,'All Products'!E:E,FALSE)</f>
        <v>CPVC REDUCTION BUSHING ASTM 2X1.1/4"</v>
      </c>
      <c r="G78" s="574">
        <f>_xlfn.XLOOKUP(E78,'All Products'!D:D,'All Products'!F:F,FALSE)</f>
        <v>50</v>
      </c>
      <c r="H78" s="574" t="str">
        <f>_xlfn.XLOOKUP(E78,'All Products'!D:D,'All Products'!G:G,FALSE)</f>
        <v>-</v>
      </c>
      <c r="I78" s="354">
        <f>_xlfn.XLOOKUP(E78,'All Products'!D:D,'All Products'!H:H,FALSE)</f>
        <v>52.9</v>
      </c>
      <c r="J78" s="134">
        <f>ROUNDUP(I78*Order_Quote!$L$11,2)</f>
        <v>264.5</v>
      </c>
      <c r="K78" s="73"/>
      <c r="L78" s="50"/>
      <c r="M78" s="52">
        <f t="shared" si="2"/>
        <v>0</v>
      </c>
      <c r="O78" s="265" t="s">
        <v>359</v>
      </c>
      <c r="P78" s="265" t="s">
        <v>77</v>
      </c>
      <c r="Q78" s="265">
        <v>0</v>
      </c>
      <c r="R78" s="265">
        <v>0</v>
      </c>
      <c r="S78" s="265">
        <v>0</v>
      </c>
      <c r="T78" s="265">
        <v>0.19400000000000001</v>
      </c>
    </row>
    <row r="79" spans="1:20">
      <c r="A79" s="5" t="str">
        <f>IF(K79&gt;0,COUNT($A$7:A78)+COUNT('DWV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79" s="615"/>
      <c r="C79" s="616"/>
      <c r="D79" s="572" t="str">
        <f>_xlfn.XLOOKUP(E79,'All Products'!D:D,'All Products'!C:C,FALSE)</f>
        <v>4137-251</v>
      </c>
      <c r="E79" s="130">
        <v>300005820</v>
      </c>
      <c r="F79" s="573" t="str">
        <f>_xlfn.XLOOKUP(E79,'All Products'!D:D,'All Products'!E:E,FALSE)</f>
        <v>CPVC REDUCTION BUSHING ASTM 2" X1.1/2"</v>
      </c>
      <c r="G79" s="574">
        <f>_xlfn.XLOOKUP(E79,'All Products'!D:D,'All Products'!F:F,FALSE)</f>
        <v>50</v>
      </c>
      <c r="H79" s="574" t="str">
        <f>_xlfn.XLOOKUP(E79,'All Products'!D:D,'All Products'!G:G,FALSE)</f>
        <v>-</v>
      </c>
      <c r="I79" s="354">
        <f>_xlfn.XLOOKUP(E79,'All Products'!D:D,'All Products'!H:H,FALSE)</f>
        <v>44.9</v>
      </c>
      <c r="J79" s="134">
        <f>ROUNDUP(I79*Order_Quote!$L$11,2)</f>
        <v>224.5</v>
      </c>
      <c r="K79" s="73"/>
      <c r="L79" s="50"/>
      <c r="M79" s="47">
        <f t="shared" si="2"/>
        <v>0</v>
      </c>
      <c r="O79" s="265" t="s">
        <v>359</v>
      </c>
      <c r="P79" s="265" t="s">
        <v>77</v>
      </c>
      <c r="Q79" s="265">
        <v>0</v>
      </c>
      <c r="R79" s="265">
        <v>0</v>
      </c>
      <c r="S79" s="265">
        <v>0</v>
      </c>
      <c r="T79" s="265">
        <v>0.161</v>
      </c>
    </row>
    <row r="80" spans="1:20">
      <c r="A80" s="5" t="str">
        <f>IF(K80&gt;0,COUNT($A$7:A79)+COUNT('DWV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0" s="611"/>
      <c r="C80" s="612"/>
      <c r="D80" s="572" t="str">
        <f>_xlfn.XLOOKUP(E80,'All Products'!D:D,'All Products'!C:C,FALSE)</f>
        <v>4147-005</v>
      </c>
      <c r="E80" s="130">
        <v>300006066</v>
      </c>
      <c r="F80" s="573" t="str">
        <f>_xlfn.XLOOKUP(E80,'All Products'!D:D,'All Products'!E:E,FALSE)</f>
        <v>CPVC CAP ASTM 1/2"</v>
      </c>
      <c r="G80" s="574">
        <f>_xlfn.XLOOKUP(E80,'All Products'!D:D,'All Products'!F:F,FALSE)</f>
        <v>500</v>
      </c>
      <c r="H80" s="574" t="str">
        <f>_xlfn.XLOOKUP(E80,'All Products'!D:D,'All Products'!G:G,FALSE)</f>
        <v>-</v>
      </c>
      <c r="I80" s="354">
        <f>_xlfn.XLOOKUP(E80,'All Products'!D:D,'All Products'!H:H,FALSE)</f>
        <v>4.33</v>
      </c>
      <c r="J80" s="134">
        <f>ROUNDUP(I80*Order_Quote!$L$11,2)</f>
        <v>21.65</v>
      </c>
      <c r="K80" s="73"/>
      <c r="L80" s="50"/>
      <c r="M80" s="47">
        <f t="shared" si="2"/>
        <v>0</v>
      </c>
      <c r="O80" s="265" t="s">
        <v>359</v>
      </c>
      <c r="P80" s="265" t="s">
        <v>77</v>
      </c>
      <c r="Q80" s="265" t="s">
        <v>404</v>
      </c>
      <c r="R80" s="265">
        <v>0</v>
      </c>
      <c r="S80" s="265" t="s">
        <v>405</v>
      </c>
      <c r="T80" s="265">
        <v>1.0999999999999999E-2</v>
      </c>
    </row>
    <row r="81" spans="1:20">
      <c r="A81" s="5" t="str">
        <f>IF(K81&gt;0,COUNT($A$7:A80)+COUNT('DWV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1" s="613"/>
      <c r="C81" s="614"/>
      <c r="D81" s="572" t="str">
        <f>_xlfn.XLOOKUP(E81,'All Products'!D:D,'All Products'!C:C,FALSE)</f>
        <v>4147-007</v>
      </c>
      <c r="E81" s="130">
        <v>300006065</v>
      </c>
      <c r="F81" s="573" t="str">
        <f>_xlfn.XLOOKUP(E81,'All Products'!D:D,'All Products'!E:E,FALSE)</f>
        <v>CPVC CAP ASTM 3/4"</v>
      </c>
      <c r="G81" s="574">
        <f>_xlfn.XLOOKUP(E81,'All Products'!D:D,'All Products'!F:F,FALSE)</f>
        <v>250</v>
      </c>
      <c r="H81" s="574" t="str">
        <f>_xlfn.XLOOKUP(E81,'All Products'!D:D,'All Products'!G:G,FALSE)</f>
        <v>-</v>
      </c>
      <c r="I81" s="354">
        <f>_xlfn.XLOOKUP(E81,'All Products'!D:D,'All Products'!H:H,FALSE)</f>
        <v>3.49</v>
      </c>
      <c r="J81" s="134">
        <f>ROUNDUP(I81*Order_Quote!$L$11,2)</f>
        <v>17.45</v>
      </c>
      <c r="K81" s="73"/>
      <c r="L81" s="50"/>
      <c r="M81" s="47">
        <f t="shared" si="2"/>
        <v>0</v>
      </c>
      <c r="O81" s="265" t="s">
        <v>369</v>
      </c>
      <c r="P81" s="265" t="s">
        <v>77</v>
      </c>
      <c r="Q81" s="265" t="s">
        <v>406</v>
      </c>
      <c r="R81" s="265">
        <v>0</v>
      </c>
      <c r="S81" s="265" t="s">
        <v>407</v>
      </c>
      <c r="T81" s="265">
        <v>2.4E-2</v>
      </c>
    </row>
    <row r="82" spans="1:20">
      <c r="A82" s="5" t="str">
        <f>IF(K82&gt;0,COUNT($A$7:A81)+COUNT('DWV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2" s="613"/>
      <c r="C82" s="614"/>
      <c r="D82" s="572" t="str">
        <f>_xlfn.XLOOKUP(E82,'All Products'!D:D,'All Products'!C:C,FALSE)</f>
        <v>4147-010</v>
      </c>
      <c r="E82" s="130">
        <v>300005782</v>
      </c>
      <c r="F82" s="573" t="str">
        <f>_xlfn.XLOOKUP(E82,'All Products'!D:D,'All Products'!E:E,FALSE)</f>
        <v>CPVC CAP ASTM 1"</v>
      </c>
      <c r="G82" s="574">
        <f>_xlfn.XLOOKUP(E82,'All Products'!D:D,'All Products'!F:F,FALSE)</f>
        <v>100</v>
      </c>
      <c r="H82" s="574" t="str">
        <f>_xlfn.XLOOKUP(E82,'All Products'!D:D,'All Products'!G:G,FALSE)</f>
        <v>-</v>
      </c>
      <c r="I82" s="354">
        <f>_xlfn.XLOOKUP(E82,'All Products'!D:D,'All Products'!H:H,FALSE)</f>
        <v>12.71</v>
      </c>
      <c r="J82" s="134">
        <f>ROUNDUP(I82*Order_Quote!$L$11,2)</f>
        <v>63.55</v>
      </c>
      <c r="K82" s="73"/>
      <c r="L82" s="50"/>
      <c r="M82" s="47">
        <f t="shared" si="2"/>
        <v>0</v>
      </c>
      <c r="O82" s="265" t="s">
        <v>359</v>
      </c>
      <c r="P82" s="265" t="s">
        <v>77</v>
      </c>
      <c r="Q82" s="265">
        <v>0</v>
      </c>
      <c r="R82" s="265">
        <v>0</v>
      </c>
      <c r="S82" s="265">
        <v>0</v>
      </c>
      <c r="T82" s="265">
        <v>4.9000000000000002E-2</v>
      </c>
    </row>
    <row r="83" spans="1:20">
      <c r="A83" s="5" t="str">
        <f>IF(K83&gt;0,COUNT($A$7:A82)+COUNT('DWV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3" s="613"/>
      <c r="C83" s="614"/>
      <c r="D83" s="572" t="str">
        <f>_xlfn.XLOOKUP(E83,'All Products'!D:D,'All Products'!C:C,FALSE)</f>
        <v>4147-012</v>
      </c>
      <c r="E83" s="130">
        <v>300005787</v>
      </c>
      <c r="F83" s="573" t="str">
        <f>_xlfn.XLOOKUP(E83,'All Products'!D:D,'All Products'!E:E,FALSE)</f>
        <v>CPVC CAP ASTM 1.1/4"</v>
      </c>
      <c r="G83" s="574">
        <f>_xlfn.XLOOKUP(E83,'All Products'!D:D,'All Products'!F:F,FALSE)</f>
        <v>100</v>
      </c>
      <c r="H83" s="574" t="str">
        <f>_xlfn.XLOOKUP(E83,'All Products'!D:D,'All Products'!G:G,FALSE)</f>
        <v>-</v>
      </c>
      <c r="I83" s="354">
        <f>_xlfn.XLOOKUP(E83,'All Products'!D:D,'All Products'!H:H,FALSE)</f>
        <v>18.100000000000001</v>
      </c>
      <c r="J83" s="134">
        <f>ROUNDUP(I83*Order_Quote!$L$11,2)</f>
        <v>90.5</v>
      </c>
      <c r="K83" s="73"/>
      <c r="L83" s="50"/>
      <c r="M83" s="47">
        <f t="shared" si="2"/>
        <v>0</v>
      </c>
      <c r="O83" s="265" t="s">
        <v>359</v>
      </c>
      <c r="P83" s="265" t="s">
        <v>77</v>
      </c>
      <c r="Q83" s="265">
        <v>0</v>
      </c>
      <c r="R83" s="265">
        <v>0</v>
      </c>
      <c r="S83" s="265">
        <v>0</v>
      </c>
      <c r="T83" s="265">
        <v>7.2999999999999995E-2</v>
      </c>
    </row>
    <row r="84" spans="1:20">
      <c r="A84" s="5" t="str">
        <f>IF(K84&gt;0,COUNT($A$7:A83)+COUNT('DWV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4" s="613"/>
      <c r="C84" s="614"/>
      <c r="D84" s="572" t="str">
        <f>_xlfn.XLOOKUP(E84,'All Products'!D:D,'All Products'!C:C,FALSE)</f>
        <v>4147-015</v>
      </c>
      <c r="E84" s="130">
        <v>300005788</v>
      </c>
      <c r="F84" s="573" t="str">
        <f>_xlfn.XLOOKUP(E84,'All Products'!D:D,'All Products'!E:E,FALSE)</f>
        <v>CPVC CAP ASTM 1.1/2"</v>
      </c>
      <c r="G84" s="574">
        <f>_xlfn.XLOOKUP(E84,'All Products'!D:D,'All Products'!F:F,FALSE)</f>
        <v>100</v>
      </c>
      <c r="H84" s="574" t="str">
        <f>_xlfn.XLOOKUP(E84,'All Products'!D:D,'All Products'!G:G,FALSE)</f>
        <v>-</v>
      </c>
      <c r="I84" s="354">
        <f>_xlfn.XLOOKUP(E84,'All Products'!D:D,'All Products'!H:H,FALSE)</f>
        <v>48.02</v>
      </c>
      <c r="J84" s="134">
        <f>ROUNDUP(I84*Order_Quote!$L$11,2)</f>
        <v>240.1</v>
      </c>
      <c r="K84" s="73"/>
      <c r="L84" s="50"/>
      <c r="M84" s="47">
        <f t="shared" si="2"/>
        <v>0</v>
      </c>
      <c r="O84" s="265" t="s">
        <v>359</v>
      </c>
      <c r="P84" s="265" t="s">
        <v>77</v>
      </c>
      <c r="Q84" s="265">
        <v>0</v>
      </c>
      <c r="R84" s="265">
        <v>0</v>
      </c>
      <c r="S84" s="265">
        <v>0</v>
      </c>
      <c r="T84" s="265">
        <v>0.11700000000000001</v>
      </c>
    </row>
    <row r="85" spans="1:20">
      <c r="A85" s="5" t="str">
        <f>IF(K85&gt;0,COUNT($A$7:A84)+COUNT('DWV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5" s="615"/>
      <c r="C85" s="616"/>
      <c r="D85" s="572" t="str">
        <f>_xlfn.XLOOKUP(E85,'All Products'!D:D,'All Products'!C:C,FALSE)</f>
        <v>4147-020</v>
      </c>
      <c r="E85" s="130">
        <v>300005781</v>
      </c>
      <c r="F85" s="573" t="str">
        <f>_xlfn.XLOOKUP(E85,'All Products'!D:D,'All Products'!E:E,FALSE)</f>
        <v>CPVC CAP ASTM 2"</v>
      </c>
      <c r="G85" s="574">
        <f>_xlfn.XLOOKUP(E85,'All Products'!D:D,'All Products'!F:F,FALSE)</f>
        <v>50</v>
      </c>
      <c r="H85" s="574" t="str">
        <f>_xlfn.XLOOKUP(E85,'All Products'!D:D,'All Products'!G:G,FALSE)</f>
        <v>-</v>
      </c>
      <c r="I85" s="354">
        <f>_xlfn.XLOOKUP(E85,'All Products'!D:D,'All Products'!H:H,FALSE)</f>
        <v>79.83</v>
      </c>
      <c r="J85" s="134">
        <f>ROUNDUP(I85*Order_Quote!$L$11,2)</f>
        <v>399.15</v>
      </c>
      <c r="K85" s="73"/>
      <c r="L85" s="50"/>
      <c r="M85" s="47">
        <f t="shared" si="2"/>
        <v>0</v>
      </c>
      <c r="O85" s="265" t="s">
        <v>359</v>
      </c>
      <c r="P85" s="265" t="s">
        <v>77</v>
      </c>
      <c r="Q85" s="265">
        <v>0</v>
      </c>
      <c r="R85" s="265">
        <v>0</v>
      </c>
      <c r="S85" s="265">
        <v>0</v>
      </c>
      <c r="T85" s="265">
        <v>0.254</v>
      </c>
    </row>
    <row r="86" spans="1:20">
      <c r="A86" s="5" t="str">
        <f>IF(K86&gt;0,COUNT($A$7:A85)+COUNT('DWV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6" s="611"/>
      <c r="C86" s="612"/>
      <c r="D86" s="572" t="str">
        <f>_xlfn.XLOOKUP(E86,'All Products'!D:D,'All Products'!C:C,FALSE)</f>
        <v>4197-005</v>
      </c>
      <c r="E86" s="130">
        <v>300006052</v>
      </c>
      <c r="F86" s="573" t="str">
        <f>_xlfn.XLOOKUP(E86,'All Products'!D:D,'All Products'!E:E,FALSE)</f>
        <v>CPVC UNION ASTM 1/2"</v>
      </c>
      <c r="G86" s="574">
        <f>_xlfn.XLOOKUP(E86,'All Products'!D:D,'All Products'!F:F,FALSE)</f>
        <v>500</v>
      </c>
      <c r="H86" s="574" t="str">
        <f>_xlfn.XLOOKUP(E86,'All Products'!D:D,'All Products'!G:G,FALSE)</f>
        <v>-</v>
      </c>
      <c r="I86" s="354">
        <f>_xlfn.XLOOKUP(E86,'All Products'!D:D,'All Products'!H:H,FALSE)</f>
        <v>18.03</v>
      </c>
      <c r="J86" s="134">
        <f>ROUNDUP(I86*Order_Quote!$L$11,2)</f>
        <v>90.15</v>
      </c>
      <c r="K86" s="73"/>
      <c r="L86" s="50"/>
      <c r="M86" s="47">
        <f t="shared" si="2"/>
        <v>0</v>
      </c>
      <c r="O86" s="265" t="s">
        <v>359</v>
      </c>
      <c r="P86" s="265" t="s">
        <v>77</v>
      </c>
      <c r="Q86" s="265" t="s">
        <v>408</v>
      </c>
      <c r="R86" s="265">
        <v>0</v>
      </c>
      <c r="S86" s="265" t="s">
        <v>409</v>
      </c>
      <c r="T86" s="265">
        <v>8.4000000000000005E-2</v>
      </c>
    </row>
    <row r="87" spans="1:20">
      <c r="A87" s="5" t="str">
        <f>IF(K87&gt;0,COUNT($A$7:A86)+COUNT('DWV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7" s="613"/>
      <c r="C87" s="614"/>
      <c r="D87" s="572" t="str">
        <f>_xlfn.XLOOKUP(E87,'All Products'!D:D,'All Products'!C:C,FALSE)</f>
        <v>4197-007</v>
      </c>
      <c r="E87" s="130">
        <v>300006051</v>
      </c>
      <c r="F87" s="573" t="str">
        <f>_xlfn.XLOOKUP(E87,'All Products'!D:D,'All Products'!E:E,FALSE)</f>
        <v>CPVC UNION ASTM 3/4"</v>
      </c>
      <c r="G87" s="574">
        <f>_xlfn.XLOOKUP(E87,'All Products'!D:D,'All Products'!F:F,FALSE)</f>
        <v>250</v>
      </c>
      <c r="H87" s="574" t="str">
        <f>_xlfn.XLOOKUP(E87,'All Products'!D:D,'All Products'!G:G,FALSE)</f>
        <v>-</v>
      </c>
      <c r="I87" s="354">
        <f>_xlfn.XLOOKUP(E87,'All Products'!D:D,'All Products'!H:H,FALSE)</f>
        <v>16.8</v>
      </c>
      <c r="J87" s="134">
        <f>ROUNDUP(I87*Order_Quote!$L$11,2)</f>
        <v>84</v>
      </c>
      <c r="K87" s="73"/>
      <c r="L87" s="50"/>
      <c r="M87" s="47">
        <f t="shared" si="2"/>
        <v>0</v>
      </c>
      <c r="O87" s="265" t="s">
        <v>359</v>
      </c>
      <c r="P87" s="265" t="s">
        <v>77</v>
      </c>
      <c r="Q87" s="265" t="s">
        <v>410</v>
      </c>
      <c r="R87" s="265">
        <v>0</v>
      </c>
      <c r="S87" s="265" t="s">
        <v>411</v>
      </c>
      <c r="T87" s="265">
        <v>8.7999999999999995E-2</v>
      </c>
    </row>
    <row r="88" spans="1:20">
      <c r="A88" s="5" t="str">
        <f>IF(K88&gt;0,COUNT($A$7:A87)+COUNT('DWV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8" s="613"/>
      <c r="C88" s="614"/>
      <c r="D88" s="572" t="str">
        <f>_xlfn.XLOOKUP(E88,'All Products'!D:D,'All Products'!C:C,FALSE)</f>
        <v>4197-010</v>
      </c>
      <c r="E88" s="131">
        <v>300005785</v>
      </c>
      <c r="F88" s="573" t="str">
        <f>_xlfn.XLOOKUP(E88,'All Products'!D:D,'All Products'!E:E,FALSE)</f>
        <v>CPVC UNION ASTM 1"</v>
      </c>
      <c r="G88" s="574">
        <f>_xlfn.XLOOKUP(E88,'All Products'!D:D,'All Products'!F:F,FALSE)</f>
        <v>100</v>
      </c>
      <c r="H88" s="574" t="str">
        <f>_xlfn.XLOOKUP(E88,'All Products'!D:D,'All Products'!G:G,FALSE)</f>
        <v>-</v>
      </c>
      <c r="I88" s="354">
        <f>_xlfn.XLOOKUP(E88,'All Products'!D:D,'All Products'!H:H,FALSE)</f>
        <v>24.32</v>
      </c>
      <c r="J88" s="134">
        <f>ROUNDUP(I88*Order_Quote!$L$11,2)</f>
        <v>121.6</v>
      </c>
      <c r="K88" s="73"/>
      <c r="L88" s="50"/>
      <c r="M88" s="47">
        <f t="shared" si="2"/>
        <v>0</v>
      </c>
      <c r="O88" s="265" t="s">
        <v>359</v>
      </c>
      <c r="P88" s="265" t="s">
        <v>77</v>
      </c>
      <c r="Q88" s="265" t="s">
        <v>412</v>
      </c>
      <c r="R88" s="265">
        <v>0</v>
      </c>
      <c r="S88" s="265">
        <v>0</v>
      </c>
      <c r="T88" s="265">
        <v>0.154</v>
      </c>
    </row>
    <row r="89" spans="1:20">
      <c r="A89" s="5" t="str">
        <f>IF(K89&gt;0,COUNT($A$7:A88)+COUNT('DWV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89" s="613"/>
      <c r="C89" s="614"/>
      <c r="D89" s="572" t="str">
        <f>_xlfn.XLOOKUP(E89,'All Products'!D:D,'All Products'!C:C,FALSE)</f>
        <v>4197-012</v>
      </c>
      <c r="E89" s="130">
        <v>300005797</v>
      </c>
      <c r="F89" s="573" t="str">
        <f>_xlfn.XLOOKUP(E89,'All Products'!D:D,'All Products'!E:E,FALSE)</f>
        <v>CPVC UNION ASTM 1.1/4"</v>
      </c>
      <c r="G89" s="574">
        <f>_xlfn.XLOOKUP(E89,'All Products'!D:D,'All Products'!F:F,FALSE)</f>
        <v>100</v>
      </c>
      <c r="H89" s="574" t="str">
        <f>_xlfn.XLOOKUP(E89,'All Products'!D:D,'All Products'!G:G,FALSE)</f>
        <v>-</v>
      </c>
      <c r="I89" s="354">
        <f>_xlfn.XLOOKUP(E89,'All Products'!D:D,'All Products'!H:H,FALSE)</f>
        <v>35.49</v>
      </c>
      <c r="J89" s="134">
        <f>ROUNDUP(I89*Order_Quote!$L$11,2)</f>
        <v>177.45</v>
      </c>
      <c r="K89" s="73"/>
      <c r="L89" s="50"/>
      <c r="M89" s="47">
        <f t="shared" si="2"/>
        <v>0</v>
      </c>
      <c r="O89" s="265" t="s">
        <v>359</v>
      </c>
      <c r="P89" s="265" t="s">
        <v>77</v>
      </c>
      <c r="Q89" s="265">
        <v>0</v>
      </c>
      <c r="R89" s="265">
        <v>0</v>
      </c>
      <c r="S89" s="265">
        <v>0</v>
      </c>
      <c r="T89" s="265">
        <v>0.32800000000000001</v>
      </c>
    </row>
    <row r="90" spans="1:20">
      <c r="A90" s="5" t="str">
        <f>IF(K90&gt;0,COUNT($A$7:A89)+COUNT('DWV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0" s="613"/>
      <c r="C90" s="614"/>
      <c r="D90" s="572" t="str">
        <f>_xlfn.XLOOKUP(E90,'All Products'!D:D,'All Products'!C:C,FALSE)</f>
        <v>4197-015</v>
      </c>
      <c r="E90" s="130">
        <v>300005798</v>
      </c>
      <c r="F90" s="573" t="str">
        <f>_xlfn.XLOOKUP(E90,'All Products'!D:D,'All Products'!E:E,FALSE)</f>
        <v>CPVC UNION ASTM 1.1/2"</v>
      </c>
      <c r="G90" s="574">
        <f>_xlfn.XLOOKUP(E90,'All Products'!D:D,'All Products'!F:F,FALSE)</f>
        <v>100</v>
      </c>
      <c r="H90" s="574" t="str">
        <f>_xlfn.XLOOKUP(E90,'All Products'!D:D,'All Products'!G:G,FALSE)</f>
        <v>-</v>
      </c>
      <c r="I90" s="354">
        <f>_xlfn.XLOOKUP(E90,'All Products'!D:D,'All Products'!H:H,FALSE)</f>
        <v>75.569999999999993</v>
      </c>
      <c r="J90" s="134">
        <f>ROUNDUP(I90*Order_Quote!$L$11,2)</f>
        <v>377.85</v>
      </c>
      <c r="K90" s="73"/>
      <c r="L90" s="50"/>
      <c r="M90" s="47">
        <f t="shared" si="2"/>
        <v>0</v>
      </c>
      <c r="O90" s="265" t="s">
        <v>369</v>
      </c>
      <c r="P90" s="265" t="s">
        <v>77</v>
      </c>
      <c r="Q90" s="265">
        <v>0</v>
      </c>
      <c r="R90" s="265">
        <v>0</v>
      </c>
      <c r="S90" s="265">
        <v>0</v>
      </c>
      <c r="T90" s="265">
        <v>0.51400000000000001</v>
      </c>
    </row>
    <row r="91" spans="1:20">
      <c r="A91" s="5" t="str">
        <f>IF(K91&gt;0,COUNT($A$7:A90)+COUNT('DWV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1" s="615"/>
      <c r="C91" s="616"/>
      <c r="D91" s="572" t="str">
        <f>_xlfn.XLOOKUP(E91,'All Products'!D:D,'All Products'!C:C,FALSE)</f>
        <v>4197-020</v>
      </c>
      <c r="E91" s="130">
        <v>300005786</v>
      </c>
      <c r="F91" s="573" t="str">
        <f>_xlfn.XLOOKUP(E91,'All Products'!D:D,'All Products'!E:E,FALSE)</f>
        <v>CPVC UNION ASTM    2"</v>
      </c>
      <c r="G91" s="574">
        <f>_xlfn.XLOOKUP(E91,'All Products'!D:D,'All Products'!F:F,FALSE)</f>
        <v>50</v>
      </c>
      <c r="H91" s="574" t="str">
        <f>_xlfn.XLOOKUP(E91,'All Products'!D:D,'All Products'!G:G,FALSE)</f>
        <v>-</v>
      </c>
      <c r="I91" s="354">
        <f>_xlfn.XLOOKUP(E91,'All Products'!D:D,'All Products'!H:H,FALSE)</f>
        <v>65.98</v>
      </c>
      <c r="J91" s="134">
        <f>ROUNDUP(I91*Order_Quote!$L$11,2)</f>
        <v>329.9</v>
      </c>
      <c r="K91" s="73"/>
      <c r="L91" s="50"/>
      <c r="M91" s="47">
        <f t="shared" si="2"/>
        <v>0</v>
      </c>
      <c r="O91" s="265" t="s">
        <v>359</v>
      </c>
      <c r="P91" s="265" t="s">
        <v>77</v>
      </c>
      <c r="Q91" s="265">
        <v>0</v>
      </c>
      <c r="R91" s="265">
        <v>0</v>
      </c>
      <c r="S91" s="265">
        <v>0</v>
      </c>
      <c r="T91" s="265">
        <v>0.51400000000000001</v>
      </c>
    </row>
    <row r="92" spans="1:20">
      <c r="A92" s="5" t="str">
        <f>IF(K92&gt;0,COUNT($A$7:A91)+COUNT('DWV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2" s="121"/>
      <c r="C92" s="122"/>
      <c r="D92" s="572" t="str">
        <f>_xlfn.XLOOKUP(E92,'All Products'!D:D,'All Products'!C:C,FALSE)</f>
        <v>4199-007BR</v>
      </c>
      <c r="E92" s="130">
        <v>300005830</v>
      </c>
      <c r="F92" s="573" t="str">
        <f>_xlfn.XLOOKUP(E92,'All Products'!D:D,'All Products'!E:E,FALSE)</f>
        <v>CPVC TRANSITION UNION ASTM 3/4" BRASS X CPVC</v>
      </c>
      <c r="G92" s="574">
        <f>_xlfn.XLOOKUP(E92,'All Products'!D:D,'All Products'!F:F,FALSE)</f>
        <v>50</v>
      </c>
      <c r="H92" s="574" t="str">
        <f>_xlfn.XLOOKUP(E92,'All Products'!D:D,'All Products'!G:G,FALSE)</f>
        <v>-</v>
      </c>
      <c r="I92" s="354">
        <f>_xlfn.XLOOKUP(E92,'All Products'!D:D,'All Products'!H:H,FALSE)</f>
        <v>73.13</v>
      </c>
      <c r="J92" s="134">
        <f>ROUNDUP(I92*Order_Quote!$L$11,2)</f>
        <v>365.65</v>
      </c>
      <c r="K92" s="73"/>
      <c r="L92" s="50"/>
      <c r="M92" s="47">
        <f t="shared" si="2"/>
        <v>0</v>
      </c>
      <c r="O92" s="265" t="s">
        <v>369</v>
      </c>
      <c r="P92" s="265" t="s">
        <v>77</v>
      </c>
      <c r="Q92" s="265">
        <v>0</v>
      </c>
      <c r="R92" s="265">
        <v>0</v>
      </c>
      <c r="S92" s="265">
        <v>0</v>
      </c>
      <c r="T92" s="265">
        <v>0.185</v>
      </c>
    </row>
    <row r="93" spans="1:20">
      <c r="A93" s="5" t="str">
        <f>IF(K93&gt;0,COUNT($A$7:A92)+COUNT('DWV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3" s="611"/>
      <c r="C93" s="612"/>
      <c r="D93" s="572" t="str">
        <f>_xlfn.XLOOKUP(E93,'All Products'!D:D,'All Products'!C:C,FALSE)</f>
        <v>4724-005-25</v>
      </c>
      <c r="E93" s="130">
        <v>300005732</v>
      </c>
      <c r="F93" s="573" t="str">
        <f>_xlfn.XLOOKUP(E93,'All Products'!D:D,'All Products'!E:E,FALSE)</f>
        <v>25 PK 1/2 CPVC TUBING STRAPS</v>
      </c>
      <c r="G93" s="574">
        <f>_xlfn.XLOOKUP(E93,'All Products'!D:D,'All Products'!F:F,FALSE)</f>
        <v>25</v>
      </c>
      <c r="H93" s="574" t="str">
        <f>_xlfn.XLOOKUP(E93,'All Products'!D:D,'All Products'!G:G,FALSE)</f>
        <v>-</v>
      </c>
      <c r="I93" s="354">
        <f>_xlfn.XLOOKUP(E93,'All Products'!D:D,'All Products'!H:H,FALSE)</f>
        <v>40.17</v>
      </c>
      <c r="J93" s="134">
        <f>ROUNDUP(I93*Order_Quote!$L$11,2)</f>
        <v>200.85</v>
      </c>
      <c r="K93" s="73"/>
      <c r="L93" s="50"/>
      <c r="M93" s="47">
        <f t="shared" si="2"/>
        <v>0</v>
      </c>
      <c r="O93" s="265" t="s">
        <v>369</v>
      </c>
      <c r="P93" s="265" t="s">
        <v>77</v>
      </c>
      <c r="Q93" s="265">
        <v>0</v>
      </c>
      <c r="R93" s="265">
        <v>0</v>
      </c>
      <c r="S93" s="265">
        <v>0</v>
      </c>
      <c r="T93" s="265">
        <v>2E-3</v>
      </c>
    </row>
    <row r="94" spans="1:20">
      <c r="A94" s="5" t="str">
        <f>IF(K94&gt;0,COUNT($A$7:A93)+COUNT('DWV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4" s="615"/>
      <c r="C94" s="616"/>
      <c r="D94" s="572" t="str">
        <f>_xlfn.XLOOKUP(E94,'All Products'!D:D,'All Products'!C:C,FALSE)</f>
        <v>4724-007-25</v>
      </c>
      <c r="E94" s="130">
        <v>300005733</v>
      </c>
      <c r="F94" s="573" t="str">
        <f>_xlfn.XLOOKUP(E94,'All Products'!D:D,'All Products'!E:E,FALSE)</f>
        <v>25 PK 3/4 CPVC TUBING STRAPS</v>
      </c>
      <c r="G94" s="574">
        <f>_xlfn.XLOOKUP(E94,'All Products'!D:D,'All Products'!F:F,FALSE)</f>
        <v>25</v>
      </c>
      <c r="H94" s="574" t="str">
        <f>_xlfn.XLOOKUP(E94,'All Products'!D:D,'All Products'!G:G,FALSE)</f>
        <v>-</v>
      </c>
      <c r="I94" s="354">
        <f>_xlfn.XLOOKUP(E94,'All Products'!D:D,'All Products'!H:H,FALSE)</f>
        <v>55.35</v>
      </c>
      <c r="J94" s="134">
        <f>ROUNDUP(I94*Order_Quote!$L$11,2)</f>
        <v>276.75</v>
      </c>
      <c r="K94" s="73"/>
      <c r="L94" s="50"/>
      <c r="M94" s="47">
        <f t="shared" si="2"/>
        <v>0</v>
      </c>
      <c r="O94" s="265" t="s">
        <v>359</v>
      </c>
      <c r="P94" s="265" t="s">
        <v>77</v>
      </c>
      <c r="Q94" s="265">
        <v>0</v>
      </c>
      <c r="R94" s="265">
        <v>0</v>
      </c>
      <c r="S94" s="265">
        <v>0</v>
      </c>
      <c r="T94" s="265">
        <v>2E-3</v>
      </c>
    </row>
    <row r="95" spans="1:20">
      <c r="A95" s="5" t="str">
        <f>IF(K95&gt;0,COUNT($A$7:A94)+COUNT('DWV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5" s="623"/>
      <c r="C95" s="624"/>
      <c r="D95" s="572" t="str">
        <f>_xlfn.XLOOKUP(E95,'All Products'!D:D,'All Products'!C:C,FALSE)</f>
        <v>DE4107-005BR</v>
      </c>
      <c r="E95" s="130">
        <v>300005730</v>
      </c>
      <c r="F95" s="573" t="str">
        <f>_xlfn.XLOOKUP(E95,'All Products'!D:D,'All Products'!E:E,FALSE)</f>
        <v>CPVC 1/2 DROP EAR ELBOW BRASS FPT X CPVC H</v>
      </c>
      <c r="G95" s="574">
        <f>_xlfn.XLOOKUP(E95,'All Products'!D:D,'All Products'!F:F,FALSE)</f>
        <v>100</v>
      </c>
      <c r="H95" s="574" t="str">
        <f>_xlfn.XLOOKUP(E95,'All Products'!D:D,'All Products'!G:G,FALSE)</f>
        <v>-</v>
      </c>
      <c r="I95" s="354">
        <f>_xlfn.XLOOKUP(E95,'All Products'!D:D,'All Products'!H:H,FALSE)</f>
        <v>125.38</v>
      </c>
      <c r="J95" s="134">
        <f>ROUNDUP(I95*Order_Quote!$L$11,2)</f>
        <v>626.9</v>
      </c>
      <c r="K95" s="73"/>
      <c r="L95" s="50"/>
      <c r="M95" s="47">
        <f t="shared" si="2"/>
        <v>0</v>
      </c>
      <c r="O95" s="265" t="s">
        <v>369</v>
      </c>
      <c r="P95" s="265" t="s">
        <v>77</v>
      </c>
      <c r="Q95" s="265">
        <v>0</v>
      </c>
      <c r="R95" s="265">
        <v>0</v>
      </c>
      <c r="S95" s="265">
        <v>0</v>
      </c>
      <c r="T95" s="265">
        <v>3.9E-2</v>
      </c>
    </row>
    <row r="96" spans="1:20">
      <c r="A96" s="5" t="str">
        <f>IF(K96&gt;0,COUNT($A$7:A95)+COUNT('DWV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6" s="611"/>
      <c r="C96" s="612"/>
      <c r="D96" s="572" t="str">
        <f>_xlfn.XLOOKUP(E96,'All Products'!D:D,'All Products'!C:C,FALSE)</f>
        <v>T4106-005</v>
      </c>
      <c r="E96" s="130">
        <v>300005809</v>
      </c>
      <c r="F96" s="573" t="str">
        <f>_xlfn.XLOOKUP(E96,'All Products'!D:D,'All Products'!E:E,FALSE)</f>
        <v>CPVC TRANSITION ELBOW ASTM 1/2"</v>
      </c>
      <c r="G96" s="574">
        <f>_xlfn.XLOOKUP(E96,'All Products'!D:D,'All Products'!F:F,FALSE)</f>
        <v>100</v>
      </c>
      <c r="H96" s="574" t="str">
        <f>_xlfn.XLOOKUP(E96,'All Products'!D:D,'All Products'!G:G,FALSE)</f>
        <v>-</v>
      </c>
      <c r="I96" s="354">
        <f>_xlfn.XLOOKUP(E96,'All Products'!D:D,'All Products'!H:H,FALSE)</f>
        <v>73.03</v>
      </c>
      <c r="J96" s="134">
        <f>ROUNDUP(I96*Order_Quote!$L$11,2)</f>
        <v>365.15</v>
      </c>
      <c r="K96" s="73"/>
      <c r="L96" s="50"/>
      <c r="M96" s="47">
        <f t="shared" si="2"/>
        <v>0</v>
      </c>
      <c r="O96" s="265" t="s">
        <v>369</v>
      </c>
      <c r="P96" s="265" t="s">
        <v>77</v>
      </c>
      <c r="Q96" s="265">
        <v>0</v>
      </c>
      <c r="R96" s="265">
        <v>0</v>
      </c>
      <c r="S96" s="265">
        <v>0</v>
      </c>
      <c r="T96" s="265">
        <v>9.2999999999999999E-2</v>
      </c>
    </row>
    <row r="97" spans="1:20">
      <c r="A97" s="5" t="str">
        <f>IF(K97&gt;0,COUNT($A$7:A96)+COUNT('DWV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7" s="613"/>
      <c r="C97" s="614"/>
      <c r="D97" s="572" t="str">
        <f>_xlfn.XLOOKUP(E97,'All Products'!D:D,'All Products'!C:C,FALSE)</f>
        <v>T4106-007</v>
      </c>
      <c r="E97" s="130">
        <v>300005810</v>
      </c>
      <c r="F97" s="573" t="str">
        <f>_xlfn.XLOOKUP(E97,'All Products'!D:D,'All Products'!E:E,FALSE)</f>
        <v>CPVC TRANSITION ELBOW ASTM 3/4"</v>
      </c>
      <c r="G97" s="574">
        <f>_xlfn.XLOOKUP(E97,'All Products'!D:D,'All Products'!F:F,FALSE)</f>
        <v>100</v>
      </c>
      <c r="H97" s="574" t="str">
        <f>_xlfn.XLOOKUP(E97,'All Products'!D:D,'All Products'!G:G,FALSE)</f>
        <v>-</v>
      </c>
      <c r="I97" s="354">
        <f>_xlfn.XLOOKUP(E97,'All Products'!D:D,'All Products'!H:H,FALSE)</f>
        <v>80.41</v>
      </c>
      <c r="J97" s="134">
        <f>ROUNDUP(I97*Order_Quote!$L$11,2)</f>
        <v>402.05</v>
      </c>
      <c r="K97" s="73"/>
      <c r="L97" s="50"/>
      <c r="M97" s="47">
        <f t="shared" si="2"/>
        <v>0</v>
      </c>
      <c r="O97" s="265" t="s">
        <v>369</v>
      </c>
      <c r="P97" s="265" t="s">
        <v>77</v>
      </c>
      <c r="Q97" s="265">
        <v>0</v>
      </c>
      <c r="R97" s="265">
        <v>0</v>
      </c>
      <c r="S97" s="265">
        <v>0</v>
      </c>
      <c r="T97" s="265">
        <v>0.16800000000000001</v>
      </c>
    </row>
    <row r="98" spans="1:20">
      <c r="A98" s="5" t="str">
        <f>IF(K98&gt;0,COUNT($A$7:A97)+COUNT('DWV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8" s="613"/>
      <c r="C98" s="614"/>
      <c r="D98" s="572" t="str">
        <f>_xlfn.XLOOKUP(E98,'All Products'!D:D,'All Products'!C:C,FALSE)</f>
        <v>T4106-010</v>
      </c>
      <c r="E98" s="130">
        <v>300005805</v>
      </c>
      <c r="F98" s="573" t="str">
        <f>_xlfn.XLOOKUP(E98,'All Products'!D:D,'All Products'!E:E,FALSE)</f>
        <v>CPVC TRANSITION ELBOW ASTM 1"</v>
      </c>
      <c r="G98" s="574">
        <f>_xlfn.XLOOKUP(E98,'All Products'!D:D,'All Products'!F:F,FALSE)</f>
        <v>100</v>
      </c>
      <c r="H98" s="574" t="str">
        <f>_xlfn.XLOOKUP(E98,'All Products'!D:D,'All Products'!G:G,FALSE)</f>
        <v>-</v>
      </c>
      <c r="I98" s="354">
        <f>_xlfn.XLOOKUP(E98,'All Products'!D:D,'All Products'!H:H,FALSE)</f>
        <v>228.07</v>
      </c>
      <c r="J98" s="134">
        <f>ROUNDUP(I98*Order_Quote!$L$11,2)</f>
        <v>1140.3499999999999</v>
      </c>
      <c r="K98" s="73"/>
      <c r="L98" s="50"/>
      <c r="M98" s="47">
        <f t="shared" si="2"/>
        <v>0</v>
      </c>
      <c r="O98" s="265" t="s">
        <v>369</v>
      </c>
      <c r="P98" s="265" t="s">
        <v>77</v>
      </c>
      <c r="Q98" s="265">
        <v>0</v>
      </c>
      <c r="R98" s="265">
        <v>0</v>
      </c>
      <c r="S98" s="265">
        <v>0</v>
      </c>
      <c r="T98" s="265">
        <v>0.27800000000000002</v>
      </c>
    </row>
    <row r="99" spans="1:20" ht="15.75" thickBot="1">
      <c r="A99" s="5" t="str">
        <f>IF(K99&gt;0,COUNT($A$7:A98)+COUNT('DWV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Flange'!$A$8:$A$16)+1,"")</f>
        <v/>
      </c>
      <c r="B99" s="615"/>
      <c r="C99" s="616"/>
      <c r="D99" s="572" t="str">
        <f>_xlfn.XLOOKUP(E99,'All Products'!D:D,'All Products'!C:C,FALSE)</f>
        <v>T4106-101</v>
      </c>
      <c r="E99" s="130">
        <v>300005816</v>
      </c>
      <c r="F99" s="573" t="str">
        <f>_xlfn.XLOOKUP(E99,'All Products'!D:D,'All Products'!E:E,FALSE)</f>
        <v>CPVC TRANSITION ELBOW ASTM 3/4X1/2"</v>
      </c>
      <c r="G99" s="574">
        <f>_xlfn.XLOOKUP(E99,'All Products'!D:D,'All Products'!F:F,FALSE)</f>
        <v>100</v>
      </c>
      <c r="H99" s="574" t="str">
        <f>_xlfn.XLOOKUP(E99,'All Products'!D:D,'All Products'!G:G,FALSE)</f>
        <v>-</v>
      </c>
      <c r="I99" s="354">
        <f>_xlfn.XLOOKUP(E99,'All Products'!D:D,'All Products'!H:H,FALSE)</f>
        <v>76.72</v>
      </c>
      <c r="J99" s="134">
        <f>ROUNDUP(I99*Order_Quote!$L$11,2)</f>
        <v>383.6</v>
      </c>
      <c r="K99" s="74"/>
      <c r="L99" s="50"/>
      <c r="M99" s="47">
        <f t="shared" si="2"/>
        <v>0</v>
      </c>
      <c r="O99" s="265" t="s">
        <v>369</v>
      </c>
      <c r="P99" s="265" t="s">
        <v>77</v>
      </c>
      <c r="Q99" s="265">
        <v>0</v>
      </c>
      <c r="R99" s="265">
        <v>0</v>
      </c>
      <c r="S99" s="265">
        <v>0</v>
      </c>
      <c r="T99" s="265">
        <v>0.112</v>
      </c>
    </row>
    <row r="100" spans="1:20" customFormat="1">
      <c r="A100" s="5">
        <f>MAX(A8:A99)+1</f>
        <v>1</v>
      </c>
      <c r="G100" s="575"/>
    </row>
    <row r="101" spans="1:20"/>
  </sheetData>
  <sheetProtection algorithmName="SHA-512" hashValue="xiKEdQAQS1O9hu5KbtE68Lq2MVRHY3ZJHaXgaFrwZaFRb00K+XcefI1PSxGU0Aho1Wbm5bcxnX+03AcYHqqFcg==" saltValue="zwnurOKKK/Tt1YHbiprn0w==" spinCount="100000" sheet="1" formatCells="0" formatColumns="0" formatRows="0" insertColumns="0" insertRows="0" insertHyperlinks="0" deleteColumns="0" deleteRows="0" sort="0" autoFilter="0" pivotTables="0"/>
  <mergeCells count="17">
    <mergeCell ref="J2:K3"/>
    <mergeCell ref="B8:C13"/>
    <mergeCell ref="B14:C21"/>
    <mergeCell ref="B22:C27"/>
    <mergeCell ref="B51:C56"/>
    <mergeCell ref="B95:C95"/>
    <mergeCell ref="B96:C99"/>
    <mergeCell ref="B61:C67"/>
    <mergeCell ref="B68:C79"/>
    <mergeCell ref="B80:C85"/>
    <mergeCell ref="B86:C91"/>
    <mergeCell ref="B93:C94"/>
    <mergeCell ref="Q6:S6"/>
    <mergeCell ref="B28:C30"/>
    <mergeCell ref="B31:C36"/>
    <mergeCell ref="B37:C39"/>
    <mergeCell ref="B40:C45"/>
  </mergeCells>
  <phoneticPr fontId="33" type="noConversion"/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" xr:uid="{00000000-0002-0000-05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5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00000000-0002-0000-05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99" xr:uid="{00000000-0002-0000-0500-000003000000}">
      <formula1>1</formula1>
    </dataValidation>
  </dataValidations>
  <printOptions horizontalCentered="1"/>
  <pageMargins left="0.7" right="0.7" top="0.75" bottom="0.75" header="0.3" footer="0.3"/>
  <pageSetup scale="71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1" manualBreakCount="1">
    <brk id="45" max="8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3AFC9-4FB4-4601-8B0B-6ABD2620538E}">
  <sheetPr>
    <tabColor theme="0"/>
    <pageSetUpPr fitToPage="1"/>
  </sheetPr>
  <dimension ref="A1:Y360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323" customWidth="1"/>
    <col min="2" max="3" width="8.7109375" style="152" customWidth="1"/>
    <col min="4" max="5" width="12.7109375" style="152" customWidth="1"/>
    <col min="6" max="6" width="50.7109375" style="152" customWidth="1"/>
    <col min="7" max="9" width="10.7109375" style="152" customWidth="1"/>
    <col min="10" max="10" width="10.42578125" style="477" customWidth="1"/>
    <col min="11" max="11" width="10.42578125" style="152" customWidth="1"/>
    <col min="12" max="12" width="1.42578125" style="152" customWidth="1"/>
    <col min="13" max="13" width="12.5703125" style="152" bestFit="1" customWidth="1"/>
    <col min="14" max="14" width="2.28515625" style="17" customWidth="1"/>
    <col min="15" max="15" width="12.7109375" style="152" customWidth="1"/>
    <col min="16" max="16" width="10.7109375" style="152" customWidth="1"/>
    <col min="17" max="18" width="11.28515625" style="152" bestFit="1" customWidth="1"/>
    <col min="19" max="19" width="13.140625" style="152" bestFit="1" customWidth="1"/>
    <col min="20" max="23" width="10.7109375" style="152" customWidth="1"/>
    <col min="24" max="32" width="9.140625" style="17" customWidth="1"/>
    <col min="33" max="16384" width="9.140625" style="17"/>
  </cols>
  <sheetData>
    <row r="1" spans="1:25" ht="15" customHeight="1">
      <c r="A1" s="104"/>
      <c r="B1" s="17"/>
      <c r="C1" s="17"/>
      <c r="D1" s="20"/>
      <c r="E1" s="20"/>
      <c r="F1" s="173" t="s">
        <v>29</v>
      </c>
      <c r="G1" s="236"/>
      <c r="H1" s="236"/>
      <c r="I1" s="236"/>
      <c r="J1" s="237"/>
      <c r="K1" s="20"/>
      <c r="L1" s="20"/>
      <c r="M1" s="20"/>
      <c r="O1" s="236"/>
      <c r="P1" s="236"/>
      <c r="Q1" s="236"/>
      <c r="R1" s="236"/>
      <c r="S1" s="236"/>
      <c r="T1" s="236"/>
      <c r="U1" s="236"/>
      <c r="V1" s="236"/>
      <c r="W1" s="236"/>
    </row>
    <row r="2" spans="1:25" ht="15" customHeight="1">
      <c r="A2" s="104"/>
      <c r="B2" s="17"/>
      <c r="C2" s="17"/>
      <c r="D2" s="238"/>
      <c r="E2" s="239"/>
      <c r="F2" s="217"/>
      <c r="G2" s="20"/>
      <c r="H2" s="20"/>
      <c r="I2" s="17"/>
      <c r="J2" s="628" t="s">
        <v>59</v>
      </c>
      <c r="K2" s="628"/>
      <c r="L2" s="20"/>
      <c r="M2" s="20"/>
      <c r="O2" s="20"/>
      <c r="P2" s="20"/>
      <c r="Q2" s="20"/>
      <c r="R2" s="20"/>
      <c r="S2" s="20"/>
      <c r="T2" s="20"/>
      <c r="U2" s="20"/>
      <c r="V2" s="20"/>
      <c r="W2" s="20"/>
    </row>
    <row r="3" spans="1:25" ht="15" customHeight="1">
      <c r="A3" s="104"/>
      <c r="B3" s="17"/>
      <c r="C3" s="17"/>
      <c r="D3" s="20"/>
      <c r="E3" s="20"/>
      <c r="F3" s="436" t="s">
        <v>413</v>
      </c>
      <c r="G3" s="20"/>
      <c r="H3" s="20"/>
      <c r="I3" s="17"/>
      <c r="J3" s="628"/>
      <c r="K3" s="628"/>
      <c r="L3" s="20"/>
      <c r="M3" s="20"/>
      <c r="O3" s="20"/>
      <c r="P3" s="20"/>
      <c r="Q3" s="20"/>
      <c r="R3" s="20"/>
      <c r="S3" s="20"/>
      <c r="T3" s="20"/>
      <c r="U3" s="20"/>
      <c r="V3" s="20"/>
      <c r="W3" s="20"/>
    </row>
    <row r="4" spans="1:25" ht="15" customHeight="1">
      <c r="A4" s="104"/>
      <c r="B4" s="17"/>
      <c r="C4" s="17"/>
      <c r="D4" s="20"/>
      <c r="E4" s="163"/>
      <c r="F4" s="440" t="s">
        <v>414</v>
      </c>
      <c r="G4" s="20"/>
      <c r="H4" s="20"/>
      <c r="I4" s="17"/>
      <c r="J4" s="237"/>
      <c r="K4" s="17"/>
      <c r="L4" s="20"/>
      <c r="M4" s="20"/>
      <c r="O4" s="20"/>
      <c r="P4" s="20"/>
      <c r="Q4" s="20"/>
      <c r="R4" s="20"/>
      <c r="S4" s="20"/>
      <c r="T4" s="20"/>
      <c r="U4" s="20"/>
      <c r="V4" s="20"/>
      <c r="W4" s="20"/>
    </row>
    <row r="5" spans="1:25" ht="15" customHeight="1">
      <c r="A5" s="104"/>
      <c r="B5" s="17"/>
      <c r="C5" s="17"/>
      <c r="D5" s="20"/>
      <c r="E5" s="20"/>
      <c r="F5" s="438" t="s">
        <v>329</v>
      </c>
      <c r="G5" s="20"/>
      <c r="H5" s="20"/>
      <c r="I5" s="17"/>
      <c r="J5" s="237"/>
      <c r="K5" s="17"/>
      <c r="L5" s="20"/>
      <c r="M5" s="20"/>
      <c r="O5" s="20"/>
      <c r="P5" s="20"/>
      <c r="Q5" s="20"/>
      <c r="R5" s="20"/>
      <c r="S5" s="20"/>
      <c r="T5" s="20"/>
      <c r="U5" s="20"/>
      <c r="V5" s="20"/>
      <c r="W5" s="20"/>
    </row>
    <row r="6" spans="1:25" ht="15">
      <c r="A6" s="104"/>
      <c r="B6" s="17"/>
      <c r="C6" s="17"/>
      <c r="D6" s="20"/>
      <c r="E6" s="20"/>
      <c r="F6" s="217"/>
      <c r="G6" s="20"/>
      <c r="H6" s="20"/>
      <c r="I6" s="17"/>
      <c r="J6" s="237"/>
      <c r="K6" s="17"/>
      <c r="L6" s="20"/>
      <c r="M6" s="20"/>
      <c r="O6" s="486" t="s">
        <v>63</v>
      </c>
      <c r="P6" s="20"/>
      <c r="Q6" s="576" t="s">
        <v>64</v>
      </c>
      <c r="R6" s="576"/>
      <c r="S6" s="576"/>
      <c r="T6" s="20"/>
      <c r="U6" s="20"/>
      <c r="V6" s="20"/>
      <c r="W6" s="20"/>
    </row>
    <row r="7" spans="1:25" s="20" customFormat="1" ht="30">
      <c r="A7" s="163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226" t="s">
        <v>55</v>
      </c>
      <c r="K7" s="177" t="s">
        <v>52</v>
      </c>
      <c r="L7" s="178"/>
      <c r="M7" s="156" t="s">
        <v>67</v>
      </c>
      <c r="N7" s="17"/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</row>
    <row r="8" spans="1:25" ht="15" customHeight="1">
      <c r="A8" s="104"/>
      <c r="B8" s="17"/>
      <c r="E8" s="20"/>
      <c r="F8" s="217"/>
      <c r="G8" s="20"/>
      <c r="H8" s="20"/>
      <c r="I8" s="514"/>
      <c r="J8" s="237"/>
      <c r="K8" s="443"/>
      <c r="L8" s="20"/>
      <c r="M8" s="181"/>
      <c r="O8" s="20"/>
      <c r="P8" s="20"/>
      <c r="Q8" s="20"/>
      <c r="R8" s="20"/>
      <c r="S8" s="20"/>
      <c r="T8" s="20"/>
      <c r="U8" s="20"/>
      <c r="V8" s="20"/>
      <c r="W8" s="20"/>
    </row>
    <row r="9" spans="1:25" ht="18.75">
      <c r="A9" s="104"/>
      <c r="B9" s="444" t="s">
        <v>415</v>
      </c>
      <c r="C9" s="44"/>
      <c r="D9" s="44"/>
      <c r="E9" s="44"/>
      <c r="F9" s="44"/>
      <c r="G9" s="44"/>
      <c r="H9" s="44"/>
      <c r="I9" s="515"/>
      <c r="J9" s="445"/>
      <c r="K9" s="246"/>
      <c r="L9" s="243"/>
      <c r="M9" s="157"/>
      <c r="O9" s="44"/>
      <c r="P9" s="44"/>
      <c r="Q9" s="44"/>
      <c r="R9" s="44"/>
      <c r="S9" s="44"/>
      <c r="T9" s="44"/>
      <c r="U9" s="44"/>
      <c r="V9" s="44"/>
      <c r="W9" s="44"/>
    </row>
    <row r="10" spans="1:25" ht="15" customHeight="1">
      <c r="A10" s="104"/>
      <c r="B10" s="308" t="s">
        <v>416</v>
      </c>
      <c r="C10" s="306"/>
      <c r="D10" s="306"/>
      <c r="E10" s="306"/>
      <c r="F10" s="306"/>
      <c r="G10" s="306"/>
      <c r="H10" s="306"/>
      <c r="I10" s="516"/>
      <c r="J10" s="309"/>
      <c r="K10" s="310"/>
      <c r="L10" s="311"/>
      <c r="M10" s="307"/>
      <c r="O10" s="306"/>
      <c r="P10" s="306"/>
      <c r="Q10" s="306"/>
      <c r="R10" s="306"/>
      <c r="S10" s="306"/>
      <c r="T10" s="306"/>
      <c r="U10" s="306"/>
      <c r="V10" s="306"/>
      <c r="W10" s="306"/>
    </row>
    <row r="11" spans="1:25" ht="15" customHeight="1">
      <c r="A11" s="104" t="str">
        <f>IF(K11&gt;0,COUNT($A$10:A10)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" s="112"/>
      <c r="C11" s="79"/>
      <c r="D11" s="208" t="s">
        <v>417</v>
      </c>
      <c r="E11" s="171">
        <v>100021857</v>
      </c>
      <c r="F11" s="289" t="s">
        <v>418</v>
      </c>
      <c r="G11" s="171">
        <v>250</v>
      </c>
      <c r="H11" s="171">
        <v>9450</v>
      </c>
      <c r="I11" s="517">
        <f>_xlfn.XLOOKUP(E11,'All Products'!D:D,'All Products'!H:H)</f>
        <v>5.29</v>
      </c>
      <c r="J11" s="317">
        <f>ROUNDUP(I11*Order_Quote!$L$12,2)</f>
        <v>26.45</v>
      </c>
      <c r="K11" s="446"/>
      <c r="L11" s="116"/>
      <c r="M11" s="298">
        <f t="shared" ref="M11:M16" si="0">K11/G11</f>
        <v>0</v>
      </c>
      <c r="O11" s="305" t="s">
        <v>76</v>
      </c>
      <c r="P11" s="305" t="s">
        <v>102</v>
      </c>
      <c r="Q11" s="305" t="s">
        <v>419</v>
      </c>
      <c r="R11" s="305" t="s">
        <v>420</v>
      </c>
      <c r="S11" s="305" t="s">
        <v>421</v>
      </c>
      <c r="T11" s="347">
        <v>5.8999999999999997E-2</v>
      </c>
      <c r="U11" s="265">
        <v>10</v>
      </c>
      <c r="V11" s="348">
        <v>15.59</v>
      </c>
      <c r="W11" s="348">
        <v>1.1000000000000001</v>
      </c>
      <c r="X11" s="447"/>
      <c r="Y11" s="447"/>
    </row>
    <row r="12" spans="1:25" ht="15" customHeight="1">
      <c r="A12" s="104" t="str">
        <f>IF(K12&gt;0,COUNT($A$10:A11)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" s="112"/>
      <c r="C12" s="79"/>
      <c r="D12" s="158" t="s">
        <v>422</v>
      </c>
      <c r="E12" s="106">
        <v>100021859</v>
      </c>
      <c r="F12" s="159" t="s">
        <v>423</v>
      </c>
      <c r="G12" s="106">
        <v>200</v>
      </c>
      <c r="H12" s="106">
        <v>6000</v>
      </c>
      <c r="I12" s="518">
        <f>_xlfn.XLOOKUP(E12,'All Products'!D:D,'All Products'!H:H)</f>
        <v>5.71</v>
      </c>
      <c r="J12" s="317">
        <f>ROUNDUP(I12*Order_Quote!$L$12,2)</f>
        <v>28.55</v>
      </c>
      <c r="K12" s="78"/>
      <c r="L12" s="116"/>
      <c r="M12" s="199">
        <f t="shared" si="0"/>
        <v>0</v>
      </c>
      <c r="O12" s="265" t="s">
        <v>76</v>
      </c>
      <c r="P12" s="265" t="s">
        <v>102</v>
      </c>
      <c r="Q12" s="305" t="s">
        <v>424</v>
      </c>
      <c r="R12" s="305" t="s">
        <v>425</v>
      </c>
      <c r="S12" s="305" t="s">
        <v>426</v>
      </c>
      <c r="T12" s="347">
        <v>8.7999999999999995E-2</v>
      </c>
      <c r="U12" s="265">
        <v>10</v>
      </c>
      <c r="V12" s="348">
        <v>18.36</v>
      </c>
      <c r="W12" s="348">
        <v>1.25</v>
      </c>
      <c r="X12" s="447"/>
      <c r="Y12" s="447"/>
    </row>
    <row r="13" spans="1:25" ht="15" customHeight="1">
      <c r="A13" s="104" t="str">
        <f>IF(K13&gt;0,COUNT($A$10:A12)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" s="112"/>
      <c r="C13" s="79"/>
      <c r="D13" s="158" t="s">
        <v>427</v>
      </c>
      <c r="E13" s="106">
        <v>100021861</v>
      </c>
      <c r="F13" s="159" t="s">
        <v>428</v>
      </c>
      <c r="G13" s="106">
        <v>50</v>
      </c>
      <c r="H13" s="106">
        <v>4500</v>
      </c>
      <c r="I13" s="518">
        <f>_xlfn.XLOOKUP(E13,'All Products'!D:D,'All Products'!H:H)</f>
        <v>7.43</v>
      </c>
      <c r="J13" s="317">
        <f>ROUNDUP(I13*Order_Quote!$L$12,2)</f>
        <v>37.15</v>
      </c>
      <c r="K13" s="78"/>
      <c r="L13" s="116"/>
      <c r="M13" s="199">
        <f t="shared" si="0"/>
        <v>0</v>
      </c>
      <c r="O13" s="265" t="s">
        <v>76</v>
      </c>
      <c r="P13" s="265" t="s">
        <v>102</v>
      </c>
      <c r="Q13" s="305" t="s">
        <v>429</v>
      </c>
      <c r="R13" s="305" t="s">
        <v>430</v>
      </c>
      <c r="S13" s="305" t="s">
        <v>431</v>
      </c>
      <c r="T13" s="347">
        <v>0.13200000000000001</v>
      </c>
      <c r="U13" s="265">
        <v>10</v>
      </c>
      <c r="V13" s="348">
        <v>7.27</v>
      </c>
      <c r="W13" s="348">
        <v>0.5</v>
      </c>
      <c r="X13" s="447"/>
      <c r="Y13" s="447"/>
    </row>
    <row r="14" spans="1:25" ht="15" customHeight="1">
      <c r="A14" s="104" t="str">
        <f>IF(K14&gt;0,COUNT($A$10:A13)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" s="112"/>
      <c r="C14" s="79"/>
      <c r="D14" s="158" t="s">
        <v>432</v>
      </c>
      <c r="E14" s="106">
        <v>100021863</v>
      </c>
      <c r="F14" s="159" t="s">
        <v>433</v>
      </c>
      <c r="G14" s="106">
        <v>50</v>
      </c>
      <c r="H14" s="106">
        <v>3000</v>
      </c>
      <c r="I14" s="518">
        <f>_xlfn.XLOOKUP(E14,'All Products'!D:D,'All Products'!H:H)</f>
        <v>11.66</v>
      </c>
      <c r="J14" s="317">
        <f>ROUNDUP(I14*Order_Quote!$L$12,2)</f>
        <v>58.3</v>
      </c>
      <c r="K14" s="78"/>
      <c r="L14" s="116"/>
      <c r="M14" s="199">
        <f t="shared" si="0"/>
        <v>0</v>
      </c>
      <c r="O14" s="265" t="s">
        <v>76</v>
      </c>
      <c r="P14" s="265" t="s">
        <v>102</v>
      </c>
      <c r="Q14" s="305" t="s">
        <v>434</v>
      </c>
      <c r="R14" s="305" t="s">
        <v>435</v>
      </c>
      <c r="S14" s="305" t="s">
        <v>436</v>
      </c>
      <c r="T14" s="347">
        <v>0.189</v>
      </c>
      <c r="U14" s="265">
        <v>10</v>
      </c>
      <c r="V14" s="348">
        <v>9.56</v>
      </c>
      <c r="W14" s="348">
        <v>0.8</v>
      </c>
      <c r="X14" s="447"/>
      <c r="Y14" s="447"/>
    </row>
    <row r="15" spans="1:25" ht="15" customHeight="1">
      <c r="A15" s="104" t="str">
        <f>IF(K15&gt;0,COUNT($A$10:A14)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" s="112"/>
      <c r="C15" s="79"/>
      <c r="D15" s="158" t="s">
        <v>437</v>
      </c>
      <c r="E15" s="106">
        <v>100021864</v>
      </c>
      <c r="F15" s="159" t="s">
        <v>438</v>
      </c>
      <c r="G15" s="106">
        <v>25</v>
      </c>
      <c r="H15" s="106">
        <v>2250</v>
      </c>
      <c r="I15" s="518">
        <f>_xlfn.XLOOKUP(E15,'All Products'!D:D,'All Products'!H:H)</f>
        <v>13.19</v>
      </c>
      <c r="J15" s="317">
        <f>ROUNDUP(I15*Order_Quote!$L$12,2)</f>
        <v>65.95</v>
      </c>
      <c r="K15" s="78"/>
      <c r="L15" s="116"/>
      <c r="M15" s="199">
        <f t="shared" si="0"/>
        <v>0</v>
      </c>
      <c r="O15" s="265" t="s">
        <v>76</v>
      </c>
      <c r="P15" s="265" t="s">
        <v>102</v>
      </c>
      <c r="Q15" s="305" t="s">
        <v>439</v>
      </c>
      <c r="R15" s="305" t="s">
        <v>440</v>
      </c>
      <c r="S15" s="305" t="s">
        <v>441</v>
      </c>
      <c r="T15" s="347">
        <v>0.218</v>
      </c>
      <c r="U15" s="265">
        <v>5</v>
      </c>
      <c r="V15" s="348">
        <v>6.12</v>
      </c>
      <c r="W15" s="348">
        <v>0.5</v>
      </c>
      <c r="X15" s="447"/>
      <c r="Y15" s="447"/>
    </row>
    <row r="16" spans="1:25" ht="15" customHeight="1">
      <c r="A16" s="104" t="str">
        <f>IF(K16&gt;0,COUNT($A$10:A15)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" s="113"/>
      <c r="C16" s="114"/>
      <c r="D16" s="158" t="s">
        <v>442</v>
      </c>
      <c r="E16" s="106">
        <v>100021866</v>
      </c>
      <c r="F16" s="159" t="s">
        <v>443</v>
      </c>
      <c r="G16" s="106">
        <v>20</v>
      </c>
      <c r="H16" s="106">
        <v>1200</v>
      </c>
      <c r="I16" s="518">
        <f>_xlfn.XLOOKUP(E16,'All Products'!D:D,'All Products'!H:H)</f>
        <v>26.04</v>
      </c>
      <c r="J16" s="317">
        <f>ROUNDUP(I16*Order_Quote!$L$12,2)</f>
        <v>130.19999999999999</v>
      </c>
      <c r="K16" s="78"/>
      <c r="L16" s="292"/>
      <c r="M16" s="199">
        <f t="shared" si="0"/>
        <v>0</v>
      </c>
      <c r="O16" s="265" t="s">
        <v>76</v>
      </c>
      <c r="P16" s="265" t="s">
        <v>102</v>
      </c>
      <c r="Q16" s="305" t="s">
        <v>444</v>
      </c>
      <c r="R16" s="305" t="s">
        <v>445</v>
      </c>
      <c r="S16" s="305" t="s">
        <v>446</v>
      </c>
      <c r="T16" s="347">
        <v>0.318</v>
      </c>
      <c r="U16" s="265">
        <v>5</v>
      </c>
      <c r="V16" s="348">
        <v>7.22</v>
      </c>
      <c r="W16" s="348">
        <v>0.8</v>
      </c>
      <c r="X16" s="447"/>
      <c r="Y16" s="447"/>
    </row>
    <row r="17" spans="1:25" ht="15" customHeight="1">
      <c r="A17" s="104" t="str">
        <f>IF(K17&gt;0,COUNT($A$10:A16)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" s="17"/>
      <c r="E17" s="20"/>
      <c r="F17" s="217"/>
      <c r="G17" s="20"/>
      <c r="H17" s="20"/>
      <c r="I17" s="514"/>
      <c r="J17" s="237"/>
      <c r="K17" s="443"/>
      <c r="L17" s="20"/>
      <c r="M17" s="181"/>
      <c r="O17" s="20"/>
      <c r="P17" s="20"/>
      <c r="Q17" s="20"/>
      <c r="R17" s="20"/>
      <c r="S17" s="20"/>
      <c r="T17" s="20"/>
      <c r="U17" s="20"/>
      <c r="V17" s="20"/>
      <c r="W17" s="20"/>
    </row>
    <row r="18" spans="1:25" ht="18.75">
      <c r="A18" s="104" t="str">
        <f>IF(K18&gt;0,COUNT($A$10:A17)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" s="444" t="s">
        <v>447</v>
      </c>
      <c r="C18" s="44"/>
      <c r="D18" s="44"/>
      <c r="E18" s="44"/>
      <c r="F18" s="44"/>
      <c r="G18" s="44"/>
      <c r="H18" s="44"/>
      <c r="I18" s="515"/>
      <c r="J18" s="445"/>
      <c r="K18" s="246"/>
      <c r="L18" s="243"/>
      <c r="M18" s="157"/>
      <c r="O18" s="44"/>
      <c r="P18" s="44"/>
      <c r="Q18" s="44"/>
      <c r="R18" s="44"/>
      <c r="S18" s="44"/>
      <c r="T18" s="44"/>
      <c r="U18" s="44"/>
      <c r="V18" s="44"/>
      <c r="W18" s="44"/>
    </row>
    <row r="19" spans="1:25" ht="15" customHeight="1">
      <c r="A19" s="104" t="str">
        <f>IF(K19&gt;0,COUNT($A$10:A18)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" s="308" t="s">
        <v>448</v>
      </c>
      <c r="C19" s="306"/>
      <c r="D19" s="306"/>
      <c r="E19" s="306"/>
      <c r="F19" s="306"/>
      <c r="G19" s="306"/>
      <c r="H19" s="306"/>
      <c r="I19" s="516"/>
      <c r="J19" s="309"/>
      <c r="K19" s="310"/>
      <c r="L19" s="311"/>
      <c r="M19" s="307"/>
      <c r="O19" s="306"/>
      <c r="P19" s="306"/>
      <c r="Q19" s="306"/>
      <c r="R19" s="306"/>
      <c r="S19" s="306"/>
      <c r="T19" s="306"/>
      <c r="U19" s="306"/>
      <c r="V19" s="306"/>
      <c r="W19" s="306"/>
    </row>
    <row r="20" spans="1:25" ht="15" customHeight="1">
      <c r="A20" s="104" t="str">
        <f>IF(K20&gt;0,COUNT($A$10:A19)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" s="112"/>
      <c r="C20" s="79"/>
      <c r="D20" s="208" t="s">
        <v>449</v>
      </c>
      <c r="E20" s="171">
        <v>100021872</v>
      </c>
      <c r="F20" s="289" t="s">
        <v>450</v>
      </c>
      <c r="G20" s="171">
        <v>200</v>
      </c>
      <c r="H20" s="171">
        <v>9000</v>
      </c>
      <c r="I20" s="517">
        <f>_xlfn.XLOOKUP(E20,'All Products'!D:D,'All Products'!H:H)</f>
        <v>6.49</v>
      </c>
      <c r="J20" s="317">
        <f>ROUNDUP(I20*Order_Quote!$L$12,2)</f>
        <v>32.450000000000003</v>
      </c>
      <c r="K20" s="184"/>
      <c r="L20" s="116"/>
      <c r="M20" s="298">
        <f t="shared" ref="M20:M27" si="1">K20/G20</f>
        <v>0</v>
      </c>
      <c r="O20" s="305" t="s">
        <v>76</v>
      </c>
      <c r="P20" s="305" t="s">
        <v>102</v>
      </c>
      <c r="Q20" s="305" t="s">
        <v>451</v>
      </c>
      <c r="R20" s="305" t="s">
        <v>452</v>
      </c>
      <c r="S20" s="305" t="s">
        <v>453</v>
      </c>
      <c r="T20" s="347">
        <v>7.5999999999999998E-2</v>
      </c>
      <c r="U20" s="265">
        <v>10</v>
      </c>
      <c r="V20" s="348">
        <v>16.61</v>
      </c>
      <c r="W20" s="348">
        <v>1.1000000000000001</v>
      </c>
      <c r="X20" s="447"/>
      <c r="Y20" s="447"/>
    </row>
    <row r="21" spans="1:25" ht="15" customHeight="1">
      <c r="A21" s="104" t="str">
        <f>IF(K21&gt;0,COUNT($A$10:A20)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" s="112"/>
      <c r="C21" s="79"/>
      <c r="D21" s="158" t="s">
        <v>454</v>
      </c>
      <c r="E21" s="106">
        <v>100021877</v>
      </c>
      <c r="F21" s="159" t="s">
        <v>455</v>
      </c>
      <c r="G21" s="106">
        <v>100</v>
      </c>
      <c r="H21" s="106">
        <v>6000</v>
      </c>
      <c r="I21" s="518">
        <f>_xlfn.XLOOKUP(E21,'All Products'!D:D,'All Products'!H:H)</f>
        <v>12.35</v>
      </c>
      <c r="J21" s="317">
        <f>ROUNDUP(I21*Order_Quote!$L$12,2)</f>
        <v>61.75</v>
      </c>
      <c r="K21" s="78"/>
      <c r="L21" s="116"/>
      <c r="M21" s="199">
        <f t="shared" si="1"/>
        <v>0</v>
      </c>
      <c r="O21" s="265" t="s">
        <v>359</v>
      </c>
      <c r="P21" s="265" t="s">
        <v>102</v>
      </c>
      <c r="Q21" s="305" t="s">
        <v>456</v>
      </c>
      <c r="R21" s="305" t="s">
        <v>457</v>
      </c>
      <c r="S21" s="305" t="s">
        <v>458</v>
      </c>
      <c r="T21" s="347">
        <v>8.6999999999999994E-2</v>
      </c>
      <c r="U21" s="265">
        <v>10</v>
      </c>
      <c r="V21" s="348">
        <v>9.44</v>
      </c>
      <c r="W21" s="348">
        <v>0.8</v>
      </c>
      <c r="X21" s="447"/>
      <c r="Y21" s="447"/>
    </row>
    <row r="22" spans="1:25" ht="15" customHeight="1">
      <c r="A22" s="104" t="str">
        <f>IF(K22&gt;0,COUNT($A$10:A21)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" s="112"/>
      <c r="C22" s="79"/>
      <c r="D22" s="158" t="s">
        <v>459</v>
      </c>
      <c r="E22" s="106">
        <v>100021879</v>
      </c>
      <c r="F22" s="159" t="s">
        <v>460</v>
      </c>
      <c r="G22" s="106">
        <v>100</v>
      </c>
      <c r="H22" s="106">
        <v>7500</v>
      </c>
      <c r="I22" s="518">
        <f>_xlfn.XLOOKUP(E22,'All Products'!D:D,'All Products'!H:H)</f>
        <v>7.61</v>
      </c>
      <c r="J22" s="317">
        <f>ROUNDUP(I22*Order_Quote!$L$12,2)</f>
        <v>38.049999999999997</v>
      </c>
      <c r="K22" s="78"/>
      <c r="L22" s="116"/>
      <c r="M22" s="199">
        <f t="shared" si="1"/>
        <v>0</v>
      </c>
      <c r="O22" s="265" t="s">
        <v>76</v>
      </c>
      <c r="P22" s="265" t="s">
        <v>102</v>
      </c>
      <c r="Q22" s="305" t="s">
        <v>461</v>
      </c>
      <c r="R22" s="305" t="s">
        <v>462</v>
      </c>
      <c r="S22" s="305" t="s">
        <v>463</v>
      </c>
      <c r="T22" s="347">
        <v>0.105</v>
      </c>
      <c r="U22" s="265">
        <v>10</v>
      </c>
      <c r="V22" s="348">
        <v>8.9499999999999993</v>
      </c>
      <c r="W22" s="348">
        <v>0.65</v>
      </c>
      <c r="X22" s="447"/>
      <c r="Y22" s="447"/>
    </row>
    <row r="23" spans="1:25" ht="15" customHeight="1">
      <c r="A23" s="104" t="str">
        <f>IF(K23&gt;0,COUNT($A$10:A22)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" s="112"/>
      <c r="C23" s="79"/>
      <c r="D23" s="158" t="s">
        <v>464</v>
      </c>
      <c r="E23" s="106">
        <v>100021881</v>
      </c>
      <c r="F23" s="159" t="s">
        <v>465</v>
      </c>
      <c r="G23" s="106">
        <v>100</v>
      </c>
      <c r="H23" s="106">
        <v>7500</v>
      </c>
      <c r="I23" s="518">
        <f>_xlfn.XLOOKUP(E23,'All Products'!D:D,'All Products'!H:H)</f>
        <v>7.67</v>
      </c>
      <c r="J23" s="317">
        <f>ROUNDUP(I23*Order_Quote!$L$12,2)</f>
        <v>38.35</v>
      </c>
      <c r="K23" s="78"/>
      <c r="L23" s="116"/>
      <c r="M23" s="199">
        <f t="shared" si="1"/>
        <v>0</v>
      </c>
      <c r="O23" s="265" t="s">
        <v>76</v>
      </c>
      <c r="P23" s="265" t="s">
        <v>102</v>
      </c>
      <c r="Q23" s="305" t="s">
        <v>466</v>
      </c>
      <c r="R23" s="305" t="s">
        <v>467</v>
      </c>
      <c r="S23" s="305" t="s">
        <v>468</v>
      </c>
      <c r="T23" s="347">
        <v>0.16800000000000001</v>
      </c>
      <c r="U23" s="265">
        <v>10</v>
      </c>
      <c r="V23" s="348">
        <v>12.68</v>
      </c>
      <c r="W23" s="348">
        <v>0.65</v>
      </c>
      <c r="X23" s="447"/>
      <c r="Y23" s="447"/>
    </row>
    <row r="24" spans="1:25" ht="15" customHeight="1">
      <c r="A24" s="104" t="str">
        <f>IF(K24&gt;0,COUNT($A$10:A23)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4" s="112"/>
      <c r="C24" s="79"/>
      <c r="D24" s="158" t="s">
        <v>469</v>
      </c>
      <c r="E24" s="106">
        <v>100021888</v>
      </c>
      <c r="F24" s="159" t="s">
        <v>470</v>
      </c>
      <c r="G24" s="106">
        <v>50</v>
      </c>
      <c r="H24" s="106">
        <v>3750</v>
      </c>
      <c r="I24" s="518">
        <f>_xlfn.XLOOKUP(E24,'All Products'!D:D,'All Products'!H:H)</f>
        <v>9.9600000000000009</v>
      </c>
      <c r="J24" s="317">
        <f>ROUNDUP(I24*Order_Quote!$L$12,2)</f>
        <v>49.8</v>
      </c>
      <c r="K24" s="78"/>
      <c r="L24" s="116"/>
      <c r="M24" s="199">
        <f t="shared" si="1"/>
        <v>0</v>
      </c>
      <c r="O24" s="265" t="s">
        <v>76</v>
      </c>
      <c r="P24" s="265" t="s">
        <v>102</v>
      </c>
      <c r="Q24" s="305" t="s">
        <v>471</v>
      </c>
      <c r="R24" s="305" t="s">
        <v>472</v>
      </c>
      <c r="S24" s="305" t="s">
        <v>473</v>
      </c>
      <c r="T24" s="347">
        <v>0.15</v>
      </c>
      <c r="U24" s="265">
        <v>10</v>
      </c>
      <c r="V24" s="348">
        <v>8.3000000000000007</v>
      </c>
      <c r="W24" s="348">
        <v>0.65</v>
      </c>
      <c r="X24" s="447"/>
      <c r="Y24" s="447"/>
    </row>
    <row r="25" spans="1:25" ht="15" customHeight="1">
      <c r="A25" s="104" t="str">
        <f>IF(K25&gt;0,COUNT($A$10:A24)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5" s="112"/>
      <c r="C25" s="79"/>
      <c r="D25" s="158" t="s">
        <v>474</v>
      </c>
      <c r="E25" s="106">
        <v>100021894</v>
      </c>
      <c r="F25" s="159" t="s">
        <v>475</v>
      </c>
      <c r="G25" s="106">
        <v>50</v>
      </c>
      <c r="H25" s="106">
        <v>3750</v>
      </c>
      <c r="I25" s="518">
        <f>_xlfn.XLOOKUP(E25,'All Products'!D:D,'All Products'!H:H)</f>
        <v>17.440000000000001</v>
      </c>
      <c r="J25" s="317">
        <f>ROUNDUP(I25*Order_Quote!$L$12,2)</f>
        <v>87.2</v>
      </c>
      <c r="K25" s="78"/>
      <c r="L25" s="116"/>
      <c r="M25" s="199">
        <f t="shared" si="1"/>
        <v>0</v>
      </c>
      <c r="O25" s="265" t="s">
        <v>359</v>
      </c>
      <c r="P25" s="265" t="s">
        <v>102</v>
      </c>
      <c r="Q25" s="305" t="s">
        <v>476</v>
      </c>
      <c r="R25" s="305" t="s">
        <v>477</v>
      </c>
      <c r="S25" s="305" t="s">
        <v>478</v>
      </c>
      <c r="T25" s="347">
        <v>0.17199999999999999</v>
      </c>
      <c r="U25" s="265">
        <v>10</v>
      </c>
      <c r="V25" s="348">
        <v>8.6199999999999992</v>
      </c>
      <c r="W25" s="348">
        <v>0.65</v>
      </c>
      <c r="X25" s="447"/>
      <c r="Y25" s="447"/>
    </row>
    <row r="26" spans="1:25" ht="15" customHeight="1">
      <c r="A26" s="104" t="str">
        <f>IF(K26&gt;0,COUNT($A$10:A25)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6" s="112"/>
      <c r="C26" s="79"/>
      <c r="D26" s="158" t="s">
        <v>479</v>
      </c>
      <c r="E26" s="106">
        <v>100021895</v>
      </c>
      <c r="F26" s="159" t="s">
        <v>480</v>
      </c>
      <c r="G26" s="106">
        <v>50</v>
      </c>
      <c r="H26" s="106">
        <v>3000</v>
      </c>
      <c r="I26" s="518">
        <f>_xlfn.XLOOKUP(E26,'All Products'!D:D,'All Products'!H:H)</f>
        <v>17.440000000000001</v>
      </c>
      <c r="J26" s="317">
        <f>ROUNDUP(I26*Order_Quote!$L$12,2)</f>
        <v>87.2</v>
      </c>
      <c r="K26" s="78"/>
      <c r="L26" s="116"/>
      <c r="M26" s="199">
        <f t="shared" si="1"/>
        <v>0</v>
      </c>
      <c r="O26" s="265" t="s">
        <v>76</v>
      </c>
      <c r="P26" s="265" t="s">
        <v>102</v>
      </c>
      <c r="Q26" s="305" t="s">
        <v>481</v>
      </c>
      <c r="R26" s="305" t="s">
        <v>482</v>
      </c>
      <c r="S26" s="305" t="s">
        <v>483</v>
      </c>
      <c r="T26" s="347">
        <v>0.17599999999999999</v>
      </c>
      <c r="U26" s="265">
        <v>10</v>
      </c>
      <c r="V26" s="348">
        <v>8.86</v>
      </c>
      <c r="W26" s="348">
        <v>0.8</v>
      </c>
      <c r="X26" s="447"/>
      <c r="Y26" s="447"/>
    </row>
    <row r="27" spans="1:25" ht="15" customHeight="1">
      <c r="A27" s="104" t="str">
        <f>IF(K27&gt;0,COUNT($A$10:A26)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7" s="112"/>
      <c r="C27" s="79"/>
      <c r="D27" s="158" t="s">
        <v>484</v>
      </c>
      <c r="E27" s="106">
        <v>100021901</v>
      </c>
      <c r="F27" s="159" t="s">
        <v>485</v>
      </c>
      <c r="G27" s="106">
        <v>25</v>
      </c>
      <c r="H27" s="106">
        <v>1875</v>
      </c>
      <c r="I27" s="518">
        <f>_xlfn.XLOOKUP(E27,'All Products'!D:D,'All Products'!H:H)</f>
        <v>24.76</v>
      </c>
      <c r="J27" s="317">
        <f>ROUNDUP(I27*Order_Quote!$L$12,2)</f>
        <v>123.8</v>
      </c>
      <c r="K27" s="78"/>
      <c r="M27" s="199">
        <f t="shared" si="1"/>
        <v>0</v>
      </c>
      <c r="O27" s="265" t="s">
        <v>359</v>
      </c>
      <c r="P27" s="265" t="s">
        <v>102</v>
      </c>
      <c r="Q27" s="305" t="s">
        <v>486</v>
      </c>
      <c r="R27" s="305" t="s">
        <v>487</v>
      </c>
      <c r="S27" s="305" t="s">
        <v>488</v>
      </c>
      <c r="T27" s="347">
        <v>0.25600000000000001</v>
      </c>
      <c r="U27" s="265">
        <v>5</v>
      </c>
      <c r="V27" s="348">
        <v>6.28</v>
      </c>
      <c r="W27" s="348">
        <v>0.65</v>
      </c>
      <c r="X27" s="447"/>
      <c r="Y27" s="447"/>
    </row>
    <row r="28" spans="1:25" ht="15" customHeight="1">
      <c r="A28" s="104" t="str">
        <f>IF(K28&gt;0,COUNT($A$10:A27)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8" s="308" t="s">
        <v>489</v>
      </c>
      <c r="C28" s="306"/>
      <c r="D28" s="306"/>
      <c r="E28" s="306"/>
      <c r="F28" s="306"/>
      <c r="G28" s="306"/>
      <c r="H28" s="306"/>
      <c r="I28" s="516"/>
      <c r="J28" s="309"/>
      <c r="K28" s="310"/>
      <c r="L28" s="311"/>
      <c r="M28" s="307"/>
      <c r="O28" s="306"/>
      <c r="P28" s="306"/>
      <c r="Q28" s="306"/>
      <c r="R28" s="306"/>
      <c r="S28" s="306"/>
      <c r="T28" s="306"/>
      <c r="U28" s="306"/>
      <c r="V28" s="306"/>
      <c r="W28" s="306"/>
    </row>
    <row r="29" spans="1:25" ht="41.25" customHeight="1">
      <c r="A29" s="104" t="str">
        <f>IF(K29&gt;0,COUNT($A$10:A28)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9" s="482"/>
      <c r="C29" s="483"/>
      <c r="D29" s="158" t="s">
        <v>490</v>
      </c>
      <c r="E29" s="106">
        <v>100021885</v>
      </c>
      <c r="F29" s="159" t="s">
        <v>491</v>
      </c>
      <c r="G29" s="106">
        <v>50</v>
      </c>
      <c r="H29" s="106">
        <v>4500</v>
      </c>
      <c r="I29" s="518">
        <f>_xlfn.XLOOKUP(E29,'All Products'!D:D,'All Products'!H:H)</f>
        <v>14.2</v>
      </c>
      <c r="J29" s="317">
        <f>ROUNDUP(I29*Order_Quote!$L$12,2)</f>
        <v>71</v>
      </c>
      <c r="K29" s="78"/>
      <c r="M29" s="199">
        <f>K29/G29</f>
        <v>0</v>
      </c>
      <c r="O29" s="265" t="s">
        <v>76</v>
      </c>
      <c r="P29" s="265" t="s">
        <v>102</v>
      </c>
      <c r="Q29" s="305" t="s">
        <v>492</v>
      </c>
      <c r="R29" s="305" t="s">
        <v>493</v>
      </c>
      <c r="S29" s="305" t="s">
        <v>494</v>
      </c>
      <c r="T29" s="347">
        <v>0.14799999999999999</v>
      </c>
      <c r="U29" s="265">
        <v>0</v>
      </c>
      <c r="V29" s="348">
        <v>7.67</v>
      </c>
      <c r="W29" s="348">
        <v>0.5</v>
      </c>
      <c r="X29" s="447"/>
      <c r="Y29" s="447"/>
    </row>
    <row r="30" spans="1:25" ht="15" customHeight="1">
      <c r="A30" s="104" t="str">
        <f>IF(K30&gt;0,COUNT($A$10:A29)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0" s="17"/>
      <c r="E30" s="20"/>
      <c r="F30" s="217"/>
      <c r="G30" s="20"/>
      <c r="H30" s="20"/>
      <c r="I30" s="514"/>
      <c r="J30" s="237"/>
      <c r="K30" s="443"/>
      <c r="L30" s="20"/>
      <c r="M30" s="181"/>
      <c r="O30" s="20"/>
      <c r="P30" s="20"/>
      <c r="Q30" s="20"/>
      <c r="R30" s="20"/>
      <c r="S30" s="20"/>
      <c r="T30" s="20"/>
      <c r="U30" s="20"/>
      <c r="V30" s="20"/>
      <c r="W30" s="20"/>
    </row>
    <row r="31" spans="1:25" ht="18.75">
      <c r="A31" s="104" t="str">
        <f>IF(K31&gt;0,COUNT($A$10:A30)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1" s="444" t="s">
        <v>495</v>
      </c>
      <c r="C31" s="44"/>
      <c r="D31" s="44"/>
      <c r="E31" s="44"/>
      <c r="F31" s="44"/>
      <c r="G31" s="44"/>
      <c r="H31" s="44"/>
      <c r="I31" s="515"/>
      <c r="J31" s="445"/>
      <c r="K31" s="246"/>
      <c r="L31" s="243"/>
      <c r="M31" s="157"/>
      <c r="O31" s="44"/>
      <c r="P31" s="44"/>
      <c r="Q31" s="44"/>
      <c r="R31" s="44"/>
      <c r="S31" s="44"/>
      <c r="T31" s="44"/>
      <c r="U31" s="44"/>
      <c r="V31" s="44"/>
      <c r="W31" s="44"/>
    </row>
    <row r="32" spans="1:25" ht="15" customHeight="1">
      <c r="A32" s="104" t="str">
        <f>IF(K32&gt;0,COUNT($A$10:A31)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2" s="308" t="s">
        <v>496</v>
      </c>
      <c r="C32" s="306"/>
      <c r="D32" s="306"/>
      <c r="E32" s="306"/>
      <c r="F32" s="306"/>
      <c r="G32" s="306"/>
      <c r="H32" s="306"/>
      <c r="I32" s="516"/>
      <c r="J32" s="309"/>
      <c r="K32" s="310"/>
      <c r="L32" s="311"/>
      <c r="M32" s="307"/>
      <c r="O32" s="306"/>
      <c r="P32" s="306"/>
      <c r="Q32" s="306"/>
      <c r="R32" s="306"/>
      <c r="S32" s="306"/>
      <c r="T32" s="306"/>
      <c r="U32" s="306"/>
      <c r="V32" s="306"/>
      <c r="W32" s="306"/>
    </row>
    <row r="33" spans="1:25" ht="15" customHeight="1">
      <c r="A33" s="104" t="str">
        <f>IF(K33&gt;0,COUNT($A$10:A32)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3" s="112"/>
      <c r="C33" s="79"/>
      <c r="D33" s="208" t="s">
        <v>497</v>
      </c>
      <c r="E33" s="171">
        <v>100021868</v>
      </c>
      <c r="F33" s="289" t="s">
        <v>498</v>
      </c>
      <c r="G33" s="171">
        <v>250</v>
      </c>
      <c r="H33" s="171">
        <v>11250</v>
      </c>
      <c r="I33" s="517">
        <f>_xlfn.XLOOKUP(E33,'All Products'!D:D,'All Products'!H:H)</f>
        <v>14.31</v>
      </c>
      <c r="J33" s="317">
        <f>ROUNDUP(I33*Order_Quote!$L$12,2)</f>
        <v>71.55</v>
      </c>
      <c r="K33" s="184"/>
      <c r="L33" s="116"/>
      <c r="M33" s="298">
        <f>K33/G33</f>
        <v>0</v>
      </c>
      <c r="O33" s="305" t="s">
        <v>76</v>
      </c>
      <c r="P33" s="305" t="s">
        <v>102</v>
      </c>
      <c r="Q33" s="305" t="s">
        <v>499</v>
      </c>
      <c r="R33" s="305" t="s">
        <v>500</v>
      </c>
      <c r="S33" s="305" t="s">
        <v>501</v>
      </c>
      <c r="T33" s="347">
        <v>5.6000000000000001E-2</v>
      </c>
      <c r="U33" s="265">
        <v>10</v>
      </c>
      <c r="V33" s="348">
        <v>13.75</v>
      </c>
      <c r="W33" s="348">
        <v>0.95</v>
      </c>
      <c r="X33" s="447"/>
      <c r="Y33" s="447"/>
    </row>
    <row r="34" spans="1:25" ht="21.75" customHeight="1">
      <c r="A34" s="104" t="str">
        <f>IF(K34&gt;0,COUNT($A$10:A33)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4" s="112"/>
      <c r="C34" s="79"/>
      <c r="D34" s="158" t="s">
        <v>502</v>
      </c>
      <c r="E34" s="106">
        <v>100021874</v>
      </c>
      <c r="F34" s="159" t="s">
        <v>503</v>
      </c>
      <c r="G34" s="106">
        <v>100</v>
      </c>
      <c r="H34" s="106">
        <v>72000</v>
      </c>
      <c r="I34" s="518">
        <f>_xlfn.XLOOKUP(E34,'All Products'!D:D,'All Products'!H:H)</f>
        <v>16.43</v>
      </c>
      <c r="J34" s="317">
        <f>ROUNDUP(I34*Order_Quote!$L$12,2)</f>
        <v>82.15</v>
      </c>
      <c r="K34" s="78"/>
      <c r="L34" s="116"/>
      <c r="M34" s="199">
        <f>K34/G34</f>
        <v>0</v>
      </c>
      <c r="O34" s="265" t="s">
        <v>76</v>
      </c>
      <c r="P34" s="265" t="s">
        <v>102</v>
      </c>
      <c r="Q34" s="305" t="s">
        <v>504</v>
      </c>
      <c r="R34" s="305" t="s">
        <v>505</v>
      </c>
      <c r="S34" s="305" t="s">
        <v>506</v>
      </c>
      <c r="T34" s="347">
        <v>8.5999999999999993E-2</v>
      </c>
      <c r="U34" s="265">
        <v>10</v>
      </c>
      <c r="V34" s="348">
        <v>9.2799999999999994</v>
      </c>
      <c r="W34" s="348">
        <v>0.65</v>
      </c>
      <c r="X34" s="447"/>
      <c r="Y34" s="447"/>
    </row>
    <row r="35" spans="1:25" ht="21.75" customHeight="1">
      <c r="A35" s="104" t="str">
        <f>IF(K35&gt;0,COUNT($A$10:A34)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5" s="113"/>
      <c r="C35" s="114"/>
      <c r="D35" s="158" t="s">
        <v>507</v>
      </c>
      <c r="E35" s="106">
        <v>100021882</v>
      </c>
      <c r="F35" s="159" t="s">
        <v>508</v>
      </c>
      <c r="G35" s="106">
        <v>50</v>
      </c>
      <c r="H35" s="106">
        <v>3750</v>
      </c>
      <c r="I35" s="518">
        <f>_xlfn.XLOOKUP(E35,'All Products'!D:D,'All Products'!H:H)</f>
        <v>22.95</v>
      </c>
      <c r="J35" s="317">
        <f>ROUNDUP(I35*Order_Quote!$L$12,2)</f>
        <v>114.75</v>
      </c>
      <c r="K35" s="78"/>
      <c r="L35" s="292"/>
      <c r="M35" s="199">
        <f>K35/G35</f>
        <v>0</v>
      </c>
      <c r="O35" s="265" t="s">
        <v>76</v>
      </c>
      <c r="P35" s="265" t="s">
        <v>102</v>
      </c>
      <c r="Q35" s="305" t="s">
        <v>509</v>
      </c>
      <c r="R35" s="305" t="s">
        <v>510</v>
      </c>
      <c r="S35" s="305" t="s">
        <v>511</v>
      </c>
      <c r="T35" s="347">
        <v>0.13</v>
      </c>
      <c r="U35" s="265">
        <v>10</v>
      </c>
      <c r="V35" s="348">
        <v>7.22</v>
      </c>
      <c r="W35" s="348">
        <v>0.65</v>
      </c>
      <c r="X35" s="447"/>
      <c r="Y35" s="447"/>
    </row>
    <row r="36" spans="1:25" ht="15" customHeight="1">
      <c r="A36" s="104" t="str">
        <f>IF(K36&gt;0,COUNT($A$10:A35)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6" s="17"/>
      <c r="E36" s="20"/>
      <c r="F36" s="217"/>
      <c r="G36" s="20"/>
      <c r="H36" s="20"/>
      <c r="I36" s="514"/>
      <c r="J36" s="237"/>
      <c r="K36" s="443"/>
      <c r="L36" s="20"/>
      <c r="M36" s="181"/>
      <c r="O36" s="20"/>
      <c r="P36" s="20"/>
      <c r="Q36" s="20"/>
      <c r="R36" s="20"/>
      <c r="S36" s="20"/>
      <c r="T36" s="20"/>
      <c r="U36" s="20"/>
      <c r="V36" s="20"/>
      <c r="W36" s="20"/>
    </row>
    <row r="37" spans="1:25" ht="18.75">
      <c r="A37" s="104" t="str">
        <f>IF(K37&gt;0,COUNT($A$10:A36)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7" s="444" t="s">
        <v>512</v>
      </c>
      <c r="C37" s="44"/>
      <c r="D37" s="44"/>
      <c r="E37" s="44"/>
      <c r="F37" s="44"/>
      <c r="G37" s="44"/>
      <c r="H37" s="44"/>
      <c r="I37" s="515"/>
      <c r="J37" s="445"/>
      <c r="K37" s="246"/>
      <c r="L37" s="243"/>
      <c r="M37" s="157"/>
      <c r="O37" s="44"/>
      <c r="P37" s="44"/>
      <c r="Q37" s="44"/>
      <c r="R37" s="44"/>
      <c r="S37" s="44"/>
      <c r="T37" s="44"/>
      <c r="U37" s="44"/>
      <c r="V37" s="44"/>
      <c r="W37" s="44"/>
    </row>
    <row r="38" spans="1:25" ht="15" customHeight="1">
      <c r="A38" s="104" t="str">
        <f>IF(K38&gt;0,COUNT($A$10:A37)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8" s="308" t="s">
        <v>513</v>
      </c>
      <c r="C38" s="306"/>
      <c r="D38" s="306"/>
      <c r="E38" s="306"/>
      <c r="F38" s="306"/>
      <c r="G38" s="306"/>
      <c r="H38" s="306"/>
      <c r="I38" s="516"/>
      <c r="J38" s="309"/>
      <c r="K38" s="310"/>
      <c r="L38" s="311"/>
      <c r="M38" s="307"/>
      <c r="O38" s="306"/>
      <c r="P38" s="306"/>
      <c r="Q38" s="306"/>
      <c r="R38" s="306"/>
      <c r="S38" s="306"/>
      <c r="T38" s="306"/>
      <c r="U38" s="306"/>
      <c r="V38" s="306"/>
      <c r="W38" s="306"/>
    </row>
    <row r="39" spans="1:25" ht="31.5" customHeight="1">
      <c r="A39" s="104" t="str">
        <f>IF(K39&gt;0,COUNT($A$10:A38)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39" s="112"/>
      <c r="C39" s="79"/>
      <c r="D39" s="208" t="s">
        <v>514</v>
      </c>
      <c r="E39" s="171">
        <v>100026295</v>
      </c>
      <c r="F39" s="289" t="s">
        <v>515</v>
      </c>
      <c r="G39" s="171">
        <v>100</v>
      </c>
      <c r="H39" s="171">
        <v>9000</v>
      </c>
      <c r="I39" s="517">
        <f>_xlfn.XLOOKUP(E39,'All Products'!D:D,'All Products'!H:H)</f>
        <v>8.2200000000000006</v>
      </c>
      <c r="J39" s="317">
        <f>ROUNDUP(I39*Order_Quote!$L$12,2)</f>
        <v>41.1</v>
      </c>
      <c r="K39" s="184"/>
      <c r="L39" s="116"/>
      <c r="M39" s="298">
        <f>K39/G39</f>
        <v>0</v>
      </c>
      <c r="O39" s="305" t="s">
        <v>76</v>
      </c>
      <c r="P39" s="305" t="s">
        <v>102</v>
      </c>
      <c r="Q39" s="305" t="s">
        <v>516</v>
      </c>
      <c r="R39" s="305" t="s">
        <v>517</v>
      </c>
      <c r="S39" s="305" t="s">
        <v>518</v>
      </c>
      <c r="T39" s="347">
        <v>7.5999999999999998E-2</v>
      </c>
      <c r="U39" s="265">
        <v>10</v>
      </c>
      <c r="V39" s="348">
        <v>8.57</v>
      </c>
      <c r="W39" s="348">
        <v>0.5</v>
      </c>
      <c r="X39" s="447"/>
      <c r="Y39" s="447"/>
    </row>
    <row r="40" spans="1:25" ht="31.5" customHeight="1">
      <c r="A40" s="104" t="str">
        <f>IF(K40&gt;0,COUNT($A$10:A39)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0" s="113"/>
      <c r="C40" s="114"/>
      <c r="D40" s="158" t="s">
        <v>519</v>
      </c>
      <c r="E40" s="106">
        <v>100026296</v>
      </c>
      <c r="F40" s="159" t="s">
        <v>520</v>
      </c>
      <c r="G40" s="106">
        <v>100</v>
      </c>
      <c r="H40" s="106">
        <v>6000</v>
      </c>
      <c r="I40" s="518">
        <f>_xlfn.XLOOKUP(E40,'All Products'!D:D,'All Products'!H:H)</f>
        <v>8.9700000000000006</v>
      </c>
      <c r="J40" s="317">
        <f>ROUNDUP(I40*Order_Quote!$L$12,2)</f>
        <v>44.85</v>
      </c>
      <c r="K40" s="78"/>
      <c r="L40" s="292"/>
      <c r="M40" s="199">
        <f>K40/G40</f>
        <v>0</v>
      </c>
      <c r="O40" s="265" t="s">
        <v>76</v>
      </c>
      <c r="P40" s="265" t="s">
        <v>102</v>
      </c>
      <c r="Q40" s="305" t="s">
        <v>521</v>
      </c>
      <c r="R40" s="305" t="s">
        <v>522</v>
      </c>
      <c r="S40" s="305" t="s">
        <v>523</v>
      </c>
      <c r="T40" s="347">
        <v>0.107</v>
      </c>
      <c r="U40" s="265">
        <v>10</v>
      </c>
      <c r="V40" s="348">
        <v>11.57</v>
      </c>
      <c r="W40" s="348">
        <v>0.8</v>
      </c>
      <c r="X40" s="447"/>
      <c r="Y40" s="447"/>
    </row>
    <row r="41" spans="1:25" ht="15" customHeight="1">
      <c r="A41" s="104" t="str">
        <f>IF(K41&gt;0,COUNT($A$10:A40)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1" s="17"/>
      <c r="E41" s="20"/>
      <c r="F41" s="217"/>
      <c r="G41" s="20"/>
      <c r="H41" s="20"/>
      <c r="I41" s="514"/>
      <c r="J41" s="237"/>
      <c r="K41" s="443"/>
      <c r="L41" s="20"/>
      <c r="M41" s="181"/>
      <c r="O41" s="20"/>
      <c r="P41" s="20"/>
      <c r="Q41" s="20"/>
      <c r="R41" s="20"/>
      <c r="S41" s="20"/>
      <c r="T41" s="20"/>
      <c r="U41" s="20"/>
      <c r="V41" s="20"/>
      <c r="W41" s="20"/>
    </row>
    <row r="42" spans="1:25" ht="18.75">
      <c r="A42" s="104" t="str">
        <f>IF(K42&gt;0,COUNT($A$10:A41)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2" s="444" t="s">
        <v>524</v>
      </c>
      <c r="C42" s="44"/>
      <c r="D42" s="44"/>
      <c r="E42" s="44"/>
      <c r="F42" s="44"/>
      <c r="G42" s="44"/>
      <c r="H42" s="44"/>
      <c r="I42" s="515"/>
      <c r="J42" s="445"/>
      <c r="K42" s="246"/>
      <c r="L42" s="243"/>
      <c r="M42" s="157"/>
      <c r="O42" s="44"/>
      <c r="P42" s="44"/>
      <c r="Q42" s="44"/>
      <c r="R42" s="44"/>
      <c r="S42" s="44"/>
      <c r="T42" s="44"/>
      <c r="U42" s="44"/>
      <c r="V42" s="44"/>
      <c r="W42" s="44"/>
    </row>
    <row r="43" spans="1:25" ht="15" customHeight="1">
      <c r="A43" s="104" t="str">
        <f>IF(K43&gt;0,COUNT($A$10:A42)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3" s="308" t="s">
        <v>525</v>
      </c>
      <c r="C43" s="306"/>
      <c r="D43" s="306"/>
      <c r="E43" s="306"/>
      <c r="F43" s="306"/>
      <c r="G43" s="306"/>
      <c r="H43" s="306"/>
      <c r="I43" s="516"/>
      <c r="J43" s="309"/>
      <c r="K43" s="310"/>
      <c r="L43" s="311"/>
      <c r="M43" s="307"/>
      <c r="O43" s="306"/>
      <c r="P43" s="306"/>
      <c r="Q43" s="306"/>
      <c r="R43" s="306"/>
      <c r="S43" s="306"/>
      <c r="T43" s="306"/>
      <c r="U43" s="306"/>
      <c r="V43" s="306"/>
      <c r="W43" s="306"/>
    </row>
    <row r="44" spans="1:25" ht="15" customHeight="1">
      <c r="A44" s="104" t="str">
        <f>IF(K44&gt;0,COUNT($A$10:A43)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4" s="112"/>
      <c r="C44" s="79"/>
      <c r="D44" s="208" t="s">
        <v>526</v>
      </c>
      <c r="E44" s="171">
        <v>100021905</v>
      </c>
      <c r="F44" s="289" t="s">
        <v>527</v>
      </c>
      <c r="G44" s="171">
        <v>200</v>
      </c>
      <c r="H44" s="171">
        <v>12000</v>
      </c>
      <c r="I44" s="517">
        <f>_xlfn.XLOOKUP(E44,'All Products'!D:D,'All Products'!H:H)</f>
        <v>5.71</v>
      </c>
      <c r="J44" s="317">
        <f>ROUNDUP(I44*Order_Quote!$L$12,2)</f>
        <v>28.55</v>
      </c>
      <c r="K44" s="184"/>
      <c r="L44" s="116"/>
      <c r="M44" s="298">
        <f>K44/G44</f>
        <v>0</v>
      </c>
      <c r="O44" s="305" t="s">
        <v>76</v>
      </c>
      <c r="P44" s="305" t="s">
        <v>102</v>
      </c>
      <c r="Q44" s="305" t="s">
        <v>528</v>
      </c>
      <c r="R44" s="305" t="s">
        <v>529</v>
      </c>
      <c r="S44" s="305" t="s">
        <v>530</v>
      </c>
      <c r="T44" s="347">
        <v>6.2E-2</v>
      </c>
      <c r="U44" s="265">
        <v>10</v>
      </c>
      <c r="V44" s="348">
        <v>13.44</v>
      </c>
      <c r="W44" s="348">
        <v>0.8</v>
      </c>
      <c r="X44" s="447"/>
      <c r="Y44" s="447"/>
    </row>
    <row r="45" spans="1:25" ht="15" customHeight="1">
      <c r="A45" s="104" t="str">
        <f>IF(K45&gt;0,COUNT($A$10:A44)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5" s="112"/>
      <c r="C45" s="79"/>
      <c r="D45" s="158" t="s">
        <v>531</v>
      </c>
      <c r="E45" s="106">
        <v>100021907</v>
      </c>
      <c r="F45" s="159" t="s">
        <v>532</v>
      </c>
      <c r="G45" s="106">
        <v>200</v>
      </c>
      <c r="H45" s="106">
        <v>9000</v>
      </c>
      <c r="I45" s="518">
        <f>_xlfn.XLOOKUP(E45,'All Products'!D:D,'All Products'!H:H)</f>
        <v>8.61</v>
      </c>
      <c r="J45" s="317">
        <f>ROUNDUP(I45*Order_Quote!$L$12,2)</f>
        <v>43.05</v>
      </c>
      <c r="K45" s="78"/>
      <c r="L45" s="116"/>
      <c r="M45" s="199">
        <f>K45/G45</f>
        <v>0</v>
      </c>
      <c r="O45" s="265" t="s">
        <v>76</v>
      </c>
      <c r="P45" s="265" t="s">
        <v>102</v>
      </c>
      <c r="Q45" s="305" t="s">
        <v>533</v>
      </c>
      <c r="R45" s="305" t="s">
        <v>534</v>
      </c>
      <c r="S45" s="305" t="s">
        <v>535</v>
      </c>
      <c r="T45" s="347">
        <v>8.4000000000000005E-2</v>
      </c>
      <c r="U45" s="265">
        <v>10</v>
      </c>
      <c r="V45" s="348">
        <v>18.18</v>
      </c>
      <c r="W45" s="348">
        <v>1.1000000000000001</v>
      </c>
      <c r="X45" s="447"/>
      <c r="Y45" s="447"/>
    </row>
    <row r="46" spans="1:25" ht="15" customHeight="1">
      <c r="A46" s="104" t="str">
        <f>IF(K46&gt;0,COUNT($A$10:A45)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6" s="112"/>
      <c r="C46" s="79"/>
      <c r="D46" s="158" t="s">
        <v>536</v>
      </c>
      <c r="E46" s="106">
        <v>100021909</v>
      </c>
      <c r="F46" s="159" t="s">
        <v>537</v>
      </c>
      <c r="G46" s="106">
        <v>50</v>
      </c>
      <c r="H46" s="106">
        <v>4500</v>
      </c>
      <c r="I46" s="518">
        <f>_xlfn.XLOOKUP(E46,'All Products'!D:D,'All Products'!H:H)</f>
        <v>10.16</v>
      </c>
      <c r="J46" s="317">
        <f>ROUNDUP(I46*Order_Quote!$L$12,2)</f>
        <v>50.8</v>
      </c>
      <c r="K46" s="78"/>
      <c r="L46" s="116"/>
      <c r="M46" s="199">
        <f>K46/G46</f>
        <v>0</v>
      </c>
      <c r="O46" s="265" t="s">
        <v>76</v>
      </c>
      <c r="P46" s="265" t="s">
        <v>102</v>
      </c>
      <c r="Q46" s="305" t="s">
        <v>538</v>
      </c>
      <c r="R46" s="305" t="s">
        <v>539</v>
      </c>
      <c r="S46" s="305" t="s">
        <v>540</v>
      </c>
      <c r="T46" s="347">
        <v>0.14399999999999999</v>
      </c>
      <c r="U46" s="265">
        <v>10</v>
      </c>
      <c r="V46" s="348">
        <v>8.0299999999999994</v>
      </c>
      <c r="W46" s="348">
        <v>0.5</v>
      </c>
      <c r="X46" s="447"/>
      <c r="Y46" s="447"/>
    </row>
    <row r="47" spans="1:25" ht="15" customHeight="1">
      <c r="A47" s="104" t="str">
        <f>IF(K47&gt;0,COUNT($A$10:A46)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7" s="112"/>
      <c r="C47" s="79"/>
      <c r="D47" s="158" t="s">
        <v>541</v>
      </c>
      <c r="E47" s="106">
        <v>100021911</v>
      </c>
      <c r="F47" s="159" t="s">
        <v>542</v>
      </c>
      <c r="G47" s="106">
        <v>25</v>
      </c>
      <c r="H47" s="106">
        <v>1875</v>
      </c>
      <c r="I47" s="518">
        <f>_xlfn.XLOOKUP(E47,'All Products'!D:D,'All Products'!H:H)</f>
        <v>25.88</v>
      </c>
      <c r="J47" s="317">
        <f>ROUNDUP(I47*Order_Quote!$L$12,2)</f>
        <v>129.4</v>
      </c>
      <c r="K47" s="78"/>
      <c r="L47" s="116"/>
      <c r="M47" s="199">
        <f>K47/G47</f>
        <v>0</v>
      </c>
      <c r="O47" s="265" t="s">
        <v>359</v>
      </c>
      <c r="P47" s="265" t="s">
        <v>102</v>
      </c>
      <c r="Q47" s="305" t="s">
        <v>543</v>
      </c>
      <c r="R47" s="305" t="s">
        <v>544</v>
      </c>
      <c r="S47" s="305" t="s">
        <v>545</v>
      </c>
      <c r="T47" s="347">
        <v>0.28000000000000003</v>
      </c>
      <c r="U47" s="265">
        <v>5</v>
      </c>
      <c r="V47" s="348">
        <v>7.68</v>
      </c>
      <c r="W47" s="348">
        <v>0.65</v>
      </c>
      <c r="X47" s="447"/>
      <c r="Y47" s="447"/>
    </row>
    <row r="48" spans="1:25" ht="15" customHeight="1">
      <c r="A48" s="104" t="str">
        <f>IF(K48&gt;0,COUNT($A$10:A47)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8" s="113"/>
      <c r="C48" s="114"/>
      <c r="D48" s="158" t="s">
        <v>546</v>
      </c>
      <c r="E48" s="106">
        <v>100021912</v>
      </c>
      <c r="F48" s="159" t="s">
        <v>547</v>
      </c>
      <c r="G48" s="106">
        <v>20</v>
      </c>
      <c r="H48" s="106">
        <v>1200</v>
      </c>
      <c r="I48" s="518">
        <f>_xlfn.XLOOKUP(E48,'All Products'!D:D,'All Products'!H:H)</f>
        <v>32.15</v>
      </c>
      <c r="J48" s="317">
        <f>ROUNDUP(I48*Order_Quote!$L$12,2)</f>
        <v>160.75</v>
      </c>
      <c r="K48" s="78"/>
      <c r="L48" s="292"/>
      <c r="M48" s="199">
        <f>K48/G48</f>
        <v>0</v>
      </c>
      <c r="O48" s="265" t="s">
        <v>76</v>
      </c>
      <c r="P48" s="265" t="s">
        <v>102</v>
      </c>
      <c r="Q48" s="305" t="s">
        <v>548</v>
      </c>
      <c r="R48" s="305" t="s">
        <v>549</v>
      </c>
      <c r="S48" s="305" t="s">
        <v>550</v>
      </c>
      <c r="T48" s="347">
        <v>0.41</v>
      </c>
      <c r="U48" s="265">
        <v>5</v>
      </c>
      <c r="V48" s="348">
        <v>9.09</v>
      </c>
      <c r="W48" s="348">
        <v>0.8</v>
      </c>
      <c r="X48" s="447"/>
      <c r="Y48" s="447"/>
    </row>
    <row r="49" spans="1:25" ht="15" customHeight="1">
      <c r="A49" s="104" t="str">
        <f>IF(K49&gt;0,COUNT($A$10:A48)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49" s="17"/>
      <c r="E49" s="20"/>
      <c r="F49" s="217"/>
      <c r="G49" s="20"/>
      <c r="H49" s="20"/>
      <c r="I49" s="514"/>
      <c r="J49" s="237"/>
      <c r="K49" s="443"/>
      <c r="L49" s="20"/>
      <c r="M49" s="181"/>
      <c r="O49" s="20"/>
      <c r="P49" s="20"/>
      <c r="Q49" s="20"/>
      <c r="R49" s="20"/>
      <c r="S49" s="20"/>
      <c r="T49" s="20"/>
      <c r="U49" s="20"/>
      <c r="V49" s="20"/>
      <c r="W49" s="20"/>
    </row>
    <row r="50" spans="1:25" ht="18.75">
      <c r="A50" s="104" t="str">
        <f>IF(K50&gt;0,COUNT($A$10:A49)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0" s="444" t="s">
        <v>551</v>
      </c>
      <c r="C50" s="44"/>
      <c r="D50" s="44"/>
      <c r="E50" s="44"/>
      <c r="F50" s="44"/>
      <c r="G50" s="44"/>
      <c r="H50" s="44"/>
      <c r="I50" s="515"/>
      <c r="J50" s="445"/>
      <c r="K50" s="246"/>
      <c r="L50" s="243"/>
      <c r="M50" s="157"/>
      <c r="O50" s="44"/>
      <c r="P50" s="44"/>
      <c r="Q50" s="44"/>
      <c r="R50" s="44"/>
      <c r="S50" s="44"/>
      <c r="T50" s="44"/>
      <c r="U50" s="44"/>
      <c r="V50" s="44"/>
      <c r="W50" s="44"/>
    </row>
    <row r="51" spans="1:25" ht="15" customHeight="1">
      <c r="A51" s="104" t="str">
        <f>IF(K51&gt;0,COUNT($A$10:A50)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1" s="308" t="s">
        <v>525</v>
      </c>
      <c r="C51" s="306"/>
      <c r="D51" s="306"/>
      <c r="E51" s="306"/>
      <c r="F51" s="306"/>
      <c r="G51" s="306"/>
      <c r="H51" s="306"/>
      <c r="I51" s="516"/>
      <c r="J51" s="309"/>
      <c r="K51" s="310"/>
      <c r="L51" s="311"/>
      <c r="M51" s="307"/>
      <c r="O51" s="306"/>
      <c r="P51" s="306"/>
      <c r="Q51" s="306"/>
      <c r="R51" s="306"/>
      <c r="S51" s="306"/>
      <c r="T51" s="306"/>
      <c r="U51" s="306"/>
      <c r="V51" s="306"/>
      <c r="W51" s="306"/>
    </row>
    <row r="52" spans="1:25" ht="15" customHeight="1">
      <c r="A52" s="104" t="str">
        <f>IF(K52&gt;0,COUNT($A$10:A51)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2" s="110"/>
      <c r="C52" s="111"/>
      <c r="D52" s="208" t="s">
        <v>552</v>
      </c>
      <c r="E52" s="171">
        <v>100021917</v>
      </c>
      <c r="F52" s="289" t="s">
        <v>553</v>
      </c>
      <c r="G52" s="171">
        <v>200</v>
      </c>
      <c r="H52" s="171">
        <v>9000</v>
      </c>
      <c r="I52" s="517">
        <f>_xlfn.XLOOKUP(E52,'All Products'!D:D,'All Products'!H:H)</f>
        <v>7.2</v>
      </c>
      <c r="J52" s="317">
        <f>ROUNDUP(I52*Order_Quote!$L$12,2)</f>
        <v>36</v>
      </c>
      <c r="K52" s="184"/>
      <c r="L52" s="116"/>
      <c r="M52" s="298">
        <f t="shared" ref="M52:M63" si="2">K52/G52</f>
        <v>0</v>
      </c>
      <c r="O52" s="305" t="s">
        <v>76</v>
      </c>
      <c r="P52" s="305" t="s">
        <v>102</v>
      </c>
      <c r="Q52" s="305" t="s">
        <v>554</v>
      </c>
      <c r="R52" s="305" t="s">
        <v>555</v>
      </c>
      <c r="S52" s="305" t="s">
        <v>556</v>
      </c>
      <c r="T52" s="347">
        <v>7.4999999999999997E-2</v>
      </c>
      <c r="U52" s="265">
        <v>10</v>
      </c>
      <c r="V52" s="348">
        <v>16.32</v>
      </c>
      <c r="W52" s="348">
        <v>1.1000000000000001</v>
      </c>
      <c r="X52" s="447"/>
      <c r="Y52" s="447"/>
    </row>
    <row r="53" spans="1:25" ht="15" customHeight="1">
      <c r="A53" s="104" t="str">
        <f>IF(K53&gt;0,COUNT($A$10:A52)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3" s="112"/>
      <c r="C53" s="79"/>
      <c r="D53" s="158" t="s">
        <v>557</v>
      </c>
      <c r="E53" s="106">
        <v>100021923</v>
      </c>
      <c r="F53" s="159" t="s">
        <v>558</v>
      </c>
      <c r="G53" s="106">
        <v>100</v>
      </c>
      <c r="H53" s="106">
        <v>7500</v>
      </c>
      <c r="I53" s="518">
        <f>_xlfn.XLOOKUP(E53,'All Products'!D:D,'All Products'!H:H)</f>
        <v>9.4</v>
      </c>
      <c r="J53" s="317">
        <f>ROUNDUP(I53*Order_Quote!$L$12,2)</f>
        <v>47</v>
      </c>
      <c r="K53" s="78"/>
      <c r="L53" s="116"/>
      <c r="M53" s="199">
        <f t="shared" si="2"/>
        <v>0</v>
      </c>
      <c r="O53" s="265" t="s">
        <v>76</v>
      </c>
      <c r="P53" s="265" t="s">
        <v>102</v>
      </c>
      <c r="Q53" s="305" t="s">
        <v>559</v>
      </c>
      <c r="R53" s="305" t="s">
        <v>560</v>
      </c>
      <c r="S53" s="305" t="s">
        <v>561</v>
      </c>
      <c r="T53" s="347">
        <v>9.9000000000000005E-2</v>
      </c>
      <c r="U53" s="265">
        <v>10</v>
      </c>
      <c r="V53" s="348">
        <v>10.69</v>
      </c>
      <c r="W53" s="348">
        <v>0.65</v>
      </c>
      <c r="X53" s="447"/>
      <c r="Y53" s="447"/>
    </row>
    <row r="54" spans="1:25" ht="15" customHeight="1">
      <c r="A54" s="104" t="str">
        <f>IF(K54&gt;0,COUNT($A$10:A53)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4" s="112"/>
      <c r="C54" s="79"/>
      <c r="D54" s="158" t="s">
        <v>562</v>
      </c>
      <c r="E54" s="106">
        <v>100021925</v>
      </c>
      <c r="F54" s="159" t="s">
        <v>563</v>
      </c>
      <c r="G54" s="106">
        <v>100</v>
      </c>
      <c r="H54" s="106">
        <v>6000</v>
      </c>
      <c r="I54" s="518">
        <f>_xlfn.XLOOKUP(E54,'All Products'!D:D,'All Products'!H:H)</f>
        <v>9.4</v>
      </c>
      <c r="J54" s="317">
        <f>ROUNDUP(I54*Order_Quote!$L$12,2)</f>
        <v>47</v>
      </c>
      <c r="K54" s="78"/>
      <c r="L54" s="116"/>
      <c r="M54" s="199">
        <f t="shared" si="2"/>
        <v>0</v>
      </c>
      <c r="O54" s="265" t="s">
        <v>76</v>
      </c>
      <c r="P54" s="265" t="s">
        <v>102</v>
      </c>
      <c r="Q54" s="305" t="s">
        <v>564</v>
      </c>
      <c r="R54" s="305" t="s">
        <v>565</v>
      </c>
      <c r="S54" s="305" t="s">
        <v>566</v>
      </c>
      <c r="T54" s="347">
        <v>0.105</v>
      </c>
      <c r="U54" s="265">
        <v>10</v>
      </c>
      <c r="V54" s="348">
        <v>11.26</v>
      </c>
      <c r="W54" s="348">
        <v>0.8</v>
      </c>
      <c r="X54" s="447"/>
      <c r="Y54" s="447"/>
    </row>
    <row r="55" spans="1:25" ht="15" customHeight="1">
      <c r="A55" s="104" t="str">
        <f>IF(K55&gt;0,COUNT($A$10:A54)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5" s="112"/>
      <c r="C55" s="79"/>
      <c r="D55" s="158" t="s">
        <v>567</v>
      </c>
      <c r="E55" s="106">
        <v>100021928</v>
      </c>
      <c r="F55" s="159" t="s">
        <v>568</v>
      </c>
      <c r="G55" s="106">
        <v>50</v>
      </c>
      <c r="H55" s="106">
        <v>4500</v>
      </c>
      <c r="I55" s="518">
        <f>_xlfn.XLOOKUP(E55,'All Products'!D:D,'All Products'!H:H)</f>
        <v>12.8</v>
      </c>
      <c r="J55" s="317">
        <f>ROUNDUP(I55*Order_Quote!$L$12,2)</f>
        <v>64</v>
      </c>
      <c r="K55" s="78"/>
      <c r="L55" s="116"/>
      <c r="M55" s="199">
        <f t="shared" si="2"/>
        <v>0</v>
      </c>
      <c r="O55" s="265" t="s">
        <v>76</v>
      </c>
      <c r="P55" s="265" t="s">
        <v>102</v>
      </c>
      <c r="Q55" s="305" t="s">
        <v>569</v>
      </c>
      <c r="R55" s="305" t="s">
        <v>570</v>
      </c>
      <c r="S55" s="305" t="s">
        <v>571</v>
      </c>
      <c r="T55" s="347">
        <v>0.14499999999999999</v>
      </c>
      <c r="U55" s="265">
        <v>10</v>
      </c>
      <c r="V55" s="348">
        <v>7.93</v>
      </c>
      <c r="W55" s="348">
        <v>0.5</v>
      </c>
      <c r="X55" s="447"/>
      <c r="Y55" s="447"/>
    </row>
    <row r="56" spans="1:25" ht="15" customHeight="1">
      <c r="A56" s="104" t="str">
        <f>IF(K56&gt;0,COUNT($A$10:A55)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6" s="112"/>
      <c r="C56" s="79"/>
      <c r="D56" s="158" t="s">
        <v>572</v>
      </c>
      <c r="E56" s="106">
        <v>100021929</v>
      </c>
      <c r="F56" s="159" t="s">
        <v>573</v>
      </c>
      <c r="G56" s="106">
        <v>50</v>
      </c>
      <c r="H56" s="106">
        <v>3750</v>
      </c>
      <c r="I56" s="518">
        <f>_xlfn.XLOOKUP(E56,'All Products'!D:D,'All Products'!H:H)</f>
        <v>14.12</v>
      </c>
      <c r="J56" s="317">
        <f>ROUNDUP(I56*Order_Quote!$L$12,2)</f>
        <v>70.599999999999994</v>
      </c>
      <c r="K56" s="78"/>
      <c r="L56" s="116"/>
      <c r="M56" s="199">
        <f t="shared" si="2"/>
        <v>0</v>
      </c>
      <c r="O56" s="265" t="s">
        <v>76</v>
      </c>
      <c r="P56" s="265" t="s">
        <v>102</v>
      </c>
      <c r="Q56" s="305" t="s">
        <v>574</v>
      </c>
      <c r="R56" s="305" t="s">
        <v>575</v>
      </c>
      <c r="S56" s="305" t="s">
        <v>576</v>
      </c>
      <c r="T56" s="347">
        <v>0.16200000000000001</v>
      </c>
      <c r="U56" s="265">
        <v>10</v>
      </c>
      <c r="V56" s="348">
        <v>9.18</v>
      </c>
      <c r="W56" s="348">
        <v>0.65</v>
      </c>
      <c r="X56" s="447"/>
      <c r="Y56" s="447"/>
    </row>
    <row r="57" spans="1:25" ht="15" customHeight="1">
      <c r="A57" s="104" t="str">
        <f>IF(K57&gt;0,COUNT($A$10:A56)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7" s="112"/>
      <c r="C57" s="79"/>
      <c r="D57" s="158" t="s">
        <v>577</v>
      </c>
      <c r="E57" s="106">
        <v>100021930</v>
      </c>
      <c r="F57" s="159" t="s">
        <v>578</v>
      </c>
      <c r="G57" s="106">
        <v>50</v>
      </c>
      <c r="H57" s="106">
        <v>3750</v>
      </c>
      <c r="I57" s="518">
        <f>_xlfn.XLOOKUP(E57,'All Products'!D:D,'All Products'!H:H)</f>
        <v>14.95</v>
      </c>
      <c r="J57" s="317">
        <f>ROUNDUP(I57*Order_Quote!$L$12,2)</f>
        <v>74.75</v>
      </c>
      <c r="K57" s="78"/>
      <c r="L57" s="116"/>
      <c r="M57" s="199">
        <f t="shared" si="2"/>
        <v>0</v>
      </c>
      <c r="O57" s="265" t="s">
        <v>359</v>
      </c>
      <c r="P57" s="265" t="s">
        <v>102</v>
      </c>
      <c r="Q57" s="305" t="s">
        <v>579</v>
      </c>
      <c r="R57" s="305" t="s">
        <v>580</v>
      </c>
      <c r="S57" s="305" t="s">
        <v>581</v>
      </c>
      <c r="T57" s="347">
        <v>0.20200000000000001</v>
      </c>
      <c r="U57" s="265">
        <v>10</v>
      </c>
      <c r="V57" s="348">
        <v>10.76</v>
      </c>
      <c r="W57" s="348">
        <v>0.65</v>
      </c>
      <c r="X57" s="447"/>
      <c r="Y57" s="447"/>
    </row>
    <row r="58" spans="1:25" ht="15" customHeight="1">
      <c r="A58" s="104" t="str">
        <f>IF(K58&gt;0,COUNT($A$10:A57)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8" s="112"/>
      <c r="C58" s="79"/>
      <c r="D58" s="158" t="s">
        <v>582</v>
      </c>
      <c r="E58" s="106">
        <v>100021934</v>
      </c>
      <c r="F58" s="159" t="s">
        <v>583</v>
      </c>
      <c r="G58" s="106">
        <v>50</v>
      </c>
      <c r="H58" s="106">
        <v>3750</v>
      </c>
      <c r="I58" s="518">
        <f>_xlfn.XLOOKUP(E58,'All Products'!D:D,'All Products'!H:H)</f>
        <v>19.670000000000002</v>
      </c>
      <c r="J58" s="317">
        <f>ROUNDUP(I58*Order_Quote!$L$12,2)</f>
        <v>98.35</v>
      </c>
      <c r="K58" s="78"/>
      <c r="L58" s="116"/>
      <c r="M58" s="199">
        <f t="shared" si="2"/>
        <v>0</v>
      </c>
      <c r="O58" s="265" t="s">
        <v>76</v>
      </c>
      <c r="P58" s="265" t="s">
        <v>102</v>
      </c>
      <c r="Q58" s="305" t="s">
        <v>584</v>
      </c>
      <c r="R58" s="305" t="s">
        <v>585</v>
      </c>
      <c r="S58" s="305" t="s">
        <v>586</v>
      </c>
      <c r="T58" s="347">
        <v>0.17199999999999999</v>
      </c>
      <c r="U58" s="265">
        <v>10</v>
      </c>
      <c r="V58" s="348">
        <v>9.2200000000000006</v>
      </c>
      <c r="W58" s="348">
        <v>0.65</v>
      </c>
      <c r="X58" s="447"/>
      <c r="Y58" s="447"/>
    </row>
    <row r="59" spans="1:25" ht="15" customHeight="1">
      <c r="A59" s="104" t="str">
        <f>IF(K59&gt;0,COUNT($A$10:A58)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59" s="112"/>
      <c r="C59" s="79"/>
      <c r="D59" s="158" t="s">
        <v>587</v>
      </c>
      <c r="E59" s="106">
        <v>100021936</v>
      </c>
      <c r="F59" s="159" t="s">
        <v>588</v>
      </c>
      <c r="G59" s="106">
        <v>50</v>
      </c>
      <c r="H59" s="106">
        <v>3000</v>
      </c>
      <c r="I59" s="518">
        <f>_xlfn.XLOOKUP(E59,'All Products'!D:D,'All Products'!H:H)</f>
        <v>23.29</v>
      </c>
      <c r="J59" s="317">
        <f>ROUNDUP(I59*Order_Quote!$L$12,2)</f>
        <v>116.45</v>
      </c>
      <c r="K59" s="78"/>
      <c r="L59" s="116"/>
      <c r="M59" s="199">
        <f t="shared" si="2"/>
        <v>0</v>
      </c>
      <c r="O59" s="265" t="s">
        <v>76</v>
      </c>
      <c r="P59" s="265" t="s">
        <v>102</v>
      </c>
      <c r="Q59" s="305" t="s">
        <v>589</v>
      </c>
      <c r="R59" s="305" t="s">
        <v>590</v>
      </c>
      <c r="S59" s="305" t="s">
        <v>591</v>
      </c>
      <c r="T59" s="347">
        <v>0.193</v>
      </c>
      <c r="U59" s="265">
        <v>10</v>
      </c>
      <c r="V59" s="348">
        <v>10.15</v>
      </c>
      <c r="W59" s="348">
        <v>0.8</v>
      </c>
      <c r="X59" s="447"/>
      <c r="Y59" s="447"/>
    </row>
    <row r="60" spans="1:25" ht="15" customHeight="1">
      <c r="A60" s="104" t="str">
        <f>IF(K60&gt;0,COUNT($A$10:A59)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0" s="112"/>
      <c r="C60" s="79"/>
      <c r="D60" s="158" t="s">
        <v>592</v>
      </c>
      <c r="E60" s="106">
        <v>100021937</v>
      </c>
      <c r="F60" s="159" t="s">
        <v>593</v>
      </c>
      <c r="G60" s="106">
        <v>50</v>
      </c>
      <c r="H60" s="106">
        <v>2250</v>
      </c>
      <c r="I60" s="518">
        <f>_xlfn.XLOOKUP(E60,'All Products'!D:D,'All Products'!H:H)</f>
        <v>23.29</v>
      </c>
      <c r="J60" s="317">
        <f>ROUNDUP(I60*Order_Quote!$L$12,2)</f>
        <v>116.45</v>
      </c>
      <c r="K60" s="78"/>
      <c r="L60" s="116"/>
      <c r="M60" s="199">
        <f t="shared" si="2"/>
        <v>0</v>
      </c>
      <c r="O60" s="265" t="s">
        <v>76</v>
      </c>
      <c r="P60" s="265" t="s">
        <v>102</v>
      </c>
      <c r="Q60" s="305" t="s">
        <v>594</v>
      </c>
      <c r="R60" s="305" t="s">
        <v>595</v>
      </c>
      <c r="S60" s="305" t="s">
        <v>596</v>
      </c>
      <c r="T60" s="347">
        <v>0.222</v>
      </c>
      <c r="U60" s="265">
        <v>10</v>
      </c>
      <c r="V60" s="348">
        <v>11.85</v>
      </c>
      <c r="W60" s="348">
        <v>0.95</v>
      </c>
      <c r="X60" s="447"/>
      <c r="Y60" s="447"/>
    </row>
    <row r="61" spans="1:25" ht="15" customHeight="1">
      <c r="A61" s="104" t="str">
        <f>IF(K61&gt;0,COUNT($A$10:A60)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1" s="112"/>
      <c r="C61" s="79"/>
      <c r="D61" s="158" t="s">
        <v>597</v>
      </c>
      <c r="E61" s="106">
        <v>100021939</v>
      </c>
      <c r="F61" s="159" t="s">
        <v>598</v>
      </c>
      <c r="G61" s="106">
        <v>25</v>
      </c>
      <c r="H61" s="106">
        <v>1875</v>
      </c>
      <c r="I61" s="518">
        <f>_xlfn.XLOOKUP(E61,'All Products'!D:D,'All Products'!H:H)</f>
        <v>26.37</v>
      </c>
      <c r="J61" s="317">
        <f>ROUNDUP(I61*Order_Quote!$L$12,2)</f>
        <v>131.85</v>
      </c>
      <c r="K61" s="184"/>
      <c r="L61" s="116"/>
      <c r="M61" s="298">
        <f t="shared" si="2"/>
        <v>0</v>
      </c>
      <c r="O61" s="265" t="s">
        <v>359</v>
      </c>
      <c r="P61" s="265" t="s">
        <v>102</v>
      </c>
      <c r="Q61" s="305" t="s">
        <v>599</v>
      </c>
      <c r="R61" s="305" t="s">
        <v>600</v>
      </c>
      <c r="S61" s="305" t="s">
        <v>601</v>
      </c>
      <c r="T61" s="347">
        <v>0.22700000000000001</v>
      </c>
      <c r="U61" s="265">
        <v>5</v>
      </c>
      <c r="V61" s="348">
        <v>6.25</v>
      </c>
      <c r="W61" s="348">
        <v>0.65</v>
      </c>
      <c r="X61" s="447"/>
      <c r="Y61" s="447"/>
    </row>
    <row r="62" spans="1:25" ht="15" customHeight="1">
      <c r="A62" s="104" t="str">
        <f>IF(K62&gt;0,COUNT($A$10:A61)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2" s="112"/>
      <c r="C62" s="79"/>
      <c r="D62" s="158" t="s">
        <v>602</v>
      </c>
      <c r="E62" s="106">
        <v>100021940</v>
      </c>
      <c r="F62" s="159" t="s">
        <v>603</v>
      </c>
      <c r="G62" s="106">
        <v>25</v>
      </c>
      <c r="H62" s="106">
        <v>1875</v>
      </c>
      <c r="I62" s="518">
        <f>_xlfn.XLOOKUP(E62,'All Products'!D:D,'All Products'!H:H)</f>
        <v>27.91</v>
      </c>
      <c r="J62" s="317">
        <f>ROUNDUP(I62*Order_Quote!$L$12,2)</f>
        <v>139.55000000000001</v>
      </c>
      <c r="K62" s="78"/>
      <c r="L62" s="116"/>
      <c r="M62" s="199">
        <f t="shared" si="2"/>
        <v>0</v>
      </c>
      <c r="O62" s="265" t="s">
        <v>76</v>
      </c>
      <c r="P62" s="265" t="s">
        <v>102</v>
      </c>
      <c r="Q62" s="305" t="s">
        <v>604</v>
      </c>
      <c r="R62" s="305" t="s">
        <v>605</v>
      </c>
      <c r="S62" s="305" t="s">
        <v>606</v>
      </c>
      <c r="T62" s="347">
        <v>0.246</v>
      </c>
      <c r="U62" s="265">
        <v>5</v>
      </c>
      <c r="V62" s="348">
        <v>6.84</v>
      </c>
      <c r="W62" s="348">
        <v>0.65</v>
      </c>
      <c r="X62" s="447"/>
      <c r="Y62" s="447"/>
    </row>
    <row r="63" spans="1:25" ht="15" customHeight="1">
      <c r="A63" s="104" t="str">
        <f>IF(K63&gt;0,COUNT($A$10:A62)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3" s="113"/>
      <c r="C63" s="114"/>
      <c r="D63" s="158" t="s">
        <v>607</v>
      </c>
      <c r="E63" s="106">
        <v>100021941</v>
      </c>
      <c r="F63" s="159" t="s">
        <v>608</v>
      </c>
      <c r="G63" s="106">
        <v>25</v>
      </c>
      <c r="H63" s="106">
        <v>1875</v>
      </c>
      <c r="I63" s="518">
        <f>_xlfn.XLOOKUP(E63,'All Products'!D:D,'All Products'!H:H)</f>
        <v>30.66</v>
      </c>
      <c r="J63" s="317">
        <f>ROUNDUP(I63*Order_Quote!$L$12,2)</f>
        <v>153.30000000000001</v>
      </c>
      <c r="K63" s="78"/>
      <c r="L63" s="116"/>
      <c r="M63" s="199">
        <f t="shared" si="2"/>
        <v>0</v>
      </c>
      <c r="O63" s="265" t="s">
        <v>76</v>
      </c>
      <c r="P63" s="265" t="s">
        <v>102</v>
      </c>
      <c r="Q63" s="305" t="s">
        <v>609</v>
      </c>
      <c r="R63" s="305" t="s">
        <v>610</v>
      </c>
      <c r="S63" s="305" t="s">
        <v>611</v>
      </c>
      <c r="T63" s="347">
        <v>0.314</v>
      </c>
      <c r="U63" s="265">
        <v>5</v>
      </c>
      <c r="V63" s="348">
        <v>7.79</v>
      </c>
      <c r="W63" s="348">
        <v>0.65</v>
      </c>
      <c r="X63" s="447"/>
      <c r="Y63" s="447"/>
    </row>
    <row r="64" spans="1:25" ht="15" customHeight="1">
      <c r="A64" s="104" t="str">
        <f>IF(K64&gt;0,COUNT($A$10:A63)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4" s="17"/>
      <c r="E64" s="20"/>
      <c r="F64" s="217"/>
      <c r="G64" s="20"/>
      <c r="H64" s="20"/>
      <c r="I64" s="514"/>
      <c r="J64" s="237"/>
      <c r="K64" s="443"/>
      <c r="L64" s="20"/>
      <c r="M64" s="181"/>
      <c r="O64" s="20"/>
      <c r="P64" s="20"/>
      <c r="Q64" s="20"/>
      <c r="R64" s="20"/>
      <c r="S64" s="20"/>
      <c r="T64" s="20"/>
      <c r="U64" s="20"/>
      <c r="V64" s="20"/>
      <c r="W64" s="20"/>
    </row>
    <row r="65" spans="1:25" ht="18.75">
      <c r="A65" s="104" t="str">
        <f>IF(K65&gt;0,COUNT($A$10:A64)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5" s="444" t="s">
        <v>612</v>
      </c>
      <c r="C65" s="44"/>
      <c r="D65" s="44"/>
      <c r="E65" s="44"/>
      <c r="F65" s="44"/>
      <c r="G65" s="44"/>
      <c r="H65" s="44"/>
      <c r="I65" s="515"/>
      <c r="J65" s="445"/>
      <c r="K65" s="246"/>
      <c r="L65" s="243"/>
      <c r="M65" s="157"/>
      <c r="O65" s="44"/>
      <c r="P65" s="44"/>
      <c r="Q65" s="44"/>
      <c r="R65" s="44"/>
      <c r="S65" s="44"/>
      <c r="T65" s="44"/>
      <c r="U65" s="44"/>
      <c r="V65" s="44"/>
      <c r="W65" s="44"/>
    </row>
    <row r="66" spans="1:25" ht="15" customHeight="1">
      <c r="A66" s="104" t="str">
        <f>IF(K66&gt;0,COUNT($A$10:A65)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6" s="319" t="s">
        <v>613</v>
      </c>
      <c r="C66" s="451"/>
      <c r="D66" s="452"/>
      <c r="E66" s="452"/>
      <c r="F66" s="452"/>
      <c r="G66" s="452"/>
      <c r="H66" s="452"/>
      <c r="I66" s="452"/>
      <c r="J66" s="453"/>
      <c r="K66" s="452"/>
      <c r="L66" s="452"/>
      <c r="M66" s="454"/>
      <c r="O66" s="452"/>
      <c r="P66" s="452"/>
      <c r="Q66" s="452"/>
      <c r="R66" s="452"/>
      <c r="S66" s="452"/>
      <c r="T66" s="452"/>
      <c r="U66" s="452"/>
      <c r="V66" s="452"/>
      <c r="W66" s="452"/>
    </row>
    <row r="67" spans="1:25" ht="39" customHeight="1">
      <c r="A67" s="104" t="str">
        <f>IF(K67&gt;0,COUNT($A$10:A66)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7" s="202"/>
      <c r="C67" s="203"/>
      <c r="D67" s="158" t="s">
        <v>614</v>
      </c>
      <c r="E67" s="106">
        <v>100021921</v>
      </c>
      <c r="F67" s="159" t="s">
        <v>615</v>
      </c>
      <c r="G67" s="106">
        <v>100</v>
      </c>
      <c r="H67" s="106">
        <v>6000</v>
      </c>
      <c r="I67" s="518">
        <f>_xlfn.XLOOKUP(E67,'All Products'!D:D,'All Products'!H:H)</f>
        <v>13.92</v>
      </c>
      <c r="J67" s="317">
        <f>ROUNDUP(I67*Order_Quote!$L$12,2)</f>
        <v>69.599999999999994</v>
      </c>
      <c r="K67" s="78"/>
      <c r="L67" s="116"/>
      <c r="M67" s="199">
        <f>K67/G67</f>
        <v>0</v>
      </c>
      <c r="O67" s="265" t="s">
        <v>76</v>
      </c>
      <c r="P67" s="265" t="s">
        <v>102</v>
      </c>
      <c r="Q67" s="305" t="s">
        <v>616</v>
      </c>
      <c r="R67" s="305" t="s">
        <v>617</v>
      </c>
      <c r="S67" s="305" t="s">
        <v>618</v>
      </c>
      <c r="T67" s="347">
        <v>0.11799999999999999</v>
      </c>
      <c r="U67" s="265">
        <v>10</v>
      </c>
      <c r="V67" s="348">
        <v>12.52</v>
      </c>
      <c r="W67" s="348">
        <v>0.8</v>
      </c>
      <c r="X67" s="447"/>
      <c r="Y67" s="447"/>
    </row>
    <row r="68" spans="1:25" ht="15" customHeight="1">
      <c r="A68" s="104" t="str">
        <f>IF(K68&gt;0,COUNT($A$10:A67)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8" s="17"/>
      <c r="E68" s="20"/>
      <c r="F68" s="217"/>
      <c r="G68" s="20"/>
      <c r="H68" s="20"/>
      <c r="I68" s="514"/>
      <c r="J68" s="237"/>
      <c r="K68" s="443"/>
      <c r="L68" s="20"/>
      <c r="M68" s="181"/>
      <c r="O68" s="20"/>
      <c r="P68" s="20"/>
      <c r="Q68" s="20"/>
      <c r="R68" s="20"/>
      <c r="S68" s="20"/>
      <c r="T68" s="20"/>
      <c r="U68" s="20"/>
      <c r="V68" s="20"/>
      <c r="W68" s="20"/>
    </row>
    <row r="69" spans="1:25" ht="18.75">
      <c r="A69" s="104" t="str">
        <f>IF(K69&gt;0,COUNT($A$10:A68)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69" s="444" t="s">
        <v>524</v>
      </c>
      <c r="C69" s="44"/>
      <c r="D69" s="44"/>
      <c r="E69" s="44"/>
      <c r="F69" s="44"/>
      <c r="G69" s="44"/>
      <c r="H69" s="44"/>
      <c r="I69" s="515"/>
      <c r="J69" s="445"/>
      <c r="K69" s="246"/>
      <c r="L69" s="243"/>
      <c r="M69" s="157"/>
      <c r="O69" s="44"/>
      <c r="P69" s="44"/>
      <c r="Q69" s="44"/>
      <c r="R69" s="44"/>
      <c r="S69" s="44"/>
      <c r="T69" s="44"/>
      <c r="U69" s="44"/>
      <c r="V69" s="44"/>
      <c r="W69" s="44"/>
    </row>
    <row r="70" spans="1:25" ht="15" customHeight="1">
      <c r="A70" s="104" t="str">
        <f>IF(K70&gt;0,COUNT($A$10:A69)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0" s="484" t="s">
        <v>619</v>
      </c>
      <c r="C70" s="484"/>
      <c r="D70" s="452"/>
      <c r="E70" s="452"/>
      <c r="F70" s="452"/>
      <c r="G70" s="452"/>
      <c r="H70" s="452"/>
      <c r="I70" s="452"/>
      <c r="J70" s="453"/>
      <c r="K70" s="452"/>
      <c r="L70" s="452"/>
      <c r="M70" s="454"/>
      <c r="O70" s="452"/>
      <c r="P70" s="452"/>
      <c r="Q70" s="452"/>
      <c r="R70" s="452"/>
      <c r="S70" s="452"/>
      <c r="T70" s="452"/>
      <c r="U70" s="452"/>
      <c r="V70" s="452"/>
      <c r="W70" s="452"/>
    </row>
    <row r="71" spans="1:25" ht="15" customHeight="1">
      <c r="A71" s="104" t="str">
        <f>IF(K71&gt;0,COUNT($A$10:A70)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1" s="110"/>
      <c r="C71" s="111"/>
      <c r="D71" s="208" t="s">
        <v>620</v>
      </c>
      <c r="E71" s="171">
        <v>100021944</v>
      </c>
      <c r="F71" s="289" t="s">
        <v>621</v>
      </c>
      <c r="G71" s="171">
        <v>200</v>
      </c>
      <c r="H71" s="171">
        <v>15000</v>
      </c>
      <c r="I71" s="517">
        <f>_xlfn.XLOOKUP(E71,'All Products'!D:D,'All Products'!H:H)</f>
        <v>7.31</v>
      </c>
      <c r="J71" s="317">
        <f>ROUNDUP(I71*Order_Quote!$L$12,2)</f>
        <v>36.549999999999997</v>
      </c>
      <c r="K71" s="184"/>
      <c r="L71" s="193"/>
      <c r="M71" s="298">
        <f>K71/G71</f>
        <v>0</v>
      </c>
      <c r="O71" s="305" t="s">
        <v>359</v>
      </c>
      <c r="P71" s="305" t="s">
        <v>102</v>
      </c>
      <c r="Q71" s="305" t="s">
        <v>622</v>
      </c>
      <c r="R71" s="305" t="s">
        <v>623</v>
      </c>
      <c r="S71" s="305" t="s">
        <v>624</v>
      </c>
      <c r="T71" s="347">
        <v>4.5999999999999999E-2</v>
      </c>
      <c r="U71" s="265">
        <v>10</v>
      </c>
      <c r="V71" s="348">
        <v>10.1</v>
      </c>
      <c r="W71" s="348">
        <v>0.65</v>
      </c>
      <c r="X71" s="447"/>
      <c r="Y71" s="447"/>
    </row>
    <row r="72" spans="1:25" ht="15" customHeight="1">
      <c r="A72" s="104" t="str">
        <f>IF(K72&gt;0,COUNT($A$10:A71)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2" s="112"/>
      <c r="C72" s="79"/>
      <c r="D72" s="158" t="s">
        <v>625</v>
      </c>
      <c r="E72" s="106">
        <v>100021946</v>
      </c>
      <c r="F72" s="159" t="s">
        <v>626</v>
      </c>
      <c r="G72" s="106">
        <v>200</v>
      </c>
      <c r="H72" s="106">
        <v>9000</v>
      </c>
      <c r="I72" s="518">
        <f>_xlfn.XLOOKUP(E72,'All Products'!D:D,'All Products'!H:H)</f>
        <v>9.9600000000000009</v>
      </c>
      <c r="J72" s="317">
        <f>ROUNDUP(I72*Order_Quote!$L$12,2)</f>
        <v>49.8</v>
      </c>
      <c r="K72" s="78"/>
      <c r="L72" s="193"/>
      <c r="M72" s="199">
        <f>K72/G72</f>
        <v>0</v>
      </c>
      <c r="O72" s="265" t="s">
        <v>76</v>
      </c>
      <c r="P72" s="265" t="s">
        <v>102</v>
      </c>
      <c r="Q72" s="305" t="s">
        <v>627</v>
      </c>
      <c r="R72" s="305" t="s">
        <v>628</v>
      </c>
      <c r="S72" s="305" t="s">
        <v>629</v>
      </c>
      <c r="T72" s="347">
        <v>7.0999999999999994E-2</v>
      </c>
      <c r="U72" s="265">
        <v>10</v>
      </c>
      <c r="V72" s="348">
        <v>15.28</v>
      </c>
      <c r="W72" s="348">
        <v>0.95</v>
      </c>
      <c r="X72" s="447"/>
      <c r="Y72" s="447"/>
    </row>
    <row r="73" spans="1:25" ht="15" customHeight="1">
      <c r="A73" s="104" t="str">
        <f>IF(K73&gt;0,COUNT($A$10:A72)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3" s="579"/>
      <c r="C73" s="580"/>
      <c r="D73" s="158" t="s">
        <v>630</v>
      </c>
      <c r="E73" s="106">
        <v>100021948</v>
      </c>
      <c r="F73" s="159" t="s">
        <v>631</v>
      </c>
      <c r="G73" s="106">
        <v>50</v>
      </c>
      <c r="H73" s="106">
        <v>4500</v>
      </c>
      <c r="I73" s="518">
        <f>_xlfn.XLOOKUP(E73,'All Products'!D:D,'All Products'!H:H)</f>
        <v>12.8</v>
      </c>
      <c r="J73" s="317">
        <f>ROUNDUP(I73*Order_Quote!$L$12,2)</f>
        <v>64</v>
      </c>
      <c r="K73" s="78"/>
      <c r="L73" s="193"/>
      <c r="M73" s="199">
        <f>K73/G73</f>
        <v>0</v>
      </c>
      <c r="O73" s="265" t="s">
        <v>76</v>
      </c>
      <c r="P73" s="265" t="s">
        <v>102</v>
      </c>
      <c r="Q73" s="305" t="s">
        <v>632</v>
      </c>
      <c r="R73" s="305" t="s">
        <v>633</v>
      </c>
      <c r="S73" s="305" t="s">
        <v>634</v>
      </c>
      <c r="T73" s="347">
        <v>0.121</v>
      </c>
      <c r="U73" s="265">
        <v>10</v>
      </c>
      <c r="V73" s="348">
        <v>6.99</v>
      </c>
      <c r="W73" s="348">
        <v>0.5</v>
      </c>
      <c r="X73" s="447"/>
      <c r="Y73" s="447"/>
    </row>
    <row r="74" spans="1:25" ht="15" customHeight="1">
      <c r="A74" s="104" t="str">
        <f>IF(K74&gt;0,COUNT($A$10:A73)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4" s="581"/>
      <c r="C74" s="582"/>
      <c r="D74" s="158" t="s">
        <v>635</v>
      </c>
      <c r="E74" s="106">
        <v>100021949</v>
      </c>
      <c r="F74" s="159" t="s">
        <v>636</v>
      </c>
      <c r="G74" s="106">
        <v>50</v>
      </c>
      <c r="H74" s="106">
        <v>3750</v>
      </c>
      <c r="I74" s="518">
        <f>_xlfn.XLOOKUP(E74,'All Products'!D:D,'All Products'!H:H)</f>
        <v>16.670000000000002</v>
      </c>
      <c r="J74" s="317">
        <f>ROUNDUP(I74*Order_Quote!$L$12,2)</f>
        <v>83.35</v>
      </c>
      <c r="K74" s="78"/>
      <c r="L74" s="193"/>
      <c r="M74" s="199">
        <f>K74/G74</f>
        <v>0</v>
      </c>
      <c r="O74" s="265" t="s">
        <v>359</v>
      </c>
      <c r="P74" s="265" t="s">
        <v>102</v>
      </c>
      <c r="Q74" s="305" t="s">
        <v>637</v>
      </c>
      <c r="R74" s="305" t="s">
        <v>638</v>
      </c>
      <c r="S74" s="305" t="s">
        <v>639</v>
      </c>
      <c r="T74" s="347">
        <v>0.19400000000000001</v>
      </c>
      <c r="U74" s="265">
        <v>10</v>
      </c>
      <c r="V74" s="348">
        <v>9.56</v>
      </c>
      <c r="W74" s="348">
        <v>0.65</v>
      </c>
      <c r="X74" s="447"/>
      <c r="Y74" s="447"/>
    </row>
    <row r="75" spans="1:25" ht="15" customHeight="1">
      <c r="A75" s="104" t="str">
        <f>IF(K75&gt;0,COUNT($A$10:A74)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5" s="17"/>
      <c r="E75" s="20"/>
      <c r="F75" s="217"/>
      <c r="G75" s="20"/>
      <c r="H75" s="20"/>
      <c r="I75" s="514"/>
      <c r="J75" s="237"/>
      <c r="K75" s="443"/>
      <c r="L75" s="20"/>
      <c r="M75" s="181"/>
      <c r="O75" s="20"/>
      <c r="P75" s="20"/>
      <c r="Q75" s="20"/>
      <c r="R75" s="20"/>
      <c r="S75" s="20"/>
      <c r="T75" s="20"/>
      <c r="U75" s="20"/>
      <c r="V75" s="20"/>
      <c r="W75" s="20"/>
    </row>
    <row r="76" spans="1:25" ht="18.75">
      <c r="A76" s="104" t="str">
        <f>IF(K76&gt;0,COUNT($A$10:A75)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6" s="444" t="s">
        <v>640</v>
      </c>
      <c r="C76" s="44"/>
      <c r="D76" s="44"/>
      <c r="E76" s="44"/>
      <c r="F76" s="44"/>
      <c r="G76" s="44"/>
      <c r="H76" s="44"/>
      <c r="I76" s="515"/>
      <c r="J76" s="445"/>
      <c r="K76" s="246"/>
      <c r="L76" s="243"/>
      <c r="M76" s="157"/>
      <c r="O76" s="44"/>
      <c r="P76" s="44"/>
      <c r="Q76" s="44"/>
      <c r="R76" s="44"/>
      <c r="S76" s="44"/>
      <c r="T76" s="44"/>
      <c r="U76" s="44"/>
      <c r="V76" s="44"/>
      <c r="W76" s="44"/>
    </row>
    <row r="77" spans="1:25" ht="15" customHeight="1">
      <c r="A77" s="104" t="str">
        <f>IF(K77&gt;0,COUNT($A$10:A76)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7" s="456" t="s">
        <v>641</v>
      </c>
      <c r="C77" s="314"/>
      <c r="D77" s="457"/>
      <c r="E77" s="314"/>
      <c r="F77" s="458"/>
      <c r="G77" s="314"/>
      <c r="H77" s="314"/>
      <c r="I77" s="519"/>
      <c r="J77" s="320"/>
      <c r="K77" s="459"/>
      <c r="L77" s="314"/>
      <c r="M77" s="315"/>
      <c r="O77" s="314"/>
      <c r="P77" s="314"/>
      <c r="Q77" s="314"/>
      <c r="R77" s="314"/>
      <c r="S77" s="314"/>
      <c r="T77" s="314"/>
      <c r="U77" s="314"/>
      <c r="V77" s="314"/>
      <c r="W77" s="314"/>
    </row>
    <row r="78" spans="1:25" ht="15" customHeight="1">
      <c r="A78" s="104" t="str">
        <f>IF(K78&gt;0,COUNT($A$10:A77)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8" s="112"/>
      <c r="C78" s="79"/>
      <c r="D78" s="208" t="s">
        <v>642</v>
      </c>
      <c r="E78" s="171">
        <v>100021953</v>
      </c>
      <c r="F78" s="289" t="s">
        <v>643</v>
      </c>
      <c r="G78" s="171">
        <v>250</v>
      </c>
      <c r="H78" s="171">
        <v>22500</v>
      </c>
      <c r="I78" s="517">
        <f>_xlfn.XLOOKUP(E78,'All Products'!D:D,'All Products'!H:H)</f>
        <v>4.8499999999999996</v>
      </c>
      <c r="J78" s="317">
        <f>ROUNDUP(I78*Order_Quote!$L$12,2)</f>
        <v>24.25</v>
      </c>
      <c r="K78" s="184"/>
      <c r="L78" s="116"/>
      <c r="M78" s="298">
        <f t="shared" ref="M78:M83" si="3">K78/G78</f>
        <v>0</v>
      </c>
      <c r="O78" s="305" t="s">
        <v>76</v>
      </c>
      <c r="P78" s="305" t="s">
        <v>102</v>
      </c>
      <c r="Q78" s="305" t="s">
        <v>644</v>
      </c>
      <c r="R78" s="305" t="s">
        <v>645</v>
      </c>
      <c r="S78" s="305" t="s">
        <v>646</v>
      </c>
      <c r="T78" s="347">
        <v>4.2000000000000003E-2</v>
      </c>
      <c r="U78" s="265">
        <v>10</v>
      </c>
      <c r="V78" s="348">
        <v>11.3</v>
      </c>
      <c r="W78" s="348">
        <v>0.5</v>
      </c>
      <c r="X78" s="447"/>
      <c r="Y78" s="447"/>
    </row>
    <row r="79" spans="1:25" ht="15" customHeight="1">
      <c r="A79" s="104" t="str">
        <f>IF(K79&gt;0,COUNT($A$10:A78)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79" s="112"/>
      <c r="C79" s="79"/>
      <c r="D79" s="158" t="s">
        <v>647</v>
      </c>
      <c r="E79" s="106">
        <v>100021955</v>
      </c>
      <c r="F79" s="159" t="s">
        <v>648</v>
      </c>
      <c r="G79" s="106">
        <v>250</v>
      </c>
      <c r="H79" s="106">
        <v>11250</v>
      </c>
      <c r="I79" s="518">
        <f>_xlfn.XLOOKUP(E79,'All Products'!D:D,'All Products'!H:H)</f>
        <v>5.96</v>
      </c>
      <c r="J79" s="317">
        <f>ROUNDUP(I79*Order_Quote!$L$12,2)</f>
        <v>29.8</v>
      </c>
      <c r="K79" s="78"/>
      <c r="L79" s="116"/>
      <c r="M79" s="199">
        <f t="shared" si="3"/>
        <v>0</v>
      </c>
      <c r="O79" s="265" t="s">
        <v>76</v>
      </c>
      <c r="P79" s="265" t="s">
        <v>102</v>
      </c>
      <c r="Q79" s="305" t="s">
        <v>649</v>
      </c>
      <c r="R79" s="305" t="s">
        <v>650</v>
      </c>
      <c r="S79" s="305" t="s">
        <v>651</v>
      </c>
      <c r="T79" s="347">
        <v>0.06</v>
      </c>
      <c r="U79" s="265">
        <v>10</v>
      </c>
      <c r="V79" s="348">
        <v>16.21</v>
      </c>
      <c r="W79" s="348">
        <v>0.95</v>
      </c>
      <c r="X79" s="447"/>
      <c r="Y79" s="447"/>
    </row>
    <row r="80" spans="1:25" ht="15" customHeight="1">
      <c r="A80" s="104" t="str">
        <f>IF(K80&gt;0,COUNT($A$10:A79)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0" s="112"/>
      <c r="C80" s="79"/>
      <c r="D80" s="158" t="s">
        <v>652</v>
      </c>
      <c r="E80" s="106">
        <v>100021957</v>
      </c>
      <c r="F80" s="159" t="s">
        <v>653</v>
      </c>
      <c r="G80" s="106">
        <v>100</v>
      </c>
      <c r="H80" s="106">
        <v>7500</v>
      </c>
      <c r="I80" s="518">
        <f>_xlfn.XLOOKUP(E80,'All Products'!D:D,'All Products'!H:H)</f>
        <v>6.55</v>
      </c>
      <c r="J80" s="317">
        <f>ROUNDUP(I80*Order_Quote!$L$12,2)</f>
        <v>32.75</v>
      </c>
      <c r="K80" s="78"/>
      <c r="L80" s="116"/>
      <c r="M80" s="199">
        <f t="shared" si="3"/>
        <v>0</v>
      </c>
      <c r="O80" s="265" t="s">
        <v>76</v>
      </c>
      <c r="P80" s="265" t="s">
        <v>102</v>
      </c>
      <c r="Q80" s="305" t="s">
        <v>654</v>
      </c>
      <c r="R80" s="305" t="s">
        <v>655</v>
      </c>
      <c r="S80" s="305" t="s">
        <v>656</v>
      </c>
      <c r="T80" s="347">
        <v>9.2999999999999999E-2</v>
      </c>
      <c r="U80" s="265">
        <v>10</v>
      </c>
      <c r="V80" s="348">
        <v>10.119999999999999</v>
      </c>
      <c r="W80" s="348">
        <v>0.65</v>
      </c>
      <c r="X80" s="447"/>
      <c r="Y80" s="447"/>
    </row>
    <row r="81" spans="1:25" ht="15" customHeight="1">
      <c r="A81" s="104" t="str">
        <f>IF(K81&gt;0,COUNT($A$10:A80)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1" s="112"/>
      <c r="C81" s="79"/>
      <c r="D81" s="158" t="s">
        <v>657</v>
      </c>
      <c r="E81" s="106">
        <v>100021959</v>
      </c>
      <c r="F81" s="159" t="s">
        <v>658</v>
      </c>
      <c r="G81" s="106">
        <v>50</v>
      </c>
      <c r="H81" s="106">
        <v>4500</v>
      </c>
      <c r="I81" s="518">
        <f>_xlfn.XLOOKUP(E81,'All Products'!D:D,'All Products'!H:H)</f>
        <v>7.31</v>
      </c>
      <c r="J81" s="317">
        <f>ROUNDUP(I81*Order_Quote!$L$12,2)</f>
        <v>36.549999999999997</v>
      </c>
      <c r="K81" s="78"/>
      <c r="L81" s="116"/>
      <c r="M81" s="199">
        <f t="shared" si="3"/>
        <v>0</v>
      </c>
      <c r="O81" s="265" t="s">
        <v>76</v>
      </c>
      <c r="P81" s="265" t="s">
        <v>102</v>
      </c>
      <c r="Q81" s="305" t="s">
        <v>659</v>
      </c>
      <c r="R81" s="305" t="s">
        <v>660</v>
      </c>
      <c r="S81" s="305" t="s">
        <v>661</v>
      </c>
      <c r="T81" s="347">
        <v>0.13600000000000001</v>
      </c>
      <c r="U81" s="265">
        <v>5</v>
      </c>
      <c r="V81" s="348">
        <v>7.44</v>
      </c>
      <c r="W81" s="348">
        <v>0.5</v>
      </c>
      <c r="X81" s="447"/>
      <c r="Y81" s="447"/>
    </row>
    <row r="82" spans="1:25" ht="15" customHeight="1">
      <c r="A82" s="104" t="str">
        <f>IF(K82&gt;0,COUNT($A$10:A81)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2" s="112"/>
      <c r="C82" s="79"/>
      <c r="D82" s="158" t="s">
        <v>662</v>
      </c>
      <c r="E82" s="106">
        <v>100021961</v>
      </c>
      <c r="F82" s="159" t="s">
        <v>663</v>
      </c>
      <c r="G82" s="106">
        <v>50</v>
      </c>
      <c r="H82" s="106">
        <v>3750</v>
      </c>
      <c r="I82" s="518">
        <f>_xlfn.XLOOKUP(E82,'All Products'!D:D,'All Products'!H:H)</f>
        <v>8.61</v>
      </c>
      <c r="J82" s="317">
        <f>ROUNDUP(I82*Order_Quote!$L$12,2)</f>
        <v>43.05</v>
      </c>
      <c r="K82" s="78"/>
      <c r="L82" s="116"/>
      <c r="M82" s="199">
        <f t="shared" si="3"/>
        <v>0</v>
      </c>
      <c r="O82" s="265" t="s">
        <v>76</v>
      </c>
      <c r="P82" s="265" t="s">
        <v>102</v>
      </c>
      <c r="Q82" s="305" t="s">
        <v>664</v>
      </c>
      <c r="R82" s="305" t="s">
        <v>665</v>
      </c>
      <c r="S82" s="305" t="s">
        <v>666</v>
      </c>
      <c r="T82" s="347">
        <v>0.16400000000000001</v>
      </c>
      <c r="U82" s="265">
        <v>5</v>
      </c>
      <c r="V82" s="348">
        <v>9.2899999999999991</v>
      </c>
      <c r="W82" s="348">
        <v>0.65</v>
      </c>
      <c r="X82" s="447"/>
      <c r="Y82" s="447"/>
    </row>
    <row r="83" spans="1:25" ht="15" customHeight="1">
      <c r="A83" s="104" t="str">
        <f>IF(K83&gt;0,COUNT($A$10:A82)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3" s="113"/>
      <c r="C83" s="114"/>
      <c r="D83" s="158" t="s">
        <v>667</v>
      </c>
      <c r="E83" s="106">
        <v>100021963</v>
      </c>
      <c r="F83" s="159" t="s">
        <v>668</v>
      </c>
      <c r="G83" s="106">
        <v>25</v>
      </c>
      <c r="H83" s="106">
        <v>1875</v>
      </c>
      <c r="I83" s="518">
        <f>_xlfn.XLOOKUP(E83,'All Products'!D:D,'All Products'!H:H)</f>
        <v>12.04</v>
      </c>
      <c r="J83" s="317">
        <f>ROUNDUP(I83*Order_Quote!$L$12,2)</f>
        <v>60.2</v>
      </c>
      <c r="K83" s="78"/>
      <c r="L83" s="292"/>
      <c r="M83" s="199">
        <f t="shared" si="3"/>
        <v>0</v>
      </c>
      <c r="O83" s="265" t="s">
        <v>76</v>
      </c>
      <c r="P83" s="265" t="s">
        <v>102</v>
      </c>
      <c r="Q83" s="305" t="s">
        <v>669</v>
      </c>
      <c r="R83" s="305" t="s">
        <v>670</v>
      </c>
      <c r="S83" s="305" t="s">
        <v>671</v>
      </c>
      <c r="T83" s="347">
        <v>0.25600000000000001</v>
      </c>
      <c r="U83" s="265">
        <v>5</v>
      </c>
      <c r="V83" s="348">
        <v>7.25</v>
      </c>
      <c r="W83" s="348">
        <v>0.65</v>
      </c>
      <c r="X83" s="447"/>
      <c r="Y83" s="447"/>
    </row>
    <row r="84" spans="1:25" ht="15" customHeight="1">
      <c r="A84" s="104" t="str">
        <f>IF(K84&gt;0,COUNT($A$10:A83)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4" s="17"/>
      <c r="E84" s="20"/>
      <c r="F84" s="217"/>
      <c r="G84" s="20"/>
      <c r="H84" s="20"/>
      <c r="I84" s="514"/>
      <c r="J84" s="237"/>
      <c r="K84" s="443"/>
      <c r="L84" s="20"/>
      <c r="M84" s="181"/>
      <c r="O84" s="20"/>
      <c r="P84" s="20"/>
      <c r="Q84" s="20"/>
      <c r="R84" s="20"/>
      <c r="S84" s="20"/>
      <c r="T84" s="20"/>
      <c r="U84" s="20"/>
      <c r="V84" s="20"/>
      <c r="W84" s="20"/>
    </row>
    <row r="85" spans="1:25" ht="18.75">
      <c r="A85" s="104" t="str">
        <f>IF(K85&gt;0,COUNT($A$10:A84)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5" s="444" t="s">
        <v>672</v>
      </c>
      <c r="C85" s="44"/>
      <c r="D85" s="44"/>
      <c r="E85" s="44"/>
      <c r="F85" s="44"/>
      <c r="G85" s="44"/>
      <c r="H85" s="44"/>
      <c r="I85" s="515"/>
      <c r="J85" s="445"/>
      <c r="K85" s="246"/>
      <c r="L85" s="243"/>
      <c r="M85" s="157"/>
      <c r="O85" s="44"/>
      <c r="P85" s="44"/>
      <c r="Q85" s="44"/>
      <c r="R85" s="44"/>
      <c r="S85" s="44"/>
      <c r="T85" s="44"/>
      <c r="U85" s="44"/>
      <c r="V85" s="44"/>
      <c r="W85" s="44"/>
    </row>
    <row r="86" spans="1:25" ht="15" customHeight="1" thickBot="1">
      <c r="A86" s="104" t="str">
        <f>IF(K86&gt;0,COUNT($A$10:A85)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6" s="460" t="s">
        <v>673</v>
      </c>
      <c r="C86" s="461"/>
      <c r="D86" s="457"/>
      <c r="E86" s="314"/>
      <c r="F86" s="458"/>
      <c r="G86" s="314"/>
      <c r="H86" s="314"/>
      <c r="I86" s="519"/>
      <c r="J86" s="320"/>
      <c r="K86" s="459"/>
      <c r="L86" s="314"/>
      <c r="M86" s="315"/>
      <c r="O86" s="314"/>
      <c r="P86" s="314"/>
      <c r="Q86" s="314"/>
      <c r="R86" s="314"/>
      <c r="S86" s="314"/>
      <c r="T86" s="314"/>
      <c r="U86" s="314"/>
      <c r="V86" s="314"/>
      <c r="W86" s="314"/>
    </row>
    <row r="87" spans="1:25" ht="33.75" customHeight="1">
      <c r="A87" s="104" t="str">
        <f>IF(K87&gt;0,COUNT($A$10:A86)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7" s="113"/>
      <c r="C87" s="114"/>
      <c r="D87" s="158" t="s">
        <v>674</v>
      </c>
      <c r="E87" s="106">
        <v>100021967</v>
      </c>
      <c r="F87" s="106" t="s">
        <v>675</v>
      </c>
      <c r="G87" s="106">
        <v>100</v>
      </c>
      <c r="H87" s="106">
        <v>9000</v>
      </c>
      <c r="I87" s="518">
        <f>_xlfn.XLOOKUP(E87,'All Products'!D:D,'All Products'!H:H)</f>
        <v>6.89</v>
      </c>
      <c r="J87" s="317">
        <f>ROUNDUP(I87*Order_Quote!$L$12,2)</f>
        <v>34.450000000000003</v>
      </c>
      <c r="K87" s="78"/>
      <c r="L87" s="292"/>
      <c r="M87" s="199">
        <f>K87/G87</f>
        <v>0</v>
      </c>
      <c r="O87" s="265" t="s">
        <v>359</v>
      </c>
      <c r="P87" s="265" t="s">
        <v>102</v>
      </c>
      <c r="Q87" s="305" t="s">
        <v>676</v>
      </c>
      <c r="R87" s="305" t="s">
        <v>677</v>
      </c>
      <c r="S87" s="305" t="s">
        <v>678</v>
      </c>
      <c r="T87" s="347">
        <v>9.2999999999999999E-2</v>
      </c>
      <c r="U87" s="265">
        <v>10</v>
      </c>
      <c r="V87" s="348">
        <v>9.33</v>
      </c>
      <c r="W87" s="348">
        <v>0.5</v>
      </c>
      <c r="X87" s="447"/>
      <c r="Y87" s="447"/>
    </row>
    <row r="88" spans="1:25" ht="15" customHeight="1">
      <c r="A88" s="104" t="str">
        <f>IF(K88&gt;0,COUNT($A$10:A87)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8" s="17"/>
      <c r="E88" s="20"/>
      <c r="F88" s="217"/>
      <c r="G88" s="20"/>
      <c r="H88" s="20"/>
      <c r="I88" s="514"/>
      <c r="J88" s="237"/>
      <c r="K88" s="443"/>
      <c r="L88" s="20"/>
      <c r="M88" s="181"/>
      <c r="O88" s="20"/>
      <c r="P88" s="20"/>
      <c r="Q88" s="20"/>
      <c r="R88" s="20"/>
      <c r="S88" s="20"/>
      <c r="T88" s="20"/>
      <c r="U88" s="20"/>
      <c r="V88" s="20"/>
      <c r="W88" s="20"/>
    </row>
    <row r="89" spans="1:25" ht="18.75">
      <c r="A89" s="104" t="str">
        <f>IF(K89&gt;0,COUNT($A$10:A88)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89" s="444" t="s">
        <v>679</v>
      </c>
      <c r="C89" s="44"/>
      <c r="D89" s="44"/>
      <c r="E89" s="44"/>
      <c r="F89" s="44"/>
      <c r="G89" s="44"/>
      <c r="H89" s="44"/>
      <c r="I89" s="515"/>
      <c r="J89" s="445"/>
      <c r="K89" s="246"/>
      <c r="L89" s="243"/>
      <c r="M89" s="157"/>
      <c r="O89" s="44"/>
      <c r="P89" s="44"/>
      <c r="Q89" s="44"/>
      <c r="R89" s="44"/>
      <c r="S89" s="44"/>
      <c r="T89" s="44"/>
      <c r="U89" s="44"/>
      <c r="V89" s="44"/>
      <c r="W89" s="44"/>
    </row>
    <row r="90" spans="1:25" ht="15" customHeight="1">
      <c r="A90" s="104" t="str">
        <f>IF(K90&gt;0,COUNT($A$10:A89)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0" s="462" t="s">
        <v>680</v>
      </c>
      <c r="C90" s="451"/>
      <c r="D90" s="463"/>
      <c r="E90" s="452"/>
      <c r="F90" s="452"/>
      <c r="G90" s="452"/>
      <c r="H90" s="452"/>
      <c r="I90" s="452"/>
      <c r="J90" s="453"/>
      <c r="K90" s="452"/>
      <c r="L90" s="452"/>
      <c r="M90" s="454"/>
      <c r="O90" s="452"/>
      <c r="P90" s="452"/>
      <c r="Q90" s="452"/>
      <c r="R90" s="452"/>
      <c r="S90" s="452"/>
      <c r="T90" s="452"/>
      <c r="U90" s="452"/>
      <c r="V90" s="452"/>
      <c r="W90" s="452"/>
    </row>
    <row r="91" spans="1:25" ht="27.75" customHeight="1">
      <c r="A91" s="104" t="str">
        <f>IF(K91&gt;0,COUNT($A$10:A90)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1" s="110"/>
      <c r="C91" s="111"/>
      <c r="D91" s="208" t="s">
        <v>681</v>
      </c>
      <c r="E91" s="171">
        <v>100021966</v>
      </c>
      <c r="F91" s="289" t="s">
        <v>682</v>
      </c>
      <c r="G91" s="171">
        <v>250</v>
      </c>
      <c r="H91" s="171">
        <v>18750</v>
      </c>
      <c r="I91" s="517">
        <f>_xlfn.XLOOKUP(E91,'All Products'!D:D,'All Products'!H:H)</f>
        <v>5.58</v>
      </c>
      <c r="J91" s="317">
        <f>ROUNDUP(I91*Order_Quote!$L$12,2)</f>
        <v>27.9</v>
      </c>
      <c r="K91" s="184"/>
      <c r="L91" s="116"/>
      <c r="M91" s="298">
        <f>K91/G91</f>
        <v>0</v>
      </c>
      <c r="O91" s="305" t="s">
        <v>359</v>
      </c>
      <c r="P91" s="305" t="s">
        <v>102</v>
      </c>
      <c r="Q91" s="305" t="s">
        <v>683</v>
      </c>
      <c r="R91" s="305" t="s">
        <v>684</v>
      </c>
      <c r="S91" s="305" t="s">
        <v>685</v>
      </c>
      <c r="T91" s="347">
        <v>4.2999999999999997E-2</v>
      </c>
      <c r="U91" s="265">
        <v>10</v>
      </c>
      <c r="V91" s="348">
        <v>10.41</v>
      </c>
      <c r="W91" s="348">
        <v>0.65</v>
      </c>
      <c r="X91" s="447"/>
      <c r="Y91" s="447"/>
    </row>
    <row r="92" spans="1:25" ht="27.75" customHeight="1">
      <c r="A92" s="104" t="str">
        <f>IF(K92&gt;0,COUNT($A$10:A91)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2" s="113"/>
      <c r="C92" s="114"/>
      <c r="D92" s="158" t="s">
        <v>686</v>
      </c>
      <c r="E92" s="106">
        <v>100021969</v>
      </c>
      <c r="F92" s="159" t="s">
        <v>687</v>
      </c>
      <c r="G92" s="106">
        <v>100</v>
      </c>
      <c r="H92" s="106">
        <v>9000</v>
      </c>
      <c r="I92" s="518">
        <f>_xlfn.XLOOKUP(E92,'All Products'!D:D,'All Products'!H:H)</f>
        <v>6.89</v>
      </c>
      <c r="J92" s="317">
        <f>ROUNDUP(I92*Order_Quote!$L$12,2)</f>
        <v>34.450000000000003</v>
      </c>
      <c r="K92" s="78"/>
      <c r="L92" s="116"/>
      <c r="M92" s="199">
        <f>K92/G92</f>
        <v>0</v>
      </c>
      <c r="O92" s="265" t="s">
        <v>76</v>
      </c>
      <c r="P92" s="265" t="s">
        <v>102</v>
      </c>
      <c r="Q92" s="305" t="s">
        <v>688</v>
      </c>
      <c r="R92" s="305" t="s">
        <v>689</v>
      </c>
      <c r="S92" s="305" t="s">
        <v>690</v>
      </c>
      <c r="T92" s="347">
        <v>6.7000000000000004E-2</v>
      </c>
      <c r="U92" s="265">
        <v>10</v>
      </c>
      <c r="V92" s="348">
        <v>7.02</v>
      </c>
      <c r="W92" s="348">
        <v>0.5</v>
      </c>
      <c r="X92" s="447"/>
      <c r="Y92" s="447"/>
    </row>
    <row r="93" spans="1:25" ht="15" customHeight="1">
      <c r="A93" s="104" t="str">
        <f>IF(K93&gt;0,COUNT($A$10:A92)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3" s="17"/>
      <c r="E93" s="20"/>
      <c r="F93" s="217"/>
      <c r="G93" s="20"/>
      <c r="H93" s="20"/>
      <c r="I93" s="514"/>
      <c r="J93" s="237"/>
      <c r="K93" s="443"/>
      <c r="L93" s="20"/>
      <c r="M93" s="181"/>
      <c r="O93" s="20"/>
      <c r="P93" s="20"/>
      <c r="Q93" s="20"/>
      <c r="R93" s="20"/>
      <c r="S93" s="20"/>
      <c r="T93" s="20"/>
      <c r="U93" s="20"/>
      <c r="V93" s="20"/>
      <c r="W93" s="20"/>
    </row>
    <row r="94" spans="1:25" ht="18.75">
      <c r="A94" s="104" t="str">
        <f>IF(K94&gt;0,COUNT($A$10:A93)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4" s="444" t="s">
        <v>691</v>
      </c>
      <c r="C94" s="44"/>
      <c r="D94" s="44"/>
      <c r="E94" s="44"/>
      <c r="F94" s="44"/>
      <c r="G94" s="44"/>
      <c r="H94" s="44"/>
      <c r="I94" s="515"/>
      <c r="J94" s="445"/>
      <c r="K94" s="246"/>
      <c r="L94" s="243"/>
      <c r="M94" s="157"/>
      <c r="O94" s="44"/>
      <c r="P94" s="44"/>
      <c r="Q94" s="44"/>
      <c r="R94" s="44"/>
      <c r="S94" s="44"/>
      <c r="T94" s="44"/>
      <c r="U94" s="44"/>
      <c r="V94" s="44"/>
      <c r="W94" s="44"/>
    </row>
    <row r="95" spans="1:25" ht="15" customHeight="1">
      <c r="A95" s="104" t="str">
        <f>IF(K95&gt;0,COUNT($A$10:A94)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5" s="319" t="s">
        <v>692</v>
      </c>
      <c r="C95" s="451"/>
      <c r="D95" s="452"/>
      <c r="E95" s="452"/>
      <c r="F95" s="452"/>
      <c r="G95" s="452"/>
      <c r="H95" s="452"/>
      <c r="I95" s="452"/>
      <c r="J95" s="453"/>
      <c r="K95" s="452"/>
      <c r="L95" s="452"/>
      <c r="M95" s="454"/>
      <c r="O95" s="452"/>
      <c r="P95" s="452"/>
      <c r="Q95" s="452"/>
      <c r="R95" s="452"/>
      <c r="S95" s="452"/>
      <c r="T95" s="452"/>
      <c r="U95" s="452"/>
      <c r="V95" s="452"/>
      <c r="W95" s="452"/>
    </row>
    <row r="96" spans="1:25" ht="15" customHeight="1">
      <c r="A96" s="104" t="str">
        <f>IF(K96&gt;0,COUNT($A$10:A95)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6" s="112"/>
      <c r="C96" s="79"/>
      <c r="D96" s="208" t="s">
        <v>693</v>
      </c>
      <c r="E96" s="171">
        <v>100021974</v>
      </c>
      <c r="F96" s="289" t="s">
        <v>694</v>
      </c>
      <c r="G96" s="171">
        <v>250</v>
      </c>
      <c r="H96" s="171">
        <v>15000</v>
      </c>
      <c r="I96" s="517">
        <f>_xlfn.XLOOKUP(E96,'All Products'!D:D,'All Products'!H:H)</f>
        <v>5.44</v>
      </c>
      <c r="J96" s="317">
        <f>ROUNDUP(I96*Order_Quote!$L$12,2)</f>
        <v>27.2</v>
      </c>
      <c r="K96" s="318"/>
      <c r="L96" s="193"/>
      <c r="M96" s="321">
        <f t="shared" ref="M96:M101" si="4">K96/G96</f>
        <v>0</v>
      </c>
      <c r="O96" s="305" t="s">
        <v>76</v>
      </c>
      <c r="P96" s="305" t="s">
        <v>102</v>
      </c>
      <c r="Q96" s="305" t="s">
        <v>695</v>
      </c>
      <c r="R96" s="305" t="s">
        <v>696</v>
      </c>
      <c r="S96" s="305" t="s">
        <v>697</v>
      </c>
      <c r="T96" s="347">
        <v>6.2E-2</v>
      </c>
      <c r="U96" s="265">
        <v>10</v>
      </c>
      <c r="V96" s="348">
        <v>16.59</v>
      </c>
      <c r="W96" s="348">
        <v>0.65</v>
      </c>
      <c r="X96" s="447"/>
      <c r="Y96" s="447"/>
    </row>
    <row r="97" spans="1:25" ht="15" customHeight="1">
      <c r="A97" s="104" t="str">
        <f>IF(K97&gt;0,COUNT($A$10:A96)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7" s="112"/>
      <c r="C97" s="79"/>
      <c r="D97" s="158" t="s">
        <v>698</v>
      </c>
      <c r="E97" s="106">
        <v>100021976</v>
      </c>
      <c r="F97" s="159" t="s">
        <v>699</v>
      </c>
      <c r="G97" s="106">
        <v>250</v>
      </c>
      <c r="H97" s="106">
        <v>11250</v>
      </c>
      <c r="I97" s="518">
        <f>_xlfn.XLOOKUP(E97,'All Products'!D:D,'All Products'!H:H)</f>
        <v>5.96</v>
      </c>
      <c r="J97" s="317">
        <f>ROUNDUP(I97*Order_Quote!$L$12,2)</f>
        <v>29.8</v>
      </c>
      <c r="K97" s="184"/>
      <c r="L97" s="193"/>
      <c r="M97" s="298">
        <f t="shared" si="4"/>
        <v>0</v>
      </c>
      <c r="O97" s="265" t="s">
        <v>76</v>
      </c>
      <c r="P97" s="265" t="s">
        <v>102</v>
      </c>
      <c r="Q97" s="305" t="s">
        <v>700</v>
      </c>
      <c r="R97" s="305" t="s">
        <v>701</v>
      </c>
      <c r="S97" s="305" t="s">
        <v>702</v>
      </c>
      <c r="T97" s="347">
        <v>8.2000000000000003E-2</v>
      </c>
      <c r="U97" s="265">
        <v>10</v>
      </c>
      <c r="V97" s="348">
        <v>22.79</v>
      </c>
      <c r="W97" s="348">
        <v>0.95</v>
      </c>
      <c r="X97" s="447"/>
      <c r="Y97" s="447"/>
    </row>
    <row r="98" spans="1:25" ht="15" customHeight="1">
      <c r="A98" s="104" t="str">
        <f>IF(K98&gt;0,COUNT($A$10:A97)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8" s="112"/>
      <c r="C98" s="79"/>
      <c r="D98" s="158" t="s">
        <v>703</v>
      </c>
      <c r="E98" s="106">
        <v>100021978</v>
      </c>
      <c r="F98" s="159" t="s">
        <v>704</v>
      </c>
      <c r="G98" s="106">
        <v>100</v>
      </c>
      <c r="H98" s="106">
        <v>6000</v>
      </c>
      <c r="I98" s="518">
        <f>_xlfn.XLOOKUP(E98,'All Products'!D:D,'All Products'!H:H)</f>
        <v>7.61</v>
      </c>
      <c r="J98" s="317">
        <f>ROUNDUP(I98*Order_Quote!$L$12,2)</f>
        <v>38.049999999999997</v>
      </c>
      <c r="K98" s="78"/>
      <c r="L98" s="116"/>
      <c r="M98" s="199">
        <f t="shared" si="4"/>
        <v>0</v>
      </c>
      <c r="O98" s="265" t="s">
        <v>76</v>
      </c>
      <c r="P98" s="265" t="s">
        <v>102</v>
      </c>
      <c r="Q98" s="305" t="s">
        <v>705</v>
      </c>
      <c r="R98" s="305" t="s">
        <v>706</v>
      </c>
      <c r="S98" s="305" t="s">
        <v>707</v>
      </c>
      <c r="T98" s="347">
        <v>0.154</v>
      </c>
      <c r="U98" s="265">
        <v>10</v>
      </c>
      <c r="V98" s="348">
        <v>15.85</v>
      </c>
      <c r="W98" s="348">
        <v>0.8</v>
      </c>
      <c r="X98" s="447"/>
      <c r="Y98" s="447"/>
    </row>
    <row r="99" spans="1:25" ht="15" customHeight="1">
      <c r="A99" s="104" t="str">
        <f>IF(K99&gt;0,COUNT($A$10:A98)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99" s="112"/>
      <c r="C99" s="79"/>
      <c r="D99" s="158" t="s">
        <v>708</v>
      </c>
      <c r="E99" s="106">
        <v>100021979</v>
      </c>
      <c r="F99" s="159" t="s">
        <v>709</v>
      </c>
      <c r="G99" s="106">
        <v>50</v>
      </c>
      <c r="H99" s="106">
        <v>3750</v>
      </c>
      <c r="I99" s="518">
        <f>_xlfn.XLOOKUP(E99,'All Products'!D:D,'All Products'!H:H)</f>
        <v>11.24</v>
      </c>
      <c r="J99" s="317">
        <f>ROUNDUP(I99*Order_Quote!$L$12,2)</f>
        <v>56.2</v>
      </c>
      <c r="K99" s="78"/>
      <c r="L99" s="116"/>
      <c r="M99" s="199">
        <f t="shared" si="4"/>
        <v>0</v>
      </c>
      <c r="O99" s="265" t="s">
        <v>359</v>
      </c>
      <c r="P99" s="265" t="s">
        <v>102</v>
      </c>
      <c r="Q99" s="305" t="s">
        <v>710</v>
      </c>
      <c r="R99" s="305" t="s">
        <v>711</v>
      </c>
      <c r="S99" s="305" t="s">
        <v>712</v>
      </c>
      <c r="T99" s="347">
        <v>0.17899999999999999</v>
      </c>
      <c r="U99" s="265">
        <v>5</v>
      </c>
      <c r="V99" s="348">
        <v>10.130000000000001</v>
      </c>
      <c r="W99" s="348">
        <v>0.65</v>
      </c>
      <c r="X99" s="447"/>
      <c r="Y99" s="447"/>
    </row>
    <row r="100" spans="1:25" ht="15" customHeight="1">
      <c r="A100" s="104" t="str">
        <f>IF(K100&gt;0,COUNT($A$10:A99)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0" s="112"/>
      <c r="C100" s="79"/>
      <c r="D100" s="158" t="s">
        <v>713</v>
      </c>
      <c r="E100" s="106">
        <v>100021980</v>
      </c>
      <c r="F100" s="159" t="s">
        <v>714</v>
      </c>
      <c r="G100" s="106">
        <v>50</v>
      </c>
      <c r="H100" s="106">
        <v>3000</v>
      </c>
      <c r="I100" s="518">
        <f>_xlfn.XLOOKUP(E100,'All Products'!D:D,'All Products'!H:H)</f>
        <v>12.8</v>
      </c>
      <c r="J100" s="317">
        <f>ROUNDUP(I100*Order_Quote!$L$12,2)</f>
        <v>64</v>
      </c>
      <c r="K100" s="78"/>
      <c r="L100" s="116"/>
      <c r="M100" s="199">
        <f t="shared" si="4"/>
        <v>0</v>
      </c>
      <c r="O100" s="265" t="s">
        <v>76</v>
      </c>
      <c r="P100" s="265" t="s">
        <v>102</v>
      </c>
      <c r="Q100" s="305" t="s">
        <v>715</v>
      </c>
      <c r="R100" s="305" t="s">
        <v>716</v>
      </c>
      <c r="S100" s="305" t="s">
        <v>717</v>
      </c>
      <c r="T100" s="347">
        <v>0.23</v>
      </c>
      <c r="U100" s="265">
        <v>5</v>
      </c>
      <c r="V100" s="348">
        <v>12.29</v>
      </c>
      <c r="W100" s="348">
        <v>0.8</v>
      </c>
      <c r="X100" s="447"/>
      <c r="Y100" s="447"/>
    </row>
    <row r="101" spans="1:25" ht="15" customHeight="1">
      <c r="A101" s="104" t="str">
        <f>IF(K101&gt;0,COUNT($A$10:A100)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1" s="113"/>
      <c r="C101" s="114"/>
      <c r="D101" s="158" t="s">
        <v>718</v>
      </c>
      <c r="E101" s="106">
        <v>100021981</v>
      </c>
      <c r="F101" s="159" t="s">
        <v>719</v>
      </c>
      <c r="G101" s="106">
        <v>25</v>
      </c>
      <c r="H101" s="106">
        <v>1500</v>
      </c>
      <c r="I101" s="518">
        <f>_xlfn.XLOOKUP(E101,'All Products'!D:D,'All Products'!H:H)</f>
        <v>21.6</v>
      </c>
      <c r="J101" s="317">
        <f>ROUNDUP(I101*Order_Quote!$L$12,2)</f>
        <v>108</v>
      </c>
      <c r="K101" s="78"/>
      <c r="L101" s="292"/>
      <c r="M101" s="199">
        <f t="shared" si="4"/>
        <v>0</v>
      </c>
      <c r="O101" s="265" t="s">
        <v>76</v>
      </c>
      <c r="P101" s="265" t="s">
        <v>102</v>
      </c>
      <c r="Q101" s="305" t="s">
        <v>720</v>
      </c>
      <c r="R101" s="305" t="s">
        <v>721</v>
      </c>
      <c r="S101" s="305" t="s">
        <v>722</v>
      </c>
      <c r="T101" s="347">
        <v>0.375</v>
      </c>
      <c r="U101" s="265">
        <v>5</v>
      </c>
      <c r="V101" s="348">
        <v>9.4</v>
      </c>
      <c r="W101" s="348">
        <v>0.8</v>
      </c>
      <c r="X101" s="447"/>
      <c r="Y101" s="447"/>
    </row>
    <row r="102" spans="1:25" ht="15" customHeight="1">
      <c r="A102" s="104" t="str">
        <f>IF(K102&gt;0,COUNT($A$10:A101)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2" s="17"/>
      <c r="E102" s="20"/>
      <c r="F102" s="217"/>
      <c r="G102" s="20"/>
      <c r="H102" s="20"/>
      <c r="I102" s="514"/>
      <c r="J102" s="237"/>
      <c r="K102" s="443"/>
      <c r="L102" s="20"/>
      <c r="M102" s="181"/>
      <c r="O102" s="20"/>
      <c r="P102" s="20"/>
      <c r="Q102" s="20"/>
      <c r="R102" s="20"/>
      <c r="S102" s="20"/>
      <c r="T102" s="20"/>
      <c r="U102" s="20"/>
      <c r="V102" s="20"/>
      <c r="W102" s="20"/>
    </row>
    <row r="103" spans="1:25" ht="18.75">
      <c r="A103" s="104" t="str">
        <f>IF(K103&gt;0,COUNT($A$10:A102)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3" s="444" t="s">
        <v>723</v>
      </c>
      <c r="C103" s="44"/>
      <c r="D103" s="44"/>
      <c r="E103" s="44"/>
      <c r="F103" s="44"/>
      <c r="G103" s="44"/>
      <c r="H103" s="44"/>
      <c r="I103" s="515"/>
      <c r="J103" s="445"/>
      <c r="K103" s="246"/>
      <c r="L103" s="243"/>
      <c r="M103" s="157"/>
      <c r="O103" s="44"/>
      <c r="P103" s="44"/>
      <c r="Q103" s="44"/>
      <c r="R103" s="44"/>
      <c r="S103" s="44"/>
      <c r="T103" s="44"/>
      <c r="U103" s="44"/>
      <c r="V103" s="44"/>
      <c r="W103" s="44"/>
    </row>
    <row r="104" spans="1:25" ht="15" customHeight="1">
      <c r="A104" s="104" t="str">
        <f>IF(K104&gt;0,COUNT($A$10:A103)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4" s="319" t="s">
        <v>692</v>
      </c>
      <c r="C104" s="451"/>
      <c r="D104" s="452"/>
      <c r="E104" s="452"/>
      <c r="F104" s="452"/>
      <c r="G104" s="452"/>
      <c r="H104" s="452"/>
      <c r="I104" s="452"/>
      <c r="J104" s="453"/>
      <c r="K104" s="452"/>
      <c r="L104" s="452"/>
      <c r="M104" s="454"/>
      <c r="O104" s="452"/>
      <c r="P104" s="452"/>
      <c r="Q104" s="452"/>
      <c r="R104" s="452"/>
      <c r="S104" s="452"/>
      <c r="T104" s="452"/>
      <c r="U104" s="452"/>
      <c r="V104" s="452"/>
      <c r="W104" s="452"/>
    </row>
    <row r="105" spans="1:25" ht="15" customHeight="1">
      <c r="A105" s="104" t="str">
        <f>IF(K105&gt;0,COUNT($A$10:A104)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5" s="110"/>
      <c r="C105" s="111"/>
      <c r="D105" s="158" t="s">
        <v>724</v>
      </c>
      <c r="E105" s="106">
        <v>100021984</v>
      </c>
      <c r="F105" s="159" t="s">
        <v>725</v>
      </c>
      <c r="G105" s="106">
        <v>250</v>
      </c>
      <c r="H105" s="106">
        <v>15000</v>
      </c>
      <c r="I105" s="518">
        <f>_xlfn.XLOOKUP(E105,'All Products'!D:D,'All Products'!H:H)</f>
        <v>5.58</v>
      </c>
      <c r="J105" s="317">
        <f>ROUNDUP(I105*Order_Quote!$L$12,2)</f>
        <v>27.9</v>
      </c>
      <c r="K105" s="78"/>
      <c r="L105" s="116"/>
      <c r="M105" s="199">
        <f t="shared" ref="M105:M110" si="5">K105/G105</f>
        <v>0</v>
      </c>
      <c r="O105" s="265" t="s">
        <v>76</v>
      </c>
      <c r="P105" s="265" t="s">
        <v>102</v>
      </c>
      <c r="Q105" s="305" t="s">
        <v>726</v>
      </c>
      <c r="R105" s="305" t="s">
        <v>727</v>
      </c>
      <c r="S105" s="305" t="s">
        <v>728</v>
      </c>
      <c r="T105" s="347">
        <v>6.3E-2</v>
      </c>
      <c r="U105" s="265">
        <v>10</v>
      </c>
      <c r="V105" s="348">
        <v>17.440000000000001</v>
      </c>
      <c r="W105" s="348">
        <v>0.8</v>
      </c>
      <c r="X105" s="447"/>
      <c r="Y105" s="447"/>
    </row>
    <row r="106" spans="1:25" ht="15" customHeight="1">
      <c r="A106" s="104" t="str">
        <f>IF(K106&gt;0,COUNT($A$10:A105)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6" s="112"/>
      <c r="C106" s="79"/>
      <c r="D106" s="158" t="s">
        <v>729</v>
      </c>
      <c r="E106" s="106">
        <v>100021986</v>
      </c>
      <c r="F106" s="159" t="s">
        <v>730</v>
      </c>
      <c r="G106" s="106">
        <v>100</v>
      </c>
      <c r="H106" s="106">
        <v>9000</v>
      </c>
      <c r="I106" s="518">
        <f>_xlfn.XLOOKUP(E106,'All Products'!D:D,'All Products'!H:H)</f>
        <v>5.96</v>
      </c>
      <c r="J106" s="317">
        <f>ROUNDUP(I106*Order_Quote!$L$12,2)</f>
        <v>29.8</v>
      </c>
      <c r="K106" s="78"/>
      <c r="L106" s="116"/>
      <c r="M106" s="199">
        <f t="shared" si="5"/>
        <v>0</v>
      </c>
      <c r="O106" s="265" t="s">
        <v>76</v>
      </c>
      <c r="P106" s="265" t="s">
        <v>102</v>
      </c>
      <c r="Q106" s="305" t="s">
        <v>731</v>
      </c>
      <c r="R106" s="305" t="s">
        <v>732</v>
      </c>
      <c r="S106" s="305" t="s">
        <v>733</v>
      </c>
      <c r="T106" s="347">
        <v>7.0999999999999994E-2</v>
      </c>
      <c r="U106" s="265">
        <v>10</v>
      </c>
      <c r="V106" s="348">
        <v>7.91</v>
      </c>
      <c r="W106" s="348">
        <v>0.5</v>
      </c>
      <c r="X106" s="447"/>
      <c r="Y106" s="447"/>
    </row>
    <row r="107" spans="1:25" ht="15" customHeight="1">
      <c r="A107" s="104" t="str">
        <f>IF(K107&gt;0,COUNT($A$10:A106)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7" s="112"/>
      <c r="C107" s="79"/>
      <c r="D107" s="158" t="s">
        <v>734</v>
      </c>
      <c r="E107" s="106">
        <v>100021988</v>
      </c>
      <c r="F107" s="159" t="s">
        <v>735</v>
      </c>
      <c r="G107" s="106">
        <v>100</v>
      </c>
      <c r="H107" s="106">
        <v>9000</v>
      </c>
      <c r="I107" s="518">
        <f>_xlfn.XLOOKUP(E107,'All Products'!D:D,'All Products'!H:H)</f>
        <v>6.89</v>
      </c>
      <c r="J107" s="317">
        <f>ROUNDUP(I107*Order_Quote!$L$12,2)</f>
        <v>34.450000000000003</v>
      </c>
      <c r="K107" s="78"/>
      <c r="L107" s="116"/>
      <c r="M107" s="199">
        <f t="shared" si="5"/>
        <v>0</v>
      </c>
      <c r="O107" s="265" t="s">
        <v>76</v>
      </c>
      <c r="P107" s="265" t="s">
        <v>102</v>
      </c>
      <c r="Q107" s="305" t="s">
        <v>736</v>
      </c>
      <c r="R107" s="305" t="s">
        <v>737</v>
      </c>
      <c r="S107" s="305" t="s">
        <v>738</v>
      </c>
      <c r="T107" s="347">
        <v>8.5000000000000006E-2</v>
      </c>
      <c r="U107" s="265">
        <v>10</v>
      </c>
      <c r="V107" s="348">
        <v>9.36</v>
      </c>
      <c r="W107" s="348">
        <v>0.5</v>
      </c>
      <c r="X107" s="447"/>
      <c r="Y107" s="447"/>
    </row>
    <row r="108" spans="1:25" ht="15" customHeight="1">
      <c r="A108" s="104" t="str">
        <f>IF(K108&gt;0,COUNT($A$10:A107)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8" s="112"/>
      <c r="C108" s="79"/>
      <c r="D108" s="158" t="s">
        <v>739</v>
      </c>
      <c r="E108" s="106">
        <v>100021989</v>
      </c>
      <c r="F108" s="159" t="s">
        <v>740</v>
      </c>
      <c r="G108" s="106">
        <v>100</v>
      </c>
      <c r="H108" s="106">
        <v>7500</v>
      </c>
      <c r="I108" s="518">
        <f>_xlfn.XLOOKUP(E108,'All Products'!D:D,'All Products'!H:H)</f>
        <v>10.16</v>
      </c>
      <c r="J108" s="317">
        <f>ROUNDUP(I108*Order_Quote!$L$12,2)</f>
        <v>50.8</v>
      </c>
      <c r="K108" s="78"/>
      <c r="L108" s="116"/>
      <c r="M108" s="199">
        <f t="shared" si="5"/>
        <v>0</v>
      </c>
      <c r="O108" s="265" t="s">
        <v>76</v>
      </c>
      <c r="P108" s="265" t="s">
        <v>102</v>
      </c>
      <c r="Q108" s="305" t="s">
        <v>741</v>
      </c>
      <c r="R108" s="305" t="s">
        <v>742</v>
      </c>
      <c r="S108" s="305" t="s">
        <v>743</v>
      </c>
      <c r="T108" s="347">
        <v>0.112</v>
      </c>
      <c r="U108" s="265">
        <v>10</v>
      </c>
      <c r="V108" s="348">
        <v>10.98</v>
      </c>
      <c r="W108" s="348">
        <v>0.65</v>
      </c>
      <c r="X108" s="447"/>
      <c r="Y108" s="447"/>
    </row>
    <row r="109" spans="1:25" ht="15" customHeight="1">
      <c r="A109" s="104" t="str">
        <f>IF(K109&gt;0,COUNT($A$10:A108)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09" s="112"/>
      <c r="C109" s="79"/>
      <c r="D109" s="158" t="s">
        <v>744</v>
      </c>
      <c r="E109" s="106">
        <v>100021990</v>
      </c>
      <c r="F109" s="159" t="s">
        <v>745</v>
      </c>
      <c r="G109" s="106">
        <v>50</v>
      </c>
      <c r="H109" s="106">
        <v>4500</v>
      </c>
      <c r="I109" s="518">
        <f>_xlfn.XLOOKUP(E109,'All Products'!D:D,'All Products'!H:H)</f>
        <v>10.16</v>
      </c>
      <c r="J109" s="317">
        <f>ROUNDUP(I109*Order_Quote!$L$12,2)</f>
        <v>50.8</v>
      </c>
      <c r="K109" s="78"/>
      <c r="L109" s="116"/>
      <c r="M109" s="199">
        <f t="shared" si="5"/>
        <v>0</v>
      </c>
      <c r="O109" s="265" t="s">
        <v>359</v>
      </c>
      <c r="P109" s="265" t="s">
        <v>102</v>
      </c>
      <c r="Q109" s="305" t="s">
        <v>746</v>
      </c>
      <c r="R109" s="305" t="s">
        <v>747</v>
      </c>
      <c r="S109" s="305" t="s">
        <v>748</v>
      </c>
      <c r="T109" s="347">
        <v>0.127</v>
      </c>
      <c r="U109" s="265">
        <v>5</v>
      </c>
      <c r="V109" s="348">
        <v>7.23</v>
      </c>
      <c r="W109" s="348">
        <v>0.5</v>
      </c>
      <c r="X109" s="447"/>
      <c r="Y109" s="447"/>
    </row>
    <row r="110" spans="1:25" ht="15" customHeight="1">
      <c r="A110" s="104" t="str">
        <f>IF(K110&gt;0,COUNT($A$10:A109)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0" s="113"/>
      <c r="C110" s="114"/>
      <c r="D110" s="158" t="s">
        <v>749</v>
      </c>
      <c r="E110" s="106">
        <v>100021992</v>
      </c>
      <c r="F110" s="159" t="s">
        <v>750</v>
      </c>
      <c r="G110" s="106">
        <v>50</v>
      </c>
      <c r="H110" s="106">
        <v>4500</v>
      </c>
      <c r="I110" s="518">
        <f>_xlfn.XLOOKUP(E110,'All Products'!D:D,'All Products'!H:H)</f>
        <v>10.16</v>
      </c>
      <c r="J110" s="317">
        <f>ROUNDUP(I110*Order_Quote!$L$12,2)</f>
        <v>50.8</v>
      </c>
      <c r="K110" s="78"/>
      <c r="L110" s="116"/>
      <c r="M110" s="199">
        <f t="shared" si="5"/>
        <v>0</v>
      </c>
      <c r="O110" s="265" t="s">
        <v>359</v>
      </c>
      <c r="P110" s="265" t="s">
        <v>102</v>
      </c>
      <c r="Q110" s="305" t="s">
        <v>751</v>
      </c>
      <c r="R110" s="305" t="s">
        <v>752</v>
      </c>
      <c r="S110" s="305" t="s">
        <v>753</v>
      </c>
      <c r="T110" s="347">
        <v>0.151</v>
      </c>
      <c r="U110" s="265">
        <v>5</v>
      </c>
      <c r="V110" s="348">
        <v>8.42</v>
      </c>
      <c r="W110" s="348">
        <v>0.5</v>
      </c>
      <c r="X110" s="447"/>
      <c r="Y110" s="447"/>
    </row>
    <row r="111" spans="1:25" ht="15" customHeight="1">
      <c r="A111" s="104" t="str">
        <f>IF(K111&gt;0,COUNT($A$10:A110)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1" s="17"/>
      <c r="E111" s="20"/>
      <c r="F111" s="217"/>
      <c r="G111" s="20"/>
      <c r="H111" s="20"/>
      <c r="I111" s="514"/>
      <c r="J111" s="237"/>
      <c r="K111" s="443"/>
      <c r="L111" s="20"/>
      <c r="M111" s="181"/>
      <c r="O111" s="20"/>
      <c r="P111" s="20"/>
      <c r="Q111" s="20"/>
      <c r="R111" s="20"/>
      <c r="S111" s="20"/>
      <c r="T111" s="20"/>
      <c r="U111" s="20"/>
      <c r="V111" s="20"/>
      <c r="W111" s="20"/>
    </row>
    <row r="112" spans="1:25" ht="18.75">
      <c r="A112" s="104" t="str">
        <f>IF(K112&gt;0,COUNT($A$10:A111)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2" s="444" t="s">
        <v>691</v>
      </c>
      <c r="C112" s="44"/>
      <c r="D112" s="44"/>
      <c r="E112" s="44"/>
      <c r="F112" s="44"/>
      <c r="G112" s="44"/>
      <c r="H112" s="44"/>
      <c r="I112" s="515"/>
      <c r="J112" s="445"/>
      <c r="K112" s="246"/>
      <c r="L112" s="243"/>
      <c r="M112" s="157"/>
      <c r="O112" s="44"/>
      <c r="P112" s="44"/>
      <c r="Q112" s="44"/>
      <c r="R112" s="44"/>
      <c r="S112" s="44"/>
      <c r="T112" s="44"/>
      <c r="U112" s="44"/>
      <c r="V112" s="44"/>
      <c r="W112" s="44"/>
    </row>
    <row r="113" spans="1:25" ht="15" customHeight="1">
      <c r="A113" s="104" t="str">
        <f>IF(K113&gt;0,COUNT($A$10:A112)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3" s="319" t="s">
        <v>754</v>
      </c>
      <c r="C113" s="451"/>
      <c r="D113" s="451"/>
      <c r="E113" s="451"/>
      <c r="F113" s="451"/>
      <c r="G113" s="451"/>
      <c r="H113" s="451"/>
      <c r="I113" s="451"/>
      <c r="J113" s="464"/>
      <c r="K113" s="451"/>
      <c r="L113" s="451"/>
      <c r="M113" s="465"/>
      <c r="O113" s="451"/>
      <c r="P113" s="451"/>
      <c r="Q113" s="451"/>
      <c r="R113" s="451"/>
      <c r="S113" s="451"/>
      <c r="T113" s="451"/>
      <c r="U113" s="451"/>
      <c r="V113" s="451"/>
      <c r="W113" s="451"/>
    </row>
    <row r="114" spans="1:25" ht="15" customHeight="1">
      <c r="A114" s="104" t="str">
        <f>IF(K114&gt;0,COUNT($A$10:A113)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4" s="112"/>
      <c r="C114" s="79"/>
      <c r="D114" s="208" t="s">
        <v>755</v>
      </c>
      <c r="E114" s="171">
        <v>100022001</v>
      </c>
      <c r="F114" s="289" t="s">
        <v>756</v>
      </c>
      <c r="G114" s="171">
        <v>250</v>
      </c>
      <c r="H114" s="171">
        <v>22500</v>
      </c>
      <c r="I114" s="517">
        <f>_xlfn.XLOOKUP(E114,'All Products'!D:D,'All Products'!H:H)</f>
        <v>6.09</v>
      </c>
      <c r="J114" s="317">
        <f>ROUNDUP(I114*Order_Quote!$L$12,2)</f>
        <v>30.45</v>
      </c>
      <c r="K114" s="184"/>
      <c r="L114" s="116"/>
      <c r="M114" s="298">
        <f t="shared" ref="M114:M123" si="6">K114/G114</f>
        <v>0</v>
      </c>
      <c r="O114" s="305" t="s">
        <v>76</v>
      </c>
      <c r="P114" s="305" t="s">
        <v>102</v>
      </c>
      <c r="Q114" s="305" t="s">
        <v>757</v>
      </c>
      <c r="R114" s="305" t="s">
        <v>758</v>
      </c>
      <c r="S114" s="305" t="s">
        <v>759</v>
      </c>
      <c r="T114" s="347">
        <v>3.3000000000000002E-2</v>
      </c>
      <c r="U114" s="265">
        <v>10</v>
      </c>
      <c r="V114" s="348">
        <v>8.5</v>
      </c>
      <c r="W114" s="348">
        <v>0.5</v>
      </c>
      <c r="X114" s="447"/>
      <c r="Y114" s="447"/>
    </row>
    <row r="115" spans="1:25" ht="15" customHeight="1">
      <c r="A115" s="104" t="str">
        <f>IF(K115&gt;0,COUNT($A$10:A114)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5" s="112"/>
      <c r="C115" s="79"/>
      <c r="D115" s="158" t="s">
        <v>760</v>
      </c>
      <c r="E115" s="106">
        <v>100022003</v>
      </c>
      <c r="F115" s="159" t="s">
        <v>761</v>
      </c>
      <c r="G115" s="106">
        <v>250</v>
      </c>
      <c r="H115" s="106">
        <v>15000</v>
      </c>
      <c r="I115" s="518">
        <f>_xlfn.XLOOKUP(E115,'All Products'!D:D,'All Products'!H:H)</f>
        <v>8.44</v>
      </c>
      <c r="J115" s="317">
        <f>ROUNDUP(I115*Order_Quote!$L$12,2)</f>
        <v>42.2</v>
      </c>
      <c r="K115" s="78"/>
      <c r="L115" s="116"/>
      <c r="M115" s="199">
        <f t="shared" si="6"/>
        <v>0</v>
      </c>
      <c r="O115" s="265" t="s">
        <v>76</v>
      </c>
      <c r="P115" s="265" t="s">
        <v>102</v>
      </c>
      <c r="Q115" s="305" t="s">
        <v>762</v>
      </c>
      <c r="R115" s="305" t="s">
        <v>763</v>
      </c>
      <c r="S115" s="305" t="s">
        <v>764</v>
      </c>
      <c r="T115" s="347">
        <v>5.1999999999999998E-2</v>
      </c>
      <c r="U115" s="265">
        <v>10</v>
      </c>
      <c r="V115" s="348">
        <v>14.14</v>
      </c>
      <c r="W115" s="348">
        <v>0.8</v>
      </c>
      <c r="X115" s="447"/>
      <c r="Y115" s="447"/>
    </row>
    <row r="116" spans="1:25" ht="15" customHeight="1">
      <c r="A116" s="104" t="str">
        <f>IF(K116&gt;0,COUNT($A$10:A115)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6" s="112"/>
      <c r="C116" s="79"/>
      <c r="D116" s="158" t="s">
        <v>765</v>
      </c>
      <c r="E116" s="106">
        <v>100022005</v>
      </c>
      <c r="F116" s="159" t="s">
        <v>766</v>
      </c>
      <c r="G116" s="106">
        <v>100</v>
      </c>
      <c r="H116" s="106">
        <v>7500</v>
      </c>
      <c r="I116" s="518">
        <f>_xlfn.XLOOKUP(E116,'All Products'!D:D,'All Products'!H:H)</f>
        <v>11.03</v>
      </c>
      <c r="J116" s="317">
        <f>ROUNDUP(I116*Order_Quote!$L$12,2)</f>
        <v>55.15</v>
      </c>
      <c r="K116" s="78"/>
      <c r="L116" s="116"/>
      <c r="M116" s="199">
        <f t="shared" si="6"/>
        <v>0</v>
      </c>
      <c r="O116" s="265" t="s">
        <v>76</v>
      </c>
      <c r="P116" s="265" t="s">
        <v>102</v>
      </c>
      <c r="Q116" s="305" t="s">
        <v>767</v>
      </c>
      <c r="R116" s="305" t="s">
        <v>768</v>
      </c>
      <c r="S116" s="305" t="s">
        <v>769</v>
      </c>
      <c r="T116" s="347">
        <v>9.1999999999999998E-2</v>
      </c>
      <c r="U116" s="265">
        <v>10</v>
      </c>
      <c r="V116" s="348">
        <v>10.18</v>
      </c>
      <c r="W116" s="348">
        <v>0.65</v>
      </c>
      <c r="X116" s="447"/>
      <c r="Y116" s="447"/>
    </row>
    <row r="117" spans="1:25" ht="15" customHeight="1">
      <c r="A117" s="104" t="str">
        <f>IF(K117&gt;0,COUNT($A$10:A116)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7" s="112"/>
      <c r="C117" s="79"/>
      <c r="D117" s="158" t="s">
        <v>770</v>
      </c>
      <c r="E117" s="106">
        <v>100022006</v>
      </c>
      <c r="F117" s="159" t="s">
        <v>771</v>
      </c>
      <c r="G117" s="106">
        <v>50</v>
      </c>
      <c r="H117" s="106">
        <v>4500</v>
      </c>
      <c r="I117" s="518">
        <f>_xlfn.XLOOKUP(E117,'All Products'!D:D,'All Products'!H:H)</f>
        <v>14.65</v>
      </c>
      <c r="J117" s="317">
        <f>ROUNDUP(I117*Order_Quote!$L$12,2)</f>
        <v>73.25</v>
      </c>
      <c r="K117" s="78"/>
      <c r="L117" s="116"/>
      <c r="M117" s="199">
        <f t="shared" si="6"/>
        <v>0</v>
      </c>
      <c r="O117" s="265" t="s">
        <v>359</v>
      </c>
      <c r="P117" s="265" t="s">
        <v>102</v>
      </c>
      <c r="Q117" s="305" t="s">
        <v>772</v>
      </c>
      <c r="R117" s="305" t="s">
        <v>773</v>
      </c>
      <c r="S117" s="305" t="s">
        <v>774</v>
      </c>
      <c r="T117" s="347">
        <v>0.14000000000000001</v>
      </c>
      <c r="U117" s="265">
        <v>5</v>
      </c>
      <c r="V117" s="348">
        <v>7.95</v>
      </c>
      <c r="W117" s="348">
        <v>0.5</v>
      </c>
      <c r="X117" s="447"/>
      <c r="Y117" s="447"/>
    </row>
    <row r="118" spans="1:25" ht="15" customHeight="1">
      <c r="A118" s="104" t="str">
        <f>IF(K118&gt;0,COUNT($A$10:A117)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8" s="112"/>
      <c r="C118" s="79"/>
      <c r="D118" s="158" t="s">
        <v>775</v>
      </c>
      <c r="E118" s="106">
        <v>100022007</v>
      </c>
      <c r="F118" s="159" t="s">
        <v>776</v>
      </c>
      <c r="G118" s="106">
        <v>50</v>
      </c>
      <c r="H118" s="106">
        <v>3750</v>
      </c>
      <c r="I118" s="518">
        <f>_xlfn.XLOOKUP(E118,'All Products'!D:D,'All Products'!H:H)</f>
        <v>19.48</v>
      </c>
      <c r="J118" s="317">
        <f>ROUNDUP(I118*Order_Quote!$L$12,2)</f>
        <v>97.4</v>
      </c>
      <c r="K118" s="78"/>
      <c r="L118" s="116"/>
      <c r="M118" s="199">
        <f t="shared" si="6"/>
        <v>0</v>
      </c>
      <c r="O118" s="265" t="s">
        <v>76</v>
      </c>
      <c r="P118" s="265" t="s">
        <v>102</v>
      </c>
      <c r="Q118" s="305" t="s">
        <v>777</v>
      </c>
      <c r="R118" s="305" t="s">
        <v>778</v>
      </c>
      <c r="S118" s="305" t="s">
        <v>779</v>
      </c>
      <c r="T118" s="347">
        <v>0.17699999999999999</v>
      </c>
      <c r="U118" s="265">
        <v>5</v>
      </c>
      <c r="V118" s="348">
        <v>9.77</v>
      </c>
      <c r="W118" s="348">
        <v>0.65</v>
      </c>
      <c r="X118" s="447"/>
      <c r="Y118" s="447"/>
    </row>
    <row r="119" spans="1:25" ht="15" customHeight="1">
      <c r="A119" s="104" t="str">
        <f>IF(K119&gt;0,COUNT($A$10:A118)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19" s="112"/>
      <c r="C119" s="79"/>
      <c r="D119" s="158" t="s">
        <v>780</v>
      </c>
      <c r="E119" s="106">
        <v>100022008</v>
      </c>
      <c r="F119" s="159" t="s">
        <v>781</v>
      </c>
      <c r="G119" s="106">
        <v>25</v>
      </c>
      <c r="H119" s="106">
        <v>1875</v>
      </c>
      <c r="I119" s="518">
        <f>_xlfn.XLOOKUP(E119,'All Products'!D:D,'All Products'!H:H)</f>
        <v>30.73</v>
      </c>
      <c r="J119" s="317">
        <f>ROUNDUP(I119*Order_Quote!$L$12,2)</f>
        <v>153.65</v>
      </c>
      <c r="K119" s="78"/>
      <c r="L119" s="116"/>
      <c r="M119" s="199">
        <f t="shared" si="6"/>
        <v>0</v>
      </c>
      <c r="O119" s="265" t="s">
        <v>76</v>
      </c>
      <c r="P119" s="265" t="s">
        <v>102</v>
      </c>
      <c r="Q119" s="305" t="s">
        <v>782</v>
      </c>
      <c r="R119" s="305" t="s">
        <v>783</v>
      </c>
      <c r="S119" s="305" t="s">
        <v>784</v>
      </c>
      <c r="T119" s="347">
        <v>0.27600000000000002</v>
      </c>
      <c r="U119" s="265">
        <v>5</v>
      </c>
      <c r="V119" s="348">
        <v>7.46</v>
      </c>
      <c r="W119" s="348">
        <v>0.65</v>
      </c>
      <c r="X119" s="447"/>
      <c r="Y119" s="447"/>
    </row>
    <row r="120" spans="1:25" ht="15" customHeight="1">
      <c r="A120" s="104" t="str">
        <f>IF(K120&gt;0,COUNT($A$10:A119)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0" s="112"/>
      <c r="C120" s="79"/>
      <c r="D120" s="158" t="s">
        <v>785</v>
      </c>
      <c r="E120" s="106">
        <v>100022012</v>
      </c>
      <c r="F120" s="159" t="s">
        <v>786</v>
      </c>
      <c r="G120" s="106">
        <v>250</v>
      </c>
      <c r="H120" s="106">
        <v>18750</v>
      </c>
      <c r="I120" s="518">
        <f>_xlfn.XLOOKUP(E120,'All Products'!D:D,'All Products'!H:H)</f>
        <v>12.56</v>
      </c>
      <c r="J120" s="317">
        <f>ROUNDUP(I120*Order_Quote!$L$12,2)</f>
        <v>62.8</v>
      </c>
      <c r="K120" s="78"/>
      <c r="L120" s="116"/>
      <c r="M120" s="199">
        <f t="shared" si="6"/>
        <v>0</v>
      </c>
      <c r="O120" s="265" t="s">
        <v>76</v>
      </c>
      <c r="P120" s="265" t="s">
        <v>102</v>
      </c>
      <c r="Q120" s="305" t="s">
        <v>787</v>
      </c>
      <c r="R120" s="305" t="s">
        <v>788</v>
      </c>
      <c r="S120" s="305" t="s">
        <v>789</v>
      </c>
      <c r="T120" s="347">
        <v>0.04</v>
      </c>
      <c r="U120" s="265">
        <v>10</v>
      </c>
      <c r="V120" s="348">
        <v>10.25</v>
      </c>
      <c r="W120" s="348">
        <v>0.65</v>
      </c>
      <c r="X120" s="447"/>
      <c r="Y120" s="447"/>
    </row>
    <row r="121" spans="1:25" ht="15" customHeight="1">
      <c r="A121" s="104" t="str">
        <f>IF(K121&gt;0,COUNT($A$10:A120)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1" s="112"/>
      <c r="C121" s="79"/>
      <c r="D121" s="158" t="s">
        <v>790</v>
      </c>
      <c r="E121" s="106">
        <v>100022014</v>
      </c>
      <c r="F121" s="159" t="s">
        <v>791</v>
      </c>
      <c r="G121" s="106">
        <v>250</v>
      </c>
      <c r="H121" s="106">
        <v>15000</v>
      </c>
      <c r="I121" s="518">
        <f>_xlfn.XLOOKUP(E121,'All Products'!D:D,'All Products'!H:H)</f>
        <v>10.54</v>
      </c>
      <c r="J121" s="317">
        <f>ROUNDUP(I121*Order_Quote!$L$12,2)</f>
        <v>52.7</v>
      </c>
      <c r="K121" s="78"/>
      <c r="L121" s="116"/>
      <c r="M121" s="199">
        <f t="shared" si="6"/>
        <v>0</v>
      </c>
      <c r="O121" s="265" t="s">
        <v>76</v>
      </c>
      <c r="P121" s="265" t="s">
        <v>102</v>
      </c>
      <c r="Q121" s="305" t="s">
        <v>792</v>
      </c>
      <c r="R121" s="305" t="s">
        <v>793</v>
      </c>
      <c r="S121" s="305" t="s">
        <v>794</v>
      </c>
      <c r="T121" s="347">
        <v>5.8000000000000003E-2</v>
      </c>
      <c r="U121" s="265">
        <v>10</v>
      </c>
      <c r="V121" s="348">
        <v>16.2</v>
      </c>
      <c r="W121" s="348">
        <v>0.8</v>
      </c>
      <c r="X121" s="447"/>
      <c r="Y121" s="447"/>
    </row>
    <row r="122" spans="1:25" ht="15" customHeight="1">
      <c r="A122" s="104" t="str">
        <f>IF(K122&gt;0,COUNT($A$10:A121)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2" s="112"/>
      <c r="C122" s="79"/>
      <c r="D122" s="158" t="s">
        <v>795</v>
      </c>
      <c r="E122" s="106">
        <v>100022016</v>
      </c>
      <c r="F122" s="159" t="s">
        <v>796</v>
      </c>
      <c r="G122" s="106">
        <v>100</v>
      </c>
      <c r="H122" s="106">
        <v>9000</v>
      </c>
      <c r="I122" s="518">
        <f>_xlfn.XLOOKUP(E122,'All Products'!D:D,'All Products'!H:H)</f>
        <v>11.94</v>
      </c>
      <c r="J122" s="317">
        <f>ROUNDUP(I122*Order_Quote!$L$12,2)</f>
        <v>59.7</v>
      </c>
      <c r="K122" s="78"/>
      <c r="L122" s="116"/>
      <c r="M122" s="199">
        <f t="shared" si="6"/>
        <v>0</v>
      </c>
      <c r="O122" s="265" t="s">
        <v>359</v>
      </c>
      <c r="P122" s="265" t="s">
        <v>102</v>
      </c>
      <c r="Q122" s="305" t="s">
        <v>797</v>
      </c>
      <c r="R122" s="305" t="s">
        <v>798</v>
      </c>
      <c r="S122" s="305" t="s">
        <v>799</v>
      </c>
      <c r="T122" s="347">
        <v>7.5999999999999998E-2</v>
      </c>
      <c r="U122" s="265">
        <v>10</v>
      </c>
      <c r="V122" s="348">
        <v>7.62</v>
      </c>
      <c r="W122" s="348">
        <v>0.5</v>
      </c>
      <c r="X122" s="447"/>
      <c r="Y122" s="447"/>
    </row>
    <row r="123" spans="1:25" ht="15" customHeight="1">
      <c r="A123" s="104" t="str">
        <f>IF(K123&gt;0,COUNT($A$10:A122)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3" s="113"/>
      <c r="C123" s="114"/>
      <c r="D123" s="158" t="s">
        <v>800</v>
      </c>
      <c r="E123" s="106">
        <v>100022018</v>
      </c>
      <c r="F123" s="159" t="s">
        <v>801</v>
      </c>
      <c r="G123" s="106">
        <v>100</v>
      </c>
      <c r="H123" s="106">
        <v>9000</v>
      </c>
      <c r="I123" s="518">
        <f>_xlfn.XLOOKUP(E123,'All Products'!D:D,'All Products'!H:H)</f>
        <v>12.82</v>
      </c>
      <c r="J123" s="317">
        <f>ROUNDUP(I123*Order_Quote!$L$12,2)</f>
        <v>64.099999999999994</v>
      </c>
      <c r="K123" s="78"/>
      <c r="L123" s="292"/>
      <c r="M123" s="199">
        <f t="shared" si="6"/>
        <v>0</v>
      </c>
      <c r="O123" s="265" t="s">
        <v>76</v>
      </c>
      <c r="P123" s="265" t="s">
        <v>102</v>
      </c>
      <c r="Q123" s="305" t="s">
        <v>802</v>
      </c>
      <c r="R123" s="305" t="s">
        <v>803</v>
      </c>
      <c r="S123" s="305" t="s">
        <v>804</v>
      </c>
      <c r="T123" s="347">
        <v>8.5000000000000006E-2</v>
      </c>
      <c r="U123" s="265">
        <v>10</v>
      </c>
      <c r="V123" s="348">
        <v>9.4700000000000006</v>
      </c>
      <c r="W123" s="348">
        <v>0.5</v>
      </c>
      <c r="X123" s="447"/>
      <c r="Y123" s="447"/>
    </row>
    <row r="124" spans="1:25" ht="15" customHeight="1">
      <c r="A124" s="104" t="str">
        <f>IF(K124&gt;0,COUNT($A$10:A123)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4" s="17"/>
      <c r="E124" s="20"/>
      <c r="F124" s="217"/>
      <c r="G124" s="20"/>
      <c r="H124" s="20"/>
      <c r="I124" s="514"/>
      <c r="J124" s="237"/>
      <c r="K124" s="443"/>
      <c r="L124" s="20"/>
      <c r="M124" s="181"/>
      <c r="O124" s="20"/>
      <c r="P124" s="20"/>
      <c r="Q124" s="20"/>
      <c r="R124" s="20"/>
      <c r="S124" s="20"/>
      <c r="T124" s="20"/>
      <c r="U124" s="20"/>
      <c r="V124" s="20"/>
      <c r="W124" s="20"/>
    </row>
    <row r="125" spans="1:25" ht="18.75">
      <c r="A125" s="104" t="str">
        <f>IF(K125&gt;0,COUNT($A$10:A124)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5" s="444" t="s">
        <v>805</v>
      </c>
      <c r="C125" s="44"/>
      <c r="D125" s="44"/>
      <c r="E125" s="44"/>
      <c r="F125" s="44"/>
      <c r="G125" s="44"/>
      <c r="H125" s="44"/>
      <c r="I125" s="515"/>
      <c r="J125" s="445"/>
      <c r="K125" s="246"/>
      <c r="L125" s="243"/>
      <c r="M125" s="157"/>
      <c r="O125" s="44"/>
      <c r="P125" s="44"/>
      <c r="Q125" s="44"/>
      <c r="R125" s="44"/>
      <c r="S125" s="44"/>
      <c r="T125" s="44"/>
      <c r="U125" s="44"/>
      <c r="V125" s="44"/>
      <c r="W125" s="44"/>
    </row>
    <row r="126" spans="1:25" ht="15" customHeight="1">
      <c r="A126" s="104" t="str">
        <f>IF(K126&gt;0,COUNT($A$10:A125)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6" s="308" t="s">
        <v>525</v>
      </c>
      <c r="C126" s="465"/>
      <c r="D126" s="452"/>
      <c r="E126" s="452"/>
      <c r="F126" s="452"/>
      <c r="G126" s="452"/>
      <c r="H126" s="452"/>
      <c r="I126" s="452"/>
      <c r="J126" s="453"/>
      <c r="K126" s="452"/>
      <c r="L126" s="452"/>
      <c r="M126" s="454"/>
      <c r="O126" s="452"/>
      <c r="P126" s="452"/>
      <c r="Q126" s="452"/>
      <c r="R126" s="452"/>
      <c r="S126" s="452"/>
      <c r="T126" s="452"/>
      <c r="U126" s="452"/>
      <c r="V126" s="452"/>
      <c r="W126" s="452"/>
    </row>
    <row r="127" spans="1:25" ht="15" customHeight="1">
      <c r="A127" s="104" t="str">
        <f>IF(K127&gt;0,COUNT($A$10:A126)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7" s="112"/>
      <c r="C127" s="79"/>
      <c r="D127" s="208" t="s">
        <v>806</v>
      </c>
      <c r="E127" s="171">
        <v>100026313</v>
      </c>
      <c r="F127" s="466" t="s">
        <v>807</v>
      </c>
      <c r="G127" s="171">
        <v>50</v>
      </c>
      <c r="H127" s="171">
        <v>4500</v>
      </c>
      <c r="I127" s="517">
        <f>_xlfn.XLOOKUP(E127,'All Products'!D:D,'All Products'!H:H)</f>
        <v>13.92</v>
      </c>
      <c r="J127" s="317">
        <f>ROUNDUP(I127*Order_Quote!$L$12,2)</f>
        <v>69.599999999999994</v>
      </c>
      <c r="K127" s="467"/>
      <c r="L127" s="116"/>
      <c r="M127" s="298">
        <f>K127/G127</f>
        <v>0</v>
      </c>
      <c r="O127" s="305" t="s">
        <v>359</v>
      </c>
      <c r="P127" s="305" t="s">
        <v>102</v>
      </c>
      <c r="Q127" s="305" t="s">
        <v>808</v>
      </c>
      <c r="R127" s="305" t="s">
        <v>809</v>
      </c>
      <c r="S127" s="305" t="s">
        <v>810</v>
      </c>
      <c r="T127" s="347">
        <v>0.1</v>
      </c>
      <c r="U127" s="265">
        <v>5</v>
      </c>
      <c r="V127" s="348">
        <v>5.86</v>
      </c>
      <c r="W127" s="348">
        <v>0.5</v>
      </c>
      <c r="X127" s="447"/>
      <c r="Y127" s="447"/>
    </row>
    <row r="128" spans="1:25" ht="15" customHeight="1">
      <c r="A128" s="104" t="str">
        <f>IF(K128&gt;0,COUNT($A$10:A127)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8" s="112"/>
      <c r="C128" s="79"/>
      <c r="D128" s="158" t="s">
        <v>811</v>
      </c>
      <c r="E128" s="106">
        <v>100026314</v>
      </c>
      <c r="F128" s="428" t="s">
        <v>812</v>
      </c>
      <c r="G128" s="106">
        <v>50</v>
      </c>
      <c r="H128" s="106">
        <v>4500</v>
      </c>
      <c r="I128" s="518">
        <f>_xlfn.XLOOKUP(E128,'All Products'!D:D,'All Products'!H:H)</f>
        <v>13.92</v>
      </c>
      <c r="J128" s="317">
        <f>ROUNDUP(I128*Order_Quote!$L$12,2)</f>
        <v>69.599999999999994</v>
      </c>
      <c r="K128" s="468"/>
      <c r="L128" s="116"/>
      <c r="M128" s="199">
        <f>K128/G128</f>
        <v>0</v>
      </c>
      <c r="O128" s="265" t="s">
        <v>76</v>
      </c>
      <c r="P128" s="265" t="s">
        <v>102</v>
      </c>
      <c r="Q128" s="305" t="s">
        <v>813</v>
      </c>
      <c r="R128" s="305" t="s">
        <v>814</v>
      </c>
      <c r="S128" s="305" t="s">
        <v>815</v>
      </c>
      <c r="T128" s="347">
        <v>0.104</v>
      </c>
      <c r="U128" s="265">
        <v>5</v>
      </c>
      <c r="V128" s="348">
        <v>5.23</v>
      </c>
      <c r="W128" s="348">
        <v>0.5</v>
      </c>
      <c r="X128" s="447"/>
      <c r="Y128" s="447"/>
    </row>
    <row r="129" spans="1:25" ht="15" customHeight="1">
      <c r="A129" s="104" t="str">
        <f>IF(K129&gt;0,COUNT($A$10:A128)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29" s="112"/>
      <c r="C129" s="79"/>
      <c r="D129" s="158" t="s">
        <v>816</v>
      </c>
      <c r="E129" s="106">
        <v>100026315</v>
      </c>
      <c r="F129" s="428" t="s">
        <v>817</v>
      </c>
      <c r="G129" s="106">
        <v>50</v>
      </c>
      <c r="H129" s="106">
        <v>4500</v>
      </c>
      <c r="I129" s="518">
        <f>_xlfn.XLOOKUP(E129,'All Products'!D:D,'All Products'!H:H)</f>
        <v>14.98</v>
      </c>
      <c r="J129" s="317">
        <f>ROUNDUP(I129*Order_Quote!$L$12,2)</f>
        <v>74.900000000000006</v>
      </c>
      <c r="K129" s="468"/>
      <c r="L129" s="116"/>
      <c r="M129" s="199">
        <f>K129/G129</f>
        <v>0</v>
      </c>
      <c r="O129" s="265" t="s">
        <v>359</v>
      </c>
      <c r="P129" s="265" t="s">
        <v>102</v>
      </c>
      <c r="Q129" s="305" t="s">
        <v>818</v>
      </c>
      <c r="R129" s="305" t="s">
        <v>819</v>
      </c>
      <c r="S129" s="305" t="s">
        <v>820</v>
      </c>
      <c r="T129" s="347">
        <v>0.13200000000000001</v>
      </c>
      <c r="U129" s="265">
        <v>5</v>
      </c>
      <c r="V129" s="348">
        <v>6.64</v>
      </c>
      <c r="W129" s="348">
        <v>0.5</v>
      </c>
      <c r="X129" s="447"/>
      <c r="Y129" s="447"/>
    </row>
    <row r="130" spans="1:25" ht="15" customHeight="1">
      <c r="A130" s="104" t="str">
        <f>IF(K130&gt;0,COUNT($A$10:A129)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0" s="113"/>
      <c r="C130" s="114"/>
      <c r="D130" s="158" t="s">
        <v>821</v>
      </c>
      <c r="E130" s="106">
        <v>100026316</v>
      </c>
      <c r="F130" s="428" t="s">
        <v>822</v>
      </c>
      <c r="G130" s="106">
        <v>50</v>
      </c>
      <c r="H130" s="106">
        <v>4500</v>
      </c>
      <c r="I130" s="518">
        <v>13.156000000000001</v>
      </c>
      <c r="J130" s="317">
        <f>ROUNDUP(I130*Order_Quote!$L$12,2)</f>
        <v>65.78</v>
      </c>
      <c r="K130" s="468"/>
      <c r="L130" s="292"/>
      <c r="M130" s="199">
        <f>K130/G130</f>
        <v>0</v>
      </c>
      <c r="O130" s="265" t="s">
        <v>359</v>
      </c>
      <c r="P130" s="265" t="s">
        <v>102</v>
      </c>
      <c r="Q130" s="305" t="s">
        <v>823</v>
      </c>
      <c r="R130" s="305" t="s">
        <v>824</v>
      </c>
      <c r="S130" s="305" t="s">
        <v>825</v>
      </c>
      <c r="T130" s="347">
        <v>0.13</v>
      </c>
      <c r="U130" s="265">
        <v>5</v>
      </c>
      <c r="V130" s="348">
        <v>7.84</v>
      </c>
      <c r="W130" s="348">
        <v>0.5</v>
      </c>
      <c r="X130" s="447"/>
      <c r="Y130" s="447"/>
    </row>
    <row r="131" spans="1:25" ht="15" customHeight="1">
      <c r="A131" s="104" t="str">
        <f>IF(K131&gt;0,COUNT($A$10:A130)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1" s="17"/>
      <c r="E131" s="20"/>
      <c r="F131" s="217"/>
      <c r="G131" s="20"/>
      <c r="H131" s="20"/>
      <c r="I131" s="514"/>
      <c r="J131" s="237"/>
      <c r="K131" s="443"/>
      <c r="L131" s="20"/>
      <c r="M131" s="181"/>
      <c r="O131" s="20"/>
      <c r="P131" s="20"/>
      <c r="Q131" s="20"/>
      <c r="R131" s="20"/>
      <c r="S131" s="20"/>
      <c r="T131" s="20"/>
      <c r="U131" s="20"/>
      <c r="V131" s="20"/>
      <c r="W131" s="20"/>
    </row>
    <row r="132" spans="1:25" ht="18.75">
      <c r="A132" s="104" t="str">
        <f>IF(K132&gt;0,COUNT($A$10:A131)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2" s="444" t="s">
        <v>826</v>
      </c>
      <c r="C132" s="44"/>
      <c r="D132" s="44"/>
      <c r="E132" s="44"/>
      <c r="F132" s="44"/>
      <c r="G132" s="44"/>
      <c r="H132" s="44"/>
      <c r="I132" s="515"/>
      <c r="J132" s="445"/>
      <c r="K132" s="246"/>
      <c r="L132" s="243"/>
      <c r="M132" s="157"/>
      <c r="O132" s="44"/>
      <c r="P132" s="44"/>
      <c r="Q132" s="44"/>
      <c r="R132" s="44"/>
      <c r="S132" s="44"/>
      <c r="T132" s="44"/>
      <c r="U132" s="44"/>
      <c r="V132" s="44"/>
      <c r="W132" s="44"/>
    </row>
    <row r="133" spans="1:25" ht="15" customHeight="1">
      <c r="A133" s="104" t="str">
        <f>IF(K133&gt;0,COUNT($A$10:A132)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3" s="462" t="s">
        <v>827</v>
      </c>
      <c r="C133" s="465"/>
      <c r="D133" s="452"/>
      <c r="E133" s="452"/>
      <c r="F133" s="452"/>
      <c r="G133" s="452"/>
      <c r="H133" s="452"/>
      <c r="I133" s="452"/>
      <c r="J133" s="453"/>
      <c r="K133" s="452"/>
      <c r="L133" s="452"/>
      <c r="M133" s="454"/>
      <c r="O133" s="452"/>
      <c r="P133" s="452"/>
      <c r="Q133" s="452"/>
      <c r="R133" s="452"/>
      <c r="S133" s="452"/>
      <c r="T133" s="452"/>
      <c r="U133" s="452"/>
      <c r="V133" s="452"/>
      <c r="W133" s="452"/>
    </row>
    <row r="134" spans="1:25" ht="15" customHeight="1">
      <c r="A134" s="104" t="str">
        <f>IF(K134&gt;0,COUNT($A$10:A133)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4" s="448"/>
      <c r="D134" s="158" t="s">
        <v>828</v>
      </c>
      <c r="E134" s="106">
        <v>100026318</v>
      </c>
      <c r="F134" s="159" t="s">
        <v>829</v>
      </c>
      <c r="G134" s="106">
        <v>50</v>
      </c>
      <c r="H134" s="106">
        <v>4500</v>
      </c>
      <c r="I134" s="518">
        <f>_xlfn.XLOOKUP(E134,'All Products'!D:D,'All Products'!H:H)</f>
        <v>17.97</v>
      </c>
      <c r="J134" s="317">
        <f>ROUNDUP(I134*Order_Quote!$L$12,2)</f>
        <v>89.85</v>
      </c>
      <c r="K134" s="78"/>
      <c r="L134" s="196"/>
      <c r="M134" s="199">
        <f>K134/G134</f>
        <v>0</v>
      </c>
      <c r="O134" s="265" t="s">
        <v>76</v>
      </c>
      <c r="P134" s="265" t="s">
        <v>102</v>
      </c>
      <c r="Q134" s="305" t="s">
        <v>830</v>
      </c>
      <c r="R134" s="305" t="s">
        <v>831</v>
      </c>
      <c r="S134" s="305" t="s">
        <v>832</v>
      </c>
      <c r="T134" s="347">
        <v>0.124</v>
      </c>
      <c r="U134" s="265">
        <v>5</v>
      </c>
      <c r="V134" s="348">
        <v>6.22</v>
      </c>
      <c r="W134" s="348">
        <v>0.5</v>
      </c>
      <c r="X134" s="447"/>
      <c r="Y134" s="447"/>
    </row>
    <row r="135" spans="1:25" ht="15" customHeight="1">
      <c r="A135" s="104" t="str">
        <f>IF(K135&gt;0,COUNT($A$10:A134)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5" s="448"/>
      <c r="D135" s="158" t="s">
        <v>833</v>
      </c>
      <c r="E135" s="106">
        <v>100026319</v>
      </c>
      <c r="F135" s="159" t="s">
        <v>834</v>
      </c>
      <c r="G135" s="106">
        <v>50</v>
      </c>
      <c r="H135" s="106">
        <v>3750</v>
      </c>
      <c r="I135" s="518">
        <f>_xlfn.XLOOKUP(E135,'All Products'!D:D,'All Products'!H:H)</f>
        <v>19.12</v>
      </c>
      <c r="J135" s="317">
        <f>ROUNDUP(I135*Order_Quote!$L$12,2)</f>
        <v>95.6</v>
      </c>
      <c r="K135" s="78"/>
      <c r="L135" s="196"/>
      <c r="M135" s="199">
        <f>K135/G135</f>
        <v>0</v>
      </c>
      <c r="O135" s="265" t="s">
        <v>76</v>
      </c>
      <c r="P135" s="265" t="s">
        <v>102</v>
      </c>
      <c r="Q135" s="305" t="s">
        <v>835</v>
      </c>
      <c r="R135" s="305" t="s">
        <v>836</v>
      </c>
      <c r="S135" s="305" t="s">
        <v>837</v>
      </c>
      <c r="T135" s="347">
        <v>0.16600000000000001</v>
      </c>
      <c r="U135" s="265">
        <v>5</v>
      </c>
      <c r="V135" s="348">
        <v>8.34</v>
      </c>
      <c r="W135" s="348">
        <v>0.65</v>
      </c>
      <c r="X135" s="447"/>
      <c r="Y135" s="447"/>
    </row>
    <row r="136" spans="1:25" ht="15" customHeight="1">
      <c r="A136" s="104" t="str">
        <f>IF(K136&gt;0,COUNT($A$10:A135)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6" s="113"/>
      <c r="C136" s="114"/>
      <c r="D136" s="208" t="s">
        <v>838</v>
      </c>
      <c r="E136" s="171">
        <v>100026320</v>
      </c>
      <c r="F136" s="289" t="s">
        <v>839</v>
      </c>
      <c r="G136" s="171">
        <v>50</v>
      </c>
      <c r="H136" s="171">
        <v>3750</v>
      </c>
      <c r="I136" s="517">
        <f>_xlfn.XLOOKUP(E136,'All Products'!D:D,'All Products'!H:H)</f>
        <v>19.12</v>
      </c>
      <c r="J136" s="317">
        <f>ROUNDUP(I136*Order_Quote!$L$12,2)</f>
        <v>95.6</v>
      </c>
      <c r="K136" s="184"/>
      <c r="L136" s="292"/>
      <c r="M136" s="298">
        <f>K136/G136</f>
        <v>0</v>
      </c>
      <c r="O136" s="265" t="s">
        <v>76</v>
      </c>
      <c r="P136" s="265" t="s">
        <v>102</v>
      </c>
      <c r="Q136" s="305" t="s">
        <v>840</v>
      </c>
      <c r="R136" s="305" t="s">
        <v>841</v>
      </c>
      <c r="S136" s="305" t="s">
        <v>842</v>
      </c>
      <c r="T136" s="347">
        <v>0.17299999999999999</v>
      </c>
      <c r="U136" s="265">
        <v>5</v>
      </c>
      <c r="V136" s="348">
        <v>8.69</v>
      </c>
      <c r="W136" s="348">
        <v>0.65</v>
      </c>
      <c r="X136" s="447"/>
      <c r="Y136" s="447"/>
    </row>
    <row r="137" spans="1:25" ht="15" customHeight="1">
      <c r="A137" s="104" t="str">
        <f>IF(K137&gt;0,COUNT($A$10:A136)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7" s="17"/>
      <c r="E137" s="20"/>
      <c r="F137" s="217"/>
      <c r="G137" s="20"/>
      <c r="H137" s="20"/>
      <c r="I137" s="514"/>
      <c r="J137" s="237"/>
      <c r="K137" s="443"/>
      <c r="L137" s="20"/>
      <c r="M137" s="181"/>
      <c r="O137" s="20"/>
      <c r="P137" s="20"/>
      <c r="Q137" s="20"/>
      <c r="R137" s="20"/>
      <c r="S137" s="20"/>
      <c r="T137" s="20"/>
      <c r="U137" s="20"/>
      <c r="V137" s="20"/>
      <c r="W137" s="20"/>
    </row>
    <row r="138" spans="1:25" ht="18.75">
      <c r="A138" s="104" t="str">
        <f>IF(K138&gt;0,COUNT($A$10:A137)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8" s="444" t="s">
        <v>843</v>
      </c>
      <c r="C138" s="44"/>
      <c r="D138" s="44"/>
      <c r="E138" s="44"/>
      <c r="F138" s="44"/>
      <c r="G138" s="44"/>
      <c r="H138" s="44"/>
      <c r="I138" s="515"/>
      <c r="J138" s="445"/>
      <c r="K138" s="246"/>
      <c r="L138" s="243"/>
      <c r="M138" s="157"/>
      <c r="O138" s="44"/>
      <c r="P138" s="44"/>
      <c r="Q138" s="44"/>
      <c r="R138" s="44"/>
      <c r="S138" s="44"/>
      <c r="T138" s="44"/>
      <c r="U138" s="44"/>
      <c r="V138" s="44"/>
      <c r="W138" s="44"/>
    </row>
    <row r="139" spans="1:25" ht="15" customHeight="1">
      <c r="A139" s="104" t="str">
        <f>IF(K139&gt;0,COUNT($A$10:A138)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39" s="319" t="s">
        <v>844</v>
      </c>
      <c r="C139" s="451"/>
      <c r="D139" s="457"/>
      <c r="E139" s="314"/>
      <c r="F139" s="458"/>
      <c r="G139" s="314"/>
      <c r="H139" s="314"/>
      <c r="I139" s="519"/>
      <c r="J139" s="320"/>
      <c r="K139" s="459"/>
      <c r="L139" s="314"/>
      <c r="M139" s="315"/>
      <c r="O139" s="469"/>
      <c r="P139" s="469"/>
      <c r="Q139" s="469"/>
      <c r="R139" s="469"/>
      <c r="S139" s="469"/>
      <c r="T139" s="469"/>
      <c r="U139" s="469"/>
      <c r="V139" s="469"/>
      <c r="W139" s="469"/>
    </row>
    <row r="140" spans="1:25" ht="15" customHeight="1">
      <c r="A140" s="104" t="str">
        <f>IF(K140&gt;0,COUNT($A$10:A139)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0" s="110"/>
      <c r="C140" s="111"/>
      <c r="D140" s="208" t="s">
        <v>845</v>
      </c>
      <c r="E140" s="171">
        <v>100022020</v>
      </c>
      <c r="F140" s="289" t="s">
        <v>846</v>
      </c>
      <c r="G140" s="171">
        <v>100</v>
      </c>
      <c r="H140" s="171">
        <v>9000</v>
      </c>
      <c r="I140" s="517">
        <f>_xlfn.XLOOKUP(E140,'All Products'!D:D,'All Products'!H:H)</f>
        <v>13.89</v>
      </c>
      <c r="J140" s="317">
        <f>ROUNDUP(I140*Order_Quote!$L$12,2)</f>
        <v>69.45</v>
      </c>
      <c r="K140" s="184"/>
      <c r="L140" s="193"/>
      <c r="M140" s="298">
        <f>K140/G140</f>
        <v>0</v>
      </c>
      <c r="O140" s="305" t="s">
        <v>76</v>
      </c>
      <c r="P140" s="305" t="s">
        <v>102</v>
      </c>
      <c r="Q140" s="305" t="s">
        <v>847</v>
      </c>
      <c r="R140" s="305" t="s">
        <v>848</v>
      </c>
      <c r="S140" s="305" t="s">
        <v>849</v>
      </c>
      <c r="T140" s="347">
        <v>5.3999999999999999E-2</v>
      </c>
      <c r="U140" s="265">
        <v>10</v>
      </c>
      <c r="V140" s="348">
        <v>6.26</v>
      </c>
      <c r="W140" s="348">
        <v>0.5</v>
      </c>
      <c r="X140" s="447"/>
      <c r="Y140" s="447"/>
    </row>
    <row r="141" spans="1:25" ht="15" customHeight="1">
      <c r="A141" s="104" t="str">
        <f>IF(K141&gt;0,COUNT($A$10:A140)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1" s="112"/>
      <c r="C141" s="79"/>
      <c r="D141" s="158" t="s">
        <v>850</v>
      </c>
      <c r="E141" s="106">
        <v>100022022</v>
      </c>
      <c r="F141" s="159" t="s">
        <v>851</v>
      </c>
      <c r="G141" s="106">
        <v>100</v>
      </c>
      <c r="H141" s="106">
        <v>6000</v>
      </c>
      <c r="I141" s="518">
        <f>_xlfn.XLOOKUP(E141,'All Products'!D:D,'All Products'!H:H)</f>
        <v>13.89</v>
      </c>
      <c r="J141" s="317">
        <f>ROUNDUP(I141*Order_Quote!$L$12,2)</f>
        <v>69.45</v>
      </c>
      <c r="K141" s="78"/>
      <c r="L141" s="193"/>
      <c r="M141" s="199">
        <f>K141/G141</f>
        <v>0</v>
      </c>
      <c r="O141" s="265" t="s">
        <v>76</v>
      </c>
      <c r="P141" s="265" t="s">
        <v>102</v>
      </c>
      <c r="Q141" s="305" t="s">
        <v>852</v>
      </c>
      <c r="R141" s="305" t="s">
        <v>853</v>
      </c>
      <c r="S141" s="305" t="s">
        <v>854</v>
      </c>
      <c r="T141" s="347">
        <v>8.1000000000000003E-2</v>
      </c>
      <c r="U141" s="265">
        <v>10</v>
      </c>
      <c r="V141" s="348">
        <v>9.36</v>
      </c>
      <c r="W141" s="348">
        <v>0.8</v>
      </c>
      <c r="X141" s="447"/>
      <c r="Y141" s="447"/>
    </row>
    <row r="142" spans="1:25" ht="15" customHeight="1">
      <c r="A142" s="104" t="str">
        <f>IF(K142&gt;0,COUNT($A$10:A141)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2" s="113"/>
      <c r="C142" s="114"/>
      <c r="D142" s="158" t="s">
        <v>855</v>
      </c>
      <c r="E142" s="106">
        <v>100022024</v>
      </c>
      <c r="F142" s="159" t="s">
        <v>856</v>
      </c>
      <c r="G142" s="106">
        <v>50</v>
      </c>
      <c r="H142" s="106">
        <v>3750</v>
      </c>
      <c r="I142" s="518">
        <f>_xlfn.XLOOKUP(E142,'All Products'!D:D,'All Products'!H:H)</f>
        <v>17.190000000000001</v>
      </c>
      <c r="J142" s="317">
        <f>ROUNDUP(I142*Order_Quote!$L$12,2)</f>
        <v>85.95</v>
      </c>
      <c r="K142" s="78"/>
      <c r="L142" s="193"/>
      <c r="M142" s="199">
        <f>K142/G142</f>
        <v>0</v>
      </c>
      <c r="O142" s="265" t="s">
        <v>76</v>
      </c>
      <c r="P142" s="265" t="s">
        <v>102</v>
      </c>
      <c r="Q142" s="305" t="s">
        <v>857</v>
      </c>
      <c r="R142" s="305" t="s">
        <v>858</v>
      </c>
      <c r="S142" s="305" t="s">
        <v>859</v>
      </c>
      <c r="T142" s="347">
        <v>0.14299999999999999</v>
      </c>
      <c r="U142" s="265">
        <v>0</v>
      </c>
      <c r="V142" s="348">
        <v>8.0299999999999994</v>
      </c>
      <c r="W142" s="348">
        <v>0.65</v>
      </c>
      <c r="X142" s="447"/>
      <c r="Y142" s="447"/>
    </row>
    <row r="143" spans="1:25" ht="15" customHeight="1">
      <c r="A143" s="104" t="str">
        <f>IF(K143&gt;0,COUNT($A$10:A142)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3" s="17"/>
      <c r="E143" s="20"/>
      <c r="F143" s="217"/>
      <c r="G143" s="20"/>
      <c r="H143" s="20"/>
      <c r="I143" s="514"/>
      <c r="J143" s="237"/>
      <c r="K143" s="443"/>
      <c r="L143" s="20"/>
      <c r="M143" s="181"/>
      <c r="O143" s="20"/>
      <c r="P143" s="20"/>
      <c r="Q143" s="20"/>
      <c r="R143" s="20"/>
      <c r="S143" s="20"/>
      <c r="T143" s="20"/>
      <c r="U143" s="20"/>
      <c r="V143" s="20"/>
      <c r="W143" s="20"/>
    </row>
    <row r="144" spans="1:25" ht="18.75">
      <c r="A144" s="104" t="str">
        <f>IF(K144&gt;0,COUNT($A$10:A143)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4" s="444" t="s">
        <v>860</v>
      </c>
      <c r="C144" s="44"/>
      <c r="D144" s="44"/>
      <c r="E144" s="44"/>
      <c r="F144" s="44"/>
      <c r="G144" s="44"/>
      <c r="H144" s="44"/>
      <c r="I144" s="515"/>
      <c r="J144" s="445"/>
      <c r="K144" s="246"/>
      <c r="L144" s="243"/>
      <c r="M144" s="157"/>
      <c r="O144" s="44"/>
      <c r="P144" s="44"/>
      <c r="Q144" s="44"/>
      <c r="R144" s="44"/>
      <c r="S144" s="44"/>
      <c r="T144" s="44"/>
      <c r="U144" s="44"/>
      <c r="V144" s="44"/>
      <c r="W144" s="44"/>
    </row>
    <row r="145" spans="1:25" ht="15" customHeight="1">
      <c r="A145" s="104" t="str">
        <f>IF(K145&gt;0,COUNT($A$10:A144)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5" s="470" t="s">
        <v>861</v>
      </c>
      <c r="C145" s="452"/>
      <c r="D145" s="452"/>
      <c r="E145" s="452"/>
      <c r="F145" s="452"/>
      <c r="G145" s="452"/>
      <c r="H145" s="452"/>
      <c r="I145" s="452"/>
      <c r="J145" s="453"/>
      <c r="K145" s="452"/>
      <c r="L145" s="452"/>
      <c r="M145" s="454"/>
      <c r="O145" s="452"/>
      <c r="P145" s="452"/>
      <c r="Q145" s="452"/>
      <c r="R145" s="452"/>
      <c r="S145" s="452"/>
      <c r="T145" s="452"/>
      <c r="U145" s="452"/>
      <c r="V145" s="452"/>
      <c r="W145" s="452"/>
    </row>
    <row r="146" spans="1:25" ht="49.5" customHeight="1">
      <c r="A146" s="104" t="str">
        <f>IF(K146&gt;0,COUNT($A$10:A145)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6" s="202"/>
      <c r="C146" s="203"/>
      <c r="D146" s="220" t="s">
        <v>862</v>
      </c>
      <c r="E146" s="106">
        <v>100022031</v>
      </c>
      <c r="F146" s="159" t="s">
        <v>863</v>
      </c>
      <c r="G146" s="106">
        <v>50</v>
      </c>
      <c r="H146" s="106">
        <v>4500</v>
      </c>
      <c r="I146" s="518">
        <f>_xlfn.XLOOKUP(E146,'All Products'!D:D,'All Products'!H:H)</f>
        <v>25.64</v>
      </c>
      <c r="J146" s="317">
        <f>ROUNDUP(I146*Order_Quote!$L$12,2)</f>
        <v>128.19999999999999</v>
      </c>
      <c r="K146" s="468"/>
      <c r="L146" s="116"/>
      <c r="M146" s="199">
        <f>K146/G146</f>
        <v>0</v>
      </c>
      <c r="O146" s="265" t="s">
        <v>359</v>
      </c>
      <c r="P146" s="265" t="s">
        <v>102</v>
      </c>
      <c r="Q146" s="305" t="s">
        <v>864</v>
      </c>
      <c r="R146" s="305" t="s">
        <v>865</v>
      </c>
      <c r="S146" s="305" t="s">
        <v>866</v>
      </c>
      <c r="T146" s="347">
        <v>0.108</v>
      </c>
      <c r="U146" s="265">
        <v>0</v>
      </c>
      <c r="V146" s="348">
        <v>6.08</v>
      </c>
      <c r="W146" s="348">
        <v>0.5</v>
      </c>
      <c r="X146" s="447"/>
      <c r="Y146" s="447"/>
    </row>
    <row r="147" spans="1:25" ht="15" customHeight="1">
      <c r="A147" s="104" t="str">
        <f>IF(K147&gt;0,COUNT($A$10:A146)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7" s="17"/>
      <c r="E147" s="20"/>
      <c r="F147" s="217"/>
      <c r="G147" s="20"/>
      <c r="H147" s="20"/>
      <c r="I147" s="514"/>
      <c r="J147" s="237"/>
      <c r="K147" s="443"/>
      <c r="L147" s="20"/>
      <c r="M147" s="181"/>
      <c r="O147" s="20"/>
      <c r="P147" s="20"/>
      <c r="Q147" s="20"/>
      <c r="R147" s="20"/>
      <c r="S147" s="20"/>
      <c r="T147" s="20"/>
      <c r="U147" s="20"/>
      <c r="V147" s="20"/>
      <c r="W147" s="20"/>
    </row>
    <row r="148" spans="1:25" ht="18.75">
      <c r="A148" s="104" t="str">
        <f>IF(K148&gt;0,COUNT($A$10:A147)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8" s="444" t="s">
        <v>867</v>
      </c>
      <c r="C148" s="44"/>
      <c r="D148" s="44"/>
      <c r="E148" s="44"/>
      <c r="F148" s="44"/>
      <c r="G148" s="44"/>
      <c r="H148" s="44"/>
      <c r="I148" s="515"/>
      <c r="J148" s="445"/>
      <c r="K148" s="246"/>
      <c r="L148" s="243"/>
      <c r="M148" s="157"/>
      <c r="O148" s="44"/>
      <c r="P148" s="44"/>
      <c r="Q148" s="44"/>
      <c r="R148" s="44"/>
      <c r="S148" s="44"/>
      <c r="T148" s="44"/>
      <c r="U148" s="44"/>
      <c r="V148" s="44"/>
      <c r="W148" s="44"/>
    </row>
    <row r="149" spans="1:25" ht="15" customHeight="1">
      <c r="A149" s="104" t="str">
        <f>IF(K149&gt;0,COUNT($A$10:A148)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49" s="319" t="s">
        <v>641</v>
      </c>
      <c r="C149" s="451"/>
      <c r="D149" s="457"/>
      <c r="E149" s="314"/>
      <c r="F149" s="458"/>
      <c r="G149" s="314"/>
      <c r="H149" s="314"/>
      <c r="I149" s="519"/>
      <c r="J149" s="320"/>
      <c r="K149" s="459"/>
      <c r="L149" s="314"/>
      <c r="M149" s="315"/>
      <c r="O149" s="469"/>
      <c r="P149" s="469"/>
      <c r="Q149" s="469"/>
      <c r="R149" s="469"/>
      <c r="S149" s="469"/>
      <c r="T149" s="469"/>
      <c r="U149" s="469"/>
      <c r="V149" s="469"/>
      <c r="W149" s="469"/>
    </row>
    <row r="150" spans="1:25" ht="15" customHeight="1">
      <c r="A150" s="104" t="str">
        <f>IF(K150&gt;0,COUNT($A$10:A149)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0" s="112"/>
      <c r="C150" s="79"/>
      <c r="D150" s="208" t="s">
        <v>868</v>
      </c>
      <c r="E150" s="171">
        <v>100022047</v>
      </c>
      <c r="F150" s="289" t="s">
        <v>869</v>
      </c>
      <c r="G150" s="171">
        <v>250</v>
      </c>
      <c r="H150" s="171">
        <v>22500</v>
      </c>
      <c r="I150" s="517">
        <f>_xlfn.XLOOKUP(E150,'All Products'!D:D,'All Products'!H:H)</f>
        <v>2.4500000000000002</v>
      </c>
      <c r="J150" s="317">
        <f>ROUNDUP(I150*Order_Quote!$L$12,2)</f>
        <v>12.25</v>
      </c>
      <c r="K150" s="184"/>
      <c r="L150" s="116"/>
      <c r="M150" s="298">
        <f t="shared" ref="M150:M155" si="7">K150/G150</f>
        <v>0</v>
      </c>
      <c r="O150" s="305" t="s">
        <v>76</v>
      </c>
      <c r="P150" s="305" t="s">
        <v>102</v>
      </c>
      <c r="Q150" s="305" t="s">
        <v>870</v>
      </c>
      <c r="R150" s="305" t="s">
        <v>871</v>
      </c>
      <c r="S150" s="305" t="s">
        <v>872</v>
      </c>
      <c r="T150" s="347">
        <v>2.1999999999999999E-2</v>
      </c>
      <c r="U150" s="265">
        <v>10</v>
      </c>
      <c r="V150" s="348">
        <v>7.86</v>
      </c>
      <c r="W150" s="348">
        <v>0.5</v>
      </c>
      <c r="X150" s="447"/>
      <c r="Y150" s="447"/>
    </row>
    <row r="151" spans="1:25" ht="15" customHeight="1">
      <c r="A151" s="104" t="str">
        <f>IF(K151&gt;0,COUNT($A$10:A150)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1" s="112"/>
      <c r="C151" s="79"/>
      <c r="D151" s="158" t="s">
        <v>873</v>
      </c>
      <c r="E151" s="106">
        <v>100022049</v>
      </c>
      <c r="F151" s="159" t="s">
        <v>874</v>
      </c>
      <c r="G151" s="106">
        <v>250</v>
      </c>
      <c r="H151" s="106">
        <v>18750</v>
      </c>
      <c r="I151" s="518">
        <f>_xlfn.XLOOKUP(E151,'All Products'!D:D,'All Products'!H:H)</f>
        <v>2.97</v>
      </c>
      <c r="J151" s="317">
        <f>ROUNDUP(I151*Order_Quote!$L$12,2)</f>
        <v>14.85</v>
      </c>
      <c r="K151" s="78"/>
      <c r="L151" s="116"/>
      <c r="M151" s="199">
        <f t="shared" si="7"/>
        <v>0</v>
      </c>
      <c r="O151" s="265" t="s">
        <v>76</v>
      </c>
      <c r="P151" s="265" t="s">
        <v>102</v>
      </c>
      <c r="Q151" s="305" t="s">
        <v>875</v>
      </c>
      <c r="R151" s="305" t="s">
        <v>876</v>
      </c>
      <c r="S151" s="305" t="s">
        <v>877</v>
      </c>
      <c r="T151" s="347">
        <v>3.5000000000000003E-2</v>
      </c>
      <c r="U151" s="265">
        <v>10</v>
      </c>
      <c r="V151" s="348">
        <v>10.48</v>
      </c>
      <c r="W151" s="348">
        <v>0.65</v>
      </c>
      <c r="X151" s="447"/>
      <c r="Y151" s="447"/>
    </row>
    <row r="152" spans="1:25" ht="15" customHeight="1">
      <c r="A152" s="104" t="str">
        <f>IF(K152&gt;0,COUNT($A$10:A151)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2" s="112"/>
      <c r="C152" s="79"/>
      <c r="D152" s="158" t="s">
        <v>878</v>
      </c>
      <c r="E152" s="106">
        <v>100022051</v>
      </c>
      <c r="F152" s="159" t="s">
        <v>879</v>
      </c>
      <c r="G152" s="106">
        <v>100</v>
      </c>
      <c r="H152" s="106">
        <v>9000</v>
      </c>
      <c r="I152" s="518">
        <f>_xlfn.XLOOKUP(E152,'All Products'!D:D,'All Products'!H:H)</f>
        <v>3.09</v>
      </c>
      <c r="J152" s="317">
        <f>ROUNDUP(I152*Order_Quote!$L$12,2)</f>
        <v>15.45</v>
      </c>
      <c r="K152" s="78"/>
      <c r="L152" s="116"/>
      <c r="M152" s="199">
        <f t="shared" si="7"/>
        <v>0</v>
      </c>
      <c r="O152" s="265" t="s">
        <v>76</v>
      </c>
      <c r="P152" s="265" t="s">
        <v>102</v>
      </c>
      <c r="Q152" s="305" t="s">
        <v>880</v>
      </c>
      <c r="R152" s="305" t="s">
        <v>881</v>
      </c>
      <c r="S152" s="305" t="s">
        <v>882</v>
      </c>
      <c r="T152" s="347">
        <v>5.3999999999999999E-2</v>
      </c>
      <c r="U152" s="265">
        <v>10</v>
      </c>
      <c r="V152" s="348">
        <v>6.05</v>
      </c>
      <c r="W152" s="348">
        <v>0.5</v>
      </c>
      <c r="X152" s="447"/>
      <c r="Y152" s="447"/>
    </row>
    <row r="153" spans="1:25" ht="15" customHeight="1">
      <c r="A153" s="104" t="str">
        <f>IF(K153&gt;0,COUNT($A$10:A152)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3" s="112"/>
      <c r="C153" s="79"/>
      <c r="D153" s="158" t="s">
        <v>883</v>
      </c>
      <c r="E153" s="106">
        <v>100022053</v>
      </c>
      <c r="F153" s="159" t="s">
        <v>884</v>
      </c>
      <c r="G153" s="106">
        <v>100</v>
      </c>
      <c r="H153" s="106">
        <v>6000</v>
      </c>
      <c r="I153" s="518">
        <f>_xlfn.XLOOKUP(E153,'All Products'!D:D,'All Products'!H:H)</f>
        <v>4.57</v>
      </c>
      <c r="J153" s="317">
        <f>ROUNDUP(I153*Order_Quote!$L$12,2)</f>
        <v>22.85</v>
      </c>
      <c r="K153" s="78"/>
      <c r="L153" s="116"/>
      <c r="M153" s="199">
        <f t="shared" si="7"/>
        <v>0</v>
      </c>
      <c r="O153" s="265" t="s">
        <v>76</v>
      </c>
      <c r="P153" s="265" t="s">
        <v>102</v>
      </c>
      <c r="Q153" s="305" t="s">
        <v>885</v>
      </c>
      <c r="R153" s="305" t="s">
        <v>886</v>
      </c>
      <c r="S153" s="305" t="s">
        <v>887</v>
      </c>
      <c r="T153" s="347">
        <v>0.108</v>
      </c>
      <c r="U153" s="265">
        <v>10</v>
      </c>
      <c r="V153" s="348">
        <v>9.66</v>
      </c>
      <c r="W153" s="348">
        <v>0.8</v>
      </c>
      <c r="X153" s="447"/>
      <c r="Y153" s="447"/>
    </row>
    <row r="154" spans="1:25" ht="15" customHeight="1">
      <c r="A154" s="104" t="str">
        <f>IF(K154&gt;0,COUNT($A$10:A153)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4" s="112"/>
      <c r="C154" s="79"/>
      <c r="D154" s="158" t="s">
        <v>888</v>
      </c>
      <c r="E154" s="106">
        <v>100022055</v>
      </c>
      <c r="F154" s="159" t="s">
        <v>889</v>
      </c>
      <c r="G154" s="106">
        <v>50</v>
      </c>
      <c r="H154" s="106">
        <v>3750</v>
      </c>
      <c r="I154" s="518">
        <f>_xlfn.XLOOKUP(E154,'All Products'!D:D,'All Products'!H:H)</f>
        <v>5.41</v>
      </c>
      <c r="J154" s="317">
        <f>ROUNDUP(I154*Order_Quote!$L$12,2)</f>
        <v>27.05</v>
      </c>
      <c r="K154" s="78"/>
      <c r="L154" s="116"/>
      <c r="M154" s="199">
        <f t="shared" si="7"/>
        <v>0</v>
      </c>
      <c r="O154" s="265" t="s">
        <v>76</v>
      </c>
      <c r="P154" s="265" t="s">
        <v>102</v>
      </c>
      <c r="Q154" s="305" t="s">
        <v>890</v>
      </c>
      <c r="R154" s="305" t="s">
        <v>891</v>
      </c>
      <c r="S154" s="305" t="s">
        <v>892</v>
      </c>
      <c r="T154" s="347">
        <v>0.13200000000000001</v>
      </c>
      <c r="U154" s="265">
        <v>10</v>
      </c>
      <c r="V154" s="348">
        <v>7.59</v>
      </c>
      <c r="W154" s="348">
        <v>0.65</v>
      </c>
      <c r="X154" s="447"/>
      <c r="Y154" s="447"/>
    </row>
    <row r="155" spans="1:25" ht="15" customHeight="1">
      <c r="A155" s="104" t="str">
        <f>IF(K155&gt;0,COUNT($A$10:A154)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5" s="113"/>
      <c r="C155" s="114"/>
      <c r="D155" s="158" t="s">
        <v>893</v>
      </c>
      <c r="E155" s="106">
        <v>100022057</v>
      </c>
      <c r="F155" s="159" t="s">
        <v>894</v>
      </c>
      <c r="G155" s="106">
        <v>25</v>
      </c>
      <c r="H155" s="106">
        <v>2250</v>
      </c>
      <c r="I155" s="518">
        <f>_xlfn.XLOOKUP(E155,'All Products'!D:D,'All Products'!H:H)</f>
        <v>10.23</v>
      </c>
      <c r="J155" s="317">
        <f>ROUNDUP(I155*Order_Quote!$L$12,2)</f>
        <v>51.15</v>
      </c>
      <c r="K155" s="78"/>
      <c r="L155" s="292"/>
      <c r="M155" s="199">
        <f t="shared" si="7"/>
        <v>0</v>
      </c>
      <c r="O155" s="265" t="s">
        <v>76</v>
      </c>
      <c r="P155" s="265" t="s">
        <v>102</v>
      </c>
      <c r="Q155" s="305" t="s">
        <v>895</v>
      </c>
      <c r="R155" s="305" t="s">
        <v>896</v>
      </c>
      <c r="S155" s="305" t="s">
        <v>897</v>
      </c>
      <c r="T155" s="347">
        <v>0.156</v>
      </c>
      <c r="U155" s="265">
        <v>5</v>
      </c>
      <c r="V155" s="348">
        <v>4.6100000000000003</v>
      </c>
      <c r="W155" s="348">
        <v>0.5</v>
      </c>
      <c r="X155" s="447"/>
      <c r="Y155" s="447"/>
    </row>
    <row r="156" spans="1:25" ht="15" customHeight="1">
      <c r="A156" s="104" t="str">
        <f>IF(K156&gt;0,COUNT($A$10:A155)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6" s="17"/>
      <c r="E156" s="20"/>
      <c r="F156" s="217"/>
      <c r="G156" s="20"/>
      <c r="H156" s="20"/>
      <c r="I156" s="514"/>
      <c r="J156" s="237"/>
      <c r="K156" s="443"/>
      <c r="L156" s="20"/>
      <c r="M156" s="181"/>
      <c r="O156" s="20"/>
      <c r="P156" s="20"/>
      <c r="Q156" s="20"/>
      <c r="R156" s="20"/>
      <c r="S156" s="20"/>
      <c r="T156" s="20"/>
      <c r="U156" s="20"/>
      <c r="V156" s="20"/>
      <c r="W156" s="20"/>
    </row>
    <row r="157" spans="1:25" ht="18.75">
      <c r="A157" s="104" t="str">
        <f>IF(K157&gt;0,COUNT($A$10:A156)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7" s="444" t="s">
        <v>898</v>
      </c>
      <c r="C157" s="44"/>
      <c r="D157" s="44"/>
      <c r="E157" s="44"/>
      <c r="F157" s="44"/>
      <c r="G157" s="44"/>
      <c r="H157" s="44"/>
      <c r="I157" s="515"/>
      <c r="J157" s="445"/>
      <c r="K157" s="246"/>
      <c r="L157" s="243"/>
      <c r="M157" s="157"/>
      <c r="O157" s="44"/>
      <c r="P157" s="44"/>
      <c r="Q157" s="44"/>
      <c r="R157" s="44"/>
      <c r="S157" s="44"/>
      <c r="T157" s="44"/>
      <c r="U157" s="44"/>
      <c r="V157" s="44"/>
      <c r="W157" s="44"/>
    </row>
    <row r="158" spans="1:25" ht="15" customHeight="1">
      <c r="A158" s="104" t="str">
        <f>IF(K158&gt;0,COUNT($A$10:A157)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8" s="455" t="s">
        <v>641</v>
      </c>
      <c r="C158" s="452"/>
      <c r="D158" s="452"/>
      <c r="E158" s="452"/>
      <c r="F158" s="452"/>
      <c r="G158" s="452"/>
      <c r="H158" s="452"/>
      <c r="I158" s="452"/>
      <c r="J158" s="453"/>
      <c r="K158" s="452"/>
      <c r="L158" s="452"/>
      <c r="M158" s="454"/>
      <c r="O158" s="452"/>
      <c r="P158" s="452"/>
      <c r="Q158" s="452"/>
      <c r="R158" s="452"/>
      <c r="S158" s="452"/>
      <c r="T158" s="452"/>
      <c r="U158" s="452"/>
      <c r="V158" s="452"/>
      <c r="W158" s="452"/>
    </row>
    <row r="159" spans="1:25" ht="15" customHeight="1">
      <c r="A159" s="104" t="str">
        <f>IF(K159&gt;0,COUNT($A$10:A158)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59" s="448"/>
      <c r="C159" s="449"/>
      <c r="D159" s="208" t="s">
        <v>899</v>
      </c>
      <c r="E159" s="171">
        <v>100022060</v>
      </c>
      <c r="F159" s="289" t="s">
        <v>900</v>
      </c>
      <c r="G159" s="171">
        <v>250</v>
      </c>
      <c r="H159" s="171">
        <v>15000</v>
      </c>
      <c r="I159" s="517">
        <f>_xlfn.XLOOKUP(E159,'All Products'!D:D,'All Products'!H:H)</f>
        <v>3.98</v>
      </c>
      <c r="J159" s="317">
        <f>ROUNDUP(I159*Order_Quote!$L$12,2)</f>
        <v>19.899999999999999</v>
      </c>
      <c r="K159" s="184"/>
      <c r="M159" s="298">
        <f t="shared" ref="M159:M166" si="8">K159/G159</f>
        <v>0</v>
      </c>
      <c r="O159" s="305" t="s">
        <v>359</v>
      </c>
      <c r="P159" s="305" t="s">
        <v>102</v>
      </c>
      <c r="Q159" s="305" t="s">
        <v>901</v>
      </c>
      <c r="R159" s="305" t="s">
        <v>902</v>
      </c>
      <c r="S159" s="305" t="s">
        <v>903</v>
      </c>
      <c r="T159" s="347">
        <v>3.2000000000000001E-2</v>
      </c>
      <c r="U159" s="265">
        <v>10</v>
      </c>
      <c r="V159" s="348">
        <v>11.8</v>
      </c>
      <c r="W159" s="348">
        <v>0.8</v>
      </c>
      <c r="X159" s="447"/>
      <c r="Y159" s="447"/>
    </row>
    <row r="160" spans="1:25" ht="15" customHeight="1">
      <c r="A160" s="104" t="str">
        <f>IF(K160&gt;0,COUNT($A$10:A159)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0" s="448"/>
      <c r="C160" s="449"/>
      <c r="D160" s="158" t="s">
        <v>904</v>
      </c>
      <c r="E160" s="106">
        <v>100022064</v>
      </c>
      <c r="F160" s="159" t="s">
        <v>905</v>
      </c>
      <c r="G160" s="106">
        <v>100</v>
      </c>
      <c r="H160" s="106">
        <v>9000</v>
      </c>
      <c r="I160" s="518">
        <f>_xlfn.XLOOKUP(E160,'All Products'!D:D,'All Products'!H:H)</f>
        <v>5.53</v>
      </c>
      <c r="J160" s="317">
        <f>ROUNDUP(I160*Order_Quote!$L$12,2)</f>
        <v>27.65</v>
      </c>
      <c r="K160" s="78"/>
      <c r="M160" s="199">
        <f t="shared" si="8"/>
        <v>0</v>
      </c>
      <c r="O160" s="265" t="s">
        <v>359</v>
      </c>
      <c r="P160" s="265" t="s">
        <v>102</v>
      </c>
      <c r="Q160" s="305" t="s">
        <v>906</v>
      </c>
      <c r="R160" s="305" t="s">
        <v>907</v>
      </c>
      <c r="S160" s="305" t="s">
        <v>908</v>
      </c>
      <c r="T160" s="347">
        <v>4.8000000000000001E-2</v>
      </c>
      <c r="U160" s="265">
        <v>10</v>
      </c>
      <c r="V160" s="348">
        <v>6.85</v>
      </c>
      <c r="W160" s="348">
        <v>0.5</v>
      </c>
      <c r="X160" s="447"/>
      <c r="Y160" s="447"/>
    </row>
    <row r="161" spans="1:25" ht="15" customHeight="1">
      <c r="A161" s="104" t="str">
        <f>IF(K161&gt;0,COUNT($A$10:A160)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1" s="448"/>
      <c r="C161" s="449"/>
      <c r="D161" s="158" t="s">
        <v>909</v>
      </c>
      <c r="E161" s="106">
        <v>100022066</v>
      </c>
      <c r="F161" s="159" t="s">
        <v>910</v>
      </c>
      <c r="G161" s="106">
        <v>100</v>
      </c>
      <c r="H161" s="106">
        <v>9000</v>
      </c>
      <c r="I161" s="518">
        <f>_xlfn.XLOOKUP(E161,'All Products'!D:D,'All Products'!H:H)</f>
        <v>4.12</v>
      </c>
      <c r="J161" s="317">
        <f>ROUNDUP(I161*Order_Quote!$L$12,2)</f>
        <v>20.6</v>
      </c>
      <c r="K161" s="78"/>
      <c r="M161" s="199">
        <f t="shared" si="8"/>
        <v>0</v>
      </c>
      <c r="O161" s="265" t="s">
        <v>76</v>
      </c>
      <c r="P161" s="265" t="s">
        <v>102</v>
      </c>
      <c r="Q161" s="305" t="s">
        <v>911</v>
      </c>
      <c r="R161" s="305" t="s">
        <v>912</v>
      </c>
      <c r="S161" s="305" t="s">
        <v>913</v>
      </c>
      <c r="T161" s="347">
        <v>4.3999999999999997E-2</v>
      </c>
      <c r="U161" s="265">
        <v>10</v>
      </c>
      <c r="V161" s="348">
        <v>7.46</v>
      </c>
      <c r="W161" s="348">
        <v>0.5</v>
      </c>
      <c r="X161" s="447"/>
      <c r="Y161" s="447"/>
    </row>
    <row r="162" spans="1:25" ht="15" customHeight="1">
      <c r="A162" s="104" t="str">
        <f>IF(K162&gt;0,COUNT($A$10:A161)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2" s="448"/>
      <c r="C162" s="449"/>
      <c r="D162" s="158" t="s">
        <v>914</v>
      </c>
      <c r="E162" s="106">
        <v>100022070</v>
      </c>
      <c r="F162" s="159" t="s">
        <v>915</v>
      </c>
      <c r="G162" s="106">
        <v>100</v>
      </c>
      <c r="H162" s="106">
        <v>7500</v>
      </c>
      <c r="I162" s="518">
        <f>_xlfn.XLOOKUP(E162,'All Products'!D:D,'All Products'!H:H)</f>
        <v>6.55</v>
      </c>
      <c r="J162" s="317">
        <f>ROUNDUP(I162*Order_Quote!$L$12,2)</f>
        <v>32.75</v>
      </c>
      <c r="K162" s="78"/>
      <c r="M162" s="199">
        <f t="shared" si="8"/>
        <v>0</v>
      </c>
      <c r="O162" s="265" t="s">
        <v>76</v>
      </c>
      <c r="P162" s="265" t="s">
        <v>102</v>
      </c>
      <c r="Q162" s="305" t="s">
        <v>916</v>
      </c>
      <c r="R162" s="305" t="s">
        <v>917</v>
      </c>
      <c r="S162" s="305" t="s">
        <v>918</v>
      </c>
      <c r="T162" s="347">
        <v>0.1</v>
      </c>
      <c r="U162" s="265">
        <v>10</v>
      </c>
      <c r="V162" s="348">
        <v>8.6</v>
      </c>
      <c r="W162" s="348">
        <v>0.65</v>
      </c>
      <c r="X162" s="447"/>
      <c r="Y162" s="447"/>
    </row>
    <row r="163" spans="1:25" ht="15" customHeight="1">
      <c r="A163" s="104" t="str">
        <f>IF(K163&gt;0,COUNT($A$10:A162)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3" s="448"/>
      <c r="C163" s="449"/>
      <c r="D163" s="158" t="s">
        <v>919</v>
      </c>
      <c r="E163" s="106">
        <v>100022071</v>
      </c>
      <c r="F163" s="159" t="s">
        <v>920</v>
      </c>
      <c r="G163" s="106">
        <v>100</v>
      </c>
      <c r="H163" s="106">
        <v>7500</v>
      </c>
      <c r="I163" s="518">
        <f>_xlfn.XLOOKUP(E163,'All Products'!D:D,'All Products'!H:H)</f>
        <v>10.23</v>
      </c>
      <c r="J163" s="317">
        <f>ROUNDUP(I163*Order_Quote!$L$12,2)</f>
        <v>51.15</v>
      </c>
      <c r="K163" s="78"/>
      <c r="M163" s="199">
        <f t="shared" si="8"/>
        <v>0</v>
      </c>
      <c r="O163" s="265" t="s">
        <v>359</v>
      </c>
      <c r="P163" s="265" t="s">
        <v>102</v>
      </c>
      <c r="Q163" s="305" t="s">
        <v>921</v>
      </c>
      <c r="R163" s="305" t="s">
        <v>922</v>
      </c>
      <c r="S163" s="305" t="s">
        <v>923</v>
      </c>
      <c r="T163" s="347">
        <v>9.5000000000000001E-2</v>
      </c>
      <c r="U163" s="265">
        <v>10</v>
      </c>
      <c r="V163" s="348">
        <v>12.1</v>
      </c>
      <c r="W163" s="348">
        <v>0.65</v>
      </c>
      <c r="X163" s="447"/>
      <c r="Y163" s="447"/>
    </row>
    <row r="164" spans="1:25" ht="15" customHeight="1">
      <c r="A164" s="104" t="str">
        <f>IF(K164&gt;0,COUNT($A$10:A163)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4" s="448"/>
      <c r="C164" s="449"/>
      <c r="D164" s="158" t="s">
        <v>924</v>
      </c>
      <c r="E164" s="106">
        <v>100022072</v>
      </c>
      <c r="F164" s="159" t="s">
        <v>925</v>
      </c>
      <c r="G164" s="106">
        <v>50</v>
      </c>
      <c r="H164" s="106">
        <v>4500</v>
      </c>
      <c r="I164" s="518">
        <f>_xlfn.XLOOKUP(E164,'All Products'!D:D,'All Products'!H:H)</f>
        <v>9.8699999999999992</v>
      </c>
      <c r="J164" s="317">
        <f>ROUNDUP(I164*Order_Quote!$L$12,2)</f>
        <v>49.35</v>
      </c>
      <c r="K164" s="78"/>
      <c r="M164" s="199">
        <f t="shared" si="8"/>
        <v>0</v>
      </c>
      <c r="O164" s="265" t="s">
        <v>76</v>
      </c>
      <c r="P164" s="265" t="s">
        <v>102</v>
      </c>
      <c r="Q164" s="305" t="s">
        <v>926</v>
      </c>
      <c r="R164" s="305" t="s">
        <v>927</v>
      </c>
      <c r="S164" s="305" t="s">
        <v>928</v>
      </c>
      <c r="T164" s="347">
        <v>0.13500000000000001</v>
      </c>
      <c r="U164" s="265">
        <v>5</v>
      </c>
      <c r="V164" s="348">
        <v>6.78</v>
      </c>
      <c r="W164" s="348">
        <v>0.5</v>
      </c>
      <c r="X164" s="447"/>
      <c r="Y164" s="447"/>
    </row>
    <row r="165" spans="1:25" ht="15" customHeight="1">
      <c r="A165" s="104" t="str">
        <f>IF(K165&gt;0,COUNT($A$10:A164)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5" s="448"/>
      <c r="C165" s="449"/>
      <c r="D165" s="158" t="s">
        <v>929</v>
      </c>
      <c r="E165" s="106">
        <v>100022074</v>
      </c>
      <c r="F165" s="159" t="s">
        <v>930</v>
      </c>
      <c r="G165" s="106">
        <v>50</v>
      </c>
      <c r="H165" s="106">
        <v>4500</v>
      </c>
      <c r="I165" s="518">
        <f>_xlfn.XLOOKUP(E165,'All Products'!D:D,'All Products'!H:H)</f>
        <v>7.67</v>
      </c>
      <c r="J165" s="317">
        <f>ROUNDUP(I165*Order_Quote!$L$12,2)</f>
        <v>38.35</v>
      </c>
      <c r="K165" s="78"/>
      <c r="M165" s="199">
        <f t="shared" si="8"/>
        <v>0</v>
      </c>
      <c r="O165" s="265" t="s">
        <v>359</v>
      </c>
      <c r="P165" s="265" t="s">
        <v>102</v>
      </c>
      <c r="Q165" s="305" t="s">
        <v>931</v>
      </c>
      <c r="R165" s="305" t="s">
        <v>932</v>
      </c>
      <c r="S165" s="305" t="s">
        <v>933</v>
      </c>
      <c r="T165" s="347">
        <v>0.125</v>
      </c>
      <c r="U165" s="265">
        <v>5</v>
      </c>
      <c r="V165" s="348">
        <v>7.27</v>
      </c>
      <c r="W165" s="348">
        <v>0.5</v>
      </c>
      <c r="X165" s="447"/>
      <c r="Y165" s="447"/>
    </row>
    <row r="166" spans="1:25" ht="15" customHeight="1">
      <c r="A166" s="104" t="str">
        <f>IF(K166&gt;0,COUNT($A$10:A165)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6" s="301"/>
      <c r="C166" s="192"/>
      <c r="D166" s="194" t="s">
        <v>934</v>
      </c>
      <c r="E166" s="172">
        <v>100022078</v>
      </c>
      <c r="F166" s="313" t="s">
        <v>935</v>
      </c>
      <c r="G166" s="172">
        <v>50</v>
      </c>
      <c r="H166" s="172">
        <v>3750</v>
      </c>
      <c r="I166" s="520">
        <f>_xlfn.XLOOKUP(E166,'All Products'!D:D,'All Products'!H:H)</f>
        <v>12.34</v>
      </c>
      <c r="J166" s="317">
        <f>ROUNDUP(I166*Order_Quote!$L$12,2)</f>
        <v>61.7</v>
      </c>
      <c r="K166" s="195"/>
      <c r="L166" s="193"/>
      <c r="M166" s="299">
        <f t="shared" si="8"/>
        <v>0</v>
      </c>
      <c r="O166" s="312" t="s">
        <v>359</v>
      </c>
      <c r="P166" s="312" t="s">
        <v>102</v>
      </c>
      <c r="Q166" s="305" t="s">
        <v>936</v>
      </c>
      <c r="R166" s="305" t="s">
        <v>937</v>
      </c>
      <c r="S166" s="305" t="s">
        <v>938</v>
      </c>
      <c r="T166" s="347">
        <v>0.14599999999999999</v>
      </c>
      <c r="U166" s="265">
        <v>5</v>
      </c>
      <c r="V166" s="348">
        <v>7.94</v>
      </c>
      <c r="W166" s="348">
        <v>0.65</v>
      </c>
      <c r="X166" s="447"/>
      <c r="Y166" s="447"/>
    </row>
    <row r="167" spans="1:25" ht="15" customHeight="1">
      <c r="A167" s="104" t="str">
        <f>IF(K167&gt;0,COUNT($A$10:A166)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7" s="455" t="s">
        <v>641</v>
      </c>
      <c r="C167" s="452"/>
      <c r="D167" s="452"/>
      <c r="E167" s="452"/>
      <c r="F167" s="452"/>
      <c r="G167" s="452"/>
      <c r="H167" s="452"/>
      <c r="I167" s="452"/>
      <c r="J167" s="453"/>
      <c r="K167" s="452"/>
      <c r="L167" s="452"/>
      <c r="M167" s="454"/>
      <c r="O167" s="452"/>
      <c r="P167" s="452"/>
      <c r="Q167" s="452"/>
      <c r="R167" s="452"/>
      <c r="S167" s="452"/>
      <c r="T167" s="452"/>
      <c r="U167" s="452"/>
      <c r="V167" s="452"/>
      <c r="W167" s="452"/>
    </row>
    <row r="168" spans="1:25" ht="24.75" customHeight="1">
      <c r="A168" s="104" t="str">
        <f>IF(K168&gt;0,COUNT($A$10:A167)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8" s="302"/>
      <c r="C168" s="303"/>
      <c r="D168" s="158" t="s">
        <v>939</v>
      </c>
      <c r="E168" s="106">
        <v>100022067</v>
      </c>
      <c r="F168" s="159" t="s">
        <v>940</v>
      </c>
      <c r="G168" s="106">
        <v>100</v>
      </c>
      <c r="H168" s="106">
        <v>9000</v>
      </c>
      <c r="I168" s="518">
        <f>_xlfn.XLOOKUP(E168,'All Products'!D:D,'All Products'!H:H)</f>
        <v>40.83</v>
      </c>
      <c r="J168" s="317">
        <f>ROUNDUP(I168*Order_Quote!$L$12,2)</f>
        <v>204.15</v>
      </c>
      <c r="K168" s="78"/>
      <c r="L168" s="292"/>
      <c r="M168" s="199">
        <f>K168/G168</f>
        <v>0</v>
      </c>
      <c r="O168" s="265" t="s">
        <v>76</v>
      </c>
      <c r="P168" s="265" t="s">
        <v>102</v>
      </c>
      <c r="Q168" s="305" t="s">
        <v>941</v>
      </c>
      <c r="R168" s="305" t="s">
        <v>942</v>
      </c>
      <c r="S168" s="305" t="s">
        <v>943</v>
      </c>
      <c r="T168" s="347">
        <v>7.5999999999999998E-2</v>
      </c>
      <c r="U168" s="265">
        <v>10</v>
      </c>
      <c r="V168" s="348">
        <v>0</v>
      </c>
      <c r="W168" s="348">
        <v>0.5</v>
      </c>
      <c r="X168" s="447"/>
      <c r="Y168" s="447"/>
    </row>
    <row r="169" spans="1:25" ht="15" customHeight="1">
      <c r="A169" s="104" t="str">
        <f>IF(K169&gt;0,COUNT($A$10:A168)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69" s="17"/>
      <c r="E169" s="20"/>
      <c r="F169" s="217"/>
      <c r="G169" s="20"/>
      <c r="H169" s="20"/>
      <c r="I169" s="514"/>
      <c r="J169" s="237"/>
      <c r="K169" s="443"/>
      <c r="L169" s="20"/>
      <c r="M169" s="181"/>
      <c r="O169" s="20"/>
      <c r="P169" s="20"/>
      <c r="Q169" s="20"/>
      <c r="R169" s="20"/>
      <c r="S169" s="20"/>
      <c r="T169" s="20"/>
      <c r="U169" s="20"/>
      <c r="V169" s="20"/>
      <c r="W169" s="20"/>
    </row>
    <row r="170" spans="1:25" ht="18.75">
      <c r="A170" s="104" t="str">
        <f>IF(K170&gt;0,COUNT($A$10:A169)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0" s="444" t="s">
        <v>944</v>
      </c>
      <c r="C170" s="44"/>
      <c r="D170" s="44"/>
      <c r="E170" s="44"/>
      <c r="F170" s="44"/>
      <c r="G170" s="44"/>
      <c r="H170" s="44"/>
      <c r="I170" s="515"/>
      <c r="J170" s="445"/>
      <c r="K170" s="246"/>
      <c r="L170" s="243"/>
      <c r="M170" s="157"/>
      <c r="O170" s="44"/>
      <c r="P170" s="44"/>
      <c r="Q170" s="44"/>
      <c r="R170" s="44"/>
      <c r="S170" s="44"/>
      <c r="T170" s="44"/>
      <c r="U170" s="44"/>
      <c r="V170" s="44"/>
      <c r="W170" s="44"/>
    </row>
    <row r="171" spans="1:25" ht="15" customHeight="1">
      <c r="A171" s="104" t="str">
        <f>IF(K171&gt;0,COUNT($A$10:A170)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1" s="319" t="s">
        <v>673</v>
      </c>
      <c r="C171" s="452"/>
      <c r="D171" s="452"/>
      <c r="E171" s="452"/>
      <c r="F171" s="452"/>
      <c r="G171" s="452"/>
      <c r="H171" s="452"/>
      <c r="I171" s="452"/>
      <c r="J171" s="453"/>
      <c r="K171" s="452"/>
      <c r="L171" s="452"/>
      <c r="M171" s="454"/>
      <c r="O171" s="452"/>
      <c r="P171" s="452"/>
      <c r="Q171" s="452"/>
      <c r="R171" s="452"/>
      <c r="S171" s="452"/>
      <c r="T171" s="452"/>
      <c r="U171" s="452"/>
      <c r="V171" s="452"/>
      <c r="W171" s="452"/>
    </row>
    <row r="172" spans="1:25" ht="31.5" customHeight="1">
      <c r="A172" s="104" t="str">
        <f>IF(K172&gt;0,COUNT($A$10:A171)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2" s="301"/>
      <c r="C172" s="192"/>
      <c r="D172" s="208" t="s">
        <v>945</v>
      </c>
      <c r="E172" s="171">
        <v>100022058</v>
      </c>
      <c r="F172" s="289" t="s">
        <v>946</v>
      </c>
      <c r="G172" s="171">
        <v>250</v>
      </c>
      <c r="H172" s="171">
        <v>22500</v>
      </c>
      <c r="I172" s="517">
        <f>_xlfn.XLOOKUP(E172,'All Products'!D:D,'All Products'!H:H)</f>
        <v>5.35</v>
      </c>
      <c r="J172" s="317">
        <f>ROUNDUP(I172*Order_Quote!$L$12,2)</f>
        <v>26.75</v>
      </c>
      <c r="K172" s="318"/>
      <c r="L172" s="193"/>
      <c r="M172" s="298">
        <f>K172/G172</f>
        <v>0</v>
      </c>
      <c r="O172" s="305" t="s">
        <v>76</v>
      </c>
      <c r="P172" s="305" t="s">
        <v>102</v>
      </c>
      <c r="Q172" s="305" t="s">
        <v>947</v>
      </c>
      <c r="R172" s="305" t="s">
        <v>948</v>
      </c>
      <c r="S172" s="305" t="s">
        <v>949</v>
      </c>
      <c r="T172" s="347">
        <v>2.5999999999999999E-2</v>
      </c>
      <c r="U172" s="265">
        <v>10</v>
      </c>
      <c r="V172" s="348">
        <v>7.43</v>
      </c>
      <c r="W172" s="348">
        <v>0.5</v>
      </c>
      <c r="X172" s="447"/>
      <c r="Y172" s="447"/>
    </row>
    <row r="173" spans="1:25" ht="31.5" customHeight="1">
      <c r="A173" s="104" t="str">
        <f>IF(K173&gt;0,COUNT($A$10:A172)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3" s="113"/>
      <c r="C173" s="114"/>
      <c r="D173" s="158" t="s">
        <v>950</v>
      </c>
      <c r="E173" s="106">
        <v>100022062</v>
      </c>
      <c r="F173" s="159" t="s">
        <v>951</v>
      </c>
      <c r="G173" s="106">
        <v>100</v>
      </c>
      <c r="H173" s="106">
        <v>15000</v>
      </c>
      <c r="I173" s="518">
        <f>_xlfn.XLOOKUP(E173,'All Products'!D:D,'All Products'!H:H)</f>
        <v>5.7</v>
      </c>
      <c r="J173" s="317">
        <f>ROUNDUP(I173*Order_Quote!$L$12,2)</f>
        <v>28.5</v>
      </c>
      <c r="K173" s="304"/>
      <c r="L173" s="300"/>
      <c r="M173" s="298">
        <f>K173/G173</f>
        <v>0</v>
      </c>
      <c r="O173" s="265" t="s">
        <v>76</v>
      </c>
      <c r="P173" s="265" t="s">
        <v>102</v>
      </c>
      <c r="Q173" s="305" t="s">
        <v>952</v>
      </c>
      <c r="R173" s="305" t="s">
        <v>953</v>
      </c>
      <c r="S173" s="305" t="s">
        <v>954</v>
      </c>
      <c r="T173" s="347">
        <v>3.6999999999999998E-2</v>
      </c>
      <c r="U173" s="265">
        <v>10</v>
      </c>
      <c r="V173" s="348">
        <v>4.4000000000000004</v>
      </c>
      <c r="W173" s="348">
        <v>0.31</v>
      </c>
      <c r="X173" s="447"/>
      <c r="Y173" s="447"/>
    </row>
    <row r="174" spans="1:25" ht="15" customHeight="1">
      <c r="A174" s="104" t="str">
        <f>IF(K174&gt;0,COUNT($A$10:A173)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4" s="17"/>
      <c r="E174" s="20"/>
      <c r="F174" s="217"/>
      <c r="G174" s="20"/>
      <c r="H174" s="20"/>
      <c r="I174" s="514"/>
      <c r="J174" s="237"/>
      <c r="K174" s="443"/>
      <c r="L174" s="20"/>
      <c r="M174" s="181"/>
      <c r="O174" s="20"/>
      <c r="P174" s="20"/>
      <c r="Q174" s="20"/>
      <c r="R174" s="20"/>
      <c r="S174" s="20"/>
      <c r="T174" s="20"/>
      <c r="U174" s="20"/>
      <c r="V174" s="20"/>
      <c r="W174" s="20"/>
    </row>
    <row r="175" spans="1:25" ht="18.75">
      <c r="A175" s="104" t="str">
        <f>IF(K175&gt;0,COUNT($A$10:A174)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5" s="444" t="s">
        <v>955</v>
      </c>
      <c r="C175" s="44"/>
      <c r="D175" s="44"/>
      <c r="E175" s="44"/>
      <c r="F175" s="44"/>
      <c r="G175" s="44"/>
      <c r="H175" s="44"/>
      <c r="I175" s="515"/>
      <c r="J175" s="445"/>
      <c r="K175" s="246"/>
      <c r="L175" s="243"/>
      <c r="M175" s="157"/>
      <c r="O175" s="44"/>
      <c r="P175" s="44"/>
      <c r="Q175" s="44"/>
      <c r="R175" s="44"/>
      <c r="S175" s="44"/>
      <c r="T175" s="44"/>
      <c r="U175" s="44"/>
      <c r="V175" s="44"/>
      <c r="W175" s="44"/>
    </row>
    <row r="176" spans="1:25" ht="15" customHeight="1">
      <c r="A176" s="104" t="str">
        <f>IF(K176&gt;0,COUNT($A$10:A175)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6" s="319" t="s">
        <v>956</v>
      </c>
      <c r="C176" s="451"/>
      <c r="D176" s="457"/>
      <c r="E176" s="314"/>
      <c r="F176" s="458"/>
      <c r="G176" s="314"/>
      <c r="H176" s="314"/>
      <c r="I176" s="519"/>
      <c r="J176" s="320"/>
      <c r="K176" s="459"/>
      <c r="L176" s="314"/>
      <c r="M176" s="315"/>
      <c r="O176" s="314"/>
      <c r="P176" s="314"/>
      <c r="Q176" s="314"/>
      <c r="R176" s="314"/>
      <c r="S176" s="314"/>
      <c r="T176" s="314"/>
      <c r="U176" s="314"/>
      <c r="V176" s="314"/>
      <c r="W176" s="314"/>
    </row>
    <row r="177" spans="1:25" ht="15" customHeight="1">
      <c r="A177" s="104" t="str">
        <f>IF(K177&gt;0,COUNT($A$10:A176)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7" s="110"/>
      <c r="C177" s="111"/>
      <c r="D177" s="158" t="s">
        <v>957</v>
      </c>
      <c r="E177" s="106">
        <v>100022080</v>
      </c>
      <c r="F177" s="159" t="s">
        <v>958</v>
      </c>
      <c r="G177" s="106">
        <v>250</v>
      </c>
      <c r="H177" s="106">
        <v>22500</v>
      </c>
      <c r="I177" s="518">
        <f>_xlfn.XLOOKUP(E177,'All Products'!D:D,'All Products'!H:H)</f>
        <v>5.67</v>
      </c>
      <c r="J177" s="317">
        <f>ROUNDUP(I177*Order_Quote!$L$12,2)</f>
        <v>28.35</v>
      </c>
      <c r="K177" s="78"/>
      <c r="L177" s="291"/>
      <c r="M177" s="199">
        <f t="shared" ref="M177:M191" si="9">K177/G177</f>
        <v>0</v>
      </c>
      <c r="O177" s="265" t="s">
        <v>76</v>
      </c>
      <c r="P177" s="265" t="s">
        <v>102</v>
      </c>
      <c r="Q177" s="305" t="s">
        <v>959</v>
      </c>
      <c r="R177" s="305" t="s">
        <v>960</v>
      </c>
      <c r="S177" s="305" t="s">
        <v>961</v>
      </c>
      <c r="T177" s="347">
        <v>2.4E-2</v>
      </c>
      <c r="U177" s="265">
        <v>10</v>
      </c>
      <c r="V177" s="348">
        <v>7.5</v>
      </c>
      <c r="W177" s="348">
        <v>0.5</v>
      </c>
      <c r="X177" s="447"/>
      <c r="Y177" s="447"/>
    </row>
    <row r="178" spans="1:25" ht="15" customHeight="1">
      <c r="A178" s="104" t="str">
        <f>IF(K178&gt;0,COUNT($A$10:A177)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8" s="112"/>
      <c r="C178" s="79"/>
      <c r="D178" s="158" t="s">
        <v>962</v>
      </c>
      <c r="E178" s="106">
        <v>100022082</v>
      </c>
      <c r="F178" s="159" t="s">
        <v>963</v>
      </c>
      <c r="G178" s="106">
        <v>250</v>
      </c>
      <c r="H178" s="106">
        <v>18750</v>
      </c>
      <c r="I178" s="518">
        <f>_xlfn.XLOOKUP(E178,'All Products'!D:D,'All Products'!H:H)</f>
        <v>7.43</v>
      </c>
      <c r="J178" s="317">
        <f>ROUNDUP(I178*Order_Quote!$L$12,2)</f>
        <v>37.15</v>
      </c>
      <c r="K178" s="78"/>
      <c r="L178" s="116"/>
      <c r="M178" s="199">
        <f t="shared" si="9"/>
        <v>0</v>
      </c>
      <c r="O178" s="265" t="s">
        <v>76</v>
      </c>
      <c r="P178" s="265" t="s">
        <v>102</v>
      </c>
      <c r="Q178" s="305" t="s">
        <v>964</v>
      </c>
      <c r="R178" s="305" t="s">
        <v>965</v>
      </c>
      <c r="S178" s="305" t="s">
        <v>966</v>
      </c>
      <c r="T178" s="347">
        <v>3.7999999999999999E-2</v>
      </c>
      <c r="U178" s="265">
        <v>10</v>
      </c>
      <c r="V178" s="348">
        <v>11.16</v>
      </c>
      <c r="W178" s="348">
        <v>0.65</v>
      </c>
      <c r="X178" s="447"/>
      <c r="Y178" s="447"/>
    </row>
    <row r="179" spans="1:25" ht="15" customHeight="1">
      <c r="A179" s="104" t="str">
        <f>IF(K179&gt;0,COUNT($A$10:A178)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79" s="112"/>
      <c r="C179" s="79"/>
      <c r="D179" s="158" t="s">
        <v>967</v>
      </c>
      <c r="E179" s="106">
        <v>100022084</v>
      </c>
      <c r="F179" s="159" t="s">
        <v>968</v>
      </c>
      <c r="G179" s="106">
        <v>100</v>
      </c>
      <c r="H179" s="106">
        <v>9000</v>
      </c>
      <c r="I179" s="518">
        <f>_xlfn.XLOOKUP(E179,'All Products'!D:D,'All Products'!H:H)</f>
        <v>7.77</v>
      </c>
      <c r="J179" s="317">
        <f>ROUNDUP(I179*Order_Quote!$L$12,2)</f>
        <v>38.85</v>
      </c>
      <c r="K179" s="78"/>
      <c r="L179" s="116"/>
      <c r="M179" s="199">
        <f t="shared" si="9"/>
        <v>0</v>
      </c>
      <c r="O179" s="265" t="s">
        <v>76</v>
      </c>
      <c r="P179" s="265" t="s">
        <v>102</v>
      </c>
      <c r="Q179" s="305" t="s">
        <v>969</v>
      </c>
      <c r="R179" s="305" t="s">
        <v>970</v>
      </c>
      <c r="S179" s="305" t="s">
        <v>971</v>
      </c>
      <c r="T179" s="347">
        <v>0.06</v>
      </c>
      <c r="U179" s="265">
        <v>10</v>
      </c>
      <c r="V179" s="348">
        <v>7.52</v>
      </c>
      <c r="W179" s="348">
        <v>0.5</v>
      </c>
      <c r="X179" s="447"/>
      <c r="Y179" s="447"/>
    </row>
    <row r="180" spans="1:25" ht="15" customHeight="1">
      <c r="A180" s="104" t="str">
        <f>IF(K180&gt;0,COUNT($A$10:A179)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0" s="112"/>
      <c r="C180" s="79"/>
      <c r="D180" s="158" t="s">
        <v>972</v>
      </c>
      <c r="E180" s="106">
        <v>100022085</v>
      </c>
      <c r="F180" s="159" t="s">
        <v>973</v>
      </c>
      <c r="G180" s="106">
        <v>50</v>
      </c>
      <c r="H180" s="106">
        <v>4500</v>
      </c>
      <c r="I180" s="518">
        <f>_xlfn.XLOOKUP(E180,'All Products'!D:D,'All Products'!H:H)</f>
        <v>8.0500000000000007</v>
      </c>
      <c r="J180" s="317">
        <f>ROUNDUP(I180*Order_Quote!$L$12,2)</f>
        <v>40.25</v>
      </c>
      <c r="K180" s="78"/>
      <c r="L180" s="116"/>
      <c r="M180" s="199">
        <f t="shared" si="9"/>
        <v>0</v>
      </c>
      <c r="O180" s="265" t="s">
        <v>76</v>
      </c>
      <c r="P180" s="265" t="s">
        <v>102</v>
      </c>
      <c r="Q180" s="305" t="s">
        <v>974</v>
      </c>
      <c r="R180" s="305" t="s">
        <v>975</v>
      </c>
      <c r="S180" s="305" t="s">
        <v>976</v>
      </c>
      <c r="T180" s="347">
        <v>0.12</v>
      </c>
      <c r="U180" s="265">
        <v>5</v>
      </c>
      <c r="V180" s="348">
        <v>6.13</v>
      </c>
      <c r="W180" s="348">
        <v>0.5</v>
      </c>
      <c r="X180" s="447"/>
      <c r="Y180" s="447"/>
    </row>
    <row r="181" spans="1:25" ht="15" customHeight="1">
      <c r="A181" s="104" t="str">
        <f>IF(K181&gt;0,COUNT($A$10:A180)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1" s="112"/>
      <c r="C181" s="79"/>
      <c r="D181" s="158" t="s">
        <v>977</v>
      </c>
      <c r="E181" s="106">
        <v>100022086</v>
      </c>
      <c r="F181" s="159" t="s">
        <v>978</v>
      </c>
      <c r="G181" s="106">
        <v>50</v>
      </c>
      <c r="H181" s="106">
        <v>3750</v>
      </c>
      <c r="I181" s="518">
        <f>_xlfn.XLOOKUP(E181,'All Products'!D:D,'All Products'!H:H)</f>
        <v>8.61</v>
      </c>
      <c r="J181" s="317">
        <f>ROUNDUP(I181*Order_Quote!$L$12,2)</f>
        <v>43.05</v>
      </c>
      <c r="K181" s="78"/>
      <c r="L181" s="116"/>
      <c r="M181" s="199">
        <f t="shared" si="9"/>
        <v>0</v>
      </c>
      <c r="O181" s="265" t="s">
        <v>76</v>
      </c>
      <c r="P181" s="265" t="s">
        <v>102</v>
      </c>
      <c r="Q181" s="305" t="s">
        <v>979</v>
      </c>
      <c r="R181" s="305" t="s">
        <v>980</v>
      </c>
      <c r="S181" s="305" t="s">
        <v>981</v>
      </c>
      <c r="T181" s="347">
        <v>0.11799999999999999</v>
      </c>
      <c r="U181" s="265">
        <v>5</v>
      </c>
      <c r="V181" s="348">
        <v>6.85</v>
      </c>
      <c r="W181" s="348">
        <v>0.65</v>
      </c>
      <c r="X181" s="447"/>
      <c r="Y181" s="447"/>
    </row>
    <row r="182" spans="1:25" ht="15" customHeight="1">
      <c r="A182" s="104" t="str">
        <f>IF(K182&gt;0,COUNT($A$10:A181)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2" s="112"/>
      <c r="C182" s="79"/>
      <c r="D182" s="158" t="s">
        <v>982</v>
      </c>
      <c r="E182" s="106">
        <v>100022088</v>
      </c>
      <c r="F182" s="159" t="s">
        <v>983</v>
      </c>
      <c r="G182" s="106">
        <v>25</v>
      </c>
      <c r="H182" s="106">
        <v>2250</v>
      </c>
      <c r="I182" s="518">
        <f>_xlfn.XLOOKUP(E182,'All Products'!D:D,'All Products'!H:H)</f>
        <v>14.33</v>
      </c>
      <c r="J182" s="317">
        <f>ROUNDUP(I182*Order_Quote!$L$12,2)</f>
        <v>71.650000000000006</v>
      </c>
      <c r="K182" s="78"/>
      <c r="L182" s="116"/>
      <c r="M182" s="199">
        <f t="shared" si="9"/>
        <v>0</v>
      </c>
      <c r="O182" s="265" t="s">
        <v>76</v>
      </c>
      <c r="P182" s="265" t="s">
        <v>102</v>
      </c>
      <c r="Q182" s="305" t="s">
        <v>984</v>
      </c>
      <c r="R182" s="305" t="s">
        <v>985</v>
      </c>
      <c r="S182" s="305" t="s">
        <v>986</v>
      </c>
      <c r="T182" s="347">
        <v>0.19600000000000001</v>
      </c>
      <c r="U182" s="265">
        <v>5</v>
      </c>
      <c r="V182" s="348">
        <v>5.0999999999999996</v>
      </c>
      <c r="W182" s="348">
        <v>0.5</v>
      </c>
      <c r="X182" s="447"/>
      <c r="Y182" s="447"/>
    </row>
    <row r="183" spans="1:25" ht="15" customHeight="1">
      <c r="A183" s="104" t="str">
        <f>IF(K183&gt;0,COUNT($A$10:A182)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3" s="112"/>
      <c r="C183" s="79"/>
      <c r="D183" s="158" t="s">
        <v>987</v>
      </c>
      <c r="E183" s="106">
        <v>100022090</v>
      </c>
      <c r="F183" s="159" t="s">
        <v>988</v>
      </c>
      <c r="G183" s="106">
        <v>10</v>
      </c>
      <c r="H183" s="106">
        <v>750</v>
      </c>
      <c r="I183" s="518">
        <f>_xlfn.XLOOKUP(E183,'All Products'!D:D,'All Products'!H:H)</f>
        <v>48.46</v>
      </c>
      <c r="J183" s="317">
        <f>ROUNDUP(I183*Order_Quote!$L$12,2)</f>
        <v>242.3</v>
      </c>
      <c r="K183" s="78"/>
      <c r="L183" s="116"/>
      <c r="M183" s="199">
        <f t="shared" si="9"/>
        <v>0</v>
      </c>
      <c r="O183" s="265" t="s">
        <v>76</v>
      </c>
      <c r="P183" s="265" t="s">
        <v>102</v>
      </c>
      <c r="Q183" s="305" t="s">
        <v>989</v>
      </c>
      <c r="R183" s="305" t="s">
        <v>990</v>
      </c>
      <c r="S183" s="305" t="s">
        <v>991</v>
      </c>
      <c r="T183" s="347">
        <v>0.55200000000000005</v>
      </c>
      <c r="U183" s="265">
        <v>0</v>
      </c>
      <c r="V183" s="348">
        <v>5.54</v>
      </c>
      <c r="W183" s="348">
        <v>0.65</v>
      </c>
      <c r="X183" s="447"/>
      <c r="Y183" s="447"/>
    </row>
    <row r="184" spans="1:25" ht="15" customHeight="1">
      <c r="A184" s="104" t="str">
        <f>IF(K184&gt;0,COUNT($A$10:A183)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4" s="112"/>
      <c r="C184" s="79"/>
      <c r="D184" s="158" t="s">
        <v>992</v>
      </c>
      <c r="E184" s="106">
        <v>100022092</v>
      </c>
      <c r="F184" s="159" t="s">
        <v>993</v>
      </c>
      <c r="G184" s="106">
        <v>100</v>
      </c>
      <c r="H184" s="106">
        <v>15000</v>
      </c>
      <c r="I184" s="518">
        <f>_xlfn.XLOOKUP(E184,'All Products'!D:D,'All Products'!H:H)</f>
        <v>7.43</v>
      </c>
      <c r="J184" s="317">
        <f>ROUNDUP(I184*Order_Quote!$L$12,2)</f>
        <v>37.15</v>
      </c>
      <c r="K184" s="78"/>
      <c r="L184" s="116"/>
      <c r="M184" s="199">
        <f t="shared" si="9"/>
        <v>0</v>
      </c>
      <c r="O184" s="265" t="s">
        <v>76</v>
      </c>
      <c r="P184" s="265" t="s">
        <v>102</v>
      </c>
      <c r="Q184" s="305" t="s">
        <v>994</v>
      </c>
      <c r="R184" s="305" t="s">
        <v>995</v>
      </c>
      <c r="S184" s="305" t="s">
        <v>996</v>
      </c>
      <c r="T184" s="347">
        <v>3.2000000000000001E-2</v>
      </c>
      <c r="U184" s="265">
        <v>10</v>
      </c>
      <c r="V184" s="348">
        <v>4.24</v>
      </c>
      <c r="W184" s="348">
        <v>0.31</v>
      </c>
      <c r="X184" s="447"/>
      <c r="Y184" s="447"/>
    </row>
    <row r="185" spans="1:25" ht="15" customHeight="1">
      <c r="A185" s="104" t="str">
        <f>IF(K185&gt;0,COUNT($A$10:A184)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5" s="112"/>
      <c r="C185" s="79"/>
      <c r="D185" s="158" t="s">
        <v>997</v>
      </c>
      <c r="E185" s="106">
        <v>100022094</v>
      </c>
      <c r="F185" s="159" t="s">
        <v>998</v>
      </c>
      <c r="G185" s="106">
        <v>100</v>
      </c>
      <c r="H185" s="106">
        <v>9000</v>
      </c>
      <c r="I185" s="518">
        <f>_xlfn.XLOOKUP(E185,'All Products'!D:D,'All Products'!H:H)</f>
        <v>8.66</v>
      </c>
      <c r="J185" s="317">
        <f>ROUNDUP(I185*Order_Quote!$L$12,2)</f>
        <v>43.3</v>
      </c>
      <c r="K185" s="78"/>
      <c r="L185" s="116"/>
      <c r="M185" s="199">
        <f t="shared" si="9"/>
        <v>0</v>
      </c>
      <c r="O185" s="265" t="s">
        <v>76</v>
      </c>
      <c r="P185" s="265" t="s">
        <v>102</v>
      </c>
      <c r="Q185" s="305" t="s">
        <v>999</v>
      </c>
      <c r="R185" s="305" t="s">
        <v>1000</v>
      </c>
      <c r="S185" s="305" t="s">
        <v>1001</v>
      </c>
      <c r="T185" s="347">
        <v>5.1999999999999998E-2</v>
      </c>
      <c r="U185" s="265">
        <v>10</v>
      </c>
      <c r="V185" s="348">
        <v>5.85</v>
      </c>
      <c r="W185" s="348">
        <v>0.5</v>
      </c>
      <c r="X185" s="447"/>
      <c r="Y185" s="447"/>
    </row>
    <row r="186" spans="1:25" ht="15" customHeight="1">
      <c r="A186" s="104" t="str">
        <f>IF(K186&gt;0,COUNT($A$10:A185)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6" s="112"/>
      <c r="C186" s="79"/>
      <c r="D186" s="158" t="s">
        <v>1002</v>
      </c>
      <c r="E186" s="106">
        <v>100022095</v>
      </c>
      <c r="F186" s="159" t="s">
        <v>1003</v>
      </c>
      <c r="G186" s="106">
        <v>100</v>
      </c>
      <c r="H186" s="106">
        <v>9000</v>
      </c>
      <c r="I186" s="518">
        <f>_xlfn.XLOOKUP(E186,'All Products'!D:D,'All Products'!H:H)</f>
        <v>8.66</v>
      </c>
      <c r="J186" s="317">
        <f>ROUNDUP(I186*Order_Quote!$L$12,2)</f>
        <v>43.3</v>
      </c>
      <c r="K186" s="78"/>
      <c r="L186" s="116"/>
      <c r="M186" s="199">
        <f t="shared" si="9"/>
        <v>0</v>
      </c>
      <c r="O186" s="265" t="s">
        <v>76</v>
      </c>
      <c r="P186" s="265" t="s">
        <v>102</v>
      </c>
      <c r="Q186" s="305" t="s">
        <v>1004</v>
      </c>
      <c r="R186" s="305" t="s">
        <v>1005</v>
      </c>
      <c r="S186" s="305" t="s">
        <v>1006</v>
      </c>
      <c r="T186" s="347">
        <v>0.05</v>
      </c>
      <c r="U186" s="265">
        <v>10</v>
      </c>
      <c r="V186" s="348">
        <v>5.93</v>
      </c>
      <c r="W186" s="348">
        <v>0.5</v>
      </c>
      <c r="X186" s="447"/>
      <c r="Y186" s="447"/>
    </row>
    <row r="187" spans="1:25" ht="15" customHeight="1">
      <c r="A187" s="104" t="str">
        <f>IF(K187&gt;0,COUNT($A$10:A186)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7" s="112"/>
      <c r="C187" s="79"/>
      <c r="D187" s="158" t="s">
        <v>1007</v>
      </c>
      <c r="E187" s="106">
        <v>100022096</v>
      </c>
      <c r="F187" s="159" t="s">
        <v>1008</v>
      </c>
      <c r="G187" s="106">
        <v>100</v>
      </c>
      <c r="H187" s="106">
        <v>7500</v>
      </c>
      <c r="I187" s="518">
        <f>_xlfn.XLOOKUP(E187,'All Products'!D:D,'All Products'!H:H)</f>
        <v>10.38</v>
      </c>
      <c r="J187" s="317">
        <f>ROUNDUP(I187*Order_Quote!$L$12,2)</f>
        <v>51.9</v>
      </c>
      <c r="K187" s="78"/>
      <c r="L187" s="116"/>
      <c r="M187" s="199">
        <f t="shared" si="9"/>
        <v>0</v>
      </c>
      <c r="O187" s="265" t="s">
        <v>359</v>
      </c>
      <c r="P187" s="265" t="s">
        <v>102</v>
      </c>
      <c r="Q187" s="305" t="s">
        <v>1009</v>
      </c>
      <c r="R187" s="305" t="s">
        <v>1010</v>
      </c>
      <c r="S187" s="305" t="s">
        <v>1011</v>
      </c>
      <c r="T187" s="347">
        <v>8.8999999999999996E-2</v>
      </c>
      <c r="U187" s="265">
        <v>10</v>
      </c>
      <c r="V187" s="348">
        <v>8.9</v>
      </c>
      <c r="W187" s="348">
        <v>0.65</v>
      </c>
      <c r="X187" s="447"/>
      <c r="Y187" s="447"/>
    </row>
    <row r="188" spans="1:25" ht="15" customHeight="1">
      <c r="A188" s="104" t="str">
        <f>IF(K188&gt;0,COUNT($A$10:A187)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8" s="112"/>
      <c r="C188" s="79"/>
      <c r="D188" s="158" t="s">
        <v>1012</v>
      </c>
      <c r="E188" s="106">
        <v>100022097</v>
      </c>
      <c r="F188" s="159" t="s">
        <v>1013</v>
      </c>
      <c r="G188" s="106">
        <v>100</v>
      </c>
      <c r="H188" s="106">
        <v>7500</v>
      </c>
      <c r="I188" s="518">
        <f>_xlfn.XLOOKUP(E188,'All Products'!D:D,'All Products'!H:H)</f>
        <v>10.38</v>
      </c>
      <c r="J188" s="317">
        <f>ROUNDUP(I188*Order_Quote!$L$12,2)</f>
        <v>51.9</v>
      </c>
      <c r="K188" s="78"/>
      <c r="L188" s="292"/>
      <c r="M188" s="199">
        <f t="shared" si="9"/>
        <v>0</v>
      </c>
      <c r="O188" s="265" t="s">
        <v>76</v>
      </c>
      <c r="P188" s="265" t="s">
        <v>102</v>
      </c>
      <c r="Q188" s="305" t="s">
        <v>1014</v>
      </c>
      <c r="R188" s="305" t="s">
        <v>1015</v>
      </c>
      <c r="S188" s="305" t="s">
        <v>1016</v>
      </c>
      <c r="T188" s="347">
        <v>9.4E-2</v>
      </c>
      <c r="U188" s="265">
        <v>10</v>
      </c>
      <c r="V188" s="348">
        <v>9.25</v>
      </c>
      <c r="W188" s="348">
        <v>0.65</v>
      </c>
      <c r="X188" s="447"/>
      <c r="Y188" s="447"/>
    </row>
    <row r="189" spans="1:25" ht="15" customHeight="1">
      <c r="A189" s="104" t="str">
        <f>IF(K189&gt;0,COUNT($A$10:A188)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89" s="112"/>
      <c r="C189" s="79"/>
      <c r="D189" s="158" t="s">
        <v>1017</v>
      </c>
      <c r="E189" s="106">
        <v>100022098</v>
      </c>
      <c r="F189" s="159" t="s">
        <v>1018</v>
      </c>
      <c r="G189" s="106">
        <v>100</v>
      </c>
      <c r="H189" s="106">
        <v>7500</v>
      </c>
      <c r="I189" s="518">
        <f>_xlfn.XLOOKUP(E189,'All Products'!D:D,'All Products'!H:H)</f>
        <v>10.38</v>
      </c>
      <c r="J189" s="317">
        <f>ROUNDUP(I189*Order_Quote!$L$12,2)</f>
        <v>51.9</v>
      </c>
      <c r="K189" s="78"/>
      <c r="L189" s="196"/>
      <c r="M189" s="199">
        <f t="shared" si="9"/>
        <v>0</v>
      </c>
      <c r="O189" s="265" t="s">
        <v>359</v>
      </c>
      <c r="P189" s="265" t="s">
        <v>102</v>
      </c>
      <c r="Q189" s="305" t="s">
        <v>1019</v>
      </c>
      <c r="R189" s="305" t="s">
        <v>1020</v>
      </c>
      <c r="S189" s="305" t="s">
        <v>1021</v>
      </c>
      <c r="T189" s="347">
        <v>9.9000000000000005E-2</v>
      </c>
      <c r="U189" s="265">
        <v>10</v>
      </c>
      <c r="V189" s="348">
        <v>10.31</v>
      </c>
      <c r="W189" s="348">
        <v>0.65</v>
      </c>
      <c r="X189" s="447"/>
      <c r="Y189" s="447"/>
    </row>
    <row r="190" spans="1:25" ht="15" customHeight="1">
      <c r="A190" s="104" t="str">
        <f>IF(K190&gt;0,COUNT($A$10:A189)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0" s="448"/>
      <c r="C190" s="449"/>
      <c r="D190" s="158" t="s">
        <v>1022</v>
      </c>
      <c r="E190" s="106">
        <v>100022101</v>
      </c>
      <c r="F190" s="159" t="s">
        <v>1023</v>
      </c>
      <c r="G190" s="106">
        <v>50</v>
      </c>
      <c r="H190" s="106">
        <v>4500</v>
      </c>
      <c r="I190" s="518">
        <f>_xlfn.XLOOKUP(E190,'All Products'!D:D,'All Products'!H:H)</f>
        <v>11.88</v>
      </c>
      <c r="J190" s="317">
        <f>ROUNDUP(I190*Order_Quote!$L$12,2)</f>
        <v>59.4</v>
      </c>
      <c r="K190" s="78"/>
      <c r="L190" s="196"/>
      <c r="M190" s="199">
        <f t="shared" si="9"/>
        <v>0</v>
      </c>
      <c r="O190" s="265" t="s">
        <v>76</v>
      </c>
      <c r="P190" s="265" t="s">
        <v>102</v>
      </c>
      <c r="Q190" s="305" t="s">
        <v>1024</v>
      </c>
      <c r="R190" s="305" t="s">
        <v>1025</v>
      </c>
      <c r="S190" s="305" t="s">
        <v>1026</v>
      </c>
      <c r="T190" s="347">
        <v>0.114</v>
      </c>
      <c r="U190" s="265">
        <v>5</v>
      </c>
      <c r="V190" s="348">
        <v>5.61</v>
      </c>
      <c r="W190" s="348">
        <v>0.5</v>
      </c>
      <c r="X190" s="447"/>
      <c r="Y190" s="447"/>
    </row>
    <row r="191" spans="1:25" ht="15" customHeight="1">
      <c r="A191" s="104" t="str">
        <f>IF(K191&gt;0,COUNT($A$10:A190)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1" s="471"/>
      <c r="C191" s="472"/>
      <c r="D191" s="158" t="s">
        <v>1027</v>
      </c>
      <c r="E191" s="106">
        <v>100022102</v>
      </c>
      <c r="F191" s="159" t="s">
        <v>1028</v>
      </c>
      <c r="G191" s="106">
        <v>50</v>
      </c>
      <c r="H191" s="106">
        <v>4500</v>
      </c>
      <c r="I191" s="518">
        <f>_xlfn.XLOOKUP(E191,'All Products'!D:D,'All Products'!H:H)</f>
        <v>11.88</v>
      </c>
      <c r="J191" s="317">
        <f>ROUNDUP(I191*Order_Quote!$L$12,2)</f>
        <v>59.4</v>
      </c>
      <c r="K191" s="78"/>
      <c r="L191" s="196"/>
      <c r="M191" s="199">
        <f t="shared" si="9"/>
        <v>0</v>
      </c>
      <c r="O191" s="265" t="s">
        <v>76</v>
      </c>
      <c r="P191" s="265" t="s">
        <v>102</v>
      </c>
      <c r="Q191" s="305" t="s">
        <v>1029</v>
      </c>
      <c r="R191" s="305" t="s">
        <v>1030</v>
      </c>
      <c r="S191" s="305" t="s">
        <v>1031</v>
      </c>
      <c r="T191" s="347">
        <v>0.11</v>
      </c>
      <c r="U191" s="265">
        <v>5</v>
      </c>
      <c r="V191" s="348">
        <v>6.3</v>
      </c>
      <c r="W191" s="348">
        <v>0.5</v>
      </c>
      <c r="X191" s="447"/>
      <c r="Y191" s="447"/>
    </row>
    <row r="192" spans="1:25" ht="15" customHeight="1">
      <c r="A192" s="104" t="str">
        <f>IF(K192&gt;0,COUNT($A$10:A191)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2" s="17"/>
      <c r="E192" s="20"/>
      <c r="F192" s="217"/>
      <c r="G192" s="20"/>
      <c r="H192" s="20"/>
      <c r="I192" s="514"/>
      <c r="J192" s="237"/>
      <c r="K192" s="443"/>
      <c r="L192" s="20"/>
      <c r="M192" s="181"/>
      <c r="O192" s="20"/>
      <c r="P192" s="20"/>
      <c r="Q192" s="20"/>
      <c r="R192" s="20"/>
      <c r="S192" s="20"/>
      <c r="T192" s="20"/>
      <c r="U192" s="20"/>
      <c r="V192" s="20"/>
      <c r="W192" s="20"/>
    </row>
    <row r="193" spans="1:25" ht="18.75">
      <c r="A193" s="104" t="str">
        <f>IF(K193&gt;0,COUNT($A$10:A192)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3" s="444" t="s">
        <v>1032</v>
      </c>
      <c r="C193" s="44"/>
      <c r="D193" s="44"/>
      <c r="E193" s="44"/>
      <c r="F193" s="44"/>
      <c r="G193" s="44"/>
      <c r="H193" s="44"/>
      <c r="I193" s="515"/>
      <c r="J193" s="445"/>
      <c r="K193" s="246"/>
      <c r="L193" s="243"/>
      <c r="M193" s="157"/>
      <c r="O193" s="44"/>
      <c r="P193" s="44"/>
      <c r="Q193" s="44"/>
      <c r="R193" s="44"/>
      <c r="S193" s="44"/>
      <c r="T193" s="44"/>
      <c r="U193" s="44"/>
      <c r="V193" s="44"/>
      <c r="W193" s="44"/>
    </row>
    <row r="194" spans="1:25" ht="15" customHeight="1">
      <c r="A194" s="104" t="str">
        <f>IF(K194&gt;0,COUNT($A$10:A193)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4" s="455" t="s">
        <v>1033</v>
      </c>
      <c r="C194" s="452"/>
      <c r="D194" s="457"/>
      <c r="E194" s="314"/>
      <c r="F194" s="458"/>
      <c r="G194" s="314"/>
      <c r="H194" s="314"/>
      <c r="I194" s="519"/>
      <c r="J194" s="320"/>
      <c r="K194" s="459"/>
      <c r="L194" s="314"/>
      <c r="M194" s="315"/>
      <c r="O194" s="314"/>
      <c r="P194" s="314"/>
      <c r="Q194" s="314"/>
      <c r="R194" s="314"/>
      <c r="S194" s="314"/>
      <c r="T194" s="314"/>
      <c r="U194" s="314"/>
      <c r="V194" s="314"/>
      <c r="W194" s="314"/>
    </row>
    <row r="195" spans="1:25" ht="15" customHeight="1">
      <c r="A195" s="104" t="str">
        <f>IF(K195&gt;0,COUNT($A$10:A194)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5" s="448"/>
      <c r="C195" s="449"/>
      <c r="D195" s="208" t="s">
        <v>1034</v>
      </c>
      <c r="E195" s="171">
        <v>100022104</v>
      </c>
      <c r="F195" s="289" t="s">
        <v>1035</v>
      </c>
      <c r="G195" s="171">
        <v>250</v>
      </c>
      <c r="H195" s="171">
        <v>33000</v>
      </c>
      <c r="I195" s="517">
        <f>_xlfn.XLOOKUP(E195,'All Products'!D:D,'All Products'!H:H)</f>
        <v>10.74</v>
      </c>
      <c r="J195" s="317">
        <f>ROUNDUP(I195*Order_Quote!$L$12,2)</f>
        <v>53.7</v>
      </c>
      <c r="K195" s="184"/>
      <c r="L195" s="193"/>
      <c r="M195" s="298">
        <f t="shared" ref="M195:M200" si="10">K195/G195</f>
        <v>0</v>
      </c>
      <c r="O195" s="305" t="s">
        <v>76</v>
      </c>
      <c r="P195" s="305" t="s">
        <v>102</v>
      </c>
      <c r="Q195" s="305" t="s">
        <v>1036</v>
      </c>
      <c r="R195" s="305" t="s">
        <v>1037</v>
      </c>
      <c r="S195" s="305" t="s">
        <v>1038</v>
      </c>
      <c r="T195" s="347">
        <v>3.5000000000000003E-2</v>
      </c>
      <c r="U195" s="265">
        <v>10</v>
      </c>
      <c r="V195" s="348">
        <v>9.43</v>
      </c>
      <c r="W195" s="348">
        <v>0.5</v>
      </c>
      <c r="X195" s="447"/>
      <c r="Y195" s="447"/>
    </row>
    <row r="196" spans="1:25" ht="15" customHeight="1">
      <c r="A196" s="104" t="str">
        <f>IF(K196&gt;0,COUNT($A$10:A195)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6" s="448"/>
      <c r="C196" s="449"/>
      <c r="D196" s="158" t="s">
        <v>1039</v>
      </c>
      <c r="E196" s="106">
        <v>100022106</v>
      </c>
      <c r="F196" s="159" t="s">
        <v>1040</v>
      </c>
      <c r="G196" s="106">
        <v>250</v>
      </c>
      <c r="H196" s="106">
        <v>21000</v>
      </c>
      <c r="I196" s="518">
        <f>_xlfn.XLOOKUP(E196,'All Products'!D:D,'All Products'!H:H)</f>
        <v>11.67</v>
      </c>
      <c r="J196" s="317">
        <f>ROUNDUP(I196*Order_Quote!$L$12,2)</f>
        <v>58.35</v>
      </c>
      <c r="K196" s="78"/>
      <c r="L196" s="193"/>
      <c r="M196" s="199">
        <f t="shared" si="10"/>
        <v>0</v>
      </c>
      <c r="O196" s="265" t="s">
        <v>76</v>
      </c>
      <c r="P196" s="265" t="s">
        <v>102</v>
      </c>
      <c r="Q196" s="305" t="s">
        <v>1041</v>
      </c>
      <c r="R196" s="305" t="s">
        <v>1042</v>
      </c>
      <c r="S196" s="305" t="s">
        <v>1043</v>
      </c>
      <c r="T196" s="347">
        <v>4.9000000000000002E-2</v>
      </c>
      <c r="U196" s="265">
        <v>10</v>
      </c>
      <c r="V196" s="348">
        <v>12.32</v>
      </c>
      <c r="W196" s="348">
        <v>0.8</v>
      </c>
      <c r="X196" s="447"/>
      <c r="Y196" s="447"/>
    </row>
    <row r="197" spans="1:25" ht="15" customHeight="1">
      <c r="A197" s="104" t="str">
        <f>IF(K197&gt;0,COUNT($A$10:A196)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7" s="112"/>
      <c r="C197" s="79"/>
      <c r="D197" s="158" t="s">
        <v>1044</v>
      </c>
      <c r="E197" s="106">
        <v>100022108</v>
      </c>
      <c r="F197" s="159" t="s">
        <v>1045</v>
      </c>
      <c r="G197" s="106">
        <v>100</v>
      </c>
      <c r="H197" s="106">
        <v>7500</v>
      </c>
      <c r="I197" s="518">
        <f>_xlfn.XLOOKUP(E197,'All Products'!D:D,'All Products'!H:H)</f>
        <v>12.98</v>
      </c>
      <c r="J197" s="317">
        <f>ROUNDUP(I197*Order_Quote!$L$12,2)</f>
        <v>64.900000000000006</v>
      </c>
      <c r="K197" s="78"/>
      <c r="L197" s="193"/>
      <c r="M197" s="199">
        <f t="shared" si="10"/>
        <v>0</v>
      </c>
      <c r="O197" s="265" t="s">
        <v>76</v>
      </c>
      <c r="P197" s="265" t="s">
        <v>102</v>
      </c>
      <c r="Q197" s="305" t="s">
        <v>1046</v>
      </c>
      <c r="R197" s="305" t="s">
        <v>1047</v>
      </c>
      <c r="S197" s="305" t="s">
        <v>1048</v>
      </c>
      <c r="T197" s="347">
        <v>8.6999999999999994E-2</v>
      </c>
      <c r="U197" s="265">
        <v>10</v>
      </c>
      <c r="V197" s="348">
        <v>9.15</v>
      </c>
      <c r="W197" s="348">
        <v>0.65</v>
      </c>
      <c r="X197" s="447"/>
      <c r="Y197" s="447"/>
    </row>
    <row r="198" spans="1:25" ht="15" customHeight="1">
      <c r="A198" s="104" t="str">
        <f>IF(K198&gt;0,COUNT($A$10:A197)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8" s="112"/>
      <c r="C198" s="79"/>
      <c r="D198" s="158" t="s">
        <v>1049</v>
      </c>
      <c r="E198" s="106">
        <v>100022109</v>
      </c>
      <c r="F198" s="159" t="s">
        <v>1050</v>
      </c>
      <c r="G198" s="106">
        <v>50</v>
      </c>
      <c r="H198" s="106">
        <v>4500</v>
      </c>
      <c r="I198" s="518">
        <f>_xlfn.XLOOKUP(E198,'All Products'!D:D,'All Products'!H:H)</f>
        <v>15.9</v>
      </c>
      <c r="J198" s="317">
        <f>ROUNDUP(I198*Order_Quote!$L$12,2)</f>
        <v>79.5</v>
      </c>
      <c r="K198" s="78"/>
      <c r="L198" s="193"/>
      <c r="M198" s="199">
        <f t="shared" si="10"/>
        <v>0</v>
      </c>
      <c r="O198" s="265" t="s">
        <v>359</v>
      </c>
      <c r="P198" s="265" t="s">
        <v>102</v>
      </c>
      <c r="Q198" s="305" t="s">
        <v>1051</v>
      </c>
      <c r="R198" s="305" t="s">
        <v>1052</v>
      </c>
      <c r="S198" s="305" t="s">
        <v>1053</v>
      </c>
      <c r="T198" s="347">
        <v>0.11600000000000001</v>
      </c>
      <c r="U198" s="265">
        <v>5</v>
      </c>
      <c r="V198" s="348">
        <v>6.66</v>
      </c>
      <c r="W198" s="348">
        <v>0.5</v>
      </c>
      <c r="X198" s="447"/>
      <c r="Y198" s="447"/>
    </row>
    <row r="199" spans="1:25" ht="15" customHeight="1">
      <c r="A199" s="104" t="str">
        <f>IF(K199&gt;0,COUNT($A$10:A198)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199" s="112"/>
      <c r="C199" s="79"/>
      <c r="D199" s="158" t="s">
        <v>1054</v>
      </c>
      <c r="E199" s="106">
        <v>100022110</v>
      </c>
      <c r="F199" s="159" t="s">
        <v>1055</v>
      </c>
      <c r="G199" s="106">
        <v>50</v>
      </c>
      <c r="H199" s="106">
        <v>3750</v>
      </c>
      <c r="I199" s="518">
        <f>_xlfn.XLOOKUP(E199,'All Products'!D:D,'All Products'!H:H)</f>
        <v>20.21</v>
      </c>
      <c r="J199" s="317">
        <f>ROUNDUP(I199*Order_Quote!$L$12,2)</f>
        <v>101.05</v>
      </c>
      <c r="K199" s="78"/>
      <c r="L199" s="193"/>
      <c r="M199" s="199">
        <f t="shared" si="10"/>
        <v>0</v>
      </c>
      <c r="O199" s="265" t="s">
        <v>76</v>
      </c>
      <c r="P199" s="265" t="s">
        <v>102</v>
      </c>
      <c r="Q199" s="305" t="s">
        <v>1056</v>
      </c>
      <c r="R199" s="305" t="s">
        <v>1057</v>
      </c>
      <c r="S199" s="305" t="s">
        <v>1058</v>
      </c>
      <c r="T199" s="347">
        <v>0.14199999999999999</v>
      </c>
      <c r="U199" s="265">
        <v>5</v>
      </c>
      <c r="V199" s="348">
        <v>7.92</v>
      </c>
      <c r="W199" s="348">
        <v>0.65</v>
      </c>
      <c r="X199" s="447"/>
      <c r="Y199" s="447"/>
    </row>
    <row r="200" spans="1:25" ht="15" customHeight="1">
      <c r="A200" s="104" t="str">
        <f>IF(K200&gt;0,COUNT($A$10:A199)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0" s="113"/>
      <c r="C200" s="114"/>
      <c r="D200" s="158" t="s">
        <v>1059</v>
      </c>
      <c r="E200" s="106">
        <v>100022111</v>
      </c>
      <c r="F200" s="159" t="s">
        <v>1060</v>
      </c>
      <c r="G200" s="106">
        <v>25</v>
      </c>
      <c r="H200" s="106">
        <v>2250</v>
      </c>
      <c r="I200" s="518">
        <f>_xlfn.XLOOKUP(E200,'All Products'!D:D,'All Products'!H:H)</f>
        <v>34.130000000000003</v>
      </c>
      <c r="J200" s="317">
        <f>ROUNDUP(I200*Order_Quote!$L$12,2)</f>
        <v>170.65</v>
      </c>
      <c r="K200" s="78"/>
      <c r="L200" s="300"/>
      <c r="M200" s="199">
        <f t="shared" si="10"/>
        <v>0</v>
      </c>
      <c r="O200" s="265" t="s">
        <v>76</v>
      </c>
      <c r="P200" s="265" t="s">
        <v>102</v>
      </c>
      <c r="Q200" s="305" t="s">
        <v>1061</v>
      </c>
      <c r="R200" s="305" t="s">
        <v>1062</v>
      </c>
      <c r="S200" s="305" t="s">
        <v>1063</v>
      </c>
      <c r="T200" s="347">
        <v>0.189</v>
      </c>
      <c r="U200" s="265">
        <v>5</v>
      </c>
      <c r="V200" s="348">
        <v>5.39</v>
      </c>
      <c r="W200" s="348">
        <v>0.5</v>
      </c>
      <c r="X200" s="447"/>
      <c r="Y200" s="447"/>
    </row>
    <row r="201" spans="1:25" ht="15" customHeight="1">
      <c r="A201" s="104" t="str">
        <f>IF(K201&gt;0,COUNT($A$10:A200)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1" s="17"/>
      <c r="E201" s="20"/>
      <c r="F201" s="217"/>
      <c r="G201" s="20"/>
      <c r="H201" s="20"/>
      <c r="I201" s="514"/>
      <c r="J201" s="237"/>
      <c r="K201" s="443"/>
      <c r="L201" s="20"/>
      <c r="M201" s="181"/>
      <c r="O201" s="20"/>
      <c r="P201" s="20"/>
      <c r="Q201" s="20"/>
      <c r="R201" s="20"/>
      <c r="S201" s="20"/>
      <c r="T201" s="20"/>
      <c r="U201" s="20"/>
      <c r="V201" s="20"/>
      <c r="W201" s="20"/>
    </row>
    <row r="202" spans="1:25" ht="18.75">
      <c r="A202" s="104" t="str">
        <f>IF(K202&gt;0,COUNT($A$10:A201)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2" s="444" t="s">
        <v>1064</v>
      </c>
      <c r="C202" s="44"/>
      <c r="D202" s="44"/>
      <c r="E202" s="44"/>
      <c r="F202" s="44"/>
      <c r="G202" s="44"/>
      <c r="H202" s="44"/>
      <c r="I202" s="515"/>
      <c r="J202" s="445"/>
      <c r="K202" s="246"/>
      <c r="L202" s="243"/>
      <c r="M202" s="157"/>
      <c r="O202" s="44"/>
      <c r="P202" s="44"/>
      <c r="Q202" s="44"/>
      <c r="R202" s="44"/>
      <c r="S202" s="44"/>
      <c r="T202" s="44"/>
      <c r="U202" s="44"/>
      <c r="V202" s="44"/>
      <c r="W202" s="44"/>
    </row>
    <row r="203" spans="1:25" ht="15" customHeight="1">
      <c r="A203" s="104" t="str">
        <f>IF(K203&gt;0,COUNT($A$10:A202)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3" s="455" t="s">
        <v>1065</v>
      </c>
      <c r="C203" s="452"/>
      <c r="D203" s="452"/>
      <c r="E203" s="452"/>
      <c r="F203" s="452"/>
      <c r="G203" s="452"/>
      <c r="H203" s="452"/>
      <c r="I203" s="452"/>
      <c r="J203" s="453"/>
      <c r="K203" s="452"/>
      <c r="L203" s="452"/>
      <c r="M203" s="454"/>
      <c r="O203" s="452"/>
      <c r="P203" s="452"/>
      <c r="Q203" s="452"/>
      <c r="R203" s="452"/>
      <c r="S203" s="452"/>
      <c r="T203" s="452"/>
      <c r="U203" s="452"/>
      <c r="V203" s="452"/>
      <c r="W203" s="452"/>
    </row>
    <row r="204" spans="1:25" ht="15" customHeight="1">
      <c r="A204" s="104" t="str">
        <f>IF(K204&gt;0,COUNT($A$10:A203)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4" s="112"/>
      <c r="C204" s="79"/>
      <c r="D204" s="208" t="s">
        <v>1066</v>
      </c>
      <c r="E204" s="171">
        <v>100022113</v>
      </c>
      <c r="F204" s="289" t="s">
        <v>1067</v>
      </c>
      <c r="G204" s="171">
        <v>250</v>
      </c>
      <c r="H204" s="171">
        <v>22500</v>
      </c>
      <c r="I204" s="517">
        <f>_xlfn.XLOOKUP(E204,'All Products'!D:D,'All Products'!H:H)</f>
        <v>2.42</v>
      </c>
      <c r="J204" s="317">
        <f>ROUNDUP(I204*Order_Quote!$L$12,2)</f>
        <v>12.1</v>
      </c>
      <c r="K204" s="184"/>
      <c r="L204" s="116"/>
      <c r="M204" s="298">
        <f t="shared" ref="M204:M209" si="11">K204/G204</f>
        <v>0</v>
      </c>
      <c r="O204" s="305" t="s">
        <v>76</v>
      </c>
      <c r="P204" s="305" t="s">
        <v>102</v>
      </c>
      <c r="Q204" s="305" t="s">
        <v>1068</v>
      </c>
      <c r="R204" s="305" t="s">
        <v>1069</v>
      </c>
      <c r="S204" s="305" t="s">
        <v>1070</v>
      </c>
      <c r="T204" s="347">
        <v>2.4E-2</v>
      </c>
      <c r="U204" s="265">
        <v>10</v>
      </c>
      <c r="V204" s="348">
        <v>8.6300000000000008</v>
      </c>
      <c r="W204" s="348">
        <v>0.5</v>
      </c>
      <c r="X204" s="447"/>
      <c r="Y204" s="447"/>
    </row>
    <row r="205" spans="1:25" ht="15" customHeight="1">
      <c r="A205" s="104" t="str">
        <f>IF(K205&gt;0,COUNT($A$10:A204)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5" s="112"/>
      <c r="C205" s="79"/>
      <c r="D205" s="158" t="s">
        <v>1071</v>
      </c>
      <c r="E205" s="106">
        <v>100022115</v>
      </c>
      <c r="F205" s="159" t="s">
        <v>1072</v>
      </c>
      <c r="G205" s="106">
        <v>200</v>
      </c>
      <c r="H205" s="106">
        <v>15000</v>
      </c>
      <c r="I205" s="518">
        <f>_xlfn.XLOOKUP(E205,'All Products'!D:D,'All Products'!H:H)</f>
        <v>2.97</v>
      </c>
      <c r="J205" s="317">
        <f>ROUNDUP(I205*Order_Quote!$L$12,2)</f>
        <v>14.85</v>
      </c>
      <c r="K205" s="78"/>
      <c r="L205" s="116"/>
      <c r="M205" s="199">
        <f t="shared" si="11"/>
        <v>0</v>
      </c>
      <c r="O205" s="265" t="s">
        <v>76</v>
      </c>
      <c r="P205" s="265" t="s">
        <v>102</v>
      </c>
      <c r="Q205" s="305" t="s">
        <v>1073</v>
      </c>
      <c r="R205" s="305" t="s">
        <v>1074</v>
      </c>
      <c r="S205" s="305" t="s">
        <v>1075</v>
      </c>
      <c r="T205" s="347">
        <v>3.3000000000000002E-2</v>
      </c>
      <c r="U205" s="265">
        <v>10</v>
      </c>
      <c r="V205" s="348">
        <v>7.74</v>
      </c>
      <c r="W205" s="348">
        <v>0.65</v>
      </c>
      <c r="X205" s="447"/>
      <c r="Y205" s="447"/>
    </row>
    <row r="206" spans="1:25" ht="15" customHeight="1">
      <c r="A206" s="104" t="str">
        <f>IF(K206&gt;0,COUNT($A$10:A205)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6" s="112"/>
      <c r="C206" s="79"/>
      <c r="D206" s="158" t="s">
        <v>1076</v>
      </c>
      <c r="E206" s="106">
        <v>100022117</v>
      </c>
      <c r="F206" s="159" t="s">
        <v>1077</v>
      </c>
      <c r="G206" s="106">
        <v>100</v>
      </c>
      <c r="H206" s="106">
        <v>9000</v>
      </c>
      <c r="I206" s="518">
        <f>_xlfn.XLOOKUP(E206,'All Products'!D:D,'All Products'!H:H)</f>
        <v>3.06</v>
      </c>
      <c r="J206" s="317">
        <f>ROUNDUP(I206*Order_Quote!$L$12,2)</f>
        <v>15.3</v>
      </c>
      <c r="K206" s="78"/>
      <c r="L206" s="116"/>
      <c r="M206" s="199">
        <f t="shared" si="11"/>
        <v>0</v>
      </c>
      <c r="O206" s="265" t="s">
        <v>76</v>
      </c>
      <c r="P206" s="265" t="s">
        <v>102</v>
      </c>
      <c r="Q206" s="305" t="s">
        <v>1078</v>
      </c>
      <c r="R206" s="305" t="s">
        <v>1079</v>
      </c>
      <c r="S206" s="305" t="s">
        <v>1080</v>
      </c>
      <c r="T206" s="347">
        <v>0.05</v>
      </c>
      <c r="U206" s="265">
        <v>10</v>
      </c>
      <c r="V206" s="348">
        <v>7.36</v>
      </c>
      <c r="W206" s="348">
        <v>0.5</v>
      </c>
      <c r="X206" s="447"/>
      <c r="Y206" s="447"/>
    </row>
    <row r="207" spans="1:25" ht="15" customHeight="1">
      <c r="A207" s="104" t="str">
        <f>IF(K207&gt;0,COUNT($A$10:A206)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7" s="112"/>
      <c r="C207" s="79"/>
      <c r="D207" s="158" t="s">
        <v>1081</v>
      </c>
      <c r="E207" s="106">
        <v>100022119</v>
      </c>
      <c r="F207" s="159" t="s">
        <v>1082</v>
      </c>
      <c r="G207" s="106">
        <v>50</v>
      </c>
      <c r="H207" s="106">
        <v>4500</v>
      </c>
      <c r="I207" s="518">
        <f>_xlfn.XLOOKUP(E207,'All Products'!D:D,'All Products'!H:H)</f>
        <v>4.8499999999999996</v>
      </c>
      <c r="J207" s="317">
        <f>ROUNDUP(I207*Order_Quote!$L$12,2)</f>
        <v>24.25</v>
      </c>
      <c r="K207" s="78"/>
      <c r="L207" s="116"/>
      <c r="M207" s="199">
        <f t="shared" si="11"/>
        <v>0</v>
      </c>
      <c r="O207" s="265" t="s">
        <v>76</v>
      </c>
      <c r="P207" s="265" t="s">
        <v>102</v>
      </c>
      <c r="Q207" s="305" t="s">
        <v>1083</v>
      </c>
      <c r="R207" s="305" t="s">
        <v>1084</v>
      </c>
      <c r="S207" s="305" t="s">
        <v>1085</v>
      </c>
      <c r="T207" s="347">
        <v>0.09</v>
      </c>
      <c r="U207" s="265">
        <v>5</v>
      </c>
      <c r="V207" s="348">
        <v>5.3</v>
      </c>
      <c r="W207" s="348">
        <v>0.5</v>
      </c>
      <c r="X207" s="447"/>
      <c r="Y207" s="447"/>
    </row>
    <row r="208" spans="1:25" ht="15" customHeight="1">
      <c r="A208" s="104" t="str">
        <f>IF(K208&gt;0,COUNT($A$10:A207)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8" s="448"/>
      <c r="C208" s="449"/>
      <c r="D208" s="194" t="s">
        <v>1086</v>
      </c>
      <c r="E208" s="172">
        <v>100022121</v>
      </c>
      <c r="F208" s="159" t="s">
        <v>1087</v>
      </c>
      <c r="G208" s="106">
        <v>50</v>
      </c>
      <c r="H208" s="106">
        <v>4500</v>
      </c>
      <c r="I208" s="518">
        <f>_xlfn.XLOOKUP(E208,'All Products'!D:D,'All Products'!H:H)</f>
        <v>5.41</v>
      </c>
      <c r="J208" s="317">
        <f>ROUNDUP(I208*Order_Quote!$L$12,2)</f>
        <v>27.05</v>
      </c>
      <c r="K208" s="195"/>
      <c r="L208" s="116"/>
      <c r="M208" s="299">
        <f t="shared" si="11"/>
        <v>0</v>
      </c>
      <c r="O208" s="265" t="s">
        <v>76</v>
      </c>
      <c r="P208" s="265" t="s">
        <v>102</v>
      </c>
      <c r="Q208" s="305" t="s">
        <v>1088</v>
      </c>
      <c r="R208" s="305" t="s">
        <v>1089</v>
      </c>
      <c r="S208" s="305" t="s">
        <v>1090</v>
      </c>
      <c r="T208" s="347">
        <v>0.111</v>
      </c>
      <c r="U208" s="265">
        <v>5</v>
      </c>
      <c r="V208" s="348">
        <v>6.47</v>
      </c>
      <c r="W208" s="348">
        <v>0.5</v>
      </c>
      <c r="X208" s="447"/>
      <c r="Y208" s="447"/>
    </row>
    <row r="209" spans="1:25" ht="15" customHeight="1">
      <c r="A209" s="104" t="str">
        <f>IF(K209&gt;0,COUNT($A$10:A208)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09" s="471"/>
      <c r="C209" s="472"/>
      <c r="D209" s="158" t="s">
        <v>1091</v>
      </c>
      <c r="E209" s="106">
        <v>100022123</v>
      </c>
      <c r="F209" s="159" t="s">
        <v>1092</v>
      </c>
      <c r="G209" s="106">
        <v>25</v>
      </c>
      <c r="H209" s="106">
        <v>2250</v>
      </c>
      <c r="I209" s="518">
        <f>_xlfn.XLOOKUP(E209,'All Products'!D:D,'All Products'!H:H)</f>
        <v>10.38</v>
      </c>
      <c r="J209" s="317">
        <f>ROUNDUP(I209*Order_Quote!$L$12,2)</f>
        <v>51.9</v>
      </c>
      <c r="K209" s="78"/>
      <c r="L209" s="196"/>
      <c r="M209" s="199">
        <f t="shared" si="11"/>
        <v>0</v>
      </c>
      <c r="O209" s="265" t="s">
        <v>76</v>
      </c>
      <c r="P209" s="265" t="s">
        <v>102</v>
      </c>
      <c r="Q209" s="305" t="s">
        <v>1093</v>
      </c>
      <c r="R209" s="305" t="s">
        <v>1094</v>
      </c>
      <c r="S209" s="305" t="s">
        <v>1095</v>
      </c>
      <c r="T209" s="347">
        <v>0.17599999999999999</v>
      </c>
      <c r="U209" s="265">
        <v>5</v>
      </c>
      <c r="V209" s="348">
        <v>5.26</v>
      </c>
      <c r="W209" s="348">
        <v>0.5</v>
      </c>
      <c r="X209" s="447"/>
      <c r="Y209" s="447"/>
    </row>
    <row r="210" spans="1:25" ht="15" customHeight="1">
      <c r="A210" s="104" t="str">
        <f>IF(K210&gt;0,COUNT($A$10:A209)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0" s="17"/>
      <c r="E210" s="20"/>
      <c r="F210" s="217"/>
      <c r="G210" s="20"/>
      <c r="H210" s="20"/>
      <c r="I210" s="514"/>
      <c r="J210" s="237"/>
      <c r="K210" s="443"/>
      <c r="L210" s="20"/>
      <c r="M210" s="181"/>
      <c r="O210" s="20"/>
      <c r="P210" s="20"/>
      <c r="Q210" s="20"/>
      <c r="R210" s="20"/>
      <c r="S210" s="20"/>
      <c r="T210" s="20"/>
      <c r="U210" s="20"/>
      <c r="V210" s="20"/>
      <c r="W210" s="20"/>
    </row>
    <row r="211" spans="1:25" ht="18.75">
      <c r="A211" s="104" t="str">
        <f>IF(K211&gt;0,COUNT($A$10:A210)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1" s="444" t="s">
        <v>1096</v>
      </c>
      <c r="C211" s="44"/>
      <c r="D211" s="44"/>
      <c r="E211" s="44"/>
      <c r="F211" s="44"/>
      <c r="G211" s="44"/>
      <c r="H211" s="44"/>
      <c r="I211" s="515"/>
      <c r="J211" s="445"/>
      <c r="K211" s="246"/>
      <c r="L211" s="243"/>
      <c r="M211" s="157"/>
      <c r="O211" s="44"/>
      <c r="P211" s="44"/>
      <c r="Q211" s="44"/>
      <c r="R211" s="44"/>
      <c r="S211" s="44"/>
      <c r="T211" s="44"/>
      <c r="U211" s="44"/>
      <c r="V211" s="44"/>
      <c r="W211" s="44"/>
    </row>
    <row r="212" spans="1:25" ht="15" customHeight="1">
      <c r="A212" s="104" t="str">
        <f>IF(K212&gt;0,COUNT($A$10:A211)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2" s="308" t="s">
        <v>1097</v>
      </c>
      <c r="C212" s="452"/>
      <c r="D212" s="452"/>
      <c r="E212" s="452"/>
      <c r="F212" s="452"/>
      <c r="G212" s="452"/>
      <c r="H212" s="452"/>
      <c r="I212" s="452"/>
      <c r="J212" s="453"/>
      <c r="K212" s="452"/>
      <c r="L212" s="452"/>
      <c r="M212" s="454"/>
      <c r="O212" s="452"/>
      <c r="P212" s="452"/>
      <c r="Q212" s="452"/>
      <c r="R212" s="452"/>
      <c r="S212" s="452"/>
      <c r="T212" s="452"/>
      <c r="U212" s="452"/>
      <c r="V212" s="452"/>
      <c r="W212" s="452"/>
    </row>
    <row r="213" spans="1:25" ht="15" customHeight="1">
      <c r="A213" s="104" t="str">
        <f>IF(K213&gt;0,COUNT($A$10:A212)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3" s="112"/>
      <c r="C213" s="79"/>
      <c r="D213" s="208" t="s">
        <v>1098</v>
      </c>
      <c r="E213" s="171">
        <v>100022127</v>
      </c>
      <c r="F213" s="289" t="s">
        <v>1099</v>
      </c>
      <c r="G213" s="171">
        <v>100</v>
      </c>
      <c r="H213" s="171">
        <v>15000</v>
      </c>
      <c r="I213" s="517">
        <f>_xlfn.XLOOKUP(E213,'All Products'!D:D,'All Products'!H:H)</f>
        <v>7.67</v>
      </c>
      <c r="J213" s="317">
        <f>ROUNDUP(I213*Order_Quote!$L$12,2)</f>
        <v>38.35</v>
      </c>
      <c r="K213" s="184"/>
      <c r="L213" s="116"/>
      <c r="M213" s="298">
        <f t="shared" ref="M213:M218" si="12">K213/G213</f>
        <v>0</v>
      </c>
      <c r="O213" s="305" t="s">
        <v>76</v>
      </c>
      <c r="P213" s="305" t="s">
        <v>102</v>
      </c>
      <c r="Q213" s="305" t="s">
        <v>1100</v>
      </c>
      <c r="R213" s="305" t="s">
        <v>1101</v>
      </c>
      <c r="S213" s="305" t="s">
        <v>1102</v>
      </c>
      <c r="T213" s="347">
        <v>4.9000000000000002E-2</v>
      </c>
      <c r="U213" s="265">
        <v>10</v>
      </c>
      <c r="V213" s="348">
        <v>5.04</v>
      </c>
      <c r="W213" s="348">
        <v>0.31</v>
      </c>
      <c r="X213" s="447"/>
      <c r="Y213" s="447"/>
    </row>
    <row r="214" spans="1:25" ht="15" customHeight="1">
      <c r="A214" s="104" t="str">
        <f>IF(K214&gt;0,COUNT($A$10:A213)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4" s="112"/>
      <c r="C214" s="79"/>
      <c r="D214" s="158" t="s">
        <v>1103</v>
      </c>
      <c r="E214" s="106">
        <v>100022129</v>
      </c>
      <c r="F214" s="159" t="s">
        <v>1104</v>
      </c>
      <c r="G214" s="106">
        <v>100</v>
      </c>
      <c r="H214" s="106">
        <v>9000</v>
      </c>
      <c r="I214" s="518">
        <f>_xlfn.XLOOKUP(E214,'All Products'!D:D,'All Products'!H:H)</f>
        <v>8</v>
      </c>
      <c r="J214" s="317">
        <f>ROUNDUP(I214*Order_Quote!$L$12,2)</f>
        <v>40</v>
      </c>
      <c r="K214" s="78"/>
      <c r="L214" s="116"/>
      <c r="M214" s="199">
        <f t="shared" si="12"/>
        <v>0</v>
      </c>
      <c r="O214" s="265" t="s">
        <v>76</v>
      </c>
      <c r="P214" s="265" t="s">
        <v>102</v>
      </c>
      <c r="Q214" s="305" t="s">
        <v>1105</v>
      </c>
      <c r="R214" s="305" t="s">
        <v>1106</v>
      </c>
      <c r="S214" s="305" t="s">
        <v>1107</v>
      </c>
      <c r="T214" s="347">
        <v>6.7000000000000004E-2</v>
      </c>
      <c r="U214" s="265">
        <v>10</v>
      </c>
      <c r="V214" s="348">
        <v>6.62</v>
      </c>
      <c r="W214" s="348">
        <v>0.5</v>
      </c>
      <c r="X214" s="447"/>
      <c r="Y214" s="447"/>
    </row>
    <row r="215" spans="1:25" ht="15" customHeight="1">
      <c r="A215" s="104" t="str">
        <f>IF(K215&gt;0,COUNT($A$10:A214)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5" s="112"/>
      <c r="C215" s="79"/>
      <c r="D215" s="158" t="s">
        <v>1108</v>
      </c>
      <c r="E215" s="106">
        <v>100022133</v>
      </c>
      <c r="F215" s="159" t="s">
        <v>1109</v>
      </c>
      <c r="G215" s="106">
        <v>100</v>
      </c>
      <c r="H215" s="106">
        <v>9000</v>
      </c>
      <c r="I215" s="518">
        <f>_xlfn.XLOOKUP(E215,'All Products'!D:D,'All Products'!H:H)</f>
        <v>8</v>
      </c>
      <c r="J215" s="317">
        <f>ROUNDUP(I215*Order_Quote!$L$12,2)</f>
        <v>40</v>
      </c>
      <c r="K215" s="78"/>
      <c r="L215" s="116"/>
      <c r="M215" s="199">
        <f t="shared" si="12"/>
        <v>0</v>
      </c>
      <c r="O215" s="265" t="s">
        <v>76</v>
      </c>
      <c r="P215" s="265" t="s">
        <v>102</v>
      </c>
      <c r="Q215" s="305" t="s">
        <v>1110</v>
      </c>
      <c r="R215" s="305" t="s">
        <v>1111</v>
      </c>
      <c r="S215" s="305" t="s">
        <v>1112</v>
      </c>
      <c r="T215" s="347">
        <v>4.2000000000000003E-2</v>
      </c>
      <c r="U215" s="265">
        <v>10</v>
      </c>
      <c r="V215" s="348">
        <v>4.79</v>
      </c>
      <c r="W215" s="348">
        <v>0.5</v>
      </c>
      <c r="X215" s="447"/>
      <c r="Y215" s="447"/>
    </row>
    <row r="216" spans="1:25" ht="15" customHeight="1">
      <c r="A216" s="104" t="str">
        <f>IF(K216&gt;0,COUNT($A$10:A215)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6" s="112"/>
      <c r="C216" s="79"/>
      <c r="D216" s="158" t="s">
        <v>1113</v>
      </c>
      <c r="E216" s="106">
        <v>100022139</v>
      </c>
      <c r="F216" s="159" t="s">
        <v>1114</v>
      </c>
      <c r="G216" s="106">
        <v>100</v>
      </c>
      <c r="H216" s="106">
        <v>7500</v>
      </c>
      <c r="I216" s="518">
        <f>_xlfn.XLOOKUP(E216,'All Products'!D:D,'All Products'!H:H)</f>
        <v>9.65</v>
      </c>
      <c r="J216" s="317">
        <f>ROUNDUP(I216*Order_Quote!$L$12,2)</f>
        <v>48.25</v>
      </c>
      <c r="K216" s="78"/>
      <c r="L216" s="116"/>
      <c r="M216" s="199">
        <f t="shared" si="12"/>
        <v>0</v>
      </c>
      <c r="O216" s="265" t="s">
        <v>76</v>
      </c>
      <c r="P216" s="265" t="s">
        <v>102</v>
      </c>
      <c r="Q216" s="305" t="s">
        <v>1115</v>
      </c>
      <c r="R216" s="305" t="s">
        <v>1116</v>
      </c>
      <c r="S216" s="305" t="s">
        <v>1117</v>
      </c>
      <c r="T216" s="347">
        <v>8.7999999999999995E-2</v>
      </c>
      <c r="U216" s="265">
        <v>5</v>
      </c>
      <c r="V216" s="348">
        <v>9.8800000000000008</v>
      </c>
      <c r="W216" s="348">
        <v>0.65</v>
      </c>
      <c r="X216" s="447"/>
      <c r="Y216" s="447"/>
    </row>
    <row r="217" spans="1:25" ht="15" customHeight="1">
      <c r="A217" s="104" t="str">
        <f>IF(K217&gt;0,COUNT($A$10:A216)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7" s="112"/>
      <c r="C217" s="79"/>
      <c r="D217" s="158" t="s">
        <v>1118</v>
      </c>
      <c r="E217" s="106">
        <v>100022140</v>
      </c>
      <c r="F217" s="159" t="s">
        <v>1119</v>
      </c>
      <c r="G217" s="106">
        <v>50</v>
      </c>
      <c r="H217" s="106">
        <v>4500</v>
      </c>
      <c r="I217" s="518">
        <f>_xlfn.XLOOKUP(E217,'All Products'!D:D,'All Products'!H:H)</f>
        <v>14.58</v>
      </c>
      <c r="J217" s="317">
        <f>ROUNDUP(I217*Order_Quote!$L$12,2)</f>
        <v>72.900000000000006</v>
      </c>
      <c r="K217" s="78"/>
      <c r="L217" s="116"/>
      <c r="M217" s="199">
        <f t="shared" si="12"/>
        <v>0</v>
      </c>
      <c r="O217" s="265" t="s">
        <v>76</v>
      </c>
      <c r="P217" s="265" t="s">
        <v>102</v>
      </c>
      <c r="Q217" s="305" t="s">
        <v>1120</v>
      </c>
      <c r="R217" s="305" t="s">
        <v>1121</v>
      </c>
      <c r="S217" s="305" t="s">
        <v>1122</v>
      </c>
      <c r="T217" s="347">
        <v>0.11700000000000001</v>
      </c>
      <c r="U217" s="265">
        <v>5</v>
      </c>
      <c r="V217" s="348">
        <v>5.98</v>
      </c>
      <c r="W217" s="348">
        <v>0.5</v>
      </c>
      <c r="X217" s="447"/>
      <c r="Y217" s="447"/>
    </row>
    <row r="218" spans="1:25" ht="15" customHeight="1">
      <c r="A218" s="104" t="str">
        <f>IF(K218&gt;0,COUNT($A$10:A217)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8" s="112"/>
      <c r="C218" s="79"/>
      <c r="D218" s="194" t="s">
        <v>1123</v>
      </c>
      <c r="E218" s="172">
        <v>100022150</v>
      </c>
      <c r="F218" s="313" t="s">
        <v>1124</v>
      </c>
      <c r="G218" s="172">
        <v>50</v>
      </c>
      <c r="H218" s="172">
        <v>3750</v>
      </c>
      <c r="I218" s="520">
        <f>_xlfn.XLOOKUP(E218,'All Products'!D:D,'All Products'!H:H)</f>
        <v>18.690000000000001</v>
      </c>
      <c r="J218" s="317">
        <f>ROUNDUP(I218*Order_Quote!$L$12,2)</f>
        <v>93.45</v>
      </c>
      <c r="K218" s="195"/>
      <c r="L218" s="116"/>
      <c r="M218" s="299">
        <f t="shared" si="12"/>
        <v>0</v>
      </c>
      <c r="O218" s="312" t="s">
        <v>359</v>
      </c>
      <c r="P218" s="312" t="s">
        <v>102</v>
      </c>
      <c r="Q218" s="305" t="s">
        <v>1125</v>
      </c>
      <c r="R218" s="305" t="s">
        <v>1126</v>
      </c>
      <c r="S218" s="305" t="s">
        <v>1127</v>
      </c>
      <c r="T218" s="347">
        <v>0.158</v>
      </c>
      <c r="U218" s="265">
        <v>5</v>
      </c>
      <c r="V218" s="348">
        <v>8.57</v>
      </c>
      <c r="W218" s="348">
        <v>0.65</v>
      </c>
      <c r="X218" s="447"/>
      <c r="Y218" s="447"/>
    </row>
    <row r="219" spans="1:25" ht="15" customHeight="1">
      <c r="A219" s="104" t="str">
        <f>IF(K219&gt;0,COUNT($A$10:A218)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19" s="462" t="s">
        <v>1128</v>
      </c>
      <c r="C219" s="473"/>
      <c r="D219" s="473"/>
      <c r="E219" s="473"/>
      <c r="F219" s="473"/>
      <c r="G219" s="473"/>
      <c r="H219" s="473"/>
      <c r="I219" s="473"/>
      <c r="J219" s="474"/>
      <c r="K219" s="473"/>
      <c r="L219" s="473"/>
      <c r="M219" s="475"/>
      <c r="O219" s="473"/>
      <c r="P219" s="473"/>
      <c r="Q219" s="473"/>
      <c r="R219" s="473"/>
      <c r="S219" s="473"/>
      <c r="T219" s="473"/>
      <c r="U219" s="473"/>
      <c r="V219" s="473"/>
      <c r="W219" s="473"/>
    </row>
    <row r="220" spans="1:25" ht="15" customHeight="1">
      <c r="A220" s="104" t="str">
        <f>IF(K220&gt;0,COUNT($A$10:A219)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0" s="112"/>
      <c r="C220" s="79"/>
      <c r="D220" s="208" t="s">
        <v>1129</v>
      </c>
      <c r="E220" s="171">
        <v>100022125</v>
      </c>
      <c r="F220" s="289" t="s">
        <v>1130</v>
      </c>
      <c r="G220" s="171">
        <v>250</v>
      </c>
      <c r="H220" s="171">
        <v>22500</v>
      </c>
      <c r="I220" s="517">
        <f>_xlfn.XLOOKUP(E220,'All Products'!D:D,'All Products'!H:H)</f>
        <v>6.09</v>
      </c>
      <c r="J220" s="317">
        <f>ROUNDUP(I220*Order_Quote!$L$12,2)</f>
        <v>30.45</v>
      </c>
      <c r="K220" s="467"/>
      <c r="L220" s="116"/>
      <c r="M220" s="298">
        <f t="shared" ref="M220:M227" si="13">K220/G220</f>
        <v>0</v>
      </c>
      <c r="O220" s="305" t="s">
        <v>76</v>
      </c>
      <c r="P220" s="305" t="s">
        <v>102</v>
      </c>
      <c r="Q220" s="305" t="s">
        <v>1131</v>
      </c>
      <c r="R220" s="305" t="s">
        <v>1132</v>
      </c>
      <c r="S220" s="305" t="s">
        <v>1133</v>
      </c>
      <c r="T220" s="347">
        <v>1.9E-2</v>
      </c>
      <c r="U220" s="265">
        <v>10</v>
      </c>
      <c r="V220" s="348">
        <v>5.44</v>
      </c>
      <c r="W220" s="348">
        <v>0.5</v>
      </c>
      <c r="X220" s="447"/>
      <c r="Y220" s="447"/>
    </row>
    <row r="221" spans="1:25" ht="15" customHeight="1">
      <c r="A221" s="104" t="str">
        <f>IF(K221&gt;0,COUNT($A$10:A220)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1" s="448"/>
      <c r="D221" s="158" t="s">
        <v>1134</v>
      </c>
      <c r="E221" s="106">
        <v>100022131</v>
      </c>
      <c r="F221" s="159" t="s">
        <v>1135</v>
      </c>
      <c r="G221" s="106">
        <v>250</v>
      </c>
      <c r="H221" s="106">
        <v>18750</v>
      </c>
      <c r="I221" s="518">
        <f>_xlfn.XLOOKUP(E221,'All Products'!D:D,'All Products'!H:H)</f>
        <v>6.93</v>
      </c>
      <c r="J221" s="317">
        <f>ROUNDUP(I221*Order_Quote!$L$12,2)</f>
        <v>34.65</v>
      </c>
      <c r="K221" s="468"/>
      <c r="L221" s="116"/>
      <c r="M221" s="199">
        <f t="shared" si="13"/>
        <v>0</v>
      </c>
      <c r="O221" s="265" t="s">
        <v>76</v>
      </c>
      <c r="P221" s="265" t="s">
        <v>102</v>
      </c>
      <c r="Q221" s="305" t="s">
        <v>1136</v>
      </c>
      <c r="R221" s="305" t="s">
        <v>1137</v>
      </c>
      <c r="S221" s="305" t="s">
        <v>1138</v>
      </c>
      <c r="T221" s="347">
        <v>3.7999999999999999E-2</v>
      </c>
      <c r="U221" s="265">
        <v>10</v>
      </c>
      <c r="V221" s="348">
        <v>10.4</v>
      </c>
      <c r="W221" s="348">
        <v>0.65</v>
      </c>
      <c r="X221" s="447"/>
      <c r="Y221" s="447"/>
    </row>
    <row r="222" spans="1:25" ht="15" customHeight="1">
      <c r="A222" s="104" t="str">
        <f>IF(K222&gt;0,COUNT($A$10:A221)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2" s="448"/>
      <c r="D222" s="158" t="s">
        <v>1139</v>
      </c>
      <c r="E222" s="106">
        <v>100022135</v>
      </c>
      <c r="F222" s="159" t="s">
        <v>1140</v>
      </c>
      <c r="G222" s="106">
        <v>100</v>
      </c>
      <c r="H222" s="106">
        <v>9000</v>
      </c>
      <c r="I222" s="518">
        <f>_xlfn.XLOOKUP(E222,'All Products'!D:D,'All Products'!H:H)</f>
        <v>9.65</v>
      </c>
      <c r="J222" s="317">
        <f>ROUNDUP(I222*Order_Quote!$L$12,2)</f>
        <v>48.25</v>
      </c>
      <c r="K222" s="468"/>
      <c r="L222" s="116"/>
      <c r="M222" s="199">
        <f t="shared" si="13"/>
        <v>0</v>
      </c>
      <c r="O222" s="265" t="s">
        <v>76</v>
      </c>
      <c r="P222" s="265" t="s">
        <v>102</v>
      </c>
      <c r="Q222" s="305" t="s">
        <v>1141</v>
      </c>
      <c r="R222" s="305" t="s">
        <v>1142</v>
      </c>
      <c r="S222" s="305" t="s">
        <v>1143</v>
      </c>
      <c r="T222" s="347">
        <v>6.0999999999999999E-2</v>
      </c>
      <c r="U222" s="265">
        <v>10</v>
      </c>
      <c r="V222" s="348">
        <v>6.16</v>
      </c>
      <c r="W222" s="348">
        <v>0.5</v>
      </c>
      <c r="X222" s="447"/>
      <c r="Y222" s="447"/>
    </row>
    <row r="223" spans="1:25" ht="15" customHeight="1">
      <c r="A223" s="104" t="str">
        <f>IF(K223&gt;0,COUNT($A$10:A222)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3" s="448"/>
      <c r="D223" s="158" t="s">
        <v>1144</v>
      </c>
      <c r="E223" s="106">
        <v>100022137</v>
      </c>
      <c r="F223" s="159" t="s">
        <v>1145</v>
      </c>
      <c r="G223" s="106">
        <v>100</v>
      </c>
      <c r="H223" s="106">
        <v>9000</v>
      </c>
      <c r="I223" s="518">
        <f>_xlfn.XLOOKUP(E223,'All Products'!D:D,'All Products'!H:H)</f>
        <v>7.2</v>
      </c>
      <c r="J223" s="317">
        <f>ROUNDUP(I223*Order_Quote!$L$12,2)</f>
        <v>36</v>
      </c>
      <c r="K223" s="468"/>
      <c r="L223" s="116"/>
      <c r="M223" s="199">
        <f t="shared" si="13"/>
        <v>0</v>
      </c>
      <c r="O223" s="265" t="s">
        <v>76</v>
      </c>
      <c r="P223" s="265" t="s">
        <v>102</v>
      </c>
      <c r="Q223" s="305" t="s">
        <v>1146</v>
      </c>
      <c r="R223" s="305" t="s">
        <v>1147</v>
      </c>
      <c r="S223" s="305" t="s">
        <v>1148</v>
      </c>
      <c r="T223" s="347">
        <v>5.1999999999999998E-2</v>
      </c>
      <c r="U223" s="265">
        <v>10</v>
      </c>
      <c r="V223" s="348">
        <v>6.34</v>
      </c>
      <c r="W223" s="348">
        <v>0.5</v>
      </c>
      <c r="X223" s="447"/>
      <c r="Y223" s="447"/>
    </row>
    <row r="224" spans="1:25" ht="15" customHeight="1">
      <c r="A224" s="104" t="str">
        <f>IF(K224&gt;0,COUNT($A$10:A223)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4" s="448"/>
      <c r="D224" s="158" t="s">
        <v>1149</v>
      </c>
      <c r="E224" s="106">
        <v>100022143</v>
      </c>
      <c r="F224" s="159" t="s">
        <v>1150</v>
      </c>
      <c r="G224" s="106">
        <v>100</v>
      </c>
      <c r="H224" s="106">
        <v>7500</v>
      </c>
      <c r="I224" s="518">
        <f>_xlfn.XLOOKUP(E224,'All Products'!D:D,'All Products'!H:H)</f>
        <v>9.0500000000000007</v>
      </c>
      <c r="J224" s="317">
        <f>ROUNDUP(I224*Order_Quote!$L$12,2)</f>
        <v>45.25</v>
      </c>
      <c r="K224" s="468"/>
      <c r="L224" s="116"/>
      <c r="M224" s="199">
        <f t="shared" si="13"/>
        <v>0</v>
      </c>
      <c r="O224" s="265" t="s">
        <v>359</v>
      </c>
      <c r="P224" s="265" t="s">
        <v>102</v>
      </c>
      <c r="Q224" s="305" t="s">
        <v>1151</v>
      </c>
      <c r="R224" s="305" t="s">
        <v>1152</v>
      </c>
      <c r="S224" s="305" t="s">
        <v>1153</v>
      </c>
      <c r="T224" s="347">
        <v>9.0999999999999998E-2</v>
      </c>
      <c r="U224" s="265">
        <v>10</v>
      </c>
      <c r="V224" s="348">
        <v>9.4</v>
      </c>
      <c r="W224" s="348">
        <v>0.65</v>
      </c>
      <c r="X224" s="447"/>
      <c r="Y224" s="447"/>
    </row>
    <row r="225" spans="1:25" ht="15" customHeight="1">
      <c r="A225" s="104" t="str">
        <f>IF(K225&gt;0,COUNT($A$10:A224)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5" s="448"/>
      <c r="D225" s="158" t="s">
        <v>1154</v>
      </c>
      <c r="E225" s="106">
        <v>100022147</v>
      </c>
      <c r="F225" s="159" t="s">
        <v>1155</v>
      </c>
      <c r="G225" s="106">
        <v>50</v>
      </c>
      <c r="H225" s="106">
        <v>4500</v>
      </c>
      <c r="I225" s="518">
        <f>_xlfn.XLOOKUP(E225,'All Products'!D:D,'All Products'!H:H)</f>
        <v>11.03</v>
      </c>
      <c r="J225" s="317">
        <f>ROUNDUP(I225*Order_Quote!$L$12,2)</f>
        <v>55.15</v>
      </c>
      <c r="K225" s="468"/>
      <c r="L225" s="116"/>
      <c r="M225" s="199">
        <f t="shared" si="13"/>
        <v>0</v>
      </c>
      <c r="O225" s="265" t="s">
        <v>76</v>
      </c>
      <c r="P225" s="265" t="s">
        <v>102</v>
      </c>
      <c r="Q225" s="305" t="s">
        <v>1156</v>
      </c>
      <c r="R225" s="305" t="s">
        <v>1157</v>
      </c>
      <c r="S225" s="305" t="s">
        <v>1158</v>
      </c>
      <c r="T225" s="347">
        <v>0.10199999999999999</v>
      </c>
      <c r="U225" s="265">
        <v>10</v>
      </c>
      <c r="V225" s="348">
        <v>5.79</v>
      </c>
      <c r="W225" s="348">
        <v>0.5</v>
      </c>
      <c r="X225" s="447"/>
      <c r="Y225" s="447"/>
    </row>
    <row r="226" spans="1:25" ht="15" customHeight="1">
      <c r="A226" s="104" t="str">
        <f>IF(K226&gt;0,COUNT($A$10:A225)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6" s="448"/>
      <c r="D226" s="194" t="s">
        <v>1159</v>
      </c>
      <c r="E226" s="172">
        <v>100022148</v>
      </c>
      <c r="F226" s="313" t="s">
        <v>1160</v>
      </c>
      <c r="G226" s="106">
        <v>50</v>
      </c>
      <c r="H226" s="106">
        <v>4500</v>
      </c>
      <c r="I226" s="518">
        <f>_xlfn.XLOOKUP(E226,'All Products'!D:D,'All Products'!H:H)</f>
        <v>11.03</v>
      </c>
      <c r="J226" s="317">
        <f>ROUNDUP(I226*Order_Quote!$L$12,2)</f>
        <v>55.15</v>
      </c>
      <c r="K226" s="476"/>
      <c r="L226" s="116"/>
      <c r="M226" s="299">
        <f t="shared" si="13"/>
        <v>0</v>
      </c>
      <c r="O226" s="265" t="s">
        <v>76</v>
      </c>
      <c r="P226" s="265" t="s">
        <v>102</v>
      </c>
      <c r="Q226" s="305" t="s">
        <v>1161</v>
      </c>
      <c r="R226" s="305" t="s">
        <v>1162</v>
      </c>
      <c r="S226" s="305" t="s">
        <v>1163</v>
      </c>
      <c r="T226" s="347">
        <v>0.11</v>
      </c>
      <c r="U226" s="265">
        <v>10</v>
      </c>
      <c r="V226" s="348">
        <v>6.12</v>
      </c>
      <c r="W226" s="348">
        <v>0.5</v>
      </c>
      <c r="X226" s="447"/>
      <c r="Y226" s="447"/>
    </row>
    <row r="227" spans="1:25" ht="15" customHeight="1">
      <c r="A227" s="104" t="str">
        <f>IF(K227&gt;0,COUNT($A$10:A226)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7" s="471"/>
      <c r="C227" s="450"/>
      <c r="D227" s="158" t="s">
        <v>1164</v>
      </c>
      <c r="E227" s="106">
        <v>100022152</v>
      </c>
      <c r="F227" s="159" t="s">
        <v>1165</v>
      </c>
      <c r="G227" s="106">
        <v>25</v>
      </c>
      <c r="H227" s="106">
        <v>2250</v>
      </c>
      <c r="I227" s="518">
        <f>_xlfn.XLOOKUP(E227,'All Products'!D:D,'All Products'!H:H)</f>
        <v>18.54</v>
      </c>
      <c r="J227" s="317">
        <f>ROUNDUP(I227*Order_Quote!$L$12,2)</f>
        <v>92.7</v>
      </c>
      <c r="K227" s="468"/>
      <c r="L227" s="196"/>
      <c r="M227" s="199">
        <f t="shared" si="13"/>
        <v>0</v>
      </c>
      <c r="O227" s="265" t="s">
        <v>76</v>
      </c>
      <c r="P227" s="265" t="s">
        <v>102</v>
      </c>
      <c r="Q227" s="305" t="s">
        <v>1166</v>
      </c>
      <c r="R227" s="305" t="s">
        <v>1167</v>
      </c>
      <c r="S227" s="305" t="s">
        <v>1168</v>
      </c>
      <c r="T227" s="347">
        <v>0.20200000000000001</v>
      </c>
      <c r="U227" s="265">
        <v>5</v>
      </c>
      <c r="V227" s="348">
        <v>4.95</v>
      </c>
      <c r="W227" s="348">
        <v>0.5</v>
      </c>
      <c r="X227" s="447"/>
      <c r="Y227" s="447"/>
    </row>
    <row r="228" spans="1:25" ht="15" customHeight="1">
      <c r="A228" s="104" t="str">
        <f>IF(K228&gt;0,COUNT($A$10:A227)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8" s="17"/>
      <c r="E228" s="20"/>
      <c r="F228" s="217"/>
      <c r="G228" s="20"/>
      <c r="H228" s="20"/>
      <c r="I228" s="514"/>
      <c r="J228" s="237"/>
      <c r="K228" s="443"/>
      <c r="L228" s="20"/>
      <c r="M228" s="181"/>
      <c r="O228" s="20"/>
      <c r="P228" s="20"/>
      <c r="Q228" s="20"/>
      <c r="R228" s="20"/>
      <c r="S228" s="20"/>
      <c r="T228" s="20"/>
      <c r="U228" s="20"/>
      <c r="V228" s="20"/>
      <c r="W228" s="20"/>
    </row>
    <row r="229" spans="1:25" ht="18.75">
      <c r="A229" s="104" t="str">
        <f>IF(K229&gt;0,COUNT($A$10:A228)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29" s="444" t="s">
        <v>1169</v>
      </c>
      <c r="C229" s="44"/>
      <c r="D229" s="44"/>
      <c r="E229" s="44"/>
      <c r="F229" s="44"/>
      <c r="G229" s="44"/>
      <c r="H229" s="44"/>
      <c r="I229" s="515"/>
      <c r="J229" s="445"/>
      <c r="K229" s="246"/>
      <c r="L229" s="243"/>
      <c r="M229" s="157"/>
      <c r="O229" s="44"/>
      <c r="P229" s="44"/>
      <c r="Q229" s="44"/>
      <c r="R229" s="44"/>
      <c r="S229" s="44"/>
      <c r="T229" s="44"/>
      <c r="U229" s="44"/>
      <c r="V229" s="44"/>
      <c r="W229" s="44"/>
    </row>
    <row r="230" spans="1:25" ht="15" customHeight="1">
      <c r="A230" s="104" t="str">
        <f>IF(K230&gt;0,COUNT($A$10:A229)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0" s="455" t="s">
        <v>1170</v>
      </c>
      <c r="C230" s="452"/>
      <c r="D230" s="452"/>
      <c r="E230" s="452"/>
      <c r="F230" s="452"/>
      <c r="G230" s="452"/>
      <c r="H230" s="452"/>
      <c r="I230" s="452"/>
      <c r="J230" s="453"/>
      <c r="K230" s="452"/>
      <c r="L230" s="452"/>
      <c r="M230" s="454"/>
      <c r="O230" s="452"/>
      <c r="P230" s="452"/>
      <c r="Q230" s="452"/>
      <c r="R230" s="452"/>
      <c r="S230" s="452"/>
      <c r="T230" s="452"/>
      <c r="U230" s="452"/>
      <c r="V230" s="452"/>
      <c r="W230" s="452"/>
    </row>
    <row r="231" spans="1:25" ht="15" customHeight="1">
      <c r="A231" s="104" t="str">
        <f>IF(K231&gt;0,COUNT($A$10:A230)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1" s="112"/>
      <c r="C231" s="79"/>
      <c r="D231" s="208" t="s">
        <v>1171</v>
      </c>
      <c r="E231" s="171">
        <v>100022154</v>
      </c>
      <c r="F231" s="289" t="s">
        <v>1172</v>
      </c>
      <c r="G231" s="171">
        <v>500</v>
      </c>
      <c r="H231" s="171">
        <v>37500</v>
      </c>
      <c r="I231" s="517">
        <f>_xlfn.XLOOKUP(E231,'All Products'!D:D,'All Products'!H:H)</f>
        <v>4.3899999999999997</v>
      </c>
      <c r="J231" s="317">
        <f>ROUNDUP(I231*Order_Quote!$L$12,2)</f>
        <v>21.95</v>
      </c>
      <c r="K231" s="184"/>
      <c r="L231" s="116"/>
      <c r="M231" s="298">
        <f t="shared" ref="M231:M236" si="14">K231/G231</f>
        <v>0</v>
      </c>
      <c r="O231" s="305" t="s">
        <v>76</v>
      </c>
      <c r="P231" s="305" t="s">
        <v>102</v>
      </c>
      <c r="Q231" s="305" t="s">
        <v>1173</v>
      </c>
      <c r="R231" s="305" t="s">
        <v>1174</v>
      </c>
      <c r="S231" s="305" t="s">
        <v>1175</v>
      </c>
      <c r="T231" s="347">
        <v>1.4E-2</v>
      </c>
      <c r="U231" s="265">
        <v>10</v>
      </c>
      <c r="V231" s="348">
        <v>7.82</v>
      </c>
      <c r="W231" s="348">
        <v>0.65</v>
      </c>
      <c r="X231" s="447"/>
      <c r="Y231" s="447"/>
    </row>
    <row r="232" spans="1:25" ht="15" customHeight="1">
      <c r="A232" s="104" t="str">
        <f>IF(K232&gt;0,COUNT($A$10:A231)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2" s="112"/>
      <c r="C232" s="79"/>
      <c r="D232" s="158" t="s">
        <v>1176</v>
      </c>
      <c r="E232" s="106">
        <v>100022156</v>
      </c>
      <c r="F232" s="159" t="s">
        <v>1177</v>
      </c>
      <c r="G232" s="106">
        <v>500</v>
      </c>
      <c r="H232" s="106">
        <v>22500</v>
      </c>
      <c r="I232" s="518">
        <f>_xlfn.XLOOKUP(E232,'All Products'!D:D,'All Products'!H:H)</f>
        <v>4.57</v>
      </c>
      <c r="J232" s="317">
        <f>ROUNDUP(I232*Order_Quote!$L$12,2)</f>
        <v>22.85</v>
      </c>
      <c r="K232" s="78"/>
      <c r="L232" s="116"/>
      <c r="M232" s="199">
        <f t="shared" si="14"/>
        <v>0</v>
      </c>
      <c r="O232" s="265" t="s">
        <v>76</v>
      </c>
      <c r="P232" s="265" t="s">
        <v>102</v>
      </c>
      <c r="Q232" s="305" t="s">
        <v>1178</v>
      </c>
      <c r="R232" s="305" t="s">
        <v>1179</v>
      </c>
      <c r="S232" s="305" t="s">
        <v>1180</v>
      </c>
      <c r="T232" s="347">
        <v>0.02</v>
      </c>
      <c r="U232" s="265">
        <v>10</v>
      </c>
      <c r="V232" s="348">
        <v>11.76</v>
      </c>
      <c r="W232" s="348">
        <v>0.95</v>
      </c>
      <c r="X232" s="447"/>
      <c r="Y232" s="447"/>
    </row>
    <row r="233" spans="1:25" ht="15" customHeight="1">
      <c r="A233" s="104" t="str">
        <f>IF(K233&gt;0,COUNT($A$10:A232)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3" s="112"/>
      <c r="C233" s="79"/>
      <c r="D233" s="158" t="s">
        <v>1181</v>
      </c>
      <c r="E233" s="106">
        <v>100022158</v>
      </c>
      <c r="F233" s="159" t="s">
        <v>1182</v>
      </c>
      <c r="G233" s="106">
        <v>250</v>
      </c>
      <c r="H233" s="106">
        <v>22500</v>
      </c>
      <c r="I233" s="518">
        <f>_xlfn.XLOOKUP(E233,'All Products'!D:D,'All Products'!H:H)</f>
        <v>6.18</v>
      </c>
      <c r="J233" s="317">
        <f>ROUNDUP(I233*Order_Quote!$L$12,2)</f>
        <v>30.9</v>
      </c>
      <c r="K233" s="78"/>
      <c r="L233" s="116"/>
      <c r="M233" s="199">
        <f t="shared" si="14"/>
        <v>0</v>
      </c>
      <c r="O233" s="265" t="s">
        <v>76</v>
      </c>
      <c r="P233" s="265" t="s">
        <v>102</v>
      </c>
      <c r="Q233" s="305" t="s">
        <v>1183</v>
      </c>
      <c r="R233" s="305" t="s">
        <v>1184</v>
      </c>
      <c r="S233" s="305" t="s">
        <v>1185</v>
      </c>
      <c r="T233" s="347">
        <v>3.3000000000000002E-2</v>
      </c>
      <c r="U233" s="265">
        <v>10</v>
      </c>
      <c r="V233" s="348">
        <v>14.33</v>
      </c>
      <c r="W233" s="348">
        <v>0.5</v>
      </c>
      <c r="X233" s="447"/>
      <c r="Y233" s="447"/>
    </row>
    <row r="234" spans="1:25" ht="15" customHeight="1">
      <c r="A234" s="104" t="str">
        <f>IF(K234&gt;0,COUNT($A$10:A233)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4" s="112"/>
      <c r="C234" s="79"/>
      <c r="D234" s="158" t="s">
        <v>1186</v>
      </c>
      <c r="E234" s="106">
        <v>100022159</v>
      </c>
      <c r="F234" s="159" t="s">
        <v>1187</v>
      </c>
      <c r="G234" s="106">
        <v>125</v>
      </c>
      <c r="H234" s="106">
        <v>15000</v>
      </c>
      <c r="I234" s="518">
        <f>_xlfn.XLOOKUP(E234,'All Products'!D:D,'All Products'!H:H)</f>
        <v>7.82</v>
      </c>
      <c r="J234" s="317">
        <f>ROUNDUP(I234*Order_Quote!$L$12,2)</f>
        <v>39.1</v>
      </c>
      <c r="K234" s="78"/>
      <c r="L234" s="116"/>
      <c r="M234" s="199">
        <f t="shared" si="14"/>
        <v>0</v>
      </c>
      <c r="O234" s="265" t="s">
        <v>76</v>
      </c>
      <c r="P234" s="265" t="s">
        <v>102</v>
      </c>
      <c r="Q234" s="305" t="s">
        <v>1188</v>
      </c>
      <c r="R234" s="305" t="s">
        <v>1189</v>
      </c>
      <c r="S234" s="305" t="s">
        <v>1190</v>
      </c>
      <c r="T234" s="347">
        <v>0.05</v>
      </c>
      <c r="U234" s="265">
        <v>5</v>
      </c>
      <c r="V234" s="348">
        <v>7.56</v>
      </c>
      <c r="W234" s="348">
        <v>0.65</v>
      </c>
      <c r="X234" s="447"/>
      <c r="Y234" s="447"/>
    </row>
    <row r="235" spans="1:25" ht="15" customHeight="1">
      <c r="A235" s="104" t="str">
        <f>IF(K235&gt;0,COUNT($A$10:A234)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5" s="112"/>
      <c r="C235" s="79"/>
      <c r="D235" s="158" t="s">
        <v>1191</v>
      </c>
      <c r="E235" s="106">
        <v>100022161</v>
      </c>
      <c r="F235" s="159" t="s">
        <v>1192</v>
      </c>
      <c r="G235" s="106">
        <v>125</v>
      </c>
      <c r="H235" s="106">
        <v>11250</v>
      </c>
      <c r="I235" s="518">
        <f>_xlfn.XLOOKUP(E235,'All Products'!D:D,'All Products'!H:H)</f>
        <v>8.5299999999999994</v>
      </c>
      <c r="J235" s="317">
        <f>ROUNDUP(I235*Order_Quote!$L$12,2)</f>
        <v>42.65</v>
      </c>
      <c r="K235" s="78"/>
      <c r="L235" s="116"/>
      <c r="M235" s="199">
        <f t="shared" si="14"/>
        <v>0</v>
      </c>
      <c r="O235" s="265" t="s">
        <v>76</v>
      </c>
      <c r="P235" s="265" t="s">
        <v>102</v>
      </c>
      <c r="Q235" s="305" t="s">
        <v>1193</v>
      </c>
      <c r="R235" s="305" t="s">
        <v>1194</v>
      </c>
      <c r="S235" s="305" t="s">
        <v>1195</v>
      </c>
      <c r="T235" s="347">
        <v>6.2E-2</v>
      </c>
      <c r="U235" s="265">
        <v>5</v>
      </c>
      <c r="V235" s="348">
        <v>9.08</v>
      </c>
      <c r="W235" s="348">
        <v>0.8</v>
      </c>
      <c r="X235" s="447"/>
      <c r="Y235" s="447"/>
    </row>
    <row r="236" spans="1:25" ht="15" customHeight="1">
      <c r="A236" s="104" t="str">
        <f>IF(K236&gt;0,COUNT($A$10:A235)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+COUNT(CPVC!$A$8:$A$99)+1,"")</f>
        <v/>
      </c>
      <c r="B236" s="113"/>
      <c r="C236" s="114"/>
      <c r="D236" s="158" t="s">
        <v>1196</v>
      </c>
      <c r="E236" s="106">
        <v>100022162</v>
      </c>
      <c r="F236" s="159" t="s">
        <v>1197</v>
      </c>
      <c r="G236" s="106">
        <v>50</v>
      </c>
      <c r="H236" s="106">
        <v>7500</v>
      </c>
      <c r="I236" s="518">
        <f>_xlfn.XLOOKUP(E236,'All Products'!D:D,'All Products'!H:H)</f>
        <v>15.03</v>
      </c>
      <c r="J236" s="317">
        <f>ROUNDUP(I236*Order_Quote!$L$12,2)</f>
        <v>75.150000000000006</v>
      </c>
      <c r="K236" s="78"/>
      <c r="L236" s="292"/>
      <c r="M236" s="199">
        <f t="shared" si="14"/>
        <v>0</v>
      </c>
      <c r="O236" s="265" t="s">
        <v>76</v>
      </c>
      <c r="P236" s="265" t="s">
        <v>102</v>
      </c>
      <c r="Q236" s="305" t="s">
        <v>1198</v>
      </c>
      <c r="R236" s="305" t="s">
        <v>1199</v>
      </c>
      <c r="S236" s="305" t="s">
        <v>1200</v>
      </c>
      <c r="T236" s="347">
        <v>0.121</v>
      </c>
      <c r="U236" s="265">
        <v>5</v>
      </c>
      <c r="V236" s="348">
        <v>5.99</v>
      </c>
      <c r="W236" s="348">
        <v>0.5</v>
      </c>
      <c r="X236" s="447"/>
      <c r="Y236" s="447"/>
    </row>
    <row r="237" spans="1:25" ht="15" customHeight="1">
      <c r="A237" s="104">
        <f>MAX(A11:A236)+1</f>
        <v>1</v>
      </c>
      <c r="B237" s="17"/>
    </row>
    <row r="238" spans="1:25" s="152" customFormat="1" ht="15" hidden="1" customHeight="1">
      <c r="A238" s="323"/>
      <c r="J238" s="477"/>
    </row>
    <row r="239" spans="1:25" s="152" customFormat="1" ht="15" hidden="1" customHeight="1">
      <c r="A239" s="323"/>
      <c r="J239" s="477"/>
    </row>
    <row r="240" spans="1:25" s="152" customFormat="1" ht="15" hidden="1" customHeight="1">
      <c r="A240" s="323"/>
      <c r="J240" s="477"/>
    </row>
    <row r="241" ht="15" hidden="1" customHeight="1"/>
    <row r="242" ht="15" hidden="1" customHeight="1"/>
    <row r="243" ht="15" hidden="1" customHeight="1"/>
    <row r="244" ht="15" hidden="1" customHeight="1"/>
    <row r="245" ht="15" hidden="1" customHeight="1"/>
    <row r="246" ht="15" hidden="1" customHeight="1"/>
    <row r="247" ht="15" hidden="1" customHeight="1"/>
    <row r="248" ht="15" hidden="1" customHeight="1"/>
    <row r="249" ht="15" hidden="1" customHeight="1"/>
    <row r="250" ht="15" hidden="1" customHeight="1"/>
    <row r="251" ht="15" hidden="1" customHeight="1"/>
    <row r="252" ht="15" hidden="1" customHeight="1"/>
    <row r="253" ht="15" hidden="1" customHeight="1"/>
    <row r="254" ht="15" hidden="1" customHeight="1"/>
    <row r="255" ht="15" hidden="1" customHeight="1"/>
    <row r="256" ht="15" hidden="1" customHeight="1"/>
    <row r="257" ht="15" hidden="1" customHeight="1"/>
    <row r="258" ht="15" hidden="1" customHeight="1"/>
    <row r="259" ht="15" hidden="1" customHeight="1"/>
    <row r="260" ht="15" hidden="1" customHeight="1"/>
    <row r="261" ht="15" hidden="1" customHeight="1"/>
    <row r="262" ht="15" hidden="1" customHeight="1"/>
    <row r="263" ht="15" hidden="1" customHeight="1"/>
    <row r="264" ht="15" hidden="1" customHeight="1"/>
    <row r="265" ht="15" hidden="1" customHeight="1"/>
    <row r="266" ht="15" hidden="1" customHeight="1"/>
    <row r="267" ht="15" hidden="1" customHeight="1"/>
    <row r="268" ht="15" hidden="1" customHeight="1"/>
    <row r="269" ht="15" hidden="1" customHeight="1"/>
    <row r="270" ht="15" hidden="1" customHeight="1"/>
    <row r="271" ht="15" hidden="1" customHeight="1"/>
    <row r="272" ht="15" hidden="1" customHeight="1"/>
    <row r="273" ht="15" hidden="1" customHeight="1"/>
    <row r="274" ht="15" hidden="1" customHeight="1"/>
    <row r="275" ht="15" hidden="1" customHeight="1"/>
    <row r="276" ht="15" hidden="1" customHeight="1"/>
    <row r="277" ht="15" hidden="1" customHeight="1"/>
    <row r="278" ht="15" hidden="1" customHeight="1"/>
    <row r="279" ht="15" hidden="1" customHeight="1"/>
    <row r="280" ht="15" hidden="1" customHeight="1"/>
    <row r="281" ht="15" hidden="1" customHeight="1"/>
    <row r="282" ht="15" hidden="1" customHeight="1"/>
    <row r="283" ht="15" hidden="1" customHeight="1"/>
    <row r="284" ht="15" hidden="1" customHeight="1"/>
    <row r="285" ht="15" hidden="1" customHeight="1"/>
    <row r="286" ht="15" hidden="1" customHeight="1"/>
    <row r="287" ht="15" hidden="1" customHeight="1"/>
    <row r="288" ht="15" hidden="1" customHeight="1"/>
    <row r="289" ht="15" hidden="1" customHeight="1"/>
    <row r="290" ht="15" hidden="1" customHeight="1"/>
    <row r="291" ht="15" hidden="1" customHeight="1"/>
    <row r="292" ht="15" hidden="1" customHeight="1"/>
    <row r="293" ht="15" hidden="1" customHeight="1"/>
    <row r="294" ht="15" hidden="1" customHeight="1"/>
    <row r="295" ht="15" hidden="1" customHeight="1"/>
    <row r="296" ht="15" hidden="1" customHeight="1"/>
    <row r="297" ht="15" hidden="1" customHeight="1"/>
    <row r="298" ht="15" hidden="1" customHeight="1"/>
    <row r="299" ht="15" hidden="1" customHeight="1"/>
    <row r="300" ht="15" hidden="1" customHeight="1"/>
    <row r="301" ht="15" hidden="1" customHeight="1"/>
    <row r="302" ht="15" hidden="1" customHeight="1"/>
    <row r="303" ht="15" hidden="1" customHeight="1"/>
    <row r="304" ht="15" hidden="1" customHeight="1"/>
    <row r="305" ht="15" hidden="1" customHeight="1"/>
    <row r="306" ht="15" hidden="1" customHeight="1"/>
    <row r="307" ht="15" hidden="1" customHeight="1"/>
    <row r="308" ht="15" hidden="1" customHeight="1"/>
    <row r="309" ht="15" hidden="1" customHeight="1"/>
    <row r="310" ht="15" hidden="1" customHeight="1"/>
    <row r="311" ht="15" hidden="1" customHeight="1"/>
    <row r="312" ht="15" hidden="1" customHeight="1"/>
    <row r="313" ht="15" hidden="1" customHeight="1"/>
    <row r="314" ht="15" hidden="1" customHeight="1"/>
    <row r="315" ht="15" hidden="1" customHeight="1"/>
    <row r="316" ht="15" hidden="1" customHeight="1"/>
    <row r="317" ht="15" hidden="1" customHeight="1"/>
    <row r="318" ht="15" hidden="1" customHeight="1"/>
    <row r="319" ht="15" hidden="1" customHeight="1"/>
    <row r="320" ht="15" hidden="1" customHeight="1"/>
    <row r="321" ht="15" hidden="1" customHeight="1"/>
    <row r="322" ht="15" hidden="1" customHeight="1"/>
    <row r="323" ht="15" hidden="1" customHeight="1"/>
    <row r="324" ht="15" hidden="1" customHeight="1"/>
    <row r="325" ht="15" hidden="1" customHeight="1"/>
    <row r="326" ht="15" hidden="1" customHeight="1"/>
    <row r="327" ht="15" hidden="1" customHeight="1"/>
    <row r="328" ht="15" hidden="1" customHeight="1"/>
    <row r="329" ht="15" hidden="1" customHeight="1"/>
    <row r="330" ht="15" hidden="1" customHeight="1"/>
    <row r="331" ht="15" hidden="1" customHeight="1"/>
    <row r="332" ht="15" hidden="1" customHeight="1"/>
    <row r="333" ht="15" hidden="1" customHeight="1"/>
    <row r="334" ht="15" hidden="1" customHeight="1"/>
    <row r="335" ht="15" hidden="1" customHeight="1"/>
    <row r="336" ht="15" hidden="1" customHeight="1"/>
    <row r="337" ht="15" hidden="1" customHeight="1"/>
    <row r="338" ht="15" hidden="1" customHeight="1"/>
    <row r="339" ht="15" hidden="1" customHeight="1"/>
    <row r="340" ht="15" hidden="1" customHeight="1"/>
    <row r="341" ht="15" hidden="1" customHeight="1"/>
    <row r="342" ht="15" hidden="1" customHeight="1"/>
    <row r="343" ht="15" hidden="1" customHeight="1"/>
    <row r="344" ht="15" hidden="1" customHeight="1"/>
    <row r="345" ht="15" hidden="1" customHeight="1"/>
    <row r="346" ht="15" hidden="1" customHeight="1"/>
    <row r="347" ht="15" hidden="1" customHeight="1"/>
    <row r="348" ht="15" hidden="1" customHeight="1"/>
    <row r="349" ht="15" hidden="1" customHeight="1"/>
    <row r="350" ht="15" hidden="1" customHeight="1"/>
    <row r="351" ht="15" hidden="1" customHeight="1"/>
    <row r="352" ht="15" hidden="1" customHeight="1"/>
    <row r="353" spans="1:23" ht="15" hidden="1" customHeight="1"/>
    <row r="354" spans="1:23" ht="15" hidden="1" customHeight="1"/>
    <row r="355" spans="1:23" s="20" customFormat="1" ht="15" hidden="1" customHeight="1">
      <c r="A355" s="323"/>
      <c r="B355" s="152"/>
      <c r="C355" s="152"/>
      <c r="D355" s="152"/>
      <c r="E355" s="152"/>
      <c r="F355" s="152"/>
      <c r="G355" s="152"/>
      <c r="H355" s="152"/>
      <c r="I355" s="152"/>
      <c r="J355" s="477"/>
      <c r="K355" s="152"/>
      <c r="L355" s="152"/>
      <c r="M355" s="152"/>
      <c r="N355" s="17"/>
      <c r="O355" s="152"/>
      <c r="P355" s="152"/>
      <c r="Q355" s="152"/>
      <c r="R355" s="152"/>
      <c r="S355" s="152"/>
      <c r="T355" s="152"/>
      <c r="U355" s="152"/>
      <c r="V355" s="152"/>
      <c r="W355" s="152"/>
    </row>
    <row r="356" spans="1:23" s="20" customFormat="1" ht="15" hidden="1" customHeight="1">
      <c r="A356" s="323"/>
      <c r="B356" s="152"/>
      <c r="C356" s="152"/>
      <c r="D356" s="152"/>
      <c r="E356" s="152"/>
      <c r="F356" s="152"/>
      <c r="G356" s="152"/>
      <c r="H356" s="152"/>
      <c r="I356" s="152"/>
      <c r="J356" s="477"/>
      <c r="K356" s="152"/>
      <c r="L356" s="152"/>
      <c r="M356" s="152"/>
      <c r="N356" s="17"/>
      <c r="O356" s="152"/>
      <c r="P356" s="152"/>
      <c r="Q356" s="152"/>
      <c r="R356" s="152"/>
      <c r="S356" s="152"/>
      <c r="T356" s="152"/>
      <c r="U356" s="152"/>
      <c r="V356" s="152"/>
      <c r="W356" s="152"/>
    </row>
    <row r="357" spans="1:23" s="20" customFormat="1" ht="15" hidden="1" customHeight="1">
      <c r="A357" s="323"/>
      <c r="B357" s="152"/>
      <c r="C357" s="152"/>
      <c r="D357" s="152"/>
      <c r="E357" s="152"/>
      <c r="F357" s="152"/>
      <c r="G357" s="152"/>
      <c r="H357" s="152"/>
      <c r="I357" s="152"/>
      <c r="J357" s="477"/>
      <c r="K357" s="152"/>
      <c r="L357" s="152"/>
      <c r="M357" s="152"/>
      <c r="N357" s="17"/>
      <c r="O357" s="152"/>
      <c r="P357" s="152"/>
      <c r="Q357" s="152"/>
      <c r="R357" s="152"/>
      <c r="S357" s="152"/>
      <c r="T357" s="152"/>
      <c r="U357" s="152"/>
      <c r="V357" s="152"/>
      <c r="W357" s="152"/>
    </row>
    <row r="358" spans="1:23" s="20" customFormat="1" ht="15" hidden="1" customHeight="1">
      <c r="A358" s="323"/>
      <c r="B358" s="152"/>
      <c r="C358" s="152"/>
      <c r="D358" s="152"/>
      <c r="E358" s="152"/>
      <c r="F358" s="152"/>
      <c r="G358" s="152"/>
      <c r="H358" s="152"/>
      <c r="I358" s="152"/>
      <c r="J358" s="477"/>
      <c r="K358" s="152"/>
      <c r="L358" s="152"/>
      <c r="M358" s="152"/>
      <c r="N358" s="17"/>
      <c r="O358" s="152"/>
      <c r="P358" s="152"/>
      <c r="Q358" s="152"/>
      <c r="R358" s="152"/>
      <c r="S358" s="152"/>
      <c r="T358" s="152"/>
      <c r="U358" s="152"/>
      <c r="V358" s="152"/>
      <c r="W358" s="152"/>
    </row>
    <row r="359" spans="1:23" s="20" customFormat="1" ht="15" hidden="1" customHeight="1">
      <c r="A359" s="323"/>
      <c r="B359" s="152"/>
      <c r="C359" s="152"/>
      <c r="D359" s="152"/>
      <c r="E359" s="152"/>
      <c r="F359" s="152"/>
      <c r="G359" s="152"/>
      <c r="H359" s="152"/>
      <c r="I359" s="152"/>
      <c r="J359" s="477"/>
      <c r="K359" s="152"/>
      <c r="L359" s="152"/>
      <c r="M359" s="152"/>
      <c r="N359" s="17"/>
      <c r="O359" s="152"/>
      <c r="P359" s="152"/>
      <c r="Q359" s="152"/>
      <c r="R359" s="152"/>
      <c r="S359" s="152"/>
      <c r="T359" s="152"/>
      <c r="U359" s="152"/>
      <c r="V359" s="152"/>
      <c r="W359" s="152"/>
    </row>
    <row r="360" spans="1:23" s="20" customFormat="1" ht="15" hidden="1" customHeight="1">
      <c r="A360" s="323"/>
      <c r="B360" s="152"/>
      <c r="C360" s="152"/>
      <c r="D360" s="152"/>
      <c r="E360" s="152"/>
      <c r="F360" s="152"/>
      <c r="G360" s="152"/>
      <c r="H360" s="152"/>
      <c r="I360" s="152"/>
      <c r="J360" s="477"/>
      <c r="K360" s="152"/>
      <c r="L360" s="152"/>
      <c r="M360" s="152"/>
      <c r="N360" s="17"/>
      <c r="O360" s="152"/>
      <c r="P360" s="152"/>
      <c r="Q360" s="152"/>
      <c r="R360" s="152"/>
      <c r="S360" s="152"/>
      <c r="T360" s="152"/>
      <c r="U360" s="152"/>
      <c r="V360" s="152"/>
      <c r="W360" s="152"/>
    </row>
  </sheetData>
  <sheetProtection algorithmName="SHA-512" hashValue="iy5HPT5IjH3aOPfCXKQHpToKhfaRl9MF2bM3kmGzByjYMHYWQguom5hjLkVVA0+b//C4tG9TWMB8gZ6LqFuiig==" saltValue="l0aGeJv1a4doH9mGZsge1Q==" spinCount="100000" sheet="1" formatCells="0" formatColumns="0" formatRows="0" insertColumns="0" insertRows="0" insertHyperlinks="0" deleteColumns="0" deleteRows="0" sort="0" autoFilter="0" pivotTables="0"/>
  <mergeCells count="3">
    <mergeCell ref="J2:K3"/>
    <mergeCell ref="B73:C74"/>
    <mergeCell ref="Q6:S6"/>
  </mergeCells>
  <dataValidations xWindow="776" yWindow="685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7 K9:L10" xr:uid="{D6A14330-A965-4DA0-9419-70ADB076CCAC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30:L35 K89:L89 K77:L84 K114:L123 K11:L17 K8:L8 K20:L27 K29:K35 K38:L74 K86:L87 K91:L110 K127:L142 K146:L146" xr:uid="{4FAC8CCB-F0C2-4F13-9EBD-D4B77D2FED59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7AF494F5-493C-4ABB-8629-D98DC178DDBF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 K203:L209 K194:L200 L147:L158 K147:K165 K166:L173 K176:L191 K213:L218 K220:L237" xr:uid="{8CCA0AB5-C361-4262-A3CE-0D1DF37EC3F3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5" manualBreakCount="5">
    <brk id="40" max="8" man="1"/>
    <brk id="87" max="8" man="1"/>
    <brk id="123" max="8" man="1"/>
    <brk id="155" max="8" man="1"/>
    <brk id="191" max="8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  <pageSetUpPr fitToPage="1"/>
  </sheetPr>
  <dimension ref="A1:W326"/>
  <sheetViews>
    <sheetView showGridLines="0" zoomScaleNormal="100" workbookViewId="0">
      <pane xSplit="6" ySplit="7" topLeftCell="G8" activePane="bottomRight" state="frozen"/>
      <selection pane="bottomRight" activeCell="F1" sqref="F1"/>
      <selection pane="bottomLeft" activeCell="A8" sqref="A8"/>
      <selection pane="topRight" activeCell="G1" sqref="G1"/>
    </sheetView>
  </sheetViews>
  <sheetFormatPr defaultColWidth="9.140625" defaultRowHeight="15" zeroHeight="1"/>
  <cols>
    <col min="1" max="1" width="2.28515625" style="5" customWidth="1"/>
    <col min="2" max="3" width="8.7109375" style="2" customWidth="1"/>
    <col min="4" max="5" width="12.7109375" style="4" customWidth="1"/>
    <col min="6" max="6" width="50.7109375" style="2" customWidth="1"/>
    <col min="7" max="8" width="10.7109375" style="4" customWidth="1"/>
    <col min="9" max="9" width="10.7109375" style="10" customWidth="1"/>
    <col min="10" max="10" width="10.5703125" style="10" customWidth="1"/>
    <col min="11" max="11" width="9.5703125" style="2" customWidth="1"/>
    <col min="12" max="12" width="1.42578125" style="2" customWidth="1"/>
    <col min="13" max="13" width="11.5703125" style="4" bestFit="1" customWidth="1"/>
    <col min="14" max="14" width="2.140625" style="2" customWidth="1"/>
    <col min="15" max="15" width="12.7109375" style="4" customWidth="1"/>
    <col min="16" max="16" width="10.7109375" style="4" customWidth="1"/>
    <col min="17" max="17" width="12.140625" style="11" bestFit="1" customWidth="1"/>
    <col min="18" max="18" width="12.42578125" style="2" customWidth="1"/>
    <col min="19" max="19" width="14.140625" style="2" bestFit="1" customWidth="1"/>
    <col min="20" max="25" width="12.42578125" style="2" customWidth="1"/>
    <col min="26" max="16384" width="9.140625" style="2"/>
  </cols>
  <sheetData>
    <row r="1" spans="1:23" ht="18.75">
      <c r="F1" s="257" t="s">
        <v>30</v>
      </c>
      <c r="G1" s="170"/>
      <c r="H1" s="170"/>
      <c r="O1" s="170"/>
      <c r="P1" s="170"/>
    </row>
    <row r="2" spans="1:23" ht="15.75">
      <c r="D2" s="12"/>
      <c r="E2" s="13"/>
      <c r="J2" s="585" t="s">
        <v>59</v>
      </c>
      <c r="K2" s="585"/>
    </row>
    <row r="3" spans="1:23">
      <c r="F3" s="436" t="s">
        <v>1201</v>
      </c>
      <c r="J3" s="585"/>
      <c r="K3" s="585"/>
    </row>
    <row r="4" spans="1:23" ht="15.75">
      <c r="D4" s="12"/>
      <c r="E4" s="14"/>
      <c r="F4" s="440" t="s">
        <v>1202</v>
      </c>
    </row>
    <row r="5" spans="1:23">
      <c r="E5" s="14" t="s">
        <v>1202</v>
      </c>
      <c r="F5" s="438" t="s">
        <v>329</v>
      </c>
    </row>
    <row r="6" spans="1:23">
      <c r="O6" s="486" t="s">
        <v>63</v>
      </c>
      <c r="Q6" s="576" t="s">
        <v>64</v>
      </c>
      <c r="R6" s="576"/>
      <c r="S6" s="576"/>
    </row>
    <row r="7" spans="1:23" s="269" customFormat="1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</row>
    <row r="8" spans="1:23" s="17" customFormat="1">
      <c r="A8" s="5" t="str">
        <f>IF(K8&gt;0,COUNT($A$7:A7)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" s="577"/>
      <c r="C8" s="578"/>
      <c r="D8" s="106" t="s">
        <v>1203</v>
      </c>
      <c r="E8" s="106">
        <v>100027228</v>
      </c>
      <c r="F8" s="55" t="s">
        <v>1204</v>
      </c>
      <c r="G8" s="106">
        <v>100</v>
      </c>
      <c r="H8" s="106" t="s">
        <v>1205</v>
      </c>
      <c r="I8" s="128">
        <f>_xlfn.XLOOKUP(E8,'All Products'!D:D,'All Products'!H:H)</f>
        <v>12.16</v>
      </c>
      <c r="J8" s="133">
        <f>ROUNDUP(I8*Order_Quote!$L$13,2)</f>
        <v>60.8</v>
      </c>
      <c r="K8" s="76"/>
      <c r="L8" s="79"/>
      <c r="M8" s="107">
        <f t="shared" ref="M8:M38" si="0">K8/G8</f>
        <v>0</v>
      </c>
      <c r="O8" s="265" t="s">
        <v>1206</v>
      </c>
      <c r="P8" s="265" t="s">
        <v>77</v>
      </c>
      <c r="Q8" s="265" t="s">
        <v>1207</v>
      </c>
      <c r="R8" s="265">
        <v>0</v>
      </c>
      <c r="S8" s="265" t="s">
        <v>1208</v>
      </c>
      <c r="T8" s="347">
        <v>0.20799999999999999</v>
      </c>
      <c r="U8" s="265">
        <v>0</v>
      </c>
      <c r="V8" s="348">
        <v>21.59</v>
      </c>
      <c r="W8" s="348">
        <v>1</v>
      </c>
    </row>
    <row r="9" spans="1:23" s="17" customFormat="1">
      <c r="A9" s="5" t="str">
        <f>IF(K9&gt;0,COUNT($A$7:A8)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" s="579"/>
      <c r="C9" s="580"/>
      <c r="D9" s="106" t="s">
        <v>1209</v>
      </c>
      <c r="E9" s="106">
        <v>100027230</v>
      </c>
      <c r="F9" s="55" t="s">
        <v>1210</v>
      </c>
      <c r="G9" s="106">
        <v>100</v>
      </c>
      <c r="H9" s="106" t="s">
        <v>1205</v>
      </c>
      <c r="I9" s="128">
        <f>_xlfn.XLOOKUP(E9,'All Products'!D:D,'All Products'!H:H)</f>
        <v>14.15</v>
      </c>
      <c r="J9" s="133">
        <f>ROUNDUP(I9*Order_Quote!$L$13,2)</f>
        <v>70.75</v>
      </c>
      <c r="K9" s="76"/>
      <c r="L9" s="79"/>
      <c r="M9" s="107">
        <f t="shared" si="0"/>
        <v>0</v>
      </c>
      <c r="O9" s="265" t="s">
        <v>369</v>
      </c>
      <c r="P9" s="265" t="s">
        <v>77</v>
      </c>
      <c r="Q9" s="265" t="s">
        <v>1211</v>
      </c>
      <c r="R9" s="265">
        <v>0</v>
      </c>
      <c r="S9" s="265" t="s">
        <v>1212</v>
      </c>
      <c r="T9" s="348">
        <v>36.909999999999997</v>
      </c>
      <c r="U9" s="265">
        <v>0</v>
      </c>
      <c r="V9" s="348">
        <v>36.909999999999997</v>
      </c>
      <c r="W9" s="348">
        <v>1.7</v>
      </c>
    </row>
    <row r="10" spans="1:23" s="17" customFormat="1">
      <c r="A10" s="5" t="str">
        <f>IF(K10&gt;0,COUNT($A$7:A9)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" s="579"/>
      <c r="C10" s="580"/>
      <c r="D10" s="106" t="s">
        <v>1213</v>
      </c>
      <c r="E10" s="106">
        <v>100027232</v>
      </c>
      <c r="F10" s="55" t="s">
        <v>1214</v>
      </c>
      <c r="G10" s="106">
        <v>100</v>
      </c>
      <c r="H10" s="106" t="s">
        <v>1205</v>
      </c>
      <c r="I10" s="128">
        <f>_xlfn.XLOOKUP(E10,'All Products'!D:D,'All Products'!H:H)</f>
        <v>20.420000000000002</v>
      </c>
      <c r="J10" s="133">
        <f>ROUNDUP(I10*Order_Quote!$L$13,2)</f>
        <v>102.1</v>
      </c>
      <c r="K10" s="76"/>
      <c r="L10" s="79"/>
      <c r="M10" s="107">
        <f t="shared" si="0"/>
        <v>0</v>
      </c>
      <c r="O10" s="265" t="s">
        <v>1206</v>
      </c>
      <c r="P10" s="265" t="s">
        <v>77</v>
      </c>
      <c r="Q10" s="265" t="s">
        <v>1215</v>
      </c>
      <c r="R10" s="265">
        <v>0</v>
      </c>
      <c r="S10" s="265" t="s">
        <v>1216</v>
      </c>
      <c r="T10" s="348">
        <v>56.7</v>
      </c>
      <c r="U10" s="265">
        <v>0</v>
      </c>
      <c r="V10" s="348">
        <v>56.7</v>
      </c>
      <c r="W10" s="348">
        <v>2.6</v>
      </c>
    </row>
    <row r="11" spans="1:23" s="17" customFormat="1">
      <c r="A11" s="5" t="str">
        <f>IF(K11&gt;0,COUNT($A$7:A10)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" s="579"/>
      <c r="C11" s="580"/>
      <c r="D11" s="106" t="s">
        <v>1217</v>
      </c>
      <c r="E11" s="106">
        <v>100027234</v>
      </c>
      <c r="F11" s="55" t="s">
        <v>1218</v>
      </c>
      <c r="G11" s="106">
        <v>100</v>
      </c>
      <c r="H11" s="106" t="s">
        <v>1205</v>
      </c>
      <c r="I11" s="128">
        <f>_xlfn.XLOOKUP(E11,'All Products'!D:D,'All Products'!H:H)</f>
        <v>24.79</v>
      </c>
      <c r="J11" s="133">
        <f>ROUNDUP(I11*Order_Quote!$L$13,2)</f>
        <v>123.95</v>
      </c>
      <c r="K11" s="76"/>
      <c r="L11" s="79"/>
      <c r="M11" s="107">
        <f t="shared" si="0"/>
        <v>0</v>
      </c>
      <c r="O11" s="265" t="s">
        <v>369</v>
      </c>
      <c r="P11" s="265" t="s">
        <v>77</v>
      </c>
      <c r="Q11" s="265" t="s">
        <v>1219</v>
      </c>
      <c r="R11" s="265">
        <v>0</v>
      </c>
      <c r="S11" s="265" t="s">
        <v>1220</v>
      </c>
      <c r="T11" s="348">
        <v>73.41</v>
      </c>
      <c r="U11" s="265">
        <v>0</v>
      </c>
      <c r="V11" s="348">
        <v>73.41</v>
      </c>
      <c r="W11" s="348">
        <v>3.3</v>
      </c>
    </row>
    <row r="12" spans="1:23" s="17" customFormat="1">
      <c r="A12" s="5" t="str">
        <f>IF(K12&gt;0,COUNT($A$7:A11)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" s="579"/>
      <c r="C12" s="580"/>
      <c r="D12" s="106" t="s">
        <v>1221</v>
      </c>
      <c r="E12" s="106">
        <v>100027237</v>
      </c>
      <c r="F12" s="55" t="s">
        <v>1222</v>
      </c>
      <c r="G12" s="106">
        <v>48</v>
      </c>
      <c r="H12" s="106" t="s">
        <v>1205</v>
      </c>
      <c r="I12" s="128">
        <f>_xlfn.XLOOKUP(E12,'All Products'!D:D,'All Products'!H:H)</f>
        <v>43.94</v>
      </c>
      <c r="J12" s="133">
        <f>ROUNDUP(I12*Order_Quote!$L$13,2)</f>
        <v>219.7</v>
      </c>
      <c r="K12" s="76"/>
      <c r="L12" s="79"/>
      <c r="M12" s="107">
        <f t="shared" si="0"/>
        <v>0</v>
      </c>
      <c r="O12" s="265" t="s">
        <v>1206</v>
      </c>
      <c r="P12" s="265" t="s">
        <v>77</v>
      </c>
      <c r="Q12" s="265" t="s">
        <v>1223</v>
      </c>
      <c r="R12" s="265">
        <v>0</v>
      </c>
      <c r="S12" s="265" t="s">
        <v>1224</v>
      </c>
      <c r="T12" s="348">
        <v>50.42</v>
      </c>
      <c r="U12" s="265">
        <v>0</v>
      </c>
      <c r="V12" s="348">
        <v>50.42</v>
      </c>
      <c r="W12" s="348">
        <v>2.4</v>
      </c>
    </row>
    <row r="13" spans="1:23" s="17" customFormat="1">
      <c r="A13" s="5" t="str">
        <f>IF(K13&gt;0,COUNT($A$7:A12)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3" s="579"/>
      <c r="C13" s="580"/>
      <c r="D13" s="106" t="s">
        <v>1225</v>
      </c>
      <c r="E13" s="106">
        <v>100027240</v>
      </c>
      <c r="F13" s="55" t="s">
        <v>1226</v>
      </c>
      <c r="G13" s="106">
        <v>24</v>
      </c>
      <c r="H13" s="106" t="s">
        <v>1205</v>
      </c>
      <c r="I13" s="128">
        <f>_xlfn.XLOOKUP(E13,'All Products'!D:D,'All Products'!H:H)</f>
        <v>56.51</v>
      </c>
      <c r="J13" s="133">
        <f>ROUNDUP(I13*Order_Quote!$L$13,2)</f>
        <v>282.55</v>
      </c>
      <c r="K13" s="76"/>
      <c r="L13" s="79"/>
      <c r="M13" s="107">
        <f t="shared" si="0"/>
        <v>0</v>
      </c>
      <c r="O13" s="265" t="s">
        <v>1206</v>
      </c>
      <c r="P13" s="265" t="s">
        <v>77</v>
      </c>
      <c r="Q13" s="265" t="s">
        <v>1227</v>
      </c>
      <c r="R13" s="265">
        <v>0</v>
      </c>
      <c r="S13" s="265" t="s">
        <v>1228</v>
      </c>
      <c r="T13" s="348">
        <v>40.51</v>
      </c>
      <c r="U13" s="265">
        <v>0</v>
      </c>
      <c r="V13" s="348">
        <v>40.51</v>
      </c>
      <c r="W13" s="348">
        <v>1.9</v>
      </c>
    </row>
    <row r="14" spans="1:23" s="17" customFormat="1">
      <c r="A14" s="5" t="str">
        <f>IF(K14&gt;0,COUNT($A$7:A13)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4" s="579"/>
      <c r="C14" s="580"/>
      <c r="D14" s="106" t="s">
        <v>1229</v>
      </c>
      <c r="E14" s="106">
        <v>100027242</v>
      </c>
      <c r="F14" s="55" t="s">
        <v>1230</v>
      </c>
      <c r="G14" s="106">
        <v>12</v>
      </c>
      <c r="H14" s="106">
        <v>346</v>
      </c>
      <c r="I14" s="128">
        <f>_xlfn.XLOOKUP(E14,'All Products'!D:D,'All Products'!H:H)</f>
        <v>238.93</v>
      </c>
      <c r="J14" s="133">
        <f>ROUNDUP(I14*Order_Quote!$L$13,2)</f>
        <v>1194.6500000000001</v>
      </c>
      <c r="K14" s="76"/>
      <c r="L14" s="79"/>
      <c r="M14" s="107">
        <f t="shared" si="0"/>
        <v>0</v>
      </c>
      <c r="O14" s="265" t="s">
        <v>1206</v>
      </c>
      <c r="P14" s="265" t="s">
        <v>77</v>
      </c>
      <c r="Q14" s="265" t="s">
        <v>1231</v>
      </c>
      <c r="R14" s="265">
        <v>0</v>
      </c>
      <c r="S14" s="265" t="s">
        <v>1232</v>
      </c>
      <c r="T14" s="348">
        <v>38.94</v>
      </c>
      <c r="U14" s="265">
        <v>0</v>
      </c>
      <c r="V14" s="348">
        <v>38.94</v>
      </c>
      <c r="W14" s="348">
        <v>2.08</v>
      </c>
    </row>
    <row r="15" spans="1:23" s="17" customFormat="1">
      <c r="A15" s="5" t="str">
        <f>IF(K15&gt;0,COUNT($A$7:A14)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5" s="579"/>
      <c r="C15" s="580"/>
      <c r="D15" s="106" t="s">
        <v>1233</v>
      </c>
      <c r="E15" s="106">
        <v>100027244</v>
      </c>
      <c r="F15" s="55" t="s">
        <v>1234</v>
      </c>
      <c r="G15" s="106">
        <v>12</v>
      </c>
      <c r="H15" s="106">
        <v>232</v>
      </c>
      <c r="I15" s="128">
        <f>_xlfn.XLOOKUP(E15,'All Products'!D:D,'All Products'!H:H)</f>
        <v>314.14</v>
      </c>
      <c r="J15" s="133">
        <f>ROUNDUP(I15*Order_Quote!$L$13,2)</f>
        <v>1570.7</v>
      </c>
      <c r="K15" s="76"/>
      <c r="L15" s="79"/>
      <c r="M15" s="107">
        <f t="shared" si="0"/>
        <v>0</v>
      </c>
      <c r="O15" s="265" t="s">
        <v>1206</v>
      </c>
      <c r="P15" s="265" t="s">
        <v>77</v>
      </c>
      <c r="Q15" s="265" t="s">
        <v>1235</v>
      </c>
      <c r="R15" s="265">
        <v>0</v>
      </c>
      <c r="S15" s="265" t="s">
        <v>1236</v>
      </c>
      <c r="T15" s="348">
        <v>50.91</v>
      </c>
      <c r="U15" s="265">
        <v>0</v>
      </c>
      <c r="V15" s="348">
        <v>50.91</v>
      </c>
      <c r="W15" s="348">
        <v>3.1</v>
      </c>
    </row>
    <row r="16" spans="1:23" s="17" customFormat="1">
      <c r="A16" s="5" t="str">
        <f>IF(K16&gt;0,COUNT($A$7:A15)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6" s="581"/>
      <c r="C16" s="582"/>
      <c r="D16" s="106" t="s">
        <v>1237</v>
      </c>
      <c r="E16" s="106">
        <v>100027246</v>
      </c>
      <c r="F16" s="55" t="s">
        <v>1238</v>
      </c>
      <c r="G16" s="106">
        <v>6</v>
      </c>
      <c r="H16" s="106">
        <v>103</v>
      </c>
      <c r="I16" s="128">
        <f>_xlfn.XLOOKUP(E16,'All Products'!D:D,'All Products'!H:H)</f>
        <v>598.1</v>
      </c>
      <c r="J16" s="133">
        <f>ROUNDUP(I16*Order_Quote!$L$13,2)</f>
        <v>2990.5</v>
      </c>
      <c r="K16" s="76"/>
      <c r="L16" s="79"/>
      <c r="M16" s="107">
        <f t="shared" si="0"/>
        <v>0</v>
      </c>
      <c r="O16" s="265" t="s">
        <v>1206</v>
      </c>
      <c r="P16" s="265" t="s">
        <v>77</v>
      </c>
      <c r="Q16" s="265" t="s">
        <v>1239</v>
      </c>
      <c r="R16" s="265">
        <v>0</v>
      </c>
      <c r="S16" s="265" t="s">
        <v>1240</v>
      </c>
      <c r="T16" s="348">
        <v>52.3</v>
      </c>
      <c r="U16" s="265">
        <v>0</v>
      </c>
      <c r="V16" s="348">
        <v>52.3</v>
      </c>
      <c r="W16" s="348">
        <v>3.51</v>
      </c>
    </row>
    <row r="17" spans="1:23" s="17" customFormat="1">
      <c r="A17" s="5" t="str">
        <f>IF(K17&gt;0,COUNT($A$7:A16)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7" s="577"/>
      <c r="C17" s="578"/>
      <c r="D17" s="106" t="s">
        <v>1241</v>
      </c>
      <c r="E17" s="106">
        <v>100027227</v>
      </c>
      <c r="F17" s="55" t="s">
        <v>1242</v>
      </c>
      <c r="G17" s="106">
        <v>100</v>
      </c>
      <c r="H17" s="106">
        <v>6000</v>
      </c>
      <c r="I17" s="128">
        <f>_xlfn.XLOOKUP(E17,'All Products'!D:D,'All Products'!H:H)</f>
        <v>12.16</v>
      </c>
      <c r="J17" s="133">
        <f>ROUNDUP(I17*Order_Quote!$L$13,2)</f>
        <v>60.8</v>
      </c>
      <c r="K17" s="76"/>
      <c r="L17" s="79"/>
      <c r="M17" s="107">
        <f t="shared" si="0"/>
        <v>0</v>
      </c>
      <c r="O17" s="265" t="s">
        <v>1206</v>
      </c>
      <c r="P17" s="265" t="s">
        <v>77</v>
      </c>
      <c r="Q17" s="265" t="s">
        <v>1243</v>
      </c>
      <c r="R17" s="265">
        <v>0</v>
      </c>
      <c r="S17" s="265" t="s">
        <v>1244</v>
      </c>
      <c r="T17" s="348">
        <v>21.53</v>
      </c>
      <c r="U17" s="265">
        <v>0</v>
      </c>
      <c r="V17" s="348">
        <v>21.53</v>
      </c>
      <c r="W17" s="348">
        <v>1</v>
      </c>
    </row>
    <row r="18" spans="1:23" s="17" customFormat="1">
      <c r="A18" s="5" t="str">
        <f>IF(K18&gt;0,COUNT($A$7:A17)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8" s="579"/>
      <c r="C18" s="580"/>
      <c r="D18" s="106" t="s">
        <v>1245</v>
      </c>
      <c r="E18" s="106">
        <v>100027229</v>
      </c>
      <c r="F18" s="55" t="s">
        <v>1246</v>
      </c>
      <c r="G18" s="106">
        <v>100</v>
      </c>
      <c r="H18" s="106">
        <v>3529</v>
      </c>
      <c r="I18" s="128">
        <f>_xlfn.XLOOKUP(E18,'All Products'!D:D,'All Products'!H:H)</f>
        <v>14.15</v>
      </c>
      <c r="J18" s="133">
        <f>ROUNDUP(I18*Order_Quote!$L$13,2)</f>
        <v>70.75</v>
      </c>
      <c r="K18" s="76"/>
      <c r="L18" s="79"/>
      <c r="M18" s="107">
        <f t="shared" si="0"/>
        <v>0</v>
      </c>
      <c r="O18" s="265" t="s">
        <v>1206</v>
      </c>
      <c r="P18" s="265" t="s">
        <v>77</v>
      </c>
      <c r="Q18" s="265" t="s">
        <v>1247</v>
      </c>
      <c r="R18" s="265">
        <v>0</v>
      </c>
      <c r="S18" s="265" t="s">
        <v>1248</v>
      </c>
      <c r="T18" s="348">
        <v>36.369999999999997</v>
      </c>
      <c r="U18" s="265">
        <v>0</v>
      </c>
      <c r="V18" s="348">
        <v>36.369999999999997</v>
      </c>
      <c r="W18" s="348">
        <v>1.7</v>
      </c>
    </row>
    <row r="19" spans="1:23" s="17" customFormat="1">
      <c r="A19" s="5" t="str">
        <f>IF(K19&gt;0,COUNT($A$7:A18)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9" s="579"/>
      <c r="C19" s="580"/>
      <c r="D19" s="106" t="s">
        <v>1249</v>
      </c>
      <c r="E19" s="106">
        <v>100027231</v>
      </c>
      <c r="F19" s="55" t="s">
        <v>1250</v>
      </c>
      <c r="G19" s="106">
        <v>100</v>
      </c>
      <c r="H19" s="106">
        <v>2308</v>
      </c>
      <c r="I19" s="128">
        <f>_xlfn.XLOOKUP(E19,'All Products'!D:D,'All Products'!H:H)</f>
        <v>20.420000000000002</v>
      </c>
      <c r="J19" s="133">
        <f>ROUNDUP(I19*Order_Quote!$L$13,2)</f>
        <v>102.1</v>
      </c>
      <c r="K19" s="76"/>
      <c r="L19" s="79"/>
      <c r="M19" s="107">
        <f t="shared" si="0"/>
        <v>0</v>
      </c>
      <c r="O19" s="265" t="s">
        <v>1206</v>
      </c>
      <c r="P19" s="265" t="s">
        <v>77</v>
      </c>
      <c r="Q19" s="265" t="s">
        <v>1251</v>
      </c>
      <c r="R19" s="265">
        <v>0</v>
      </c>
      <c r="S19" s="265" t="s">
        <v>1252</v>
      </c>
      <c r="T19" s="348">
        <v>56</v>
      </c>
      <c r="U19" s="265">
        <v>0</v>
      </c>
      <c r="V19" s="348">
        <v>56</v>
      </c>
      <c r="W19" s="348">
        <v>2.6</v>
      </c>
    </row>
    <row r="20" spans="1:23" s="17" customFormat="1" ht="14.25" customHeight="1">
      <c r="A20" s="5" t="str">
        <f>IF(K20&gt;0,COUNT($A$7:A19)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0" s="579"/>
      <c r="C20" s="580"/>
      <c r="D20" s="106" t="s">
        <v>1253</v>
      </c>
      <c r="E20" s="106">
        <v>100027233</v>
      </c>
      <c r="F20" s="55" t="s">
        <v>1254</v>
      </c>
      <c r="G20" s="106">
        <v>100</v>
      </c>
      <c r="H20" s="106">
        <v>1818</v>
      </c>
      <c r="I20" s="128">
        <f>_xlfn.XLOOKUP(E20,'All Products'!D:D,'All Products'!H:H)</f>
        <v>24.79</v>
      </c>
      <c r="J20" s="133">
        <f>ROUNDUP(I20*Order_Quote!$L$13,2)</f>
        <v>123.95</v>
      </c>
      <c r="K20" s="76"/>
      <c r="L20" s="79"/>
      <c r="M20" s="107">
        <f t="shared" si="0"/>
        <v>0</v>
      </c>
      <c r="O20" s="265" t="s">
        <v>1206</v>
      </c>
      <c r="P20" s="265" t="s">
        <v>77</v>
      </c>
      <c r="Q20" s="265" t="s">
        <v>1255</v>
      </c>
      <c r="R20" s="265">
        <v>0</v>
      </c>
      <c r="S20" s="265" t="s">
        <v>1256</v>
      </c>
      <c r="T20" s="348">
        <v>73.41</v>
      </c>
      <c r="U20" s="265">
        <v>0</v>
      </c>
      <c r="V20" s="348">
        <v>73.41</v>
      </c>
      <c r="W20" s="348">
        <v>3.3</v>
      </c>
    </row>
    <row r="21" spans="1:23" s="17" customFormat="1">
      <c r="A21" s="5" t="str">
        <f>IF(K21&gt;0,COUNT($A$7:A20)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1" s="579"/>
      <c r="C21" s="580"/>
      <c r="D21" s="106" t="s">
        <v>1257</v>
      </c>
      <c r="E21" s="106">
        <v>100027236</v>
      </c>
      <c r="F21" s="55" t="s">
        <v>1258</v>
      </c>
      <c r="G21" s="106">
        <v>48</v>
      </c>
      <c r="H21" s="106">
        <v>1200</v>
      </c>
      <c r="I21" s="128">
        <f>_xlfn.XLOOKUP(E21,'All Products'!D:D,'All Products'!H:H)</f>
        <v>43.94</v>
      </c>
      <c r="J21" s="133">
        <f>ROUNDUP(I21*Order_Quote!$L$13,2)</f>
        <v>219.7</v>
      </c>
      <c r="K21" s="76"/>
      <c r="L21" s="79"/>
      <c r="M21" s="107">
        <f t="shared" si="0"/>
        <v>0</v>
      </c>
      <c r="O21" s="265" t="s">
        <v>1206</v>
      </c>
      <c r="P21" s="265" t="s">
        <v>77</v>
      </c>
      <c r="Q21" s="265" t="s">
        <v>1259</v>
      </c>
      <c r="R21" s="265">
        <v>0</v>
      </c>
      <c r="S21" s="265" t="s">
        <v>1260</v>
      </c>
      <c r="T21" s="348">
        <v>50.57</v>
      </c>
      <c r="U21" s="265">
        <v>0</v>
      </c>
      <c r="V21" s="348">
        <v>50.57</v>
      </c>
      <c r="W21" s="348">
        <v>2.4</v>
      </c>
    </row>
    <row r="22" spans="1:23" s="17" customFormat="1">
      <c r="A22" s="5" t="str">
        <f>IF(K22&gt;0,COUNT($A$7:A21)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2" s="579"/>
      <c r="C22" s="580"/>
      <c r="D22" s="106" t="s">
        <v>1261</v>
      </c>
      <c r="E22" s="106">
        <v>100027239</v>
      </c>
      <c r="F22" s="55" t="s">
        <v>1262</v>
      </c>
      <c r="G22" s="106">
        <v>24</v>
      </c>
      <c r="H22" s="106">
        <v>758</v>
      </c>
      <c r="I22" s="128">
        <f>_xlfn.XLOOKUP(E22,'All Products'!D:D,'All Products'!H:H)</f>
        <v>56.51</v>
      </c>
      <c r="J22" s="133">
        <f>ROUNDUP(I22*Order_Quote!$L$13,2)</f>
        <v>282.55</v>
      </c>
      <c r="K22" s="76"/>
      <c r="L22" s="79"/>
      <c r="M22" s="107">
        <f t="shared" si="0"/>
        <v>0</v>
      </c>
      <c r="O22" s="265" t="s">
        <v>1206</v>
      </c>
      <c r="P22" s="265" t="s">
        <v>77</v>
      </c>
      <c r="Q22" s="265" t="s">
        <v>1263</v>
      </c>
      <c r="R22" s="265">
        <v>0</v>
      </c>
      <c r="S22" s="265" t="s">
        <v>1264</v>
      </c>
      <c r="T22" s="348">
        <v>40.130000000000003</v>
      </c>
      <c r="U22" s="265">
        <v>0</v>
      </c>
      <c r="V22" s="348">
        <v>40.130000000000003</v>
      </c>
      <c r="W22" s="348">
        <v>1.9</v>
      </c>
    </row>
    <row r="23" spans="1:23" s="17" customFormat="1">
      <c r="A23" s="5" t="str">
        <f>IF(K23&gt;0,COUNT($A$7:A22)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3" s="579"/>
      <c r="C23" s="580"/>
      <c r="D23" s="106" t="s">
        <v>1265</v>
      </c>
      <c r="E23" s="106">
        <v>100027241</v>
      </c>
      <c r="F23" s="55" t="s">
        <v>1266</v>
      </c>
      <c r="G23" s="106">
        <v>12</v>
      </c>
      <c r="H23" s="106">
        <v>379</v>
      </c>
      <c r="I23" s="128">
        <f>_xlfn.XLOOKUP(E23,'All Products'!D:D,'All Products'!H:H)</f>
        <v>238.93</v>
      </c>
      <c r="J23" s="133">
        <f>ROUNDUP(I23*Order_Quote!$L$13,2)</f>
        <v>1194.6500000000001</v>
      </c>
      <c r="K23" s="76"/>
      <c r="L23" s="79"/>
      <c r="M23" s="107">
        <f t="shared" si="0"/>
        <v>0</v>
      </c>
      <c r="O23" s="265" t="s">
        <v>1206</v>
      </c>
      <c r="P23" s="265" t="s">
        <v>77</v>
      </c>
      <c r="Q23" s="265" t="s">
        <v>1267</v>
      </c>
      <c r="R23" s="265">
        <v>0</v>
      </c>
      <c r="S23" s="265" t="s">
        <v>1268</v>
      </c>
      <c r="T23" s="348">
        <v>37.31</v>
      </c>
      <c r="U23" s="265">
        <v>0</v>
      </c>
      <c r="V23" s="348">
        <v>37.31</v>
      </c>
      <c r="W23" s="348">
        <v>1.9</v>
      </c>
    </row>
    <row r="24" spans="1:23" s="17" customFormat="1">
      <c r="A24" s="5" t="str">
        <f>IF(K24&gt;0,COUNT($A$7:A23)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4" s="579"/>
      <c r="C24" s="580"/>
      <c r="D24" s="106" t="s">
        <v>1269</v>
      </c>
      <c r="E24" s="106">
        <v>100027243</v>
      </c>
      <c r="F24" s="55" t="s">
        <v>1270</v>
      </c>
      <c r="G24" s="106">
        <v>12</v>
      </c>
      <c r="H24" s="106">
        <v>232</v>
      </c>
      <c r="I24" s="128">
        <f>_xlfn.XLOOKUP(E24,'All Products'!D:D,'All Products'!H:H)</f>
        <v>314.14</v>
      </c>
      <c r="J24" s="133">
        <f>ROUNDUP(I24*Order_Quote!$L$13,2)</f>
        <v>1570.7</v>
      </c>
      <c r="K24" s="76"/>
      <c r="L24" s="79"/>
      <c r="M24" s="107">
        <f t="shared" si="0"/>
        <v>0</v>
      </c>
      <c r="O24" s="265" t="s">
        <v>1206</v>
      </c>
      <c r="P24" s="265" t="s">
        <v>77</v>
      </c>
      <c r="Q24" s="265" t="s">
        <v>1271</v>
      </c>
      <c r="R24" s="265">
        <v>0</v>
      </c>
      <c r="S24" s="265" t="s">
        <v>1272</v>
      </c>
      <c r="T24" s="348">
        <v>54.13</v>
      </c>
      <c r="U24" s="265">
        <v>0</v>
      </c>
      <c r="V24" s="348">
        <v>54.13</v>
      </c>
      <c r="W24" s="348">
        <v>3.1</v>
      </c>
    </row>
    <row r="25" spans="1:23" s="17" customFormat="1">
      <c r="A25" s="5" t="str">
        <f>IF(K25&gt;0,COUNT($A$7:A24)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5" s="581"/>
      <c r="C25" s="582"/>
      <c r="D25" s="106" t="s">
        <v>1273</v>
      </c>
      <c r="E25" s="106">
        <v>100027245</v>
      </c>
      <c r="F25" s="55" t="s">
        <v>1274</v>
      </c>
      <c r="G25" s="106">
        <v>6</v>
      </c>
      <c r="H25" s="106">
        <v>103</v>
      </c>
      <c r="I25" s="128">
        <f>_xlfn.XLOOKUP(E25,'All Products'!D:D,'All Products'!H:H)</f>
        <v>598.1</v>
      </c>
      <c r="J25" s="133">
        <f>ROUNDUP(I25*Order_Quote!$L$13,2)</f>
        <v>2990.5</v>
      </c>
      <c r="K25" s="76"/>
      <c r="L25" s="79"/>
      <c r="M25" s="107">
        <f t="shared" si="0"/>
        <v>0</v>
      </c>
      <c r="O25" s="265" t="s">
        <v>1206</v>
      </c>
      <c r="P25" s="265" t="s">
        <v>77</v>
      </c>
      <c r="Q25" s="265" t="s">
        <v>1275</v>
      </c>
      <c r="R25" s="265">
        <v>0</v>
      </c>
      <c r="S25" s="265" t="s">
        <v>1276</v>
      </c>
      <c r="T25" s="348">
        <v>51.24</v>
      </c>
      <c r="U25" s="265">
        <v>0</v>
      </c>
      <c r="V25" s="348">
        <v>51.24</v>
      </c>
      <c r="W25" s="348">
        <v>3.51</v>
      </c>
    </row>
    <row r="26" spans="1:23" s="17" customFormat="1">
      <c r="A26" s="5" t="str">
        <f>IF(K26&gt;0,COUNT($A$7:A25)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6" s="577"/>
      <c r="C26" s="578"/>
      <c r="D26" s="106" t="s">
        <v>1277</v>
      </c>
      <c r="E26" s="106">
        <v>100027276</v>
      </c>
      <c r="F26" s="55" t="s">
        <v>1278</v>
      </c>
      <c r="G26" s="106">
        <v>100</v>
      </c>
      <c r="H26" s="106" t="s">
        <v>1205</v>
      </c>
      <c r="I26" s="267">
        <f>_xlfn.XLOOKUP(E26,'All Products'!D:D,'All Products'!H:H)</f>
        <v>12.16</v>
      </c>
      <c r="J26" s="133">
        <f>ROUNDUP(I26*Order_Quote!$L$13,2)</f>
        <v>60.8</v>
      </c>
      <c r="K26" s="76"/>
      <c r="L26" s="79"/>
      <c r="M26" s="107">
        <f t="shared" si="0"/>
        <v>0</v>
      </c>
      <c r="O26" s="265" t="s">
        <v>1206</v>
      </c>
      <c r="P26" s="265" t="s">
        <v>77</v>
      </c>
      <c r="Q26" s="265" t="s">
        <v>1279</v>
      </c>
      <c r="R26" s="265">
        <v>0</v>
      </c>
      <c r="S26" s="265" t="s">
        <v>1280</v>
      </c>
      <c r="T26" s="348">
        <v>22.47</v>
      </c>
      <c r="U26" s="265">
        <v>0</v>
      </c>
      <c r="V26" s="348">
        <v>22.47</v>
      </c>
      <c r="W26" s="348">
        <v>1</v>
      </c>
    </row>
    <row r="27" spans="1:23" s="17" customFormat="1">
      <c r="A27" s="5" t="str">
        <f>IF(K27&gt;0,COUNT($A$7:A26)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7" s="579"/>
      <c r="C27" s="580"/>
      <c r="D27" s="106" t="s">
        <v>1281</v>
      </c>
      <c r="E27" s="106">
        <v>100027278</v>
      </c>
      <c r="F27" s="55" t="s">
        <v>1282</v>
      </c>
      <c r="G27" s="106">
        <v>100</v>
      </c>
      <c r="H27" s="106" t="s">
        <v>1205</v>
      </c>
      <c r="I27" s="267">
        <f>_xlfn.XLOOKUP(E27,'All Products'!D:D,'All Products'!H:H)</f>
        <v>14.15</v>
      </c>
      <c r="J27" s="133">
        <f>ROUNDUP(I27*Order_Quote!$L$13,2)</f>
        <v>70.75</v>
      </c>
      <c r="K27" s="76"/>
      <c r="L27" s="79"/>
      <c r="M27" s="107">
        <f t="shared" si="0"/>
        <v>0</v>
      </c>
      <c r="O27" s="265" t="s">
        <v>1206</v>
      </c>
      <c r="P27" s="265" t="s">
        <v>77</v>
      </c>
      <c r="Q27" s="265" t="s">
        <v>1283</v>
      </c>
      <c r="R27" s="265">
        <v>0</v>
      </c>
      <c r="S27" s="265" t="s">
        <v>1284</v>
      </c>
      <c r="T27" s="348">
        <v>37.83</v>
      </c>
      <c r="U27" s="265">
        <v>0</v>
      </c>
      <c r="V27" s="348">
        <v>37.83</v>
      </c>
      <c r="W27" s="348">
        <v>1.7</v>
      </c>
    </row>
    <row r="28" spans="1:23" s="17" customFormat="1">
      <c r="A28" s="5" t="str">
        <f>IF(K28&gt;0,COUNT($A$7:A27)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8" s="579"/>
      <c r="C28" s="580"/>
      <c r="D28" s="106" t="s">
        <v>1285</v>
      </c>
      <c r="E28" s="106">
        <v>100027280</v>
      </c>
      <c r="F28" s="55" t="s">
        <v>1286</v>
      </c>
      <c r="G28" s="106">
        <v>100</v>
      </c>
      <c r="H28" s="106" t="s">
        <v>1205</v>
      </c>
      <c r="I28" s="128">
        <f>_xlfn.XLOOKUP(E28,'All Products'!D:D,'All Products'!H:H)</f>
        <v>20.420000000000002</v>
      </c>
      <c r="J28" s="133">
        <f>ROUNDUP(I28*Order_Quote!$L$13,2)</f>
        <v>102.1</v>
      </c>
      <c r="K28" s="76"/>
      <c r="L28" s="79"/>
      <c r="M28" s="107">
        <f t="shared" si="0"/>
        <v>0</v>
      </c>
      <c r="O28" s="265" t="s">
        <v>1206</v>
      </c>
      <c r="P28" s="265" t="s">
        <v>77</v>
      </c>
      <c r="Q28" s="265" t="s">
        <v>1287</v>
      </c>
      <c r="R28" s="265">
        <v>0</v>
      </c>
      <c r="S28" s="265" t="s">
        <v>1288</v>
      </c>
      <c r="T28" s="348">
        <v>57.84</v>
      </c>
      <c r="U28" s="265">
        <v>0</v>
      </c>
      <c r="V28" s="348">
        <v>57.84</v>
      </c>
      <c r="W28" s="348">
        <v>2.6</v>
      </c>
    </row>
    <row r="29" spans="1:23" s="17" customFormat="1">
      <c r="A29" s="5" t="str">
        <f>IF(K29&gt;0,COUNT($A$7:A28)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29" s="579"/>
      <c r="C29" s="580"/>
      <c r="D29" s="106" t="s">
        <v>1289</v>
      </c>
      <c r="E29" s="106">
        <v>100027282</v>
      </c>
      <c r="F29" s="55" t="s">
        <v>1290</v>
      </c>
      <c r="G29" s="106">
        <v>100</v>
      </c>
      <c r="H29" s="106" t="s">
        <v>1205</v>
      </c>
      <c r="I29" s="128">
        <f>_xlfn.XLOOKUP(E29,'All Products'!D:D,'All Products'!H:H)</f>
        <v>24.79</v>
      </c>
      <c r="J29" s="133">
        <f>ROUNDUP(I29*Order_Quote!$L$13,2)</f>
        <v>123.95</v>
      </c>
      <c r="K29" s="76"/>
      <c r="L29" s="79"/>
      <c r="M29" s="107">
        <f t="shared" si="0"/>
        <v>0</v>
      </c>
      <c r="O29" s="265" t="s">
        <v>1206</v>
      </c>
      <c r="P29" s="265" t="s">
        <v>77</v>
      </c>
      <c r="Q29" s="265" t="s">
        <v>1291</v>
      </c>
      <c r="R29" s="265">
        <v>0</v>
      </c>
      <c r="S29" s="265" t="s">
        <v>1292</v>
      </c>
      <c r="T29" s="348">
        <v>72.150000000000006</v>
      </c>
      <c r="U29" s="265">
        <v>0</v>
      </c>
      <c r="V29" s="348">
        <v>72.150000000000006</v>
      </c>
      <c r="W29" s="348">
        <v>3.3</v>
      </c>
    </row>
    <row r="30" spans="1:23" s="17" customFormat="1">
      <c r="A30" s="5" t="str">
        <f>IF(K30&gt;0,COUNT($A$7:A29)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0" s="579"/>
      <c r="C30" s="580"/>
      <c r="D30" s="106" t="s">
        <v>1293</v>
      </c>
      <c r="E30" s="106">
        <v>100027284</v>
      </c>
      <c r="F30" s="55" t="s">
        <v>1294</v>
      </c>
      <c r="G30" s="106">
        <v>48</v>
      </c>
      <c r="H30" s="106" t="s">
        <v>1205</v>
      </c>
      <c r="I30" s="128">
        <f>_xlfn.XLOOKUP(E30,'All Products'!D:D,'All Products'!H:H)</f>
        <v>43.94</v>
      </c>
      <c r="J30" s="133">
        <f>ROUNDUP(I30*Order_Quote!$L$13,2)</f>
        <v>219.7</v>
      </c>
      <c r="K30" s="76"/>
      <c r="L30" s="79"/>
      <c r="M30" s="107">
        <f t="shared" si="0"/>
        <v>0</v>
      </c>
      <c r="O30" s="265" t="s">
        <v>1206</v>
      </c>
      <c r="P30" s="265" t="s">
        <v>77</v>
      </c>
      <c r="Q30" s="265" t="s">
        <v>1295</v>
      </c>
      <c r="R30" s="265">
        <v>0</v>
      </c>
      <c r="S30" s="265" t="s">
        <v>1296</v>
      </c>
      <c r="T30" s="348">
        <v>52.21</v>
      </c>
      <c r="U30" s="265">
        <v>0</v>
      </c>
      <c r="V30" s="348">
        <v>52.21</v>
      </c>
      <c r="W30" s="348">
        <v>2.4</v>
      </c>
    </row>
    <row r="31" spans="1:23" s="17" customFormat="1">
      <c r="A31" s="5" t="str">
        <f>IF(K31&gt;0,COUNT($A$7:A30)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1" s="579"/>
      <c r="C31" s="580"/>
      <c r="D31" s="106" t="s">
        <v>1297</v>
      </c>
      <c r="E31" s="106">
        <v>100027286</v>
      </c>
      <c r="F31" s="55" t="s">
        <v>1298</v>
      </c>
      <c r="G31" s="106">
        <v>24</v>
      </c>
      <c r="H31" s="106" t="s">
        <v>1205</v>
      </c>
      <c r="I31" s="128">
        <f>_xlfn.XLOOKUP(E31,'All Products'!D:D,'All Products'!H:H)</f>
        <v>56.51</v>
      </c>
      <c r="J31" s="133">
        <f>ROUNDUP(I31*Order_Quote!$L$13,2)</f>
        <v>282.55</v>
      </c>
      <c r="K31" s="76"/>
      <c r="L31" s="79"/>
      <c r="M31" s="107">
        <f t="shared" si="0"/>
        <v>0</v>
      </c>
      <c r="O31" s="265" t="s">
        <v>1206</v>
      </c>
      <c r="P31" s="265" t="s">
        <v>77</v>
      </c>
      <c r="Q31" s="265" t="s">
        <v>1299</v>
      </c>
      <c r="R31" s="265">
        <v>0</v>
      </c>
      <c r="S31" s="265" t="s">
        <v>1300</v>
      </c>
      <c r="T31" s="348">
        <v>42.67</v>
      </c>
      <c r="U31" s="265">
        <v>0</v>
      </c>
      <c r="V31" s="348">
        <v>42.67</v>
      </c>
      <c r="W31" s="348">
        <v>1.9</v>
      </c>
    </row>
    <row r="32" spans="1:23" s="17" customFormat="1">
      <c r="A32" s="5" t="str">
        <f>IF(K32&gt;0,COUNT($A$7:A31)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2" s="579"/>
      <c r="C32" s="580"/>
      <c r="D32" s="106" t="s">
        <v>1301</v>
      </c>
      <c r="E32" s="106">
        <v>100027288</v>
      </c>
      <c r="F32" s="55" t="s">
        <v>1302</v>
      </c>
      <c r="G32" s="106">
        <v>12</v>
      </c>
      <c r="H32" s="106">
        <v>346</v>
      </c>
      <c r="I32" s="128">
        <f>_xlfn.XLOOKUP(E32,'All Products'!D:D,'All Products'!H:H)</f>
        <v>238.93</v>
      </c>
      <c r="J32" s="133">
        <f>ROUNDUP(I32*Order_Quote!$L$13,2)</f>
        <v>1194.6500000000001</v>
      </c>
      <c r="K32" s="76"/>
      <c r="L32" s="79"/>
      <c r="M32" s="107">
        <f t="shared" si="0"/>
        <v>0</v>
      </c>
      <c r="O32" s="265" t="s">
        <v>1206</v>
      </c>
      <c r="P32" s="265" t="s">
        <v>77</v>
      </c>
      <c r="Q32" s="265" t="s">
        <v>1303</v>
      </c>
      <c r="R32" s="265">
        <v>0</v>
      </c>
      <c r="S32" s="265" t="s">
        <v>1304</v>
      </c>
      <c r="T32" s="348">
        <v>36.799999999999997</v>
      </c>
      <c r="U32" s="265">
        <v>0</v>
      </c>
      <c r="V32" s="348">
        <v>36.799999999999997</v>
      </c>
      <c r="W32" s="348">
        <v>2.08</v>
      </c>
    </row>
    <row r="33" spans="1:23" s="17" customFormat="1">
      <c r="A33" s="5" t="str">
        <f>IF(K33&gt;0,COUNT($A$7:A32)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3" s="579"/>
      <c r="C33" s="580"/>
      <c r="D33" s="106" t="s">
        <v>1305</v>
      </c>
      <c r="E33" s="106">
        <v>100027290</v>
      </c>
      <c r="F33" s="55" t="s">
        <v>1306</v>
      </c>
      <c r="G33" s="106">
        <v>12</v>
      </c>
      <c r="H33" s="106">
        <v>232</v>
      </c>
      <c r="I33" s="128">
        <f>_xlfn.XLOOKUP(E33,'All Products'!D:D,'All Products'!H:H)</f>
        <v>314.14</v>
      </c>
      <c r="J33" s="133">
        <f>ROUNDUP(I33*Order_Quote!$L$13,2)</f>
        <v>1570.7</v>
      </c>
      <c r="K33" s="76"/>
      <c r="L33" s="79"/>
      <c r="M33" s="107">
        <f t="shared" si="0"/>
        <v>0</v>
      </c>
      <c r="O33" s="265" t="s">
        <v>369</v>
      </c>
      <c r="P33" s="265" t="s">
        <v>77</v>
      </c>
      <c r="Q33" s="265" t="s">
        <v>1307</v>
      </c>
      <c r="R33" s="265">
        <v>0</v>
      </c>
      <c r="S33" s="265" t="s">
        <v>1308</v>
      </c>
      <c r="T33" s="348">
        <v>55.6</v>
      </c>
      <c r="U33" s="265">
        <v>0</v>
      </c>
      <c r="V33" s="348">
        <v>55.6</v>
      </c>
      <c r="W33" s="348">
        <v>3.1</v>
      </c>
    </row>
    <row r="34" spans="1:23" s="17" customFormat="1">
      <c r="A34" s="5" t="str">
        <f>IF(K34&gt;0,COUNT($A$7:A33)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4" s="581"/>
      <c r="C34" s="582"/>
      <c r="D34" s="106" t="s">
        <v>1309</v>
      </c>
      <c r="E34" s="106">
        <v>100027292</v>
      </c>
      <c r="F34" s="55" t="s">
        <v>1310</v>
      </c>
      <c r="G34" s="106">
        <v>6</v>
      </c>
      <c r="H34" s="106">
        <v>113</v>
      </c>
      <c r="I34" s="128">
        <f>_xlfn.XLOOKUP(E34,'All Products'!D:D,'All Products'!H:H)</f>
        <v>598.1</v>
      </c>
      <c r="J34" s="133">
        <f>ROUNDUP(I34*Order_Quote!$L$13,2)</f>
        <v>2990.5</v>
      </c>
      <c r="K34" s="76"/>
      <c r="L34" s="79"/>
      <c r="M34" s="107">
        <f t="shared" si="0"/>
        <v>0</v>
      </c>
      <c r="O34" s="265" t="s">
        <v>1206</v>
      </c>
      <c r="P34" s="265" t="s">
        <v>77</v>
      </c>
      <c r="Q34" s="265" t="s">
        <v>1311</v>
      </c>
      <c r="R34" s="265">
        <v>0</v>
      </c>
      <c r="S34" s="265" t="s">
        <v>1312</v>
      </c>
      <c r="T34" s="348">
        <v>32.08</v>
      </c>
      <c r="U34" s="265">
        <v>0</v>
      </c>
      <c r="V34" s="348">
        <v>32.08</v>
      </c>
      <c r="W34" s="348">
        <v>3.2</v>
      </c>
    </row>
    <row r="35" spans="1:23" s="17" customFormat="1">
      <c r="A35" s="5" t="str">
        <f>IF(K35&gt;0,COUNT($A$7:A34)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5" s="577"/>
      <c r="C35" s="578"/>
      <c r="D35" s="106" t="s">
        <v>1313</v>
      </c>
      <c r="E35" s="106">
        <v>100027275</v>
      </c>
      <c r="F35" s="55" t="s">
        <v>1314</v>
      </c>
      <c r="G35" s="106">
        <v>100</v>
      </c>
      <c r="H35" s="106">
        <v>6000</v>
      </c>
      <c r="I35" s="128">
        <f>_xlfn.XLOOKUP(E35,'All Products'!D:D,'All Products'!H:H)</f>
        <v>12.15</v>
      </c>
      <c r="J35" s="133">
        <f>ROUNDUP(I35*Order_Quote!$L$13,2)</f>
        <v>60.75</v>
      </c>
      <c r="K35" s="76"/>
      <c r="L35" s="79"/>
      <c r="M35" s="107">
        <f t="shared" si="0"/>
        <v>0</v>
      </c>
      <c r="O35" s="265" t="s">
        <v>1206</v>
      </c>
      <c r="P35" s="265" t="s">
        <v>77</v>
      </c>
      <c r="Q35" s="265" t="s">
        <v>1315</v>
      </c>
      <c r="R35" s="265">
        <v>0</v>
      </c>
      <c r="S35" s="265" t="s">
        <v>1316</v>
      </c>
      <c r="T35" s="348">
        <v>22.26</v>
      </c>
      <c r="U35" s="265">
        <v>0</v>
      </c>
      <c r="V35" s="348">
        <v>22.26</v>
      </c>
      <c r="W35" s="348">
        <v>1</v>
      </c>
    </row>
    <row r="36" spans="1:23" s="17" customFormat="1">
      <c r="A36" s="5" t="str">
        <f>IF(K36&gt;0,COUNT($A$7:A35)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6" s="579"/>
      <c r="C36" s="580"/>
      <c r="D36" s="106" t="s">
        <v>1317</v>
      </c>
      <c r="E36" s="106">
        <v>100027277</v>
      </c>
      <c r="F36" s="55" t="s">
        <v>1318</v>
      </c>
      <c r="G36" s="106">
        <v>100</v>
      </c>
      <c r="H36" s="106">
        <v>3529</v>
      </c>
      <c r="I36" s="128">
        <f>_xlfn.XLOOKUP(E36,'All Products'!D:D,'All Products'!H:H)</f>
        <v>14.15</v>
      </c>
      <c r="J36" s="133">
        <f>ROUNDUP(I36*Order_Quote!$L$13,2)</f>
        <v>70.75</v>
      </c>
      <c r="K36" s="76"/>
      <c r="L36" s="79"/>
      <c r="M36" s="107">
        <f t="shared" si="0"/>
        <v>0</v>
      </c>
      <c r="O36" s="265" t="s">
        <v>1206</v>
      </c>
      <c r="P36" s="265" t="s">
        <v>77</v>
      </c>
      <c r="Q36" s="265" t="s">
        <v>1319</v>
      </c>
      <c r="R36" s="265">
        <v>0</v>
      </c>
      <c r="S36" s="265" t="s">
        <v>1320</v>
      </c>
      <c r="T36" s="348">
        <v>37.869999999999997</v>
      </c>
      <c r="U36" s="265">
        <v>0</v>
      </c>
      <c r="V36" s="348">
        <v>37.869999999999997</v>
      </c>
      <c r="W36" s="348">
        <v>1.7</v>
      </c>
    </row>
    <row r="37" spans="1:23" s="17" customFormat="1">
      <c r="A37" s="5" t="str">
        <f>IF(K37&gt;0,COUNT($A$7:A36)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7" s="579"/>
      <c r="C37" s="580"/>
      <c r="D37" s="106" t="s">
        <v>1321</v>
      </c>
      <c r="E37" s="106">
        <v>100027279</v>
      </c>
      <c r="F37" s="55" t="s">
        <v>1322</v>
      </c>
      <c r="G37" s="106">
        <v>100</v>
      </c>
      <c r="H37" s="106">
        <v>2308</v>
      </c>
      <c r="I37" s="128">
        <f>_xlfn.XLOOKUP(E37,'All Products'!D:D,'All Products'!H:H)</f>
        <v>20.420000000000002</v>
      </c>
      <c r="J37" s="133">
        <f>ROUNDUP(I37*Order_Quote!$L$13,2)</f>
        <v>102.1</v>
      </c>
      <c r="K37" s="76"/>
      <c r="L37" s="79"/>
      <c r="M37" s="107">
        <f t="shared" si="0"/>
        <v>0</v>
      </c>
      <c r="O37" s="265" t="s">
        <v>1206</v>
      </c>
      <c r="P37" s="265" t="s">
        <v>77</v>
      </c>
      <c r="Q37" s="265" t="s">
        <v>1323</v>
      </c>
      <c r="R37" s="265">
        <v>0</v>
      </c>
      <c r="S37" s="265" t="s">
        <v>1324</v>
      </c>
      <c r="T37" s="348">
        <v>58.3</v>
      </c>
      <c r="U37" s="265">
        <v>0</v>
      </c>
      <c r="V37" s="348">
        <v>58.3</v>
      </c>
      <c r="W37" s="348">
        <v>2.6</v>
      </c>
    </row>
    <row r="38" spans="1:23" s="17" customFormat="1">
      <c r="A38" s="5" t="str">
        <f>IF(K38&gt;0,COUNT($A$7:A37)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8" s="579"/>
      <c r="C38" s="580"/>
      <c r="D38" s="106" t="s">
        <v>1325</v>
      </c>
      <c r="E38" s="106">
        <v>100027281</v>
      </c>
      <c r="F38" s="55" t="s">
        <v>1326</v>
      </c>
      <c r="G38" s="106">
        <v>100</v>
      </c>
      <c r="H38" s="106">
        <v>1818</v>
      </c>
      <c r="I38" s="128">
        <f>_xlfn.XLOOKUP(E38,'All Products'!D:D,'All Products'!H:H)</f>
        <v>24.79</v>
      </c>
      <c r="J38" s="133">
        <f>ROUNDUP(I38*Order_Quote!$L$13,2)</f>
        <v>123.95</v>
      </c>
      <c r="K38" s="76"/>
      <c r="L38" s="79"/>
      <c r="M38" s="107">
        <f t="shared" si="0"/>
        <v>0</v>
      </c>
      <c r="O38" s="265" t="s">
        <v>1206</v>
      </c>
      <c r="P38" s="265" t="s">
        <v>77</v>
      </c>
      <c r="Q38" s="265" t="s">
        <v>1327</v>
      </c>
      <c r="R38" s="265">
        <v>0</v>
      </c>
      <c r="S38" s="265" t="s">
        <v>1328</v>
      </c>
      <c r="T38" s="348">
        <v>72.150000000000006</v>
      </c>
      <c r="U38" s="265">
        <v>0</v>
      </c>
      <c r="V38" s="348">
        <v>72.150000000000006</v>
      </c>
      <c r="W38" s="348">
        <v>3.3</v>
      </c>
    </row>
    <row r="39" spans="1:23" s="17" customFormat="1">
      <c r="A39" s="5" t="str">
        <f>IF(K39&gt;0,COUNT($A$7:A38)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39" s="579"/>
      <c r="C39" s="580"/>
      <c r="D39" s="106" t="s">
        <v>1329</v>
      </c>
      <c r="E39" s="106">
        <v>100027283</v>
      </c>
      <c r="F39" s="55" t="s">
        <v>1330</v>
      </c>
      <c r="G39" s="106">
        <v>48</v>
      </c>
      <c r="H39" s="106">
        <v>1200</v>
      </c>
      <c r="I39" s="128">
        <f>_xlfn.XLOOKUP(E39,'All Products'!D:D,'All Products'!H:H)</f>
        <v>43.94</v>
      </c>
      <c r="J39" s="133">
        <f>ROUNDUP(I39*Order_Quote!$L$13,2)</f>
        <v>219.7</v>
      </c>
      <c r="K39" s="76"/>
      <c r="L39" s="79"/>
      <c r="M39" s="107">
        <f t="shared" ref="M39:M70" si="1">K39/G39</f>
        <v>0</v>
      </c>
      <c r="O39" s="265" t="s">
        <v>1206</v>
      </c>
      <c r="P39" s="265" t="s">
        <v>77</v>
      </c>
      <c r="Q39" s="265" t="s">
        <v>1331</v>
      </c>
      <c r="R39" s="265">
        <v>0</v>
      </c>
      <c r="S39" s="265" t="s">
        <v>1332</v>
      </c>
      <c r="T39" s="348">
        <v>52.55</v>
      </c>
      <c r="U39" s="265">
        <v>0</v>
      </c>
      <c r="V39" s="348">
        <v>52.55</v>
      </c>
      <c r="W39" s="348">
        <v>2.4</v>
      </c>
    </row>
    <row r="40" spans="1:23" s="17" customFormat="1">
      <c r="A40" s="5" t="str">
        <f>IF(K40&gt;0,COUNT($A$7:A39)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0" s="579"/>
      <c r="C40" s="580"/>
      <c r="D40" s="106" t="s">
        <v>1333</v>
      </c>
      <c r="E40" s="106">
        <v>100027285</v>
      </c>
      <c r="F40" s="55" t="s">
        <v>1334</v>
      </c>
      <c r="G40" s="106">
        <v>24</v>
      </c>
      <c r="H40" s="106">
        <v>758</v>
      </c>
      <c r="I40" s="128">
        <f>_xlfn.XLOOKUP(E40,'All Products'!D:D,'All Products'!H:H)</f>
        <v>56.51</v>
      </c>
      <c r="J40" s="133">
        <f>ROUNDUP(I40*Order_Quote!$L$13,2)</f>
        <v>282.55</v>
      </c>
      <c r="K40" s="76"/>
      <c r="L40" s="79"/>
      <c r="M40" s="107">
        <f t="shared" si="1"/>
        <v>0</v>
      </c>
      <c r="O40" s="265" t="s">
        <v>1206</v>
      </c>
      <c r="P40" s="265" t="s">
        <v>77</v>
      </c>
      <c r="Q40" s="265" t="s">
        <v>1335</v>
      </c>
      <c r="R40" s="265">
        <v>0</v>
      </c>
      <c r="S40" s="265" t="s">
        <v>1336</v>
      </c>
      <c r="T40" s="348">
        <v>42.04</v>
      </c>
      <c r="U40" s="265">
        <v>0</v>
      </c>
      <c r="V40" s="348">
        <v>42.04</v>
      </c>
      <c r="W40" s="348">
        <v>1.9</v>
      </c>
    </row>
    <row r="41" spans="1:23" s="17" customFormat="1">
      <c r="A41" s="5" t="str">
        <f>IF(K41&gt;0,COUNT($A$7:A40)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1" s="579"/>
      <c r="C41" s="580"/>
      <c r="D41" s="106" t="s">
        <v>1337</v>
      </c>
      <c r="E41" s="106">
        <v>100027287</v>
      </c>
      <c r="F41" s="55" t="s">
        <v>1338</v>
      </c>
      <c r="G41" s="106">
        <v>12</v>
      </c>
      <c r="H41" s="106">
        <v>346</v>
      </c>
      <c r="I41" s="128">
        <f>_xlfn.XLOOKUP(E41,'All Products'!D:D,'All Products'!H:H)</f>
        <v>238.93</v>
      </c>
      <c r="J41" s="133">
        <f>ROUNDUP(I41*Order_Quote!$L$13,2)</f>
        <v>1194.6500000000001</v>
      </c>
      <c r="K41" s="76"/>
      <c r="L41" s="79"/>
      <c r="M41" s="107">
        <f t="shared" si="1"/>
        <v>0</v>
      </c>
      <c r="O41" s="265" t="s">
        <v>369</v>
      </c>
      <c r="P41" s="265" t="s">
        <v>77</v>
      </c>
      <c r="Q41" s="265" t="s">
        <v>1339</v>
      </c>
      <c r="R41" s="265">
        <v>0</v>
      </c>
      <c r="S41" s="265" t="s">
        <v>1340</v>
      </c>
      <c r="T41" s="348">
        <v>36.51</v>
      </c>
      <c r="U41" s="265">
        <v>0</v>
      </c>
      <c r="V41" s="348">
        <v>36.51</v>
      </c>
      <c r="W41" s="348">
        <v>2.08</v>
      </c>
    </row>
    <row r="42" spans="1:23" s="17" customFormat="1">
      <c r="A42" s="5" t="str">
        <f>IF(K42&gt;0,COUNT($A$7:A41)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2" s="579"/>
      <c r="C42" s="580"/>
      <c r="D42" s="106" t="s">
        <v>1341</v>
      </c>
      <c r="E42" s="106">
        <v>100027289</v>
      </c>
      <c r="F42" s="55" t="s">
        <v>1342</v>
      </c>
      <c r="G42" s="106">
        <v>12</v>
      </c>
      <c r="H42" s="106">
        <v>232</v>
      </c>
      <c r="I42" s="128">
        <f>_xlfn.XLOOKUP(E42,'All Products'!D:D,'All Products'!H:H)</f>
        <v>314.14</v>
      </c>
      <c r="J42" s="133">
        <f>ROUNDUP(I42*Order_Quote!$L$13,2)</f>
        <v>1570.7</v>
      </c>
      <c r="K42" s="76"/>
      <c r="L42" s="79"/>
      <c r="M42" s="107">
        <f t="shared" si="1"/>
        <v>0</v>
      </c>
      <c r="O42" s="265" t="s">
        <v>1206</v>
      </c>
      <c r="P42" s="265" t="s">
        <v>77</v>
      </c>
      <c r="Q42" s="265" t="s">
        <v>1343</v>
      </c>
      <c r="R42" s="265">
        <v>0</v>
      </c>
      <c r="S42" s="265" t="s">
        <v>1344</v>
      </c>
      <c r="T42" s="348">
        <v>56.75</v>
      </c>
      <c r="U42" s="265">
        <v>0</v>
      </c>
      <c r="V42" s="348">
        <v>56.75</v>
      </c>
      <c r="W42" s="348">
        <v>3.1</v>
      </c>
    </row>
    <row r="43" spans="1:23" s="17" customFormat="1" ht="15.75" thickBot="1">
      <c r="A43" s="5" t="str">
        <f>IF(K43&gt;0,COUNT($A$7:A42)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3" s="581"/>
      <c r="C43" s="582"/>
      <c r="D43" s="106" t="s">
        <v>1345</v>
      </c>
      <c r="E43" s="106">
        <v>100027291</v>
      </c>
      <c r="F43" s="55" t="s">
        <v>1346</v>
      </c>
      <c r="G43" s="106">
        <v>6</v>
      </c>
      <c r="H43" s="106">
        <v>113</v>
      </c>
      <c r="I43" s="128">
        <f>_xlfn.XLOOKUP(E43,'All Products'!D:D,'All Products'!H:H)</f>
        <v>598.1</v>
      </c>
      <c r="J43" s="133">
        <f>ROUNDUP(I43*Order_Quote!$L$13,2)</f>
        <v>2990.5</v>
      </c>
      <c r="K43" s="76"/>
      <c r="L43" s="79"/>
      <c r="M43" s="107">
        <f t="shared" si="1"/>
        <v>0</v>
      </c>
      <c r="O43" s="265" t="s">
        <v>1206</v>
      </c>
      <c r="P43" s="265" t="s">
        <v>77</v>
      </c>
      <c r="Q43" s="265" t="s">
        <v>1347</v>
      </c>
      <c r="R43" s="265">
        <v>0</v>
      </c>
      <c r="S43" s="265" t="s">
        <v>1348</v>
      </c>
      <c r="T43" s="348">
        <v>55.2</v>
      </c>
      <c r="U43" s="265">
        <v>0</v>
      </c>
      <c r="V43" s="348">
        <v>55.2</v>
      </c>
      <c r="W43" s="348">
        <v>3.2</v>
      </c>
    </row>
    <row r="44" spans="1:23" s="17" customFormat="1" ht="24.75" customHeight="1">
      <c r="A44" s="5" t="str">
        <f>IF(K44&gt;0,COUNT($A$7:A43)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4" s="577"/>
      <c r="C44" s="578"/>
      <c r="D44" s="106" t="s">
        <v>1349</v>
      </c>
      <c r="E44" s="106">
        <v>100027207</v>
      </c>
      <c r="F44" s="55" t="s">
        <v>1350</v>
      </c>
      <c r="G44" s="106">
        <v>100</v>
      </c>
      <c r="H44" s="106" t="s">
        <v>1205</v>
      </c>
      <c r="I44" s="128">
        <f>_xlfn.XLOOKUP(E44,'All Products'!D:D,'All Products'!H:H)</f>
        <v>32.200000000000003</v>
      </c>
      <c r="J44" s="133">
        <f>ROUNDUP(I44*Order_Quote!$L$13,2)</f>
        <v>161</v>
      </c>
      <c r="K44" s="109"/>
      <c r="L44" s="79"/>
      <c r="M44" s="107">
        <f t="shared" si="1"/>
        <v>0</v>
      </c>
      <c r="O44" s="265" t="s">
        <v>1351</v>
      </c>
      <c r="P44" s="265" t="s">
        <v>77</v>
      </c>
      <c r="Q44" s="265" t="s">
        <v>1352</v>
      </c>
      <c r="R44" s="265">
        <v>0</v>
      </c>
      <c r="S44" s="265" t="s">
        <v>1353</v>
      </c>
      <c r="T44" s="348">
        <v>12.54</v>
      </c>
      <c r="U44" s="265">
        <v>10</v>
      </c>
      <c r="V44" s="348">
        <v>12.54</v>
      </c>
      <c r="W44" s="348">
        <v>0.65</v>
      </c>
    </row>
    <row r="45" spans="1:23" s="17" customFormat="1" ht="24.75" customHeight="1">
      <c r="A45" s="5" t="str">
        <f>IF(K45&gt;0,COUNT($A$7:A44)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5" s="579"/>
      <c r="C45" s="580"/>
      <c r="D45" s="106" t="s">
        <v>1354</v>
      </c>
      <c r="E45" s="106">
        <v>100027208</v>
      </c>
      <c r="F45" s="55" t="s">
        <v>1355</v>
      </c>
      <c r="G45" s="106">
        <v>100</v>
      </c>
      <c r="H45" s="106" t="s">
        <v>1205</v>
      </c>
      <c r="I45" s="128">
        <f>_xlfn.XLOOKUP(E45,'All Products'!D:D,'All Products'!H:H)</f>
        <v>39.520000000000003</v>
      </c>
      <c r="J45" s="133">
        <f>ROUNDUP(I45*Order_Quote!$L$13,2)</f>
        <v>197.6</v>
      </c>
      <c r="K45" s="76"/>
      <c r="L45" s="79"/>
      <c r="M45" s="107">
        <f t="shared" si="1"/>
        <v>0</v>
      </c>
      <c r="O45" s="265" t="s">
        <v>1206</v>
      </c>
      <c r="P45" s="265" t="s">
        <v>77</v>
      </c>
      <c r="Q45" s="265" t="s">
        <v>1356</v>
      </c>
      <c r="R45" s="265">
        <v>0</v>
      </c>
      <c r="S45" s="265" t="s">
        <v>1357</v>
      </c>
      <c r="T45" s="348">
        <v>21.27</v>
      </c>
      <c r="U45" s="265">
        <v>5</v>
      </c>
      <c r="V45" s="348">
        <v>21.27</v>
      </c>
      <c r="W45" s="348">
        <v>0.97</v>
      </c>
    </row>
    <row r="46" spans="1:23" s="17" customFormat="1" ht="24.75" customHeight="1">
      <c r="A46" s="5" t="str">
        <f>IF(K46&gt;0,COUNT($A$7:A45)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6" s="581"/>
      <c r="C46" s="582"/>
      <c r="D46" s="106" t="s">
        <v>1358</v>
      </c>
      <c r="E46" s="106">
        <v>100027209</v>
      </c>
      <c r="F46" s="55" t="s">
        <v>1359</v>
      </c>
      <c r="G46" s="106">
        <v>100</v>
      </c>
      <c r="H46" s="106" t="s">
        <v>1205</v>
      </c>
      <c r="I46" s="267">
        <f>_xlfn.XLOOKUP(E46,'All Products'!D:D,'All Products'!H:H)</f>
        <v>53.27</v>
      </c>
      <c r="J46" s="133">
        <f>ROUNDUP(I46*Order_Quote!$L$13,2)</f>
        <v>266.35000000000002</v>
      </c>
      <c r="K46" s="76"/>
      <c r="L46" s="79"/>
      <c r="M46" s="107">
        <f t="shared" si="1"/>
        <v>0</v>
      </c>
      <c r="O46" s="265" t="s">
        <v>369</v>
      </c>
      <c r="P46" s="265" t="s">
        <v>77</v>
      </c>
      <c r="Q46" s="265" t="s">
        <v>1360</v>
      </c>
      <c r="R46" s="265">
        <v>0</v>
      </c>
      <c r="S46" s="265" t="s">
        <v>1361</v>
      </c>
      <c r="T46" s="348">
        <v>57.82</v>
      </c>
      <c r="U46" s="265">
        <v>0</v>
      </c>
      <c r="V46" s="348">
        <v>57.82</v>
      </c>
      <c r="W46" s="348">
        <v>2.9</v>
      </c>
    </row>
    <row r="47" spans="1:23" s="17" customFormat="1">
      <c r="A47" s="5" t="str">
        <f>IF(K47&gt;0,COUNT($A$7:A46)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7" s="577"/>
      <c r="C47" s="578"/>
      <c r="D47" s="106" t="s">
        <v>1362</v>
      </c>
      <c r="E47" s="106">
        <v>100027266</v>
      </c>
      <c r="F47" s="55" t="s">
        <v>1363</v>
      </c>
      <c r="G47" s="106">
        <v>48</v>
      </c>
      <c r="H47" s="106">
        <v>2483</v>
      </c>
      <c r="I47" s="128">
        <f>_xlfn.XLOOKUP(E47,'All Products'!D:D,'All Products'!H:H)</f>
        <v>47.01</v>
      </c>
      <c r="J47" s="133">
        <f>ROUNDUP(I47*Order_Quote!$L$13,2)</f>
        <v>235.05</v>
      </c>
      <c r="K47" s="76"/>
      <c r="L47" s="79"/>
      <c r="M47" s="107">
        <f t="shared" si="1"/>
        <v>0</v>
      </c>
      <c r="O47" s="265" t="s">
        <v>369</v>
      </c>
      <c r="P47" s="265" t="s">
        <v>77</v>
      </c>
      <c r="Q47" s="265" t="s">
        <v>1364</v>
      </c>
      <c r="R47" s="265">
        <v>0</v>
      </c>
      <c r="S47" s="265" t="s">
        <v>1365</v>
      </c>
      <c r="T47" s="348">
        <v>25.53</v>
      </c>
      <c r="U47" s="265">
        <v>0</v>
      </c>
      <c r="V47" s="348">
        <v>25.53</v>
      </c>
      <c r="W47" s="348">
        <v>1.1599999999999999</v>
      </c>
    </row>
    <row r="48" spans="1:23" s="17" customFormat="1">
      <c r="A48" s="5" t="str">
        <f>IF(K48&gt;0,COUNT($A$7:A47)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8" s="579"/>
      <c r="C48" s="580"/>
      <c r="D48" s="106" t="s">
        <v>1366</v>
      </c>
      <c r="E48" s="106">
        <v>100027267</v>
      </c>
      <c r="F48" s="55" t="s">
        <v>1367</v>
      </c>
      <c r="G48" s="106">
        <v>36</v>
      </c>
      <c r="H48" s="106">
        <v>1577</v>
      </c>
      <c r="I48" s="128">
        <f>_xlfn.XLOOKUP(E48,'All Products'!D:D,'All Products'!H:H)</f>
        <v>63.05</v>
      </c>
      <c r="J48" s="133">
        <f>ROUNDUP(I48*Order_Quote!$L$13,2)</f>
        <v>315.25</v>
      </c>
      <c r="K48" s="76"/>
      <c r="L48" s="79"/>
      <c r="M48" s="107">
        <f t="shared" si="1"/>
        <v>0</v>
      </c>
      <c r="O48" s="265" t="s">
        <v>1206</v>
      </c>
      <c r="P48" s="265" t="s">
        <v>77</v>
      </c>
      <c r="Q48" s="265" t="s">
        <v>1368</v>
      </c>
      <c r="R48" s="265">
        <v>0</v>
      </c>
      <c r="S48" s="265" t="s">
        <v>1369</v>
      </c>
      <c r="T48" s="348">
        <v>27.93</v>
      </c>
      <c r="U48" s="265">
        <v>0</v>
      </c>
      <c r="V48" s="348">
        <v>27.93</v>
      </c>
      <c r="W48" s="348">
        <v>1.37</v>
      </c>
    </row>
    <row r="49" spans="1:23" s="17" customFormat="1">
      <c r="A49" s="5" t="str">
        <f>IF(K49&gt;0,COUNT($A$7:A48)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49" s="579"/>
      <c r="C49" s="580"/>
      <c r="D49" s="106" t="s">
        <v>1370</v>
      </c>
      <c r="E49" s="106">
        <v>100027268</v>
      </c>
      <c r="F49" s="55" t="s">
        <v>1371</v>
      </c>
      <c r="G49" s="106">
        <v>24</v>
      </c>
      <c r="H49" s="106">
        <v>1161</v>
      </c>
      <c r="I49" s="128">
        <f>_xlfn.XLOOKUP(E49,'All Products'!D:D,'All Products'!H:H)</f>
        <v>87.95</v>
      </c>
      <c r="J49" s="133">
        <f>ROUNDUP(I49*Order_Quote!$L$13,2)</f>
        <v>439.75</v>
      </c>
      <c r="K49" s="76"/>
      <c r="L49" s="79"/>
      <c r="M49" s="107">
        <f t="shared" si="1"/>
        <v>0</v>
      </c>
      <c r="O49" s="265" t="s">
        <v>1206</v>
      </c>
      <c r="P49" s="265" t="s">
        <v>77</v>
      </c>
      <c r="Q49" s="265" t="s">
        <v>1372</v>
      </c>
      <c r="R49" s="265">
        <v>0</v>
      </c>
      <c r="S49" s="265" t="s">
        <v>1373</v>
      </c>
      <c r="T49" s="348">
        <v>24.7</v>
      </c>
      <c r="U49" s="265">
        <v>0</v>
      </c>
      <c r="V49" s="348">
        <v>24.7</v>
      </c>
      <c r="W49" s="348">
        <v>1.24</v>
      </c>
    </row>
    <row r="50" spans="1:23" s="17" customFormat="1">
      <c r="A50" s="5" t="str">
        <f>IF(K50&gt;0,COUNT($A$7:A49)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0" s="579"/>
      <c r="C50" s="580"/>
      <c r="D50" s="106" t="s">
        <v>1374</v>
      </c>
      <c r="E50" s="106">
        <v>100027269</v>
      </c>
      <c r="F50" s="55" t="s">
        <v>1375</v>
      </c>
      <c r="G50" s="106">
        <v>24</v>
      </c>
      <c r="H50" s="106">
        <v>692</v>
      </c>
      <c r="I50" s="128">
        <f>_xlfn.XLOOKUP(E50,'All Products'!D:D,'All Products'!H:H)</f>
        <v>118.28</v>
      </c>
      <c r="J50" s="133">
        <f>ROUNDUP(I50*Order_Quote!$L$13,2)</f>
        <v>591.4</v>
      </c>
      <c r="K50" s="76"/>
      <c r="L50" s="79"/>
      <c r="M50" s="107">
        <f t="shared" si="1"/>
        <v>0</v>
      </c>
      <c r="O50" s="265" t="s">
        <v>1206</v>
      </c>
      <c r="P50" s="265" t="s">
        <v>77</v>
      </c>
      <c r="Q50" s="265" t="s">
        <v>1376</v>
      </c>
      <c r="R50" s="265">
        <v>0</v>
      </c>
      <c r="S50" s="265" t="s">
        <v>1377</v>
      </c>
      <c r="T50" s="348">
        <v>39.93</v>
      </c>
      <c r="U50" s="265">
        <v>0</v>
      </c>
      <c r="V50" s="348">
        <v>39.93</v>
      </c>
      <c r="W50" s="348">
        <v>2.08</v>
      </c>
    </row>
    <row r="51" spans="1:23" s="17" customFormat="1">
      <c r="A51" s="5" t="str">
        <f>IF(K51&gt;0,COUNT($A$7:A50)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1" s="579"/>
      <c r="C51" s="580"/>
      <c r="D51" s="106" t="s">
        <v>1378</v>
      </c>
      <c r="E51" s="106">
        <v>100027270</v>
      </c>
      <c r="F51" s="55" t="s">
        <v>1379</v>
      </c>
      <c r="G51" s="106">
        <v>24</v>
      </c>
      <c r="H51" s="106">
        <v>588</v>
      </c>
      <c r="I51" s="128">
        <f>_xlfn.XLOOKUP(E51,'All Products'!D:D,'All Products'!H:H)</f>
        <v>162.24</v>
      </c>
      <c r="J51" s="133">
        <f>ROUNDUP(I51*Order_Quote!$L$13,2)</f>
        <v>811.2</v>
      </c>
      <c r="K51" s="76"/>
      <c r="L51" s="79"/>
      <c r="M51" s="107">
        <f t="shared" si="1"/>
        <v>0</v>
      </c>
      <c r="O51" s="265" t="s">
        <v>1206</v>
      </c>
      <c r="P51" s="265" t="s">
        <v>77</v>
      </c>
      <c r="Q51" s="265" t="s">
        <v>1380</v>
      </c>
      <c r="R51" s="265">
        <v>0</v>
      </c>
      <c r="S51" s="265" t="s">
        <v>1381</v>
      </c>
      <c r="T51" s="348">
        <v>56.24</v>
      </c>
      <c r="U51" s="265">
        <v>0</v>
      </c>
      <c r="V51" s="348">
        <v>56.24</v>
      </c>
      <c r="W51" s="348">
        <v>2.4500000000000002</v>
      </c>
    </row>
    <row r="52" spans="1:23" s="17" customFormat="1">
      <c r="A52" s="5" t="str">
        <f>IF(K52&gt;0,COUNT($A$7:A51)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2" s="579"/>
      <c r="C52" s="580"/>
      <c r="D52" s="106" t="s">
        <v>1382</v>
      </c>
      <c r="E52" s="106">
        <v>100027271</v>
      </c>
      <c r="F52" s="55" t="s">
        <v>1383</v>
      </c>
      <c r="G52" s="106">
        <v>12</v>
      </c>
      <c r="H52" s="106">
        <v>294</v>
      </c>
      <c r="I52" s="128">
        <f>_xlfn.XLOOKUP(E52,'All Products'!D:D,'All Products'!H:H)</f>
        <v>212.22</v>
      </c>
      <c r="J52" s="133">
        <f>ROUNDUP(I52*Order_Quote!$L$13,2)</f>
        <v>1061.0999999999999</v>
      </c>
      <c r="K52" s="76"/>
      <c r="L52" s="79"/>
      <c r="M52" s="107">
        <f t="shared" si="1"/>
        <v>0</v>
      </c>
      <c r="O52" s="265" t="s">
        <v>1206</v>
      </c>
      <c r="P52" s="265" t="s">
        <v>77</v>
      </c>
      <c r="Q52" s="265" t="s">
        <v>1384</v>
      </c>
      <c r="R52" s="265">
        <v>0</v>
      </c>
      <c r="S52" s="265" t="s">
        <v>1385</v>
      </c>
      <c r="T52" s="348">
        <v>50.71</v>
      </c>
      <c r="U52" s="265">
        <v>0</v>
      </c>
      <c r="V52" s="348">
        <v>50.71</v>
      </c>
      <c r="W52" s="348">
        <v>2.4500000000000002</v>
      </c>
    </row>
    <row r="53" spans="1:23" s="17" customFormat="1">
      <c r="A53" s="5" t="str">
        <f>IF(K53&gt;0,COUNT($A$7:A52)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3" s="579"/>
      <c r="C53" s="580"/>
      <c r="D53" s="106" t="s">
        <v>1386</v>
      </c>
      <c r="E53" s="106">
        <v>100027272</v>
      </c>
      <c r="F53" s="55" t="s">
        <v>1387</v>
      </c>
      <c r="G53" s="106">
        <v>6</v>
      </c>
      <c r="H53" s="106">
        <v>132</v>
      </c>
      <c r="I53" s="128">
        <f>_xlfn.XLOOKUP(E53,'All Products'!D:D,'All Products'!H:H)</f>
        <v>362.6</v>
      </c>
      <c r="J53" s="133">
        <f>ROUNDUP(I53*Order_Quote!$L$13,2)</f>
        <v>1813</v>
      </c>
      <c r="K53" s="76"/>
      <c r="L53" s="79"/>
      <c r="M53" s="107">
        <f t="shared" si="1"/>
        <v>0</v>
      </c>
      <c r="O53" s="265" t="s">
        <v>369</v>
      </c>
      <c r="P53" s="265" t="s">
        <v>77</v>
      </c>
      <c r="Q53" s="265" t="s">
        <v>1388</v>
      </c>
      <c r="R53" s="265">
        <v>0</v>
      </c>
      <c r="S53" s="265" t="s">
        <v>1389</v>
      </c>
      <c r="T53" s="348">
        <v>51.23</v>
      </c>
      <c r="U53" s="265">
        <v>0</v>
      </c>
      <c r="V53" s="348">
        <v>51.23</v>
      </c>
      <c r="W53" s="348">
        <v>2.73</v>
      </c>
    </row>
    <row r="54" spans="1:23" s="17" customFormat="1">
      <c r="A54" s="5" t="str">
        <f>IF(K54&gt;0,COUNT($A$7:A53)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4" s="579"/>
      <c r="C54" s="580"/>
      <c r="D54" s="106" t="s">
        <v>1390</v>
      </c>
      <c r="E54" s="106">
        <v>100027273</v>
      </c>
      <c r="F54" s="55" t="s">
        <v>1391</v>
      </c>
      <c r="G54" s="106">
        <v>6</v>
      </c>
      <c r="H54" s="106">
        <v>96</v>
      </c>
      <c r="I54" s="128">
        <f>_xlfn.XLOOKUP(E54,'All Products'!D:D,'All Products'!H:H)</f>
        <v>622.55999999999995</v>
      </c>
      <c r="J54" s="133">
        <f>ROUNDUP(I54*Order_Quote!$L$13,2)</f>
        <v>3112.8</v>
      </c>
      <c r="K54" s="76"/>
      <c r="L54" s="79"/>
      <c r="M54" s="107">
        <f t="shared" si="1"/>
        <v>0</v>
      </c>
      <c r="O54" s="265" t="s">
        <v>1206</v>
      </c>
      <c r="P54" s="265" t="s">
        <v>77</v>
      </c>
      <c r="Q54" s="265" t="s">
        <v>1392</v>
      </c>
      <c r="R54" s="265">
        <v>0</v>
      </c>
      <c r="S54" s="265" t="s">
        <v>1393</v>
      </c>
      <c r="T54" s="348">
        <v>73.77</v>
      </c>
      <c r="U54" s="265">
        <v>0</v>
      </c>
      <c r="V54" s="348">
        <v>73.77</v>
      </c>
      <c r="W54" s="348">
        <v>3.75</v>
      </c>
    </row>
    <row r="55" spans="1:23" s="17" customFormat="1">
      <c r="A55" s="5" t="str">
        <f>IF(K55&gt;0,COUNT($A$7:A54)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5" s="581"/>
      <c r="C55" s="582"/>
      <c r="D55" s="106" t="s">
        <v>1394</v>
      </c>
      <c r="E55" s="106">
        <v>100027274</v>
      </c>
      <c r="F55" s="55" t="s">
        <v>1395</v>
      </c>
      <c r="G55" s="106">
        <v>1</v>
      </c>
      <c r="H55" s="106">
        <v>56</v>
      </c>
      <c r="I55" s="128">
        <f>_xlfn.XLOOKUP(E55,'All Products'!D:D,'All Products'!H:H)</f>
        <v>1247.24</v>
      </c>
      <c r="J55" s="133">
        <f>ROUNDUP(I55*Order_Quote!$L$13,2)</f>
        <v>6236.2</v>
      </c>
      <c r="K55" s="76"/>
      <c r="L55" s="79"/>
      <c r="M55" s="107">
        <f t="shared" si="1"/>
        <v>0</v>
      </c>
      <c r="O55" s="265" t="s">
        <v>1206</v>
      </c>
      <c r="P55" s="265" t="s">
        <v>77</v>
      </c>
      <c r="Q55" s="265" t="s">
        <v>1396</v>
      </c>
      <c r="R55" s="265">
        <v>0</v>
      </c>
      <c r="S55" s="265" t="s">
        <v>1397</v>
      </c>
      <c r="T55" s="348">
        <v>23.37</v>
      </c>
      <c r="U55" s="265">
        <v>0</v>
      </c>
      <c r="V55" s="348">
        <v>23.37</v>
      </c>
      <c r="W55" s="348">
        <v>1.07</v>
      </c>
    </row>
    <row r="56" spans="1:23" s="17" customFormat="1">
      <c r="A56" s="5" t="str">
        <f>IF(K56&gt;0,COUNT($A$7:A55)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6" s="577"/>
      <c r="C56" s="578"/>
      <c r="D56" s="106" t="s">
        <v>1398</v>
      </c>
      <c r="E56" s="106">
        <v>100027306</v>
      </c>
      <c r="F56" s="55" t="s">
        <v>1399</v>
      </c>
      <c r="G56" s="106">
        <v>24</v>
      </c>
      <c r="H56" s="106">
        <v>1161</v>
      </c>
      <c r="I56" s="128">
        <f>_xlfn.XLOOKUP(E56,'All Products'!D:D,'All Products'!H:H)</f>
        <v>150.21</v>
      </c>
      <c r="J56" s="133">
        <f>ROUNDUP(I56*Order_Quote!$L$13,2)</f>
        <v>751.05</v>
      </c>
      <c r="K56" s="76"/>
      <c r="L56" s="79"/>
      <c r="M56" s="107">
        <f t="shared" si="1"/>
        <v>0</v>
      </c>
      <c r="O56" s="265" t="s">
        <v>369</v>
      </c>
      <c r="P56" s="265" t="s">
        <v>77</v>
      </c>
      <c r="Q56" s="265" t="s">
        <v>1400</v>
      </c>
      <c r="R56" s="265">
        <v>0</v>
      </c>
      <c r="S56" s="265" t="s">
        <v>1401</v>
      </c>
      <c r="T56" s="348">
        <v>24.7</v>
      </c>
      <c r="U56" s="265">
        <v>0</v>
      </c>
      <c r="V56" s="348">
        <v>24.7</v>
      </c>
      <c r="W56" s="348">
        <v>1.24</v>
      </c>
    </row>
    <row r="57" spans="1:23" s="17" customFormat="1">
      <c r="A57" s="5" t="str">
        <f>IF(K57&gt;0,COUNT($A$7:A56)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7" s="579"/>
      <c r="C57" s="580"/>
      <c r="D57" s="106" t="s">
        <v>1402</v>
      </c>
      <c r="E57" s="106">
        <v>100027307</v>
      </c>
      <c r="F57" s="55" t="s">
        <v>1403</v>
      </c>
      <c r="G57" s="106">
        <v>24</v>
      </c>
      <c r="H57" s="106">
        <v>692</v>
      </c>
      <c r="I57" s="128">
        <f>_xlfn.XLOOKUP(E57,'All Products'!D:D,'All Products'!H:H)</f>
        <v>193.84</v>
      </c>
      <c r="J57" s="133">
        <f>ROUNDUP(I57*Order_Quote!$L$13,2)</f>
        <v>969.2</v>
      </c>
      <c r="K57" s="76"/>
      <c r="L57" s="79"/>
      <c r="M57" s="107">
        <f t="shared" si="1"/>
        <v>0</v>
      </c>
      <c r="O57" s="265" t="s">
        <v>1351</v>
      </c>
      <c r="P57" s="265" t="s">
        <v>77</v>
      </c>
      <c r="Q57" s="265" t="s">
        <v>1404</v>
      </c>
      <c r="R57" s="265">
        <v>0</v>
      </c>
      <c r="S57" s="265" t="s">
        <v>1405</v>
      </c>
      <c r="T57" s="348">
        <v>39.94</v>
      </c>
      <c r="U57" s="265">
        <v>0</v>
      </c>
      <c r="V57" s="348">
        <v>39.94</v>
      </c>
      <c r="W57" s="348">
        <v>2.08</v>
      </c>
    </row>
    <row r="58" spans="1:23" s="17" customFormat="1">
      <c r="A58" s="5" t="str">
        <f>IF(K58&gt;0,COUNT($A$7:A57)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8" s="579"/>
      <c r="C58" s="580"/>
      <c r="D58" s="106" t="s">
        <v>1406</v>
      </c>
      <c r="E58" s="106">
        <v>100027308</v>
      </c>
      <c r="F58" s="55" t="s">
        <v>1407</v>
      </c>
      <c r="G58" s="106">
        <v>24</v>
      </c>
      <c r="H58" s="106">
        <v>548</v>
      </c>
      <c r="I58" s="128">
        <f>_xlfn.XLOOKUP(E58,'All Products'!D:D,'All Products'!H:H)</f>
        <v>273.47000000000003</v>
      </c>
      <c r="J58" s="133">
        <f>ROUNDUP(I58*Order_Quote!$L$13,2)</f>
        <v>1367.35</v>
      </c>
      <c r="K58" s="76"/>
      <c r="L58" s="79"/>
      <c r="M58" s="107">
        <f t="shared" si="1"/>
        <v>0</v>
      </c>
      <c r="O58" s="265" t="s">
        <v>1351</v>
      </c>
      <c r="P58" s="265" t="s">
        <v>77</v>
      </c>
      <c r="Q58" s="265" t="s">
        <v>1408</v>
      </c>
      <c r="R58" s="265">
        <v>0</v>
      </c>
      <c r="S58" s="265" t="s">
        <v>1409</v>
      </c>
      <c r="T58" s="348">
        <v>54.43</v>
      </c>
      <c r="U58" s="265">
        <v>0</v>
      </c>
      <c r="V58" s="348">
        <v>54.43</v>
      </c>
      <c r="W58" s="348">
        <v>2.63</v>
      </c>
    </row>
    <row r="59" spans="1:23" s="17" customFormat="1">
      <c r="A59" s="5" t="str">
        <f>IF(K59&gt;0,COUNT($A$7:A58)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59" s="579"/>
      <c r="C59" s="580"/>
      <c r="D59" s="106" t="s">
        <v>1410</v>
      </c>
      <c r="E59" s="106">
        <v>100027309</v>
      </c>
      <c r="F59" s="55" t="s">
        <v>1411</v>
      </c>
      <c r="G59" s="106">
        <v>12</v>
      </c>
      <c r="H59" s="106">
        <v>294</v>
      </c>
      <c r="I59" s="128">
        <f>_xlfn.XLOOKUP(E59,'All Products'!D:D,'All Products'!H:H)</f>
        <v>366.18</v>
      </c>
      <c r="J59" s="133">
        <f>ROUNDUP(I59*Order_Quote!$L$13,2)</f>
        <v>1830.9</v>
      </c>
      <c r="K59" s="76"/>
      <c r="L59" s="79"/>
      <c r="M59" s="107">
        <f t="shared" si="1"/>
        <v>0</v>
      </c>
      <c r="O59" s="265" t="s">
        <v>1351</v>
      </c>
      <c r="P59" s="265" t="s">
        <v>77</v>
      </c>
      <c r="Q59" s="265" t="s">
        <v>1412</v>
      </c>
      <c r="R59" s="265">
        <v>0</v>
      </c>
      <c r="S59" s="265" t="s">
        <v>1413</v>
      </c>
      <c r="T59" s="348">
        <v>50.71</v>
      </c>
      <c r="U59" s="265">
        <v>0</v>
      </c>
      <c r="V59" s="348">
        <v>50.71</v>
      </c>
      <c r="W59" s="348">
        <v>2.4500000000000002</v>
      </c>
    </row>
    <row r="60" spans="1:23" s="17" customFormat="1">
      <c r="A60" s="5" t="str">
        <f>IF(K60&gt;0,COUNT($A$7:A59)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0" s="579"/>
      <c r="C60" s="580"/>
      <c r="D60" s="106" t="s">
        <v>1414</v>
      </c>
      <c r="E60" s="106">
        <v>100027310</v>
      </c>
      <c r="F60" s="55" t="s">
        <v>1415</v>
      </c>
      <c r="G60" s="106">
        <v>6</v>
      </c>
      <c r="H60" s="106">
        <v>132</v>
      </c>
      <c r="I60" s="128">
        <f>_xlfn.XLOOKUP(E60,'All Products'!D:D,'All Products'!H:H)</f>
        <v>652.52</v>
      </c>
      <c r="J60" s="133">
        <f>ROUNDUP(I60*Order_Quote!$L$13,2)</f>
        <v>3262.6</v>
      </c>
      <c r="K60" s="76"/>
      <c r="L60" s="79"/>
      <c r="M60" s="107">
        <f t="shared" si="1"/>
        <v>0</v>
      </c>
      <c r="O60" s="265" t="s">
        <v>369</v>
      </c>
      <c r="P60" s="265" t="s">
        <v>77</v>
      </c>
      <c r="Q60" s="265" t="s">
        <v>1416</v>
      </c>
      <c r="R60" s="265">
        <v>0</v>
      </c>
      <c r="S60" s="265" t="s">
        <v>1417</v>
      </c>
      <c r="T60" s="348">
        <v>51.27</v>
      </c>
      <c r="U60" s="265">
        <v>0</v>
      </c>
      <c r="V60" s="348">
        <v>51.27</v>
      </c>
      <c r="W60" s="348">
        <v>2.73</v>
      </c>
    </row>
    <row r="61" spans="1:23" s="17" customFormat="1">
      <c r="A61" s="5" t="str">
        <f>IF(K61&gt;0,COUNT($A$7:A60)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1" s="579"/>
      <c r="C61" s="580"/>
      <c r="D61" s="106" t="s">
        <v>1418</v>
      </c>
      <c r="E61" s="106">
        <v>100027311</v>
      </c>
      <c r="F61" s="55" t="s">
        <v>1419</v>
      </c>
      <c r="G61" s="106">
        <v>6</v>
      </c>
      <c r="H61" s="106">
        <v>96</v>
      </c>
      <c r="I61" s="128">
        <f>_xlfn.XLOOKUP(E61,'All Products'!D:D,'All Products'!H:H)</f>
        <v>941.51</v>
      </c>
      <c r="J61" s="133">
        <f>ROUNDUP(I61*Order_Quote!$L$13,2)</f>
        <v>4707.55</v>
      </c>
      <c r="K61" s="76"/>
      <c r="L61" s="79"/>
      <c r="M61" s="107">
        <f t="shared" si="1"/>
        <v>0</v>
      </c>
      <c r="O61" s="265" t="s">
        <v>369</v>
      </c>
      <c r="P61" s="265" t="s">
        <v>77</v>
      </c>
      <c r="Q61" s="265" t="s">
        <v>1420</v>
      </c>
      <c r="R61" s="265">
        <v>0</v>
      </c>
      <c r="S61" s="265" t="s">
        <v>1421</v>
      </c>
      <c r="T61" s="348">
        <v>74.260000000000005</v>
      </c>
      <c r="U61" s="265">
        <v>0</v>
      </c>
      <c r="V61" s="348">
        <v>74.260000000000005</v>
      </c>
      <c r="W61" s="348">
        <v>3.75</v>
      </c>
    </row>
    <row r="62" spans="1:23" s="17" customFormat="1">
      <c r="A62" s="5" t="str">
        <f>IF(K62&gt;0,COUNT($A$7:A61)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2" s="581"/>
      <c r="C62" s="582"/>
      <c r="D62" s="106" t="s">
        <v>1422</v>
      </c>
      <c r="E62" s="106">
        <v>100027312</v>
      </c>
      <c r="F62" s="55" t="s">
        <v>1423</v>
      </c>
      <c r="G62" s="106">
        <v>1</v>
      </c>
      <c r="H62" s="106">
        <v>56</v>
      </c>
      <c r="I62" s="128">
        <f>_xlfn.XLOOKUP(E62,'All Products'!D:D,'All Products'!H:H)</f>
        <v>1817.72</v>
      </c>
      <c r="J62" s="133">
        <f>ROUNDUP(I62*Order_Quote!$L$13,2)</f>
        <v>9088.6</v>
      </c>
      <c r="K62" s="76"/>
      <c r="L62" s="79"/>
      <c r="M62" s="107">
        <f t="shared" si="1"/>
        <v>0</v>
      </c>
      <c r="O62" s="265" t="s">
        <v>1351</v>
      </c>
      <c r="P62" s="265" t="s">
        <v>77</v>
      </c>
      <c r="Q62" s="265" t="s">
        <v>1424</v>
      </c>
      <c r="R62" s="265">
        <v>0</v>
      </c>
      <c r="S62" s="265" t="s">
        <v>1425</v>
      </c>
      <c r="T62" s="348">
        <v>25.06</v>
      </c>
      <c r="U62" s="265">
        <v>0</v>
      </c>
      <c r="V62" s="348">
        <v>25.06</v>
      </c>
      <c r="W62" s="348">
        <v>1.07</v>
      </c>
    </row>
    <row r="63" spans="1:23" s="17" customFormat="1" ht="15.75" customHeight="1">
      <c r="A63" s="5" t="str">
        <f>IF(K63&gt;0,COUNT($A$7:A62)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3" s="577"/>
      <c r="C63" s="578"/>
      <c r="D63" s="106" t="s">
        <v>1426</v>
      </c>
      <c r="E63" s="106">
        <v>100027249</v>
      </c>
      <c r="F63" s="55" t="s">
        <v>1427</v>
      </c>
      <c r="G63" s="106">
        <v>120</v>
      </c>
      <c r="H63" s="106">
        <v>4022</v>
      </c>
      <c r="I63" s="128">
        <f>_xlfn.XLOOKUP(E63,'All Products'!D:D,'All Products'!H:H)</f>
        <v>24.51</v>
      </c>
      <c r="J63" s="133">
        <f>ROUNDUP(I63*Order_Quote!$L$13,2)</f>
        <v>122.55</v>
      </c>
      <c r="K63" s="76"/>
      <c r="L63" s="79"/>
      <c r="M63" s="107">
        <f t="shared" si="1"/>
        <v>0</v>
      </c>
      <c r="O63" s="265" t="s">
        <v>1206</v>
      </c>
      <c r="P63" s="265" t="s">
        <v>77</v>
      </c>
      <c r="Q63" s="265" t="s">
        <v>1428</v>
      </c>
      <c r="R63" s="265">
        <v>0</v>
      </c>
      <c r="S63" s="265" t="s">
        <v>1429</v>
      </c>
      <c r="T63" s="348">
        <v>37.25</v>
      </c>
      <c r="U63" s="265">
        <v>0</v>
      </c>
      <c r="V63" s="348">
        <v>37.25</v>
      </c>
      <c r="W63" s="348">
        <v>1.79</v>
      </c>
    </row>
    <row r="64" spans="1:23" s="17" customFormat="1" ht="15.75" customHeight="1">
      <c r="A64" s="5" t="str">
        <f>IF(K64&gt;0,COUNT($A$7:A63)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4" s="579"/>
      <c r="C64" s="580"/>
      <c r="D64" s="106" t="s">
        <v>1430</v>
      </c>
      <c r="E64" s="106">
        <v>100027250</v>
      </c>
      <c r="F64" s="55" t="s">
        <v>1431</v>
      </c>
      <c r="G64" s="106">
        <v>80</v>
      </c>
      <c r="H64" s="106">
        <v>1912</v>
      </c>
      <c r="I64" s="128">
        <f>_xlfn.XLOOKUP(E64,'All Products'!D:D,'All Products'!H:H)</f>
        <v>35.700000000000003</v>
      </c>
      <c r="J64" s="133">
        <f>ROUNDUP(I64*Order_Quote!$L$13,2)</f>
        <v>178.5</v>
      </c>
      <c r="K64" s="76"/>
      <c r="L64" s="79"/>
      <c r="M64" s="107">
        <f t="shared" si="1"/>
        <v>0</v>
      </c>
      <c r="O64" s="265" t="s">
        <v>1206</v>
      </c>
      <c r="P64" s="265" t="s">
        <v>77</v>
      </c>
      <c r="Q64" s="265" t="s">
        <v>1432</v>
      </c>
      <c r="R64" s="265">
        <v>0</v>
      </c>
      <c r="S64" s="265" t="s">
        <v>1433</v>
      </c>
      <c r="T64" s="348">
        <v>39.909999999999997</v>
      </c>
      <c r="U64" s="265">
        <v>0</v>
      </c>
      <c r="V64" s="348">
        <v>39.909999999999997</v>
      </c>
      <c r="W64" s="348">
        <v>2.5099999999999998</v>
      </c>
    </row>
    <row r="65" spans="1:23" s="17" customFormat="1" ht="15.75" customHeight="1">
      <c r="A65" s="5" t="str">
        <f>IF(K65&gt;0,COUNT($A$7:A64)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5" s="579"/>
      <c r="C65" s="580"/>
      <c r="D65" s="106" t="s">
        <v>1434</v>
      </c>
      <c r="E65" s="106">
        <v>100027251</v>
      </c>
      <c r="F65" s="55" t="s">
        <v>1435</v>
      </c>
      <c r="G65" s="106">
        <v>60</v>
      </c>
      <c r="H65" s="106">
        <v>1071</v>
      </c>
      <c r="I65" s="128">
        <f>_xlfn.XLOOKUP(E65,'All Products'!D:D,'All Products'!H:H)</f>
        <v>46.3</v>
      </c>
      <c r="J65" s="133">
        <f>ROUNDUP(I65*Order_Quote!$L$13,2)</f>
        <v>231.5</v>
      </c>
      <c r="K65" s="76"/>
      <c r="L65" s="79"/>
      <c r="M65" s="107">
        <f t="shared" si="1"/>
        <v>0</v>
      </c>
      <c r="O65" s="265" t="s">
        <v>369</v>
      </c>
      <c r="P65" s="265" t="s">
        <v>77</v>
      </c>
      <c r="Q65" s="265" t="s">
        <v>1436</v>
      </c>
      <c r="R65" s="265">
        <v>0</v>
      </c>
      <c r="S65" s="265" t="s">
        <v>1437</v>
      </c>
      <c r="T65" s="348">
        <v>57.54</v>
      </c>
      <c r="U65" s="265">
        <v>0</v>
      </c>
      <c r="V65" s="348">
        <v>57.54</v>
      </c>
      <c r="W65" s="348">
        <v>3.36</v>
      </c>
    </row>
    <row r="66" spans="1:23" s="17" customFormat="1" ht="15.75" customHeight="1">
      <c r="A66" s="5" t="str">
        <f>IF(K66&gt;0,COUNT($A$7:A65)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6" s="579"/>
      <c r="C66" s="580"/>
      <c r="D66" s="106" t="s">
        <v>1438</v>
      </c>
      <c r="E66" s="106">
        <v>100027252</v>
      </c>
      <c r="F66" s="55" t="s">
        <v>1439</v>
      </c>
      <c r="G66" s="106">
        <v>60</v>
      </c>
      <c r="H66" s="106">
        <v>1071</v>
      </c>
      <c r="I66" s="128">
        <f>_xlfn.XLOOKUP(E66,'All Products'!D:D,'All Products'!H:H)</f>
        <v>46.3</v>
      </c>
      <c r="J66" s="133">
        <f>ROUNDUP(I66*Order_Quote!$L$13,2)</f>
        <v>231.5</v>
      </c>
      <c r="K66" s="76"/>
      <c r="L66" s="79"/>
      <c r="M66" s="107">
        <f t="shared" si="1"/>
        <v>0</v>
      </c>
      <c r="O66" s="265" t="s">
        <v>369</v>
      </c>
      <c r="P66" s="265" t="s">
        <v>77</v>
      </c>
      <c r="Q66" s="265" t="s">
        <v>1440</v>
      </c>
      <c r="R66" s="265">
        <v>0</v>
      </c>
      <c r="S66" s="265" t="s">
        <v>1441</v>
      </c>
      <c r="T66" s="348">
        <v>63.05</v>
      </c>
      <c r="U66" s="265">
        <v>0</v>
      </c>
      <c r="V66" s="348">
        <v>63.05</v>
      </c>
      <c r="W66" s="348">
        <v>3.36</v>
      </c>
    </row>
    <row r="67" spans="1:23" s="17" customFormat="1" ht="15.75" customHeight="1">
      <c r="A67" s="5" t="str">
        <f>IF(K67&gt;0,COUNT($A$7:A66)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7" s="581"/>
      <c r="C67" s="582"/>
      <c r="D67" s="106" t="s">
        <v>1442</v>
      </c>
      <c r="E67" s="106">
        <v>100027253</v>
      </c>
      <c r="F67" s="55" t="s">
        <v>1443</v>
      </c>
      <c r="G67" s="106">
        <v>40</v>
      </c>
      <c r="H67" s="106">
        <v>670</v>
      </c>
      <c r="I67" s="128">
        <f>_xlfn.XLOOKUP(E67,'All Products'!D:D,'All Products'!H:H)</f>
        <v>57.07</v>
      </c>
      <c r="J67" s="133">
        <f>ROUNDUP(I67*Order_Quote!$L$13,2)</f>
        <v>285.35000000000002</v>
      </c>
      <c r="K67" s="76"/>
      <c r="L67" s="79"/>
      <c r="M67" s="107">
        <f t="shared" si="1"/>
        <v>0</v>
      </c>
      <c r="O67" s="265" t="s">
        <v>1206</v>
      </c>
      <c r="P67" s="265" t="s">
        <v>77</v>
      </c>
      <c r="Q67" s="265" t="s">
        <v>1444</v>
      </c>
      <c r="R67" s="265">
        <v>0</v>
      </c>
      <c r="S67" s="265" t="s">
        <v>1445</v>
      </c>
      <c r="T67" s="348">
        <v>64.73</v>
      </c>
      <c r="U67" s="265">
        <v>0</v>
      </c>
      <c r="V67" s="348">
        <v>64.73</v>
      </c>
      <c r="W67" s="348">
        <v>3.58</v>
      </c>
    </row>
    <row r="68" spans="1:23" s="17" customFormat="1" ht="22.5" customHeight="1">
      <c r="A68" s="5" t="str">
        <f>IF(K68&gt;0,COUNT($A$7:A67)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8" s="577"/>
      <c r="C68" s="578"/>
      <c r="D68" s="106" t="s">
        <v>1446</v>
      </c>
      <c r="E68" s="106">
        <v>100027254</v>
      </c>
      <c r="F68" s="55" t="s">
        <v>1447</v>
      </c>
      <c r="G68" s="106">
        <v>64</v>
      </c>
      <c r="H68" s="106">
        <v>1600</v>
      </c>
      <c r="I68" s="128">
        <f>_xlfn.XLOOKUP(E68,'All Products'!D:D,'All Products'!H:H)</f>
        <v>59.57</v>
      </c>
      <c r="J68" s="133">
        <f>ROUNDUP(I68*Order_Quote!$L$13,2)</f>
        <v>297.85000000000002</v>
      </c>
      <c r="K68" s="76"/>
      <c r="L68" s="79"/>
      <c r="M68" s="107">
        <f t="shared" si="1"/>
        <v>0</v>
      </c>
      <c r="O68" s="265" t="s">
        <v>1351</v>
      </c>
      <c r="P68" s="265" t="s">
        <v>77</v>
      </c>
      <c r="Q68" s="265" t="s">
        <v>1448</v>
      </c>
      <c r="R68" s="265">
        <v>0</v>
      </c>
      <c r="S68" s="265" t="s">
        <v>1449</v>
      </c>
      <c r="T68" s="348">
        <v>29.77</v>
      </c>
      <c r="U68" s="265">
        <v>0</v>
      </c>
      <c r="V68" s="348">
        <v>29.77</v>
      </c>
      <c r="W68" s="348">
        <v>2.4</v>
      </c>
    </row>
    <row r="69" spans="1:23" s="17" customFormat="1" ht="22.5" customHeight="1">
      <c r="A69" s="5" t="str">
        <f>IF(K69&gt;0,COUNT($A$7:A68)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69" s="579"/>
      <c r="C69" s="580"/>
      <c r="D69" s="106" t="s">
        <v>1450</v>
      </c>
      <c r="E69" s="106">
        <v>100027255</v>
      </c>
      <c r="F69" s="55" t="s">
        <v>1451</v>
      </c>
      <c r="G69" s="106">
        <v>30</v>
      </c>
      <c r="H69" s="106">
        <v>625</v>
      </c>
      <c r="I69" s="128">
        <f>_xlfn.XLOOKUP(E69,'All Products'!D:D,'All Products'!H:H)</f>
        <v>74.03</v>
      </c>
      <c r="J69" s="133">
        <f>ROUNDUP(I69*Order_Quote!$L$13,2)</f>
        <v>370.15</v>
      </c>
      <c r="K69" s="76"/>
      <c r="L69" s="79"/>
      <c r="M69" s="107">
        <f t="shared" si="1"/>
        <v>0</v>
      </c>
      <c r="O69" s="265" t="s">
        <v>369</v>
      </c>
      <c r="P69" s="265" t="s">
        <v>77</v>
      </c>
      <c r="Q69" s="265" t="s">
        <v>1452</v>
      </c>
      <c r="R69" s="265">
        <v>0</v>
      </c>
      <c r="S69" s="265" t="s">
        <v>1453</v>
      </c>
      <c r="T69" s="348">
        <v>33.1</v>
      </c>
      <c r="U69" s="265">
        <v>0</v>
      </c>
      <c r="V69" s="348">
        <v>33.1</v>
      </c>
      <c r="W69" s="348">
        <v>2.88</v>
      </c>
    </row>
    <row r="70" spans="1:23" s="17" customFormat="1" ht="22.5" customHeight="1">
      <c r="A70" s="5" t="str">
        <f>IF(K70&gt;0,COUNT($A$7:A69)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0" s="579"/>
      <c r="C70" s="580"/>
      <c r="D70" s="106" t="s">
        <v>1454</v>
      </c>
      <c r="E70" s="106">
        <v>100027256</v>
      </c>
      <c r="F70" s="55" t="s">
        <v>1455</v>
      </c>
      <c r="G70" s="106">
        <v>30</v>
      </c>
      <c r="H70" s="106">
        <v>625</v>
      </c>
      <c r="I70" s="128">
        <f>_xlfn.XLOOKUP(E70,'All Products'!D:D,'All Products'!H:H)</f>
        <v>91.76</v>
      </c>
      <c r="J70" s="133">
        <f>ROUNDUP(I70*Order_Quote!$L$13,2)</f>
        <v>458.8</v>
      </c>
      <c r="K70" s="76"/>
      <c r="L70" s="79"/>
      <c r="M70" s="107">
        <f t="shared" si="1"/>
        <v>0</v>
      </c>
      <c r="O70" s="265" t="s">
        <v>369</v>
      </c>
      <c r="P70" s="265" t="s">
        <v>77</v>
      </c>
      <c r="Q70" s="265" t="s">
        <v>1456</v>
      </c>
      <c r="R70" s="265">
        <v>0</v>
      </c>
      <c r="S70" s="265" t="s">
        <v>1457</v>
      </c>
      <c r="T70" s="348">
        <v>30.89</v>
      </c>
      <c r="U70" s="265">
        <v>0</v>
      </c>
      <c r="V70" s="348">
        <v>30.89</v>
      </c>
      <c r="W70" s="348">
        <v>2.88</v>
      </c>
    </row>
    <row r="71" spans="1:23" s="17" customFormat="1" ht="22.5" customHeight="1">
      <c r="A71" s="5" t="str">
        <f>IF(K71&gt;0,COUNT($A$7:A70)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1" s="581"/>
      <c r="C71" s="582"/>
      <c r="D71" s="106" t="s">
        <v>1458</v>
      </c>
      <c r="E71" s="106">
        <v>100027257</v>
      </c>
      <c r="F71" s="55" t="s">
        <v>1459</v>
      </c>
      <c r="G71" s="106">
        <v>24</v>
      </c>
      <c r="H71" s="106">
        <v>429</v>
      </c>
      <c r="I71" s="128">
        <f>_xlfn.XLOOKUP(E71,'All Products'!D:D,'All Products'!H:H)</f>
        <v>92.37</v>
      </c>
      <c r="J71" s="133">
        <f>ROUNDUP(I71*Order_Quote!$L$13,2)</f>
        <v>461.85</v>
      </c>
      <c r="K71" s="76"/>
      <c r="L71" s="79"/>
      <c r="M71" s="107">
        <f t="shared" ref="M71:M102" si="2">K71/G71</f>
        <v>0</v>
      </c>
      <c r="O71" s="265" t="s">
        <v>369</v>
      </c>
      <c r="P71" s="265" t="s">
        <v>77</v>
      </c>
      <c r="Q71" s="265" t="s">
        <v>1460</v>
      </c>
      <c r="R71" s="265">
        <v>0</v>
      </c>
      <c r="S71" s="265" t="s">
        <v>1461</v>
      </c>
      <c r="T71" s="348">
        <v>39.25</v>
      </c>
      <c r="U71" s="265">
        <v>0</v>
      </c>
      <c r="V71" s="348">
        <v>39.25</v>
      </c>
      <c r="W71" s="348">
        <v>3.36</v>
      </c>
    </row>
    <row r="72" spans="1:23" s="17" customFormat="1" ht="45" customHeight="1">
      <c r="A72" s="5" t="str">
        <f>IF(K72&gt;0,COUNT($A$7:A71)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2" s="577"/>
      <c r="C72" s="578"/>
      <c r="D72" s="106" t="s">
        <v>1462</v>
      </c>
      <c r="E72" s="106">
        <v>100027247</v>
      </c>
      <c r="F72" s="55" t="s">
        <v>1463</v>
      </c>
      <c r="G72" s="106">
        <v>8</v>
      </c>
      <c r="H72" s="106">
        <v>150</v>
      </c>
      <c r="I72" s="128">
        <f>_xlfn.XLOOKUP(E72,'All Products'!D:D,'All Products'!H:H)</f>
        <v>237.85</v>
      </c>
      <c r="J72" s="133">
        <f>ROUNDUP(I72*Order_Quote!$L$13,2)</f>
        <v>1189.25</v>
      </c>
      <c r="K72" s="76"/>
      <c r="L72" s="79"/>
      <c r="M72" s="107">
        <f t="shared" si="2"/>
        <v>0</v>
      </c>
      <c r="O72" s="265" t="s">
        <v>1206</v>
      </c>
      <c r="P72" s="265" t="s">
        <v>77</v>
      </c>
      <c r="Q72" s="265" t="s">
        <v>1464</v>
      </c>
      <c r="R72" s="265">
        <v>0</v>
      </c>
      <c r="S72" s="265" t="s">
        <v>1465</v>
      </c>
      <c r="T72" s="348">
        <v>36.64</v>
      </c>
      <c r="U72" s="265">
        <v>0</v>
      </c>
      <c r="V72" s="348">
        <v>36.64</v>
      </c>
      <c r="W72" s="348">
        <v>3.2</v>
      </c>
    </row>
    <row r="73" spans="1:23" s="17" customFormat="1" ht="45" customHeight="1">
      <c r="A73" s="5" t="str">
        <f>IF(K73&gt;0,COUNT($A$7:A72)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3" s="581"/>
      <c r="C73" s="582"/>
      <c r="D73" s="106" t="s">
        <v>1466</v>
      </c>
      <c r="E73" s="106">
        <v>100027248</v>
      </c>
      <c r="F73" s="55" t="s">
        <v>1467</v>
      </c>
      <c r="G73" s="106">
        <v>6</v>
      </c>
      <c r="H73" s="106">
        <v>106</v>
      </c>
      <c r="I73" s="128">
        <f>_xlfn.XLOOKUP(E73,'All Products'!D:D,'All Products'!H:H)</f>
        <v>309.87</v>
      </c>
      <c r="J73" s="133">
        <f>ROUNDUP(I73*Order_Quote!$L$13,2)</f>
        <v>1549.35</v>
      </c>
      <c r="K73" s="76"/>
      <c r="L73" s="79"/>
      <c r="M73" s="107">
        <f t="shared" si="2"/>
        <v>0</v>
      </c>
      <c r="O73" s="265" t="s">
        <v>1206</v>
      </c>
      <c r="P73" s="265" t="s">
        <v>77</v>
      </c>
      <c r="Q73" s="265" t="s">
        <v>1468</v>
      </c>
      <c r="R73" s="265">
        <v>0</v>
      </c>
      <c r="S73" s="265" t="s">
        <v>1469</v>
      </c>
      <c r="T73" s="348">
        <v>36.380000000000003</v>
      </c>
      <c r="U73" s="265">
        <v>0</v>
      </c>
      <c r="V73" s="348">
        <v>36.380000000000003</v>
      </c>
      <c r="W73" s="348">
        <v>3.4</v>
      </c>
    </row>
    <row r="74" spans="1:23" s="17" customFormat="1">
      <c r="A74" s="5" t="str">
        <f>IF(K74&gt;0,COUNT($A$7:A73)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4" s="577"/>
      <c r="C74" s="578"/>
      <c r="D74" s="106" t="s">
        <v>1470</v>
      </c>
      <c r="E74" s="106">
        <v>100027293</v>
      </c>
      <c r="F74" s="55" t="s">
        <v>1471</v>
      </c>
      <c r="G74" s="106">
        <v>48</v>
      </c>
      <c r="H74" s="106">
        <v>3789</v>
      </c>
      <c r="I74" s="128">
        <f>_xlfn.XLOOKUP(E74,'All Products'!D:D,'All Products'!H:H)</f>
        <v>36.6</v>
      </c>
      <c r="J74" s="133">
        <f>ROUNDUP(I74*Order_Quote!$L$13,2)</f>
        <v>183</v>
      </c>
      <c r="K74" s="76"/>
      <c r="L74" s="79"/>
      <c r="M74" s="107">
        <f t="shared" si="2"/>
        <v>0</v>
      </c>
      <c r="O74" s="265" t="s">
        <v>1206</v>
      </c>
      <c r="P74" s="265" t="s">
        <v>77</v>
      </c>
      <c r="Q74" s="265" t="s">
        <v>1472</v>
      </c>
      <c r="R74" s="265">
        <v>0</v>
      </c>
      <c r="S74" s="265" t="s">
        <v>1473</v>
      </c>
      <c r="T74" s="348">
        <v>15.99</v>
      </c>
      <c r="U74" s="265">
        <v>0</v>
      </c>
      <c r="V74" s="348">
        <v>15.99</v>
      </c>
      <c r="W74" s="348">
        <v>0.76</v>
      </c>
    </row>
    <row r="75" spans="1:23" s="17" customFormat="1">
      <c r="A75" s="5" t="str">
        <f>IF(K75&gt;0,COUNT($A$7:A74)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5" s="579"/>
      <c r="C75" s="580"/>
      <c r="D75" s="106" t="s">
        <v>1474</v>
      </c>
      <c r="E75" s="106">
        <v>100027294</v>
      </c>
      <c r="F75" s="55" t="s">
        <v>1475</v>
      </c>
      <c r="G75" s="106">
        <v>36</v>
      </c>
      <c r="H75" s="106">
        <v>2182</v>
      </c>
      <c r="I75" s="128">
        <f>_xlfn.XLOOKUP(E75,'All Products'!D:D,'All Products'!H:H)</f>
        <v>43.77</v>
      </c>
      <c r="J75" s="133">
        <f>ROUNDUP(I75*Order_Quote!$L$13,2)</f>
        <v>218.85</v>
      </c>
      <c r="K75" s="76"/>
      <c r="L75" s="79"/>
      <c r="M75" s="107">
        <f t="shared" si="2"/>
        <v>0</v>
      </c>
      <c r="O75" s="265" t="s">
        <v>1351</v>
      </c>
      <c r="P75" s="265" t="s">
        <v>77</v>
      </c>
      <c r="Q75" s="265" t="s">
        <v>1476</v>
      </c>
      <c r="R75" s="265">
        <v>0</v>
      </c>
      <c r="S75" s="265" t="s">
        <v>1477</v>
      </c>
      <c r="T75" s="348">
        <v>19.61</v>
      </c>
      <c r="U75" s="265">
        <v>0</v>
      </c>
      <c r="V75" s="348">
        <v>19.61</v>
      </c>
      <c r="W75" s="348">
        <v>0.99</v>
      </c>
    </row>
    <row r="76" spans="1:23" s="17" customFormat="1">
      <c r="A76" s="5" t="str">
        <f>IF(K76&gt;0,COUNT($A$7:A75)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6" s="579"/>
      <c r="C76" s="580"/>
      <c r="D76" s="106" t="s">
        <v>1478</v>
      </c>
      <c r="E76" s="106">
        <v>100027295</v>
      </c>
      <c r="F76" s="55" t="s">
        <v>1479</v>
      </c>
      <c r="G76" s="106">
        <v>24</v>
      </c>
      <c r="H76" s="106">
        <v>1440</v>
      </c>
      <c r="I76" s="128">
        <f>_xlfn.XLOOKUP(E76,'All Products'!D:D,'All Products'!H:H)</f>
        <v>62.68</v>
      </c>
      <c r="J76" s="133">
        <f>ROUNDUP(I76*Order_Quote!$L$13,2)</f>
        <v>313.39999999999998</v>
      </c>
      <c r="K76" s="76"/>
      <c r="L76" s="79"/>
      <c r="M76" s="107">
        <f t="shared" si="2"/>
        <v>0</v>
      </c>
      <c r="O76" s="265" t="s">
        <v>369</v>
      </c>
      <c r="P76" s="265" t="s">
        <v>77</v>
      </c>
      <c r="Q76" s="265" t="s">
        <v>1480</v>
      </c>
      <c r="R76" s="265">
        <v>0</v>
      </c>
      <c r="S76" s="265" t="s">
        <v>1481</v>
      </c>
      <c r="T76" s="348">
        <v>19.55</v>
      </c>
      <c r="U76" s="265">
        <v>0</v>
      </c>
      <c r="V76" s="348">
        <v>19.55</v>
      </c>
      <c r="W76" s="348">
        <v>1</v>
      </c>
    </row>
    <row r="77" spans="1:23" s="17" customFormat="1">
      <c r="A77" s="5" t="str">
        <f>IF(K77&gt;0,COUNT($A$7:A76)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7" s="579"/>
      <c r="C77" s="580"/>
      <c r="D77" s="106" t="s">
        <v>1482</v>
      </c>
      <c r="E77" s="106">
        <v>100027296</v>
      </c>
      <c r="F77" s="55" t="s">
        <v>1483</v>
      </c>
      <c r="G77" s="106">
        <v>24</v>
      </c>
      <c r="H77" s="106">
        <v>993</v>
      </c>
      <c r="I77" s="128">
        <f>_xlfn.XLOOKUP(E77,'All Products'!D:D,'All Products'!H:H)</f>
        <v>89.2</v>
      </c>
      <c r="J77" s="133">
        <f>ROUNDUP(I77*Order_Quote!$L$13,2)</f>
        <v>446</v>
      </c>
      <c r="K77" s="76"/>
      <c r="L77" s="79"/>
      <c r="M77" s="107">
        <f t="shared" si="2"/>
        <v>0</v>
      </c>
      <c r="O77" s="265" t="s">
        <v>369</v>
      </c>
      <c r="P77" s="265" t="s">
        <v>77</v>
      </c>
      <c r="Q77" s="265" t="s">
        <v>1484</v>
      </c>
      <c r="R77" s="265">
        <v>0</v>
      </c>
      <c r="S77" s="265" t="s">
        <v>1485</v>
      </c>
      <c r="T77" s="348">
        <v>29.98</v>
      </c>
      <c r="U77" s="265">
        <v>0</v>
      </c>
      <c r="V77" s="348">
        <v>29.98</v>
      </c>
      <c r="W77" s="348">
        <v>1.45</v>
      </c>
    </row>
    <row r="78" spans="1:23" s="17" customFormat="1">
      <c r="A78" s="5" t="str">
        <f>IF(K78&gt;0,COUNT($A$7:A77)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8" s="579"/>
      <c r="C78" s="580"/>
      <c r="D78" s="106" t="s">
        <v>1486</v>
      </c>
      <c r="E78" s="106">
        <v>100027297</v>
      </c>
      <c r="F78" s="55" t="s">
        <v>1487</v>
      </c>
      <c r="G78" s="106">
        <v>24</v>
      </c>
      <c r="H78" s="106">
        <v>667</v>
      </c>
      <c r="I78" s="128">
        <f>_xlfn.XLOOKUP(E78,'All Products'!D:D,'All Products'!H:H)</f>
        <v>125.5</v>
      </c>
      <c r="J78" s="133">
        <f>ROUNDUP(I78*Order_Quote!$L$13,2)</f>
        <v>627.5</v>
      </c>
      <c r="K78" s="76"/>
      <c r="L78" s="79"/>
      <c r="M78" s="107">
        <f t="shared" si="2"/>
        <v>0</v>
      </c>
      <c r="O78" s="265" t="s">
        <v>369</v>
      </c>
      <c r="P78" s="265" t="s">
        <v>77</v>
      </c>
      <c r="Q78" s="265" t="s">
        <v>1488</v>
      </c>
      <c r="R78" s="265">
        <v>0</v>
      </c>
      <c r="S78" s="265" t="s">
        <v>1489</v>
      </c>
      <c r="T78" s="348">
        <v>44</v>
      </c>
      <c r="U78" s="265">
        <v>0</v>
      </c>
      <c r="V78" s="348">
        <v>44</v>
      </c>
      <c r="W78" s="348">
        <v>2.16</v>
      </c>
    </row>
    <row r="79" spans="1:23" s="17" customFormat="1">
      <c r="A79" s="5" t="str">
        <f>IF(K79&gt;0,COUNT($A$7:A78)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79" s="581"/>
      <c r="C79" s="582"/>
      <c r="D79" s="106" t="s">
        <v>1490</v>
      </c>
      <c r="E79" s="106">
        <v>100027298</v>
      </c>
      <c r="F79" s="55" t="s">
        <v>1491</v>
      </c>
      <c r="G79" s="106">
        <v>12</v>
      </c>
      <c r="H79" s="106">
        <v>360</v>
      </c>
      <c r="I79" s="128">
        <f>_xlfn.XLOOKUP(E79,'All Products'!D:D,'All Products'!H:H)</f>
        <v>167.56</v>
      </c>
      <c r="J79" s="133">
        <f>ROUNDUP(I79*Order_Quote!$L$13,2)</f>
        <v>837.8</v>
      </c>
      <c r="K79" s="76"/>
      <c r="L79" s="79"/>
      <c r="M79" s="107">
        <f t="shared" si="2"/>
        <v>0</v>
      </c>
      <c r="O79" s="265" t="s">
        <v>369</v>
      </c>
      <c r="P79" s="265" t="s">
        <v>77</v>
      </c>
      <c r="Q79" s="265" t="s">
        <v>1492</v>
      </c>
      <c r="R79" s="265">
        <v>0</v>
      </c>
      <c r="S79" s="265" t="s">
        <v>1493</v>
      </c>
      <c r="T79" s="348">
        <v>39.93</v>
      </c>
      <c r="U79" s="265">
        <v>0</v>
      </c>
      <c r="V79" s="348">
        <v>39.93</v>
      </c>
      <c r="W79" s="348">
        <v>2</v>
      </c>
    </row>
    <row r="80" spans="1:23" s="17" customFormat="1">
      <c r="A80" s="5" t="str">
        <f>IF(K80&gt;0,COUNT($A$7:A79)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0" s="577"/>
      <c r="C80" s="578"/>
      <c r="D80" s="106" t="s">
        <v>1494</v>
      </c>
      <c r="E80" s="106">
        <v>100027258</v>
      </c>
      <c r="F80" s="55" t="s">
        <v>1495</v>
      </c>
      <c r="G80" s="106">
        <v>48</v>
      </c>
      <c r="H80" s="106">
        <v>3789</v>
      </c>
      <c r="I80" s="128">
        <f>_xlfn.XLOOKUP(E80,'All Products'!D:D,'All Products'!H:H)</f>
        <v>36.6</v>
      </c>
      <c r="J80" s="133">
        <f>ROUNDUP(I80*Order_Quote!$L$13,2)</f>
        <v>183</v>
      </c>
      <c r="K80" s="76"/>
      <c r="L80" s="79"/>
      <c r="M80" s="107">
        <f t="shared" si="2"/>
        <v>0</v>
      </c>
      <c r="O80" s="265" t="s">
        <v>369</v>
      </c>
      <c r="P80" s="265" t="s">
        <v>77</v>
      </c>
      <c r="Q80" s="265" t="s">
        <v>1496</v>
      </c>
      <c r="R80" s="265">
        <v>0</v>
      </c>
      <c r="S80" s="265" t="s">
        <v>1497</v>
      </c>
      <c r="T80" s="348">
        <v>15.99</v>
      </c>
      <c r="U80" s="265">
        <v>0</v>
      </c>
      <c r="V80" s="348">
        <v>15.99</v>
      </c>
      <c r="W80" s="348">
        <v>0.76</v>
      </c>
    </row>
    <row r="81" spans="1:23" s="17" customFormat="1">
      <c r="A81" s="5" t="str">
        <f>IF(K81&gt;0,COUNT($A$7:A80)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1" s="579"/>
      <c r="C81" s="580"/>
      <c r="D81" s="106" t="s">
        <v>1498</v>
      </c>
      <c r="E81" s="106">
        <v>100027259</v>
      </c>
      <c r="F81" s="55" t="s">
        <v>1499</v>
      </c>
      <c r="G81" s="106">
        <v>36</v>
      </c>
      <c r="H81" s="106">
        <v>2182</v>
      </c>
      <c r="I81" s="128">
        <f>_xlfn.XLOOKUP(E81,'All Products'!D:D,'All Products'!H:H)</f>
        <v>43.77</v>
      </c>
      <c r="J81" s="133">
        <f>ROUNDUP(I81*Order_Quote!$L$13,2)</f>
        <v>218.85</v>
      </c>
      <c r="K81" s="76"/>
      <c r="L81" s="79"/>
      <c r="M81" s="107">
        <f t="shared" si="2"/>
        <v>0</v>
      </c>
      <c r="O81" s="265" t="s">
        <v>369</v>
      </c>
      <c r="P81" s="265" t="s">
        <v>77</v>
      </c>
      <c r="Q81" s="265" t="s">
        <v>1500</v>
      </c>
      <c r="R81" s="265">
        <v>0</v>
      </c>
      <c r="S81" s="265" t="s">
        <v>1501</v>
      </c>
      <c r="T81" s="348">
        <v>19.670000000000002</v>
      </c>
      <c r="U81" s="265">
        <v>0</v>
      </c>
      <c r="V81" s="348">
        <v>19.670000000000002</v>
      </c>
      <c r="W81" s="348">
        <v>0.99</v>
      </c>
    </row>
    <row r="82" spans="1:23" s="17" customFormat="1">
      <c r="A82" s="5" t="str">
        <f>IF(K82&gt;0,COUNT($A$7:A81)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2" s="579"/>
      <c r="C82" s="580"/>
      <c r="D82" s="106" t="s">
        <v>1502</v>
      </c>
      <c r="E82" s="106">
        <v>100027260</v>
      </c>
      <c r="F82" s="55" t="s">
        <v>1503</v>
      </c>
      <c r="G82" s="106">
        <v>24</v>
      </c>
      <c r="H82" s="106">
        <v>1440</v>
      </c>
      <c r="I82" s="128">
        <f>_xlfn.XLOOKUP(E82,'All Products'!D:D,'All Products'!H:H)</f>
        <v>62.68</v>
      </c>
      <c r="J82" s="133">
        <f>ROUNDUP(I82*Order_Quote!$L$13,2)</f>
        <v>313.39999999999998</v>
      </c>
      <c r="K82" s="76"/>
      <c r="L82" s="79"/>
      <c r="M82" s="107">
        <f t="shared" si="2"/>
        <v>0</v>
      </c>
      <c r="O82" s="265" t="s">
        <v>1351</v>
      </c>
      <c r="P82" s="265" t="s">
        <v>77</v>
      </c>
      <c r="Q82" s="265" t="s">
        <v>1504</v>
      </c>
      <c r="R82" s="265">
        <v>0</v>
      </c>
      <c r="S82" s="265" t="s">
        <v>1505</v>
      </c>
      <c r="T82" s="348">
        <v>19.54</v>
      </c>
      <c r="U82" s="265">
        <v>0</v>
      </c>
      <c r="V82" s="348">
        <v>19.54</v>
      </c>
      <c r="W82" s="348">
        <v>1</v>
      </c>
    </row>
    <row r="83" spans="1:23" s="17" customFormat="1">
      <c r="A83" s="5" t="str">
        <f>IF(K83&gt;0,COUNT($A$7:A82)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3" s="579"/>
      <c r="C83" s="580"/>
      <c r="D83" s="106" t="s">
        <v>1506</v>
      </c>
      <c r="E83" s="106">
        <v>100027261</v>
      </c>
      <c r="F83" s="55" t="s">
        <v>1507</v>
      </c>
      <c r="G83" s="106">
        <v>24</v>
      </c>
      <c r="H83" s="106">
        <v>993</v>
      </c>
      <c r="I83" s="128">
        <f>_xlfn.XLOOKUP(E83,'All Products'!D:D,'All Products'!H:H)</f>
        <v>89.2</v>
      </c>
      <c r="J83" s="133">
        <f>ROUNDUP(I83*Order_Quote!$L$13,2)</f>
        <v>446</v>
      </c>
      <c r="K83" s="76"/>
      <c r="L83" s="79"/>
      <c r="M83" s="107">
        <f t="shared" si="2"/>
        <v>0</v>
      </c>
      <c r="O83" s="265" t="s">
        <v>369</v>
      </c>
      <c r="P83" s="265" t="s">
        <v>77</v>
      </c>
      <c r="Q83" s="265" t="s">
        <v>1508</v>
      </c>
      <c r="R83" s="265">
        <v>0</v>
      </c>
      <c r="S83" s="265" t="s">
        <v>1509</v>
      </c>
      <c r="T83" s="348">
        <v>29.2</v>
      </c>
      <c r="U83" s="265">
        <v>0</v>
      </c>
      <c r="V83" s="348">
        <v>29.2</v>
      </c>
      <c r="W83" s="348">
        <v>1.45</v>
      </c>
    </row>
    <row r="84" spans="1:23" s="17" customFormat="1">
      <c r="A84" s="5" t="str">
        <f>IF(K84&gt;0,COUNT($A$7:A83)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4" s="579"/>
      <c r="C84" s="580"/>
      <c r="D84" s="106" t="s">
        <v>1510</v>
      </c>
      <c r="E84" s="106">
        <v>100027262</v>
      </c>
      <c r="F84" s="55" t="s">
        <v>1511</v>
      </c>
      <c r="G84" s="106">
        <v>24</v>
      </c>
      <c r="H84" s="106">
        <v>667</v>
      </c>
      <c r="I84" s="128">
        <f>_xlfn.XLOOKUP(E84,'All Products'!D:D,'All Products'!H:H)</f>
        <v>125.5</v>
      </c>
      <c r="J84" s="133">
        <f>ROUNDUP(I84*Order_Quote!$L$13,2)</f>
        <v>627.5</v>
      </c>
      <c r="K84" s="76"/>
      <c r="L84" s="79"/>
      <c r="M84" s="107">
        <f t="shared" si="2"/>
        <v>0</v>
      </c>
      <c r="O84" s="265" t="s">
        <v>369</v>
      </c>
      <c r="P84" s="265" t="s">
        <v>77</v>
      </c>
      <c r="Q84" s="265" t="s">
        <v>1512</v>
      </c>
      <c r="R84" s="265">
        <v>0</v>
      </c>
      <c r="S84" s="265" t="s">
        <v>1513</v>
      </c>
      <c r="T84" s="348">
        <v>43.52</v>
      </c>
      <c r="U84" s="265">
        <v>0</v>
      </c>
      <c r="V84" s="348">
        <v>43.52</v>
      </c>
      <c r="W84" s="348">
        <v>2.16</v>
      </c>
    </row>
    <row r="85" spans="1:23" s="17" customFormat="1">
      <c r="A85" s="5" t="str">
        <f>IF(K85&gt;0,COUNT($A$7:A84)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5" s="581"/>
      <c r="C85" s="582"/>
      <c r="D85" s="106" t="s">
        <v>1514</v>
      </c>
      <c r="E85" s="106">
        <v>100027263</v>
      </c>
      <c r="F85" s="55" t="s">
        <v>1515</v>
      </c>
      <c r="G85" s="106">
        <v>12</v>
      </c>
      <c r="H85" s="106">
        <v>360</v>
      </c>
      <c r="I85" s="128">
        <f>_xlfn.XLOOKUP(E85,'All Products'!D:D,'All Products'!H:H)</f>
        <v>167.56</v>
      </c>
      <c r="J85" s="133">
        <f>ROUNDUP(I85*Order_Quote!$L$13,2)</f>
        <v>837.8</v>
      </c>
      <c r="K85" s="76"/>
      <c r="L85" s="79"/>
      <c r="M85" s="107">
        <f t="shared" si="2"/>
        <v>0</v>
      </c>
      <c r="O85" s="265" t="s">
        <v>369</v>
      </c>
      <c r="P85" s="265" t="s">
        <v>77</v>
      </c>
      <c r="Q85" s="265" t="s">
        <v>1516</v>
      </c>
      <c r="R85" s="265">
        <v>0</v>
      </c>
      <c r="S85" s="265" t="s">
        <v>1517</v>
      </c>
      <c r="T85" s="348">
        <v>38.71</v>
      </c>
      <c r="U85" s="265">
        <v>0</v>
      </c>
      <c r="V85" s="348">
        <v>38.71</v>
      </c>
      <c r="W85" s="348">
        <v>2</v>
      </c>
    </row>
    <row r="86" spans="1:23" s="17" customFormat="1" ht="48" customHeight="1">
      <c r="A86" s="5" t="str">
        <f>IF(K86&gt;0,COUNT($A$7:A85)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6" s="577"/>
      <c r="C86" s="578"/>
      <c r="D86" s="106" t="s">
        <v>1518</v>
      </c>
      <c r="E86" s="106">
        <v>100027223</v>
      </c>
      <c r="F86" s="55" t="s">
        <v>1519</v>
      </c>
      <c r="G86" s="106">
        <v>48</v>
      </c>
      <c r="H86" s="106">
        <v>911</v>
      </c>
      <c r="I86" s="128">
        <f>_xlfn.XLOOKUP(E86,'All Products'!D:D,'All Products'!H:H)</f>
        <v>55.94</v>
      </c>
      <c r="J86" s="133">
        <f>ROUNDUP(I86*Order_Quote!$L$13,2)</f>
        <v>279.7</v>
      </c>
      <c r="K86" s="76"/>
      <c r="L86" s="79"/>
      <c r="M86" s="107">
        <f t="shared" si="2"/>
        <v>0</v>
      </c>
      <c r="O86" s="265" t="s">
        <v>1206</v>
      </c>
      <c r="P86" s="265" t="s">
        <v>77</v>
      </c>
      <c r="Q86" s="265" t="s">
        <v>1520</v>
      </c>
      <c r="R86" s="265">
        <v>0</v>
      </c>
      <c r="S86" s="265" t="s">
        <v>1521</v>
      </c>
      <c r="T86" s="348">
        <v>53.79</v>
      </c>
      <c r="U86" s="265">
        <v>0</v>
      </c>
      <c r="V86" s="348">
        <v>53.79</v>
      </c>
      <c r="W86" s="348">
        <v>3.16</v>
      </c>
    </row>
    <row r="87" spans="1:23" s="17" customFormat="1" ht="48" customHeight="1">
      <c r="A87" s="5" t="str">
        <f>IF(K87&gt;0,COUNT($A$7:A86)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7" s="581"/>
      <c r="C87" s="582"/>
      <c r="D87" s="106" t="s">
        <v>1522</v>
      </c>
      <c r="E87" s="106">
        <v>100027224</v>
      </c>
      <c r="F87" s="55" t="s">
        <v>1523</v>
      </c>
      <c r="G87" s="106">
        <v>24</v>
      </c>
      <c r="H87" s="106">
        <v>503</v>
      </c>
      <c r="I87" s="128">
        <f>_xlfn.XLOOKUP(E87,'All Products'!D:D,'All Products'!H:H)</f>
        <v>76.39</v>
      </c>
      <c r="J87" s="133">
        <f>ROUNDUP(I87*Order_Quote!$L$13,2)</f>
        <v>381.95</v>
      </c>
      <c r="K87" s="76"/>
      <c r="L87" s="79"/>
      <c r="M87" s="107">
        <f t="shared" si="2"/>
        <v>0</v>
      </c>
      <c r="O87" s="265" t="s">
        <v>1206</v>
      </c>
      <c r="P87" s="265" t="s">
        <v>77</v>
      </c>
      <c r="Q87" s="265" t="s">
        <v>1524</v>
      </c>
      <c r="R87" s="265">
        <v>0</v>
      </c>
      <c r="S87" s="265" t="s">
        <v>1525</v>
      </c>
      <c r="T87" s="348">
        <v>37.659999999999997</v>
      </c>
      <c r="U87" s="265">
        <v>0</v>
      </c>
      <c r="V87" s="348">
        <v>37.659999999999997</v>
      </c>
      <c r="W87" s="348">
        <v>2.86</v>
      </c>
    </row>
    <row r="88" spans="1:23" s="17" customFormat="1" ht="33" customHeight="1">
      <c r="A88" s="5" t="str">
        <f>IF(K88&gt;0,COUNT($A$7:A87)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8" s="577"/>
      <c r="C88" s="578"/>
      <c r="D88" s="106" t="s">
        <v>1526</v>
      </c>
      <c r="E88" s="106">
        <v>100027225</v>
      </c>
      <c r="F88" s="55" t="s">
        <v>1527</v>
      </c>
      <c r="G88" s="106">
        <v>48</v>
      </c>
      <c r="H88" s="106">
        <v>911</v>
      </c>
      <c r="I88" s="128">
        <f>_xlfn.XLOOKUP(E88,'All Products'!D:D,'All Products'!H:H)</f>
        <v>55.94</v>
      </c>
      <c r="J88" s="133">
        <f>ROUNDUP(I88*Order_Quote!$L$13,2)</f>
        <v>279.7</v>
      </c>
      <c r="K88" s="76"/>
      <c r="L88" s="79"/>
      <c r="M88" s="107">
        <f t="shared" si="2"/>
        <v>0</v>
      </c>
      <c r="O88" s="265" t="s">
        <v>369</v>
      </c>
      <c r="P88" s="265" t="s">
        <v>77</v>
      </c>
      <c r="Q88" s="265" t="s">
        <v>1528</v>
      </c>
      <c r="R88" s="265">
        <v>0</v>
      </c>
      <c r="S88" s="265" t="s">
        <v>1529</v>
      </c>
      <c r="T88" s="348">
        <v>54.11</v>
      </c>
      <c r="U88" s="265">
        <v>0</v>
      </c>
      <c r="V88" s="348">
        <v>54.11</v>
      </c>
      <c r="W88" s="348">
        <v>3.16</v>
      </c>
    </row>
    <row r="89" spans="1:23" s="17" customFormat="1" ht="33" customHeight="1">
      <c r="A89" s="5" t="str">
        <f>IF(K89&gt;0,COUNT($A$7:A88)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89" s="581"/>
      <c r="C89" s="582"/>
      <c r="D89" s="106" t="s">
        <v>1530</v>
      </c>
      <c r="E89" s="106">
        <v>100027226</v>
      </c>
      <c r="F89" s="55" t="s">
        <v>1531</v>
      </c>
      <c r="G89" s="106">
        <v>24</v>
      </c>
      <c r="H89" s="106">
        <v>503</v>
      </c>
      <c r="I89" s="128">
        <f>_xlfn.XLOOKUP(E89,'All Products'!D:D,'All Products'!H:H)</f>
        <v>76.39</v>
      </c>
      <c r="J89" s="133">
        <f>ROUNDUP(I89*Order_Quote!$L$13,2)</f>
        <v>381.95</v>
      </c>
      <c r="K89" s="76"/>
      <c r="L89" s="79"/>
      <c r="M89" s="107">
        <f t="shared" si="2"/>
        <v>0</v>
      </c>
      <c r="O89" s="265" t="s">
        <v>369</v>
      </c>
      <c r="P89" s="265" t="s">
        <v>77</v>
      </c>
      <c r="Q89" s="265" t="s">
        <v>1532</v>
      </c>
      <c r="R89" s="265">
        <v>0</v>
      </c>
      <c r="S89" s="265" t="s">
        <v>1533</v>
      </c>
      <c r="T89" s="348">
        <v>37.659999999999997</v>
      </c>
      <c r="U89" s="265">
        <v>0</v>
      </c>
      <c r="V89" s="348">
        <v>37.659999999999997</v>
      </c>
      <c r="W89" s="348">
        <v>2.86</v>
      </c>
    </row>
    <row r="90" spans="1:23" s="17" customFormat="1" ht="51" customHeight="1">
      <c r="A90" s="5" t="str">
        <f>IF(K90&gt;0,COUNT($A$7:A89)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0" s="583"/>
      <c r="C90" s="584"/>
      <c r="D90" s="106" t="s">
        <v>1534</v>
      </c>
      <c r="E90" s="106">
        <v>100027221</v>
      </c>
      <c r="F90" s="55" t="s">
        <v>1535</v>
      </c>
      <c r="G90" s="106">
        <v>24</v>
      </c>
      <c r="H90" s="106">
        <v>474</v>
      </c>
      <c r="I90" s="128">
        <f>_xlfn.XLOOKUP(E90,'All Products'!D:D,'All Products'!H:H)</f>
        <v>54.49</v>
      </c>
      <c r="J90" s="133">
        <f>ROUNDUP(I90*Order_Quote!$L$13,2)</f>
        <v>272.45</v>
      </c>
      <c r="K90" s="76"/>
      <c r="L90" s="79"/>
      <c r="M90" s="107">
        <f t="shared" si="2"/>
        <v>0</v>
      </c>
      <c r="O90" s="265" t="s">
        <v>369</v>
      </c>
      <c r="P90" s="265" t="s">
        <v>77</v>
      </c>
      <c r="Q90" s="265" t="s">
        <v>1536</v>
      </c>
      <c r="R90" s="265">
        <v>0</v>
      </c>
      <c r="S90" s="265" t="s">
        <v>1537</v>
      </c>
      <c r="T90" s="348">
        <v>39.93</v>
      </c>
      <c r="U90" s="265">
        <v>0</v>
      </c>
      <c r="V90" s="348">
        <v>39.93</v>
      </c>
      <c r="W90" s="348">
        <v>3.04</v>
      </c>
    </row>
    <row r="91" spans="1:23" s="17" customFormat="1" ht="51" customHeight="1">
      <c r="A91" s="5" t="str">
        <f>IF(K91&gt;0,COUNT($A$7:A90)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1" s="583"/>
      <c r="C91" s="584"/>
      <c r="D91" s="106" t="s">
        <v>1538</v>
      </c>
      <c r="E91" s="106">
        <v>100027222</v>
      </c>
      <c r="F91" s="55" t="s">
        <v>1539</v>
      </c>
      <c r="G91" s="106">
        <v>24</v>
      </c>
      <c r="H91" s="106">
        <v>474</v>
      </c>
      <c r="I91" s="128">
        <f>_xlfn.XLOOKUP(E91,'All Products'!D:D,'All Products'!H:H)</f>
        <v>54.49</v>
      </c>
      <c r="J91" s="133">
        <f>ROUNDUP(I91*Order_Quote!$L$13,2)</f>
        <v>272.45</v>
      </c>
      <c r="K91" s="76"/>
      <c r="L91" s="79"/>
      <c r="M91" s="107">
        <f t="shared" si="2"/>
        <v>0</v>
      </c>
      <c r="O91" s="265" t="s">
        <v>369</v>
      </c>
      <c r="P91" s="265" t="s">
        <v>77</v>
      </c>
      <c r="Q91" s="265" t="s">
        <v>1540</v>
      </c>
      <c r="R91" s="265">
        <v>0</v>
      </c>
      <c r="S91" s="265" t="s">
        <v>1541</v>
      </c>
      <c r="T91" s="348">
        <v>39.93</v>
      </c>
      <c r="U91" s="265">
        <v>0</v>
      </c>
      <c r="V91" s="348">
        <v>39.93</v>
      </c>
      <c r="W91" s="348">
        <v>3.04</v>
      </c>
    </row>
    <row r="92" spans="1:23" s="17" customFormat="1">
      <c r="A92" s="5" t="str">
        <f>IF(K92&gt;0,COUNT($A$7:A91)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2" s="577"/>
      <c r="C92" s="578"/>
      <c r="D92" s="106" t="s">
        <v>1542</v>
      </c>
      <c r="E92" s="106">
        <v>100027214</v>
      </c>
      <c r="F92" s="55" t="s">
        <v>1543</v>
      </c>
      <c r="G92" s="106">
        <v>10</v>
      </c>
      <c r="H92" s="106">
        <v>113</v>
      </c>
      <c r="I92" s="128">
        <f>_xlfn.XLOOKUP(E92,'All Products'!D:D,'All Products'!H:H)</f>
        <v>481.71</v>
      </c>
      <c r="J92" s="133">
        <f>ROUNDUP(I92*Order_Quote!$L$13,2)</f>
        <v>2408.5500000000002</v>
      </c>
      <c r="K92" s="76"/>
      <c r="L92" s="79"/>
      <c r="M92" s="107">
        <f t="shared" si="2"/>
        <v>0</v>
      </c>
      <c r="O92" s="265" t="s">
        <v>1206</v>
      </c>
      <c r="P92" s="265" t="s">
        <v>77</v>
      </c>
      <c r="Q92" s="265" t="s">
        <v>1544</v>
      </c>
      <c r="R92" s="265">
        <v>0</v>
      </c>
      <c r="S92" s="265" t="s">
        <v>1545</v>
      </c>
      <c r="T92" s="348">
        <v>17.850000000000001</v>
      </c>
      <c r="U92" s="265">
        <v>0</v>
      </c>
      <c r="V92" s="348">
        <v>17.850000000000001</v>
      </c>
      <c r="W92" s="348">
        <v>2.12</v>
      </c>
    </row>
    <row r="93" spans="1:23" s="17" customFormat="1">
      <c r="A93" s="5" t="str">
        <f>IF(K93&gt;0,COUNT($A$7:A92)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3" s="579"/>
      <c r="C93" s="580"/>
      <c r="D93" s="106" t="s">
        <v>1546</v>
      </c>
      <c r="E93" s="106">
        <v>100027215</v>
      </c>
      <c r="F93" s="55" t="s">
        <v>1547</v>
      </c>
      <c r="G93" s="106">
        <v>4</v>
      </c>
      <c r="H93" s="106">
        <v>99</v>
      </c>
      <c r="I93" s="128">
        <f>_xlfn.XLOOKUP(E93,'All Products'!D:D,'All Products'!H:H)</f>
        <v>540.87</v>
      </c>
      <c r="J93" s="133">
        <f>ROUNDUP(I93*Order_Quote!$L$13,2)</f>
        <v>2704.35</v>
      </c>
      <c r="K93" s="76"/>
      <c r="L93" s="79"/>
      <c r="M93" s="107">
        <f t="shared" si="2"/>
        <v>0</v>
      </c>
      <c r="O93" s="265" t="s">
        <v>369</v>
      </c>
      <c r="P93" s="265" t="s">
        <v>77</v>
      </c>
      <c r="Q93" s="265" t="s">
        <v>1548</v>
      </c>
      <c r="R93" s="265">
        <v>0</v>
      </c>
      <c r="S93" s="265" t="s">
        <v>1549</v>
      </c>
      <c r="T93" s="348">
        <v>21.05</v>
      </c>
      <c r="U93" s="265">
        <v>0</v>
      </c>
      <c r="V93" s="348">
        <v>21.05</v>
      </c>
      <c r="W93" s="348">
        <v>2.4300000000000002</v>
      </c>
    </row>
    <row r="94" spans="1:23" s="17" customFormat="1">
      <c r="A94" s="5" t="str">
        <f>IF(K94&gt;0,COUNT($A$7:A93)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4" s="579"/>
      <c r="C94" s="580"/>
      <c r="D94" s="106" t="s">
        <v>1550</v>
      </c>
      <c r="E94" s="106">
        <v>100027216</v>
      </c>
      <c r="F94" s="55" t="s">
        <v>1551</v>
      </c>
      <c r="G94" s="106">
        <v>4</v>
      </c>
      <c r="H94" s="106">
        <v>94</v>
      </c>
      <c r="I94" s="128">
        <f>_xlfn.XLOOKUP(E94,'All Products'!D:D,'All Products'!H:H)</f>
        <v>550.59</v>
      </c>
      <c r="J94" s="133">
        <f>ROUNDUP(I94*Order_Quote!$L$13,2)</f>
        <v>2752.95</v>
      </c>
      <c r="K94" s="76"/>
      <c r="L94" s="79"/>
      <c r="M94" s="107">
        <f t="shared" si="2"/>
        <v>0</v>
      </c>
      <c r="O94" s="265" t="s">
        <v>1206</v>
      </c>
      <c r="P94" s="265" t="s">
        <v>77</v>
      </c>
      <c r="Q94" s="265" t="s">
        <v>1552</v>
      </c>
      <c r="R94" s="265">
        <v>0</v>
      </c>
      <c r="S94" s="265" t="s">
        <v>1553</v>
      </c>
      <c r="T94" s="348">
        <v>22.16</v>
      </c>
      <c r="U94" s="265">
        <v>0</v>
      </c>
      <c r="V94" s="348">
        <v>22.16</v>
      </c>
      <c r="W94" s="348">
        <v>2.5499999999999998</v>
      </c>
    </row>
    <row r="95" spans="1:23" s="17" customFormat="1">
      <c r="A95" s="5" t="str">
        <f>IF(K95&gt;0,COUNT($A$7:A94)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5" s="579"/>
      <c r="C95" s="580"/>
      <c r="D95" s="106" t="s">
        <v>1554</v>
      </c>
      <c r="E95" s="106">
        <v>100027217</v>
      </c>
      <c r="F95" s="55" t="s">
        <v>1555</v>
      </c>
      <c r="G95" s="106">
        <v>4</v>
      </c>
      <c r="H95" s="106">
        <v>68</v>
      </c>
      <c r="I95" s="128">
        <f>_xlfn.XLOOKUP(E95,'All Products'!D:D,'All Products'!H:H)</f>
        <v>624.37</v>
      </c>
      <c r="J95" s="133">
        <f>ROUNDUP(I95*Order_Quote!$L$13,2)</f>
        <v>3121.85</v>
      </c>
      <c r="K95" s="76"/>
      <c r="L95" s="79"/>
      <c r="M95" s="107">
        <f t="shared" si="2"/>
        <v>0</v>
      </c>
      <c r="O95" s="265" t="s">
        <v>1206</v>
      </c>
      <c r="P95" s="265" t="s">
        <v>77</v>
      </c>
      <c r="Q95" s="265" t="s">
        <v>1556</v>
      </c>
      <c r="R95" s="265">
        <v>0</v>
      </c>
      <c r="S95" s="265" t="s">
        <v>1557</v>
      </c>
      <c r="T95" s="348">
        <v>31.89</v>
      </c>
      <c r="U95" s="265">
        <v>0</v>
      </c>
      <c r="V95" s="348">
        <v>31.89</v>
      </c>
      <c r="W95" s="348">
        <v>3.52</v>
      </c>
    </row>
    <row r="96" spans="1:23" s="17" customFormat="1">
      <c r="A96" s="5" t="str">
        <f>IF(K96&gt;0,COUNT($A$7:A95)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6" s="579"/>
      <c r="C96" s="580"/>
      <c r="D96" s="106" t="s">
        <v>1558</v>
      </c>
      <c r="E96" s="106">
        <v>100027218</v>
      </c>
      <c r="F96" s="55" t="s">
        <v>1559</v>
      </c>
      <c r="G96" s="355">
        <v>4</v>
      </c>
      <c r="H96" s="355" t="s">
        <v>1205</v>
      </c>
      <c r="I96" s="267">
        <v>710.41300000000001</v>
      </c>
      <c r="J96" s="133">
        <f>ROUNDUP(I96*Order_Quote!$L$13,2)</f>
        <v>3552.07</v>
      </c>
      <c r="K96" s="76"/>
      <c r="L96" s="79"/>
      <c r="M96" s="107">
        <f t="shared" si="2"/>
        <v>0</v>
      </c>
      <c r="O96" s="265" t="s">
        <v>1351</v>
      </c>
      <c r="P96" s="265" t="s">
        <v>77</v>
      </c>
      <c r="Q96" s="265" t="s">
        <v>1560</v>
      </c>
      <c r="R96" s="265">
        <v>0</v>
      </c>
      <c r="S96" s="265" t="s">
        <v>1561</v>
      </c>
      <c r="T96" s="348" t="e">
        <v>#N/A</v>
      </c>
      <c r="U96" s="265" t="e">
        <v>#N/A</v>
      </c>
      <c r="V96" s="348" t="e">
        <v>#N/A</v>
      </c>
      <c r="W96" s="348" t="e">
        <v>#N/A</v>
      </c>
    </row>
    <row r="97" spans="1:23" s="17" customFormat="1">
      <c r="A97" s="5" t="str">
        <f>IF(K97&gt;0,COUNT($A$7:A96)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7" s="579"/>
      <c r="C97" s="580"/>
      <c r="D97" s="106" t="s">
        <v>1562</v>
      </c>
      <c r="E97" s="106">
        <v>100027219</v>
      </c>
      <c r="F97" s="55" t="s">
        <v>1563</v>
      </c>
      <c r="G97" s="106">
        <v>1</v>
      </c>
      <c r="H97" s="106">
        <v>45</v>
      </c>
      <c r="I97" s="128">
        <f>_xlfn.XLOOKUP(E97,'All Products'!D:D,'All Products'!H:H)</f>
        <v>994.24</v>
      </c>
      <c r="J97" s="133">
        <f>ROUNDUP(I97*Order_Quote!$L$13,2)</f>
        <v>4971.2</v>
      </c>
      <c r="K97" s="76"/>
      <c r="L97" s="79"/>
      <c r="M97" s="107">
        <f t="shared" si="2"/>
        <v>0</v>
      </c>
      <c r="O97" s="265" t="s">
        <v>1206</v>
      </c>
      <c r="P97" s="265" t="s">
        <v>77</v>
      </c>
      <c r="Q97" s="265" t="s">
        <v>1564</v>
      </c>
      <c r="R97" s="265">
        <v>0</v>
      </c>
      <c r="S97" s="265" t="s">
        <v>1565</v>
      </c>
      <c r="T97" s="348">
        <v>60.53</v>
      </c>
      <c r="U97" s="265">
        <v>0</v>
      </c>
      <c r="V97" s="348">
        <v>60.53</v>
      </c>
      <c r="W97" s="348">
        <v>5.39</v>
      </c>
    </row>
    <row r="98" spans="1:23" s="17" customFormat="1">
      <c r="A98" s="5" t="str">
        <f>IF(K98&gt;0,COUNT($A$7:A97)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8" s="581"/>
      <c r="C98" s="582"/>
      <c r="D98" s="106" t="s">
        <v>1566</v>
      </c>
      <c r="E98" s="106">
        <v>100027220</v>
      </c>
      <c r="F98" s="55" t="s">
        <v>1567</v>
      </c>
      <c r="G98" s="106">
        <v>4</v>
      </c>
      <c r="H98" s="106">
        <v>39</v>
      </c>
      <c r="I98" s="128">
        <f>_xlfn.XLOOKUP(E98,'All Products'!D:D,'All Products'!H:H)</f>
        <v>1296.4100000000001</v>
      </c>
      <c r="J98" s="133">
        <f>ROUNDUP(I98*Order_Quote!$L$13,2)</f>
        <v>6482.05</v>
      </c>
      <c r="K98" s="76"/>
      <c r="L98" s="79"/>
      <c r="M98" s="107">
        <f t="shared" si="2"/>
        <v>0</v>
      </c>
      <c r="O98" s="265" t="s">
        <v>1351</v>
      </c>
      <c r="P98" s="265" t="s">
        <v>77</v>
      </c>
      <c r="Q98" s="265" t="s">
        <v>1568</v>
      </c>
      <c r="R98" s="265">
        <v>0</v>
      </c>
      <c r="S98" s="265" t="s">
        <v>1569</v>
      </c>
      <c r="T98" s="348">
        <v>20.98</v>
      </c>
      <c r="U98" s="265">
        <v>0</v>
      </c>
      <c r="V98" s="348">
        <v>20.98</v>
      </c>
      <c r="W98" s="348">
        <v>1.55</v>
      </c>
    </row>
    <row r="99" spans="1:23" s="17" customFormat="1">
      <c r="A99" s="5" t="str">
        <f>IF(K99&gt;0,COUNT($A$7:A98)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99" s="577"/>
      <c r="C99" s="578"/>
      <c r="D99" s="106" t="s">
        <v>1570</v>
      </c>
      <c r="E99" s="106">
        <v>100027302</v>
      </c>
      <c r="F99" s="55" t="s">
        <v>1571</v>
      </c>
      <c r="G99" s="106">
        <v>4</v>
      </c>
      <c r="H99" s="106">
        <v>113</v>
      </c>
      <c r="I99" s="128">
        <f>_xlfn.XLOOKUP(E99,'All Products'!D:D,'All Products'!H:H)</f>
        <v>754.99</v>
      </c>
      <c r="J99" s="133">
        <f>ROUNDUP(I99*Order_Quote!$L$13,2)</f>
        <v>3774.95</v>
      </c>
      <c r="K99" s="76"/>
      <c r="L99" s="79"/>
      <c r="M99" s="107">
        <f t="shared" si="2"/>
        <v>0</v>
      </c>
      <c r="O99" s="265" t="s">
        <v>369</v>
      </c>
      <c r="P99" s="265" t="s">
        <v>77</v>
      </c>
      <c r="Q99" s="265" t="s">
        <v>1572</v>
      </c>
      <c r="R99" s="265">
        <v>0</v>
      </c>
      <c r="S99" s="265" t="s">
        <v>1573</v>
      </c>
      <c r="T99" s="348">
        <v>18.260000000000002</v>
      </c>
      <c r="U99" s="265">
        <v>0</v>
      </c>
      <c r="V99" s="348">
        <v>18.260000000000002</v>
      </c>
      <c r="W99" s="348">
        <v>2.12</v>
      </c>
    </row>
    <row r="100" spans="1:23" s="17" customFormat="1">
      <c r="A100" s="5" t="str">
        <f>IF(K100&gt;0,COUNT($A$7:A99)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0" s="579"/>
      <c r="C100" s="580"/>
      <c r="D100" s="106" t="s">
        <v>1574</v>
      </c>
      <c r="E100" s="106">
        <v>100027303</v>
      </c>
      <c r="F100" s="55" t="s">
        <v>1575</v>
      </c>
      <c r="G100" s="106">
        <v>4</v>
      </c>
      <c r="H100" s="106">
        <v>94</v>
      </c>
      <c r="I100" s="128">
        <f>_xlfn.XLOOKUP(E100,'All Products'!D:D,'All Products'!H:H)</f>
        <v>931.07</v>
      </c>
      <c r="J100" s="133">
        <f>ROUNDUP(I100*Order_Quote!$L$13,2)</f>
        <v>4655.3500000000004</v>
      </c>
      <c r="K100" s="76"/>
      <c r="L100" s="79"/>
      <c r="M100" s="107">
        <f t="shared" si="2"/>
        <v>0</v>
      </c>
      <c r="O100" s="265" t="s">
        <v>1351</v>
      </c>
      <c r="P100" s="265" t="s">
        <v>77</v>
      </c>
      <c r="Q100" s="265" t="s">
        <v>1576</v>
      </c>
      <c r="R100" s="265">
        <v>0</v>
      </c>
      <c r="S100" s="265" t="s">
        <v>1577</v>
      </c>
      <c r="T100" s="348">
        <v>23.07</v>
      </c>
      <c r="U100" s="265">
        <v>0</v>
      </c>
      <c r="V100" s="348">
        <v>23.07</v>
      </c>
      <c r="W100" s="348">
        <v>2.5499999999999998</v>
      </c>
    </row>
    <row r="101" spans="1:23" s="17" customFormat="1">
      <c r="A101" s="5" t="str">
        <f>IF(K101&gt;0,COUNT($A$7:A100)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1" s="579"/>
      <c r="C101" s="580"/>
      <c r="D101" s="106" t="s">
        <v>1578</v>
      </c>
      <c r="E101" s="106">
        <v>100027304</v>
      </c>
      <c r="F101" s="55" t="s">
        <v>1579</v>
      </c>
      <c r="G101" s="106">
        <v>4</v>
      </c>
      <c r="H101" s="106">
        <v>68</v>
      </c>
      <c r="I101" s="128">
        <f>_xlfn.XLOOKUP(E101,'All Products'!D:D,'All Products'!H:H)</f>
        <v>1077.67</v>
      </c>
      <c r="J101" s="133">
        <f>ROUNDUP(I101*Order_Quote!$L$13,2)</f>
        <v>5388.35</v>
      </c>
      <c r="K101" s="76"/>
      <c r="L101" s="79"/>
      <c r="M101" s="107">
        <f t="shared" si="2"/>
        <v>0</v>
      </c>
      <c r="O101" s="265" t="s">
        <v>1351</v>
      </c>
      <c r="P101" s="265" t="s">
        <v>77</v>
      </c>
      <c r="Q101" s="265" t="s">
        <v>1580</v>
      </c>
      <c r="R101" s="265">
        <v>0</v>
      </c>
      <c r="S101" s="265" t="s">
        <v>1581</v>
      </c>
      <c r="T101" s="348">
        <v>33.590000000000003</v>
      </c>
      <c r="U101" s="265">
        <v>0</v>
      </c>
      <c r="V101" s="348">
        <v>33.590000000000003</v>
      </c>
      <c r="W101" s="348">
        <v>3.52</v>
      </c>
    </row>
    <row r="102" spans="1:23" s="17" customFormat="1">
      <c r="A102" s="5" t="str">
        <f>IF(K102&gt;0,COUNT($A$7:A101)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2" s="581"/>
      <c r="C102" s="582"/>
      <c r="D102" s="106" t="s">
        <v>1582</v>
      </c>
      <c r="E102" s="106">
        <v>100027305</v>
      </c>
      <c r="F102" s="55" t="s">
        <v>1583</v>
      </c>
      <c r="G102" s="106">
        <v>1</v>
      </c>
      <c r="H102" s="106">
        <v>45</v>
      </c>
      <c r="I102" s="128">
        <f>_xlfn.XLOOKUP(E102,'All Products'!D:D,'All Products'!H:H)</f>
        <v>1746.87</v>
      </c>
      <c r="J102" s="133">
        <f>ROUNDUP(I102*Order_Quote!$L$13,2)</f>
        <v>8734.35</v>
      </c>
      <c r="K102" s="76"/>
      <c r="L102" s="79"/>
      <c r="M102" s="107">
        <f t="shared" si="2"/>
        <v>0</v>
      </c>
      <c r="O102" s="265" t="s">
        <v>1351</v>
      </c>
      <c r="P102" s="265" t="s">
        <v>77</v>
      </c>
      <c r="Q102" s="265" t="s">
        <v>1584</v>
      </c>
      <c r="R102" s="265">
        <v>0</v>
      </c>
      <c r="S102" s="265" t="s">
        <v>1585</v>
      </c>
      <c r="T102" s="348">
        <v>63.54</v>
      </c>
      <c r="U102" s="265">
        <v>0</v>
      </c>
      <c r="V102" s="348">
        <v>63.54</v>
      </c>
      <c r="W102" s="348">
        <v>5.39</v>
      </c>
    </row>
    <row r="103" spans="1:23" s="17" customFormat="1" ht="21" customHeight="1">
      <c r="A103" s="5" t="str">
        <f>IF(K103&gt;0,COUNT($A$7:A102)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3" s="577"/>
      <c r="C103" s="578"/>
      <c r="D103" s="106" t="s">
        <v>1586</v>
      </c>
      <c r="E103" s="106">
        <v>100027211</v>
      </c>
      <c r="F103" s="55" t="s">
        <v>1587</v>
      </c>
      <c r="G103" s="106">
        <v>1</v>
      </c>
      <c r="H103" s="106">
        <v>26</v>
      </c>
      <c r="I103" s="128">
        <f>_xlfn.XLOOKUP(E103,'All Products'!D:D,'All Products'!H:H)</f>
        <v>2125.66</v>
      </c>
      <c r="J103" s="133">
        <f>ROUNDUP(I103*Order_Quote!$L$13,2)</f>
        <v>10628.3</v>
      </c>
      <c r="K103" s="76"/>
      <c r="L103" s="79"/>
      <c r="M103" s="107">
        <f t="shared" ref="M103:M131" si="3">K103/G103</f>
        <v>0</v>
      </c>
      <c r="O103" s="265" t="s">
        <v>369</v>
      </c>
      <c r="P103" s="265" t="s">
        <v>77</v>
      </c>
      <c r="Q103" s="265" t="s">
        <v>1588</v>
      </c>
      <c r="R103" s="265">
        <v>0</v>
      </c>
      <c r="S103" s="265" t="s">
        <v>1589</v>
      </c>
      <c r="T103" s="348">
        <v>38.49</v>
      </c>
      <c r="U103" s="265">
        <v>0</v>
      </c>
      <c r="V103" s="348">
        <v>38.49</v>
      </c>
      <c r="W103" s="348">
        <v>2.31</v>
      </c>
    </row>
    <row r="104" spans="1:23" s="17" customFormat="1" ht="21" customHeight="1">
      <c r="A104" s="5" t="str">
        <f>IF(K104&gt;0,COUNT($A$7:A103)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4" s="579"/>
      <c r="C104" s="580"/>
      <c r="D104" s="106" t="s">
        <v>1590</v>
      </c>
      <c r="E104" s="106">
        <v>100027212</v>
      </c>
      <c r="F104" s="55" t="s">
        <v>1591</v>
      </c>
      <c r="G104" s="106">
        <v>1</v>
      </c>
      <c r="H104" s="106">
        <v>18</v>
      </c>
      <c r="I104" s="128">
        <f>_xlfn.XLOOKUP(E104,'All Products'!D:D,'All Products'!H:H)</f>
        <v>2531.77</v>
      </c>
      <c r="J104" s="133">
        <f>ROUNDUP(I104*Order_Quote!$L$13,2)</f>
        <v>12658.85</v>
      </c>
      <c r="K104" s="76"/>
      <c r="L104" s="79"/>
      <c r="M104" s="107">
        <f t="shared" si="3"/>
        <v>0</v>
      </c>
      <c r="O104" s="265" t="s">
        <v>369</v>
      </c>
      <c r="P104" s="265" t="s">
        <v>77</v>
      </c>
      <c r="Q104" s="265" t="s">
        <v>1592</v>
      </c>
      <c r="R104" s="265">
        <v>0</v>
      </c>
      <c r="S104" s="265" t="s">
        <v>1593</v>
      </c>
      <c r="T104" s="348">
        <v>49.37</v>
      </c>
      <c r="U104" s="265">
        <v>0</v>
      </c>
      <c r="V104" s="348">
        <v>49.37</v>
      </c>
      <c r="W104" s="348">
        <v>3.42</v>
      </c>
    </row>
    <row r="105" spans="1:23" s="17" customFormat="1" ht="21" customHeight="1">
      <c r="A105" s="5" t="str">
        <f>IF(K105&gt;0,COUNT($A$7:A104)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5" s="581"/>
      <c r="C105" s="582"/>
      <c r="D105" s="106" t="s">
        <v>1594</v>
      </c>
      <c r="E105" s="106">
        <v>100027213</v>
      </c>
      <c r="F105" s="55" t="s">
        <v>1595</v>
      </c>
      <c r="G105" s="106">
        <v>1</v>
      </c>
      <c r="H105" s="106">
        <v>16</v>
      </c>
      <c r="I105" s="128">
        <f>_xlfn.XLOOKUP(E105,'All Products'!D:D,'All Products'!H:H)</f>
        <v>3510.07</v>
      </c>
      <c r="J105" s="133">
        <f>ROUNDUP(I105*Order_Quote!$L$13,2)</f>
        <v>17550.349999999999</v>
      </c>
      <c r="K105" s="76"/>
      <c r="L105" s="79"/>
      <c r="M105" s="107">
        <f t="shared" si="3"/>
        <v>0</v>
      </c>
      <c r="O105" s="265" t="s">
        <v>369</v>
      </c>
      <c r="P105" s="265" t="s">
        <v>77</v>
      </c>
      <c r="Q105" s="265" t="s">
        <v>1596</v>
      </c>
      <c r="R105" s="265">
        <v>0</v>
      </c>
      <c r="S105" s="265" t="s">
        <v>1597</v>
      </c>
      <c r="T105" s="348">
        <v>71.89</v>
      </c>
      <c r="U105" s="265">
        <v>0</v>
      </c>
      <c r="V105" s="348">
        <v>71.89</v>
      </c>
      <c r="W105" s="348">
        <v>3.76</v>
      </c>
    </row>
    <row r="106" spans="1:23" s="17" customFormat="1" ht="17.25" customHeight="1">
      <c r="A106" s="5" t="str">
        <f>IF(K106&gt;0,COUNT($A$7:A105)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6" s="577"/>
      <c r="C106" s="578"/>
      <c r="D106" s="106" t="s">
        <v>1598</v>
      </c>
      <c r="E106" s="106">
        <v>100027299</v>
      </c>
      <c r="F106" s="55" t="s">
        <v>1599</v>
      </c>
      <c r="G106" s="106">
        <v>1</v>
      </c>
      <c r="H106" s="106">
        <v>26</v>
      </c>
      <c r="I106" s="128">
        <f>_xlfn.XLOOKUP(E106,'All Products'!D:D,'All Products'!H:H)</f>
        <v>3065.19</v>
      </c>
      <c r="J106" s="133">
        <f>ROUNDUP(I106*Order_Quote!$L$13,2)</f>
        <v>15325.95</v>
      </c>
      <c r="K106" s="76"/>
      <c r="L106" s="79"/>
      <c r="M106" s="107">
        <f t="shared" si="3"/>
        <v>0</v>
      </c>
      <c r="O106" s="265" t="s">
        <v>369</v>
      </c>
      <c r="P106" s="265" t="s">
        <v>77</v>
      </c>
      <c r="Q106" s="265" t="s">
        <v>1600</v>
      </c>
      <c r="R106" s="265">
        <v>0</v>
      </c>
      <c r="S106" s="265" t="s">
        <v>1601</v>
      </c>
      <c r="T106" s="348">
        <v>39.64</v>
      </c>
      <c r="U106" s="265">
        <v>0</v>
      </c>
      <c r="V106" s="348">
        <v>39.64</v>
      </c>
      <c r="W106" s="348">
        <v>2.31</v>
      </c>
    </row>
    <row r="107" spans="1:23" s="17" customFormat="1" ht="17.25" customHeight="1">
      <c r="A107" s="5" t="str">
        <f>IF(K107&gt;0,COUNT($A$7:A106)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7" s="579"/>
      <c r="C107" s="580"/>
      <c r="D107" s="106" t="s">
        <v>1602</v>
      </c>
      <c r="E107" s="106">
        <v>100027300</v>
      </c>
      <c r="F107" s="55" t="s">
        <v>1603</v>
      </c>
      <c r="G107" s="106">
        <v>1</v>
      </c>
      <c r="H107" s="106">
        <v>18</v>
      </c>
      <c r="I107" s="128">
        <f>_xlfn.XLOOKUP(E107,'All Products'!D:D,'All Products'!H:H)</f>
        <v>5467.46</v>
      </c>
      <c r="J107" s="133">
        <f>ROUNDUP(I107*Order_Quote!$L$13,2)</f>
        <v>27337.3</v>
      </c>
      <c r="K107" s="76"/>
      <c r="L107" s="79"/>
      <c r="M107" s="107">
        <f t="shared" si="3"/>
        <v>0</v>
      </c>
      <c r="O107" s="265" t="s">
        <v>369</v>
      </c>
      <c r="P107" s="265" t="s">
        <v>77</v>
      </c>
      <c r="Q107" s="265" t="s">
        <v>1604</v>
      </c>
      <c r="R107" s="265">
        <v>0</v>
      </c>
      <c r="S107" s="265" t="s">
        <v>1605</v>
      </c>
      <c r="T107" s="348">
        <v>51.42</v>
      </c>
      <c r="U107" s="265">
        <v>0</v>
      </c>
      <c r="V107" s="348">
        <v>51.42</v>
      </c>
      <c r="W107" s="348">
        <v>3.42</v>
      </c>
    </row>
    <row r="108" spans="1:23" s="17" customFormat="1" ht="17.25" customHeight="1">
      <c r="A108" s="5" t="str">
        <f>IF(K108&gt;0,COUNT($A$7:A107)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8" s="581"/>
      <c r="C108" s="582"/>
      <c r="D108" s="106" t="s">
        <v>1606</v>
      </c>
      <c r="E108" s="106">
        <v>100027301</v>
      </c>
      <c r="F108" s="55" t="s">
        <v>1607</v>
      </c>
      <c r="G108" s="106">
        <v>1</v>
      </c>
      <c r="H108" s="106">
        <v>16</v>
      </c>
      <c r="I108" s="128">
        <f>_xlfn.XLOOKUP(E108,'All Products'!D:D,'All Products'!H:H)</f>
        <v>7433.2</v>
      </c>
      <c r="J108" s="133">
        <f>ROUNDUP(I108*Order_Quote!$L$13,2)</f>
        <v>37166</v>
      </c>
      <c r="K108" s="76"/>
      <c r="L108" s="79"/>
      <c r="M108" s="107">
        <f t="shared" si="3"/>
        <v>0</v>
      </c>
      <c r="O108" s="265" t="s">
        <v>369</v>
      </c>
      <c r="P108" s="265" t="s">
        <v>77</v>
      </c>
      <c r="Q108" s="265" t="s">
        <v>1608</v>
      </c>
      <c r="R108" s="265">
        <v>0</v>
      </c>
      <c r="S108" s="265" t="s">
        <v>1609</v>
      </c>
      <c r="T108" s="348">
        <v>74.099999999999994</v>
      </c>
      <c r="U108" s="265">
        <v>0</v>
      </c>
      <c r="V108" s="348">
        <v>74.099999999999994</v>
      </c>
      <c r="W108" s="348">
        <v>3.76</v>
      </c>
    </row>
    <row r="109" spans="1:23" s="17" customFormat="1" ht="33.75" customHeight="1">
      <c r="A109" s="5" t="str">
        <f>IF(K109&gt;0,COUNT($A$7:A108)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09" s="581"/>
      <c r="C109" s="582"/>
      <c r="D109" s="106" t="s">
        <v>1610</v>
      </c>
      <c r="E109" s="106">
        <v>100028655</v>
      </c>
      <c r="F109" s="55" t="s">
        <v>1611</v>
      </c>
      <c r="G109" s="106">
        <v>1</v>
      </c>
      <c r="H109" s="106">
        <v>0</v>
      </c>
      <c r="I109" s="128">
        <f>_xlfn.XLOOKUP(E109,'All Products'!D:D,'All Products'!H:H)</f>
        <v>25.05</v>
      </c>
      <c r="J109" s="133">
        <f>ROUNDUP(I109*Order_Quote!$L$13,2)</f>
        <v>125.25</v>
      </c>
      <c r="K109" s="76"/>
      <c r="L109" s="79"/>
      <c r="M109" s="107">
        <f t="shared" si="3"/>
        <v>0</v>
      </c>
      <c r="O109" s="265" t="s">
        <v>1351</v>
      </c>
      <c r="P109" s="265" t="s">
        <v>77</v>
      </c>
      <c r="Q109" s="265">
        <v>0</v>
      </c>
      <c r="R109" s="265">
        <v>0</v>
      </c>
      <c r="S109" s="265">
        <v>0</v>
      </c>
      <c r="T109" s="348">
        <v>0.04</v>
      </c>
      <c r="U109" s="265">
        <v>0</v>
      </c>
      <c r="V109" s="348">
        <v>0.04</v>
      </c>
      <c r="W109" s="348">
        <v>0</v>
      </c>
    </row>
    <row r="110" spans="1:23" s="17" customFormat="1" ht="45.75" customHeight="1">
      <c r="A110" s="5" t="str">
        <f>IF(K110&gt;0,COUNT($A$7:A109)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0" s="579"/>
      <c r="C110" s="580"/>
      <c r="D110" s="106" t="s">
        <v>1612</v>
      </c>
      <c r="E110" s="106">
        <v>100028638</v>
      </c>
      <c r="F110" s="55" t="s">
        <v>1613</v>
      </c>
      <c r="G110" s="106">
        <v>1</v>
      </c>
      <c r="H110" s="106">
        <v>0</v>
      </c>
      <c r="I110" s="128">
        <f>_xlfn.XLOOKUP(E110,'All Products'!D:D,'All Products'!H:H)</f>
        <v>10.54</v>
      </c>
      <c r="J110" s="133">
        <f>ROUNDUP(I110*Order_Quote!$L$13,2)</f>
        <v>52.7</v>
      </c>
      <c r="K110" s="76"/>
      <c r="L110" s="79"/>
      <c r="M110" s="107">
        <f t="shared" si="3"/>
        <v>0</v>
      </c>
      <c r="O110" s="265" t="s">
        <v>1351</v>
      </c>
      <c r="P110" s="265" t="s">
        <v>77</v>
      </c>
      <c r="Q110" s="265">
        <v>0</v>
      </c>
      <c r="R110" s="265">
        <v>0</v>
      </c>
      <c r="S110" s="265">
        <v>0</v>
      </c>
      <c r="T110" s="348">
        <v>0.02</v>
      </c>
      <c r="U110" s="265">
        <v>0</v>
      </c>
      <c r="V110" s="348">
        <v>0.02</v>
      </c>
      <c r="W110" s="348">
        <v>0</v>
      </c>
    </row>
    <row r="111" spans="1:23" s="17" customFormat="1" ht="22.5" customHeight="1">
      <c r="A111" s="5" t="str">
        <f>IF(K111&gt;0,COUNT($A$7:A110)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1" s="577"/>
      <c r="C111" s="578"/>
      <c r="D111" s="106" t="s">
        <v>1614</v>
      </c>
      <c r="E111" s="106">
        <v>100028639</v>
      </c>
      <c r="F111" s="55" t="s">
        <v>1615</v>
      </c>
      <c r="G111" s="106">
        <v>1</v>
      </c>
      <c r="H111" s="106">
        <v>0</v>
      </c>
      <c r="I111" s="128">
        <f>_xlfn.XLOOKUP(E111,'All Products'!D:D,'All Products'!H:H)</f>
        <v>30.53</v>
      </c>
      <c r="J111" s="133">
        <f>ROUNDUP(I111*Order_Quote!$L$13,2)</f>
        <v>152.65</v>
      </c>
      <c r="K111" s="76"/>
      <c r="L111" s="79"/>
      <c r="M111" s="107">
        <f t="shared" si="3"/>
        <v>0</v>
      </c>
      <c r="O111" s="265" t="s">
        <v>369</v>
      </c>
      <c r="P111" s="265" t="s">
        <v>77</v>
      </c>
      <c r="Q111" s="265">
        <v>0</v>
      </c>
      <c r="R111" s="265">
        <v>0</v>
      </c>
      <c r="S111" s="265">
        <v>0</v>
      </c>
      <c r="T111" s="348">
        <v>0.02</v>
      </c>
      <c r="U111" s="265">
        <v>0</v>
      </c>
      <c r="V111" s="348">
        <v>0.02</v>
      </c>
      <c r="W111" s="348">
        <v>0</v>
      </c>
    </row>
    <row r="112" spans="1:23" s="17" customFormat="1" ht="22.5" customHeight="1">
      <c r="A112" s="5" t="str">
        <f>IF(K112&gt;0,COUNT($A$7:A111)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2" s="579"/>
      <c r="C112" s="580"/>
      <c r="D112" s="106" t="s">
        <v>1616</v>
      </c>
      <c r="E112" s="106">
        <v>100028641</v>
      </c>
      <c r="F112" s="55" t="s">
        <v>1617</v>
      </c>
      <c r="G112" s="106">
        <v>1</v>
      </c>
      <c r="H112" s="106">
        <v>0</v>
      </c>
      <c r="I112" s="128">
        <f>_xlfn.XLOOKUP(E112,'All Products'!D:D,'All Products'!H:H)</f>
        <v>35.119999999999997</v>
      </c>
      <c r="J112" s="133">
        <f>ROUNDUP(I112*Order_Quote!$L$13,2)</f>
        <v>175.6</v>
      </c>
      <c r="K112" s="76"/>
      <c r="L112" s="79"/>
      <c r="M112" s="107">
        <f t="shared" si="3"/>
        <v>0</v>
      </c>
      <c r="O112" s="265" t="s">
        <v>369</v>
      </c>
      <c r="P112" s="265" t="s">
        <v>77</v>
      </c>
      <c r="Q112" s="265">
        <v>0</v>
      </c>
      <c r="R112" s="265">
        <v>0</v>
      </c>
      <c r="S112" s="265">
        <v>0</v>
      </c>
      <c r="T112" s="348">
        <v>0.03</v>
      </c>
      <c r="U112" s="265">
        <v>0</v>
      </c>
      <c r="V112" s="348">
        <v>0.03</v>
      </c>
      <c r="W112" s="348">
        <v>0</v>
      </c>
    </row>
    <row r="113" spans="1:23" s="17" customFormat="1">
      <c r="A113" s="5" t="str">
        <f>IF(K113&gt;0,COUNT($A$7:A112)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3" s="579"/>
      <c r="C113" s="580"/>
      <c r="D113" s="106" t="s">
        <v>1618</v>
      </c>
      <c r="E113" s="106">
        <v>100028647</v>
      </c>
      <c r="F113" s="55" t="s">
        <v>1619</v>
      </c>
      <c r="G113" s="106">
        <v>1</v>
      </c>
      <c r="H113" s="106">
        <v>0</v>
      </c>
      <c r="I113" s="128">
        <f>_xlfn.XLOOKUP(E113,'All Products'!D:D,'All Products'!H:H)</f>
        <v>85.51</v>
      </c>
      <c r="J113" s="133">
        <f>ROUNDUP(I113*Order_Quote!$L$13,2)</f>
        <v>427.55</v>
      </c>
      <c r="K113" s="76"/>
      <c r="L113" s="79"/>
      <c r="M113" s="107">
        <f t="shared" si="3"/>
        <v>0</v>
      </c>
      <c r="O113" s="265" t="s">
        <v>369</v>
      </c>
      <c r="P113" s="265" t="s">
        <v>77</v>
      </c>
      <c r="Q113" s="265">
        <v>0</v>
      </c>
      <c r="R113" s="265">
        <v>0</v>
      </c>
      <c r="S113" s="265">
        <v>0</v>
      </c>
      <c r="T113" s="348">
        <v>0.1</v>
      </c>
      <c r="U113" s="265">
        <v>0</v>
      </c>
      <c r="V113" s="348">
        <v>0.1</v>
      </c>
      <c r="W113" s="348">
        <v>0</v>
      </c>
    </row>
    <row r="114" spans="1:23" s="17" customFormat="1">
      <c r="A114" s="5" t="str">
        <f>IF(K114&gt;0,COUNT($A$7:A113)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4" s="579"/>
      <c r="C114" s="580"/>
      <c r="D114" s="106" t="s">
        <v>1620</v>
      </c>
      <c r="E114" s="106">
        <v>100028649</v>
      </c>
      <c r="F114" s="55" t="s">
        <v>1621</v>
      </c>
      <c r="G114" s="106">
        <v>1</v>
      </c>
      <c r="H114" s="106">
        <v>0</v>
      </c>
      <c r="I114" s="128">
        <f>_xlfn.XLOOKUP(E114,'All Products'!D:D,'All Products'!H:H)</f>
        <v>128.79</v>
      </c>
      <c r="J114" s="133">
        <f>ROUNDUP(I114*Order_Quote!$L$13,2)</f>
        <v>643.95000000000005</v>
      </c>
      <c r="K114" s="76"/>
      <c r="L114" s="79"/>
      <c r="M114" s="107">
        <f t="shared" si="3"/>
        <v>0</v>
      </c>
      <c r="O114" s="265" t="s">
        <v>1351</v>
      </c>
      <c r="P114" s="265" t="s">
        <v>77</v>
      </c>
      <c r="Q114" s="265">
        <v>0</v>
      </c>
      <c r="R114" s="265">
        <v>0</v>
      </c>
      <c r="S114" s="265">
        <v>0</v>
      </c>
      <c r="T114" s="348">
        <v>0.15</v>
      </c>
      <c r="U114" s="265">
        <v>0</v>
      </c>
      <c r="V114" s="348">
        <v>0.15</v>
      </c>
      <c r="W114" s="348">
        <v>0</v>
      </c>
    </row>
    <row r="115" spans="1:23" s="17" customFormat="1">
      <c r="A115" s="5" t="str">
        <f>IF(K115&gt;0,COUNT($A$7:A114)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5" s="581"/>
      <c r="C115" s="582"/>
      <c r="D115" s="106" t="s">
        <v>1622</v>
      </c>
      <c r="E115" s="106">
        <v>100028651</v>
      </c>
      <c r="F115" s="55" t="s">
        <v>1623</v>
      </c>
      <c r="G115" s="106">
        <v>1</v>
      </c>
      <c r="H115" s="106">
        <v>0</v>
      </c>
      <c r="I115" s="128">
        <f>_xlfn.XLOOKUP(E115,'All Products'!D:D,'All Products'!H:H)</f>
        <v>187.6</v>
      </c>
      <c r="J115" s="133">
        <f>ROUNDUP(I115*Order_Quote!$L$13,2)</f>
        <v>938</v>
      </c>
      <c r="K115" s="76"/>
      <c r="L115" s="79"/>
      <c r="M115" s="107">
        <f t="shared" si="3"/>
        <v>0</v>
      </c>
      <c r="O115" s="265" t="s">
        <v>369</v>
      </c>
      <c r="P115" s="265" t="s">
        <v>77</v>
      </c>
      <c r="Q115" s="265">
        <v>0</v>
      </c>
      <c r="R115" s="265">
        <v>0</v>
      </c>
      <c r="S115" s="265">
        <v>0</v>
      </c>
      <c r="T115" s="348">
        <v>0.18</v>
      </c>
      <c r="U115" s="265">
        <v>0</v>
      </c>
      <c r="V115" s="348">
        <v>0.18</v>
      </c>
      <c r="W115" s="348">
        <v>0</v>
      </c>
    </row>
    <row r="116" spans="1:23" s="17" customFormat="1" ht="41.25" customHeight="1">
      <c r="A116" s="5" t="str">
        <f>IF(K116&gt;0,COUNT($A$7:A115)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6" s="579"/>
      <c r="C116" s="580"/>
      <c r="D116" s="106" t="s">
        <v>1624</v>
      </c>
      <c r="E116" s="106">
        <v>100028626</v>
      </c>
      <c r="F116" s="55" t="s">
        <v>1625</v>
      </c>
      <c r="G116" s="106">
        <v>1</v>
      </c>
      <c r="H116" s="106">
        <v>0</v>
      </c>
      <c r="I116" s="128">
        <f>_xlfn.XLOOKUP(E116,'All Products'!D:D,'All Products'!H:H)</f>
        <v>7.09</v>
      </c>
      <c r="J116" s="133">
        <f>ROUNDUP(I116*Order_Quote!$L$13,2)</f>
        <v>35.450000000000003</v>
      </c>
      <c r="K116" s="76"/>
      <c r="L116" s="79"/>
      <c r="M116" s="107">
        <f t="shared" si="3"/>
        <v>0</v>
      </c>
      <c r="O116" s="265" t="s">
        <v>1351</v>
      </c>
      <c r="P116" s="265" t="s">
        <v>77</v>
      </c>
      <c r="Q116" s="265">
        <v>0</v>
      </c>
      <c r="R116" s="265">
        <v>0</v>
      </c>
      <c r="S116" s="265">
        <v>0</v>
      </c>
      <c r="T116" s="348">
        <v>0.02</v>
      </c>
      <c r="U116" s="265">
        <v>0</v>
      </c>
      <c r="V116" s="348">
        <v>0.02</v>
      </c>
      <c r="W116" s="348">
        <v>0</v>
      </c>
    </row>
    <row r="117" spans="1:23" s="17" customFormat="1" ht="46.5" customHeight="1">
      <c r="A117" s="5" t="str">
        <f>IF(K117&gt;0,COUNT($A$7:A116)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7" s="583"/>
      <c r="C117" s="584"/>
      <c r="D117" s="106" t="s">
        <v>1626</v>
      </c>
      <c r="E117" s="106">
        <v>100028627</v>
      </c>
      <c r="F117" s="55" t="s">
        <v>1627</v>
      </c>
      <c r="G117" s="106">
        <v>1</v>
      </c>
      <c r="H117" s="106">
        <v>0</v>
      </c>
      <c r="I117" s="128">
        <f>_xlfn.XLOOKUP(E117,'All Products'!D:D,'All Products'!H:H)</f>
        <v>27.21</v>
      </c>
      <c r="J117" s="133">
        <f>ROUNDUP(I117*Order_Quote!$L$13,2)</f>
        <v>136.05000000000001</v>
      </c>
      <c r="K117" s="76"/>
      <c r="L117" s="79"/>
      <c r="M117" s="107">
        <f t="shared" si="3"/>
        <v>0</v>
      </c>
      <c r="O117" s="265" t="s">
        <v>1351</v>
      </c>
      <c r="P117" s="265" t="s">
        <v>77</v>
      </c>
      <c r="Q117" s="265">
        <v>0</v>
      </c>
      <c r="R117" s="265">
        <v>0</v>
      </c>
      <c r="S117" s="265">
        <v>0</v>
      </c>
      <c r="T117" s="348">
        <v>0.02</v>
      </c>
      <c r="U117" s="265">
        <v>0</v>
      </c>
      <c r="V117" s="348">
        <v>0.02</v>
      </c>
      <c r="W117" s="348">
        <v>0</v>
      </c>
    </row>
    <row r="118" spans="1:23" s="17" customFormat="1">
      <c r="A118" s="5" t="str">
        <f>IF(K118&gt;0,COUNT($A$7:A117)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8" s="577"/>
      <c r="C118" s="578"/>
      <c r="D118" s="106" t="s">
        <v>1628</v>
      </c>
      <c r="E118" s="106">
        <v>100028574</v>
      </c>
      <c r="F118" s="55" t="s">
        <v>1629</v>
      </c>
      <c r="G118" s="106">
        <v>1</v>
      </c>
      <c r="H118" s="106">
        <v>0</v>
      </c>
      <c r="I118" s="128">
        <f>_xlfn.XLOOKUP(E118,'All Products'!D:D,'All Products'!H:H)</f>
        <v>2.57</v>
      </c>
      <c r="J118" s="133">
        <f>ROUNDUP(I118*Order_Quote!$L$13,2)</f>
        <v>12.85</v>
      </c>
      <c r="K118" s="76"/>
      <c r="L118" s="79"/>
      <c r="M118" s="107">
        <f t="shared" si="3"/>
        <v>0</v>
      </c>
      <c r="O118" s="265" t="s">
        <v>369</v>
      </c>
      <c r="P118" s="265" t="s">
        <v>77</v>
      </c>
      <c r="Q118" s="265">
        <v>0</v>
      </c>
      <c r="R118" s="265">
        <v>0</v>
      </c>
      <c r="S118" s="265">
        <v>0</v>
      </c>
      <c r="T118" s="348">
        <v>0.02</v>
      </c>
      <c r="U118" s="265">
        <v>0</v>
      </c>
      <c r="V118" s="348">
        <v>0.02</v>
      </c>
      <c r="W118" s="348">
        <v>0</v>
      </c>
    </row>
    <row r="119" spans="1:23" s="17" customFormat="1">
      <c r="A119" s="5" t="str">
        <f>IF(K119&gt;0,COUNT($A$7:A118)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19" s="579"/>
      <c r="C119" s="580"/>
      <c r="D119" s="106" t="s">
        <v>1630</v>
      </c>
      <c r="E119" s="106">
        <v>100028576</v>
      </c>
      <c r="F119" s="55" t="s">
        <v>1631</v>
      </c>
      <c r="G119" s="106">
        <v>1</v>
      </c>
      <c r="H119" s="106">
        <v>0</v>
      </c>
      <c r="I119" s="128">
        <f>_xlfn.XLOOKUP(E119,'All Products'!D:D,'All Products'!H:H)</f>
        <v>2.78</v>
      </c>
      <c r="J119" s="133">
        <f>ROUNDUP(I119*Order_Quote!$L$13,2)</f>
        <v>13.9</v>
      </c>
      <c r="K119" s="76"/>
      <c r="L119" s="79"/>
      <c r="M119" s="107">
        <f t="shared" si="3"/>
        <v>0</v>
      </c>
      <c r="O119" s="265" t="s">
        <v>369</v>
      </c>
      <c r="P119" s="265" t="s">
        <v>77</v>
      </c>
      <c r="Q119" s="265">
        <v>0</v>
      </c>
      <c r="R119" s="265">
        <v>0</v>
      </c>
      <c r="S119" s="265">
        <v>0</v>
      </c>
      <c r="T119" s="348">
        <v>0</v>
      </c>
      <c r="U119" s="265">
        <v>0</v>
      </c>
      <c r="V119" s="348">
        <v>0</v>
      </c>
      <c r="W119" s="348">
        <v>0</v>
      </c>
    </row>
    <row r="120" spans="1:23" s="17" customFormat="1">
      <c r="A120" s="5" t="str">
        <f>IF(K120&gt;0,COUNT($A$7:A119)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0" s="579"/>
      <c r="C120" s="580"/>
      <c r="D120" s="106" t="s">
        <v>1632</v>
      </c>
      <c r="E120" s="106">
        <v>100028578</v>
      </c>
      <c r="F120" s="55" t="s">
        <v>1633</v>
      </c>
      <c r="G120" s="106">
        <v>1</v>
      </c>
      <c r="H120" s="106">
        <v>0</v>
      </c>
      <c r="I120" s="128">
        <f>_xlfn.XLOOKUP(E120,'All Products'!D:D,'All Products'!H:H)</f>
        <v>4.51</v>
      </c>
      <c r="J120" s="133">
        <f>ROUNDUP(I120*Order_Quote!$L$13,2)</f>
        <v>22.55</v>
      </c>
      <c r="K120" s="76"/>
      <c r="L120" s="79"/>
      <c r="M120" s="107">
        <f t="shared" si="3"/>
        <v>0</v>
      </c>
      <c r="O120" s="265" t="s">
        <v>369</v>
      </c>
      <c r="P120" s="265" t="s">
        <v>77</v>
      </c>
      <c r="Q120" s="265">
        <v>0</v>
      </c>
      <c r="R120" s="265">
        <v>0</v>
      </c>
      <c r="S120" s="265">
        <v>0</v>
      </c>
      <c r="T120" s="348">
        <v>0.06</v>
      </c>
      <c r="U120" s="265">
        <v>0</v>
      </c>
      <c r="V120" s="348">
        <v>0.06</v>
      </c>
      <c r="W120" s="348">
        <v>0</v>
      </c>
    </row>
    <row r="121" spans="1:23" s="17" customFormat="1">
      <c r="A121" s="5" t="str">
        <f>IF(K121&gt;0,COUNT($A$7:A120)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1" s="579"/>
      <c r="C121" s="580"/>
      <c r="D121" s="106" t="s">
        <v>1634</v>
      </c>
      <c r="E121" s="106">
        <v>100028579</v>
      </c>
      <c r="F121" s="55" t="s">
        <v>1635</v>
      </c>
      <c r="G121" s="106">
        <v>10</v>
      </c>
      <c r="H121" s="106">
        <v>0</v>
      </c>
      <c r="I121" s="128">
        <f>_xlfn.XLOOKUP(E121,'All Products'!D:D,'All Products'!H:H)</f>
        <v>4.51</v>
      </c>
      <c r="J121" s="133">
        <f>ROUNDUP(I121*Order_Quote!$L$13,2)</f>
        <v>22.55</v>
      </c>
      <c r="K121" s="76"/>
      <c r="L121" s="79"/>
      <c r="M121" s="107">
        <f t="shared" si="3"/>
        <v>0</v>
      </c>
      <c r="O121" s="265" t="s">
        <v>369</v>
      </c>
      <c r="P121" s="265" t="s">
        <v>77</v>
      </c>
      <c r="Q121" s="265">
        <v>0</v>
      </c>
      <c r="R121" s="265">
        <v>0</v>
      </c>
      <c r="S121" s="265">
        <v>0</v>
      </c>
      <c r="T121" s="348">
        <v>0.06</v>
      </c>
      <c r="U121" s="265">
        <v>0</v>
      </c>
      <c r="V121" s="348">
        <v>0.06</v>
      </c>
      <c r="W121" s="348">
        <v>0</v>
      </c>
    </row>
    <row r="122" spans="1:23" s="17" customFormat="1">
      <c r="A122" s="5" t="str">
        <f>IF(K122&gt;0,COUNT($A$7:A121)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2" s="579"/>
      <c r="C122" s="580"/>
      <c r="D122" s="106" t="s">
        <v>1636</v>
      </c>
      <c r="E122" s="106">
        <v>100028580</v>
      </c>
      <c r="F122" s="55" t="s">
        <v>1637</v>
      </c>
      <c r="G122" s="106">
        <v>10</v>
      </c>
      <c r="H122" s="106">
        <v>0</v>
      </c>
      <c r="I122" s="128">
        <f>_xlfn.XLOOKUP(E122,'All Products'!D:D,'All Products'!H:H)</f>
        <v>5.58</v>
      </c>
      <c r="J122" s="133">
        <f>ROUNDUP(I122*Order_Quote!$L$13,2)</f>
        <v>27.9</v>
      </c>
      <c r="K122" s="76"/>
      <c r="L122" s="79"/>
      <c r="M122" s="107">
        <f t="shared" si="3"/>
        <v>0</v>
      </c>
      <c r="O122" s="265" t="s">
        <v>369</v>
      </c>
      <c r="P122" s="265" t="s">
        <v>77</v>
      </c>
      <c r="Q122" s="265">
        <v>0</v>
      </c>
      <c r="R122" s="265">
        <v>0</v>
      </c>
      <c r="S122" s="265">
        <v>0</v>
      </c>
      <c r="T122" s="348">
        <v>0.11</v>
      </c>
      <c r="U122" s="265">
        <v>0</v>
      </c>
      <c r="V122" s="348">
        <v>0.11</v>
      </c>
      <c r="W122" s="348">
        <v>0</v>
      </c>
    </row>
    <row r="123" spans="1:23" s="17" customFormat="1">
      <c r="A123" s="5" t="str">
        <f>IF(K123&gt;0,COUNT($A$7:A122)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3" s="579"/>
      <c r="C123" s="580"/>
      <c r="D123" s="106" t="s">
        <v>1638</v>
      </c>
      <c r="E123" s="106">
        <v>100028581</v>
      </c>
      <c r="F123" s="55" t="s">
        <v>1639</v>
      </c>
      <c r="G123" s="106">
        <v>1</v>
      </c>
      <c r="H123" s="106">
        <v>0</v>
      </c>
      <c r="I123" s="128">
        <f>_xlfn.XLOOKUP(E123,'All Products'!D:D,'All Products'!H:H)</f>
        <v>8.0500000000000007</v>
      </c>
      <c r="J123" s="133">
        <f>ROUNDUP(I123*Order_Quote!$L$13,2)</f>
        <v>40.25</v>
      </c>
      <c r="K123" s="76"/>
      <c r="L123" s="79"/>
      <c r="M123" s="107">
        <f t="shared" si="3"/>
        <v>0</v>
      </c>
      <c r="O123" s="265" t="s">
        <v>1351</v>
      </c>
      <c r="P123" s="265" t="s">
        <v>77</v>
      </c>
      <c r="Q123" s="265">
        <v>0</v>
      </c>
      <c r="R123" s="265">
        <v>0</v>
      </c>
      <c r="S123" s="265">
        <v>0</v>
      </c>
      <c r="T123" s="348">
        <v>0.16</v>
      </c>
      <c r="U123" s="265">
        <v>0</v>
      </c>
      <c r="V123" s="348">
        <v>0.16</v>
      </c>
      <c r="W123" s="348">
        <v>0</v>
      </c>
    </row>
    <row r="124" spans="1:23" s="17" customFormat="1">
      <c r="A124" s="5" t="str">
        <f>IF(K124&gt;0,COUNT($A$7:A123)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4" s="579"/>
      <c r="C124" s="580"/>
      <c r="D124" s="106" t="s">
        <v>1640</v>
      </c>
      <c r="E124" s="106">
        <v>100028582</v>
      </c>
      <c r="F124" s="55" t="s">
        <v>1641</v>
      </c>
      <c r="G124" s="106">
        <v>1</v>
      </c>
      <c r="H124" s="106">
        <v>0</v>
      </c>
      <c r="I124" s="128">
        <f>_xlfn.XLOOKUP(E124,'All Products'!D:D,'All Products'!H:H)</f>
        <v>10.199999999999999</v>
      </c>
      <c r="J124" s="133">
        <f>ROUNDUP(I124*Order_Quote!$L$13,2)</f>
        <v>51</v>
      </c>
      <c r="K124" s="76"/>
      <c r="L124" s="79"/>
      <c r="M124" s="107">
        <f t="shared" si="3"/>
        <v>0</v>
      </c>
      <c r="O124" s="265" t="s">
        <v>369</v>
      </c>
      <c r="P124" s="265" t="s">
        <v>77</v>
      </c>
      <c r="Q124" s="265">
        <v>0</v>
      </c>
      <c r="R124" s="265">
        <v>0</v>
      </c>
      <c r="S124" s="265">
        <v>0</v>
      </c>
      <c r="T124" s="348">
        <v>0.79</v>
      </c>
      <c r="U124" s="265">
        <v>0</v>
      </c>
      <c r="V124" s="348">
        <v>0.79</v>
      </c>
      <c r="W124" s="348">
        <v>0</v>
      </c>
    </row>
    <row r="125" spans="1:23" s="17" customFormat="1">
      <c r="A125" s="5" t="str">
        <f>IF(K125&gt;0,COUNT($A$7:A124)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5" s="579"/>
      <c r="C125" s="580"/>
      <c r="D125" s="106" t="s">
        <v>1642</v>
      </c>
      <c r="E125" s="106">
        <v>100028583</v>
      </c>
      <c r="F125" s="55" t="s">
        <v>1643</v>
      </c>
      <c r="G125" s="106">
        <v>1</v>
      </c>
      <c r="H125" s="106">
        <v>0</v>
      </c>
      <c r="I125" s="128">
        <f>_xlfn.XLOOKUP(E125,'All Products'!D:D,'All Products'!H:H)</f>
        <v>16.850000000000001</v>
      </c>
      <c r="J125" s="133">
        <f>ROUNDUP(I125*Order_Quote!$L$13,2)</f>
        <v>84.25</v>
      </c>
      <c r="K125" s="76"/>
      <c r="L125" s="79"/>
      <c r="M125" s="107">
        <f t="shared" si="3"/>
        <v>0</v>
      </c>
      <c r="O125" s="265" t="s">
        <v>369</v>
      </c>
      <c r="P125" s="265" t="s">
        <v>77</v>
      </c>
      <c r="Q125" s="265">
        <v>0</v>
      </c>
      <c r="R125" s="265">
        <v>0</v>
      </c>
      <c r="S125" s="265">
        <v>0</v>
      </c>
      <c r="T125" s="348">
        <v>0.38</v>
      </c>
      <c r="U125" s="265">
        <v>0</v>
      </c>
      <c r="V125" s="348">
        <v>0.38</v>
      </c>
      <c r="W125" s="348">
        <v>0</v>
      </c>
    </row>
    <row r="126" spans="1:23" s="17" customFormat="1">
      <c r="A126" s="5" t="str">
        <f>IF(K126&gt;0,COUNT($A$7:A125)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6" s="581"/>
      <c r="C126" s="582"/>
      <c r="D126" s="106" t="s">
        <v>1644</v>
      </c>
      <c r="E126" s="106">
        <v>100028584</v>
      </c>
      <c r="F126" s="55" t="s">
        <v>1645</v>
      </c>
      <c r="G126" s="106">
        <v>1</v>
      </c>
      <c r="H126" s="106">
        <v>0</v>
      </c>
      <c r="I126" s="128">
        <f>_xlfn.XLOOKUP(E126,'All Products'!D:D,'All Products'!H:H)</f>
        <v>30.51</v>
      </c>
      <c r="J126" s="133">
        <f>ROUNDUP(I126*Order_Quote!$L$13,2)</f>
        <v>152.55000000000001</v>
      </c>
      <c r="K126" s="76"/>
      <c r="L126" s="79"/>
      <c r="M126" s="107">
        <f t="shared" si="3"/>
        <v>0</v>
      </c>
      <c r="O126" s="265" t="s">
        <v>1351</v>
      </c>
      <c r="P126" s="265" t="s">
        <v>77</v>
      </c>
      <c r="Q126" s="265">
        <v>0</v>
      </c>
      <c r="R126" s="265">
        <v>0</v>
      </c>
      <c r="S126" s="265">
        <v>0</v>
      </c>
      <c r="T126" s="348">
        <v>0.79</v>
      </c>
      <c r="U126" s="265">
        <v>0</v>
      </c>
      <c r="V126" s="348">
        <v>0.79</v>
      </c>
      <c r="W126" s="348">
        <v>0</v>
      </c>
    </row>
    <row r="127" spans="1:23" s="17" customFormat="1">
      <c r="A127" s="5" t="str">
        <f>IF(K127&gt;0,COUNT($A$7:A126)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7" s="577"/>
      <c r="C127" s="578"/>
      <c r="D127" s="106" t="s">
        <v>1646</v>
      </c>
      <c r="E127" s="106">
        <v>100028570</v>
      </c>
      <c r="F127" s="55" t="s">
        <v>1647</v>
      </c>
      <c r="G127" s="106">
        <v>1</v>
      </c>
      <c r="H127" s="106">
        <v>0</v>
      </c>
      <c r="I127" s="128">
        <f>_xlfn.XLOOKUP(E127,'All Products'!D:D,'All Products'!H:H)</f>
        <v>76.56</v>
      </c>
      <c r="J127" s="133">
        <f>ROUNDUP(I127*Order_Quote!$L$13,2)</f>
        <v>382.8</v>
      </c>
      <c r="K127" s="76"/>
      <c r="L127" s="79"/>
      <c r="M127" s="107">
        <f t="shared" si="3"/>
        <v>0</v>
      </c>
      <c r="O127" s="265" t="s">
        <v>369</v>
      </c>
      <c r="P127" s="265" t="s">
        <v>77</v>
      </c>
      <c r="Q127" s="265">
        <v>0</v>
      </c>
      <c r="R127" s="265">
        <v>0</v>
      </c>
      <c r="S127" s="265">
        <v>0</v>
      </c>
      <c r="T127" s="348">
        <v>0.46</v>
      </c>
      <c r="U127" s="265">
        <v>0</v>
      </c>
      <c r="V127" s="348">
        <v>0.46</v>
      </c>
      <c r="W127" s="348">
        <v>0</v>
      </c>
    </row>
    <row r="128" spans="1:23" s="17" customFormat="1">
      <c r="A128" s="5" t="str">
        <f>IF(K128&gt;0,COUNT($A$7:A127)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8" s="579"/>
      <c r="C128" s="580"/>
      <c r="D128" s="106" t="s">
        <v>1648</v>
      </c>
      <c r="E128" s="106">
        <v>100028571</v>
      </c>
      <c r="F128" s="55" t="s">
        <v>1649</v>
      </c>
      <c r="G128" s="106">
        <v>1</v>
      </c>
      <c r="H128" s="106">
        <v>0</v>
      </c>
      <c r="I128" s="128">
        <f>_xlfn.XLOOKUP(E128,'All Products'!D:D,'All Products'!H:H)</f>
        <v>76.56</v>
      </c>
      <c r="J128" s="133">
        <f>ROUNDUP(I128*Order_Quote!$L$13,2)</f>
        <v>382.8</v>
      </c>
      <c r="K128" s="76"/>
      <c r="L128" s="79"/>
      <c r="M128" s="107">
        <f t="shared" si="3"/>
        <v>0</v>
      </c>
      <c r="O128" s="265" t="s">
        <v>369</v>
      </c>
      <c r="P128" s="265" t="s">
        <v>77</v>
      </c>
      <c r="Q128" s="265">
        <v>0</v>
      </c>
      <c r="R128" s="265">
        <v>0</v>
      </c>
      <c r="S128" s="265">
        <v>0</v>
      </c>
      <c r="T128" s="348">
        <v>0.46</v>
      </c>
      <c r="U128" s="265">
        <v>0</v>
      </c>
      <c r="V128" s="348">
        <v>0.46</v>
      </c>
      <c r="W128" s="348">
        <v>0</v>
      </c>
    </row>
    <row r="129" spans="1:23" s="17" customFormat="1">
      <c r="A129" s="5" t="str">
        <f>IF(K129&gt;0,COUNT($A$7:A128)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29" s="579"/>
      <c r="C129" s="580"/>
      <c r="D129" s="106" t="s">
        <v>1650</v>
      </c>
      <c r="E129" s="106">
        <v>100028572</v>
      </c>
      <c r="F129" s="55" t="s">
        <v>1651</v>
      </c>
      <c r="G129" s="106">
        <v>1</v>
      </c>
      <c r="H129" s="106">
        <v>0</v>
      </c>
      <c r="I129" s="128">
        <f>_xlfn.XLOOKUP(E129,'All Products'!D:D,'All Products'!H:H)</f>
        <v>76.56</v>
      </c>
      <c r="J129" s="133">
        <f>ROUNDUP(I129*Order_Quote!$L$13,2)</f>
        <v>382.8</v>
      </c>
      <c r="K129" s="76"/>
      <c r="L129" s="79"/>
      <c r="M129" s="107">
        <f t="shared" si="3"/>
        <v>0</v>
      </c>
      <c r="O129" s="265" t="s">
        <v>1351</v>
      </c>
      <c r="P129" s="265" t="s">
        <v>77</v>
      </c>
      <c r="Q129" s="265">
        <v>0</v>
      </c>
      <c r="R129" s="265">
        <v>0</v>
      </c>
      <c r="S129" s="265">
        <v>0</v>
      </c>
      <c r="T129" s="348">
        <v>0.46</v>
      </c>
      <c r="U129" s="265">
        <v>0</v>
      </c>
      <c r="V129" s="348">
        <v>0.46</v>
      </c>
      <c r="W129" s="348">
        <v>0</v>
      </c>
    </row>
    <row r="130" spans="1:23" s="17" customFormat="1">
      <c r="A130" s="5" t="str">
        <f>IF(K130&gt;0,COUNT($A$7:A129)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30" s="579"/>
      <c r="C130" s="580"/>
      <c r="D130" s="106" t="s">
        <v>1652</v>
      </c>
      <c r="E130" s="106">
        <v>100028573</v>
      </c>
      <c r="F130" s="55" t="s">
        <v>1653</v>
      </c>
      <c r="G130" s="106">
        <v>10</v>
      </c>
      <c r="H130" s="106">
        <v>0</v>
      </c>
      <c r="I130" s="128">
        <f>_xlfn.XLOOKUP(E130,'All Products'!D:D,'All Products'!H:H)</f>
        <v>86.85</v>
      </c>
      <c r="J130" s="133">
        <f>ROUNDUP(I130*Order_Quote!$L$13,2)</f>
        <v>434.25</v>
      </c>
      <c r="K130" s="76"/>
      <c r="L130" s="79"/>
      <c r="M130" s="107">
        <f t="shared" si="3"/>
        <v>0</v>
      </c>
      <c r="O130" s="265" t="s">
        <v>369</v>
      </c>
      <c r="P130" s="265" t="s">
        <v>77</v>
      </c>
      <c r="Q130" s="265">
        <v>0</v>
      </c>
      <c r="R130" s="265">
        <v>0</v>
      </c>
      <c r="S130" s="265">
        <v>0</v>
      </c>
      <c r="T130" s="348">
        <v>0.61</v>
      </c>
      <c r="U130" s="265">
        <v>0</v>
      </c>
      <c r="V130" s="348">
        <v>0.61</v>
      </c>
      <c r="W130" s="348">
        <v>0</v>
      </c>
    </row>
    <row r="131" spans="1:23" s="17" customFormat="1">
      <c r="A131" s="5" t="str">
        <f>IF(K131&gt;0,COUNT($A$7:A130)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+COUNT(InsertFittings!$A$8:$A$236)+1,"")</f>
        <v/>
      </c>
      <c r="B131" s="581"/>
      <c r="C131" s="582"/>
      <c r="D131" s="106" t="s">
        <v>1654</v>
      </c>
      <c r="E131" s="106">
        <v>100028575</v>
      </c>
      <c r="F131" s="55" t="s">
        <v>1655</v>
      </c>
      <c r="G131" s="106">
        <v>1</v>
      </c>
      <c r="H131" s="106">
        <v>0</v>
      </c>
      <c r="I131" s="128">
        <f>_xlfn.XLOOKUP(E131,'All Products'!D:D,'All Products'!H:H)</f>
        <v>107.17</v>
      </c>
      <c r="J131" s="133">
        <f>ROUNDUP(I131*Order_Quote!$L$13,2)</f>
        <v>535.85</v>
      </c>
      <c r="K131" s="76"/>
      <c r="L131" s="79"/>
      <c r="M131" s="107">
        <f t="shared" si="3"/>
        <v>0</v>
      </c>
      <c r="O131" s="265" t="s">
        <v>1351</v>
      </c>
      <c r="P131" s="265" t="s">
        <v>77</v>
      </c>
      <c r="Q131" s="265">
        <v>0</v>
      </c>
      <c r="R131" s="265">
        <v>0</v>
      </c>
      <c r="S131" s="265">
        <v>0</v>
      </c>
      <c r="T131" s="348">
        <v>1.01</v>
      </c>
      <c r="U131" s="265">
        <v>0</v>
      </c>
      <c r="V131" s="348">
        <v>1.01</v>
      </c>
      <c r="W131" s="348">
        <v>0</v>
      </c>
    </row>
    <row r="132" spans="1:23" s="17" customFormat="1">
      <c r="A132" s="14">
        <f>MAX(A8:A131)+1</f>
        <v>1</v>
      </c>
      <c r="B132"/>
      <c r="C132"/>
      <c r="D132"/>
      <c r="E132"/>
      <c r="F132"/>
      <c r="G132"/>
      <c r="H132"/>
      <c r="I132"/>
      <c r="J132"/>
      <c r="K132"/>
      <c r="L132"/>
      <c r="M132"/>
      <c r="O132"/>
      <c r="P132"/>
    </row>
    <row r="133" spans="1:23"/>
    <row r="134" spans="1:23"/>
    <row r="135" spans="1:23"/>
    <row r="136" spans="1:23"/>
    <row r="137" spans="1:23"/>
    <row r="138" spans="1:23"/>
    <row r="139" spans="1:23"/>
    <row r="140" spans="1:23"/>
    <row r="141" spans="1:23"/>
    <row r="142" spans="1:23"/>
    <row r="143" spans="1:23"/>
    <row r="144" spans="1:23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</sheetData>
  <sheetProtection algorithmName="SHA-512" hashValue="xJ3IuIMCkBvTfQaC2lw4VYG+MYDiCqwHRUuoAoHX/kVOFKtLs5q1IP+LxLNhkkyRTY6Idzw1nAjncqtd9pDvig==" saltValue="qu9r0YNbW8JwmS3ZLNZEZg==" spinCount="100000" sheet="1" formatCells="0" formatColumns="0" formatRows="0" insertColumns="0" insertRows="0" insertHyperlinks="0" deleteColumns="0" deleteRows="0" sort="0" pivotTables="0"/>
  <mergeCells count="29">
    <mergeCell ref="J2:K3"/>
    <mergeCell ref="B103:C105"/>
    <mergeCell ref="B44:C46"/>
    <mergeCell ref="B72:C73"/>
    <mergeCell ref="B63:C67"/>
    <mergeCell ref="B68:C71"/>
    <mergeCell ref="B80:C85"/>
    <mergeCell ref="B56:C62"/>
    <mergeCell ref="B47:C55"/>
    <mergeCell ref="B35:C43"/>
    <mergeCell ref="B74:C79"/>
    <mergeCell ref="B91:C91"/>
    <mergeCell ref="B86:C87"/>
    <mergeCell ref="B88:C89"/>
    <mergeCell ref="B99:C102"/>
    <mergeCell ref="Q6:S6"/>
    <mergeCell ref="B127:C131"/>
    <mergeCell ref="B118:C126"/>
    <mergeCell ref="B116:C116"/>
    <mergeCell ref="B117:C117"/>
    <mergeCell ref="B26:C34"/>
    <mergeCell ref="B110:C110"/>
    <mergeCell ref="B111:C115"/>
    <mergeCell ref="B90:C90"/>
    <mergeCell ref="B109:C109"/>
    <mergeCell ref="B92:C98"/>
    <mergeCell ref="B17:C25"/>
    <mergeCell ref="B8:C16"/>
    <mergeCell ref="B106:C108"/>
  </mergeCells>
  <dataValidations count="3"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300-000000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K136:L65393 L1:L43 K6:K43" xr:uid="{00000000-0002-0000-0300-000001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K8:L131" xr:uid="{00000000-0002-0000-0300-000002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3" manualBreakCount="3">
    <brk id="46" max="8" man="1"/>
    <brk id="85" max="8" man="1"/>
    <brk id="108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/>
    <pageSetUpPr fitToPage="1"/>
  </sheetPr>
  <dimension ref="A1:V188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2.28515625" style="104" customWidth="1"/>
    <col min="2" max="3" width="8.7109375" style="17" customWidth="1"/>
    <col min="4" max="5" width="12.7109375" style="17" customWidth="1"/>
    <col min="6" max="6" width="50.7109375" style="217" customWidth="1"/>
    <col min="7" max="8" width="10.7109375" style="17" customWidth="1"/>
    <col min="9" max="10" width="10.7109375" style="25" customWidth="1"/>
    <col min="11" max="11" width="10.7109375" style="17" customWidth="1"/>
    <col min="12" max="12" width="1.42578125" style="17" customWidth="1"/>
    <col min="13" max="13" width="10.7109375" style="17" customWidth="1"/>
    <col min="14" max="14" width="2.28515625" style="17" customWidth="1"/>
    <col min="15" max="15" width="12.7109375" style="17" customWidth="1"/>
    <col min="16" max="16" width="10.7109375" style="17" customWidth="1"/>
    <col min="17" max="17" width="11.28515625" style="17" bestFit="1" customWidth="1"/>
    <col min="18" max="18" width="9.140625" style="17" customWidth="1"/>
    <col min="19" max="19" width="13.140625" style="17" bestFit="1" customWidth="1"/>
    <col min="20" max="21" width="9.140625" style="17" customWidth="1"/>
    <col min="22" max="16384" width="9.140625" style="17"/>
  </cols>
  <sheetData>
    <row r="1" spans="1:22" ht="18.75">
      <c r="F1" s="173" t="s">
        <v>1656</v>
      </c>
      <c r="G1" s="236"/>
      <c r="H1" s="236"/>
      <c r="O1" s="236"/>
      <c r="P1" s="236"/>
    </row>
    <row r="2" spans="1:22" ht="15.75">
      <c r="D2" s="270"/>
      <c r="E2" s="268"/>
      <c r="J2" s="628" t="s">
        <v>59</v>
      </c>
      <c r="K2" s="628"/>
    </row>
    <row r="3" spans="1:22">
      <c r="D3" s="20"/>
      <c r="E3" s="20"/>
      <c r="F3" s="436" t="s">
        <v>1657</v>
      </c>
      <c r="G3" s="4"/>
      <c r="H3" s="4"/>
      <c r="J3" s="628"/>
      <c r="K3" s="628"/>
    </row>
    <row r="4" spans="1:22">
      <c r="E4" s="104" t="s">
        <v>1658</v>
      </c>
      <c r="F4" s="440" t="s">
        <v>1658</v>
      </c>
      <c r="G4" s="4"/>
      <c r="H4" s="4"/>
      <c r="J4" s="21"/>
    </row>
    <row r="5" spans="1:22">
      <c r="F5" s="438" t="s">
        <v>329</v>
      </c>
      <c r="G5" s="4"/>
      <c r="H5" s="4"/>
      <c r="J5" s="21"/>
    </row>
    <row r="6" spans="1:22">
      <c r="J6" s="21"/>
      <c r="O6" s="486" t="s">
        <v>63</v>
      </c>
      <c r="Q6" s="576" t="s">
        <v>64</v>
      </c>
      <c r="R6" s="576"/>
      <c r="S6" s="576"/>
    </row>
    <row r="7" spans="1:22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22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330</v>
      </c>
      <c r="V7" s="263" t="s">
        <v>331</v>
      </c>
    </row>
    <row r="8" spans="1:22">
      <c r="A8" s="104" t="str">
        <f>IF(K8&gt;0,COUNT($A$7:A7)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" s="577"/>
      <c r="C8" s="578"/>
      <c r="D8" s="53" t="s">
        <v>1659</v>
      </c>
      <c r="E8" s="54">
        <v>100029248</v>
      </c>
      <c r="F8" s="55" t="s">
        <v>1660</v>
      </c>
      <c r="G8" s="129">
        <v>30</v>
      </c>
      <c r="H8" s="129">
        <v>1890</v>
      </c>
      <c r="I8" s="128">
        <f>_xlfn.XLOOKUP(E8,'All Products'!D:D,'All Products'!H:H)</f>
        <v>10.65</v>
      </c>
      <c r="J8" s="135">
        <f>ROUNDUP(I8*Order_Quote!$L$14,2)</f>
        <v>53.25</v>
      </c>
      <c r="K8" s="127"/>
      <c r="L8" s="79"/>
      <c r="M8" s="117">
        <f t="shared" ref="M8:M37" si="0">K8/G8</f>
        <v>0</v>
      </c>
      <c r="O8" s="265" t="s">
        <v>76</v>
      </c>
      <c r="P8" s="265" t="s">
        <v>102</v>
      </c>
      <c r="Q8" s="265" t="s">
        <v>1661</v>
      </c>
      <c r="R8" s="265">
        <v>0</v>
      </c>
      <c r="S8" s="265" t="s">
        <v>1662</v>
      </c>
      <c r="T8" s="347">
        <v>0.123</v>
      </c>
      <c r="U8" s="348">
        <v>4.95</v>
      </c>
      <c r="V8" s="348">
        <v>0.66940792428507967</v>
      </c>
    </row>
    <row r="9" spans="1:22">
      <c r="A9" s="104" t="str">
        <f>IF(K9&gt;0,COUNT($A$7:A8)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" s="579"/>
      <c r="C9" s="580"/>
      <c r="D9" s="53" t="s">
        <v>1663</v>
      </c>
      <c r="E9" s="54">
        <v>100029137</v>
      </c>
      <c r="F9" s="55" t="s">
        <v>1664</v>
      </c>
      <c r="G9" s="129">
        <v>24</v>
      </c>
      <c r="H9" s="129">
        <v>1512</v>
      </c>
      <c r="I9" s="128">
        <f>_xlfn.XLOOKUP(E9,'All Products'!D:D,'All Products'!H:H)</f>
        <v>13.77</v>
      </c>
      <c r="J9" s="135">
        <f>ROUNDUP(I9*Order_Quote!$L$14,2)</f>
        <v>68.849999999999994</v>
      </c>
      <c r="K9" s="127"/>
      <c r="L9" s="79"/>
      <c r="M9" s="117">
        <f t="shared" si="0"/>
        <v>0</v>
      </c>
      <c r="O9" s="265" t="s">
        <v>76</v>
      </c>
      <c r="P9" s="265" t="s">
        <v>102</v>
      </c>
      <c r="Q9" s="265" t="s">
        <v>1665</v>
      </c>
      <c r="R9" s="265">
        <v>0</v>
      </c>
      <c r="S9" s="265" t="s">
        <v>1666</v>
      </c>
      <c r="T9" s="347">
        <v>0.26400000000000001</v>
      </c>
      <c r="U9" s="348">
        <v>7.6080000000000005</v>
      </c>
      <c r="V9" s="348">
        <v>0.66940792428507967</v>
      </c>
    </row>
    <row r="10" spans="1:22">
      <c r="A10" s="104" t="str">
        <f>IF(K10&gt;0,COUNT($A$7:A9)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" s="579"/>
      <c r="C10" s="580"/>
      <c r="D10" s="53" t="s">
        <v>1667</v>
      </c>
      <c r="E10" s="54">
        <v>100029250</v>
      </c>
      <c r="F10" s="55" t="s">
        <v>1668</v>
      </c>
      <c r="G10" s="129">
        <v>24</v>
      </c>
      <c r="H10" s="129">
        <v>432</v>
      </c>
      <c r="I10" s="128">
        <f>_xlfn.XLOOKUP(E10,'All Products'!D:D,'All Products'!H:H)</f>
        <v>50.42</v>
      </c>
      <c r="J10" s="135">
        <f>ROUNDUP(I10*Order_Quote!$L$14,2)</f>
        <v>252.1</v>
      </c>
      <c r="K10" s="123"/>
      <c r="L10" s="79"/>
      <c r="M10" s="117">
        <f t="shared" si="0"/>
        <v>0</v>
      </c>
      <c r="O10" s="265" t="s">
        <v>76</v>
      </c>
      <c r="P10" s="265" t="s">
        <v>102</v>
      </c>
      <c r="Q10" s="265" t="s">
        <v>1669</v>
      </c>
      <c r="R10" s="265">
        <v>0</v>
      </c>
      <c r="S10" s="265" t="s">
        <v>1670</v>
      </c>
      <c r="T10" s="347">
        <v>0.91600000000000004</v>
      </c>
      <c r="U10" s="348">
        <v>23.856000000000002</v>
      </c>
      <c r="V10" s="348">
        <v>2.361325291407383</v>
      </c>
    </row>
    <row r="11" spans="1:22">
      <c r="A11" s="104" t="str">
        <f>IF(K11&gt;0,COUNT($A$7:A10)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" s="581"/>
      <c r="C11" s="582"/>
      <c r="D11" s="53" t="s">
        <v>1671</v>
      </c>
      <c r="E11" s="54">
        <v>100029249</v>
      </c>
      <c r="F11" s="55" t="s">
        <v>1672</v>
      </c>
      <c r="G11" s="129">
        <v>6</v>
      </c>
      <c r="H11" s="129">
        <v>144</v>
      </c>
      <c r="I11" s="128">
        <f>_xlfn.XLOOKUP(E11,'All Products'!D:D,'All Products'!H:H)</f>
        <v>165.09</v>
      </c>
      <c r="J11" s="135">
        <f>ROUNDUP(I11*Order_Quote!$L$14,2)</f>
        <v>825.45</v>
      </c>
      <c r="K11" s="123"/>
      <c r="L11" s="79"/>
      <c r="M11" s="117">
        <f t="shared" si="0"/>
        <v>0</v>
      </c>
      <c r="O11" s="265" t="s">
        <v>76</v>
      </c>
      <c r="P11" s="265" t="s">
        <v>102</v>
      </c>
      <c r="Q11" s="265" t="s">
        <v>1673</v>
      </c>
      <c r="R11" s="265">
        <v>0</v>
      </c>
      <c r="S11" s="265" t="s">
        <v>1674</v>
      </c>
      <c r="T11" s="347">
        <v>2.2679999999999998</v>
      </c>
      <c r="U11" s="348">
        <v>15.785999999999998</v>
      </c>
      <c r="V11" s="348">
        <v>1.8803145838984718</v>
      </c>
    </row>
    <row r="12" spans="1:22">
      <c r="A12" s="104" t="str">
        <f>IF(K12&gt;0,COUNT($A$7:A11)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2" s="271"/>
      <c r="C12" s="272"/>
      <c r="D12" s="53" t="s">
        <v>1675</v>
      </c>
      <c r="E12" s="54">
        <v>100030865</v>
      </c>
      <c r="F12" s="55" t="s">
        <v>1676</v>
      </c>
      <c r="G12" s="129">
        <v>30</v>
      </c>
      <c r="H12" s="129">
        <v>960</v>
      </c>
      <c r="I12" s="128">
        <f>_xlfn.XLOOKUP(E12,'All Products'!D:D,'All Products'!H:H)</f>
        <v>23.11</v>
      </c>
      <c r="J12" s="135">
        <f>ROUNDUP(I12*Order_Quote!$L$14,2)</f>
        <v>115.55</v>
      </c>
      <c r="K12" s="123"/>
      <c r="L12" s="79"/>
      <c r="M12" s="117">
        <f t="shared" si="0"/>
        <v>0</v>
      </c>
      <c r="O12" s="265" t="s">
        <v>359</v>
      </c>
      <c r="P12" s="265" t="s">
        <v>102</v>
      </c>
      <c r="Q12" s="265" t="s">
        <v>1677</v>
      </c>
      <c r="R12" s="265">
        <v>0</v>
      </c>
      <c r="S12" s="265" t="s">
        <v>1678</v>
      </c>
      <c r="T12" s="347">
        <v>0.47599999999999998</v>
      </c>
      <c r="U12" s="348">
        <v>16.170000000000002</v>
      </c>
      <c r="V12" s="348">
        <v>2.7986077527791204</v>
      </c>
    </row>
    <row r="13" spans="1:22">
      <c r="A13" s="104" t="str">
        <f>IF(K13&gt;0,COUNT($A$7:A12)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3" s="273"/>
      <c r="C13" s="274"/>
      <c r="D13" s="53" t="s">
        <v>1679</v>
      </c>
      <c r="E13" s="54">
        <v>100029319</v>
      </c>
      <c r="F13" s="55" t="s">
        <v>1680</v>
      </c>
      <c r="G13" s="129">
        <v>20</v>
      </c>
      <c r="H13" s="129">
        <v>240</v>
      </c>
      <c r="I13" s="128">
        <f>_xlfn.XLOOKUP(E13,'All Products'!D:D,'All Products'!H:H)</f>
        <v>31.29</v>
      </c>
      <c r="J13" s="135">
        <f>ROUNDUP(I13*Order_Quote!$L$14,2)</f>
        <v>156.44999999999999</v>
      </c>
      <c r="K13" s="123"/>
      <c r="L13" s="79"/>
      <c r="M13" s="117">
        <f t="shared" si="0"/>
        <v>0</v>
      </c>
      <c r="O13" s="265" t="s">
        <v>76</v>
      </c>
      <c r="P13" s="265" t="s">
        <v>102</v>
      </c>
      <c r="Q13" s="265" t="s">
        <v>1681</v>
      </c>
      <c r="R13" s="265">
        <v>0</v>
      </c>
      <c r="S13" s="265" t="s">
        <v>1682</v>
      </c>
      <c r="T13" s="347">
        <v>0.85399999999999998</v>
      </c>
      <c r="U13" s="348">
        <v>18.98</v>
      </c>
      <c r="V13" s="348">
        <v>2.7986077527791204</v>
      </c>
    </row>
    <row r="14" spans="1:22">
      <c r="A14" s="104" t="str">
        <f>IF(K14&gt;0,COUNT($A$7:A13)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4" s="273"/>
      <c r="C14" s="274"/>
      <c r="D14" s="53" t="s">
        <v>1683</v>
      </c>
      <c r="E14" s="54">
        <v>100029359</v>
      </c>
      <c r="F14" s="55" t="s">
        <v>1684</v>
      </c>
      <c r="G14" s="129">
        <v>4</v>
      </c>
      <c r="H14" s="129">
        <v>96</v>
      </c>
      <c r="I14" s="128">
        <f>_xlfn.XLOOKUP(E14,'All Products'!D:D,'All Products'!H:H)</f>
        <v>127.57</v>
      </c>
      <c r="J14" s="135">
        <f>ROUNDUP(I14*Order_Quote!$L$14,2)</f>
        <v>637.85</v>
      </c>
      <c r="K14" s="123"/>
      <c r="L14" s="79"/>
      <c r="M14" s="117">
        <f t="shared" si="0"/>
        <v>0</v>
      </c>
      <c r="O14" s="265" t="s">
        <v>76</v>
      </c>
      <c r="P14" s="265" t="s">
        <v>102</v>
      </c>
      <c r="Q14" s="265" t="s">
        <v>1685</v>
      </c>
      <c r="R14" s="265">
        <v>0</v>
      </c>
      <c r="S14" s="265" t="s">
        <v>1686</v>
      </c>
      <c r="T14" s="347">
        <v>2.3039999999999998</v>
      </c>
      <c r="U14" s="348">
        <v>11.388</v>
      </c>
      <c r="V14" s="348">
        <v>1.8803145838984718</v>
      </c>
    </row>
    <row r="15" spans="1:22">
      <c r="A15" s="104" t="str">
        <f>IF(K15&gt;0,COUNT($A$7:A14)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5" s="273"/>
      <c r="C15" s="274"/>
      <c r="D15" s="53" t="s">
        <v>1687</v>
      </c>
      <c r="E15" s="54">
        <v>100029321</v>
      </c>
      <c r="F15" s="55" t="s">
        <v>1688</v>
      </c>
      <c r="G15" s="129">
        <v>6</v>
      </c>
      <c r="H15" s="129">
        <v>72</v>
      </c>
      <c r="I15" s="128">
        <f>_xlfn.XLOOKUP(E15,'All Products'!D:D,'All Products'!H:H)</f>
        <v>130.32</v>
      </c>
      <c r="J15" s="135">
        <f>ROUNDUP(I15*Order_Quote!$L$14,2)</f>
        <v>651.6</v>
      </c>
      <c r="K15" s="123"/>
      <c r="L15" s="79"/>
      <c r="M15" s="117">
        <f t="shared" si="0"/>
        <v>0</v>
      </c>
      <c r="O15" s="265" t="s">
        <v>76</v>
      </c>
      <c r="P15" s="265" t="s">
        <v>102</v>
      </c>
      <c r="Q15" s="265" t="s">
        <v>1689</v>
      </c>
      <c r="R15" s="265">
        <v>0</v>
      </c>
      <c r="S15" s="265" t="s">
        <v>1690</v>
      </c>
      <c r="T15" s="347">
        <v>3.0819999999999999</v>
      </c>
      <c r="U15" s="348">
        <v>21.509999999999998</v>
      </c>
      <c r="V15" s="348">
        <v>3.6731726755225957</v>
      </c>
    </row>
    <row r="16" spans="1:22">
      <c r="A16" s="104" t="str">
        <f>IF(K16&gt;0,COUNT($A$7:A15)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6" s="273"/>
      <c r="C16" s="274"/>
      <c r="D16" s="53" t="s">
        <v>1691</v>
      </c>
      <c r="E16" s="54">
        <v>300005878</v>
      </c>
      <c r="F16" s="55" t="s">
        <v>1692</v>
      </c>
      <c r="G16" s="129">
        <v>4</v>
      </c>
      <c r="H16" s="129">
        <v>48</v>
      </c>
      <c r="I16" s="128">
        <f>_xlfn.XLOOKUP(E16,'All Products'!D:D,'All Products'!H:H)</f>
        <v>664.96</v>
      </c>
      <c r="J16" s="135">
        <f>ROUNDUP(I16*Order_Quote!$L$14,2)</f>
        <v>3324.8</v>
      </c>
      <c r="K16" s="123"/>
      <c r="L16" s="79"/>
      <c r="M16" s="117">
        <f t="shared" si="0"/>
        <v>0</v>
      </c>
      <c r="O16" s="265" t="s">
        <v>1693</v>
      </c>
      <c r="P16" s="265" t="s">
        <v>77</v>
      </c>
      <c r="Q16" s="265" t="s">
        <v>1694</v>
      </c>
      <c r="R16" s="265">
        <v>0</v>
      </c>
      <c r="S16" s="265">
        <v>0</v>
      </c>
      <c r="T16" s="347">
        <v>4.83</v>
      </c>
      <c r="U16" s="348">
        <v>19.32</v>
      </c>
      <c r="V16" s="348" t="s">
        <v>1205</v>
      </c>
    </row>
    <row r="17" spans="1:22">
      <c r="A17" s="104" t="str">
        <f>IF(K17&gt;0,COUNT($A$7:A16)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7" s="273"/>
      <c r="C17" s="274"/>
      <c r="D17" s="53" t="s">
        <v>1695</v>
      </c>
      <c r="E17" s="54">
        <v>100029322</v>
      </c>
      <c r="F17" s="55" t="s">
        <v>1696</v>
      </c>
      <c r="G17" s="129">
        <v>2</v>
      </c>
      <c r="H17" s="129">
        <v>24</v>
      </c>
      <c r="I17" s="128">
        <f>_xlfn.XLOOKUP(E17,'All Products'!D:D,'All Products'!H:H)</f>
        <v>532.15</v>
      </c>
      <c r="J17" s="135">
        <f>ROUNDUP(I17*Order_Quote!$L$14,2)</f>
        <v>2660.75</v>
      </c>
      <c r="K17" s="123"/>
      <c r="L17" s="79"/>
      <c r="M17" s="117">
        <f t="shared" si="0"/>
        <v>0</v>
      </c>
      <c r="O17" s="265" t="s">
        <v>359</v>
      </c>
      <c r="P17" s="265" t="s">
        <v>102</v>
      </c>
      <c r="Q17" s="265" t="s">
        <v>1697</v>
      </c>
      <c r="R17" s="265">
        <v>0</v>
      </c>
      <c r="S17" s="265" t="s">
        <v>1698</v>
      </c>
      <c r="T17" s="347">
        <v>6.74</v>
      </c>
      <c r="U17" s="348">
        <v>16.494</v>
      </c>
      <c r="V17" s="348">
        <v>3.6731726755225957</v>
      </c>
    </row>
    <row r="18" spans="1:22">
      <c r="A18" s="104" t="str">
        <f>IF(K18&gt;0,COUNT($A$7:A17)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8" s="577"/>
      <c r="C18" s="578"/>
      <c r="D18" s="53" t="s">
        <v>1699</v>
      </c>
      <c r="E18" s="54">
        <v>100030866</v>
      </c>
      <c r="F18" s="55" t="s">
        <v>1700</v>
      </c>
      <c r="G18" s="129">
        <v>24</v>
      </c>
      <c r="H18" s="129">
        <v>768</v>
      </c>
      <c r="I18" s="128">
        <f>_xlfn.XLOOKUP(E18,'All Products'!D:D,'All Products'!H:H)</f>
        <v>49.01</v>
      </c>
      <c r="J18" s="135">
        <f>ROUNDUP(I18*Order_Quote!$L$14,2)</f>
        <v>245.05</v>
      </c>
      <c r="K18" s="127"/>
      <c r="L18" s="79"/>
      <c r="M18" s="117">
        <f t="shared" si="0"/>
        <v>0</v>
      </c>
      <c r="O18" s="265" t="s">
        <v>359</v>
      </c>
      <c r="P18" s="265" t="s">
        <v>102</v>
      </c>
      <c r="Q18" s="265" t="s">
        <v>1701</v>
      </c>
      <c r="R18" s="265">
        <v>0</v>
      </c>
      <c r="S18" s="265" t="s">
        <v>1702</v>
      </c>
      <c r="T18" s="347">
        <v>0.58599999999999997</v>
      </c>
      <c r="U18" s="348">
        <v>15.984000000000002</v>
      </c>
      <c r="V18" s="348">
        <v>2.7986077527791204</v>
      </c>
    </row>
    <row r="19" spans="1:22">
      <c r="A19" s="104" t="str">
        <f>IF(K19&gt;0,COUNT($A$7:A18)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9" s="579"/>
      <c r="C19" s="580"/>
      <c r="D19" s="53" t="s">
        <v>1703</v>
      </c>
      <c r="E19" s="54">
        <v>100029382</v>
      </c>
      <c r="F19" s="55" t="s">
        <v>1704</v>
      </c>
      <c r="G19" s="129">
        <v>18</v>
      </c>
      <c r="H19" s="129">
        <v>216</v>
      </c>
      <c r="I19" s="128">
        <f>_xlfn.XLOOKUP(E19,'All Products'!D:D,'All Products'!H:H)</f>
        <v>50.3</v>
      </c>
      <c r="J19" s="135">
        <f>ROUNDUP(I19*Order_Quote!$L$14,2)</f>
        <v>251.5</v>
      </c>
      <c r="K19" s="127"/>
      <c r="L19" s="79"/>
      <c r="M19" s="117">
        <f t="shared" si="0"/>
        <v>0</v>
      </c>
      <c r="O19" s="265" t="s">
        <v>76</v>
      </c>
      <c r="P19" s="265" t="s">
        <v>102</v>
      </c>
      <c r="Q19" s="265" t="s">
        <v>1705</v>
      </c>
      <c r="R19" s="265">
        <v>0</v>
      </c>
      <c r="S19" s="265" t="s">
        <v>1706</v>
      </c>
      <c r="T19" s="347">
        <v>1.077</v>
      </c>
      <c r="U19" s="348">
        <v>22.428000000000001</v>
      </c>
      <c r="V19" s="348">
        <v>3.6731726755225957</v>
      </c>
    </row>
    <row r="20" spans="1:22">
      <c r="A20" s="104" t="str">
        <f>IF(K20&gt;0,COUNT($A$7:A19)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0" s="579"/>
      <c r="C20" s="580"/>
      <c r="D20" s="53" t="s">
        <v>1707</v>
      </c>
      <c r="E20" s="54">
        <v>300005528</v>
      </c>
      <c r="F20" s="55" t="s">
        <v>1708</v>
      </c>
      <c r="G20" s="129">
        <v>5</v>
      </c>
      <c r="H20" s="129">
        <v>60</v>
      </c>
      <c r="I20" s="128">
        <f>_xlfn.XLOOKUP(E20,'All Products'!D:D,'All Products'!H:H)</f>
        <v>597.58000000000004</v>
      </c>
      <c r="J20" s="135">
        <f>ROUNDUP(I20*Order_Quote!$L$14,2)</f>
        <v>2987.9</v>
      </c>
      <c r="K20" s="123"/>
      <c r="L20" s="79"/>
      <c r="M20" s="117">
        <f t="shared" si="0"/>
        <v>0</v>
      </c>
      <c r="O20" s="265" t="s">
        <v>1693</v>
      </c>
      <c r="P20" s="265" t="s">
        <v>77</v>
      </c>
      <c r="Q20" s="265" t="s">
        <v>1709</v>
      </c>
      <c r="R20" s="265">
        <v>0</v>
      </c>
      <c r="S20" s="265">
        <v>0</v>
      </c>
      <c r="T20" s="347">
        <v>3.12</v>
      </c>
      <c r="U20" s="348">
        <v>15.600000000000001</v>
      </c>
      <c r="V20" s="348" t="s">
        <v>1205</v>
      </c>
    </row>
    <row r="21" spans="1:22">
      <c r="A21" s="104" t="str">
        <f>IF(K21&gt;0,COUNT($A$7:A20)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1" s="579"/>
      <c r="C21" s="580"/>
      <c r="D21" s="53" t="s">
        <v>1710</v>
      </c>
      <c r="E21" s="54">
        <v>100029389</v>
      </c>
      <c r="F21" s="55" t="s">
        <v>1711</v>
      </c>
      <c r="G21" s="129">
        <v>2</v>
      </c>
      <c r="H21" s="129">
        <v>36</v>
      </c>
      <c r="I21" s="128">
        <f>_xlfn.XLOOKUP(E21,'All Products'!D:D,'All Products'!H:H)</f>
        <v>344.78</v>
      </c>
      <c r="J21" s="135">
        <f>ROUNDUP(I21*Order_Quote!$L$14,2)</f>
        <v>1723.9</v>
      </c>
      <c r="K21" s="123"/>
      <c r="L21" s="79"/>
      <c r="M21" s="117">
        <f t="shared" si="0"/>
        <v>0</v>
      </c>
      <c r="O21" s="265" t="s">
        <v>76</v>
      </c>
      <c r="P21" s="265" t="s">
        <v>102</v>
      </c>
      <c r="Q21" s="265" t="s">
        <v>1712</v>
      </c>
      <c r="R21" s="265">
        <v>0</v>
      </c>
      <c r="S21" s="265" t="s">
        <v>1713</v>
      </c>
      <c r="T21" s="347">
        <v>3.6760000000000002</v>
      </c>
      <c r="U21" s="348">
        <v>9.2040000000000006</v>
      </c>
      <c r="V21" s="348">
        <v>2.361325291407383</v>
      </c>
    </row>
    <row r="22" spans="1:22">
      <c r="A22" s="104" t="str">
        <f>IF(K22&gt;0,COUNT($A$7:A21)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2" s="579"/>
      <c r="C22" s="580"/>
      <c r="D22" s="53" t="s">
        <v>1714</v>
      </c>
      <c r="E22" s="54">
        <v>300005564</v>
      </c>
      <c r="F22" s="55" t="s">
        <v>1715</v>
      </c>
      <c r="G22" s="129">
        <v>4</v>
      </c>
      <c r="H22" s="129">
        <v>30</v>
      </c>
      <c r="I22" s="128">
        <f>_xlfn.XLOOKUP(E22,'All Products'!D:D,'All Products'!H:H)</f>
        <v>758.47</v>
      </c>
      <c r="J22" s="135">
        <f>ROUNDUP(I22*Order_Quote!$L$14,2)</f>
        <v>3792.35</v>
      </c>
      <c r="K22" s="123"/>
      <c r="L22" s="79"/>
      <c r="M22" s="117">
        <f t="shared" si="0"/>
        <v>0</v>
      </c>
      <c r="O22" s="265" t="s">
        <v>1693</v>
      </c>
      <c r="P22" s="265" t="s">
        <v>77</v>
      </c>
      <c r="Q22" s="265" t="s">
        <v>1716</v>
      </c>
      <c r="R22" s="265">
        <v>0</v>
      </c>
      <c r="S22" s="265">
        <v>0</v>
      </c>
      <c r="T22" s="347">
        <v>5.8</v>
      </c>
      <c r="U22" s="348">
        <v>23.2</v>
      </c>
      <c r="V22" s="348" t="s">
        <v>1205</v>
      </c>
    </row>
    <row r="23" spans="1:22">
      <c r="A23" s="104" t="str">
        <f>IF(K23&gt;0,COUNT($A$7:A22)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3" s="579"/>
      <c r="C23" s="580"/>
      <c r="D23" s="53" t="s">
        <v>1717</v>
      </c>
      <c r="E23" s="54">
        <v>300005574</v>
      </c>
      <c r="F23" s="55" t="s">
        <v>1718</v>
      </c>
      <c r="G23" s="129">
        <v>2</v>
      </c>
      <c r="H23" s="129" t="s">
        <v>1205</v>
      </c>
      <c r="I23" s="128">
        <f>_xlfn.XLOOKUP(E23,'All Products'!D:D,'All Products'!H:H)</f>
        <v>778.71</v>
      </c>
      <c r="J23" s="135">
        <f>ROUNDUP(I23*Order_Quote!$L$14,2)</f>
        <v>3893.55</v>
      </c>
      <c r="K23" s="123"/>
      <c r="L23" s="79"/>
      <c r="M23" s="117">
        <f t="shared" si="0"/>
        <v>0</v>
      </c>
      <c r="O23" s="265" t="s">
        <v>1693</v>
      </c>
      <c r="P23" s="265" t="s">
        <v>77</v>
      </c>
      <c r="Q23" s="265" t="s">
        <v>1719</v>
      </c>
      <c r="R23" s="265">
        <v>0</v>
      </c>
      <c r="S23" s="265">
        <v>0</v>
      </c>
      <c r="T23" s="347">
        <v>7.54</v>
      </c>
      <c r="U23" s="348">
        <v>15.08</v>
      </c>
      <c r="V23" s="348" t="s">
        <v>1205</v>
      </c>
    </row>
    <row r="24" spans="1:22">
      <c r="A24" s="104" t="str">
        <f>IF(K24&gt;0,COUNT($A$7:A23)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4" s="581"/>
      <c r="C24" s="582"/>
      <c r="D24" s="53" t="s">
        <v>1720</v>
      </c>
      <c r="E24" s="54">
        <v>300005549</v>
      </c>
      <c r="F24" s="55" t="s">
        <v>1721</v>
      </c>
      <c r="G24" s="129">
        <v>2</v>
      </c>
      <c r="H24" s="129" t="s">
        <v>1205</v>
      </c>
      <c r="I24" s="128">
        <f>_xlfn.XLOOKUP(E24,'All Products'!D:D,'All Products'!H:H)</f>
        <v>2026.47</v>
      </c>
      <c r="J24" s="135">
        <f>ROUNDUP(I24*Order_Quote!$L$14,2)</f>
        <v>10132.35</v>
      </c>
      <c r="K24" s="123"/>
      <c r="L24" s="79"/>
      <c r="M24" s="117">
        <f t="shared" si="0"/>
        <v>0</v>
      </c>
      <c r="O24" s="265" t="s">
        <v>1693</v>
      </c>
      <c r="P24" s="265" t="s">
        <v>77</v>
      </c>
      <c r="Q24" s="265" t="s">
        <v>1722</v>
      </c>
      <c r="R24" s="265">
        <v>0</v>
      </c>
      <c r="S24" s="265">
        <v>0</v>
      </c>
      <c r="T24" s="347">
        <v>9.6</v>
      </c>
      <c r="U24" s="348">
        <v>19.2</v>
      </c>
      <c r="V24" s="348" t="s">
        <v>1205</v>
      </c>
    </row>
    <row r="25" spans="1:22" ht="47.25" customHeight="1">
      <c r="A25" s="104" t="str">
        <f>IF(K25&gt;0,COUNT($A$7:A24)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5" s="583"/>
      <c r="C25" s="584"/>
      <c r="D25" s="53" t="s">
        <v>1723</v>
      </c>
      <c r="E25" s="54">
        <v>100029381</v>
      </c>
      <c r="F25" s="55" t="s">
        <v>1724</v>
      </c>
      <c r="G25" s="129">
        <v>12</v>
      </c>
      <c r="H25" s="129">
        <v>216</v>
      </c>
      <c r="I25" s="128">
        <f>_xlfn.XLOOKUP(E25,'All Products'!D:D,'All Products'!H:H)</f>
        <v>92.12</v>
      </c>
      <c r="J25" s="135">
        <f>ROUNDUP(I25*Order_Quote!$L$14,2)</f>
        <v>460.6</v>
      </c>
      <c r="K25" s="123"/>
      <c r="L25" s="79"/>
      <c r="M25" s="117">
        <f t="shared" si="0"/>
        <v>0</v>
      </c>
      <c r="O25" s="265" t="s">
        <v>76</v>
      </c>
      <c r="P25" s="265" t="s">
        <v>102</v>
      </c>
      <c r="Q25" s="265" t="s">
        <v>1725</v>
      </c>
      <c r="R25" s="265">
        <v>0</v>
      </c>
      <c r="S25" s="265" t="s">
        <v>1726</v>
      </c>
      <c r="T25" s="347">
        <v>0.97599999999999998</v>
      </c>
      <c r="U25" s="348">
        <v>13.559999999999999</v>
      </c>
      <c r="V25" s="348">
        <v>2.361325291407383</v>
      </c>
    </row>
    <row r="26" spans="1:22">
      <c r="A26" s="104" t="str">
        <f>IF(K26&gt;0,COUNT($A$7:A25)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6" s="579"/>
      <c r="C26" s="580"/>
      <c r="D26" s="53" t="s">
        <v>1727</v>
      </c>
      <c r="E26" s="54">
        <v>100029136</v>
      </c>
      <c r="F26" s="55" t="s">
        <v>1728</v>
      </c>
      <c r="G26" s="129">
        <v>16</v>
      </c>
      <c r="H26" s="129">
        <v>192</v>
      </c>
      <c r="I26" s="128">
        <f>_xlfn.XLOOKUP(E26,'All Products'!D:D,'All Products'!H:H)</f>
        <v>43.42</v>
      </c>
      <c r="J26" s="135">
        <f>ROUNDUP(I26*Order_Quote!$L$14,2)</f>
        <v>217.1</v>
      </c>
      <c r="K26" s="123"/>
      <c r="L26" s="79"/>
      <c r="M26" s="117">
        <f t="shared" si="0"/>
        <v>0</v>
      </c>
      <c r="O26" s="265" t="s">
        <v>76</v>
      </c>
      <c r="P26" s="265" t="s">
        <v>102</v>
      </c>
      <c r="Q26" s="265" t="s">
        <v>1729</v>
      </c>
      <c r="R26" s="265">
        <v>0</v>
      </c>
      <c r="S26" s="265" t="s">
        <v>1730</v>
      </c>
      <c r="T26" s="347">
        <v>1.1879999999999999</v>
      </c>
      <c r="U26" s="348">
        <v>22.047999999999998</v>
      </c>
      <c r="V26" s="348">
        <v>3.6731726755225957</v>
      </c>
    </row>
    <row r="27" spans="1:22">
      <c r="A27" s="104" t="str">
        <f>IF(K27&gt;0,COUNT($A$7:A26)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7" s="579"/>
      <c r="C27" s="580"/>
      <c r="D27" s="53" t="s">
        <v>1731</v>
      </c>
      <c r="E27" s="54">
        <v>100029358</v>
      </c>
      <c r="F27" s="55" t="s">
        <v>1732</v>
      </c>
      <c r="G27" s="129">
        <v>7</v>
      </c>
      <c r="H27" s="129">
        <v>84</v>
      </c>
      <c r="I27" s="128">
        <f>_xlfn.XLOOKUP(E27,'All Products'!D:D,'All Products'!H:H)</f>
        <v>160.61000000000001</v>
      </c>
      <c r="J27" s="135">
        <f>ROUNDUP(I27*Order_Quote!$L$14,2)</f>
        <v>803.05</v>
      </c>
      <c r="K27" s="123"/>
      <c r="L27" s="79"/>
      <c r="M27" s="117">
        <f t="shared" si="0"/>
        <v>0</v>
      </c>
      <c r="O27" s="265" t="s">
        <v>76</v>
      </c>
      <c r="P27" s="265" t="s">
        <v>102</v>
      </c>
      <c r="Q27" s="265" t="s">
        <v>1733</v>
      </c>
      <c r="R27" s="265">
        <v>0</v>
      </c>
      <c r="S27" s="265" t="s">
        <v>1734</v>
      </c>
      <c r="T27" s="347">
        <v>3.09</v>
      </c>
      <c r="U27" s="348">
        <v>24.646999999999998</v>
      </c>
      <c r="V27" s="348">
        <v>3.6731726755225957</v>
      </c>
    </row>
    <row r="28" spans="1:22">
      <c r="A28" s="104" t="str">
        <f>IF(K28&gt;0,COUNT($A$7:A27)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8" s="579"/>
      <c r="C28" s="580"/>
      <c r="D28" s="53" t="s">
        <v>1735</v>
      </c>
      <c r="E28" s="54">
        <v>100029320</v>
      </c>
      <c r="F28" s="55" t="s">
        <v>1736</v>
      </c>
      <c r="G28" s="129">
        <v>4</v>
      </c>
      <c r="H28" s="129">
        <v>48</v>
      </c>
      <c r="I28" s="128">
        <f>_xlfn.XLOOKUP(E28,'All Products'!D:D,'All Products'!H:H)</f>
        <v>184.24</v>
      </c>
      <c r="J28" s="135">
        <f>ROUNDUP(I28*Order_Quote!$L$14,2)</f>
        <v>921.2</v>
      </c>
      <c r="K28" s="123"/>
      <c r="L28" s="79"/>
      <c r="M28" s="117">
        <f t="shared" si="0"/>
        <v>0</v>
      </c>
      <c r="O28" s="265" t="s">
        <v>76</v>
      </c>
      <c r="P28" s="265" t="s">
        <v>102</v>
      </c>
      <c r="Q28" s="265" t="s">
        <v>1737</v>
      </c>
      <c r="R28" s="265">
        <v>0</v>
      </c>
      <c r="S28" s="265" t="s">
        <v>1738</v>
      </c>
      <c r="T28" s="347">
        <v>4.4420000000000002</v>
      </c>
      <c r="U28" s="348">
        <v>20.783999999999999</v>
      </c>
      <c r="V28" s="348">
        <v>3.6731726755225957</v>
      </c>
    </row>
    <row r="29" spans="1:22">
      <c r="A29" s="104" t="str">
        <f>IF(K29&gt;0,COUNT($A$7:A28)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29" s="579"/>
      <c r="C29" s="580"/>
      <c r="D29" s="53" t="s">
        <v>1739</v>
      </c>
      <c r="E29" s="54">
        <v>300005879</v>
      </c>
      <c r="F29" s="55" t="s">
        <v>1740</v>
      </c>
      <c r="G29" s="129">
        <v>3</v>
      </c>
      <c r="H29" s="129">
        <v>36</v>
      </c>
      <c r="I29" s="128">
        <f>_xlfn.XLOOKUP(E29,'All Products'!D:D,'All Products'!H:H)</f>
        <v>685.31</v>
      </c>
      <c r="J29" s="135">
        <f>ROUNDUP(I29*Order_Quote!$L$14,2)</f>
        <v>3426.55</v>
      </c>
      <c r="K29" s="123"/>
      <c r="L29" s="79"/>
      <c r="M29" s="117">
        <f t="shared" si="0"/>
        <v>0</v>
      </c>
      <c r="O29" s="265" t="s">
        <v>1693</v>
      </c>
      <c r="P29" s="265" t="s">
        <v>77</v>
      </c>
      <c r="Q29" s="265" t="s">
        <v>1741</v>
      </c>
      <c r="R29" s="265">
        <v>0</v>
      </c>
      <c r="S29" s="265">
        <v>0</v>
      </c>
      <c r="T29" s="347">
        <v>6.3</v>
      </c>
      <c r="U29" s="348">
        <v>18.899999999999999</v>
      </c>
      <c r="V29" s="348" t="s">
        <v>1205</v>
      </c>
    </row>
    <row r="30" spans="1:22">
      <c r="A30" s="104" t="str">
        <f>IF(K30&gt;0,COUNT($A$7:A29)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0" s="579"/>
      <c r="C30" s="580"/>
      <c r="D30" s="53" t="s">
        <v>1742</v>
      </c>
      <c r="E30" s="54">
        <v>300005881</v>
      </c>
      <c r="F30" s="55" t="s">
        <v>1743</v>
      </c>
      <c r="G30" s="129">
        <v>2</v>
      </c>
      <c r="H30" s="129">
        <v>24</v>
      </c>
      <c r="I30" s="128">
        <f>_xlfn.XLOOKUP(E30,'All Products'!D:D,'All Products'!H:H)</f>
        <v>721.46</v>
      </c>
      <c r="J30" s="135">
        <f>ROUNDUP(I30*Order_Quote!$L$14,2)</f>
        <v>3607.3</v>
      </c>
      <c r="K30" s="123"/>
      <c r="L30" s="79"/>
      <c r="M30" s="117">
        <f t="shared" si="0"/>
        <v>0</v>
      </c>
      <c r="O30" s="265" t="s">
        <v>1693</v>
      </c>
      <c r="P30" s="265" t="s">
        <v>77</v>
      </c>
      <c r="Q30" s="265" t="s">
        <v>1744</v>
      </c>
      <c r="R30" s="265">
        <v>0</v>
      </c>
      <c r="S30" s="265">
        <v>0</v>
      </c>
      <c r="T30" s="347">
        <v>7.04</v>
      </c>
      <c r="U30" s="348">
        <v>14.08</v>
      </c>
      <c r="V30" s="348" t="s">
        <v>1205</v>
      </c>
    </row>
    <row r="31" spans="1:22">
      <c r="A31" s="104" t="str">
        <f>IF(K31&gt;0,COUNT($A$7:A30)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1" s="581"/>
      <c r="C31" s="582"/>
      <c r="D31" s="53" t="s">
        <v>1745</v>
      </c>
      <c r="E31" s="54">
        <v>300005552</v>
      </c>
      <c r="F31" s="55" t="s">
        <v>1746</v>
      </c>
      <c r="G31" s="129">
        <v>2</v>
      </c>
      <c r="H31" s="129" t="s">
        <v>1205</v>
      </c>
      <c r="I31" s="128">
        <f>_xlfn.XLOOKUP(E31,'All Products'!D:D,'All Products'!H:H)</f>
        <v>966.71</v>
      </c>
      <c r="J31" s="135">
        <f>ROUNDUP(I31*Order_Quote!$L$14,2)</f>
        <v>4833.55</v>
      </c>
      <c r="K31" s="123"/>
      <c r="L31" s="79"/>
      <c r="M31" s="117">
        <f t="shared" si="0"/>
        <v>0</v>
      </c>
      <c r="O31" s="265" t="s">
        <v>1693</v>
      </c>
      <c r="P31" s="265" t="s">
        <v>77</v>
      </c>
      <c r="Q31" s="265" t="s">
        <v>1747</v>
      </c>
      <c r="R31" s="265">
        <v>0</v>
      </c>
      <c r="S31" s="265">
        <v>0</v>
      </c>
      <c r="T31" s="347">
        <v>11.84</v>
      </c>
      <c r="U31" s="348">
        <v>23.68</v>
      </c>
      <c r="V31" s="348" t="s">
        <v>1205</v>
      </c>
    </row>
    <row r="32" spans="1:22" ht="47.25" customHeight="1">
      <c r="A32" s="104" t="str">
        <f>IF(K32&gt;0,COUNT($A$7:A31)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2" s="577"/>
      <c r="C32" s="578"/>
      <c r="D32" s="53" t="s">
        <v>1748</v>
      </c>
      <c r="E32" s="106">
        <v>300005876</v>
      </c>
      <c r="F32" s="55" t="s">
        <v>1749</v>
      </c>
      <c r="G32" s="129">
        <v>4</v>
      </c>
      <c r="H32" s="129">
        <v>48</v>
      </c>
      <c r="I32" s="128">
        <f>_xlfn.XLOOKUP(E32,'All Products'!D:D,'All Products'!H:H)</f>
        <v>253.86</v>
      </c>
      <c r="J32" s="135">
        <f>ROUNDUP(I32*Order_Quote!$L$14,2)</f>
        <v>1269.3</v>
      </c>
      <c r="K32" s="123"/>
      <c r="L32" s="79"/>
      <c r="M32" s="117">
        <f t="shared" si="0"/>
        <v>0</v>
      </c>
      <c r="O32" s="265" t="s">
        <v>1693</v>
      </c>
      <c r="P32" s="265" t="s">
        <v>77</v>
      </c>
      <c r="Q32" s="265" t="s">
        <v>1750</v>
      </c>
      <c r="R32" s="265">
        <v>0</v>
      </c>
      <c r="S32" s="265">
        <v>0</v>
      </c>
      <c r="T32" s="347">
        <v>4.4000000000000004</v>
      </c>
      <c r="U32" s="348">
        <v>17.600000000000001</v>
      </c>
      <c r="V32" s="348" t="s">
        <v>1205</v>
      </c>
    </row>
    <row r="33" spans="1:22" ht="26.25" customHeight="1">
      <c r="A33" s="104" t="str">
        <f>IF(K33&gt;0,COUNT($A$7:A32)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3" s="577"/>
      <c r="C33" s="578"/>
      <c r="D33" s="53" t="s">
        <v>1751</v>
      </c>
      <c r="E33" s="54">
        <v>300005777</v>
      </c>
      <c r="F33" s="55" t="s">
        <v>1752</v>
      </c>
      <c r="G33" s="129">
        <v>3</v>
      </c>
      <c r="H33" s="129">
        <v>54</v>
      </c>
      <c r="I33" s="128">
        <f>_xlfn.XLOOKUP(E33,'All Products'!D:D,'All Products'!H:H)</f>
        <v>881.81</v>
      </c>
      <c r="J33" s="135">
        <f>ROUNDUP(I33*Order_Quote!$L$14,2)</f>
        <v>4409.05</v>
      </c>
      <c r="K33" s="123"/>
      <c r="L33" s="79"/>
      <c r="M33" s="117">
        <f t="shared" si="0"/>
        <v>0</v>
      </c>
      <c r="O33" s="265" t="s">
        <v>1693</v>
      </c>
      <c r="P33" s="265" t="s">
        <v>77</v>
      </c>
      <c r="Q33" s="265" t="s">
        <v>1753</v>
      </c>
      <c r="R33" s="265">
        <v>0</v>
      </c>
      <c r="S33" s="265">
        <v>0</v>
      </c>
      <c r="T33" s="347">
        <v>3.45</v>
      </c>
      <c r="U33" s="348">
        <v>10.350000000000001</v>
      </c>
      <c r="V33" s="348" t="s">
        <v>1205</v>
      </c>
    </row>
    <row r="34" spans="1:22" ht="26.25" customHeight="1">
      <c r="A34" s="104" t="str">
        <f>IF(K34&gt;0,COUNT($A$7:A33)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4" s="579"/>
      <c r="C34" s="580"/>
      <c r="D34" s="53" t="s">
        <v>1754</v>
      </c>
      <c r="E34" s="54">
        <v>300005779</v>
      </c>
      <c r="F34" s="55" t="s">
        <v>1755</v>
      </c>
      <c r="G34" s="129">
        <v>3</v>
      </c>
      <c r="H34" s="129">
        <v>54</v>
      </c>
      <c r="I34" s="128">
        <f>_xlfn.XLOOKUP(E34,'All Products'!D:D,'All Products'!H:H)</f>
        <v>438.85</v>
      </c>
      <c r="J34" s="135">
        <f>ROUNDUP(I34*Order_Quote!$L$14,2)</f>
        <v>2194.25</v>
      </c>
      <c r="K34" s="127"/>
      <c r="L34" s="79"/>
      <c r="M34" s="117">
        <f t="shared" si="0"/>
        <v>0</v>
      </c>
      <c r="O34" s="265" t="s">
        <v>1693</v>
      </c>
      <c r="P34" s="265" t="s">
        <v>77</v>
      </c>
      <c r="Q34" s="265" t="s">
        <v>1756</v>
      </c>
      <c r="R34" s="265">
        <v>0</v>
      </c>
      <c r="S34" s="265">
        <v>0</v>
      </c>
      <c r="T34" s="347">
        <v>2.88</v>
      </c>
      <c r="U34" s="348">
        <v>8.64</v>
      </c>
      <c r="V34" s="348" t="s">
        <v>1205</v>
      </c>
    </row>
    <row r="35" spans="1:22" ht="43.5" customHeight="1">
      <c r="A35" s="104" t="str">
        <f>IF(K35&gt;0,COUNT($A$7:A34)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5" s="577"/>
      <c r="C35" s="578"/>
      <c r="D35" s="53" t="s">
        <v>1757</v>
      </c>
      <c r="E35" s="54">
        <v>100029419</v>
      </c>
      <c r="F35" s="55" t="s">
        <v>1758</v>
      </c>
      <c r="G35" s="129">
        <v>10</v>
      </c>
      <c r="H35" s="129">
        <v>180</v>
      </c>
      <c r="I35" s="128">
        <f>_xlfn.XLOOKUP(E35,'All Products'!D:D,'All Products'!H:H)</f>
        <v>89.86</v>
      </c>
      <c r="J35" s="135">
        <f>ROUNDUP(I35*Order_Quote!$L$14,2)</f>
        <v>449.3</v>
      </c>
      <c r="K35" s="123"/>
      <c r="L35" s="79"/>
      <c r="M35" s="117">
        <f t="shared" si="0"/>
        <v>0</v>
      </c>
      <c r="O35" s="265" t="s">
        <v>76</v>
      </c>
      <c r="P35" s="265" t="s">
        <v>102</v>
      </c>
      <c r="Q35" s="265" t="s">
        <v>1759</v>
      </c>
      <c r="R35" s="265">
        <v>0</v>
      </c>
      <c r="S35" s="265" t="s">
        <v>1760</v>
      </c>
      <c r="T35" s="347">
        <v>1.226</v>
      </c>
      <c r="U35" s="348">
        <v>14.030000000000001</v>
      </c>
      <c r="V35" s="348">
        <v>2.361325291407383</v>
      </c>
    </row>
    <row r="36" spans="1:22" ht="43.5" customHeight="1">
      <c r="A36" s="104" t="str">
        <f>IF(K36&gt;0,COUNT($A$7:A35)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6" s="581"/>
      <c r="C36" s="582"/>
      <c r="D36" s="53" t="s">
        <v>1761</v>
      </c>
      <c r="E36" s="54">
        <v>300005515</v>
      </c>
      <c r="F36" s="55" t="s">
        <v>1762</v>
      </c>
      <c r="G36" s="129">
        <v>3</v>
      </c>
      <c r="H36" s="129" t="s">
        <v>1205</v>
      </c>
      <c r="I36" s="128">
        <f>_xlfn.XLOOKUP(E36,'All Products'!D:D,'All Products'!H:H)</f>
        <v>1545.9</v>
      </c>
      <c r="J36" s="135">
        <f>ROUNDUP(I36*Order_Quote!$L$14,2)</f>
        <v>7729.5</v>
      </c>
      <c r="K36" s="123"/>
      <c r="L36" s="79"/>
      <c r="M36" s="117">
        <f t="shared" si="0"/>
        <v>0</v>
      </c>
      <c r="O36" s="265" t="s">
        <v>1693</v>
      </c>
      <c r="P36" s="265" t="s">
        <v>77</v>
      </c>
      <c r="Q36" s="265">
        <v>0</v>
      </c>
      <c r="R36" s="265">
        <v>0</v>
      </c>
      <c r="S36" s="265">
        <v>0</v>
      </c>
      <c r="T36" s="347">
        <v>4.68</v>
      </c>
      <c r="U36" s="348">
        <v>14.04</v>
      </c>
      <c r="V36" s="348" t="s">
        <v>1205</v>
      </c>
    </row>
    <row r="37" spans="1:22" ht="43.5" customHeight="1">
      <c r="A37" s="104" t="str">
        <f>IF(K37&gt;0,COUNT($A$7:A36)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7" s="583"/>
      <c r="C37" s="584"/>
      <c r="D37" s="53" t="s">
        <v>1763</v>
      </c>
      <c r="E37" s="54">
        <v>300005743</v>
      </c>
      <c r="F37" s="55" t="s">
        <v>1764</v>
      </c>
      <c r="G37" s="129">
        <v>30</v>
      </c>
      <c r="H37" s="129">
        <v>480</v>
      </c>
      <c r="I37" s="128">
        <f>_xlfn.XLOOKUP(E37,'All Products'!D:D,'All Products'!H:H)</f>
        <v>284.31</v>
      </c>
      <c r="J37" s="135">
        <f>ROUNDUP(I37*Order_Quote!$L$14,2)</f>
        <v>1421.55</v>
      </c>
      <c r="K37" s="123"/>
      <c r="L37" s="79"/>
      <c r="M37" s="117">
        <f t="shared" si="0"/>
        <v>0</v>
      </c>
      <c r="O37" s="265" t="s">
        <v>359</v>
      </c>
      <c r="P37" s="265" t="s">
        <v>77</v>
      </c>
      <c r="Q37" s="265">
        <v>0</v>
      </c>
      <c r="R37" s="265">
        <v>0</v>
      </c>
      <c r="S37" s="265">
        <v>0</v>
      </c>
      <c r="T37" s="347">
        <v>2.54</v>
      </c>
      <c r="U37" s="348">
        <v>76.2</v>
      </c>
      <c r="V37" s="348" t="s">
        <v>1205</v>
      </c>
    </row>
    <row r="38" spans="1:22" ht="25.5" customHeight="1">
      <c r="A38" s="104" t="str">
        <f>IF(K38&gt;0,COUNT($A$7:A37)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8" s="630"/>
      <c r="C38" s="630"/>
      <c r="D38" s="53" t="s">
        <v>1765</v>
      </c>
      <c r="E38" s="54">
        <v>100030934</v>
      </c>
      <c r="F38" s="55" t="s">
        <v>1766</v>
      </c>
      <c r="G38" s="129">
        <v>24</v>
      </c>
      <c r="H38" s="129">
        <v>576</v>
      </c>
      <c r="I38" s="128">
        <f>_xlfn.XLOOKUP(E38,'All Products'!D:D,'All Products'!H:H)</f>
        <v>79</v>
      </c>
      <c r="J38" s="135">
        <f>ROUNDUP(I38*Order_Quote!$L$14,2)</f>
        <v>395</v>
      </c>
      <c r="K38" s="127"/>
      <c r="L38" s="79"/>
      <c r="M38" s="117">
        <f t="shared" ref="M38:M69" si="1">K38/G38</f>
        <v>0</v>
      </c>
      <c r="O38" s="265" t="s">
        <v>76</v>
      </c>
      <c r="P38" s="265" t="s">
        <v>102</v>
      </c>
      <c r="Q38" s="265" t="s">
        <v>1767</v>
      </c>
      <c r="R38" s="265">
        <v>0</v>
      </c>
      <c r="S38" s="265" t="s">
        <v>1768</v>
      </c>
      <c r="T38" s="347">
        <v>1</v>
      </c>
      <c r="U38" s="348">
        <v>26.208000000000002</v>
      </c>
      <c r="V38" s="348">
        <v>1.8803145838984718</v>
      </c>
    </row>
    <row r="39" spans="1:22" ht="25.5" customHeight="1">
      <c r="A39" s="104" t="str">
        <f>IF(K39&gt;0,COUNT($A$7:A38)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39" s="630"/>
      <c r="C39" s="630"/>
      <c r="D39" s="53" t="s">
        <v>1769</v>
      </c>
      <c r="E39" s="54">
        <v>100030936</v>
      </c>
      <c r="F39" s="55" t="s">
        <v>1770</v>
      </c>
      <c r="G39" s="129">
        <v>16</v>
      </c>
      <c r="H39" s="129">
        <v>192</v>
      </c>
      <c r="I39" s="128">
        <f>_xlfn.XLOOKUP(E39,'All Products'!D:D,'All Products'!H:H)</f>
        <v>273.19</v>
      </c>
      <c r="J39" s="135">
        <f>ROUNDUP(I39*Order_Quote!$L$14,2)</f>
        <v>1365.95</v>
      </c>
      <c r="K39" s="123"/>
      <c r="L39" s="79"/>
      <c r="M39" s="117">
        <f t="shared" si="1"/>
        <v>0</v>
      </c>
      <c r="O39" s="265" t="s">
        <v>76</v>
      </c>
      <c r="P39" s="265" t="s">
        <v>102</v>
      </c>
      <c r="Q39" s="265" t="s">
        <v>1771</v>
      </c>
      <c r="R39" s="265">
        <v>0</v>
      </c>
      <c r="S39" s="265" t="s">
        <v>1772</v>
      </c>
      <c r="T39" s="347">
        <v>2.0539999999999998</v>
      </c>
      <c r="U39" s="348">
        <v>35.904000000000003</v>
      </c>
      <c r="V39" s="348">
        <v>3.6731726755225957</v>
      </c>
    </row>
    <row r="40" spans="1:22" ht="40.5" customHeight="1">
      <c r="A40" s="104" t="str">
        <f>IF(K40&gt;0,COUNT($A$7:A39)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0" s="583"/>
      <c r="C40" s="584"/>
      <c r="D40" s="53" t="s">
        <v>1773</v>
      </c>
      <c r="E40" s="54">
        <v>300005480</v>
      </c>
      <c r="F40" s="55" t="s">
        <v>1774</v>
      </c>
      <c r="G40" s="129">
        <v>24</v>
      </c>
      <c r="H40" s="129" t="s">
        <v>1205</v>
      </c>
      <c r="I40" s="128">
        <f>_xlfn.XLOOKUP(E40,'All Products'!D:D,'All Products'!H:H)</f>
        <v>160.66999999999999</v>
      </c>
      <c r="J40" s="135">
        <f>ROUNDUP(I40*Order_Quote!$L$14,2)</f>
        <v>803.35</v>
      </c>
      <c r="K40" s="123"/>
      <c r="L40" s="79"/>
      <c r="M40" s="117">
        <f t="shared" si="1"/>
        <v>0</v>
      </c>
      <c r="O40" s="265" t="s">
        <v>1693</v>
      </c>
      <c r="P40" s="265" t="s">
        <v>77</v>
      </c>
      <c r="Q40" s="265" t="s">
        <v>1775</v>
      </c>
      <c r="R40" s="265">
        <v>0</v>
      </c>
      <c r="S40" s="265">
        <v>0</v>
      </c>
      <c r="T40" s="347">
        <v>0.34</v>
      </c>
      <c r="U40" s="348">
        <v>8.16</v>
      </c>
      <c r="V40" s="348" t="s">
        <v>1205</v>
      </c>
    </row>
    <row r="41" spans="1:22">
      <c r="A41" s="104" t="str">
        <f>IF(K41&gt;0,COUNT($A$7:A40)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1" s="110"/>
      <c r="C41" s="111"/>
      <c r="D41" s="53" t="s">
        <v>1776</v>
      </c>
      <c r="E41" s="54">
        <v>300005752</v>
      </c>
      <c r="F41" s="55" t="s">
        <v>1777</v>
      </c>
      <c r="G41" s="129">
        <v>25</v>
      </c>
      <c r="H41" s="129">
        <v>2400</v>
      </c>
      <c r="I41" s="128">
        <f>_xlfn.XLOOKUP(E41,'All Products'!D:D,'All Products'!H:H)</f>
        <v>73.34</v>
      </c>
      <c r="J41" s="135">
        <f>ROUNDUP(I41*Order_Quote!$L$14,2)</f>
        <v>366.7</v>
      </c>
      <c r="K41" s="123"/>
      <c r="L41" s="79"/>
      <c r="M41" s="117">
        <f t="shared" si="1"/>
        <v>0</v>
      </c>
      <c r="O41" s="265" t="s">
        <v>1693</v>
      </c>
      <c r="P41" s="265" t="s">
        <v>77</v>
      </c>
      <c r="Q41" s="265" t="s">
        <v>1778</v>
      </c>
      <c r="R41" s="265">
        <v>0</v>
      </c>
      <c r="S41" s="265" t="s">
        <v>1779</v>
      </c>
      <c r="T41" s="347">
        <v>0.33</v>
      </c>
      <c r="U41" s="348">
        <v>8.25</v>
      </c>
      <c r="V41" s="348" t="s">
        <v>1205</v>
      </c>
    </row>
    <row r="42" spans="1:22">
      <c r="A42" s="104" t="str">
        <f>IF(K42&gt;0,COUNT($A$7:A41)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2" s="112"/>
      <c r="C42" s="79"/>
      <c r="D42" s="53" t="s">
        <v>1780</v>
      </c>
      <c r="E42" s="54">
        <v>100030860</v>
      </c>
      <c r="F42" s="55" t="s">
        <v>1781</v>
      </c>
      <c r="G42" s="129">
        <v>25</v>
      </c>
      <c r="H42" s="129">
        <v>1800</v>
      </c>
      <c r="I42" s="128">
        <f>_xlfn.XLOOKUP(E42,'All Products'!D:D,'All Products'!H:H)</f>
        <v>29.94</v>
      </c>
      <c r="J42" s="135">
        <f>ROUNDUP(I42*Order_Quote!$L$14,2)</f>
        <v>149.69999999999999</v>
      </c>
      <c r="K42" s="127"/>
      <c r="L42" s="79"/>
      <c r="M42" s="117">
        <f t="shared" si="1"/>
        <v>0</v>
      </c>
      <c r="O42" s="265" t="s">
        <v>76</v>
      </c>
      <c r="P42" s="265" t="s">
        <v>102</v>
      </c>
      <c r="Q42" s="265" t="s">
        <v>1782</v>
      </c>
      <c r="R42" s="265">
        <v>0</v>
      </c>
      <c r="S42" s="265" t="s">
        <v>1783</v>
      </c>
      <c r="T42" s="347">
        <v>0.216</v>
      </c>
      <c r="U42" s="348">
        <v>6.6000000000000005</v>
      </c>
      <c r="V42" s="348">
        <v>0.98955954024750914</v>
      </c>
    </row>
    <row r="43" spans="1:22">
      <c r="A43" s="104" t="str">
        <f>IF(K43&gt;0,COUNT($A$7:A42)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3" s="112"/>
      <c r="C43" s="79"/>
      <c r="D43" s="53" t="s">
        <v>1784</v>
      </c>
      <c r="E43" s="54">
        <v>300005499</v>
      </c>
      <c r="F43" s="55" t="s">
        <v>1785</v>
      </c>
      <c r="G43" s="129">
        <v>10</v>
      </c>
      <c r="H43" s="129">
        <v>400</v>
      </c>
      <c r="I43" s="128">
        <f>_xlfn.XLOOKUP(E43,'All Products'!D:D,'All Products'!H:H)</f>
        <v>235.85</v>
      </c>
      <c r="J43" s="135">
        <f>ROUNDUP(I43*Order_Quote!$L$14,2)</f>
        <v>1179.25</v>
      </c>
      <c r="K43" s="123"/>
      <c r="L43" s="79"/>
      <c r="M43" s="117">
        <f t="shared" si="1"/>
        <v>0</v>
      </c>
      <c r="O43" s="265" t="s">
        <v>359</v>
      </c>
      <c r="P43" s="265" t="s">
        <v>77</v>
      </c>
      <c r="Q43" s="265" t="s">
        <v>1786</v>
      </c>
      <c r="R43" s="265">
        <v>0</v>
      </c>
      <c r="S43" s="265">
        <v>0</v>
      </c>
      <c r="T43" s="347">
        <v>1.5920000000000001</v>
      </c>
      <c r="U43" s="348">
        <v>15.920000000000002</v>
      </c>
      <c r="V43" s="348" t="s">
        <v>1205</v>
      </c>
    </row>
    <row r="44" spans="1:22" ht="15.75" customHeight="1">
      <c r="A44" s="104" t="str">
        <f>IF(K44&gt;0,COUNT($A$7:A43)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4" s="630"/>
      <c r="C44" s="630"/>
      <c r="D44" s="53" t="s">
        <v>1787</v>
      </c>
      <c r="E44" s="54">
        <v>100029436</v>
      </c>
      <c r="F44" s="55" t="s">
        <v>1788</v>
      </c>
      <c r="G44" s="129">
        <v>24</v>
      </c>
      <c r="H44" s="129">
        <v>768</v>
      </c>
      <c r="I44" s="128">
        <f>_xlfn.XLOOKUP(E44,'All Products'!D:D,'All Products'!H:H)</f>
        <v>24.54</v>
      </c>
      <c r="J44" s="135">
        <f>ROUNDUP(I44*Order_Quote!$L$14,2)</f>
        <v>122.7</v>
      </c>
      <c r="K44" s="127"/>
      <c r="L44" s="79"/>
      <c r="M44" s="117">
        <f t="shared" si="1"/>
        <v>0</v>
      </c>
      <c r="O44" s="265" t="s">
        <v>76</v>
      </c>
      <c r="P44" s="265" t="s">
        <v>102</v>
      </c>
      <c r="Q44" s="265" t="s">
        <v>1789</v>
      </c>
      <c r="R44" s="265">
        <v>0</v>
      </c>
      <c r="S44" s="265" t="s">
        <v>1790</v>
      </c>
      <c r="T44" s="347">
        <v>0.59399999999999997</v>
      </c>
      <c r="U44" s="348">
        <v>16.344000000000001</v>
      </c>
      <c r="V44" s="348">
        <v>1.3788503419060438</v>
      </c>
    </row>
    <row r="45" spans="1:22" ht="15.75" customHeight="1">
      <c r="A45" s="104" t="str">
        <f>IF(K45&gt;0,COUNT($A$7:A44)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5" s="630"/>
      <c r="C45" s="630"/>
      <c r="D45" s="53" t="s">
        <v>1791</v>
      </c>
      <c r="E45" s="54">
        <v>300005634</v>
      </c>
      <c r="F45" s="55" t="s">
        <v>1792</v>
      </c>
      <c r="G45" s="129">
        <v>20</v>
      </c>
      <c r="H45" s="129">
        <v>360</v>
      </c>
      <c r="I45" s="128">
        <f>_xlfn.XLOOKUP(E45,'All Products'!D:D,'All Products'!H:H)</f>
        <v>302.61</v>
      </c>
      <c r="J45" s="135">
        <f>ROUNDUP(I45*Order_Quote!$L$14,2)</f>
        <v>1513.05</v>
      </c>
      <c r="K45" s="123"/>
      <c r="L45" s="79"/>
      <c r="M45" s="117">
        <f t="shared" si="1"/>
        <v>0</v>
      </c>
      <c r="O45" s="265" t="s">
        <v>1693</v>
      </c>
      <c r="P45" s="265" t="s">
        <v>77</v>
      </c>
      <c r="Q45" s="265" t="s">
        <v>1793</v>
      </c>
      <c r="R45" s="265">
        <v>0</v>
      </c>
      <c r="S45" s="265" t="s">
        <v>1794</v>
      </c>
      <c r="T45" s="347">
        <v>1.1850000000000001</v>
      </c>
      <c r="U45" s="348">
        <v>23.700000000000003</v>
      </c>
      <c r="V45" s="348" t="s">
        <v>1205</v>
      </c>
    </row>
    <row r="46" spans="1:22" ht="15.75" customHeight="1">
      <c r="A46" s="104" t="str">
        <f>IF(K46&gt;0,COUNT($A$7:A45)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6" s="630"/>
      <c r="C46" s="630"/>
      <c r="D46" s="53" t="s">
        <v>1795</v>
      </c>
      <c r="E46" s="54">
        <v>300005547</v>
      </c>
      <c r="F46" s="55" t="s">
        <v>1796</v>
      </c>
      <c r="G46" s="129">
        <v>8</v>
      </c>
      <c r="H46" s="129" t="s">
        <v>1205</v>
      </c>
      <c r="I46" s="128">
        <f>_xlfn.XLOOKUP(E46,'All Products'!D:D,'All Products'!H:H)</f>
        <v>1778.22</v>
      </c>
      <c r="J46" s="135">
        <f>ROUNDUP(I46*Order_Quote!$L$14,2)</f>
        <v>8891.1</v>
      </c>
      <c r="K46" s="123"/>
      <c r="L46" s="79"/>
      <c r="M46" s="117">
        <f t="shared" si="1"/>
        <v>0</v>
      </c>
      <c r="O46" s="265" t="s">
        <v>1693</v>
      </c>
      <c r="P46" s="265" t="s">
        <v>77</v>
      </c>
      <c r="Q46" s="265" t="s">
        <v>1797</v>
      </c>
      <c r="R46" s="265">
        <v>0</v>
      </c>
      <c r="S46" s="265">
        <v>0</v>
      </c>
      <c r="T46" s="347">
        <v>4.63</v>
      </c>
      <c r="U46" s="348">
        <v>37.04</v>
      </c>
      <c r="V46" s="348" t="s">
        <v>1205</v>
      </c>
    </row>
    <row r="47" spans="1:22" ht="15.75" customHeight="1">
      <c r="A47" s="104" t="str">
        <f>IF(K47&gt;0,COUNT($A$7:A46)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7" s="577"/>
      <c r="C47" s="578"/>
      <c r="D47" s="53" t="s">
        <v>1798</v>
      </c>
      <c r="E47" s="54">
        <v>100029139</v>
      </c>
      <c r="F47" s="55" t="s">
        <v>1799</v>
      </c>
      <c r="G47" s="129">
        <v>24</v>
      </c>
      <c r="H47" s="129">
        <v>768</v>
      </c>
      <c r="I47" s="128">
        <f>_xlfn.XLOOKUP(E47,'All Products'!D:D,'All Products'!H:H)</f>
        <v>31.29</v>
      </c>
      <c r="J47" s="135">
        <f>ROUNDUP(I47*Order_Quote!$L$14,2)</f>
        <v>156.44999999999999</v>
      </c>
      <c r="K47" s="127"/>
      <c r="L47" s="79"/>
      <c r="M47" s="117">
        <f t="shared" si="1"/>
        <v>0</v>
      </c>
      <c r="O47" s="265" t="s">
        <v>76</v>
      </c>
      <c r="P47" s="265" t="s">
        <v>102</v>
      </c>
      <c r="Q47" s="265" t="s">
        <v>1800</v>
      </c>
      <c r="R47" s="265">
        <v>0</v>
      </c>
      <c r="S47" s="265" t="s">
        <v>1801</v>
      </c>
      <c r="T47" s="347">
        <v>0.59299999999999997</v>
      </c>
      <c r="U47" s="348">
        <v>16.295999999999999</v>
      </c>
      <c r="V47" s="348">
        <v>1.3788503419060438</v>
      </c>
    </row>
    <row r="48" spans="1:22" ht="15.75" customHeight="1">
      <c r="A48" s="104" t="str">
        <f>IF(K48&gt;0,COUNT($A$7:A47)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8" s="579"/>
      <c r="C48" s="580"/>
      <c r="D48" s="53" t="s">
        <v>1802</v>
      </c>
      <c r="E48" s="54">
        <v>100029418</v>
      </c>
      <c r="F48" s="55" t="s">
        <v>1803</v>
      </c>
      <c r="G48" s="129">
        <v>16</v>
      </c>
      <c r="H48" s="129">
        <v>288</v>
      </c>
      <c r="I48" s="128">
        <f>_xlfn.XLOOKUP(E48,'All Products'!D:D,'All Products'!H:H)</f>
        <v>147.84</v>
      </c>
      <c r="J48" s="135">
        <f>ROUNDUP(I48*Order_Quote!$L$14,2)</f>
        <v>739.2</v>
      </c>
      <c r="K48" s="123"/>
      <c r="L48" s="79"/>
      <c r="M48" s="117">
        <f t="shared" si="1"/>
        <v>0</v>
      </c>
      <c r="O48" s="265" t="s">
        <v>76</v>
      </c>
      <c r="P48" s="265" t="s">
        <v>102</v>
      </c>
      <c r="Q48" s="265" t="s">
        <v>1804</v>
      </c>
      <c r="R48" s="265">
        <v>0</v>
      </c>
      <c r="S48" s="265" t="s">
        <v>1805</v>
      </c>
      <c r="T48" s="347">
        <v>1.2689999999999999</v>
      </c>
      <c r="U48" s="348">
        <v>21.968</v>
      </c>
      <c r="V48" s="348">
        <v>2.361325291407383</v>
      </c>
    </row>
    <row r="49" spans="1:22" ht="15.75" customHeight="1">
      <c r="A49" s="104" t="str">
        <f>IF(K49&gt;0,COUNT($A$7:A48)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49" s="581"/>
      <c r="C49" s="582"/>
      <c r="D49" s="53" t="s">
        <v>1806</v>
      </c>
      <c r="E49" s="54">
        <v>300005546</v>
      </c>
      <c r="F49" s="55" t="s">
        <v>1807</v>
      </c>
      <c r="G49" s="129">
        <v>8</v>
      </c>
      <c r="H49" s="129" t="s">
        <v>1205</v>
      </c>
      <c r="I49" s="128">
        <f>_xlfn.XLOOKUP(E49,'All Products'!D:D,'All Products'!H:H)</f>
        <v>929.48</v>
      </c>
      <c r="J49" s="135">
        <f>ROUNDUP(I49*Order_Quote!$L$14,2)</f>
        <v>4647.3999999999996</v>
      </c>
      <c r="K49" s="123"/>
      <c r="L49" s="79"/>
      <c r="M49" s="117">
        <f t="shared" si="1"/>
        <v>0</v>
      </c>
      <c r="O49" s="265" t="s">
        <v>1693</v>
      </c>
      <c r="P49" s="265" t="s">
        <v>77</v>
      </c>
      <c r="Q49" s="265" t="s">
        <v>1808</v>
      </c>
      <c r="R49" s="265">
        <v>0</v>
      </c>
      <c r="S49" s="265">
        <v>0</v>
      </c>
      <c r="T49" s="347">
        <v>2.2599999999999998</v>
      </c>
      <c r="U49" s="348">
        <v>18.079999999999998</v>
      </c>
      <c r="V49" s="348" t="s">
        <v>1205</v>
      </c>
    </row>
    <row r="50" spans="1:22" ht="22.5" customHeight="1">
      <c r="A50" s="104" t="str">
        <f>IF(K50&gt;0,COUNT($A$7:A49)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0" s="630"/>
      <c r="C50" s="630"/>
      <c r="D50" s="53" t="s">
        <v>1809</v>
      </c>
      <c r="E50" s="54">
        <v>300005744</v>
      </c>
      <c r="F50" s="55" t="s">
        <v>1810</v>
      </c>
      <c r="G50" s="129">
        <v>30</v>
      </c>
      <c r="H50" s="129" t="s">
        <v>1205</v>
      </c>
      <c r="I50" s="128">
        <f>_xlfn.XLOOKUP(E50,'All Products'!D:D,'All Products'!H:H)</f>
        <v>168.13</v>
      </c>
      <c r="J50" s="135">
        <f>ROUNDUP(I50*Order_Quote!$L$14,2)</f>
        <v>840.65</v>
      </c>
      <c r="K50" s="127"/>
      <c r="L50" s="79"/>
      <c r="M50" s="117">
        <f t="shared" si="1"/>
        <v>0</v>
      </c>
      <c r="O50" s="265" t="s">
        <v>1693</v>
      </c>
      <c r="P50" s="265" t="s">
        <v>77</v>
      </c>
      <c r="Q50" s="265" t="s">
        <v>1811</v>
      </c>
      <c r="R50" s="265">
        <v>0</v>
      </c>
      <c r="S50" s="265">
        <v>0</v>
      </c>
      <c r="T50" s="347">
        <v>0.86</v>
      </c>
      <c r="U50" s="348">
        <v>25.8</v>
      </c>
      <c r="V50" s="348" t="s">
        <v>1205</v>
      </c>
    </row>
    <row r="51" spans="1:22" ht="25.5" customHeight="1">
      <c r="A51" s="104" t="str">
        <f>IF(K51&gt;0,COUNT($A$7:A50)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1" s="630"/>
      <c r="C51" s="630"/>
      <c r="D51" s="53" t="s">
        <v>1812</v>
      </c>
      <c r="E51" s="54">
        <v>300005513</v>
      </c>
      <c r="F51" s="55" t="s">
        <v>1813</v>
      </c>
      <c r="G51" s="129">
        <v>3</v>
      </c>
      <c r="H51" s="129" t="s">
        <v>1205</v>
      </c>
      <c r="I51" s="128">
        <f>_xlfn.XLOOKUP(E51,'All Products'!D:D,'All Products'!H:H)</f>
        <v>1001.74</v>
      </c>
      <c r="J51" s="135">
        <f>ROUNDUP(I51*Order_Quote!$L$14,2)</f>
        <v>5008.7</v>
      </c>
      <c r="K51" s="123"/>
      <c r="L51" s="79"/>
      <c r="M51" s="117">
        <f t="shared" si="1"/>
        <v>0</v>
      </c>
      <c r="O51" s="265" t="s">
        <v>1693</v>
      </c>
      <c r="P51" s="265" t="s">
        <v>77</v>
      </c>
      <c r="Q51" s="265" t="s">
        <v>1814</v>
      </c>
      <c r="R51" s="265">
        <v>0</v>
      </c>
      <c r="S51" s="265">
        <v>0</v>
      </c>
      <c r="T51" s="347">
        <v>2.601</v>
      </c>
      <c r="U51" s="348">
        <v>7.8029999999999999</v>
      </c>
      <c r="V51" s="348" t="s">
        <v>1205</v>
      </c>
    </row>
    <row r="52" spans="1:22">
      <c r="A52" s="104" t="str">
        <f>IF(K52&gt;0,COUNT($A$7:A51)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2" s="577"/>
      <c r="C52" s="578"/>
      <c r="D52" s="53" t="s">
        <v>1815</v>
      </c>
      <c r="E52" s="54">
        <v>300005746</v>
      </c>
      <c r="F52" s="55" t="s">
        <v>1816</v>
      </c>
      <c r="G52" s="129">
        <v>50</v>
      </c>
      <c r="H52" s="129">
        <v>4800</v>
      </c>
      <c r="I52" s="128">
        <f>_xlfn.XLOOKUP(E52,'All Products'!D:D,'All Products'!H:H)</f>
        <v>35.79</v>
      </c>
      <c r="J52" s="135">
        <f>ROUNDUP(I52*Order_Quote!$L$14,2)</f>
        <v>178.95</v>
      </c>
      <c r="K52" s="127"/>
      <c r="L52" s="79"/>
      <c r="M52" s="117">
        <f t="shared" si="1"/>
        <v>0</v>
      </c>
      <c r="O52" s="265" t="s">
        <v>1693</v>
      </c>
      <c r="P52" s="265" t="s">
        <v>77</v>
      </c>
      <c r="Q52" s="265">
        <v>0</v>
      </c>
      <c r="R52" s="265">
        <v>0</v>
      </c>
      <c r="S52" s="265">
        <v>0</v>
      </c>
      <c r="T52" s="347">
        <v>0.37</v>
      </c>
      <c r="U52" s="348">
        <v>18.5</v>
      </c>
      <c r="V52" s="348" t="s">
        <v>1205</v>
      </c>
    </row>
    <row r="53" spans="1:22">
      <c r="A53" s="104" t="str">
        <f>IF(K53&gt;0,COUNT($A$7:A52)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3" s="579"/>
      <c r="C53" s="580"/>
      <c r="D53" s="53" t="s">
        <v>1817</v>
      </c>
      <c r="E53" s="54">
        <v>100030874</v>
      </c>
      <c r="F53" s="55" t="s">
        <v>1818</v>
      </c>
      <c r="G53" s="129">
        <v>40</v>
      </c>
      <c r="H53" s="129">
        <v>2880</v>
      </c>
      <c r="I53" s="128">
        <f>_xlfn.XLOOKUP(E53,'All Products'!D:D,'All Products'!H:H)</f>
        <v>25.93</v>
      </c>
      <c r="J53" s="135">
        <f>ROUNDUP(I53*Order_Quote!$L$14,2)</f>
        <v>129.65</v>
      </c>
      <c r="K53" s="123"/>
      <c r="L53" s="79"/>
      <c r="M53" s="117">
        <f t="shared" si="1"/>
        <v>0</v>
      </c>
      <c r="O53" s="265" t="s">
        <v>359</v>
      </c>
      <c r="P53" s="265" t="s">
        <v>102</v>
      </c>
      <c r="Q53" s="265" t="s">
        <v>1819</v>
      </c>
      <c r="R53" s="265">
        <v>0</v>
      </c>
      <c r="S53" s="265" t="s">
        <v>1820</v>
      </c>
      <c r="T53" s="347">
        <v>0.32</v>
      </c>
      <c r="U53" s="348">
        <v>14</v>
      </c>
      <c r="V53" s="348">
        <v>0.98955954024750914</v>
      </c>
    </row>
    <row r="54" spans="1:22">
      <c r="A54" s="104" t="str">
        <f>IF(K54&gt;0,COUNT($A$7:A53)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4" s="581"/>
      <c r="C54" s="582"/>
      <c r="D54" s="53" t="s">
        <v>1821</v>
      </c>
      <c r="E54" s="54">
        <v>300005506</v>
      </c>
      <c r="F54" s="55" t="s">
        <v>1822</v>
      </c>
      <c r="G54" s="129">
        <v>30</v>
      </c>
      <c r="H54" s="129">
        <v>1350</v>
      </c>
      <c r="I54" s="128">
        <f>_xlfn.XLOOKUP(E54,'All Products'!D:D,'All Products'!H:H)</f>
        <v>251.52</v>
      </c>
      <c r="J54" s="135">
        <f>ROUNDUP(I54*Order_Quote!$L$14,2)</f>
        <v>1257.5999999999999</v>
      </c>
      <c r="K54" s="123"/>
      <c r="L54" s="79"/>
      <c r="M54" s="117">
        <f t="shared" si="1"/>
        <v>0</v>
      </c>
      <c r="O54" s="265" t="s">
        <v>1693</v>
      </c>
      <c r="P54" s="265" t="s">
        <v>77</v>
      </c>
      <c r="Q54" s="265" t="s">
        <v>1823</v>
      </c>
      <c r="R54" s="265">
        <v>0</v>
      </c>
      <c r="S54" s="265">
        <v>0</v>
      </c>
      <c r="T54" s="347">
        <v>1.33</v>
      </c>
      <c r="U54" s="348">
        <v>39.900000000000006</v>
      </c>
      <c r="V54" s="348" t="s">
        <v>1205</v>
      </c>
    </row>
    <row r="55" spans="1:22">
      <c r="A55" s="104" t="str">
        <f>IF(K55&gt;0,COUNT($A$7:A54)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5" s="579"/>
      <c r="C55" s="580"/>
      <c r="D55" s="53" t="s">
        <v>1824</v>
      </c>
      <c r="E55" s="54">
        <v>300005749</v>
      </c>
      <c r="F55" s="55" t="s">
        <v>1825</v>
      </c>
      <c r="G55" s="129">
        <v>36</v>
      </c>
      <c r="H55" s="129" t="s">
        <v>1205</v>
      </c>
      <c r="I55" s="128">
        <f>_xlfn.XLOOKUP(E55,'All Products'!D:D,'All Products'!H:H)</f>
        <v>46.56</v>
      </c>
      <c r="J55" s="135">
        <f>ROUNDUP(I55*Order_Quote!$L$14,2)</f>
        <v>232.8</v>
      </c>
      <c r="K55" s="127"/>
      <c r="L55" s="79"/>
      <c r="M55" s="117">
        <f t="shared" si="1"/>
        <v>0</v>
      </c>
      <c r="O55" s="265" t="s">
        <v>1693</v>
      </c>
      <c r="P55" s="265" t="s">
        <v>77</v>
      </c>
      <c r="Q55" s="265" t="s">
        <v>1826</v>
      </c>
      <c r="R55" s="265">
        <v>0</v>
      </c>
      <c r="S55" s="265">
        <v>0</v>
      </c>
      <c r="T55" s="347">
        <v>0.2</v>
      </c>
      <c r="U55" s="348">
        <v>7.2</v>
      </c>
      <c r="V55" s="348" t="s">
        <v>1205</v>
      </c>
    </row>
    <row r="56" spans="1:22">
      <c r="A56" s="104" t="str">
        <f>IF(K56&gt;0,COUNT($A$7:A55)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6" s="579"/>
      <c r="C56" s="580"/>
      <c r="D56" s="53" t="s">
        <v>1827</v>
      </c>
      <c r="E56" s="54">
        <v>100029462</v>
      </c>
      <c r="F56" s="55" t="s">
        <v>1828</v>
      </c>
      <c r="G56" s="129">
        <v>25</v>
      </c>
      <c r="H56" s="129">
        <v>1800</v>
      </c>
      <c r="I56" s="128">
        <f>_xlfn.XLOOKUP(E56,'All Products'!D:D,'All Products'!H:H)</f>
        <v>24.43</v>
      </c>
      <c r="J56" s="135">
        <f>ROUNDUP(I56*Order_Quote!$L$14,2)</f>
        <v>122.15</v>
      </c>
      <c r="K56" s="123"/>
      <c r="L56" s="79"/>
      <c r="M56" s="117">
        <f t="shared" si="1"/>
        <v>0</v>
      </c>
      <c r="O56" s="265" t="s">
        <v>76</v>
      </c>
      <c r="P56" s="265" t="s">
        <v>102</v>
      </c>
      <c r="Q56" s="265" t="s">
        <v>1829</v>
      </c>
      <c r="R56" s="265">
        <v>0</v>
      </c>
      <c r="S56" s="265" t="s">
        <v>1830</v>
      </c>
      <c r="T56" s="347">
        <v>0.38600000000000001</v>
      </c>
      <c r="U56" s="348">
        <v>11.824999999999999</v>
      </c>
      <c r="V56" s="348">
        <v>1.8803145838984718</v>
      </c>
    </row>
    <row r="57" spans="1:22">
      <c r="A57" s="104" t="str">
        <f>IF(K57&gt;0,COUNT($A$7:A56)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7" s="579"/>
      <c r="C57" s="580"/>
      <c r="D57" s="53" t="s">
        <v>1831</v>
      </c>
      <c r="E57" s="54">
        <v>100029542</v>
      </c>
      <c r="F57" s="55" t="s">
        <v>1832</v>
      </c>
      <c r="G57" s="129">
        <v>25</v>
      </c>
      <c r="H57" s="129">
        <v>1000</v>
      </c>
      <c r="I57" s="128">
        <f>_xlfn.XLOOKUP(E57,'All Products'!D:D,'All Products'!H:H)</f>
        <v>43.8</v>
      </c>
      <c r="J57" s="135">
        <f>ROUNDUP(I57*Order_Quote!$L$14,2)</f>
        <v>219</v>
      </c>
      <c r="K57" s="123"/>
      <c r="L57" s="79"/>
      <c r="M57" s="117">
        <f t="shared" si="1"/>
        <v>0</v>
      </c>
      <c r="O57" s="265" t="s">
        <v>76</v>
      </c>
      <c r="P57" s="265" t="s">
        <v>102</v>
      </c>
      <c r="Q57" s="265" t="s">
        <v>1833</v>
      </c>
      <c r="R57" s="265">
        <v>0</v>
      </c>
      <c r="S57" s="265" t="s">
        <v>1834</v>
      </c>
      <c r="T57" s="347">
        <v>0.47399999999999998</v>
      </c>
      <c r="U57" s="348">
        <v>14.025000000000002</v>
      </c>
      <c r="V57" s="348">
        <v>1.8803145838984718</v>
      </c>
    </row>
    <row r="58" spans="1:22">
      <c r="A58" s="104" t="str">
        <f>IF(K58&gt;0,COUNT($A$7:A57)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8" s="581"/>
      <c r="C58" s="582"/>
      <c r="D58" s="53" t="s">
        <v>1835</v>
      </c>
      <c r="E58" s="54">
        <v>300005588</v>
      </c>
      <c r="F58" s="55" t="s">
        <v>1836</v>
      </c>
      <c r="G58" s="129">
        <v>15</v>
      </c>
      <c r="H58" s="129">
        <v>675</v>
      </c>
      <c r="I58" s="128">
        <f>_xlfn.XLOOKUP(E58,'All Products'!D:D,'All Products'!H:H)</f>
        <v>380.95</v>
      </c>
      <c r="J58" s="135">
        <f>ROUNDUP(I58*Order_Quote!$L$14,2)</f>
        <v>1904.75</v>
      </c>
      <c r="K58" s="123"/>
      <c r="L58" s="79"/>
      <c r="M58" s="117">
        <f t="shared" si="1"/>
        <v>0</v>
      </c>
      <c r="O58" s="265" t="s">
        <v>359</v>
      </c>
      <c r="P58" s="265" t="s">
        <v>77</v>
      </c>
      <c r="Q58" s="265" t="s">
        <v>1837</v>
      </c>
      <c r="R58" s="265">
        <v>0</v>
      </c>
      <c r="S58" s="265">
        <v>0</v>
      </c>
      <c r="T58" s="347">
        <v>1.2</v>
      </c>
      <c r="U58" s="348">
        <v>18</v>
      </c>
      <c r="V58" s="348" t="s">
        <v>1205</v>
      </c>
    </row>
    <row r="59" spans="1:22">
      <c r="A59" s="104" t="str">
        <f>IF(K59&gt;0,COUNT($A$7:A58)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59" s="630"/>
      <c r="C59" s="630"/>
      <c r="D59" s="53" t="s">
        <v>1838</v>
      </c>
      <c r="E59" s="54">
        <v>300005748</v>
      </c>
      <c r="F59" s="55" t="s">
        <v>1839</v>
      </c>
      <c r="G59" s="129">
        <v>50</v>
      </c>
      <c r="H59" s="129">
        <v>2000</v>
      </c>
      <c r="I59" s="128">
        <f>_xlfn.XLOOKUP(E59,'All Products'!D:D,'All Products'!H:H)</f>
        <v>60.17</v>
      </c>
      <c r="J59" s="135">
        <f>ROUNDUP(I59*Order_Quote!$L$14,2)</f>
        <v>300.85000000000002</v>
      </c>
      <c r="K59" s="127"/>
      <c r="L59" s="79"/>
      <c r="M59" s="117">
        <f t="shared" si="1"/>
        <v>0</v>
      </c>
      <c r="O59" s="265" t="s">
        <v>359</v>
      </c>
      <c r="P59" s="265" t="s">
        <v>77</v>
      </c>
      <c r="Q59" s="265" t="s">
        <v>1840</v>
      </c>
      <c r="R59" s="265">
        <v>0</v>
      </c>
      <c r="S59" s="265" t="s">
        <v>1841</v>
      </c>
      <c r="T59" s="347">
        <v>0.2</v>
      </c>
      <c r="U59" s="348">
        <v>10</v>
      </c>
      <c r="V59" s="348" t="s">
        <v>1205</v>
      </c>
    </row>
    <row r="60" spans="1:22">
      <c r="A60" s="104" t="str">
        <f>IF(K60&gt;0,COUNT($A$7:A59)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0" s="630"/>
      <c r="C60" s="630"/>
      <c r="D60" s="53" t="s">
        <v>1842</v>
      </c>
      <c r="E60" s="54">
        <v>100030862</v>
      </c>
      <c r="F60" s="55" t="s">
        <v>1843</v>
      </c>
      <c r="G60" s="129">
        <v>50</v>
      </c>
      <c r="H60" s="129">
        <v>2000</v>
      </c>
      <c r="I60" s="128">
        <f>_xlfn.XLOOKUP(E60,'All Products'!D:D,'All Products'!H:H)</f>
        <v>32.450000000000003</v>
      </c>
      <c r="J60" s="135">
        <f>ROUNDUP(I60*Order_Quote!$L$14,2)</f>
        <v>162.25</v>
      </c>
      <c r="K60" s="123"/>
      <c r="L60" s="79"/>
      <c r="M60" s="117">
        <f t="shared" si="1"/>
        <v>0</v>
      </c>
      <c r="O60" s="265" t="s">
        <v>76</v>
      </c>
      <c r="P60" s="265" t="s">
        <v>102</v>
      </c>
      <c r="Q60" s="265" t="s">
        <v>1844</v>
      </c>
      <c r="R60" s="265">
        <v>0</v>
      </c>
      <c r="S60" s="265" t="s">
        <v>1845</v>
      </c>
      <c r="T60" s="347">
        <v>0.371</v>
      </c>
      <c r="U60" s="348">
        <v>20.45</v>
      </c>
      <c r="V60" s="348">
        <v>2.7986077527791204</v>
      </c>
    </row>
    <row r="61" spans="1:22">
      <c r="A61" s="104" t="str">
        <f>IF(K61&gt;0,COUNT($A$7:A60)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1" s="630"/>
      <c r="C61" s="630"/>
      <c r="D61" s="53" t="s">
        <v>1846</v>
      </c>
      <c r="E61" s="54">
        <v>300005478</v>
      </c>
      <c r="F61" s="55" t="s">
        <v>1847</v>
      </c>
      <c r="G61" s="129">
        <v>65</v>
      </c>
      <c r="H61" s="129" t="s">
        <v>1205</v>
      </c>
      <c r="I61" s="128">
        <f>_xlfn.XLOOKUP(E61,'All Products'!D:D,'All Products'!H:H)</f>
        <v>89.04</v>
      </c>
      <c r="J61" s="135">
        <f>ROUNDUP(I61*Order_Quote!$L$14,2)</f>
        <v>445.2</v>
      </c>
      <c r="K61" s="123"/>
      <c r="L61" s="79"/>
      <c r="M61" s="117">
        <f t="shared" si="1"/>
        <v>0</v>
      </c>
      <c r="O61" s="265" t="s">
        <v>1693</v>
      </c>
      <c r="P61" s="265" t="s">
        <v>77</v>
      </c>
      <c r="Q61" s="265" t="s">
        <v>1848</v>
      </c>
      <c r="R61" s="265">
        <v>0</v>
      </c>
      <c r="S61" s="265">
        <v>0</v>
      </c>
      <c r="T61" s="347">
        <v>0.5</v>
      </c>
      <c r="U61" s="348">
        <v>32.5</v>
      </c>
      <c r="V61" s="348" t="s">
        <v>1205</v>
      </c>
    </row>
    <row r="62" spans="1:22">
      <c r="A62" s="104" t="str">
        <f>IF(K62&gt;0,COUNT($A$7:A61)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2" s="630"/>
      <c r="C62" s="630"/>
      <c r="D62" s="53" t="s">
        <v>1849</v>
      </c>
      <c r="E62" s="54">
        <v>100029445</v>
      </c>
      <c r="F62" s="55" t="s">
        <v>1850</v>
      </c>
      <c r="G62" s="129">
        <v>25</v>
      </c>
      <c r="H62" s="129">
        <v>1000</v>
      </c>
      <c r="I62" s="128">
        <f>_xlfn.XLOOKUP(E62,'All Products'!D:D,'All Products'!H:H)</f>
        <v>51.3</v>
      </c>
      <c r="J62" s="135">
        <f>ROUNDUP(I62*Order_Quote!$L$14,2)</f>
        <v>256.5</v>
      </c>
      <c r="K62" s="123"/>
      <c r="L62" s="79"/>
      <c r="M62" s="117">
        <f t="shared" si="1"/>
        <v>0</v>
      </c>
      <c r="O62" s="265" t="s">
        <v>76</v>
      </c>
      <c r="P62" s="265" t="s">
        <v>102</v>
      </c>
      <c r="Q62" s="265" t="s">
        <v>1851</v>
      </c>
      <c r="R62" s="265">
        <v>0</v>
      </c>
      <c r="S62" s="265" t="s">
        <v>1852</v>
      </c>
      <c r="T62" s="347">
        <v>0.39</v>
      </c>
      <c r="U62" s="348">
        <v>11.600000000000001</v>
      </c>
      <c r="V62" s="348">
        <v>2.361325291407383</v>
      </c>
    </row>
    <row r="63" spans="1:22" ht="45.75" customHeight="1">
      <c r="A63" s="104" t="str">
        <f>IF(K63&gt;0,COUNT($A$7:A62)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3" s="583"/>
      <c r="C63" s="584"/>
      <c r="D63" s="53" t="s">
        <v>1853</v>
      </c>
      <c r="E63" s="54">
        <v>300005488</v>
      </c>
      <c r="F63" s="55" t="s">
        <v>1854</v>
      </c>
      <c r="G63" s="129">
        <v>30</v>
      </c>
      <c r="H63" s="129">
        <v>1200</v>
      </c>
      <c r="I63" s="128">
        <f>_xlfn.XLOOKUP(E63,'All Products'!D:D,'All Products'!H:H)</f>
        <v>44.22</v>
      </c>
      <c r="J63" s="135">
        <f>ROUNDUP(I63*Order_Quote!$L$14,2)</f>
        <v>221.1</v>
      </c>
      <c r="K63" s="123"/>
      <c r="L63" s="79"/>
      <c r="M63" s="117">
        <f t="shared" si="1"/>
        <v>0</v>
      </c>
      <c r="O63" s="265" t="s">
        <v>1693</v>
      </c>
      <c r="P63" s="265" t="s">
        <v>77</v>
      </c>
      <c r="Q63" s="265" t="s">
        <v>1855</v>
      </c>
      <c r="R63" s="265">
        <v>0</v>
      </c>
      <c r="S63" s="265">
        <v>0</v>
      </c>
      <c r="T63" s="347">
        <v>0.74099999999999999</v>
      </c>
      <c r="U63" s="348">
        <v>22.23</v>
      </c>
      <c r="V63" s="348" t="s">
        <v>1205</v>
      </c>
    </row>
    <row r="64" spans="1:22">
      <c r="A64" s="104" t="str">
        <f>IF(K64&gt;0,COUNT($A$7:A63)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4" s="630"/>
      <c r="C64" s="630"/>
      <c r="D64" s="53" t="s">
        <v>1856</v>
      </c>
      <c r="E64" s="54">
        <v>100030932</v>
      </c>
      <c r="F64" s="55" t="s">
        <v>1857</v>
      </c>
      <c r="G64" s="129">
        <v>22</v>
      </c>
      <c r="H64" s="129">
        <v>528</v>
      </c>
      <c r="I64" s="128">
        <f>_xlfn.XLOOKUP(E64,'All Products'!D:D,'All Products'!H:H)</f>
        <v>32.22</v>
      </c>
      <c r="J64" s="135">
        <f>ROUNDUP(I64*Order_Quote!$L$14,2)</f>
        <v>161.1</v>
      </c>
      <c r="K64" s="127"/>
      <c r="L64" s="79"/>
      <c r="M64" s="117">
        <f t="shared" si="1"/>
        <v>0</v>
      </c>
      <c r="O64" s="265" t="s">
        <v>76</v>
      </c>
      <c r="P64" s="265" t="s">
        <v>102</v>
      </c>
      <c r="Q64" s="265" t="s">
        <v>1858</v>
      </c>
      <c r="R64" s="265">
        <v>0</v>
      </c>
      <c r="S64" s="265" t="s">
        <v>1859</v>
      </c>
      <c r="T64" s="347">
        <v>0.41599999999999998</v>
      </c>
      <c r="U64" s="348">
        <v>11.308</v>
      </c>
      <c r="V64" s="348">
        <v>1.8803145838984718</v>
      </c>
    </row>
    <row r="65" spans="1:22">
      <c r="A65" s="104" t="str">
        <f>IF(K65&gt;0,COUNT($A$7:A64)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5" s="630"/>
      <c r="C65" s="630"/>
      <c r="D65" s="53" t="s">
        <v>1860</v>
      </c>
      <c r="E65" s="54">
        <v>100029391</v>
      </c>
      <c r="F65" s="55" t="s">
        <v>1861</v>
      </c>
      <c r="G65" s="129">
        <v>12</v>
      </c>
      <c r="H65" s="129">
        <v>144</v>
      </c>
      <c r="I65" s="128">
        <f>_xlfn.XLOOKUP(E65,'All Products'!D:D,'All Products'!H:H)</f>
        <v>133.43</v>
      </c>
      <c r="J65" s="135">
        <f>ROUNDUP(I65*Order_Quote!$L$14,2)</f>
        <v>667.15</v>
      </c>
      <c r="K65" s="123"/>
      <c r="L65" s="79"/>
      <c r="M65" s="117">
        <f t="shared" si="1"/>
        <v>0</v>
      </c>
      <c r="O65" s="265" t="s">
        <v>76</v>
      </c>
      <c r="P65" s="265" t="s">
        <v>102</v>
      </c>
      <c r="Q65" s="265" t="s">
        <v>1862</v>
      </c>
      <c r="R65" s="265">
        <v>0</v>
      </c>
      <c r="S65" s="265" t="s">
        <v>1863</v>
      </c>
      <c r="T65" s="347">
        <v>1.5</v>
      </c>
      <c r="U65" s="348">
        <v>21</v>
      </c>
      <c r="V65" s="348">
        <v>3.6731726755225957</v>
      </c>
    </row>
    <row r="66" spans="1:22">
      <c r="A66" s="104" t="str">
        <f>IF(K66&gt;0,COUNT($A$7:A65)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6" s="630"/>
      <c r="C66" s="630"/>
      <c r="D66" s="53" t="s">
        <v>1864</v>
      </c>
      <c r="E66" s="54">
        <v>300005539</v>
      </c>
      <c r="F66" s="55" t="s">
        <v>1865</v>
      </c>
      <c r="G66" s="129">
        <v>4</v>
      </c>
      <c r="H66" s="129" t="s">
        <v>1205</v>
      </c>
      <c r="I66" s="128">
        <f>_xlfn.XLOOKUP(E66,'All Products'!D:D,'All Products'!H:H)</f>
        <v>339.56</v>
      </c>
      <c r="J66" s="135">
        <f>ROUNDUP(I66*Order_Quote!$L$14,2)</f>
        <v>1697.8</v>
      </c>
      <c r="K66" s="123"/>
      <c r="L66" s="79"/>
      <c r="M66" s="117">
        <f t="shared" si="1"/>
        <v>0</v>
      </c>
      <c r="O66" s="265" t="s">
        <v>1693</v>
      </c>
      <c r="P66" s="265" t="s">
        <v>77</v>
      </c>
      <c r="Q66" s="265" t="s">
        <v>1866</v>
      </c>
      <c r="R66" s="265">
        <v>0</v>
      </c>
      <c r="S66" s="265">
        <v>0</v>
      </c>
      <c r="T66" s="347">
        <v>7.8019999999999996</v>
      </c>
      <c r="U66" s="348">
        <v>31.207999999999998</v>
      </c>
      <c r="V66" s="348" t="s">
        <v>1205</v>
      </c>
    </row>
    <row r="67" spans="1:22">
      <c r="A67" s="104" t="str">
        <f>IF(K67&gt;0,COUNT($A$7:A66)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7" s="577"/>
      <c r="C67" s="578"/>
      <c r="D67" s="53" t="s">
        <v>1867</v>
      </c>
      <c r="E67" s="54">
        <v>300005745</v>
      </c>
      <c r="F67" s="55" t="s">
        <v>1868</v>
      </c>
      <c r="G67" s="129">
        <v>25</v>
      </c>
      <c r="H67" s="129">
        <v>1800</v>
      </c>
      <c r="I67" s="128">
        <f>_xlfn.XLOOKUP(E67,'All Products'!D:D,'All Products'!H:H)</f>
        <v>69.569999999999993</v>
      </c>
      <c r="J67" s="135">
        <f>ROUNDUP(I67*Order_Quote!$L$14,2)</f>
        <v>347.85</v>
      </c>
      <c r="K67" s="127"/>
      <c r="L67" s="79"/>
      <c r="M67" s="117">
        <f t="shared" si="1"/>
        <v>0</v>
      </c>
      <c r="O67" s="265" t="s">
        <v>359</v>
      </c>
      <c r="P67" s="265" t="s">
        <v>77</v>
      </c>
      <c r="Q67" s="265">
        <v>0</v>
      </c>
      <c r="R67" s="265">
        <v>0</v>
      </c>
      <c r="S67" s="265">
        <v>0</v>
      </c>
      <c r="T67" s="347">
        <v>1</v>
      </c>
      <c r="U67" s="348">
        <v>25</v>
      </c>
      <c r="V67" s="348" t="s">
        <v>1205</v>
      </c>
    </row>
    <row r="68" spans="1:22">
      <c r="A68" s="104" t="str">
        <f>IF(K68&gt;0,COUNT($A$7:A67)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8" s="579"/>
      <c r="C68" s="580"/>
      <c r="D68" s="53" t="s">
        <v>1869</v>
      </c>
      <c r="E68" s="54">
        <v>100030873</v>
      </c>
      <c r="F68" s="55" t="s">
        <v>1870</v>
      </c>
      <c r="G68" s="129">
        <v>48</v>
      </c>
      <c r="H68" s="129">
        <v>576</v>
      </c>
      <c r="I68" s="128">
        <f>_xlfn.XLOOKUP(E68,'All Products'!D:D,'All Products'!H:H)</f>
        <v>26.13</v>
      </c>
      <c r="J68" s="135">
        <f>ROUNDUP(I68*Order_Quote!$L$14,2)</f>
        <v>130.65</v>
      </c>
      <c r="K68" s="127"/>
      <c r="L68" s="79"/>
      <c r="M68" s="117">
        <f t="shared" si="1"/>
        <v>0</v>
      </c>
      <c r="O68" s="265" t="s">
        <v>76</v>
      </c>
      <c r="P68" s="265" t="s">
        <v>102</v>
      </c>
      <c r="Q68" s="265" t="s">
        <v>1871</v>
      </c>
      <c r="R68" s="265">
        <v>0</v>
      </c>
      <c r="S68" s="265" t="s">
        <v>1872</v>
      </c>
      <c r="T68" s="347">
        <v>0.41199999999999998</v>
      </c>
      <c r="U68" s="348">
        <v>22.799999999999997</v>
      </c>
      <c r="V68" s="348">
        <v>3.6731726755225957</v>
      </c>
    </row>
    <row r="69" spans="1:22">
      <c r="A69" s="104" t="str">
        <f>IF(K69&gt;0,COUNT($A$7:A68)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69" s="579"/>
      <c r="C69" s="580"/>
      <c r="D69" s="53" t="s">
        <v>1873</v>
      </c>
      <c r="E69" s="54">
        <v>100029390</v>
      </c>
      <c r="F69" s="55" t="s">
        <v>1874</v>
      </c>
      <c r="G69" s="129">
        <v>10</v>
      </c>
      <c r="H69" s="129">
        <v>180</v>
      </c>
      <c r="I69" s="128">
        <f>_xlfn.XLOOKUP(E69,'All Products'!D:D,'All Products'!H:H)</f>
        <v>114.37</v>
      </c>
      <c r="J69" s="135">
        <f>ROUNDUP(I69*Order_Quote!$L$14,2)</f>
        <v>571.85</v>
      </c>
      <c r="K69" s="123"/>
      <c r="L69" s="79"/>
      <c r="M69" s="117">
        <f t="shared" si="1"/>
        <v>0</v>
      </c>
      <c r="O69" s="265" t="s">
        <v>76</v>
      </c>
      <c r="P69" s="265" t="s">
        <v>102</v>
      </c>
      <c r="Q69" s="265" t="s">
        <v>1875</v>
      </c>
      <c r="R69" s="265">
        <v>0</v>
      </c>
      <c r="S69" s="265" t="s">
        <v>1876</v>
      </c>
      <c r="T69" s="347">
        <v>1.5880000000000001</v>
      </c>
      <c r="U69" s="348">
        <v>17.73</v>
      </c>
      <c r="V69" s="348">
        <v>2.361325291407383</v>
      </c>
    </row>
    <row r="70" spans="1:22">
      <c r="A70" s="104" t="str">
        <f>IF(K70&gt;0,COUNT($A$7:A69)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0" s="581"/>
      <c r="C70" s="582"/>
      <c r="D70" s="53" t="s">
        <v>1877</v>
      </c>
      <c r="E70" s="54">
        <v>300005538</v>
      </c>
      <c r="F70" s="55" t="s">
        <v>1878</v>
      </c>
      <c r="G70" s="129">
        <v>4</v>
      </c>
      <c r="H70" s="129" t="s">
        <v>1205</v>
      </c>
      <c r="I70" s="128">
        <f>_xlfn.XLOOKUP(E70,'All Products'!D:D,'All Products'!H:H)</f>
        <v>520.42999999999995</v>
      </c>
      <c r="J70" s="135">
        <f>ROUNDUP(I70*Order_Quote!$L$14,2)</f>
        <v>2602.15</v>
      </c>
      <c r="K70" s="123"/>
      <c r="L70" s="79"/>
      <c r="M70" s="117">
        <f t="shared" ref="M70:M98" si="2">K70/G70</f>
        <v>0</v>
      </c>
      <c r="O70" s="265" t="s">
        <v>1693</v>
      </c>
      <c r="P70" s="265" t="s">
        <v>77</v>
      </c>
      <c r="Q70" s="265" t="s">
        <v>1879</v>
      </c>
      <c r="R70" s="265">
        <v>0</v>
      </c>
      <c r="S70" s="265">
        <v>0</v>
      </c>
      <c r="T70" s="347">
        <v>3.56</v>
      </c>
      <c r="U70" s="348">
        <v>14.24</v>
      </c>
      <c r="V70" s="348" t="s">
        <v>1205</v>
      </c>
    </row>
    <row r="71" spans="1:22">
      <c r="A71" s="104" t="str">
        <f>IF(K71&gt;0,COUNT($A$7:A70)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1" s="630"/>
      <c r="C71" s="630"/>
      <c r="D71" s="53" t="s">
        <v>1880</v>
      </c>
      <c r="E71" s="54">
        <v>100029135</v>
      </c>
      <c r="F71" s="55" t="s">
        <v>1881</v>
      </c>
      <c r="G71" s="129">
        <v>30</v>
      </c>
      <c r="H71" s="129">
        <v>360</v>
      </c>
      <c r="I71" s="128">
        <f>_xlfn.XLOOKUP(E71,'All Products'!D:D,'All Products'!H:H)</f>
        <v>23.78</v>
      </c>
      <c r="J71" s="135">
        <f>ROUNDUP(I71*Order_Quote!$L$14,2)</f>
        <v>118.9</v>
      </c>
      <c r="K71" s="127"/>
      <c r="L71" s="79"/>
      <c r="M71" s="117">
        <f t="shared" si="2"/>
        <v>0</v>
      </c>
      <c r="O71" s="265" t="s">
        <v>76</v>
      </c>
      <c r="P71" s="265" t="s">
        <v>102</v>
      </c>
      <c r="Q71" s="265" t="s">
        <v>1882</v>
      </c>
      <c r="R71" s="265">
        <v>0</v>
      </c>
      <c r="S71" s="265" t="s">
        <v>1883</v>
      </c>
      <c r="T71" s="347">
        <v>0.52200000000000002</v>
      </c>
      <c r="U71" s="348">
        <v>17.549999999999997</v>
      </c>
      <c r="V71" s="348">
        <v>2.7986077527791204</v>
      </c>
    </row>
    <row r="72" spans="1:22">
      <c r="A72" s="104" t="str">
        <f>IF(K72&gt;0,COUNT($A$7:A71)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2" s="630"/>
      <c r="C72" s="630"/>
      <c r="D72" s="53" t="s">
        <v>1884</v>
      </c>
      <c r="E72" s="54">
        <v>100029370</v>
      </c>
      <c r="F72" s="55" t="s">
        <v>1885</v>
      </c>
      <c r="G72" s="129">
        <v>12</v>
      </c>
      <c r="H72" s="129">
        <v>144</v>
      </c>
      <c r="I72" s="128">
        <f>_xlfn.XLOOKUP(E72,'All Products'!D:D,'All Products'!H:H)</f>
        <v>93.84</v>
      </c>
      <c r="J72" s="135">
        <f>ROUNDUP(I72*Order_Quote!$L$14,2)</f>
        <v>469.2</v>
      </c>
      <c r="K72" s="123"/>
      <c r="L72" s="79"/>
      <c r="M72" s="117">
        <f t="shared" si="2"/>
        <v>0</v>
      </c>
      <c r="O72" s="265" t="s">
        <v>76</v>
      </c>
      <c r="P72" s="265" t="s">
        <v>102</v>
      </c>
      <c r="Q72" s="265" t="s">
        <v>1886</v>
      </c>
      <c r="R72" s="265">
        <v>0</v>
      </c>
      <c r="S72" s="265" t="s">
        <v>1887</v>
      </c>
      <c r="T72" s="347">
        <v>1.9179999999999999</v>
      </c>
      <c r="U72" s="348">
        <v>26.016000000000002</v>
      </c>
      <c r="V72" s="348">
        <v>3.6731726755225957</v>
      </c>
    </row>
    <row r="73" spans="1:22">
      <c r="A73" s="104" t="str">
        <f>IF(K73&gt;0,COUNT($A$7:A72)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3" s="630"/>
      <c r="C73" s="630"/>
      <c r="D73" s="53" t="s">
        <v>1888</v>
      </c>
      <c r="E73" s="54">
        <v>300005542</v>
      </c>
      <c r="F73" s="55" t="s">
        <v>1889</v>
      </c>
      <c r="G73" s="129">
        <v>4</v>
      </c>
      <c r="H73" s="129" t="s">
        <v>1205</v>
      </c>
      <c r="I73" s="128">
        <f>_xlfn.XLOOKUP(E73,'All Products'!D:D,'All Products'!H:H)</f>
        <v>699.73</v>
      </c>
      <c r="J73" s="135">
        <f>ROUNDUP(I73*Order_Quote!$L$14,2)</f>
        <v>3498.65</v>
      </c>
      <c r="K73" s="123"/>
      <c r="L73" s="79"/>
      <c r="M73" s="117">
        <f t="shared" si="2"/>
        <v>0</v>
      </c>
      <c r="O73" s="265" t="s">
        <v>1693</v>
      </c>
      <c r="P73" s="265" t="s">
        <v>77</v>
      </c>
      <c r="Q73" s="265" t="s">
        <v>1890</v>
      </c>
      <c r="R73" s="265">
        <v>0</v>
      </c>
      <c r="S73" s="265">
        <v>0</v>
      </c>
      <c r="T73" s="347">
        <v>4.0999999999999996</v>
      </c>
      <c r="U73" s="348">
        <v>16.399999999999999</v>
      </c>
      <c r="V73" s="348" t="s">
        <v>1205</v>
      </c>
    </row>
    <row r="74" spans="1:22">
      <c r="A74" s="104" t="str">
        <f>IF(K74&gt;0,COUNT($A$7:A73)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4" s="577"/>
      <c r="C74" s="578"/>
      <c r="D74" s="53" t="s">
        <v>1891</v>
      </c>
      <c r="E74" s="54">
        <v>300005195</v>
      </c>
      <c r="F74" s="55" t="s">
        <v>1892</v>
      </c>
      <c r="G74" s="129">
        <v>30</v>
      </c>
      <c r="H74" s="129">
        <v>1200</v>
      </c>
      <c r="I74" s="128">
        <f>_xlfn.XLOOKUP(E74,'All Products'!D:D,'All Products'!H:H)</f>
        <v>56.99</v>
      </c>
      <c r="J74" s="135">
        <f>ROUNDUP(I74*Order_Quote!$L$14,2)</f>
        <v>284.95</v>
      </c>
      <c r="K74" s="127"/>
      <c r="L74" s="79"/>
      <c r="M74" s="117">
        <f t="shared" si="2"/>
        <v>0</v>
      </c>
      <c r="O74" s="265" t="s">
        <v>1693</v>
      </c>
      <c r="P74" s="265" t="s">
        <v>77</v>
      </c>
      <c r="Q74" s="265" t="s">
        <v>1893</v>
      </c>
      <c r="R74" s="265">
        <v>0</v>
      </c>
      <c r="S74" s="265" t="s">
        <v>1894</v>
      </c>
      <c r="T74" s="347">
        <v>1</v>
      </c>
      <c r="U74" s="348">
        <v>30</v>
      </c>
      <c r="V74" s="348" t="s">
        <v>1205</v>
      </c>
    </row>
    <row r="75" spans="1:22">
      <c r="A75" s="104" t="str">
        <f>IF(K75&gt;0,COUNT($A$7:A74)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5" s="579"/>
      <c r="C75" s="580"/>
      <c r="D75" s="53" t="s">
        <v>1895</v>
      </c>
      <c r="E75" s="54">
        <v>100030933</v>
      </c>
      <c r="F75" s="55" t="s">
        <v>1896</v>
      </c>
      <c r="G75" s="129">
        <v>30</v>
      </c>
      <c r="H75" s="129">
        <v>360</v>
      </c>
      <c r="I75" s="128">
        <f>_xlfn.XLOOKUP(E75,'All Products'!D:D,'All Products'!H:H)</f>
        <v>32.22</v>
      </c>
      <c r="J75" s="135">
        <f>ROUNDUP(I75*Order_Quote!$L$14,2)</f>
        <v>161.1</v>
      </c>
      <c r="K75" s="127"/>
      <c r="L75" s="79"/>
      <c r="M75" s="117">
        <f t="shared" si="2"/>
        <v>0</v>
      </c>
      <c r="O75" s="265" t="s">
        <v>76</v>
      </c>
      <c r="P75" s="265" t="s">
        <v>102</v>
      </c>
      <c r="Q75" s="265" t="s">
        <v>1897</v>
      </c>
      <c r="R75" s="265">
        <v>0</v>
      </c>
      <c r="S75" s="265" t="s">
        <v>1898</v>
      </c>
      <c r="T75" s="347">
        <v>0.48</v>
      </c>
      <c r="U75" s="348">
        <v>16.290000000000003</v>
      </c>
      <c r="V75" s="348">
        <v>2.7986077527791204</v>
      </c>
    </row>
    <row r="76" spans="1:22">
      <c r="A76" s="104" t="str">
        <f>IF(K76&gt;0,COUNT($A$7:A75)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6" s="579"/>
      <c r="C76" s="580"/>
      <c r="D76" s="53" t="s">
        <v>1899</v>
      </c>
      <c r="E76" s="54">
        <v>100029371</v>
      </c>
      <c r="F76" s="55" t="s">
        <v>1900</v>
      </c>
      <c r="G76" s="129">
        <v>12</v>
      </c>
      <c r="H76" s="129">
        <v>144</v>
      </c>
      <c r="I76" s="128">
        <f>_xlfn.XLOOKUP(E76,'All Products'!D:D,'All Products'!H:H)</f>
        <v>119.79</v>
      </c>
      <c r="J76" s="135">
        <f>ROUNDUP(I76*Order_Quote!$L$14,2)</f>
        <v>598.95000000000005</v>
      </c>
      <c r="K76" s="123"/>
      <c r="L76" s="79"/>
      <c r="M76" s="117">
        <f t="shared" si="2"/>
        <v>0</v>
      </c>
      <c r="O76" s="265" t="s">
        <v>359</v>
      </c>
      <c r="P76" s="265" t="s">
        <v>102</v>
      </c>
      <c r="Q76" s="265" t="s">
        <v>1901</v>
      </c>
      <c r="R76" s="265">
        <v>0</v>
      </c>
      <c r="S76" s="265" t="s">
        <v>1902</v>
      </c>
      <c r="T76" s="347">
        <v>2.1</v>
      </c>
      <c r="U76" s="348">
        <v>28.200000000000003</v>
      </c>
      <c r="V76" s="348">
        <v>3.6731726755225957</v>
      </c>
    </row>
    <row r="77" spans="1:22">
      <c r="A77" s="104" t="str">
        <f>IF(K77&gt;0,COUNT($A$7:A76)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7" s="581"/>
      <c r="C77" s="582"/>
      <c r="D77" s="53" t="s">
        <v>1903</v>
      </c>
      <c r="E77" s="54">
        <v>300005543</v>
      </c>
      <c r="F77" s="55" t="s">
        <v>1904</v>
      </c>
      <c r="G77" s="129">
        <v>4</v>
      </c>
      <c r="H77" s="129" t="s">
        <v>1205</v>
      </c>
      <c r="I77" s="128">
        <f>_xlfn.XLOOKUP(E77,'All Products'!D:D,'All Products'!H:H)</f>
        <v>550.96</v>
      </c>
      <c r="J77" s="135">
        <f>ROUNDUP(I77*Order_Quote!$L$14,2)</f>
        <v>2754.8</v>
      </c>
      <c r="K77" s="123"/>
      <c r="L77" s="79"/>
      <c r="M77" s="117">
        <f t="shared" si="2"/>
        <v>0</v>
      </c>
      <c r="O77" s="265" t="s">
        <v>1693</v>
      </c>
      <c r="P77" s="265" t="s">
        <v>77</v>
      </c>
      <c r="Q77" s="265" t="s">
        <v>1905</v>
      </c>
      <c r="R77" s="265">
        <v>0</v>
      </c>
      <c r="S77" s="265">
        <v>0</v>
      </c>
      <c r="T77" s="347">
        <v>6.2759999999999998</v>
      </c>
      <c r="U77" s="348">
        <v>25.103999999999999</v>
      </c>
      <c r="V77" s="348" t="s">
        <v>1205</v>
      </c>
    </row>
    <row r="78" spans="1:22">
      <c r="A78" s="104" t="str">
        <f>IF(K78&gt;0,COUNT($A$7:A77)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8" s="630"/>
      <c r="C78" s="630"/>
      <c r="D78" s="53" t="s">
        <v>1906</v>
      </c>
      <c r="E78" s="54">
        <v>100030764</v>
      </c>
      <c r="F78" s="55" t="s">
        <v>1907</v>
      </c>
      <c r="G78" s="129">
        <v>25</v>
      </c>
      <c r="H78" s="129">
        <v>480</v>
      </c>
      <c r="I78" s="128">
        <f>_xlfn.XLOOKUP(E78,'All Products'!D:D,'All Products'!H:H)</f>
        <v>25.1</v>
      </c>
      <c r="J78" s="135">
        <f>ROUNDUP(I78*Order_Quote!$L$14,2)</f>
        <v>125.5</v>
      </c>
      <c r="K78" s="127"/>
      <c r="L78" s="79"/>
      <c r="M78" s="117">
        <f t="shared" si="2"/>
        <v>0</v>
      </c>
      <c r="O78" s="265" t="s">
        <v>359</v>
      </c>
      <c r="P78" s="265" t="s">
        <v>102</v>
      </c>
      <c r="Q78" s="265" t="s">
        <v>1908</v>
      </c>
      <c r="R78" s="265">
        <v>0</v>
      </c>
      <c r="S78" s="265" t="s">
        <v>1909</v>
      </c>
      <c r="T78" s="347">
        <v>0.49099999999999999</v>
      </c>
      <c r="U78" s="348">
        <v>14.45</v>
      </c>
      <c r="V78" s="348">
        <v>1.8803145838984718</v>
      </c>
    </row>
    <row r="79" spans="1:22">
      <c r="A79" s="104" t="str">
        <f>IF(K79&gt;0,COUNT($A$7:A78)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79" s="630"/>
      <c r="C79" s="630"/>
      <c r="D79" s="53" t="s">
        <v>1910</v>
      </c>
      <c r="E79" s="54">
        <v>100029426</v>
      </c>
      <c r="F79" s="55" t="s">
        <v>1911</v>
      </c>
      <c r="G79" s="129">
        <v>16</v>
      </c>
      <c r="H79" s="129">
        <v>288</v>
      </c>
      <c r="I79" s="128">
        <f>_xlfn.XLOOKUP(E79,'All Products'!D:D,'All Products'!H:H)</f>
        <v>32.68</v>
      </c>
      <c r="J79" s="135">
        <f>ROUNDUP(I79*Order_Quote!$L$14,2)</f>
        <v>163.4</v>
      </c>
      <c r="K79" s="127"/>
      <c r="L79" s="79"/>
      <c r="M79" s="117">
        <f t="shared" si="2"/>
        <v>0</v>
      </c>
      <c r="O79" s="265" t="s">
        <v>76</v>
      </c>
      <c r="P79" s="265" t="s">
        <v>102</v>
      </c>
      <c r="Q79" s="265" t="s">
        <v>1912</v>
      </c>
      <c r="R79" s="265">
        <v>0</v>
      </c>
      <c r="S79" s="265" t="s">
        <v>1913</v>
      </c>
      <c r="T79" s="347">
        <v>0.75700000000000001</v>
      </c>
      <c r="U79" s="348">
        <v>13.984</v>
      </c>
      <c r="V79" s="348">
        <v>2.361325291407383</v>
      </c>
    </row>
    <row r="80" spans="1:22">
      <c r="A80" s="104" t="str">
        <f>IF(K80&gt;0,COUNT($A$7:A79)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0" s="630"/>
      <c r="C80" s="630"/>
      <c r="D80" s="53" t="s">
        <v>1914</v>
      </c>
      <c r="E80" s="54">
        <v>300005511</v>
      </c>
      <c r="F80" s="55" t="s">
        <v>1915</v>
      </c>
      <c r="G80" s="129">
        <v>8</v>
      </c>
      <c r="H80" s="129">
        <v>128</v>
      </c>
      <c r="I80" s="128">
        <f>_xlfn.XLOOKUP(E80,'All Products'!D:D,'All Products'!H:H)</f>
        <v>439.04</v>
      </c>
      <c r="J80" s="135">
        <f>ROUNDUP(I80*Order_Quote!$L$14,2)</f>
        <v>2195.1999999999998</v>
      </c>
      <c r="K80" s="123"/>
      <c r="L80" s="79"/>
      <c r="M80" s="117">
        <f t="shared" si="2"/>
        <v>0</v>
      </c>
      <c r="O80" s="265" t="s">
        <v>1693</v>
      </c>
      <c r="P80" s="265" t="s">
        <v>77</v>
      </c>
      <c r="Q80" s="265" t="s">
        <v>1916</v>
      </c>
      <c r="R80" s="265">
        <v>0</v>
      </c>
      <c r="S80" s="265" t="s">
        <v>1917</v>
      </c>
      <c r="T80" s="347">
        <v>3</v>
      </c>
      <c r="U80" s="348">
        <v>24</v>
      </c>
      <c r="V80" s="348" t="s">
        <v>1205</v>
      </c>
    </row>
    <row r="81" spans="1:22">
      <c r="A81" s="104" t="str">
        <f>IF(K81&gt;0,COUNT($A$7:A80)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1" s="630"/>
      <c r="C81" s="630"/>
      <c r="D81" s="53" t="s">
        <v>1918</v>
      </c>
      <c r="E81" s="54">
        <v>300005544</v>
      </c>
      <c r="F81" s="55" t="s">
        <v>1919</v>
      </c>
      <c r="G81" s="129">
        <v>2</v>
      </c>
      <c r="H81" s="129" t="s">
        <v>1205</v>
      </c>
      <c r="I81" s="128">
        <f>_xlfn.XLOOKUP(E81,'All Products'!D:D,'All Products'!H:H)</f>
        <v>720.32</v>
      </c>
      <c r="J81" s="135">
        <f>ROUNDUP(I81*Order_Quote!$L$14,2)</f>
        <v>3601.6</v>
      </c>
      <c r="K81" s="123"/>
      <c r="L81" s="79"/>
      <c r="M81" s="117">
        <f t="shared" si="2"/>
        <v>0</v>
      </c>
      <c r="O81" s="265" t="s">
        <v>1693</v>
      </c>
      <c r="P81" s="265" t="s">
        <v>77</v>
      </c>
      <c r="Q81" s="265" t="s">
        <v>1920</v>
      </c>
      <c r="R81" s="265">
        <v>0</v>
      </c>
      <c r="S81" s="265">
        <v>0</v>
      </c>
      <c r="T81" s="347">
        <v>6.6</v>
      </c>
      <c r="U81" s="348">
        <v>13.2</v>
      </c>
      <c r="V81" s="348" t="s">
        <v>1205</v>
      </c>
    </row>
    <row r="82" spans="1:22" ht="23.25" customHeight="1">
      <c r="A82" s="104" t="str">
        <f>IF(K82&gt;0,COUNT($A$7:A81)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2" s="630"/>
      <c r="C82" s="630"/>
      <c r="D82" s="53" t="s">
        <v>1921</v>
      </c>
      <c r="E82" s="54">
        <v>100029427</v>
      </c>
      <c r="F82" s="55" t="s">
        <v>1922</v>
      </c>
      <c r="G82" s="129">
        <v>16</v>
      </c>
      <c r="H82" s="129">
        <v>288</v>
      </c>
      <c r="I82" s="128">
        <f>_xlfn.XLOOKUP(E82,'All Products'!D:D,'All Products'!H:H)</f>
        <v>38.25</v>
      </c>
      <c r="J82" s="135">
        <f>ROUNDUP(I82*Order_Quote!$L$14,2)</f>
        <v>191.25</v>
      </c>
      <c r="K82" s="127"/>
      <c r="L82" s="79"/>
      <c r="M82" s="117">
        <f t="shared" si="2"/>
        <v>0</v>
      </c>
      <c r="O82" s="265" t="s">
        <v>76</v>
      </c>
      <c r="P82" s="265" t="s">
        <v>102</v>
      </c>
      <c r="Q82" s="265" t="s">
        <v>1923</v>
      </c>
      <c r="R82" s="265">
        <v>0</v>
      </c>
      <c r="S82" s="265" t="s">
        <v>1924</v>
      </c>
      <c r="T82" s="347">
        <v>0.78400000000000003</v>
      </c>
      <c r="U82" s="348">
        <v>14.416</v>
      </c>
      <c r="V82" s="348">
        <v>2.361325291407383</v>
      </c>
    </row>
    <row r="83" spans="1:22" ht="23.25" customHeight="1">
      <c r="A83" s="104" t="str">
        <f>IF(K83&gt;0,COUNT($A$7:A82)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3" s="630"/>
      <c r="C83" s="630"/>
      <c r="D83" s="53" t="s">
        <v>1925</v>
      </c>
      <c r="E83" s="54">
        <v>300005512</v>
      </c>
      <c r="F83" s="55" t="s">
        <v>1926</v>
      </c>
      <c r="G83" s="129">
        <v>8</v>
      </c>
      <c r="H83" s="129">
        <v>128</v>
      </c>
      <c r="I83" s="128">
        <f>_xlfn.XLOOKUP(E83,'All Products'!D:D,'All Products'!H:H)</f>
        <v>920.35</v>
      </c>
      <c r="J83" s="135">
        <f>ROUNDUP(I83*Order_Quote!$L$14,2)</f>
        <v>4601.75</v>
      </c>
      <c r="K83" s="123"/>
      <c r="L83" s="79"/>
      <c r="M83" s="117">
        <f t="shared" si="2"/>
        <v>0</v>
      </c>
      <c r="O83" s="265" t="s">
        <v>1693</v>
      </c>
      <c r="P83" s="265" t="s">
        <v>77</v>
      </c>
      <c r="Q83" s="265" t="s">
        <v>1927</v>
      </c>
      <c r="R83" s="265">
        <v>0</v>
      </c>
      <c r="S83" s="265" t="s">
        <v>1928</v>
      </c>
      <c r="T83" s="347">
        <v>3</v>
      </c>
      <c r="U83" s="348">
        <v>24</v>
      </c>
      <c r="V83" s="348" t="s">
        <v>1205</v>
      </c>
    </row>
    <row r="84" spans="1:22">
      <c r="A84" s="104" t="str">
        <f>IF(K84&gt;0,COUNT($A$7:A83)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4" s="630"/>
      <c r="C84" s="630"/>
      <c r="D84" s="53" t="s">
        <v>1929</v>
      </c>
      <c r="E84" s="54">
        <v>100029530</v>
      </c>
      <c r="F84" s="55" t="s">
        <v>1930</v>
      </c>
      <c r="G84" s="129">
        <v>24</v>
      </c>
      <c r="H84" s="129">
        <v>288</v>
      </c>
      <c r="I84" s="128">
        <f>_xlfn.XLOOKUP(E84,'All Products'!D:D,'All Products'!H:H)</f>
        <v>27.67</v>
      </c>
      <c r="J84" s="135">
        <f>ROUNDUP(I84*Order_Quote!$L$14,2)</f>
        <v>138.35</v>
      </c>
      <c r="K84" s="127"/>
      <c r="L84" s="79"/>
      <c r="M84" s="117">
        <f t="shared" si="2"/>
        <v>0</v>
      </c>
      <c r="O84" s="265" t="s">
        <v>76</v>
      </c>
      <c r="P84" s="265" t="s">
        <v>102</v>
      </c>
      <c r="Q84" s="265" t="s">
        <v>1931</v>
      </c>
      <c r="R84" s="265">
        <v>0</v>
      </c>
      <c r="S84" s="265" t="s">
        <v>1932</v>
      </c>
      <c r="T84" s="347">
        <v>0.70799999999999996</v>
      </c>
      <c r="U84" s="348">
        <v>18.911999999999999</v>
      </c>
      <c r="V84" s="348">
        <v>2.7986077527791204</v>
      </c>
    </row>
    <row r="85" spans="1:22">
      <c r="A85" s="104" t="str">
        <f>IF(K85&gt;0,COUNT($A$7:A84)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5" s="630"/>
      <c r="C85" s="630"/>
      <c r="D85" s="53" t="s">
        <v>1933</v>
      </c>
      <c r="E85" s="54">
        <v>100029369</v>
      </c>
      <c r="F85" s="55" t="s">
        <v>1934</v>
      </c>
      <c r="G85" s="129">
        <v>8</v>
      </c>
      <c r="H85" s="129">
        <v>96</v>
      </c>
      <c r="I85" s="128">
        <f>_xlfn.XLOOKUP(E85,'All Products'!D:D,'All Products'!H:H)</f>
        <v>87.01</v>
      </c>
      <c r="J85" s="135">
        <f>ROUNDUP(I85*Order_Quote!$L$14,2)</f>
        <v>435.05</v>
      </c>
      <c r="K85" s="123"/>
      <c r="L85" s="79"/>
      <c r="M85" s="117">
        <f t="shared" si="2"/>
        <v>0</v>
      </c>
      <c r="O85" s="265" t="s">
        <v>76</v>
      </c>
      <c r="P85" s="265" t="s">
        <v>102</v>
      </c>
      <c r="Q85" s="265" t="s">
        <v>1935</v>
      </c>
      <c r="R85" s="265">
        <v>0</v>
      </c>
      <c r="S85" s="265" t="s">
        <v>1936</v>
      </c>
      <c r="T85" s="347">
        <v>2.3359999999999999</v>
      </c>
      <c r="U85" s="348">
        <v>20.584</v>
      </c>
      <c r="V85" s="348">
        <v>2.7986077527791204</v>
      </c>
    </row>
    <row r="86" spans="1:22">
      <c r="A86" s="104" t="str">
        <f>IF(K86&gt;0,COUNT($A$7:A85)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6" s="630"/>
      <c r="C86" s="630"/>
      <c r="D86" s="53" t="s">
        <v>1937</v>
      </c>
      <c r="E86" s="54">
        <v>100029368</v>
      </c>
      <c r="F86" s="55" t="s">
        <v>1938</v>
      </c>
      <c r="G86" s="129">
        <v>4</v>
      </c>
      <c r="H86" s="129">
        <v>48</v>
      </c>
      <c r="I86" s="128">
        <f>_xlfn.XLOOKUP(E86,'All Products'!D:D,'All Products'!H:H)</f>
        <v>360.96</v>
      </c>
      <c r="J86" s="135">
        <f>ROUNDUP(I86*Order_Quote!$L$14,2)</f>
        <v>1804.8</v>
      </c>
      <c r="K86" s="123"/>
      <c r="L86" s="79"/>
      <c r="M86" s="117">
        <f t="shared" si="2"/>
        <v>0</v>
      </c>
      <c r="O86" s="265" t="s">
        <v>76</v>
      </c>
      <c r="P86" s="265" t="s">
        <v>102</v>
      </c>
      <c r="Q86" s="265" t="s">
        <v>1939</v>
      </c>
      <c r="R86" s="265">
        <v>0</v>
      </c>
      <c r="S86" s="265" t="s">
        <v>1940</v>
      </c>
      <c r="T86" s="347">
        <v>5.2359999999999998</v>
      </c>
      <c r="U86" s="348">
        <v>23.96</v>
      </c>
      <c r="V86" s="348">
        <v>3.6731726755225957</v>
      </c>
    </row>
    <row r="87" spans="1:22">
      <c r="A87" s="104" t="str">
        <f>IF(K87&gt;0,COUNT($A$7:A86)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7" s="577"/>
      <c r="C87" s="578"/>
      <c r="D87" s="53" t="s">
        <v>1941</v>
      </c>
      <c r="E87" s="54">
        <v>300005196</v>
      </c>
      <c r="F87" s="55" t="s">
        <v>1942</v>
      </c>
      <c r="G87" s="129">
        <v>25</v>
      </c>
      <c r="H87" s="129">
        <v>630</v>
      </c>
      <c r="I87" s="128">
        <f>_xlfn.XLOOKUP(E87,'All Products'!D:D,'All Products'!H:H)</f>
        <v>111.65</v>
      </c>
      <c r="J87" s="135">
        <f>ROUNDUP(I87*Order_Quote!$L$14,2)</f>
        <v>558.25</v>
      </c>
      <c r="K87" s="123"/>
      <c r="L87" s="79"/>
      <c r="M87" s="117">
        <f t="shared" si="2"/>
        <v>0</v>
      </c>
      <c r="O87" s="265" t="s">
        <v>1693</v>
      </c>
      <c r="P87" s="265" t="s">
        <v>77</v>
      </c>
      <c r="Q87" s="265" t="s">
        <v>1943</v>
      </c>
      <c r="R87" s="265">
        <v>0</v>
      </c>
      <c r="S87" s="265" t="s">
        <v>1944</v>
      </c>
      <c r="T87" s="347">
        <v>1.02</v>
      </c>
      <c r="U87" s="348">
        <v>25.5</v>
      </c>
      <c r="V87" s="348" t="s">
        <v>1205</v>
      </c>
    </row>
    <row r="88" spans="1:22">
      <c r="A88" s="104" t="str">
        <f>IF(K88&gt;0,COUNT($A$7:A87)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8" s="579"/>
      <c r="C88" s="580"/>
      <c r="D88" s="53" t="s">
        <v>1945</v>
      </c>
      <c r="E88" s="54">
        <v>300005487</v>
      </c>
      <c r="F88" s="55" t="s">
        <v>1946</v>
      </c>
      <c r="G88" s="129">
        <v>25</v>
      </c>
      <c r="H88" s="129">
        <v>320</v>
      </c>
      <c r="I88" s="128">
        <f>_xlfn.XLOOKUP(E88,'All Products'!D:D,'All Products'!H:H)</f>
        <v>91.32</v>
      </c>
      <c r="J88" s="135">
        <f>ROUNDUP(I88*Order_Quote!$L$14,2)</f>
        <v>456.6</v>
      </c>
      <c r="K88" s="127"/>
      <c r="L88" s="79"/>
      <c r="M88" s="117">
        <f t="shared" si="2"/>
        <v>0</v>
      </c>
      <c r="O88" s="265" t="s">
        <v>1693</v>
      </c>
      <c r="P88" s="265" t="s">
        <v>77</v>
      </c>
      <c r="Q88" s="265" t="s">
        <v>1947</v>
      </c>
      <c r="R88" s="265">
        <v>0</v>
      </c>
      <c r="S88" s="265" t="s">
        <v>1948</v>
      </c>
      <c r="T88" s="347">
        <v>1.53</v>
      </c>
      <c r="U88" s="348">
        <v>38.25</v>
      </c>
      <c r="V88" s="348" t="s">
        <v>1205</v>
      </c>
    </row>
    <row r="89" spans="1:22">
      <c r="A89" s="104" t="str">
        <f>IF(K89&gt;0,COUNT($A$7:A88)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89" s="579"/>
      <c r="C89" s="580"/>
      <c r="D89" s="53" t="s">
        <v>1949</v>
      </c>
      <c r="E89" s="54">
        <v>300005778</v>
      </c>
      <c r="F89" s="55" t="s">
        <v>1950</v>
      </c>
      <c r="G89" s="129">
        <v>8</v>
      </c>
      <c r="H89" s="129">
        <v>96</v>
      </c>
      <c r="I89" s="128">
        <f>_xlfn.XLOOKUP(E89,'All Products'!D:D,'All Products'!H:H)</f>
        <v>351.69</v>
      </c>
      <c r="J89" s="135">
        <f>ROUNDUP(I89*Order_Quote!$L$14,2)</f>
        <v>1758.45</v>
      </c>
      <c r="K89" s="127"/>
      <c r="L89" s="79"/>
      <c r="M89" s="117">
        <f t="shared" si="2"/>
        <v>0</v>
      </c>
      <c r="O89" s="265" t="s">
        <v>359</v>
      </c>
      <c r="P89" s="265" t="s">
        <v>77</v>
      </c>
      <c r="Q89" s="265" t="s">
        <v>1951</v>
      </c>
      <c r="R89" s="265">
        <v>0</v>
      </c>
      <c r="S89" s="265">
        <v>0</v>
      </c>
      <c r="T89" s="347">
        <v>2.282</v>
      </c>
      <c r="U89" s="348">
        <v>18.256</v>
      </c>
      <c r="V89" s="348" t="s">
        <v>1205</v>
      </c>
    </row>
    <row r="90" spans="1:22">
      <c r="A90" s="104" t="str">
        <f>IF(K90&gt;0,COUNT($A$7:A89)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0" s="581"/>
      <c r="C90" s="582"/>
      <c r="D90" s="53" t="s">
        <v>1952</v>
      </c>
      <c r="E90" s="54">
        <v>300005780</v>
      </c>
      <c r="F90" s="55" t="s">
        <v>1953</v>
      </c>
      <c r="G90" s="129">
        <v>4</v>
      </c>
      <c r="H90" s="129">
        <v>48</v>
      </c>
      <c r="I90" s="128">
        <f>_xlfn.XLOOKUP(E90,'All Products'!D:D,'All Products'!H:H)</f>
        <v>1199.6300000000001</v>
      </c>
      <c r="J90" s="135">
        <f>ROUNDUP(I90*Order_Quote!$L$14,2)</f>
        <v>5998.15</v>
      </c>
      <c r="K90" s="123"/>
      <c r="L90" s="79"/>
      <c r="M90" s="117">
        <f t="shared" si="2"/>
        <v>0</v>
      </c>
      <c r="O90" s="265" t="s">
        <v>1693</v>
      </c>
      <c r="P90" s="265" t="s">
        <v>77</v>
      </c>
      <c r="Q90" s="265" t="s">
        <v>1954</v>
      </c>
      <c r="R90" s="265">
        <v>0</v>
      </c>
      <c r="S90" s="265">
        <v>0</v>
      </c>
      <c r="T90" s="347">
        <v>5.36</v>
      </c>
      <c r="U90" s="348">
        <v>21.44</v>
      </c>
      <c r="V90" s="348" t="s">
        <v>1205</v>
      </c>
    </row>
    <row r="91" spans="1:22">
      <c r="A91" s="104" t="str">
        <f>IF(K91&gt;0,COUNT($A$7:A90)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1" s="579"/>
      <c r="C91" s="580"/>
      <c r="D91" s="53" t="s">
        <v>1955</v>
      </c>
      <c r="E91" s="54">
        <v>100029140</v>
      </c>
      <c r="F91" s="55" t="s">
        <v>1956</v>
      </c>
      <c r="G91" s="129">
        <v>20</v>
      </c>
      <c r="H91" s="129">
        <v>900</v>
      </c>
      <c r="I91" s="128">
        <f>_xlfn.XLOOKUP(E91,'All Products'!D:D,'All Products'!H:H)</f>
        <v>15.78</v>
      </c>
      <c r="J91" s="135">
        <f>ROUNDUP(I91*Order_Quote!$L$14,2)</f>
        <v>78.900000000000006</v>
      </c>
      <c r="K91" s="127"/>
      <c r="L91" s="79"/>
      <c r="M91" s="117">
        <f t="shared" si="2"/>
        <v>0</v>
      </c>
      <c r="O91" s="265" t="s">
        <v>76</v>
      </c>
      <c r="P91" s="265" t="s">
        <v>102</v>
      </c>
      <c r="Q91" s="265" t="s">
        <v>1957</v>
      </c>
      <c r="R91" s="265">
        <v>0</v>
      </c>
      <c r="S91" s="265" t="s">
        <v>1958</v>
      </c>
      <c r="T91" s="347">
        <v>0.36199999999999999</v>
      </c>
      <c r="U91" s="348">
        <v>8.44</v>
      </c>
      <c r="V91" s="348">
        <v>0.98955954024750914</v>
      </c>
    </row>
    <row r="92" spans="1:22">
      <c r="A92" s="104" t="str">
        <f>IF(K92&gt;0,COUNT($A$7:A91)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2" s="579"/>
      <c r="C92" s="580"/>
      <c r="D92" s="53" t="s">
        <v>1959</v>
      </c>
      <c r="E92" s="54">
        <v>100029406</v>
      </c>
      <c r="F92" s="55" t="s">
        <v>1960</v>
      </c>
      <c r="G92" s="129">
        <v>12</v>
      </c>
      <c r="H92" s="129">
        <v>216</v>
      </c>
      <c r="I92" s="128">
        <f>_xlfn.XLOOKUP(E92,'All Products'!D:D,'All Products'!H:H)</f>
        <v>57.61</v>
      </c>
      <c r="J92" s="135">
        <f>ROUNDUP(I92*Order_Quote!$L$14,2)</f>
        <v>288.05</v>
      </c>
      <c r="K92" s="123"/>
      <c r="L92" s="79"/>
      <c r="M92" s="117">
        <f t="shared" si="2"/>
        <v>0</v>
      </c>
      <c r="O92" s="265" t="s">
        <v>76</v>
      </c>
      <c r="P92" s="265" t="s">
        <v>102</v>
      </c>
      <c r="Q92" s="265" t="s">
        <v>1961</v>
      </c>
      <c r="R92" s="265">
        <v>0</v>
      </c>
      <c r="S92" s="265" t="s">
        <v>1962</v>
      </c>
      <c r="T92" s="347">
        <v>1.37</v>
      </c>
      <c r="U92" s="348">
        <v>18.288</v>
      </c>
      <c r="V92" s="348">
        <v>2.361325291407383</v>
      </c>
    </row>
    <row r="93" spans="1:22">
      <c r="A93" s="104" t="str">
        <f>IF(K93&gt;0,COUNT($A$7:A92)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3" s="581"/>
      <c r="C93" s="582"/>
      <c r="D93" s="53" t="s">
        <v>1963</v>
      </c>
      <c r="E93" s="54">
        <v>100029405</v>
      </c>
      <c r="F93" s="55" t="s">
        <v>1964</v>
      </c>
      <c r="G93" s="129">
        <v>6</v>
      </c>
      <c r="H93" s="129">
        <v>72</v>
      </c>
      <c r="I93" s="128">
        <f>_xlfn.XLOOKUP(E93,'All Products'!D:D,'All Products'!H:H)</f>
        <v>179.09</v>
      </c>
      <c r="J93" s="135">
        <f>ROUNDUP(I93*Order_Quote!$L$14,2)</f>
        <v>895.45</v>
      </c>
      <c r="K93" s="123"/>
      <c r="L93" s="79"/>
      <c r="M93" s="117">
        <f t="shared" si="2"/>
        <v>0</v>
      </c>
      <c r="O93" s="265" t="s">
        <v>359</v>
      </c>
      <c r="P93" s="265" t="s">
        <v>102</v>
      </c>
      <c r="Q93" s="265" t="s">
        <v>1965</v>
      </c>
      <c r="R93" s="265">
        <v>0</v>
      </c>
      <c r="S93" s="265" t="s">
        <v>1966</v>
      </c>
      <c r="T93" s="347">
        <v>3.13</v>
      </c>
      <c r="U93" s="348">
        <v>21.798000000000002</v>
      </c>
      <c r="V93" s="348">
        <v>3.6731726755225957</v>
      </c>
    </row>
    <row r="94" spans="1:22">
      <c r="A94" s="104" t="str">
        <f>IF(K94&gt;0,COUNT($A$7:A93)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4" s="630"/>
      <c r="C94" s="630"/>
      <c r="D94" s="53" t="s">
        <v>1967</v>
      </c>
      <c r="E94" s="54">
        <v>300005755</v>
      </c>
      <c r="F94" s="55" t="s">
        <v>1968</v>
      </c>
      <c r="G94" s="129">
        <v>50</v>
      </c>
      <c r="H94" s="129">
        <v>4800</v>
      </c>
      <c r="I94" s="128">
        <f>_xlfn.XLOOKUP(E94,'All Products'!D:D,'All Products'!H:H)</f>
        <v>123.66</v>
      </c>
      <c r="J94" s="135">
        <f>ROUNDUP(I94*Order_Quote!$L$14,2)</f>
        <v>618.29999999999995</v>
      </c>
      <c r="K94" s="127"/>
      <c r="L94" s="79"/>
      <c r="M94" s="117">
        <f t="shared" si="2"/>
        <v>0</v>
      </c>
      <c r="O94" s="265" t="s">
        <v>1693</v>
      </c>
      <c r="P94" s="265" t="s">
        <v>77</v>
      </c>
      <c r="Q94" s="265" t="s">
        <v>1969</v>
      </c>
      <c r="R94" s="265">
        <v>0</v>
      </c>
      <c r="S94" s="265" t="s">
        <v>1970</v>
      </c>
      <c r="T94" s="347">
        <v>1</v>
      </c>
      <c r="U94" s="348">
        <v>50</v>
      </c>
      <c r="V94" s="348" t="s">
        <v>1205</v>
      </c>
    </row>
    <row r="95" spans="1:22">
      <c r="A95" s="104" t="str">
        <f>IF(K95&gt;0,COUNT($A$7:A94)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5" s="630"/>
      <c r="C95" s="630"/>
      <c r="D95" s="53" t="s">
        <v>1971</v>
      </c>
      <c r="E95" s="54">
        <v>100029428</v>
      </c>
      <c r="F95" s="55" t="s">
        <v>1972</v>
      </c>
      <c r="G95" s="129">
        <v>40</v>
      </c>
      <c r="H95" s="129">
        <v>1800</v>
      </c>
      <c r="I95" s="128">
        <f>_xlfn.XLOOKUP(E95,'All Products'!D:D,'All Products'!H:H)</f>
        <v>18.95</v>
      </c>
      <c r="J95" s="135">
        <f>ROUNDUP(I95*Order_Quote!$L$14,2)</f>
        <v>94.75</v>
      </c>
      <c r="K95" s="127"/>
      <c r="L95" s="79"/>
      <c r="M95" s="117">
        <f t="shared" si="2"/>
        <v>0</v>
      </c>
      <c r="O95" s="265" t="s">
        <v>76</v>
      </c>
      <c r="P95" s="265" t="s">
        <v>102</v>
      </c>
      <c r="Q95" s="265" t="s">
        <v>1973</v>
      </c>
      <c r="R95" s="265">
        <v>0</v>
      </c>
      <c r="S95" s="265" t="s">
        <v>1974</v>
      </c>
      <c r="T95" s="347">
        <v>0.42299999999999999</v>
      </c>
      <c r="U95" s="348">
        <v>18.12</v>
      </c>
      <c r="V95" s="348">
        <v>0.98955954024750914</v>
      </c>
    </row>
    <row r="96" spans="1:22">
      <c r="A96" s="104" t="str">
        <f>IF(K96&gt;0,COUNT($A$7:A95)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6" s="630"/>
      <c r="C96" s="630"/>
      <c r="D96" s="53" t="s">
        <v>1975</v>
      </c>
      <c r="E96" s="54">
        <v>100029429</v>
      </c>
      <c r="F96" s="55" t="s">
        <v>1976</v>
      </c>
      <c r="G96" s="129">
        <v>35</v>
      </c>
      <c r="H96" s="129">
        <v>1120</v>
      </c>
      <c r="I96" s="128">
        <f>_xlfn.XLOOKUP(E96,'All Products'!D:D,'All Products'!H:H)</f>
        <v>95.56</v>
      </c>
      <c r="J96" s="135">
        <f>ROUNDUP(I96*Order_Quote!$L$14,2)</f>
        <v>477.8</v>
      </c>
      <c r="K96" s="123"/>
      <c r="L96" s="79"/>
      <c r="M96" s="117">
        <f t="shared" si="2"/>
        <v>0</v>
      </c>
      <c r="O96" s="265" t="s">
        <v>76</v>
      </c>
      <c r="P96" s="265" t="s">
        <v>102</v>
      </c>
      <c r="Q96" s="265" t="s">
        <v>1977</v>
      </c>
      <c r="R96" s="265">
        <v>0</v>
      </c>
      <c r="S96" s="265" t="s">
        <v>1978</v>
      </c>
      <c r="T96" s="347">
        <v>0.79800000000000004</v>
      </c>
      <c r="U96" s="348">
        <v>29.995000000000001</v>
      </c>
      <c r="V96" s="348">
        <v>1.3788503419060438</v>
      </c>
    </row>
    <row r="97" spans="1:22">
      <c r="A97" s="104" t="str">
        <f>IF(K97&gt;0,COUNT($A$7:A96)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7" s="630"/>
      <c r="C97" s="630"/>
      <c r="D97" s="53" t="s">
        <v>1979</v>
      </c>
      <c r="E97" s="54">
        <v>300005532</v>
      </c>
      <c r="F97" s="55" t="s">
        <v>1980</v>
      </c>
      <c r="G97" s="129">
        <v>8</v>
      </c>
      <c r="H97" s="129" t="s">
        <v>1205</v>
      </c>
      <c r="I97" s="128">
        <f>_xlfn.XLOOKUP(E97,'All Products'!D:D,'All Products'!H:H)</f>
        <v>625.33000000000004</v>
      </c>
      <c r="J97" s="135">
        <f>ROUNDUP(I97*Order_Quote!$L$14,2)</f>
        <v>3126.65</v>
      </c>
      <c r="K97" s="123"/>
      <c r="L97" s="79"/>
      <c r="M97" s="117">
        <f t="shared" si="2"/>
        <v>0</v>
      </c>
      <c r="O97" s="265" t="s">
        <v>1693</v>
      </c>
      <c r="P97" s="265" t="s">
        <v>77</v>
      </c>
      <c r="Q97" s="265" t="s">
        <v>1981</v>
      </c>
      <c r="R97" s="265">
        <v>0</v>
      </c>
      <c r="S97" s="265">
        <v>0</v>
      </c>
      <c r="T97" s="347">
        <v>1.18</v>
      </c>
      <c r="U97" s="348">
        <v>9.44</v>
      </c>
      <c r="V97" s="348" t="s">
        <v>1205</v>
      </c>
    </row>
    <row r="98" spans="1:22" ht="21.75" customHeight="1">
      <c r="A98" s="104" t="str">
        <f>IF(K98&gt;0,COUNT($A$7:A97)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8" s="579"/>
      <c r="C98" s="580"/>
      <c r="D98" s="53" t="s">
        <v>1982</v>
      </c>
      <c r="E98" s="54">
        <v>100029433</v>
      </c>
      <c r="F98" s="55" t="s">
        <v>1983</v>
      </c>
      <c r="G98" s="129">
        <v>36</v>
      </c>
      <c r="H98" s="129">
        <v>1620</v>
      </c>
      <c r="I98" s="128">
        <f>_xlfn.XLOOKUP(E98,'All Products'!D:D,'All Products'!H:H)</f>
        <v>112.96</v>
      </c>
      <c r="J98" s="135">
        <f>ROUNDUP(I98*Order_Quote!$L$14,2)</f>
        <v>564.79999999999995</v>
      </c>
      <c r="K98" s="123"/>
      <c r="L98" s="79"/>
      <c r="M98" s="117">
        <f t="shared" si="2"/>
        <v>0</v>
      </c>
      <c r="O98" s="265" t="s">
        <v>76</v>
      </c>
      <c r="P98" s="265" t="s">
        <v>102</v>
      </c>
      <c r="Q98" s="265" t="s">
        <v>1984</v>
      </c>
      <c r="R98" s="265">
        <v>0</v>
      </c>
      <c r="S98" s="265" t="s">
        <v>1985</v>
      </c>
      <c r="T98" s="347">
        <v>0.56000000000000005</v>
      </c>
      <c r="U98" s="348">
        <v>22.032</v>
      </c>
      <c r="V98" s="348">
        <v>0.98955954024750914</v>
      </c>
    </row>
    <row r="99" spans="1:22" ht="21.75" customHeight="1">
      <c r="A99" s="104" t="str">
        <f>IF(K99&gt;0,COUNT($A$7:A98)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99" s="581"/>
      <c r="C99" s="582"/>
      <c r="D99" s="53" t="s">
        <v>1986</v>
      </c>
      <c r="E99" s="54">
        <v>300005585</v>
      </c>
      <c r="F99" s="55" t="s">
        <v>1987</v>
      </c>
      <c r="G99" s="129">
        <v>4</v>
      </c>
      <c r="H99" s="129" t="s">
        <v>1205</v>
      </c>
      <c r="I99" s="128">
        <f>_xlfn.XLOOKUP(E99,'All Products'!D:D,'All Products'!H:H)</f>
        <v>893.79</v>
      </c>
      <c r="J99" s="135">
        <f>ROUNDUP(I99*Order_Quote!$L$14,2)</f>
        <v>4468.95</v>
      </c>
      <c r="K99" s="123"/>
      <c r="L99" s="79"/>
      <c r="M99" s="117">
        <f t="shared" ref="M99:M123" si="3">K99/G99</f>
        <v>0</v>
      </c>
      <c r="O99" s="265" t="s">
        <v>1693</v>
      </c>
      <c r="P99" s="265" t="s">
        <v>77</v>
      </c>
      <c r="Q99" s="265">
        <v>0</v>
      </c>
      <c r="R99" s="265">
        <v>0</v>
      </c>
      <c r="S99" s="265">
        <v>0</v>
      </c>
      <c r="T99" s="347">
        <v>1</v>
      </c>
      <c r="U99" s="348">
        <v>4</v>
      </c>
      <c r="V99" s="348" t="s">
        <v>1205</v>
      </c>
    </row>
    <row r="100" spans="1:22">
      <c r="A100" s="104" t="str">
        <f>IF(K100&gt;0,COUNT($A$7:A99)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0" s="577"/>
      <c r="C100" s="578"/>
      <c r="D100" s="53" t="s">
        <v>1988</v>
      </c>
      <c r="E100" s="54">
        <v>100029430</v>
      </c>
      <c r="F100" s="55" t="s">
        <v>1989</v>
      </c>
      <c r="G100" s="129">
        <v>40</v>
      </c>
      <c r="H100" s="129">
        <v>1600</v>
      </c>
      <c r="I100" s="128">
        <f>_xlfn.XLOOKUP(E100,'All Products'!D:D,'All Products'!H:H)</f>
        <v>29.67</v>
      </c>
      <c r="J100" s="135">
        <f>ROUNDUP(I100*Order_Quote!$L$14,2)</f>
        <v>148.35</v>
      </c>
      <c r="K100" s="127"/>
      <c r="L100" s="79"/>
      <c r="M100" s="117">
        <f t="shared" si="3"/>
        <v>0</v>
      </c>
      <c r="O100" s="265" t="s">
        <v>76</v>
      </c>
      <c r="P100" s="265" t="s">
        <v>102</v>
      </c>
      <c r="Q100" s="265" t="s">
        <v>1990</v>
      </c>
      <c r="R100" s="265">
        <v>0</v>
      </c>
      <c r="S100" s="265" t="s">
        <v>1991</v>
      </c>
      <c r="T100" s="347">
        <v>0.315</v>
      </c>
      <c r="U100" s="348">
        <v>14.44</v>
      </c>
      <c r="V100" s="348">
        <v>2.361325291407383</v>
      </c>
    </row>
    <row r="101" spans="1:22">
      <c r="A101" s="104" t="str">
        <f>IF(K101&gt;0,COUNT($A$7:A100)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1" s="579"/>
      <c r="C101" s="580"/>
      <c r="D101" s="53" t="s">
        <v>1992</v>
      </c>
      <c r="E101" s="54">
        <v>100031312</v>
      </c>
      <c r="F101" s="55" t="s">
        <v>1993</v>
      </c>
      <c r="G101" s="129">
        <v>24</v>
      </c>
      <c r="H101" s="129">
        <v>1080</v>
      </c>
      <c r="I101" s="128">
        <f>_xlfn.XLOOKUP(E101,'All Products'!D:D,'All Products'!H:H)</f>
        <v>76.56</v>
      </c>
      <c r="J101" s="135">
        <f>ROUNDUP(I101*Order_Quote!$L$14,2)</f>
        <v>382.8</v>
      </c>
      <c r="K101" s="123"/>
      <c r="L101" s="79"/>
      <c r="M101" s="117">
        <f t="shared" si="3"/>
        <v>0</v>
      </c>
      <c r="O101" s="265" t="s">
        <v>76</v>
      </c>
      <c r="P101" s="265" t="s">
        <v>102</v>
      </c>
      <c r="Q101" s="265" t="s">
        <v>1994</v>
      </c>
      <c r="R101" s="265">
        <v>0</v>
      </c>
      <c r="S101" s="265" t="s">
        <v>1995</v>
      </c>
      <c r="T101" s="347">
        <v>1.083</v>
      </c>
      <c r="U101" s="348">
        <v>29.04</v>
      </c>
      <c r="V101" s="348">
        <v>3.6731726755225957</v>
      </c>
    </row>
    <row r="102" spans="1:22">
      <c r="A102" s="104" t="str">
        <f>IF(K102&gt;0,COUNT($A$7:A101)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2" s="579"/>
      <c r="C102" s="580"/>
      <c r="D102" s="53" t="s">
        <v>1996</v>
      </c>
      <c r="E102" s="54">
        <v>300005498</v>
      </c>
      <c r="F102" s="55" t="s">
        <v>1997</v>
      </c>
      <c r="G102" s="129">
        <v>8</v>
      </c>
      <c r="H102" s="129">
        <v>84</v>
      </c>
      <c r="I102" s="128">
        <f>_xlfn.XLOOKUP(E102,'All Products'!D:D,'All Products'!H:H)</f>
        <v>599.1</v>
      </c>
      <c r="J102" s="135">
        <f>ROUNDUP(I102*Order_Quote!$L$14,2)</f>
        <v>2995.5</v>
      </c>
      <c r="K102" s="123"/>
      <c r="L102" s="79"/>
      <c r="M102" s="117">
        <f t="shared" si="3"/>
        <v>0</v>
      </c>
      <c r="O102" s="265" t="s">
        <v>1693</v>
      </c>
      <c r="P102" s="265" t="s">
        <v>77</v>
      </c>
      <c r="Q102" s="265" t="s">
        <v>1998</v>
      </c>
      <c r="R102" s="265">
        <v>0</v>
      </c>
      <c r="S102" s="265">
        <v>0</v>
      </c>
      <c r="T102" s="347">
        <v>2.8</v>
      </c>
      <c r="U102" s="348">
        <v>22.4</v>
      </c>
      <c r="V102" s="348" t="s">
        <v>1205</v>
      </c>
    </row>
    <row r="103" spans="1:22">
      <c r="A103" s="104" t="str">
        <f>IF(K103&gt;0,COUNT($A$7:A102)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3" s="579"/>
      <c r="C103" s="580"/>
      <c r="D103" s="53" t="s">
        <v>1999</v>
      </c>
      <c r="E103" s="54">
        <v>300005529</v>
      </c>
      <c r="F103" s="55" t="s">
        <v>2000</v>
      </c>
      <c r="G103" s="129">
        <v>10</v>
      </c>
      <c r="H103" s="129" t="s">
        <v>1205</v>
      </c>
      <c r="I103" s="128">
        <f>_xlfn.XLOOKUP(E103,'All Products'!D:D,'All Products'!H:H)</f>
        <v>806.78</v>
      </c>
      <c r="J103" s="135">
        <f>ROUNDUP(I103*Order_Quote!$L$14,2)</f>
        <v>4033.9</v>
      </c>
      <c r="K103" s="123"/>
      <c r="L103" s="79"/>
      <c r="M103" s="117">
        <f t="shared" si="3"/>
        <v>0</v>
      </c>
      <c r="O103" s="265" t="s">
        <v>1693</v>
      </c>
      <c r="P103" s="265" t="s">
        <v>77</v>
      </c>
      <c r="Q103" s="265" t="s">
        <v>2001</v>
      </c>
      <c r="R103" s="265">
        <v>0</v>
      </c>
      <c r="S103" s="265">
        <v>0</v>
      </c>
      <c r="T103" s="347">
        <v>2.48</v>
      </c>
      <c r="U103" s="348">
        <v>24.8</v>
      </c>
      <c r="V103" s="348" t="s">
        <v>1205</v>
      </c>
    </row>
    <row r="104" spans="1:22">
      <c r="A104" s="104" t="str">
        <f>IF(K104&gt;0,COUNT($A$7:A103)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4" s="110"/>
      <c r="C104" s="111"/>
      <c r="D104" s="279" t="s">
        <v>2002</v>
      </c>
      <c r="E104" s="54">
        <v>100029407</v>
      </c>
      <c r="F104" s="55" t="s">
        <v>2003</v>
      </c>
      <c r="G104" s="129">
        <v>36</v>
      </c>
      <c r="H104" s="129">
        <v>864</v>
      </c>
      <c r="I104" s="128">
        <f>_xlfn.XLOOKUP(E104,'All Products'!D:D,'All Products'!H:H)</f>
        <v>76.3</v>
      </c>
      <c r="J104" s="135">
        <f>ROUNDUP(I104*Order_Quote!$L$14,2)</f>
        <v>381.5</v>
      </c>
      <c r="K104" s="127"/>
      <c r="L104" s="79"/>
      <c r="M104" s="117">
        <f t="shared" si="3"/>
        <v>0</v>
      </c>
      <c r="O104" s="265" t="s">
        <v>76</v>
      </c>
      <c r="P104" s="265" t="s">
        <v>102</v>
      </c>
      <c r="Q104" s="265" t="s">
        <v>2004</v>
      </c>
      <c r="R104" s="265">
        <v>0</v>
      </c>
      <c r="S104" s="265" t="s">
        <v>2005</v>
      </c>
      <c r="T104" s="347">
        <v>0.60899999999999999</v>
      </c>
      <c r="U104" s="348">
        <v>24.12</v>
      </c>
      <c r="V104" s="348">
        <v>1.8803145838984718</v>
      </c>
    </row>
    <row r="105" spans="1:22">
      <c r="A105" s="104" t="str">
        <f>IF(K105&gt;0,COUNT($A$7:A104)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5" s="112"/>
      <c r="C105" s="79"/>
      <c r="D105" s="279" t="s">
        <v>2006</v>
      </c>
      <c r="E105" s="54">
        <v>100031010</v>
      </c>
      <c r="F105" s="55" t="s">
        <v>2007</v>
      </c>
      <c r="G105" s="129">
        <v>25</v>
      </c>
      <c r="H105" s="129">
        <v>300</v>
      </c>
      <c r="I105" s="128">
        <f>_xlfn.XLOOKUP(E105,'All Products'!D:D,'All Products'!H:H)</f>
        <v>174.26</v>
      </c>
      <c r="J105" s="135">
        <f>ROUNDUP(I105*Order_Quote!$L$14,2)</f>
        <v>871.3</v>
      </c>
      <c r="K105" s="123"/>
      <c r="L105" s="79"/>
      <c r="M105" s="117">
        <f t="shared" si="3"/>
        <v>0</v>
      </c>
      <c r="O105" s="265" t="s">
        <v>76</v>
      </c>
      <c r="P105" s="265" t="s">
        <v>102</v>
      </c>
      <c r="Q105" s="265" t="s">
        <v>2008</v>
      </c>
      <c r="R105" s="265">
        <v>0</v>
      </c>
      <c r="S105" s="265" t="s">
        <v>2009</v>
      </c>
      <c r="T105" s="347">
        <v>1.78</v>
      </c>
      <c r="U105" s="348">
        <v>47.55</v>
      </c>
      <c r="V105" s="348">
        <v>3.6731726755225957</v>
      </c>
    </row>
    <row r="106" spans="1:22">
      <c r="A106" s="104" t="str">
        <f>IF(K106&gt;0,COUNT($A$7:A105)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6" s="112"/>
      <c r="C106" s="79"/>
      <c r="D106" s="279" t="s">
        <v>2010</v>
      </c>
      <c r="E106" s="54">
        <v>300005491</v>
      </c>
      <c r="F106" s="55" t="s">
        <v>2011</v>
      </c>
      <c r="G106" s="129">
        <v>25</v>
      </c>
      <c r="H106" s="129">
        <v>1800</v>
      </c>
      <c r="I106" s="128">
        <f>_xlfn.XLOOKUP(E106,'All Products'!D:D,'All Products'!H:H)</f>
        <v>137.5</v>
      </c>
      <c r="J106" s="135">
        <f>ROUNDUP(I106*Order_Quote!$L$14,2)</f>
        <v>687.5</v>
      </c>
      <c r="K106" s="123"/>
      <c r="L106" s="79"/>
      <c r="M106" s="117">
        <f t="shared" si="3"/>
        <v>0</v>
      </c>
      <c r="O106" s="265" t="s">
        <v>1693</v>
      </c>
      <c r="P106" s="265" t="s">
        <v>77</v>
      </c>
      <c r="Q106" s="265" t="s">
        <v>2012</v>
      </c>
      <c r="R106" s="265">
        <v>0</v>
      </c>
      <c r="S106" s="265" t="s">
        <v>2013</v>
      </c>
      <c r="T106" s="347">
        <v>0.4</v>
      </c>
      <c r="U106" s="348">
        <v>10</v>
      </c>
      <c r="V106" s="348" t="s">
        <v>1205</v>
      </c>
    </row>
    <row r="107" spans="1:22">
      <c r="A107" s="104" t="str">
        <f>IF(K107&gt;0,COUNT($A$7:A106)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7" s="112"/>
      <c r="C107" s="79"/>
      <c r="D107" s="279" t="s">
        <v>2014</v>
      </c>
      <c r="E107" s="54">
        <v>300005756</v>
      </c>
      <c r="F107" s="55" t="s">
        <v>2015</v>
      </c>
      <c r="G107" s="129">
        <v>25</v>
      </c>
      <c r="H107" s="129">
        <v>1800</v>
      </c>
      <c r="I107" s="128">
        <f>_xlfn.XLOOKUP(E107,'All Products'!D:D,'All Products'!H:H)</f>
        <v>120.4</v>
      </c>
      <c r="J107" s="135">
        <f>ROUNDUP(I107*Order_Quote!$L$14,2)</f>
        <v>602</v>
      </c>
      <c r="K107" s="123"/>
      <c r="L107" s="79"/>
      <c r="M107" s="117">
        <f t="shared" si="3"/>
        <v>0</v>
      </c>
      <c r="O107" s="265" t="s">
        <v>359</v>
      </c>
      <c r="P107" s="265" t="s">
        <v>77</v>
      </c>
      <c r="Q107" s="265" t="s">
        <v>2016</v>
      </c>
      <c r="R107" s="265">
        <v>0</v>
      </c>
      <c r="S107" s="265">
        <v>0</v>
      </c>
      <c r="T107" s="347">
        <v>0.4</v>
      </c>
      <c r="U107" s="348">
        <v>10</v>
      </c>
      <c r="V107" s="348" t="s">
        <v>1205</v>
      </c>
    </row>
    <row r="108" spans="1:22">
      <c r="A108" s="104" t="str">
        <f>IF(K108&gt;0,COUNT($A$7:A107)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8" s="112"/>
      <c r="C108" s="79"/>
      <c r="D108" s="279" t="s">
        <v>2017</v>
      </c>
      <c r="E108" s="54">
        <v>300005495</v>
      </c>
      <c r="F108" s="55" t="s">
        <v>2018</v>
      </c>
      <c r="G108" s="129">
        <v>15</v>
      </c>
      <c r="H108" s="129" t="s">
        <v>1205</v>
      </c>
      <c r="I108" s="128">
        <f>_xlfn.XLOOKUP(E108,'All Products'!D:D,'All Products'!H:H)</f>
        <v>226.4</v>
      </c>
      <c r="J108" s="135">
        <f>ROUNDUP(I108*Order_Quote!$L$14,2)</f>
        <v>1132</v>
      </c>
      <c r="K108" s="127"/>
      <c r="L108" s="79"/>
      <c r="M108" s="117">
        <f t="shared" si="3"/>
        <v>0</v>
      </c>
      <c r="O108" s="265" t="s">
        <v>1693</v>
      </c>
      <c r="P108" s="265" t="s">
        <v>77</v>
      </c>
      <c r="Q108" s="265" t="s">
        <v>2019</v>
      </c>
      <c r="R108" s="265">
        <v>0</v>
      </c>
      <c r="S108" s="265">
        <v>0</v>
      </c>
      <c r="T108" s="347">
        <v>0.4</v>
      </c>
      <c r="U108" s="348">
        <v>6</v>
      </c>
      <c r="V108" s="348" t="s">
        <v>1205</v>
      </c>
    </row>
    <row r="109" spans="1:22">
      <c r="A109" s="104" t="str">
        <f>IF(K109&gt;0,COUNT($A$7:A108)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09" s="112"/>
      <c r="C109" s="79"/>
      <c r="D109" s="279" t="s">
        <v>2020</v>
      </c>
      <c r="E109" s="54">
        <v>100031313</v>
      </c>
      <c r="F109" s="55" t="s">
        <v>2021</v>
      </c>
      <c r="G109" s="129">
        <v>12</v>
      </c>
      <c r="H109" s="129">
        <v>480</v>
      </c>
      <c r="I109" s="128">
        <f>_xlfn.XLOOKUP(E109,'All Products'!D:D,'All Products'!H:H)</f>
        <v>131.69</v>
      </c>
      <c r="J109" s="135">
        <f>ROUNDUP(I109*Order_Quote!$L$14,2)</f>
        <v>658.45</v>
      </c>
      <c r="K109" s="123"/>
      <c r="L109" s="79"/>
      <c r="M109" s="117">
        <f t="shared" si="3"/>
        <v>0</v>
      </c>
      <c r="O109" s="265" t="s">
        <v>76</v>
      </c>
      <c r="P109" s="265" t="s">
        <v>102</v>
      </c>
      <c r="Q109" s="265" t="s">
        <v>2022</v>
      </c>
      <c r="R109" s="265">
        <v>0</v>
      </c>
      <c r="S109" s="265" t="s">
        <v>2023</v>
      </c>
      <c r="T109" s="347">
        <v>1.234</v>
      </c>
      <c r="U109" s="348">
        <v>16.968</v>
      </c>
      <c r="V109" s="348">
        <v>1.8803145838984718</v>
      </c>
    </row>
    <row r="110" spans="1:22">
      <c r="A110" s="104" t="str">
        <f>IF(K110&gt;0,COUNT($A$7:A109)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0" s="110"/>
      <c r="C110" s="111"/>
      <c r="D110" s="279" t="s">
        <v>2024</v>
      </c>
      <c r="E110" s="54">
        <v>100029414</v>
      </c>
      <c r="F110" s="55" t="s">
        <v>2025</v>
      </c>
      <c r="G110" s="129">
        <v>19</v>
      </c>
      <c r="H110" s="129">
        <v>855</v>
      </c>
      <c r="I110" s="128">
        <f>_xlfn.XLOOKUP(E110,'All Products'!D:D,'All Products'!H:H)</f>
        <v>39.94</v>
      </c>
      <c r="J110" s="135">
        <f>ROUNDUP(I110*Order_Quote!$L$14,2)</f>
        <v>199.7</v>
      </c>
      <c r="K110" s="123"/>
      <c r="L110" s="79"/>
      <c r="M110" s="117">
        <f t="shared" si="3"/>
        <v>0</v>
      </c>
      <c r="O110" s="265" t="s">
        <v>76</v>
      </c>
      <c r="P110" s="265" t="s">
        <v>102</v>
      </c>
      <c r="Q110" s="265" t="s">
        <v>2026</v>
      </c>
      <c r="R110" s="265">
        <v>0</v>
      </c>
      <c r="S110" s="265" t="s">
        <v>2027</v>
      </c>
      <c r="T110" s="347">
        <v>0.41199999999999998</v>
      </c>
      <c r="U110" s="348">
        <v>9.8990000000000009</v>
      </c>
      <c r="V110" s="348">
        <v>1.3788503419060438</v>
      </c>
    </row>
    <row r="111" spans="1:22">
      <c r="A111" s="104" t="str">
        <f>IF(K111&gt;0,COUNT($A$7:A110)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1" s="112"/>
      <c r="C111" s="79"/>
      <c r="D111" s="279" t="s">
        <v>2028</v>
      </c>
      <c r="E111" s="54">
        <v>300005502</v>
      </c>
      <c r="F111" s="55" t="s">
        <v>2029</v>
      </c>
      <c r="G111" s="129">
        <v>12</v>
      </c>
      <c r="H111" s="129">
        <v>540</v>
      </c>
      <c r="I111" s="128">
        <f>_xlfn.XLOOKUP(E111,'All Products'!D:D,'All Products'!H:H)</f>
        <v>334.09</v>
      </c>
      <c r="J111" s="135">
        <f>ROUNDUP(I111*Order_Quote!$L$14,2)</f>
        <v>1670.45</v>
      </c>
      <c r="K111" s="123"/>
      <c r="L111" s="79"/>
      <c r="M111" s="117">
        <f t="shared" si="3"/>
        <v>0</v>
      </c>
      <c r="O111" s="265" t="s">
        <v>359</v>
      </c>
      <c r="P111" s="265" t="s">
        <v>77</v>
      </c>
      <c r="Q111" s="265" t="s">
        <v>2030</v>
      </c>
      <c r="R111" s="265">
        <v>0</v>
      </c>
      <c r="S111" s="265" t="s">
        <v>2031</v>
      </c>
      <c r="T111" s="347">
        <v>1.2789999999999999</v>
      </c>
      <c r="U111" s="348">
        <v>15.347999999999999</v>
      </c>
      <c r="V111" s="348" t="s">
        <v>1205</v>
      </c>
    </row>
    <row r="112" spans="1:22">
      <c r="A112" s="104" t="str">
        <f>IF(K112&gt;0,COUNT($A$7:A111)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2" s="112"/>
      <c r="C112" s="79"/>
      <c r="D112" s="279" t="s">
        <v>2032</v>
      </c>
      <c r="E112" s="54">
        <v>100029431</v>
      </c>
      <c r="F112" s="55" t="s">
        <v>2033</v>
      </c>
      <c r="G112" s="129">
        <v>48</v>
      </c>
      <c r="H112" s="129">
        <v>1152</v>
      </c>
      <c r="I112" s="128">
        <f>_xlfn.XLOOKUP(E112,'All Products'!D:D,'All Products'!H:H)</f>
        <v>28.33</v>
      </c>
      <c r="J112" s="135">
        <f>ROUNDUP(I112*Order_Quote!$L$14,2)</f>
        <v>141.65</v>
      </c>
      <c r="K112" s="127"/>
      <c r="L112" s="79"/>
      <c r="M112" s="117">
        <f t="shared" si="3"/>
        <v>0</v>
      </c>
      <c r="O112" s="265" t="s">
        <v>76</v>
      </c>
      <c r="P112" s="265" t="s">
        <v>102</v>
      </c>
      <c r="Q112" s="265" t="s">
        <v>2034</v>
      </c>
      <c r="R112" s="265">
        <v>0</v>
      </c>
      <c r="S112" s="265" t="s">
        <v>2035</v>
      </c>
      <c r="T112" s="347">
        <v>0.39</v>
      </c>
      <c r="U112" s="348">
        <v>20.928000000000001</v>
      </c>
      <c r="V112" s="348">
        <v>1.8803145838984718</v>
      </c>
    </row>
    <row r="113" spans="1:22">
      <c r="A113" s="104" t="str">
        <f>IF(K113&gt;0,COUNT($A$7:A112)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3" s="113"/>
      <c r="C113" s="114"/>
      <c r="D113" s="279" t="s">
        <v>2036</v>
      </c>
      <c r="E113" s="54">
        <v>100031314</v>
      </c>
      <c r="F113" s="55" t="s">
        <v>2037</v>
      </c>
      <c r="G113" s="129">
        <v>24</v>
      </c>
      <c r="H113" s="129">
        <v>1080</v>
      </c>
      <c r="I113" s="128">
        <f>_xlfn.XLOOKUP(E113,'All Products'!D:D,'All Products'!H:H)</f>
        <v>109.99</v>
      </c>
      <c r="J113" s="135">
        <f>ROUNDUP(I113*Order_Quote!$L$14,2)</f>
        <v>549.95000000000005</v>
      </c>
      <c r="K113" s="123"/>
      <c r="L113" s="79"/>
      <c r="M113" s="117">
        <f t="shared" si="3"/>
        <v>0</v>
      </c>
      <c r="O113" s="265" t="s">
        <v>76</v>
      </c>
      <c r="P113" s="265" t="s">
        <v>102</v>
      </c>
      <c r="Q113" s="265" t="s">
        <v>2038</v>
      </c>
      <c r="R113" s="265">
        <v>0</v>
      </c>
      <c r="S113" s="265" t="s">
        <v>2039</v>
      </c>
      <c r="T113" s="347">
        <v>1.234</v>
      </c>
      <c r="U113" s="348">
        <v>31.536000000000001</v>
      </c>
      <c r="V113" s="348">
        <v>2.7986077527791204</v>
      </c>
    </row>
    <row r="114" spans="1:22" ht="15.75" customHeight="1">
      <c r="A114" s="104" t="str">
        <f>IF(K114&gt;0,COUNT($A$7:A113)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4" s="579"/>
      <c r="C114" s="580"/>
      <c r="D114" s="53" t="s">
        <v>2040</v>
      </c>
      <c r="E114" s="54">
        <v>300005754</v>
      </c>
      <c r="F114" s="55" t="s">
        <v>2041</v>
      </c>
      <c r="G114" s="129">
        <v>25</v>
      </c>
      <c r="H114" s="129">
        <v>1800</v>
      </c>
      <c r="I114" s="128">
        <f>_xlfn.XLOOKUP(E114,'All Products'!D:D,'All Products'!H:H)</f>
        <v>105.75</v>
      </c>
      <c r="J114" s="135">
        <f>ROUNDUP(I114*Order_Quote!$L$14,2)</f>
        <v>528.75</v>
      </c>
      <c r="K114" s="127"/>
      <c r="L114" s="79"/>
      <c r="M114" s="117">
        <f t="shared" si="3"/>
        <v>0</v>
      </c>
      <c r="O114" s="265" t="s">
        <v>359</v>
      </c>
      <c r="P114" s="265" t="s">
        <v>77</v>
      </c>
      <c r="Q114" s="265" t="s">
        <v>2042</v>
      </c>
      <c r="R114" s="265">
        <v>0</v>
      </c>
      <c r="S114" s="265">
        <v>0</v>
      </c>
      <c r="T114" s="347">
        <v>1.2</v>
      </c>
      <c r="U114" s="348">
        <v>30</v>
      </c>
      <c r="V114" s="348" t="s">
        <v>1205</v>
      </c>
    </row>
    <row r="115" spans="1:22">
      <c r="A115" s="104" t="str">
        <f>IF(K115&gt;0,COUNT($A$7:A114)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5" s="579"/>
      <c r="C115" s="580"/>
      <c r="D115" s="53" t="s">
        <v>2043</v>
      </c>
      <c r="E115" s="54">
        <v>100031315</v>
      </c>
      <c r="F115" s="55" t="s">
        <v>2044</v>
      </c>
      <c r="G115" s="129">
        <v>24</v>
      </c>
      <c r="H115" s="129">
        <v>288</v>
      </c>
      <c r="I115" s="128">
        <f>_xlfn.XLOOKUP(E115,'All Products'!D:D,'All Products'!H:H)</f>
        <v>74.819999999999993</v>
      </c>
      <c r="J115" s="135">
        <f>ROUNDUP(I115*Order_Quote!$L$14,2)</f>
        <v>374.1</v>
      </c>
      <c r="K115" s="123"/>
      <c r="L115" s="79"/>
      <c r="M115" s="117">
        <f t="shared" si="3"/>
        <v>0</v>
      </c>
      <c r="O115" s="265" t="s">
        <v>76</v>
      </c>
      <c r="P115" s="265" t="s">
        <v>102</v>
      </c>
      <c r="Q115" s="265" t="s">
        <v>2045</v>
      </c>
      <c r="R115" s="265">
        <v>0</v>
      </c>
      <c r="S115" s="265" t="s">
        <v>2046</v>
      </c>
      <c r="T115" s="347">
        <v>1.044</v>
      </c>
      <c r="U115" s="348">
        <v>28.103999999999999</v>
      </c>
      <c r="V115" s="348">
        <v>3.6731726755225957</v>
      </c>
    </row>
    <row r="116" spans="1:22">
      <c r="A116" s="104" t="str">
        <f>IF(K116&gt;0,COUNT($A$7:A115)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6" s="579"/>
      <c r="C116" s="580"/>
      <c r="D116" s="53" t="s">
        <v>2047</v>
      </c>
      <c r="E116" s="54">
        <v>300005560</v>
      </c>
      <c r="F116" s="55" t="s">
        <v>2048</v>
      </c>
      <c r="G116" s="129">
        <v>8</v>
      </c>
      <c r="H116" s="129" t="s">
        <v>1205</v>
      </c>
      <c r="I116" s="128">
        <f>_xlfn.XLOOKUP(E116,'All Products'!D:D,'All Products'!H:H)</f>
        <v>363</v>
      </c>
      <c r="J116" s="135">
        <f>ROUNDUP(I116*Order_Quote!$L$14,2)</f>
        <v>1815</v>
      </c>
      <c r="K116" s="123"/>
      <c r="L116" s="79"/>
      <c r="M116" s="117">
        <f t="shared" si="3"/>
        <v>0</v>
      </c>
      <c r="O116" s="265" t="s">
        <v>1693</v>
      </c>
      <c r="P116" s="265" t="s">
        <v>77</v>
      </c>
      <c r="Q116" s="265" t="s">
        <v>2049</v>
      </c>
      <c r="R116" s="265">
        <v>0</v>
      </c>
      <c r="S116" s="265">
        <v>0</v>
      </c>
      <c r="T116" s="347">
        <v>2.8</v>
      </c>
      <c r="U116" s="348">
        <v>22.4</v>
      </c>
      <c r="V116" s="348" t="s">
        <v>1205</v>
      </c>
    </row>
    <row r="117" spans="1:22">
      <c r="A117" s="104" t="str">
        <f>IF(K117&gt;0,COUNT($A$7:A116)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7" s="581"/>
      <c r="C117" s="582"/>
      <c r="D117" s="53" t="s">
        <v>2050</v>
      </c>
      <c r="E117" s="54">
        <v>300005570</v>
      </c>
      <c r="F117" s="55" t="s">
        <v>2051</v>
      </c>
      <c r="G117" s="129">
        <v>9</v>
      </c>
      <c r="H117" s="129" t="s">
        <v>1205</v>
      </c>
      <c r="I117" s="128">
        <f>_xlfn.XLOOKUP(E117,'All Products'!D:D,'All Products'!H:H)</f>
        <v>231.66</v>
      </c>
      <c r="J117" s="135">
        <f>ROUNDUP(I117*Order_Quote!$L$14,2)</f>
        <v>1158.3</v>
      </c>
      <c r="K117" s="123"/>
      <c r="L117" s="79"/>
      <c r="M117" s="117">
        <f t="shared" si="3"/>
        <v>0</v>
      </c>
      <c r="O117" s="265" t="s">
        <v>1693</v>
      </c>
      <c r="P117" s="265" t="s">
        <v>77</v>
      </c>
      <c r="Q117" s="265" t="s">
        <v>2052</v>
      </c>
      <c r="R117" s="265">
        <v>0</v>
      </c>
      <c r="S117" s="265">
        <v>0</v>
      </c>
      <c r="T117" s="347">
        <v>2.48</v>
      </c>
      <c r="U117" s="348">
        <v>22.32</v>
      </c>
      <c r="V117" s="348" t="s">
        <v>1205</v>
      </c>
    </row>
    <row r="118" spans="1:22">
      <c r="A118" s="104" t="str">
        <f>IF(K118&gt;0,COUNT($A$7:A117)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8" s="630"/>
      <c r="C118" s="630"/>
      <c r="D118" s="53" t="s">
        <v>2053</v>
      </c>
      <c r="E118" s="54">
        <v>300005835</v>
      </c>
      <c r="F118" s="55" t="s">
        <v>2054</v>
      </c>
      <c r="G118" s="129">
        <v>20</v>
      </c>
      <c r="H118" s="129">
        <v>360</v>
      </c>
      <c r="I118" s="128">
        <f>_xlfn.XLOOKUP(E118,'All Products'!D:D,'All Products'!H:H)</f>
        <v>272.55</v>
      </c>
      <c r="J118" s="135">
        <f>ROUNDUP(I118*Order_Quote!$L$14,2)</f>
        <v>1362.75</v>
      </c>
      <c r="K118" s="127"/>
      <c r="L118" s="79"/>
      <c r="M118" s="117">
        <f t="shared" si="3"/>
        <v>0</v>
      </c>
      <c r="O118" s="265" t="s">
        <v>359</v>
      </c>
      <c r="P118" s="265" t="s">
        <v>77</v>
      </c>
      <c r="Q118" s="265" t="s">
        <v>2055</v>
      </c>
      <c r="R118" s="265">
        <v>0</v>
      </c>
      <c r="S118" s="265">
        <v>0</v>
      </c>
      <c r="T118" s="347">
        <v>1.19</v>
      </c>
      <c r="U118" s="348">
        <v>23.799999999999997</v>
      </c>
      <c r="V118" s="348" t="s">
        <v>1205</v>
      </c>
    </row>
    <row r="119" spans="1:22">
      <c r="A119" s="104" t="str">
        <f>IF(K119&gt;0,COUNT($A$7:A118)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19" s="630"/>
      <c r="C119" s="630"/>
      <c r="D119" s="53" t="s">
        <v>2056</v>
      </c>
      <c r="E119" s="54">
        <v>300005877</v>
      </c>
      <c r="F119" s="55" t="s">
        <v>2057</v>
      </c>
      <c r="G119" s="129">
        <v>8</v>
      </c>
      <c r="H119" s="129">
        <v>96</v>
      </c>
      <c r="I119" s="128">
        <f>_xlfn.XLOOKUP(E119,'All Products'!D:D,'All Products'!H:H)</f>
        <v>963.2</v>
      </c>
      <c r="J119" s="135">
        <f>ROUNDUP(I119*Order_Quote!$L$14,2)</f>
        <v>4816</v>
      </c>
      <c r="K119" s="123"/>
      <c r="L119" s="79"/>
      <c r="M119" s="117">
        <f t="shared" si="3"/>
        <v>0</v>
      </c>
      <c r="O119" s="265" t="s">
        <v>1693</v>
      </c>
      <c r="P119" s="265" t="s">
        <v>77</v>
      </c>
      <c r="Q119" s="265" t="s">
        <v>2058</v>
      </c>
      <c r="R119" s="265">
        <v>0</v>
      </c>
      <c r="S119" s="265">
        <v>0</v>
      </c>
      <c r="T119" s="347">
        <v>2.75</v>
      </c>
      <c r="U119" s="348">
        <v>22</v>
      </c>
      <c r="V119" s="348" t="s">
        <v>1205</v>
      </c>
    </row>
    <row r="120" spans="1:22">
      <c r="A120" s="104" t="str">
        <f>IF(K120&gt;0,COUNT($A$7:A119)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20" s="630"/>
      <c r="C120" s="630"/>
      <c r="D120" s="53" t="s">
        <v>2059</v>
      </c>
      <c r="E120" s="54">
        <v>300005880</v>
      </c>
      <c r="F120" s="55" t="s">
        <v>2060</v>
      </c>
      <c r="G120" s="129">
        <v>8</v>
      </c>
      <c r="H120" s="129">
        <v>96</v>
      </c>
      <c r="I120" s="128">
        <f>_xlfn.XLOOKUP(E120,'All Products'!D:D,'All Products'!H:H)</f>
        <v>231.69</v>
      </c>
      <c r="J120" s="135">
        <f>ROUNDUP(I120*Order_Quote!$L$14,2)</f>
        <v>1158.45</v>
      </c>
      <c r="K120" s="123"/>
      <c r="L120" s="79"/>
      <c r="M120" s="117">
        <f t="shared" si="3"/>
        <v>0</v>
      </c>
      <c r="O120" s="265" t="s">
        <v>1693</v>
      </c>
      <c r="P120" s="265" t="s">
        <v>77</v>
      </c>
      <c r="Q120" s="265" t="s">
        <v>2061</v>
      </c>
      <c r="R120" s="265">
        <v>0</v>
      </c>
      <c r="S120" s="265">
        <v>0</v>
      </c>
      <c r="T120" s="347">
        <v>2.93</v>
      </c>
      <c r="U120" s="348">
        <v>23.44</v>
      </c>
      <c r="V120" s="348" t="s">
        <v>1205</v>
      </c>
    </row>
    <row r="121" spans="1:22" ht="37.5" customHeight="1">
      <c r="A121" s="104" t="str">
        <f>IF(K121&gt;0,COUNT($A$7:A120)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21" s="630"/>
      <c r="C121" s="630"/>
      <c r="D121" s="53" t="s">
        <v>2062</v>
      </c>
      <c r="E121" s="54">
        <v>300005561</v>
      </c>
      <c r="F121" s="55" t="s">
        <v>2063</v>
      </c>
      <c r="G121" s="129">
        <v>6</v>
      </c>
      <c r="H121" s="129" t="s">
        <v>1205</v>
      </c>
      <c r="I121" s="128">
        <f>_xlfn.XLOOKUP(E121,'All Products'!D:D,'All Products'!H:H)</f>
        <v>290.87</v>
      </c>
      <c r="J121" s="135">
        <f>ROUNDUP(I121*Order_Quote!$L$14,2)</f>
        <v>1454.35</v>
      </c>
      <c r="K121" s="123"/>
      <c r="L121" s="79"/>
      <c r="M121" s="117">
        <f t="shared" si="3"/>
        <v>0</v>
      </c>
      <c r="O121" s="265" t="s">
        <v>359</v>
      </c>
      <c r="P121" s="265" t="s">
        <v>77</v>
      </c>
      <c r="Q121" s="265" t="s">
        <v>2064</v>
      </c>
      <c r="R121" s="265">
        <v>0</v>
      </c>
      <c r="S121" s="265">
        <v>0</v>
      </c>
      <c r="T121" s="347">
        <v>5.2910000000000004</v>
      </c>
      <c r="U121" s="348">
        <v>31.746000000000002</v>
      </c>
      <c r="V121" s="348" t="s">
        <v>1205</v>
      </c>
    </row>
    <row r="122" spans="1:22" ht="25.5" customHeight="1">
      <c r="A122" s="104" t="str">
        <f>IF(K122&gt;0,COUNT($A$7:A121)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22" s="630"/>
      <c r="C122" s="630"/>
      <c r="D122" s="53" t="s">
        <v>2065</v>
      </c>
      <c r="E122" s="54">
        <v>300005526</v>
      </c>
      <c r="F122" s="55" t="s">
        <v>2066</v>
      </c>
      <c r="G122" s="129">
        <v>6</v>
      </c>
      <c r="H122" s="129" t="s">
        <v>1205</v>
      </c>
      <c r="I122" s="128">
        <f>_xlfn.XLOOKUP(E122,'All Products'!D:D,'All Products'!H:H)</f>
        <v>285.27</v>
      </c>
      <c r="J122" s="135">
        <f>ROUNDUP(I122*Order_Quote!$L$14,2)</f>
        <v>1426.35</v>
      </c>
      <c r="K122" s="127"/>
      <c r="L122" s="79"/>
      <c r="M122" s="117">
        <f t="shared" si="3"/>
        <v>0</v>
      </c>
      <c r="O122" s="265" t="s">
        <v>1693</v>
      </c>
      <c r="P122" s="265" t="s">
        <v>77</v>
      </c>
      <c r="Q122" s="265" t="s">
        <v>2067</v>
      </c>
      <c r="R122" s="265">
        <v>0</v>
      </c>
      <c r="S122" s="265">
        <v>0</v>
      </c>
      <c r="T122" s="347">
        <v>1.5</v>
      </c>
      <c r="U122" s="348">
        <v>9</v>
      </c>
      <c r="V122" s="348" t="s">
        <v>1205</v>
      </c>
    </row>
    <row r="123" spans="1:22" ht="25.5" customHeight="1">
      <c r="A123" s="104" t="str">
        <f>IF(K123&gt;0,COUNT($A$7:A122)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+COUNT(Valves!$A$8:$A$131)+1,"")</f>
        <v/>
      </c>
      <c r="B123" s="630"/>
      <c r="C123" s="630"/>
      <c r="D123" s="53" t="s">
        <v>2068</v>
      </c>
      <c r="E123" s="54">
        <v>300005562</v>
      </c>
      <c r="F123" s="55" t="s">
        <v>2069</v>
      </c>
      <c r="G123" s="129">
        <v>6</v>
      </c>
      <c r="H123" s="129" t="s">
        <v>1205</v>
      </c>
      <c r="I123" s="128">
        <f>_xlfn.XLOOKUP(E123,'All Products'!D:D,'All Products'!H:H)</f>
        <v>300.35000000000002</v>
      </c>
      <c r="J123" s="135">
        <f>ROUNDUP(I123*Order_Quote!$L$14,2)</f>
        <v>1501.75</v>
      </c>
      <c r="K123" s="123"/>
      <c r="L123" s="79"/>
      <c r="M123" s="117">
        <f t="shared" si="3"/>
        <v>0</v>
      </c>
      <c r="O123" s="265" t="s">
        <v>1693</v>
      </c>
      <c r="P123" s="265" t="s">
        <v>77</v>
      </c>
      <c r="Q123" s="265" t="s">
        <v>2070</v>
      </c>
      <c r="R123" s="265">
        <v>0</v>
      </c>
      <c r="S123" s="265">
        <v>0</v>
      </c>
      <c r="T123" s="347">
        <v>3</v>
      </c>
      <c r="U123" s="348">
        <v>18</v>
      </c>
      <c r="V123" s="348" t="s">
        <v>1205</v>
      </c>
    </row>
    <row r="124" spans="1:22">
      <c r="A124" s="104">
        <f>MAX(A8:A123)+1</f>
        <v>1</v>
      </c>
      <c r="B124" s="275"/>
      <c r="C124" s="275"/>
      <c r="D124" s="276"/>
      <c r="E124" s="27"/>
      <c r="F124" s="28"/>
      <c r="G124" s="275"/>
      <c r="H124" s="275"/>
      <c r="I124" s="277"/>
      <c r="J124" s="278"/>
      <c r="K124" s="275"/>
      <c r="L124" s="275"/>
      <c r="M124" s="275"/>
      <c r="O124" s="275"/>
      <c r="P124" s="275"/>
    </row>
    <row r="125" spans="1:22"/>
    <row r="126" spans="1:22"/>
    <row r="127" spans="1:22"/>
    <row r="128" spans="1:22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</sheetData>
  <sheetProtection algorithmName="SHA-512" hashValue="QL/Wjh9GV4aA1q6t4vQZHVJgs28vZezSdY4v1FATlsnjY/D5deeDzeFJadnxFC4mllB/owmDU4VaajC+6+0vww==" saltValue="3+MxPSsrjEUNoneQ2wVSWA==" spinCount="100000" sheet="1" formatCells="0" formatColumns="0" formatRows="0" insertColumns="0" insertRows="0" insertHyperlinks="0" deleteColumns="0" deleteRows="0" sort="0" autoFilter="0" pivotTables="0"/>
  <mergeCells count="35">
    <mergeCell ref="B94:C97"/>
    <mergeCell ref="J2:K3"/>
    <mergeCell ref="B82:C83"/>
    <mergeCell ref="B44:C46"/>
    <mergeCell ref="B38:C39"/>
    <mergeCell ref="B50:C51"/>
    <mergeCell ref="B59:C62"/>
    <mergeCell ref="B40:C40"/>
    <mergeCell ref="B18:C24"/>
    <mergeCell ref="B25:C25"/>
    <mergeCell ref="B26:C31"/>
    <mergeCell ref="B32:C32"/>
    <mergeCell ref="B8:C11"/>
    <mergeCell ref="B87:C90"/>
    <mergeCell ref="B91:C93"/>
    <mergeCell ref="B64:C66"/>
    <mergeCell ref="B98:C99"/>
    <mergeCell ref="B100:C103"/>
    <mergeCell ref="B122:C123"/>
    <mergeCell ref="B121:C121"/>
    <mergeCell ref="B118:C120"/>
    <mergeCell ref="B114:C117"/>
    <mergeCell ref="Q6:S6"/>
    <mergeCell ref="B84:C86"/>
    <mergeCell ref="B71:C73"/>
    <mergeCell ref="B67:C70"/>
    <mergeCell ref="B74:C77"/>
    <mergeCell ref="B78:C81"/>
    <mergeCell ref="B33:C34"/>
    <mergeCell ref="B63:C63"/>
    <mergeCell ref="B55:C58"/>
    <mergeCell ref="B52:C54"/>
    <mergeCell ref="B35:C36"/>
    <mergeCell ref="B37:C37"/>
    <mergeCell ref="B47:C49"/>
  </mergeCells>
  <dataValidations xWindow="895" yWindow="295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24:L65514 L1:L6 K1" xr:uid="{00000000-0002-0000-08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8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11" xr:uid="{00000000-0002-0000-08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23" xr:uid="{00000000-0002-0000-0800-000003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3" manualBreakCount="3">
    <brk id="34" max="8" man="1"/>
    <brk id="63" max="8" man="1"/>
    <brk id="90" max="8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/>
    <pageSetUpPr fitToPage="1"/>
  </sheetPr>
  <dimension ref="A1:V143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/>
  <cols>
    <col min="1" max="1" width="2.28515625" style="5" customWidth="1"/>
    <col min="2" max="3" width="8.7109375" style="2" customWidth="1"/>
    <col min="4" max="5" width="12.7109375" style="2" customWidth="1"/>
    <col min="6" max="6" width="50.7109375" style="8" customWidth="1"/>
    <col min="7" max="8" width="10.7109375" style="280" customWidth="1"/>
    <col min="9" max="10" width="10.7109375" style="7" customWidth="1"/>
    <col min="11" max="11" width="10.7109375" style="2" customWidth="1"/>
    <col min="12" max="12" width="1.42578125" style="2" customWidth="1"/>
    <col min="13" max="13" width="10.7109375" style="2" customWidth="1"/>
    <col min="14" max="14" width="2.28515625" style="2" customWidth="1"/>
    <col min="15" max="15" width="12.7109375" style="8" customWidth="1"/>
    <col min="16" max="16" width="11.7109375" style="8" customWidth="1"/>
    <col min="17" max="17" width="11.28515625" style="2" bestFit="1" customWidth="1"/>
    <col min="18" max="18" width="9.140625" style="2" customWidth="1"/>
    <col min="19" max="19" width="11.28515625" style="2" bestFit="1" customWidth="1"/>
    <col min="20" max="22" width="9.140625" style="2" customWidth="1"/>
    <col min="23" max="16384" width="9.140625" style="2"/>
  </cols>
  <sheetData>
    <row r="1" spans="1:22" ht="18.75">
      <c r="F1" s="257" t="s">
        <v>2071</v>
      </c>
      <c r="G1" s="170"/>
      <c r="H1" s="170"/>
      <c r="O1" s="170"/>
      <c r="P1" s="170"/>
    </row>
    <row r="2" spans="1:22" ht="15.75">
      <c r="D2" s="24"/>
      <c r="E2" s="13"/>
      <c r="J2" s="585" t="s">
        <v>59</v>
      </c>
      <c r="K2" s="585"/>
    </row>
    <row r="3" spans="1:22">
      <c r="D3" s="4"/>
      <c r="E3" s="4"/>
      <c r="F3" s="436" t="s">
        <v>2072</v>
      </c>
      <c r="G3" s="4"/>
      <c r="H3" s="4"/>
      <c r="J3" s="585"/>
      <c r="K3" s="585"/>
    </row>
    <row r="4" spans="1:22">
      <c r="E4" s="5" t="s">
        <v>2073</v>
      </c>
      <c r="F4" s="440" t="s">
        <v>2074</v>
      </c>
      <c r="G4" s="4"/>
      <c r="H4" s="4"/>
      <c r="I4" s="25"/>
      <c r="J4" s="10"/>
    </row>
    <row r="5" spans="1:22">
      <c r="F5" s="438" t="s">
        <v>329</v>
      </c>
      <c r="G5" s="4"/>
      <c r="H5" s="4"/>
      <c r="I5" s="25"/>
      <c r="J5" s="10"/>
    </row>
    <row r="6" spans="1:22">
      <c r="J6" s="10"/>
      <c r="O6" s="486" t="s">
        <v>63</v>
      </c>
      <c r="Q6" s="576" t="s">
        <v>64</v>
      </c>
      <c r="R6" s="576"/>
      <c r="S6" s="576"/>
    </row>
    <row r="7" spans="1:22" s="17" customFormat="1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281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330</v>
      </c>
      <c r="V7" s="263" t="s">
        <v>331</v>
      </c>
    </row>
    <row r="8" spans="1:22" ht="48.75" customHeight="1">
      <c r="A8" s="5" t="str">
        <f>IF(K8&gt;0,COUNT($A$7:A7)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" s="630"/>
      <c r="C8" s="630"/>
      <c r="D8" s="53" t="s">
        <v>2075</v>
      </c>
      <c r="E8" s="54">
        <v>300004428</v>
      </c>
      <c r="F8" s="55" t="s">
        <v>2076</v>
      </c>
      <c r="G8" s="282">
        <v>6</v>
      </c>
      <c r="H8" s="282" t="s">
        <v>1205</v>
      </c>
      <c r="I8" s="128">
        <f>_xlfn.XLOOKUP(E8,'All Products'!D:D,'All Products'!H:H)</f>
        <v>377.35</v>
      </c>
      <c r="J8" s="135">
        <f>ROUNDUP(I8*Order_Quote!$L$15,2)</f>
        <v>1886.75</v>
      </c>
      <c r="K8" s="124"/>
      <c r="L8" s="79"/>
      <c r="M8" s="117">
        <f t="shared" ref="M8:M38" si="0">K8/G8</f>
        <v>0</v>
      </c>
      <c r="O8" s="265" t="s">
        <v>1693</v>
      </c>
      <c r="P8" s="265" t="s">
        <v>77</v>
      </c>
      <c r="Q8" s="265" t="s">
        <v>2077</v>
      </c>
      <c r="R8" s="265">
        <v>0</v>
      </c>
      <c r="S8" s="265">
        <v>0</v>
      </c>
      <c r="T8" s="347">
        <v>0.4</v>
      </c>
      <c r="U8" s="348">
        <v>2.4000000000000004</v>
      </c>
      <c r="V8" s="348" t="s">
        <v>1205</v>
      </c>
    </row>
    <row r="9" spans="1:22" ht="21.75" customHeight="1">
      <c r="A9" s="5" t="str">
        <f>IF(K9&gt;0,COUNT($A$7:A8)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" s="630"/>
      <c r="C9" s="630"/>
      <c r="D9" s="53" t="s">
        <v>2078</v>
      </c>
      <c r="E9" s="54">
        <v>300004426</v>
      </c>
      <c r="F9" s="55" t="s">
        <v>2079</v>
      </c>
      <c r="G9" s="282">
        <v>6</v>
      </c>
      <c r="H9" s="282" t="s">
        <v>1205</v>
      </c>
      <c r="I9" s="128">
        <f>_xlfn.XLOOKUP(E9,'All Products'!D:D,'All Products'!H:H)</f>
        <v>507.66</v>
      </c>
      <c r="J9" s="135">
        <f>ROUNDUP(I9*Order_Quote!$L$15,2)</f>
        <v>2538.3000000000002</v>
      </c>
      <c r="K9" s="127"/>
      <c r="L9" s="79"/>
      <c r="M9" s="118">
        <f t="shared" si="0"/>
        <v>0</v>
      </c>
      <c r="O9" s="265" t="s">
        <v>1693</v>
      </c>
      <c r="P9" s="265" t="s">
        <v>77</v>
      </c>
      <c r="Q9" s="265" t="s">
        <v>2080</v>
      </c>
      <c r="R9" s="265">
        <v>0</v>
      </c>
      <c r="S9" s="265">
        <v>0</v>
      </c>
      <c r="T9" s="347">
        <v>0.4</v>
      </c>
      <c r="U9" s="348">
        <v>2.4000000000000004</v>
      </c>
      <c r="V9" s="348" t="s">
        <v>1205</v>
      </c>
    </row>
    <row r="10" spans="1:22" ht="21.75" customHeight="1">
      <c r="A10" s="5" t="str">
        <f>IF(K10&gt;0,COUNT($A$7:A9)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" s="630"/>
      <c r="C10" s="630"/>
      <c r="D10" s="53" t="s">
        <v>2081</v>
      </c>
      <c r="E10" s="54">
        <v>300004444</v>
      </c>
      <c r="F10" s="55" t="s">
        <v>2082</v>
      </c>
      <c r="G10" s="282">
        <v>4</v>
      </c>
      <c r="H10" s="282" t="s">
        <v>1205</v>
      </c>
      <c r="I10" s="128">
        <f>_xlfn.XLOOKUP(E10,'All Products'!D:D,'All Products'!H:H)</f>
        <v>589.88</v>
      </c>
      <c r="J10" s="135">
        <f>ROUNDUP(I10*Order_Quote!$L$15,2)</f>
        <v>2949.4</v>
      </c>
      <c r="K10" s="123"/>
      <c r="L10" s="79"/>
      <c r="M10" s="117">
        <f t="shared" si="0"/>
        <v>0</v>
      </c>
      <c r="O10" s="265" t="s">
        <v>1693</v>
      </c>
      <c r="P10" s="265" t="s">
        <v>77</v>
      </c>
      <c r="Q10" s="265" t="s">
        <v>2083</v>
      </c>
      <c r="R10" s="265">
        <v>0</v>
      </c>
      <c r="S10" s="265">
        <v>0</v>
      </c>
      <c r="T10" s="347">
        <v>1</v>
      </c>
      <c r="U10" s="348">
        <v>4</v>
      </c>
      <c r="V10" s="348" t="s">
        <v>1205</v>
      </c>
    </row>
    <row r="11" spans="1:22">
      <c r="A11" s="5" t="str">
        <f>IF(K11&gt;0,COUNT($A$7:A10)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" s="630"/>
      <c r="C11" s="630"/>
      <c r="D11" s="53" t="s">
        <v>2084</v>
      </c>
      <c r="E11" s="54">
        <v>100029268</v>
      </c>
      <c r="F11" s="55" t="s">
        <v>2085</v>
      </c>
      <c r="G11" s="282">
        <v>10</v>
      </c>
      <c r="H11" s="282">
        <v>120</v>
      </c>
      <c r="I11" s="128">
        <f>_xlfn.XLOOKUP(E11,'All Products'!D:D,'All Products'!H:H)</f>
        <v>112.49</v>
      </c>
      <c r="J11" s="135">
        <f>ROUNDUP(I11*Order_Quote!$L$15,2)</f>
        <v>562.45000000000005</v>
      </c>
      <c r="K11" s="127"/>
      <c r="L11" s="79"/>
      <c r="M11" s="118">
        <f t="shared" si="0"/>
        <v>0</v>
      </c>
      <c r="O11" s="265" t="s">
        <v>76</v>
      </c>
      <c r="P11" s="265" t="s">
        <v>102</v>
      </c>
      <c r="Q11" s="265" t="s">
        <v>2086</v>
      </c>
      <c r="R11" s="265">
        <v>0</v>
      </c>
      <c r="S11" s="265" t="s">
        <v>2087</v>
      </c>
      <c r="T11" s="347">
        <v>2.3439999999999999</v>
      </c>
      <c r="U11" s="348">
        <v>25.339999999999996</v>
      </c>
      <c r="V11" s="348">
        <v>2.7986077527791204</v>
      </c>
    </row>
    <row r="12" spans="1:22">
      <c r="A12" s="5" t="str">
        <f>IF(K12&gt;0,COUNT($A$7:A11)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" s="630"/>
      <c r="C12" s="630"/>
      <c r="D12" s="53" t="s">
        <v>2088</v>
      </c>
      <c r="E12" s="54">
        <v>100029285</v>
      </c>
      <c r="F12" s="55" t="s">
        <v>2089</v>
      </c>
      <c r="G12" s="282">
        <v>1</v>
      </c>
      <c r="H12" s="282">
        <v>75</v>
      </c>
      <c r="I12" s="128">
        <f>_xlfn.XLOOKUP(E12,'All Products'!D:D,'All Products'!H:H)</f>
        <v>228.11</v>
      </c>
      <c r="J12" s="135">
        <f>ROUNDUP(I12*Order_Quote!$L$15,2)</f>
        <v>1140.55</v>
      </c>
      <c r="K12" s="123"/>
      <c r="L12" s="79"/>
      <c r="M12" s="117">
        <f t="shared" si="0"/>
        <v>0</v>
      </c>
      <c r="O12" s="265" t="s">
        <v>76</v>
      </c>
      <c r="P12" s="265" t="s">
        <v>102</v>
      </c>
      <c r="Q12" s="265" t="s">
        <v>2090</v>
      </c>
      <c r="R12" s="265">
        <v>0</v>
      </c>
      <c r="S12" s="265" t="s">
        <v>2091</v>
      </c>
      <c r="T12" s="347">
        <v>4.4480000000000004</v>
      </c>
      <c r="U12" s="348">
        <v>444.375</v>
      </c>
      <c r="V12" s="348">
        <v>53.333269333358928</v>
      </c>
    </row>
    <row r="13" spans="1:22">
      <c r="A13" s="5" t="str">
        <f>IF(K13&gt;0,COUNT($A$7:A12)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" s="630"/>
      <c r="C13" s="630"/>
      <c r="D13" s="53" t="s">
        <v>2092</v>
      </c>
      <c r="E13" s="54">
        <v>100031306</v>
      </c>
      <c r="F13" s="55" t="s">
        <v>2093</v>
      </c>
      <c r="G13" s="282">
        <v>1</v>
      </c>
      <c r="H13" s="282">
        <v>50</v>
      </c>
      <c r="I13" s="128">
        <f>_xlfn.XLOOKUP(E13,'All Products'!D:D,'All Products'!H:H)</f>
        <v>258.25</v>
      </c>
      <c r="J13" s="135">
        <f>ROUNDUP(I13*Order_Quote!$L$15,2)</f>
        <v>1291.25</v>
      </c>
      <c r="K13" s="123"/>
      <c r="L13" s="79"/>
      <c r="M13" s="117">
        <f t="shared" si="0"/>
        <v>0</v>
      </c>
      <c r="O13" s="265" t="s">
        <v>76</v>
      </c>
      <c r="P13" s="265" t="s">
        <v>102</v>
      </c>
      <c r="Q13" s="265" t="s">
        <v>2094</v>
      </c>
      <c r="R13" s="265">
        <v>0</v>
      </c>
      <c r="S13" s="265" t="s">
        <v>2095</v>
      </c>
      <c r="T13" s="347">
        <v>6.33</v>
      </c>
      <c r="U13" s="348">
        <v>319.20000000000005</v>
      </c>
      <c r="V13" s="348">
        <v>53.333269333358928</v>
      </c>
    </row>
    <row r="14" spans="1:22">
      <c r="A14" s="5" t="str">
        <f>IF(K14&gt;0,COUNT($A$7:A13)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4" s="630"/>
      <c r="C14" s="630"/>
      <c r="D14" s="53" t="s">
        <v>2096</v>
      </c>
      <c r="E14" s="54">
        <v>100031307</v>
      </c>
      <c r="F14" s="55" t="s">
        <v>2097</v>
      </c>
      <c r="G14" s="282">
        <v>1</v>
      </c>
      <c r="H14" s="282">
        <v>45</v>
      </c>
      <c r="I14" s="128">
        <f>_xlfn.XLOOKUP(E14,'All Products'!D:D,'All Products'!H:H)</f>
        <v>340.33</v>
      </c>
      <c r="J14" s="135">
        <f>ROUNDUP(I14*Order_Quote!$L$15,2)</f>
        <v>1701.65</v>
      </c>
      <c r="K14" s="123"/>
      <c r="L14" s="79"/>
      <c r="M14" s="117">
        <f t="shared" si="0"/>
        <v>0</v>
      </c>
      <c r="O14" s="265" t="s">
        <v>76</v>
      </c>
      <c r="P14" s="265" t="s">
        <v>102</v>
      </c>
      <c r="Q14" s="265" t="s">
        <v>2098</v>
      </c>
      <c r="R14" s="265">
        <v>0</v>
      </c>
      <c r="S14" s="265" t="s">
        <v>2099</v>
      </c>
      <c r="T14" s="347">
        <v>8.3659999999999997</v>
      </c>
      <c r="U14" s="348">
        <v>488.88000000000005</v>
      </c>
      <c r="V14" s="348">
        <v>53.333269333358928</v>
      </c>
    </row>
    <row r="15" spans="1:22">
      <c r="A15" s="5" t="str">
        <f>IF(K15&gt;0,COUNT($A$7:A14)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5" s="630"/>
      <c r="C15" s="630"/>
      <c r="D15" s="53" t="s">
        <v>2100</v>
      </c>
      <c r="E15" s="54">
        <v>100029288</v>
      </c>
      <c r="F15" s="55" t="s">
        <v>2101</v>
      </c>
      <c r="G15" s="282">
        <v>1</v>
      </c>
      <c r="H15" s="282">
        <v>34</v>
      </c>
      <c r="I15" s="128">
        <f>_xlfn.XLOOKUP(E15,'All Products'!D:D,'All Products'!H:H)</f>
        <v>405.82</v>
      </c>
      <c r="J15" s="135">
        <f>ROUNDUP(I15*Order_Quote!$L$15,2)</f>
        <v>2029.1</v>
      </c>
      <c r="K15" s="123"/>
      <c r="L15" s="79"/>
      <c r="M15" s="118">
        <f t="shared" si="0"/>
        <v>0</v>
      </c>
      <c r="O15" s="265" t="s">
        <v>76</v>
      </c>
      <c r="P15" s="265" t="s">
        <v>102</v>
      </c>
      <c r="Q15" s="265" t="s">
        <v>2102</v>
      </c>
      <c r="R15" s="265">
        <v>0</v>
      </c>
      <c r="S15" s="265" t="s">
        <v>2103</v>
      </c>
      <c r="T15" s="347">
        <v>10.571999999999999</v>
      </c>
      <c r="U15" s="348">
        <v>364.548</v>
      </c>
      <c r="V15" s="348">
        <v>53.333269333358928</v>
      </c>
    </row>
    <row r="16" spans="1:22">
      <c r="A16" s="5" t="str">
        <f>IF(K16&gt;0,COUNT($A$7:A15)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6" s="630"/>
      <c r="C16" s="630"/>
      <c r="D16" s="53" t="s">
        <v>2104</v>
      </c>
      <c r="E16" s="54">
        <v>100029266</v>
      </c>
      <c r="F16" s="55" t="s">
        <v>2105</v>
      </c>
      <c r="G16" s="282">
        <v>1</v>
      </c>
      <c r="H16" s="282">
        <v>24</v>
      </c>
      <c r="I16" s="128">
        <f>_xlfn.XLOOKUP(E16,'All Products'!D:D,'All Products'!H:H)</f>
        <v>707.59</v>
      </c>
      <c r="J16" s="135">
        <f>ROUNDUP(I16*Order_Quote!$L$15,2)</f>
        <v>3537.95</v>
      </c>
      <c r="K16" s="123"/>
      <c r="L16" s="79"/>
      <c r="M16" s="117">
        <f t="shared" si="0"/>
        <v>0</v>
      </c>
      <c r="O16" s="265" t="s">
        <v>76</v>
      </c>
      <c r="P16" s="265" t="s">
        <v>102</v>
      </c>
      <c r="Q16" s="265" t="s">
        <v>2106</v>
      </c>
      <c r="R16" s="265">
        <v>0</v>
      </c>
      <c r="S16" s="265" t="s">
        <v>2107</v>
      </c>
      <c r="T16" s="347">
        <v>10.256</v>
      </c>
      <c r="U16" s="348">
        <v>246.14400000000001</v>
      </c>
      <c r="V16" s="348">
        <v>53.333269333358928</v>
      </c>
    </row>
    <row r="17" spans="1:22">
      <c r="A17" s="5" t="str">
        <f>IF(K17&gt;0,COUNT($A$7:A16)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7" s="630"/>
      <c r="C17" s="630"/>
      <c r="D17" s="53" t="s">
        <v>2108</v>
      </c>
      <c r="E17" s="54">
        <v>100029318</v>
      </c>
      <c r="F17" s="55" t="s">
        <v>2109</v>
      </c>
      <c r="G17" s="282">
        <v>1</v>
      </c>
      <c r="H17" s="282">
        <v>33</v>
      </c>
      <c r="I17" s="128">
        <f>_xlfn.XLOOKUP(E17,'All Products'!D:D,'All Products'!H:H)</f>
        <v>1035.2</v>
      </c>
      <c r="J17" s="135">
        <f>ROUNDUP(I17*Order_Quote!$L$15,2)</f>
        <v>5176</v>
      </c>
      <c r="K17" s="123"/>
      <c r="L17" s="79"/>
      <c r="M17" s="117">
        <f t="shared" si="0"/>
        <v>0</v>
      </c>
      <c r="O17" s="265" t="s">
        <v>359</v>
      </c>
      <c r="P17" s="265" t="s">
        <v>102</v>
      </c>
      <c r="Q17" s="265" t="s">
        <v>2110</v>
      </c>
      <c r="R17" s="265">
        <v>0</v>
      </c>
      <c r="S17" s="265" t="s">
        <v>2111</v>
      </c>
      <c r="T17" s="347">
        <v>11.08</v>
      </c>
      <c r="U17" s="348">
        <v>365.64</v>
      </c>
      <c r="V17" s="348">
        <v>53.333269333358928</v>
      </c>
    </row>
    <row r="18" spans="1:22">
      <c r="A18" s="5" t="str">
        <f>IF(K18&gt;0,COUNT($A$7:A17)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8" s="630"/>
      <c r="C18" s="630"/>
      <c r="D18" s="53" t="s">
        <v>2112</v>
      </c>
      <c r="E18" s="54">
        <v>100029307</v>
      </c>
      <c r="F18" s="55" t="s">
        <v>2113</v>
      </c>
      <c r="G18" s="282">
        <v>1</v>
      </c>
      <c r="H18" s="282">
        <v>22</v>
      </c>
      <c r="I18" s="128">
        <f>_xlfn.XLOOKUP(E18,'All Products'!D:D,'All Products'!H:H)</f>
        <v>1052.3399999999999</v>
      </c>
      <c r="J18" s="135">
        <f>ROUNDUP(I18*Order_Quote!$L$15,2)</f>
        <v>5261.7</v>
      </c>
      <c r="K18" s="123"/>
      <c r="L18" s="79"/>
      <c r="M18" s="117">
        <f t="shared" si="0"/>
        <v>0</v>
      </c>
      <c r="O18" s="265" t="s">
        <v>76</v>
      </c>
      <c r="P18" s="265" t="s">
        <v>102</v>
      </c>
      <c r="Q18" s="265" t="s">
        <v>2114</v>
      </c>
      <c r="R18" s="265">
        <v>0</v>
      </c>
      <c r="S18" s="265" t="s">
        <v>2115</v>
      </c>
      <c r="T18" s="347">
        <v>16.096</v>
      </c>
      <c r="U18" s="348">
        <v>466.51</v>
      </c>
      <c r="V18" s="348">
        <v>53.333269333358928</v>
      </c>
    </row>
    <row r="19" spans="1:22">
      <c r="A19" s="5" t="str">
        <f>IF(K19&gt;0,COUNT($A$7:A18)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9" s="630"/>
      <c r="C19" s="630"/>
      <c r="D19" s="53" t="s">
        <v>2116</v>
      </c>
      <c r="E19" s="54">
        <v>300003477</v>
      </c>
      <c r="F19" s="55" t="s">
        <v>2117</v>
      </c>
      <c r="G19" s="282">
        <v>1</v>
      </c>
      <c r="H19" s="282">
        <v>10</v>
      </c>
      <c r="I19" s="128">
        <f>_xlfn.XLOOKUP(E19,'All Products'!D:D,'All Products'!H:H)</f>
        <v>5949.65</v>
      </c>
      <c r="J19" s="135">
        <f>ROUNDUP(I19*Order_Quote!$L$15,2)</f>
        <v>29748.25</v>
      </c>
      <c r="K19" s="123"/>
      <c r="L19" s="79"/>
      <c r="M19" s="118">
        <f t="shared" si="0"/>
        <v>0</v>
      </c>
      <c r="O19" s="265" t="s">
        <v>1693</v>
      </c>
      <c r="P19" s="265" t="s">
        <v>77</v>
      </c>
      <c r="Q19" s="265" t="s">
        <v>2118</v>
      </c>
      <c r="R19" s="265">
        <v>0</v>
      </c>
      <c r="S19" s="265">
        <v>0</v>
      </c>
      <c r="T19" s="347">
        <v>20.48</v>
      </c>
      <c r="U19" s="348">
        <v>20.48</v>
      </c>
      <c r="V19" s="348" t="s">
        <v>1205</v>
      </c>
    </row>
    <row r="20" spans="1:22">
      <c r="A20" s="5" t="str">
        <f>IF(K20&gt;0,COUNT($A$7:A19)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0" s="630"/>
      <c r="C20" s="630"/>
      <c r="D20" s="53" t="s">
        <v>2119</v>
      </c>
      <c r="E20" s="54">
        <v>300005853</v>
      </c>
      <c r="F20" s="55" t="s">
        <v>2120</v>
      </c>
      <c r="G20" s="282">
        <v>1</v>
      </c>
      <c r="H20" s="282">
        <v>16</v>
      </c>
      <c r="I20" s="128">
        <f>_xlfn.XLOOKUP(E20,'All Products'!D:D,'All Products'!H:H)</f>
        <v>3018.57</v>
      </c>
      <c r="J20" s="135">
        <f>ROUNDUP(I20*Order_Quote!$L$15,2)</f>
        <v>15092.85</v>
      </c>
      <c r="K20" s="123"/>
      <c r="L20" s="79"/>
      <c r="M20" s="117">
        <f t="shared" si="0"/>
        <v>0</v>
      </c>
      <c r="O20" s="265" t="s">
        <v>1693</v>
      </c>
      <c r="P20" s="265" t="s">
        <v>77</v>
      </c>
      <c r="Q20" s="265" t="s">
        <v>2121</v>
      </c>
      <c r="R20" s="265">
        <v>0</v>
      </c>
      <c r="S20" s="265">
        <v>0</v>
      </c>
      <c r="T20" s="347">
        <v>19.100000000000001</v>
      </c>
      <c r="U20" s="348">
        <v>19.100000000000001</v>
      </c>
      <c r="V20" s="348" t="s">
        <v>1205</v>
      </c>
    </row>
    <row r="21" spans="1:22">
      <c r="A21" s="5" t="str">
        <f>IF(K21&gt;0,COUNT($A$7:A20)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1" s="630"/>
      <c r="C21" s="630"/>
      <c r="D21" s="53" t="s">
        <v>2122</v>
      </c>
      <c r="E21" s="54">
        <v>100029308</v>
      </c>
      <c r="F21" s="55" t="s">
        <v>2123</v>
      </c>
      <c r="G21" s="282">
        <v>1</v>
      </c>
      <c r="H21" s="282">
        <v>16</v>
      </c>
      <c r="I21" s="128">
        <f>_xlfn.XLOOKUP(E21,'All Products'!D:D,'All Products'!H:H)</f>
        <v>1537.03</v>
      </c>
      <c r="J21" s="135">
        <f>ROUNDUP(I21*Order_Quote!$L$15,2)</f>
        <v>7685.15</v>
      </c>
      <c r="K21" s="123"/>
      <c r="L21" s="79"/>
      <c r="M21" s="117">
        <f t="shared" si="0"/>
        <v>0</v>
      </c>
      <c r="O21" s="265" t="s">
        <v>76</v>
      </c>
      <c r="P21" s="265" t="s">
        <v>102</v>
      </c>
      <c r="Q21" s="265" t="s">
        <v>2124</v>
      </c>
      <c r="R21" s="265">
        <v>0</v>
      </c>
      <c r="S21" s="265" t="s">
        <v>2125</v>
      </c>
      <c r="T21" s="347">
        <v>26.521999999999998</v>
      </c>
      <c r="U21" s="348">
        <v>424.35199999999998</v>
      </c>
      <c r="V21" s="348">
        <v>53.333269333358928</v>
      </c>
    </row>
    <row r="22" spans="1:22">
      <c r="A22" s="5" t="str">
        <f>IF(K22&gt;0,COUNT($A$7:A21)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2" s="630"/>
      <c r="C22" s="630"/>
      <c r="D22" s="53" t="s">
        <v>2126</v>
      </c>
      <c r="E22" s="54">
        <v>300003535</v>
      </c>
      <c r="F22" s="55" t="s">
        <v>2127</v>
      </c>
      <c r="G22" s="282">
        <v>1</v>
      </c>
      <c r="H22" s="282">
        <v>6</v>
      </c>
      <c r="I22" s="128">
        <f>_xlfn.XLOOKUP(E22,'All Products'!D:D,'All Products'!H:H)</f>
        <v>6360.05</v>
      </c>
      <c r="J22" s="135">
        <f>ROUNDUP(I22*Order_Quote!$L$15,2)</f>
        <v>31800.25</v>
      </c>
      <c r="K22" s="123"/>
      <c r="L22" s="79"/>
      <c r="M22" s="117">
        <f t="shared" si="0"/>
        <v>0</v>
      </c>
      <c r="O22" s="265" t="s">
        <v>1693</v>
      </c>
      <c r="P22" s="265" t="s">
        <v>77</v>
      </c>
      <c r="Q22" s="265" t="s">
        <v>2128</v>
      </c>
      <c r="R22" s="265">
        <v>0</v>
      </c>
      <c r="S22" s="265">
        <v>0</v>
      </c>
      <c r="T22" s="347">
        <v>37.619999999999997</v>
      </c>
      <c r="U22" s="348">
        <v>37.619999999999997</v>
      </c>
      <c r="V22" s="348" t="s">
        <v>1205</v>
      </c>
    </row>
    <row r="23" spans="1:22">
      <c r="A23" s="5" t="str">
        <f>IF(K23&gt;0,COUNT($A$7:A22)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3" s="630"/>
      <c r="C23" s="630"/>
      <c r="D23" s="53" t="s">
        <v>2129</v>
      </c>
      <c r="E23" s="54">
        <v>300005769</v>
      </c>
      <c r="F23" s="55" t="s">
        <v>2130</v>
      </c>
      <c r="G23" s="282">
        <v>10</v>
      </c>
      <c r="H23" s="282">
        <v>120</v>
      </c>
      <c r="I23" s="128">
        <f>_xlfn.XLOOKUP(E23,'All Products'!D:D,'All Products'!H:H)</f>
        <v>213.9</v>
      </c>
      <c r="J23" s="135">
        <f>ROUNDUP(I23*Order_Quote!$L$15,2)</f>
        <v>1069.5</v>
      </c>
      <c r="K23" s="127"/>
      <c r="L23" s="79"/>
      <c r="M23" s="117">
        <f t="shared" si="0"/>
        <v>0</v>
      </c>
      <c r="O23" s="265" t="s">
        <v>359</v>
      </c>
      <c r="P23" s="265" t="s">
        <v>77</v>
      </c>
      <c r="Q23" s="265" t="s">
        <v>2131</v>
      </c>
      <c r="R23" s="265">
        <v>0</v>
      </c>
      <c r="S23" s="265">
        <v>0</v>
      </c>
      <c r="T23" s="347">
        <v>1.466</v>
      </c>
      <c r="U23" s="348">
        <v>14.66</v>
      </c>
      <c r="V23" s="348" t="s">
        <v>1205</v>
      </c>
    </row>
    <row r="24" spans="1:22">
      <c r="A24" s="5" t="str">
        <f>IF(K24&gt;0,COUNT($A$7:A23)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4" s="630"/>
      <c r="C24" s="630"/>
      <c r="D24" s="53" t="s">
        <v>2132</v>
      </c>
      <c r="E24" s="54">
        <v>300005868</v>
      </c>
      <c r="F24" s="55" t="s">
        <v>2133</v>
      </c>
      <c r="G24" s="282">
        <v>1</v>
      </c>
      <c r="H24" s="282">
        <v>75</v>
      </c>
      <c r="I24" s="128">
        <f>_xlfn.XLOOKUP(E24,'All Products'!D:D,'All Products'!H:H)</f>
        <v>453.61</v>
      </c>
      <c r="J24" s="135">
        <f>ROUNDUP(I24*Order_Quote!$L$15,2)</f>
        <v>2268.0500000000002</v>
      </c>
      <c r="K24" s="123"/>
      <c r="L24" s="79"/>
      <c r="M24" s="117">
        <f t="shared" si="0"/>
        <v>0</v>
      </c>
      <c r="O24" s="265" t="s">
        <v>1693</v>
      </c>
      <c r="P24" s="265" t="s">
        <v>77</v>
      </c>
      <c r="Q24" s="265" t="s">
        <v>2134</v>
      </c>
      <c r="R24" s="265">
        <v>0</v>
      </c>
      <c r="S24" s="265">
        <v>0</v>
      </c>
      <c r="T24" s="347">
        <v>3.355</v>
      </c>
      <c r="U24" s="348">
        <v>3.355</v>
      </c>
      <c r="V24" s="348" t="s">
        <v>1205</v>
      </c>
    </row>
    <row r="25" spans="1:22">
      <c r="A25" s="5" t="str">
        <f>IF(K25&gt;0,COUNT($A$7:A24)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5" s="630"/>
      <c r="C25" s="630"/>
      <c r="D25" s="53" t="s">
        <v>2135</v>
      </c>
      <c r="E25" s="54">
        <v>300005771</v>
      </c>
      <c r="F25" s="55" t="s">
        <v>2136</v>
      </c>
      <c r="G25" s="282">
        <v>1</v>
      </c>
      <c r="H25" s="282">
        <v>50</v>
      </c>
      <c r="I25" s="128">
        <f>_xlfn.XLOOKUP(E25,'All Products'!D:D,'All Products'!H:H)</f>
        <v>560.38</v>
      </c>
      <c r="J25" s="135">
        <f>ROUNDUP(I25*Order_Quote!$L$15,2)</f>
        <v>2801.9</v>
      </c>
      <c r="K25" s="123"/>
      <c r="L25" s="79"/>
      <c r="M25" s="117">
        <f t="shared" si="0"/>
        <v>0</v>
      </c>
      <c r="O25" s="265" t="s">
        <v>1693</v>
      </c>
      <c r="P25" s="265" t="s">
        <v>77</v>
      </c>
      <c r="Q25" s="265" t="s">
        <v>2137</v>
      </c>
      <c r="R25" s="265">
        <v>0</v>
      </c>
      <c r="S25" s="265">
        <v>0</v>
      </c>
      <c r="T25" s="347">
        <v>4.5460000000000003</v>
      </c>
      <c r="U25" s="348">
        <v>4.5460000000000003</v>
      </c>
      <c r="V25" s="348" t="s">
        <v>1205</v>
      </c>
    </row>
    <row r="26" spans="1:22">
      <c r="A26" s="5" t="str">
        <f>IF(K26&gt;0,COUNT($A$7:A25)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6" s="630"/>
      <c r="C26" s="630"/>
      <c r="D26" s="53" t="s">
        <v>2138</v>
      </c>
      <c r="E26" s="54">
        <v>300005773</v>
      </c>
      <c r="F26" s="55" t="s">
        <v>2139</v>
      </c>
      <c r="G26" s="282">
        <v>1</v>
      </c>
      <c r="H26" s="282">
        <v>45</v>
      </c>
      <c r="I26" s="128">
        <f>_xlfn.XLOOKUP(E26,'All Products'!D:D,'All Products'!H:H)</f>
        <v>834.67</v>
      </c>
      <c r="J26" s="135">
        <f>ROUNDUP(I26*Order_Quote!$L$15,2)</f>
        <v>4173.3500000000004</v>
      </c>
      <c r="K26" s="123"/>
      <c r="L26" s="79"/>
      <c r="M26" s="118">
        <f t="shared" si="0"/>
        <v>0</v>
      </c>
      <c r="O26" s="265" t="s">
        <v>1693</v>
      </c>
      <c r="P26" s="265" t="s">
        <v>77</v>
      </c>
      <c r="Q26" s="265" t="s">
        <v>2140</v>
      </c>
      <c r="R26" s="265">
        <v>0</v>
      </c>
      <c r="S26" s="265">
        <v>0</v>
      </c>
      <c r="T26" s="347">
        <v>6.21</v>
      </c>
      <c r="U26" s="348">
        <v>6.21</v>
      </c>
      <c r="V26" s="348" t="s">
        <v>1205</v>
      </c>
    </row>
    <row r="27" spans="1:22">
      <c r="A27" s="5" t="str">
        <f>IF(K27&gt;0,COUNT($A$7:A26)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7" s="630"/>
      <c r="C27" s="630"/>
      <c r="D27" s="53" t="s">
        <v>2141</v>
      </c>
      <c r="E27" s="54">
        <v>300005776</v>
      </c>
      <c r="F27" s="55" t="s">
        <v>2142</v>
      </c>
      <c r="G27" s="282">
        <v>1</v>
      </c>
      <c r="H27" s="282">
        <v>34</v>
      </c>
      <c r="I27" s="128">
        <f>_xlfn.XLOOKUP(E27,'All Products'!D:D,'All Products'!H:H)</f>
        <v>809.48</v>
      </c>
      <c r="J27" s="135">
        <f>ROUNDUP(I27*Order_Quote!$L$15,2)</f>
        <v>4047.4</v>
      </c>
      <c r="K27" s="123"/>
      <c r="L27" s="79"/>
      <c r="M27" s="117">
        <f t="shared" si="0"/>
        <v>0</v>
      </c>
      <c r="O27" s="265" t="s">
        <v>1693</v>
      </c>
      <c r="P27" s="265" t="s">
        <v>77</v>
      </c>
      <c r="Q27" s="265" t="s">
        <v>2143</v>
      </c>
      <c r="R27" s="265">
        <v>0</v>
      </c>
      <c r="S27" s="265">
        <v>0</v>
      </c>
      <c r="T27" s="347">
        <v>8.5839999999999996</v>
      </c>
      <c r="U27" s="348">
        <v>8.5839999999999996</v>
      </c>
      <c r="V27" s="348" t="s">
        <v>1205</v>
      </c>
    </row>
    <row r="28" spans="1:22">
      <c r="A28" s="5" t="str">
        <f>IF(K28&gt;0,COUNT($A$7:A27)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8" s="630"/>
      <c r="C28" s="630"/>
      <c r="D28" s="53" t="s">
        <v>2144</v>
      </c>
      <c r="E28" s="54">
        <v>100029403</v>
      </c>
      <c r="F28" s="55" t="s">
        <v>2145</v>
      </c>
      <c r="G28" s="282">
        <v>1</v>
      </c>
      <c r="H28" s="282">
        <v>60</v>
      </c>
      <c r="I28" s="128">
        <f>_xlfn.XLOOKUP(E28,'All Products'!D:D,'All Products'!H:H)</f>
        <v>317.74</v>
      </c>
      <c r="J28" s="135">
        <f>ROUNDUP(I28*Order_Quote!$L$15,2)</f>
        <v>1588.7</v>
      </c>
      <c r="K28" s="127"/>
      <c r="L28" s="79"/>
      <c r="M28" s="118">
        <f t="shared" si="0"/>
        <v>0</v>
      </c>
      <c r="O28" s="265" t="s">
        <v>76</v>
      </c>
      <c r="P28" s="265" t="s">
        <v>102</v>
      </c>
      <c r="Q28" s="265" t="s">
        <v>2146</v>
      </c>
      <c r="R28" s="265">
        <v>0</v>
      </c>
      <c r="S28" s="265" t="s">
        <v>2147</v>
      </c>
      <c r="T28" s="347">
        <v>4.1639999999999997</v>
      </c>
      <c r="U28" s="348">
        <v>249.83999999999997</v>
      </c>
      <c r="V28" s="348">
        <v>53.333269333358928</v>
      </c>
    </row>
    <row r="29" spans="1:22">
      <c r="A29" s="5" t="str">
        <f>IF(K29&gt;0,COUNT($A$7:A28)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29" s="630"/>
      <c r="C29" s="630"/>
      <c r="D29" s="53" t="s">
        <v>2148</v>
      </c>
      <c r="E29" s="54">
        <v>300005866</v>
      </c>
      <c r="F29" s="55" t="s">
        <v>2149</v>
      </c>
      <c r="G29" s="282">
        <v>1</v>
      </c>
      <c r="H29" s="282">
        <v>34</v>
      </c>
      <c r="I29" s="128">
        <f>_xlfn.XLOOKUP(E29,'All Products'!D:D,'All Products'!H:H)</f>
        <v>2070.2600000000002</v>
      </c>
      <c r="J29" s="135">
        <f>ROUNDUP(I29*Order_Quote!$L$15,2)</f>
        <v>10351.299999999999</v>
      </c>
      <c r="K29" s="123"/>
      <c r="L29" s="79"/>
      <c r="M29" s="117">
        <f t="shared" si="0"/>
        <v>0</v>
      </c>
      <c r="O29" s="265" t="s">
        <v>1693</v>
      </c>
      <c r="P29" s="265" t="s">
        <v>77</v>
      </c>
      <c r="Q29" s="265" t="s">
        <v>2150</v>
      </c>
      <c r="R29" s="265">
        <v>0</v>
      </c>
      <c r="S29" s="265">
        <v>0</v>
      </c>
      <c r="T29" s="347">
        <v>5.92</v>
      </c>
      <c r="U29" s="348">
        <v>5.92</v>
      </c>
      <c r="V29" s="348" t="s">
        <v>1205</v>
      </c>
    </row>
    <row r="30" spans="1:22">
      <c r="A30" s="5" t="str">
        <f>IF(K30&gt;0,COUNT($A$7:A29)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0" s="630"/>
      <c r="C30" s="630"/>
      <c r="D30" s="53" t="s">
        <v>2151</v>
      </c>
      <c r="E30" s="54">
        <v>300005874</v>
      </c>
      <c r="F30" s="55" t="s">
        <v>2152</v>
      </c>
      <c r="G30" s="282">
        <v>1</v>
      </c>
      <c r="H30" s="282">
        <v>26</v>
      </c>
      <c r="I30" s="128">
        <f>_xlfn.XLOOKUP(E30,'All Products'!D:D,'All Products'!H:H)</f>
        <v>1918.03</v>
      </c>
      <c r="J30" s="135">
        <f>ROUNDUP(I30*Order_Quote!$L$15,2)</f>
        <v>9590.15</v>
      </c>
      <c r="K30" s="123"/>
      <c r="L30" s="79"/>
      <c r="M30" s="117">
        <f t="shared" si="0"/>
        <v>0</v>
      </c>
      <c r="O30" s="265" t="s">
        <v>1693</v>
      </c>
      <c r="P30" s="265" t="s">
        <v>77</v>
      </c>
      <c r="Q30" s="265" t="s">
        <v>2153</v>
      </c>
      <c r="R30" s="265">
        <v>0</v>
      </c>
      <c r="S30" s="265">
        <v>0</v>
      </c>
      <c r="T30" s="347">
        <v>7.65</v>
      </c>
      <c r="U30" s="348">
        <v>7.65</v>
      </c>
      <c r="V30" s="348" t="s">
        <v>1205</v>
      </c>
    </row>
    <row r="31" spans="1:22">
      <c r="A31" s="5" t="str">
        <f>IF(K31&gt;0,COUNT($A$7:A30)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1" s="630"/>
      <c r="C31" s="630"/>
      <c r="D31" s="53" t="s">
        <v>2154</v>
      </c>
      <c r="E31" s="54">
        <v>100029270</v>
      </c>
      <c r="F31" s="55" t="s">
        <v>2155</v>
      </c>
      <c r="G31" s="282">
        <v>10</v>
      </c>
      <c r="H31" s="282">
        <v>180</v>
      </c>
      <c r="I31" s="128">
        <f>_xlfn.XLOOKUP(E31,'All Products'!D:D,'All Products'!H:H)</f>
        <v>105.73</v>
      </c>
      <c r="J31" s="135">
        <f>ROUNDUP(I31*Order_Quote!$L$15,2)</f>
        <v>528.65</v>
      </c>
      <c r="K31" s="127"/>
      <c r="L31" s="79"/>
      <c r="M31" s="117">
        <f t="shared" si="0"/>
        <v>0</v>
      </c>
      <c r="O31" s="265" t="s">
        <v>76</v>
      </c>
      <c r="P31" s="265" t="s">
        <v>102</v>
      </c>
      <c r="Q31" s="265" t="s">
        <v>2156</v>
      </c>
      <c r="R31" s="265">
        <v>0</v>
      </c>
      <c r="S31" s="265" t="s">
        <v>2157</v>
      </c>
      <c r="T31" s="347">
        <v>1.8260000000000001</v>
      </c>
      <c r="U31" s="348">
        <v>20.11</v>
      </c>
      <c r="V31" s="348">
        <v>2.361325291407383</v>
      </c>
    </row>
    <row r="32" spans="1:22">
      <c r="A32" s="5" t="str">
        <f>IF(K32&gt;0,COUNT($A$7:A31)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2" s="630"/>
      <c r="C32" s="630"/>
      <c r="D32" s="53" t="s">
        <v>2158</v>
      </c>
      <c r="E32" s="54">
        <v>100029286</v>
      </c>
      <c r="F32" s="55" t="s">
        <v>2159</v>
      </c>
      <c r="G32" s="282">
        <v>1</v>
      </c>
      <c r="H32" s="282">
        <v>100</v>
      </c>
      <c r="I32" s="128">
        <f>_xlfn.XLOOKUP(E32,'All Products'!D:D,'All Products'!H:H)</f>
        <v>221.5</v>
      </c>
      <c r="J32" s="135">
        <f>ROUNDUP(I32*Order_Quote!$L$15,2)</f>
        <v>1107.5</v>
      </c>
      <c r="K32" s="123"/>
      <c r="L32" s="79"/>
      <c r="M32" s="117">
        <f t="shared" si="0"/>
        <v>0</v>
      </c>
      <c r="O32" s="265" t="s">
        <v>359</v>
      </c>
      <c r="P32" s="265" t="s">
        <v>102</v>
      </c>
      <c r="Q32" s="265" t="s">
        <v>2160</v>
      </c>
      <c r="R32" s="265">
        <v>0</v>
      </c>
      <c r="S32" s="265" t="s">
        <v>2161</v>
      </c>
      <c r="T32" s="347">
        <v>2.8620000000000001</v>
      </c>
      <c r="U32" s="348">
        <v>286.2</v>
      </c>
      <c r="V32" s="348">
        <v>53.333269333358928</v>
      </c>
    </row>
    <row r="33" spans="1:22">
      <c r="A33" s="5" t="str">
        <f>IF(K33&gt;0,COUNT($A$7:A32)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3" s="630"/>
      <c r="C33" s="630"/>
      <c r="D33" s="53" t="s">
        <v>2162</v>
      </c>
      <c r="E33" s="54">
        <v>100029267</v>
      </c>
      <c r="F33" s="55" t="s">
        <v>2163</v>
      </c>
      <c r="G33" s="282">
        <v>1</v>
      </c>
      <c r="H33" s="282">
        <v>75</v>
      </c>
      <c r="I33" s="128">
        <f>_xlfn.XLOOKUP(E33,'All Products'!D:D,'All Products'!H:H)</f>
        <v>226.43</v>
      </c>
      <c r="J33" s="135">
        <f>ROUNDUP(I33*Order_Quote!$L$15,2)</f>
        <v>1132.1500000000001</v>
      </c>
      <c r="K33" s="123"/>
      <c r="L33" s="79"/>
      <c r="M33" s="117">
        <f t="shared" si="0"/>
        <v>0</v>
      </c>
      <c r="O33" s="265" t="s">
        <v>76</v>
      </c>
      <c r="P33" s="265" t="s">
        <v>102</v>
      </c>
      <c r="Q33" s="265" t="s">
        <v>2164</v>
      </c>
      <c r="R33" s="265">
        <v>0</v>
      </c>
      <c r="S33" s="265" t="s">
        <v>2165</v>
      </c>
      <c r="T33" s="347">
        <v>4.8140000000000001</v>
      </c>
      <c r="U33" s="348">
        <v>471.82500000000005</v>
      </c>
      <c r="V33" s="348">
        <v>53.333269333358928</v>
      </c>
    </row>
    <row r="34" spans="1:22">
      <c r="A34" s="5" t="str">
        <f>IF(K34&gt;0,COUNT($A$7:A33)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4" s="630"/>
      <c r="C34" s="630"/>
      <c r="D34" s="53" t="s">
        <v>2166</v>
      </c>
      <c r="E34" s="54">
        <v>100029282</v>
      </c>
      <c r="F34" s="55" t="s">
        <v>2167</v>
      </c>
      <c r="G34" s="282">
        <v>1</v>
      </c>
      <c r="H34" s="282">
        <v>60</v>
      </c>
      <c r="I34" s="128">
        <f>_xlfn.XLOOKUP(E34,'All Products'!D:D,'All Products'!H:H)</f>
        <v>342.18</v>
      </c>
      <c r="J34" s="135">
        <f>ROUNDUP(I34*Order_Quote!$L$15,2)</f>
        <v>1710.9</v>
      </c>
      <c r="K34" s="123"/>
      <c r="L34" s="79"/>
      <c r="M34" s="118">
        <f t="shared" si="0"/>
        <v>0</v>
      </c>
      <c r="O34" s="265" t="s">
        <v>76</v>
      </c>
      <c r="P34" s="265" t="s">
        <v>102</v>
      </c>
      <c r="Q34" s="265" t="s">
        <v>2168</v>
      </c>
      <c r="R34" s="265">
        <v>0</v>
      </c>
      <c r="S34" s="265" t="s">
        <v>2169</v>
      </c>
      <c r="T34" s="347">
        <v>7.55</v>
      </c>
      <c r="U34" s="348">
        <v>314.06</v>
      </c>
      <c r="V34" s="348">
        <v>53.333269333358928</v>
      </c>
    </row>
    <row r="35" spans="1:22">
      <c r="A35" s="5" t="str">
        <f>IF(K35&gt;0,COUNT($A$7:A34)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5" s="630"/>
      <c r="C35" s="630"/>
      <c r="D35" s="53" t="s">
        <v>2170</v>
      </c>
      <c r="E35" s="54">
        <v>100029283</v>
      </c>
      <c r="F35" s="55" t="s">
        <v>2171</v>
      </c>
      <c r="G35" s="282">
        <v>1</v>
      </c>
      <c r="H35" s="282">
        <v>48</v>
      </c>
      <c r="I35" s="128">
        <f>_xlfn.XLOOKUP(E35,'All Products'!D:D,'All Products'!H:H)</f>
        <v>354.04</v>
      </c>
      <c r="J35" s="135">
        <f>ROUNDUP(I35*Order_Quote!$L$15,2)</f>
        <v>1770.2</v>
      </c>
      <c r="K35" s="123"/>
      <c r="L35" s="79"/>
      <c r="M35" s="117">
        <f t="shared" si="0"/>
        <v>0</v>
      </c>
      <c r="O35" s="265" t="s">
        <v>76</v>
      </c>
      <c r="P35" s="265" t="s">
        <v>102</v>
      </c>
      <c r="Q35" s="265" t="s">
        <v>2172</v>
      </c>
      <c r="R35" s="265">
        <v>0</v>
      </c>
      <c r="S35" s="265" t="s">
        <v>2173</v>
      </c>
      <c r="T35" s="347">
        <v>9.02</v>
      </c>
      <c r="U35" s="348">
        <v>481.54499999999996</v>
      </c>
      <c r="V35" s="348">
        <v>53.333269333358928</v>
      </c>
    </row>
    <row r="36" spans="1:22">
      <c r="A36" s="5" t="str">
        <f>IF(K36&gt;0,COUNT($A$7:A35)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6" s="630"/>
      <c r="C36" s="630"/>
      <c r="D36" s="53" t="s">
        <v>2174</v>
      </c>
      <c r="E36" s="54">
        <v>100031304</v>
      </c>
      <c r="F36" s="55" t="s">
        <v>2175</v>
      </c>
      <c r="G36" s="282">
        <v>1</v>
      </c>
      <c r="H36" s="282">
        <v>38</v>
      </c>
      <c r="I36" s="128">
        <f>_xlfn.XLOOKUP(E36,'All Products'!D:D,'All Products'!H:H)</f>
        <v>502.42</v>
      </c>
      <c r="J36" s="135">
        <f>ROUNDUP(I36*Order_Quote!$L$15,2)</f>
        <v>2512.1</v>
      </c>
      <c r="K36" s="123"/>
      <c r="L36" s="79"/>
      <c r="M36" s="117">
        <f t="shared" si="0"/>
        <v>0</v>
      </c>
      <c r="O36" s="265" t="s">
        <v>76</v>
      </c>
      <c r="P36" s="265" t="s">
        <v>102</v>
      </c>
      <c r="Q36" s="265" t="s">
        <v>2176</v>
      </c>
      <c r="R36" s="265">
        <v>0</v>
      </c>
      <c r="S36" s="265" t="s">
        <v>2177</v>
      </c>
      <c r="T36" s="347">
        <v>7.3659999999999997</v>
      </c>
      <c r="U36" s="348">
        <v>279.90800000000002</v>
      </c>
      <c r="V36" s="348">
        <v>53.333269333358928</v>
      </c>
    </row>
    <row r="37" spans="1:22">
      <c r="A37" s="5" t="str">
        <f>IF(K37&gt;0,COUNT($A$7:A36)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7" s="630"/>
      <c r="C37" s="630"/>
      <c r="D37" s="53" t="s">
        <v>2178</v>
      </c>
      <c r="E37" s="54">
        <v>300003479</v>
      </c>
      <c r="F37" s="55" t="s">
        <v>2179</v>
      </c>
      <c r="G37" s="282">
        <v>2</v>
      </c>
      <c r="H37" s="282">
        <v>12</v>
      </c>
      <c r="I37" s="128">
        <f>_xlfn.XLOOKUP(E37,'All Products'!D:D,'All Products'!H:H)</f>
        <v>2049.6799999999998</v>
      </c>
      <c r="J37" s="135">
        <f>ROUNDUP(I37*Order_Quote!$L$15,2)</f>
        <v>10248.4</v>
      </c>
      <c r="K37" s="123"/>
      <c r="L37" s="79"/>
      <c r="M37" s="118">
        <f t="shared" si="0"/>
        <v>0</v>
      </c>
      <c r="O37" s="265" t="s">
        <v>1693</v>
      </c>
      <c r="P37" s="265" t="s">
        <v>77</v>
      </c>
      <c r="Q37" s="265" t="s">
        <v>2180</v>
      </c>
      <c r="R37" s="265">
        <v>0</v>
      </c>
      <c r="S37" s="265">
        <v>0</v>
      </c>
      <c r="T37" s="347">
        <v>12.579000000000001</v>
      </c>
      <c r="U37" s="348">
        <v>25.158000000000001</v>
      </c>
      <c r="V37" s="348" t="s">
        <v>1205</v>
      </c>
    </row>
    <row r="38" spans="1:22">
      <c r="A38" s="5" t="str">
        <f>IF(K38&gt;0,COUNT($A$7:A37)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8" s="630"/>
      <c r="C38" s="630"/>
      <c r="D38" s="53" t="s">
        <v>2181</v>
      </c>
      <c r="E38" s="54">
        <v>300005848</v>
      </c>
      <c r="F38" s="55" t="s">
        <v>2182</v>
      </c>
      <c r="G38" s="282">
        <v>1</v>
      </c>
      <c r="H38" s="282">
        <v>31</v>
      </c>
      <c r="I38" s="128">
        <f>_xlfn.XLOOKUP(E38,'All Products'!D:D,'All Products'!H:H)</f>
        <v>2419.6</v>
      </c>
      <c r="J38" s="135">
        <f>ROUNDUP(I38*Order_Quote!$L$15,2)</f>
        <v>12098</v>
      </c>
      <c r="K38" s="123"/>
      <c r="L38" s="79"/>
      <c r="M38" s="117">
        <f t="shared" si="0"/>
        <v>0</v>
      </c>
      <c r="O38" s="265" t="s">
        <v>1693</v>
      </c>
      <c r="P38" s="265" t="s">
        <v>77</v>
      </c>
      <c r="Q38" s="265" t="s">
        <v>2183</v>
      </c>
      <c r="R38" s="265">
        <v>0</v>
      </c>
      <c r="S38" s="265">
        <v>0</v>
      </c>
      <c r="T38" s="347">
        <v>13.54</v>
      </c>
      <c r="U38" s="348">
        <v>13.54</v>
      </c>
      <c r="V38" s="348" t="s">
        <v>1205</v>
      </c>
    </row>
    <row r="39" spans="1:22">
      <c r="A39" s="5" t="str">
        <f>IF(K39&gt;0,COUNT($A$7:A38)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39" s="630"/>
      <c r="C39" s="630"/>
      <c r="D39" s="53" t="s">
        <v>2184</v>
      </c>
      <c r="E39" s="54">
        <v>300003472</v>
      </c>
      <c r="F39" s="55" t="s">
        <v>2185</v>
      </c>
      <c r="G39" s="282">
        <v>1</v>
      </c>
      <c r="H39" s="282">
        <v>14</v>
      </c>
      <c r="I39" s="128">
        <f>_xlfn.XLOOKUP(E39,'All Products'!D:D,'All Products'!H:H)</f>
        <v>4946.12</v>
      </c>
      <c r="J39" s="135">
        <f>ROUNDUP(I39*Order_Quote!$L$15,2)</f>
        <v>24730.6</v>
      </c>
      <c r="K39" s="123"/>
      <c r="L39" s="79"/>
      <c r="M39" s="117">
        <f t="shared" ref="M39:M70" si="1">K39/G39</f>
        <v>0</v>
      </c>
      <c r="O39" s="265" t="s">
        <v>1693</v>
      </c>
      <c r="P39" s="265" t="s">
        <v>77</v>
      </c>
      <c r="Q39" s="265" t="s">
        <v>2186</v>
      </c>
      <c r="R39" s="265">
        <v>0</v>
      </c>
      <c r="S39" s="265">
        <v>0</v>
      </c>
      <c r="T39" s="347">
        <v>16.920000000000002</v>
      </c>
      <c r="U39" s="348">
        <v>16.920000000000002</v>
      </c>
      <c r="V39" s="348" t="s">
        <v>1205</v>
      </c>
    </row>
    <row r="40" spans="1:22">
      <c r="A40" s="5" t="str">
        <f>IF(K40&gt;0,COUNT($A$7:A39)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0" s="630"/>
      <c r="C40" s="630"/>
      <c r="D40" s="53" t="s">
        <v>2187</v>
      </c>
      <c r="E40" s="54">
        <v>300003537</v>
      </c>
      <c r="F40" s="55" t="s">
        <v>2188</v>
      </c>
      <c r="G40" s="282">
        <v>1</v>
      </c>
      <c r="H40" s="282">
        <v>8</v>
      </c>
      <c r="I40" s="128">
        <f>_xlfn.XLOOKUP(E40,'All Products'!D:D,'All Products'!H:H)</f>
        <v>3346.08</v>
      </c>
      <c r="J40" s="135">
        <f>ROUNDUP(I40*Order_Quote!$L$15,2)</f>
        <v>16730.400000000001</v>
      </c>
      <c r="K40" s="123"/>
      <c r="L40" s="79"/>
      <c r="M40" s="118">
        <f t="shared" si="1"/>
        <v>0</v>
      </c>
      <c r="O40" s="265" t="s">
        <v>1693</v>
      </c>
      <c r="P40" s="265" t="s">
        <v>77</v>
      </c>
      <c r="Q40" s="265" t="s">
        <v>2189</v>
      </c>
      <c r="R40" s="265">
        <v>0</v>
      </c>
      <c r="S40" s="265">
        <v>0</v>
      </c>
      <c r="T40" s="347">
        <v>20.530999999999999</v>
      </c>
      <c r="U40" s="348">
        <v>20.530999999999999</v>
      </c>
      <c r="V40" s="348" t="s">
        <v>1205</v>
      </c>
    </row>
    <row r="41" spans="1:22">
      <c r="A41" s="5" t="str">
        <f>IF(K41&gt;0,COUNT($A$7:A40)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1" s="630"/>
      <c r="C41" s="630"/>
      <c r="D41" s="53" t="s">
        <v>2190</v>
      </c>
      <c r="E41" s="54">
        <v>300005855</v>
      </c>
      <c r="F41" s="55" t="s">
        <v>2191</v>
      </c>
      <c r="G41" s="282">
        <v>1</v>
      </c>
      <c r="H41" s="282">
        <v>16</v>
      </c>
      <c r="I41" s="128">
        <f>_xlfn.XLOOKUP(E41,'All Products'!D:D,'All Products'!H:H)</f>
        <v>1345.57</v>
      </c>
      <c r="J41" s="135">
        <f>ROUNDUP(I41*Order_Quote!$L$15,2)</f>
        <v>6727.85</v>
      </c>
      <c r="K41" s="123"/>
      <c r="L41" s="79"/>
      <c r="M41" s="117">
        <f t="shared" si="1"/>
        <v>0</v>
      </c>
      <c r="O41" s="265" t="s">
        <v>1693</v>
      </c>
      <c r="P41" s="265" t="s">
        <v>77</v>
      </c>
      <c r="Q41" s="265" t="s">
        <v>2192</v>
      </c>
      <c r="R41" s="265">
        <v>0</v>
      </c>
      <c r="S41" s="265">
        <v>0</v>
      </c>
      <c r="T41" s="347">
        <v>21.12</v>
      </c>
      <c r="U41" s="348">
        <v>21.12</v>
      </c>
      <c r="V41" s="348" t="s">
        <v>1205</v>
      </c>
    </row>
    <row r="42" spans="1:22">
      <c r="A42" s="5" t="str">
        <f>IF(K42&gt;0,COUNT($A$7:A41)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2" s="630"/>
      <c r="C42" s="630"/>
      <c r="D42" s="53" t="s">
        <v>2193</v>
      </c>
      <c r="E42" s="54">
        <v>300003530</v>
      </c>
      <c r="F42" s="55" t="s">
        <v>2194</v>
      </c>
      <c r="G42" s="282">
        <v>1</v>
      </c>
      <c r="H42" s="282">
        <v>6</v>
      </c>
      <c r="I42" s="128">
        <f>_xlfn.XLOOKUP(E42,'All Products'!D:D,'All Products'!H:H)</f>
        <v>4164.87</v>
      </c>
      <c r="J42" s="135">
        <f>ROUNDUP(I42*Order_Quote!$L$15,2)</f>
        <v>20824.349999999999</v>
      </c>
      <c r="K42" s="123"/>
      <c r="L42" s="79"/>
      <c r="M42" s="117">
        <f t="shared" si="1"/>
        <v>0</v>
      </c>
      <c r="O42" s="265" t="s">
        <v>1693</v>
      </c>
      <c r="P42" s="265" t="s">
        <v>77</v>
      </c>
      <c r="Q42" s="265" t="s">
        <v>2195</v>
      </c>
      <c r="R42" s="265">
        <v>0</v>
      </c>
      <c r="S42" s="265">
        <v>0</v>
      </c>
      <c r="T42" s="347">
        <v>29.6</v>
      </c>
      <c r="U42" s="348">
        <v>29.6</v>
      </c>
      <c r="V42" s="348" t="s">
        <v>1205</v>
      </c>
    </row>
    <row r="43" spans="1:22">
      <c r="A43" s="5" t="str">
        <f>IF(K43&gt;0,COUNT($A$7:A42)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3" s="110"/>
      <c r="C43" s="111"/>
      <c r="D43" s="53" t="s">
        <v>2196</v>
      </c>
      <c r="E43" s="54">
        <v>100029386</v>
      </c>
      <c r="F43" s="55" t="s">
        <v>2197</v>
      </c>
      <c r="G43" s="282">
        <v>20</v>
      </c>
      <c r="H43" s="282">
        <v>480</v>
      </c>
      <c r="I43" s="128">
        <f>_xlfn.XLOOKUP(E43,'All Products'!D:D,'All Products'!H:H)</f>
        <v>80.62</v>
      </c>
      <c r="J43" s="135">
        <f>ROUNDUP(I43*Order_Quote!$L$15,2)</f>
        <v>403.1</v>
      </c>
      <c r="K43" s="127"/>
      <c r="L43" s="79"/>
      <c r="M43" s="117">
        <f t="shared" si="1"/>
        <v>0</v>
      </c>
      <c r="O43" s="265" t="s">
        <v>76</v>
      </c>
      <c r="P43" s="265" t="s">
        <v>102</v>
      </c>
      <c r="Q43" s="265" t="s">
        <v>2198</v>
      </c>
      <c r="R43" s="265">
        <v>0</v>
      </c>
      <c r="S43" s="265" t="s">
        <v>2199</v>
      </c>
      <c r="T43" s="347">
        <v>1.1519999999999999</v>
      </c>
      <c r="U43" s="348">
        <v>25.22</v>
      </c>
      <c r="V43" s="348">
        <v>1.8803145838984718</v>
      </c>
    </row>
    <row r="44" spans="1:22">
      <c r="A44" s="5" t="str">
        <f>IF(K44&gt;0,COUNT($A$7:A43)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4" s="112"/>
      <c r="C44" s="79"/>
      <c r="D44" s="53" t="s">
        <v>2200</v>
      </c>
      <c r="E44" s="54">
        <v>100029387</v>
      </c>
      <c r="F44" s="55" t="s">
        <v>2201</v>
      </c>
      <c r="G44" s="282">
        <v>1</v>
      </c>
      <c r="H44" s="282">
        <v>150</v>
      </c>
      <c r="I44" s="128">
        <f>_xlfn.XLOOKUP(E44,'All Products'!D:D,'All Products'!H:H)</f>
        <v>160.93</v>
      </c>
      <c r="J44" s="135">
        <f>ROUNDUP(I44*Order_Quote!$L$15,2)</f>
        <v>804.65</v>
      </c>
      <c r="K44" s="123"/>
      <c r="L44" s="79"/>
      <c r="M44" s="117">
        <f t="shared" si="1"/>
        <v>0</v>
      </c>
      <c r="O44" s="265" t="s">
        <v>359</v>
      </c>
      <c r="P44" s="265" t="s">
        <v>102</v>
      </c>
      <c r="Q44" s="265" t="s">
        <v>2202</v>
      </c>
      <c r="R44" s="265">
        <v>0</v>
      </c>
      <c r="S44" s="265" t="s">
        <v>2203</v>
      </c>
      <c r="T44" s="347">
        <v>2.6680000000000001</v>
      </c>
      <c r="U44" s="348">
        <v>400.20000000000005</v>
      </c>
      <c r="V44" s="348">
        <v>53.333269333358928</v>
      </c>
    </row>
    <row r="45" spans="1:22">
      <c r="A45" s="5" t="str">
        <f>IF(K45&gt;0,COUNT($A$7:A44)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5" s="112"/>
      <c r="C45" s="79"/>
      <c r="D45" s="53" t="s">
        <v>2204</v>
      </c>
      <c r="E45" s="54">
        <v>100029388</v>
      </c>
      <c r="F45" s="55" t="s">
        <v>2205</v>
      </c>
      <c r="G45" s="282">
        <v>1</v>
      </c>
      <c r="H45" s="282">
        <v>80</v>
      </c>
      <c r="I45" s="128">
        <f>_xlfn.XLOOKUP(E45,'All Products'!D:D,'All Products'!H:H)</f>
        <v>273.38</v>
      </c>
      <c r="J45" s="135">
        <f>ROUNDUP(I45*Order_Quote!$L$15,2)</f>
        <v>1366.9</v>
      </c>
      <c r="K45" s="123"/>
      <c r="L45" s="79"/>
      <c r="M45" s="118">
        <f t="shared" si="1"/>
        <v>0</v>
      </c>
      <c r="O45" s="265" t="s">
        <v>359</v>
      </c>
      <c r="P45" s="265" t="s">
        <v>102</v>
      </c>
      <c r="Q45" s="265" t="s">
        <v>2206</v>
      </c>
      <c r="R45" s="265">
        <v>0</v>
      </c>
      <c r="S45" s="265" t="s">
        <v>2207</v>
      </c>
      <c r="T45" s="347">
        <v>4.3499999999999996</v>
      </c>
      <c r="U45" s="348">
        <v>348</v>
      </c>
      <c r="V45" s="348">
        <v>53.333269333358928</v>
      </c>
    </row>
    <row r="46" spans="1:22">
      <c r="A46" s="5" t="str">
        <f>IF(K46&gt;0,COUNT($A$7:A45)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6" s="112"/>
      <c r="C46" s="79"/>
      <c r="D46" s="53" t="s">
        <v>2208</v>
      </c>
      <c r="E46" s="54">
        <v>300005845</v>
      </c>
      <c r="F46" s="55" t="s">
        <v>2209</v>
      </c>
      <c r="G46" s="282">
        <v>1</v>
      </c>
      <c r="H46" s="282">
        <v>36</v>
      </c>
      <c r="I46" s="128">
        <f>_xlfn.XLOOKUP(E46,'All Products'!D:D,'All Products'!H:H)</f>
        <v>986.86</v>
      </c>
      <c r="J46" s="135">
        <f>ROUNDUP(I46*Order_Quote!$L$15,2)</f>
        <v>4934.3</v>
      </c>
      <c r="K46" s="123"/>
      <c r="L46" s="79"/>
      <c r="M46" s="117">
        <f t="shared" si="1"/>
        <v>0</v>
      </c>
      <c r="O46" s="265" t="s">
        <v>1693</v>
      </c>
      <c r="P46" s="265" t="s">
        <v>77</v>
      </c>
      <c r="Q46" s="265" t="s">
        <v>2210</v>
      </c>
      <c r="R46" s="265">
        <v>0</v>
      </c>
      <c r="S46" s="265">
        <v>0</v>
      </c>
      <c r="T46" s="347">
        <v>6.64</v>
      </c>
      <c r="U46" s="348">
        <v>6.64</v>
      </c>
      <c r="V46" s="348" t="s">
        <v>1205</v>
      </c>
    </row>
    <row r="47" spans="1:22">
      <c r="A47" s="5" t="str">
        <f>IF(K47&gt;0,COUNT($A$7:A46)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7" s="113"/>
      <c r="C47" s="114"/>
      <c r="D47" s="53" t="s">
        <v>2211</v>
      </c>
      <c r="E47" s="54">
        <v>300005851</v>
      </c>
      <c r="F47" s="55" t="s">
        <v>2212</v>
      </c>
      <c r="G47" s="282">
        <v>1</v>
      </c>
      <c r="H47" s="282">
        <v>18</v>
      </c>
      <c r="I47" s="128">
        <f>_xlfn.XLOOKUP(E47,'All Products'!D:D,'All Products'!H:H)</f>
        <v>1770.14</v>
      </c>
      <c r="J47" s="135">
        <f>ROUNDUP(I47*Order_Quote!$L$15,2)</f>
        <v>8850.7000000000007</v>
      </c>
      <c r="K47" s="123"/>
      <c r="L47" s="79"/>
      <c r="M47" s="117">
        <f t="shared" si="1"/>
        <v>0</v>
      </c>
      <c r="O47" s="265" t="s">
        <v>1693</v>
      </c>
      <c r="P47" s="265" t="s">
        <v>77</v>
      </c>
      <c r="Q47" s="265" t="s">
        <v>2213</v>
      </c>
      <c r="R47" s="265">
        <v>0</v>
      </c>
      <c r="S47" s="265">
        <v>0</v>
      </c>
      <c r="T47" s="347">
        <v>12.316000000000001</v>
      </c>
      <c r="U47" s="348">
        <v>12.316000000000001</v>
      </c>
      <c r="V47" s="348" t="s">
        <v>1205</v>
      </c>
    </row>
    <row r="48" spans="1:22">
      <c r="A48" s="5" t="str">
        <f>IF(K48&gt;0,COUNT($A$7:A47)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8" s="112"/>
      <c r="C48" s="79"/>
      <c r="D48" s="53" t="s">
        <v>2214</v>
      </c>
      <c r="E48" s="54">
        <v>100029395</v>
      </c>
      <c r="F48" s="55" t="s">
        <v>2215</v>
      </c>
      <c r="G48" s="282">
        <v>20</v>
      </c>
      <c r="H48" s="282">
        <v>480</v>
      </c>
      <c r="I48" s="128">
        <f>_xlfn.XLOOKUP(E48,'All Products'!D:D,'All Products'!H:H)</f>
        <v>80.62</v>
      </c>
      <c r="J48" s="135">
        <f>ROUNDUP(I48*Order_Quote!$L$15,2)</f>
        <v>403.1</v>
      </c>
      <c r="K48" s="127"/>
      <c r="L48" s="79"/>
      <c r="M48" s="118">
        <f t="shared" si="1"/>
        <v>0</v>
      </c>
      <c r="O48" s="265" t="s">
        <v>76</v>
      </c>
      <c r="P48" s="265" t="s">
        <v>102</v>
      </c>
      <c r="Q48" s="265" t="s">
        <v>2216</v>
      </c>
      <c r="R48" s="265">
        <v>0</v>
      </c>
      <c r="S48" s="265" t="s">
        <v>2217</v>
      </c>
      <c r="T48" s="347">
        <v>1.1299999999999999</v>
      </c>
      <c r="U48" s="348">
        <v>24.78</v>
      </c>
      <c r="V48" s="348">
        <v>1.8803145838984718</v>
      </c>
    </row>
    <row r="49" spans="1:22">
      <c r="A49" s="5" t="str">
        <f>IF(K49&gt;0,COUNT($A$7:A48)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49" s="112"/>
      <c r="C49" s="79"/>
      <c r="D49" s="53" t="s">
        <v>2218</v>
      </c>
      <c r="E49" s="54">
        <v>100029396</v>
      </c>
      <c r="F49" s="55" t="s">
        <v>2219</v>
      </c>
      <c r="G49" s="282">
        <v>1</v>
      </c>
      <c r="H49" s="282">
        <v>150</v>
      </c>
      <c r="I49" s="128">
        <f>_xlfn.XLOOKUP(E49,'All Products'!D:D,'All Products'!H:H)</f>
        <v>160.93</v>
      </c>
      <c r="J49" s="135">
        <f>ROUNDUP(I49*Order_Quote!$L$15,2)</f>
        <v>804.65</v>
      </c>
      <c r="K49" s="123"/>
      <c r="L49" s="79"/>
      <c r="M49" s="117">
        <f t="shared" si="1"/>
        <v>0</v>
      </c>
      <c r="O49" s="265" t="s">
        <v>76</v>
      </c>
      <c r="P49" s="265" t="s">
        <v>102</v>
      </c>
      <c r="Q49" s="265" t="s">
        <v>2220</v>
      </c>
      <c r="R49" s="265">
        <v>0</v>
      </c>
      <c r="S49" s="265" t="s">
        <v>2221</v>
      </c>
      <c r="T49" s="347">
        <v>2.5979999999999999</v>
      </c>
      <c r="U49" s="348">
        <v>510.74999999999994</v>
      </c>
      <c r="V49" s="348">
        <v>53.333269333358928</v>
      </c>
    </row>
    <row r="50" spans="1:22">
      <c r="A50" s="5" t="str">
        <f>IF(K50&gt;0,COUNT($A$7:A49)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0" s="112"/>
      <c r="C50" s="79"/>
      <c r="D50" s="53" t="s">
        <v>2222</v>
      </c>
      <c r="E50" s="54">
        <v>100029397</v>
      </c>
      <c r="F50" s="55" t="s">
        <v>2223</v>
      </c>
      <c r="G50" s="282">
        <v>1</v>
      </c>
      <c r="H50" s="282">
        <v>80</v>
      </c>
      <c r="I50" s="128">
        <f>_xlfn.XLOOKUP(E50,'All Products'!D:D,'All Products'!H:H)</f>
        <v>273.38</v>
      </c>
      <c r="J50" s="135">
        <f>ROUNDUP(I50*Order_Quote!$L$15,2)</f>
        <v>1366.9</v>
      </c>
      <c r="K50" s="123"/>
      <c r="L50" s="79"/>
      <c r="M50" s="117">
        <f t="shared" si="1"/>
        <v>0</v>
      </c>
      <c r="O50" s="265" t="s">
        <v>76</v>
      </c>
      <c r="P50" s="265" t="s">
        <v>102</v>
      </c>
      <c r="Q50" s="265" t="s">
        <v>2224</v>
      </c>
      <c r="R50" s="265">
        <v>0</v>
      </c>
      <c r="S50" s="265" t="s">
        <v>2225</v>
      </c>
      <c r="T50" s="347">
        <v>4.1859999999999999</v>
      </c>
      <c r="U50" s="348">
        <v>453.84000000000003</v>
      </c>
      <c r="V50" s="348">
        <v>53.333269333358928</v>
      </c>
    </row>
    <row r="51" spans="1:22">
      <c r="A51" s="5" t="str">
        <f>IF(K51&gt;0,COUNT($A$7:A50)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1" s="112"/>
      <c r="C51" s="79"/>
      <c r="D51" s="53" t="s">
        <v>2226</v>
      </c>
      <c r="E51" s="54">
        <v>100029404</v>
      </c>
      <c r="F51" s="55" t="s">
        <v>2227</v>
      </c>
      <c r="G51" s="282">
        <v>1</v>
      </c>
      <c r="H51" s="282">
        <v>36</v>
      </c>
      <c r="I51" s="128">
        <f>_xlfn.XLOOKUP(E51,'All Products'!D:D,'All Products'!H:H)</f>
        <v>606.71</v>
      </c>
      <c r="J51" s="135">
        <f>ROUNDUP(I51*Order_Quote!$L$15,2)</f>
        <v>3033.55</v>
      </c>
      <c r="K51" s="123"/>
      <c r="L51" s="79"/>
      <c r="M51" s="117">
        <f t="shared" si="1"/>
        <v>0</v>
      </c>
      <c r="O51" s="265" t="s">
        <v>76</v>
      </c>
      <c r="P51" s="265" t="s">
        <v>102</v>
      </c>
      <c r="Q51" s="265" t="s">
        <v>2228</v>
      </c>
      <c r="R51" s="265">
        <v>0</v>
      </c>
      <c r="S51" s="265" t="s">
        <v>2229</v>
      </c>
      <c r="T51" s="347">
        <v>7.6520000000000001</v>
      </c>
      <c r="U51" s="348">
        <v>389.84400000000005</v>
      </c>
      <c r="V51" s="348">
        <v>53.333269333358928</v>
      </c>
    </row>
    <row r="52" spans="1:22">
      <c r="A52" s="5" t="str">
        <f>IF(K52&gt;0,COUNT($A$7:A51)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2" s="112"/>
      <c r="C52" s="79"/>
      <c r="D52" s="53" t="s">
        <v>2230</v>
      </c>
      <c r="E52" s="54">
        <v>300005850</v>
      </c>
      <c r="F52" s="55" t="s">
        <v>2231</v>
      </c>
      <c r="G52" s="282">
        <v>1</v>
      </c>
      <c r="H52" s="282">
        <v>18</v>
      </c>
      <c r="I52" s="128">
        <f>_xlfn.XLOOKUP(E52,'All Products'!D:D,'All Products'!H:H)</f>
        <v>2120.9499999999998</v>
      </c>
      <c r="J52" s="135">
        <f>ROUNDUP(I52*Order_Quote!$L$15,2)</f>
        <v>10604.75</v>
      </c>
      <c r="K52" s="123"/>
      <c r="L52" s="79"/>
      <c r="M52" s="118">
        <f t="shared" si="1"/>
        <v>0</v>
      </c>
      <c r="O52" s="265" t="s">
        <v>1693</v>
      </c>
      <c r="P52" s="265" t="s">
        <v>77</v>
      </c>
      <c r="Q52" s="265" t="s">
        <v>2232</v>
      </c>
      <c r="R52" s="265">
        <v>0</v>
      </c>
      <c r="S52" s="265">
        <v>0</v>
      </c>
      <c r="T52" s="347">
        <v>11.98</v>
      </c>
      <c r="U52" s="348">
        <v>11.98</v>
      </c>
      <c r="V52" s="348" t="s">
        <v>1205</v>
      </c>
    </row>
    <row r="53" spans="1:22">
      <c r="A53" s="5" t="str">
        <f>IF(K53&gt;0,COUNT($A$7:A52)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3" s="630"/>
      <c r="C53" s="630"/>
      <c r="D53" s="53" t="s">
        <v>2233</v>
      </c>
      <c r="E53" s="54">
        <v>300004436</v>
      </c>
      <c r="F53" s="55" t="s">
        <v>2234</v>
      </c>
      <c r="G53" s="282">
        <v>6</v>
      </c>
      <c r="H53" s="282">
        <v>192</v>
      </c>
      <c r="I53" s="128">
        <f>_xlfn.XLOOKUP(E53,'All Products'!D:D,'All Products'!H:H)</f>
        <v>154.01</v>
      </c>
      <c r="J53" s="135">
        <f>ROUNDUP(I53*Order_Quote!$L$15,2)</f>
        <v>770.05</v>
      </c>
      <c r="K53" s="127"/>
      <c r="L53" s="79"/>
      <c r="M53" s="117">
        <f t="shared" si="1"/>
        <v>0</v>
      </c>
      <c r="O53" s="265" t="s">
        <v>1693</v>
      </c>
      <c r="P53" s="265" t="s">
        <v>77</v>
      </c>
      <c r="Q53" s="265" t="s">
        <v>2235</v>
      </c>
      <c r="R53" s="265">
        <v>0</v>
      </c>
      <c r="S53" s="265">
        <v>0</v>
      </c>
      <c r="T53" s="347">
        <v>1.38</v>
      </c>
      <c r="U53" s="348">
        <v>8.2799999999999994</v>
      </c>
      <c r="V53" s="348" t="s">
        <v>1205</v>
      </c>
    </row>
    <row r="54" spans="1:22">
      <c r="A54" s="5" t="str">
        <f>IF(K54&gt;0,COUNT($A$7:A53)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4" s="630"/>
      <c r="C54" s="630"/>
      <c r="D54" s="53" t="s">
        <v>2236</v>
      </c>
      <c r="E54" s="54">
        <v>300004454</v>
      </c>
      <c r="F54" s="55" t="s">
        <v>2237</v>
      </c>
      <c r="G54" s="282">
        <v>4</v>
      </c>
      <c r="H54" s="282">
        <v>24</v>
      </c>
      <c r="I54" s="128">
        <f>_xlfn.XLOOKUP(E54,'All Products'!D:D,'All Products'!H:H)</f>
        <v>644.39</v>
      </c>
      <c r="J54" s="135">
        <f>ROUNDUP(I54*Order_Quote!$L$15,2)</f>
        <v>3221.95</v>
      </c>
      <c r="K54" s="123"/>
      <c r="L54" s="79"/>
      <c r="M54" s="117">
        <f t="shared" si="1"/>
        <v>0</v>
      </c>
      <c r="O54" s="265" t="s">
        <v>1693</v>
      </c>
      <c r="P54" s="265" t="s">
        <v>77</v>
      </c>
      <c r="Q54" s="265" t="s">
        <v>2238</v>
      </c>
      <c r="R54" s="265">
        <v>0</v>
      </c>
      <c r="S54" s="265">
        <v>0</v>
      </c>
      <c r="T54" s="347">
        <v>1</v>
      </c>
      <c r="U54" s="348">
        <v>4</v>
      </c>
      <c r="V54" s="348" t="s">
        <v>1205</v>
      </c>
    </row>
    <row r="55" spans="1:22">
      <c r="A55" s="5" t="str">
        <f>IF(K55&gt;0,COUNT($A$7:A54)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5" s="630"/>
      <c r="C55" s="630"/>
      <c r="D55" s="53" t="s">
        <v>2239</v>
      </c>
      <c r="E55" s="54">
        <v>300004479</v>
      </c>
      <c r="F55" s="55" t="s">
        <v>2240</v>
      </c>
      <c r="G55" s="282">
        <v>2</v>
      </c>
      <c r="H55" s="282">
        <v>12</v>
      </c>
      <c r="I55" s="128">
        <f>_xlfn.XLOOKUP(E55,'All Products'!D:D,'All Products'!H:H)</f>
        <v>1300.81</v>
      </c>
      <c r="J55" s="135">
        <f>ROUNDUP(I55*Order_Quote!$L$15,2)</f>
        <v>6504.05</v>
      </c>
      <c r="K55" s="123"/>
      <c r="L55" s="79"/>
      <c r="M55" s="118">
        <f t="shared" si="1"/>
        <v>0</v>
      </c>
      <c r="O55" s="265" t="s">
        <v>1693</v>
      </c>
      <c r="P55" s="265" t="s">
        <v>77</v>
      </c>
      <c r="Q55" s="265" t="s">
        <v>2241</v>
      </c>
      <c r="R55" s="265">
        <v>0</v>
      </c>
      <c r="S55" s="265">
        <v>0</v>
      </c>
      <c r="T55" s="347">
        <v>1</v>
      </c>
      <c r="U55" s="348">
        <v>2</v>
      </c>
      <c r="V55" s="348" t="s">
        <v>1205</v>
      </c>
    </row>
    <row r="56" spans="1:22" ht="21" customHeight="1">
      <c r="A56" s="5" t="str">
        <f>IF(K56&gt;0,COUNT($A$7:A55)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6" s="630"/>
      <c r="C56" s="630"/>
      <c r="D56" s="53" t="s">
        <v>2242</v>
      </c>
      <c r="E56" s="54">
        <v>300004437</v>
      </c>
      <c r="F56" s="55" t="s">
        <v>2243</v>
      </c>
      <c r="G56" s="282">
        <v>6</v>
      </c>
      <c r="H56" s="282">
        <v>192</v>
      </c>
      <c r="I56" s="128">
        <f>_xlfn.XLOOKUP(E56,'All Products'!D:D,'All Products'!H:H)</f>
        <v>136.57</v>
      </c>
      <c r="J56" s="135">
        <f>ROUNDUP(I56*Order_Quote!$L$15,2)</f>
        <v>682.85</v>
      </c>
      <c r="K56" s="127"/>
      <c r="L56" s="79"/>
      <c r="M56" s="117">
        <f t="shared" si="1"/>
        <v>0</v>
      </c>
      <c r="O56" s="265" t="s">
        <v>1693</v>
      </c>
      <c r="P56" s="265" t="s">
        <v>77</v>
      </c>
      <c r="Q56" s="265" t="s">
        <v>2244</v>
      </c>
      <c r="R56" s="265">
        <v>0</v>
      </c>
      <c r="S56" s="265">
        <v>0</v>
      </c>
      <c r="T56" s="347">
        <v>1.274</v>
      </c>
      <c r="U56" s="348">
        <v>7.6440000000000001</v>
      </c>
      <c r="V56" s="348" t="s">
        <v>1205</v>
      </c>
    </row>
    <row r="57" spans="1:22" ht="21" customHeight="1">
      <c r="A57" s="5" t="str">
        <f>IF(K57&gt;0,COUNT($A$7:A56)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7" s="630"/>
      <c r="C57" s="630"/>
      <c r="D57" s="53" t="s">
        <v>2245</v>
      </c>
      <c r="E57" s="54">
        <v>300004455</v>
      </c>
      <c r="F57" s="55" t="s">
        <v>2246</v>
      </c>
      <c r="G57" s="282">
        <v>4</v>
      </c>
      <c r="H57" s="282">
        <v>24</v>
      </c>
      <c r="I57" s="128">
        <f>_xlfn.XLOOKUP(E57,'All Products'!D:D,'All Products'!H:H)</f>
        <v>844.6</v>
      </c>
      <c r="J57" s="135">
        <f>ROUNDUP(I57*Order_Quote!$L$15,2)</f>
        <v>4223</v>
      </c>
      <c r="K57" s="123"/>
      <c r="L57" s="79"/>
      <c r="M57" s="117">
        <f t="shared" si="1"/>
        <v>0</v>
      </c>
      <c r="O57" s="265" t="s">
        <v>1693</v>
      </c>
      <c r="P57" s="265" t="s">
        <v>77</v>
      </c>
      <c r="Q57" s="265" t="s">
        <v>2247</v>
      </c>
      <c r="R57" s="265">
        <v>0</v>
      </c>
      <c r="S57" s="265">
        <v>0</v>
      </c>
      <c r="T57" s="347">
        <v>1</v>
      </c>
      <c r="U57" s="348">
        <v>4</v>
      </c>
      <c r="V57" s="348" t="s">
        <v>1205</v>
      </c>
    </row>
    <row r="58" spans="1:22">
      <c r="A58" s="5" t="str">
        <f>IF(K58&gt;0,COUNT($A$7:A57)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8" s="630"/>
      <c r="C58" s="630"/>
      <c r="D58" s="53" t="s">
        <v>2248</v>
      </c>
      <c r="E58" s="54">
        <v>100029305</v>
      </c>
      <c r="F58" s="55" t="s">
        <v>2249</v>
      </c>
      <c r="G58" s="282">
        <v>10</v>
      </c>
      <c r="H58" s="282">
        <v>240</v>
      </c>
      <c r="I58" s="128">
        <f>_xlfn.XLOOKUP(E58,'All Products'!D:D,'All Products'!H:H)</f>
        <v>82.07</v>
      </c>
      <c r="J58" s="135">
        <f>ROUNDUP(I58*Order_Quote!$L$15,2)</f>
        <v>410.35</v>
      </c>
      <c r="K58" s="127"/>
      <c r="L58" s="79"/>
      <c r="M58" s="117">
        <f t="shared" si="1"/>
        <v>0</v>
      </c>
      <c r="O58" s="265" t="s">
        <v>76</v>
      </c>
      <c r="P58" s="265" t="s">
        <v>102</v>
      </c>
      <c r="Q58" s="265" t="s">
        <v>2250</v>
      </c>
      <c r="R58" s="265">
        <v>0</v>
      </c>
      <c r="S58" s="265" t="s">
        <v>2251</v>
      </c>
      <c r="T58" s="347">
        <v>1.4319999999999999</v>
      </c>
      <c r="U58" s="348">
        <v>16.490000000000002</v>
      </c>
      <c r="V58" s="348">
        <v>1.8803145838984718</v>
      </c>
    </row>
    <row r="59" spans="1:22">
      <c r="A59" s="5" t="str">
        <f>IF(K59&gt;0,COUNT($A$7:A58)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59" s="630"/>
      <c r="C59" s="630"/>
      <c r="D59" s="53" t="s">
        <v>2252</v>
      </c>
      <c r="E59" s="54">
        <v>100029317</v>
      </c>
      <c r="F59" s="55" t="s">
        <v>2253</v>
      </c>
      <c r="G59" s="282">
        <v>1</v>
      </c>
      <c r="H59" s="282">
        <v>100</v>
      </c>
      <c r="I59" s="128">
        <f>_xlfn.XLOOKUP(E59,'All Products'!D:D,'All Products'!H:H)</f>
        <v>151.02000000000001</v>
      </c>
      <c r="J59" s="135">
        <f>ROUNDUP(I59*Order_Quote!$L$15,2)</f>
        <v>755.1</v>
      </c>
      <c r="K59" s="123"/>
      <c r="L59" s="79"/>
      <c r="M59" s="117">
        <f t="shared" si="1"/>
        <v>0</v>
      </c>
      <c r="O59" s="265" t="s">
        <v>76</v>
      </c>
      <c r="P59" s="265" t="s">
        <v>102</v>
      </c>
      <c r="Q59" s="265" t="s">
        <v>2254</v>
      </c>
      <c r="R59" s="265">
        <v>0</v>
      </c>
      <c r="S59" s="265" t="s">
        <v>2255</v>
      </c>
      <c r="T59" s="347">
        <v>3.7480000000000002</v>
      </c>
      <c r="U59" s="348">
        <v>489.29999999999995</v>
      </c>
      <c r="V59" s="348">
        <v>53.333269333358928</v>
      </c>
    </row>
    <row r="60" spans="1:22">
      <c r="A60" s="5" t="str">
        <f>IF(K60&gt;0,COUNT($A$7:A59)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0" s="630"/>
      <c r="C60" s="630"/>
      <c r="D60" s="53" t="s">
        <v>2256</v>
      </c>
      <c r="E60" s="54">
        <v>100029306</v>
      </c>
      <c r="F60" s="55" t="s">
        <v>2257</v>
      </c>
      <c r="G60" s="282">
        <v>1</v>
      </c>
      <c r="H60" s="282">
        <v>54</v>
      </c>
      <c r="I60" s="128">
        <f>_xlfn.XLOOKUP(E60,'All Products'!D:D,'All Products'!H:H)</f>
        <v>417.67</v>
      </c>
      <c r="J60" s="135">
        <f>ROUNDUP(I60*Order_Quote!$L$15,2)</f>
        <v>2088.35</v>
      </c>
      <c r="K60" s="123"/>
      <c r="L60" s="79"/>
      <c r="M60" s="117">
        <f t="shared" si="1"/>
        <v>0</v>
      </c>
      <c r="O60" s="265" t="s">
        <v>76</v>
      </c>
      <c r="P60" s="265" t="s">
        <v>102</v>
      </c>
      <c r="Q60" s="265" t="s">
        <v>2258</v>
      </c>
      <c r="R60" s="265">
        <v>0</v>
      </c>
      <c r="S60" s="265" t="s">
        <v>2259</v>
      </c>
      <c r="T60" s="347">
        <v>5.3259999999999996</v>
      </c>
      <c r="U60" s="348">
        <v>404.02800000000002</v>
      </c>
      <c r="V60" s="348">
        <v>53.333269333358928</v>
      </c>
    </row>
    <row r="61" spans="1:22">
      <c r="A61" s="5" t="str">
        <f>IF(K61&gt;0,COUNT($A$7:A60)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1" s="630"/>
      <c r="C61" s="630"/>
      <c r="D61" s="53" t="s">
        <v>2260</v>
      </c>
      <c r="E61" s="54">
        <v>100029329</v>
      </c>
      <c r="F61" s="55" t="s">
        <v>2261</v>
      </c>
      <c r="G61" s="282">
        <v>1</v>
      </c>
      <c r="H61" s="282">
        <v>24</v>
      </c>
      <c r="I61" s="128">
        <f>_xlfn.XLOOKUP(E61,'All Products'!D:D,'All Products'!H:H)</f>
        <v>1404.71</v>
      </c>
      <c r="J61" s="135">
        <f>ROUNDUP(I61*Order_Quote!$L$15,2)</f>
        <v>7023.55</v>
      </c>
      <c r="K61" s="123"/>
      <c r="L61" s="79"/>
      <c r="M61" s="118">
        <f t="shared" si="1"/>
        <v>0</v>
      </c>
      <c r="O61" s="265" t="s">
        <v>76</v>
      </c>
      <c r="P61" s="265" t="s">
        <v>102</v>
      </c>
      <c r="Q61" s="265" t="s">
        <v>2262</v>
      </c>
      <c r="R61" s="265">
        <v>0</v>
      </c>
      <c r="S61" s="265" t="s">
        <v>2263</v>
      </c>
      <c r="T61" s="347">
        <v>11.148</v>
      </c>
      <c r="U61" s="348">
        <v>267.55200000000002</v>
      </c>
      <c r="V61" s="348">
        <v>53.333269333358928</v>
      </c>
    </row>
    <row r="62" spans="1:22">
      <c r="A62" s="5" t="str">
        <f>IF(K62&gt;0,COUNT($A$7:A61)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2" s="630"/>
      <c r="C62" s="630"/>
      <c r="D62" s="53" t="s">
        <v>2264</v>
      </c>
      <c r="E62" s="54">
        <v>100029330</v>
      </c>
      <c r="F62" s="55" t="s">
        <v>2265</v>
      </c>
      <c r="G62" s="282">
        <v>1</v>
      </c>
      <c r="H62" s="282">
        <v>18</v>
      </c>
      <c r="I62" s="128">
        <f>_xlfn.XLOOKUP(E62,'All Products'!D:D,'All Products'!H:H)</f>
        <v>1817.73</v>
      </c>
      <c r="J62" s="135">
        <f>ROUNDUP(I62*Order_Quote!$L$15,2)</f>
        <v>9088.65</v>
      </c>
      <c r="K62" s="123"/>
      <c r="L62" s="79"/>
      <c r="M62" s="117">
        <f t="shared" si="1"/>
        <v>0</v>
      </c>
      <c r="O62" s="265" t="s">
        <v>76</v>
      </c>
      <c r="P62" s="265" t="s">
        <v>102</v>
      </c>
      <c r="Q62" s="265" t="s">
        <v>2266</v>
      </c>
      <c r="R62" s="265">
        <v>0</v>
      </c>
      <c r="S62" s="265" t="s">
        <v>2267</v>
      </c>
      <c r="T62" s="347">
        <v>18.068000000000001</v>
      </c>
      <c r="U62" s="348">
        <v>325.22400000000005</v>
      </c>
      <c r="V62" s="348">
        <v>53.333269333358928</v>
      </c>
    </row>
    <row r="63" spans="1:22">
      <c r="A63" s="5" t="str">
        <f>IF(K63&gt;0,COUNT($A$7:A62)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3" s="630"/>
      <c r="C63" s="630"/>
      <c r="D63" s="53" t="s">
        <v>2268</v>
      </c>
      <c r="E63" s="54">
        <v>100029303</v>
      </c>
      <c r="F63" s="55" t="s">
        <v>2269</v>
      </c>
      <c r="G63" s="282">
        <v>10</v>
      </c>
      <c r="H63" s="282">
        <v>240</v>
      </c>
      <c r="I63" s="128">
        <f>_xlfn.XLOOKUP(E63,'All Products'!D:D,'All Products'!H:H)</f>
        <v>75.47</v>
      </c>
      <c r="J63" s="135">
        <f>ROUNDUP(I63*Order_Quote!$L$15,2)</f>
        <v>377.35</v>
      </c>
      <c r="K63" s="127"/>
      <c r="L63" s="79"/>
      <c r="M63" s="117">
        <f t="shared" si="1"/>
        <v>0</v>
      </c>
      <c r="O63" s="265" t="s">
        <v>76</v>
      </c>
      <c r="P63" s="265" t="s">
        <v>102</v>
      </c>
      <c r="Q63" s="265" t="s">
        <v>2270</v>
      </c>
      <c r="R63" s="265">
        <v>0</v>
      </c>
      <c r="S63" s="265" t="s">
        <v>2271</v>
      </c>
      <c r="T63" s="347">
        <v>1.276</v>
      </c>
      <c r="U63" s="348">
        <v>14.930000000000001</v>
      </c>
      <c r="V63" s="348">
        <v>1.8803145838984718</v>
      </c>
    </row>
    <row r="64" spans="1:22">
      <c r="A64" s="5" t="str">
        <f>IF(K64&gt;0,COUNT($A$7:A63)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4" s="630"/>
      <c r="C64" s="630"/>
      <c r="D64" s="53" t="s">
        <v>2272</v>
      </c>
      <c r="E64" s="54">
        <v>100029313</v>
      </c>
      <c r="F64" s="55" t="s">
        <v>2273</v>
      </c>
      <c r="G64" s="282">
        <v>1</v>
      </c>
      <c r="H64" s="282">
        <v>100</v>
      </c>
      <c r="I64" s="128">
        <f>_xlfn.XLOOKUP(E64,'All Products'!D:D,'All Products'!H:H)</f>
        <v>159.61000000000001</v>
      </c>
      <c r="J64" s="135">
        <f>ROUNDUP(I64*Order_Quote!$L$15,2)</f>
        <v>798.05</v>
      </c>
      <c r="K64" s="123"/>
      <c r="L64" s="79"/>
      <c r="M64" s="118">
        <f t="shared" si="1"/>
        <v>0</v>
      </c>
      <c r="O64" s="265" t="s">
        <v>359</v>
      </c>
      <c r="P64" s="265" t="s">
        <v>102</v>
      </c>
      <c r="Q64" s="265" t="s">
        <v>2274</v>
      </c>
      <c r="R64" s="265">
        <v>0</v>
      </c>
      <c r="S64" s="265" t="s">
        <v>2275</v>
      </c>
      <c r="T64" s="347">
        <v>3.4780000000000002</v>
      </c>
      <c r="U64" s="348">
        <v>347.8</v>
      </c>
      <c r="V64" s="348">
        <v>53.333269333358928</v>
      </c>
    </row>
    <row r="65" spans="1:22">
      <c r="A65" s="5" t="str">
        <f>IF(K65&gt;0,COUNT($A$7:A64)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5" s="630"/>
      <c r="C65" s="630"/>
      <c r="D65" s="53" t="s">
        <v>2276</v>
      </c>
      <c r="E65" s="54">
        <v>100029304</v>
      </c>
      <c r="F65" s="55" t="s">
        <v>2277</v>
      </c>
      <c r="G65" s="282">
        <v>1</v>
      </c>
      <c r="H65" s="282">
        <v>54</v>
      </c>
      <c r="I65" s="128">
        <f>_xlfn.XLOOKUP(E65,'All Products'!D:D,'All Products'!H:H)</f>
        <v>431.02</v>
      </c>
      <c r="J65" s="135">
        <f>ROUNDUP(I65*Order_Quote!$L$15,2)</f>
        <v>2155.1</v>
      </c>
      <c r="K65" s="123"/>
      <c r="L65" s="79"/>
      <c r="M65" s="117">
        <f t="shared" si="1"/>
        <v>0</v>
      </c>
      <c r="O65" s="265" t="s">
        <v>359</v>
      </c>
      <c r="P65" s="265" t="s">
        <v>102</v>
      </c>
      <c r="Q65" s="265" t="s">
        <v>2278</v>
      </c>
      <c r="R65" s="265">
        <v>0</v>
      </c>
      <c r="S65" s="265" t="s">
        <v>2279</v>
      </c>
      <c r="T65" s="347">
        <v>5.298</v>
      </c>
      <c r="U65" s="348">
        <v>402.51599999999996</v>
      </c>
      <c r="V65" s="348">
        <v>53.333269333358928</v>
      </c>
    </row>
    <row r="66" spans="1:22">
      <c r="A66" s="5" t="str">
        <f>IF(K66&gt;0,COUNT($A$7:A65)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6" s="577"/>
      <c r="C66" s="578"/>
      <c r="D66" s="53" t="s">
        <v>2280</v>
      </c>
      <c r="E66" s="54">
        <v>100029314</v>
      </c>
      <c r="F66" s="55" t="s">
        <v>2281</v>
      </c>
      <c r="G66" s="282">
        <v>16</v>
      </c>
      <c r="H66" s="282">
        <v>384</v>
      </c>
      <c r="I66" s="128">
        <f>_xlfn.XLOOKUP(E66,'All Products'!D:D,'All Products'!H:H)</f>
        <v>65.22</v>
      </c>
      <c r="J66" s="135">
        <f>ROUNDUP(I66*Order_Quote!$L$15,2)</f>
        <v>326.10000000000002</v>
      </c>
      <c r="K66" s="127"/>
      <c r="L66" s="79"/>
      <c r="M66" s="117">
        <f t="shared" si="1"/>
        <v>0</v>
      </c>
      <c r="O66" s="265" t="s">
        <v>76</v>
      </c>
      <c r="P66" s="265" t="s">
        <v>102</v>
      </c>
      <c r="Q66" s="265" t="s">
        <v>2282</v>
      </c>
      <c r="R66" s="265">
        <v>0</v>
      </c>
      <c r="S66" s="265" t="s">
        <v>2282</v>
      </c>
      <c r="T66" s="347">
        <v>1.1200000000000001</v>
      </c>
      <c r="U66" s="348">
        <v>20.111999999999998</v>
      </c>
      <c r="V66" s="348">
        <v>1.8803145838984718</v>
      </c>
    </row>
    <row r="67" spans="1:22">
      <c r="A67" s="5" t="str">
        <f>IF(K67&gt;0,COUNT($A$7:A66)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7" s="579"/>
      <c r="C67" s="580"/>
      <c r="D67" s="53" t="s">
        <v>2283</v>
      </c>
      <c r="E67" s="54">
        <v>100030903</v>
      </c>
      <c r="F67" s="55" t="s">
        <v>2284</v>
      </c>
      <c r="G67" s="282">
        <v>1</v>
      </c>
      <c r="H67" s="282">
        <v>136</v>
      </c>
      <c r="I67" s="128">
        <f>_xlfn.XLOOKUP(E67,'All Products'!D:D,'All Products'!H:H)</f>
        <v>137.78</v>
      </c>
      <c r="J67" s="135">
        <f>ROUNDUP(I67*Order_Quote!$L$15,2)</f>
        <v>688.9</v>
      </c>
      <c r="K67" s="123"/>
      <c r="L67" s="79"/>
      <c r="M67" s="118">
        <f t="shared" si="1"/>
        <v>0</v>
      </c>
      <c r="O67" s="265" t="s">
        <v>359</v>
      </c>
      <c r="P67" s="265" t="s">
        <v>102</v>
      </c>
      <c r="Q67" s="265" t="s">
        <v>2285</v>
      </c>
      <c r="R67" s="265">
        <v>0</v>
      </c>
      <c r="S67" s="265" t="s">
        <v>2286</v>
      </c>
      <c r="T67" s="347">
        <v>2.5840000000000001</v>
      </c>
      <c r="U67" s="348">
        <v>351.42400000000004</v>
      </c>
      <c r="V67" s="348">
        <v>53.333269333358928</v>
      </c>
    </row>
    <row r="68" spans="1:22">
      <c r="A68" s="5" t="str">
        <f>IF(K68&gt;0,COUNT($A$7:A67)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8" s="579"/>
      <c r="C68" s="580"/>
      <c r="D68" s="53" t="s">
        <v>2287</v>
      </c>
      <c r="E68" s="54">
        <v>100031305</v>
      </c>
      <c r="F68" s="55" t="s">
        <v>2288</v>
      </c>
      <c r="G68" s="282">
        <v>1</v>
      </c>
      <c r="H68" s="282">
        <v>110</v>
      </c>
      <c r="I68" s="128">
        <f>_xlfn.XLOOKUP(E68,'All Products'!D:D,'All Products'!H:H)</f>
        <v>132.38999999999999</v>
      </c>
      <c r="J68" s="135">
        <f>ROUNDUP(I68*Order_Quote!$L$15,2)</f>
        <v>661.95</v>
      </c>
      <c r="K68" s="123"/>
      <c r="L68" s="79"/>
      <c r="M68" s="117">
        <f t="shared" si="1"/>
        <v>0</v>
      </c>
      <c r="O68" s="265" t="s">
        <v>76</v>
      </c>
      <c r="P68" s="265" t="s">
        <v>102</v>
      </c>
      <c r="Q68" s="265" t="s">
        <v>2289</v>
      </c>
      <c r="R68" s="265">
        <v>0</v>
      </c>
      <c r="S68" s="265" t="s">
        <v>2290</v>
      </c>
      <c r="T68" s="347">
        <v>3.1360000000000001</v>
      </c>
      <c r="U68" s="348">
        <v>344.96000000000004</v>
      </c>
      <c r="V68" s="348">
        <v>53.333269333358928</v>
      </c>
    </row>
    <row r="69" spans="1:22">
      <c r="A69" s="5" t="str">
        <f>IF(K69&gt;0,COUNT($A$7:A68)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69" s="579"/>
      <c r="C69" s="580"/>
      <c r="D69" s="53" t="s">
        <v>2291</v>
      </c>
      <c r="E69" s="54">
        <v>100029316</v>
      </c>
      <c r="F69" s="55" t="s">
        <v>2292</v>
      </c>
      <c r="G69" s="282">
        <v>1</v>
      </c>
      <c r="H69" s="282">
        <v>50</v>
      </c>
      <c r="I69" s="128">
        <f>_xlfn.XLOOKUP(E69,'All Products'!D:D,'All Products'!H:H)</f>
        <v>370.61</v>
      </c>
      <c r="J69" s="135">
        <f>ROUNDUP(I69*Order_Quote!$L$15,2)</f>
        <v>1853.05</v>
      </c>
      <c r="K69" s="123"/>
      <c r="L69" s="79"/>
      <c r="M69" s="117">
        <f t="shared" si="1"/>
        <v>0</v>
      </c>
      <c r="O69" s="265" t="s">
        <v>76</v>
      </c>
      <c r="P69" s="265" t="s">
        <v>102</v>
      </c>
      <c r="Q69" s="265" t="s">
        <v>2293</v>
      </c>
      <c r="R69" s="265">
        <v>0</v>
      </c>
      <c r="S69" s="265" t="s">
        <v>2294</v>
      </c>
      <c r="T69" s="347">
        <v>6.766</v>
      </c>
      <c r="U69" s="348">
        <v>338.3</v>
      </c>
      <c r="V69" s="348">
        <v>53.333269333358928</v>
      </c>
    </row>
    <row r="70" spans="1:22">
      <c r="A70" s="5" t="str">
        <f>IF(K70&gt;0,COUNT($A$7:A69)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0" s="579"/>
      <c r="C70" s="580"/>
      <c r="D70" s="53" t="s">
        <v>2295</v>
      </c>
      <c r="E70" s="54">
        <v>100029333</v>
      </c>
      <c r="F70" s="55" t="s">
        <v>2296</v>
      </c>
      <c r="G70" s="282">
        <v>1</v>
      </c>
      <c r="H70" s="282">
        <v>35</v>
      </c>
      <c r="I70" s="128">
        <f>_xlfn.XLOOKUP(E70,'All Products'!D:D,'All Products'!H:H)</f>
        <v>961.49</v>
      </c>
      <c r="J70" s="135">
        <f>ROUNDUP(I70*Order_Quote!$L$15,2)</f>
        <v>4807.45</v>
      </c>
      <c r="K70" s="123"/>
      <c r="L70" s="79"/>
      <c r="M70" s="117">
        <f t="shared" si="1"/>
        <v>0</v>
      </c>
      <c r="O70" s="265" t="s">
        <v>76</v>
      </c>
      <c r="P70" s="265" t="s">
        <v>102</v>
      </c>
      <c r="Q70" s="265" t="s">
        <v>2297</v>
      </c>
      <c r="R70" s="265">
        <v>0</v>
      </c>
      <c r="S70" s="265" t="s">
        <v>2298</v>
      </c>
      <c r="T70" s="347">
        <v>7.798</v>
      </c>
      <c r="U70" s="348">
        <v>283.64</v>
      </c>
      <c r="V70" s="348">
        <v>53.333269333358928</v>
      </c>
    </row>
    <row r="71" spans="1:22">
      <c r="A71" s="5" t="str">
        <f>IF(K71&gt;0,COUNT($A$7:A70)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1" s="579"/>
      <c r="C71" s="580"/>
      <c r="D71" s="53" t="s">
        <v>2299</v>
      </c>
      <c r="E71" s="54">
        <v>100029332</v>
      </c>
      <c r="F71" s="55" t="s">
        <v>2300</v>
      </c>
      <c r="G71" s="282">
        <v>1</v>
      </c>
      <c r="H71" s="282">
        <v>18</v>
      </c>
      <c r="I71" s="128">
        <f>_xlfn.XLOOKUP(E71,'All Products'!D:D,'All Products'!H:H)</f>
        <v>1396.56</v>
      </c>
      <c r="J71" s="135">
        <f>ROUNDUP(I71*Order_Quote!$L$15,2)</f>
        <v>6982.8</v>
      </c>
      <c r="K71" s="123"/>
      <c r="L71" s="79"/>
      <c r="M71" s="118">
        <f t="shared" ref="M71:M101" si="2">K71/G71</f>
        <v>0</v>
      </c>
      <c r="O71" s="265" t="s">
        <v>76</v>
      </c>
      <c r="P71" s="265" t="s">
        <v>102</v>
      </c>
      <c r="Q71" s="265" t="s">
        <v>2301</v>
      </c>
      <c r="R71" s="265">
        <v>0</v>
      </c>
      <c r="S71" s="265" t="s">
        <v>2302</v>
      </c>
      <c r="T71" s="347">
        <v>14.096</v>
      </c>
      <c r="U71" s="348">
        <v>253.72800000000001</v>
      </c>
      <c r="V71" s="348">
        <v>53.333269333358928</v>
      </c>
    </row>
    <row r="72" spans="1:22">
      <c r="A72" s="5" t="str">
        <f>IF(K72&gt;0,COUNT($A$7:A71)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2" s="630"/>
      <c r="C72" s="630"/>
      <c r="D72" s="53" t="s">
        <v>2303</v>
      </c>
      <c r="E72" s="54">
        <v>100029310</v>
      </c>
      <c r="F72" s="55" t="s">
        <v>2304</v>
      </c>
      <c r="G72" s="282">
        <v>16</v>
      </c>
      <c r="H72" s="282">
        <v>384</v>
      </c>
      <c r="I72" s="128">
        <f>_xlfn.XLOOKUP(E72,'All Products'!D:D,'All Products'!H:H)</f>
        <v>58.7</v>
      </c>
      <c r="J72" s="135">
        <f>ROUNDUP(I72*Order_Quote!$L$15,2)</f>
        <v>293.5</v>
      </c>
      <c r="K72" s="127"/>
      <c r="L72" s="79"/>
      <c r="M72" s="117">
        <f t="shared" si="2"/>
        <v>0</v>
      </c>
      <c r="O72" s="265" t="s">
        <v>76</v>
      </c>
      <c r="P72" s="265" t="s">
        <v>102</v>
      </c>
      <c r="Q72" s="265" t="s">
        <v>2305</v>
      </c>
      <c r="R72" s="265">
        <v>0</v>
      </c>
      <c r="S72" s="265" t="s">
        <v>2305</v>
      </c>
      <c r="T72" s="347">
        <v>0.98199999999999998</v>
      </c>
      <c r="U72" s="348">
        <v>17.904</v>
      </c>
      <c r="V72" s="348">
        <v>1.8803145838984718</v>
      </c>
    </row>
    <row r="73" spans="1:22">
      <c r="A73" s="5" t="str">
        <f>IF(K73&gt;0,COUNT($A$7:A72)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3" s="630"/>
      <c r="C73" s="630"/>
      <c r="D73" s="53" t="s">
        <v>2306</v>
      </c>
      <c r="E73" s="54">
        <v>100030904</v>
      </c>
      <c r="F73" s="55" t="s">
        <v>2307</v>
      </c>
      <c r="G73" s="282">
        <v>6</v>
      </c>
      <c r="H73" s="282">
        <v>136</v>
      </c>
      <c r="I73" s="128">
        <f>_xlfn.XLOOKUP(E73,'All Products'!D:D,'All Products'!H:H)</f>
        <v>121.11</v>
      </c>
      <c r="J73" s="135">
        <f>ROUNDUP(I73*Order_Quote!$L$15,2)</f>
        <v>605.54999999999995</v>
      </c>
      <c r="K73" s="123"/>
      <c r="L73" s="79"/>
      <c r="M73" s="117">
        <f t="shared" si="2"/>
        <v>0</v>
      </c>
      <c r="O73" s="265" t="s">
        <v>76</v>
      </c>
      <c r="P73" s="265" t="s">
        <v>102</v>
      </c>
      <c r="Q73" s="265" t="s">
        <v>2308</v>
      </c>
      <c r="R73" s="265">
        <v>0</v>
      </c>
      <c r="S73" s="265" t="s">
        <v>2309</v>
      </c>
      <c r="T73" s="347">
        <v>2.1379999999999999</v>
      </c>
      <c r="U73" s="348">
        <v>290.76799999999997</v>
      </c>
      <c r="V73" s="348">
        <v>53.333269333358928</v>
      </c>
    </row>
    <row r="74" spans="1:22">
      <c r="A74" s="5" t="str">
        <f>IF(K74&gt;0,COUNT($A$7:A73)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4" s="630"/>
      <c r="C74" s="630"/>
      <c r="D74" s="53" t="s">
        <v>2310</v>
      </c>
      <c r="E74" s="54">
        <v>100029311</v>
      </c>
      <c r="F74" s="55" t="s">
        <v>2311</v>
      </c>
      <c r="G74" s="282">
        <v>1</v>
      </c>
      <c r="H74" s="282">
        <v>120</v>
      </c>
      <c r="I74" s="128">
        <f>_xlfn.XLOOKUP(E74,'All Products'!D:D,'All Products'!H:H)</f>
        <v>117.32</v>
      </c>
      <c r="J74" s="135">
        <f>ROUNDUP(I74*Order_Quote!$L$15,2)</f>
        <v>586.6</v>
      </c>
      <c r="K74" s="123"/>
      <c r="L74" s="79"/>
      <c r="M74" s="118">
        <f t="shared" si="2"/>
        <v>0</v>
      </c>
      <c r="O74" s="265" t="s">
        <v>76</v>
      </c>
      <c r="P74" s="265" t="s">
        <v>102</v>
      </c>
      <c r="Q74" s="265" t="s">
        <v>2312</v>
      </c>
      <c r="R74" s="265">
        <v>0</v>
      </c>
      <c r="S74" s="265" t="s">
        <v>2313</v>
      </c>
      <c r="T74" s="347">
        <v>2.85</v>
      </c>
      <c r="U74" s="348">
        <v>452.03999999999996</v>
      </c>
      <c r="V74" s="348">
        <v>53.333269333358928</v>
      </c>
    </row>
    <row r="75" spans="1:22">
      <c r="A75" s="5" t="str">
        <f>IF(K75&gt;0,COUNT($A$7:A74)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5" s="630"/>
      <c r="C75" s="630"/>
      <c r="D75" s="53" t="s">
        <v>2314</v>
      </c>
      <c r="E75" s="54">
        <v>100029312</v>
      </c>
      <c r="F75" s="55" t="s">
        <v>2315</v>
      </c>
      <c r="G75" s="282">
        <v>1</v>
      </c>
      <c r="H75" s="282">
        <v>50</v>
      </c>
      <c r="I75" s="128">
        <f>_xlfn.XLOOKUP(E75,'All Products'!D:D,'All Products'!H:H)</f>
        <v>354.04</v>
      </c>
      <c r="J75" s="135">
        <f>ROUNDUP(I75*Order_Quote!$L$15,2)</f>
        <v>1770.2</v>
      </c>
      <c r="K75" s="123"/>
      <c r="L75" s="79"/>
      <c r="M75" s="117">
        <f t="shared" si="2"/>
        <v>0</v>
      </c>
      <c r="O75" s="265" t="s">
        <v>76</v>
      </c>
      <c r="P75" s="265" t="s">
        <v>102</v>
      </c>
      <c r="Q75" s="265" t="s">
        <v>2316</v>
      </c>
      <c r="R75" s="265">
        <v>0</v>
      </c>
      <c r="S75" s="265" t="s">
        <v>2317</v>
      </c>
      <c r="T75" s="347">
        <v>6.056</v>
      </c>
      <c r="U75" s="348">
        <v>416.3</v>
      </c>
      <c r="V75" s="348">
        <v>53.333269333358928</v>
      </c>
    </row>
    <row r="76" spans="1:22">
      <c r="A76" s="5" t="str">
        <f>IF(K76&gt;0,COUNT($A$7:A75)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6" s="630"/>
      <c r="C76" s="630"/>
      <c r="D76" s="53" t="s">
        <v>2318</v>
      </c>
      <c r="E76" s="54">
        <v>300005767</v>
      </c>
      <c r="F76" s="55" t="s">
        <v>2319</v>
      </c>
      <c r="G76" s="282">
        <v>1</v>
      </c>
      <c r="H76" s="282">
        <v>27</v>
      </c>
      <c r="I76" s="128">
        <f>_xlfn.XLOOKUP(E76,'All Products'!D:D,'All Products'!H:H)</f>
        <v>2244.11</v>
      </c>
      <c r="J76" s="135">
        <f>ROUNDUP(I76*Order_Quote!$L$15,2)</f>
        <v>11220.55</v>
      </c>
      <c r="K76" s="123"/>
      <c r="L76" s="79"/>
      <c r="M76" s="117">
        <f t="shared" si="2"/>
        <v>0</v>
      </c>
      <c r="O76" s="265" t="s">
        <v>1693</v>
      </c>
      <c r="P76" s="265" t="s">
        <v>77</v>
      </c>
      <c r="Q76" s="265" t="s">
        <v>2320</v>
      </c>
      <c r="R76" s="265">
        <v>0</v>
      </c>
      <c r="S76" s="265">
        <v>0</v>
      </c>
      <c r="T76" s="347">
        <v>15.58</v>
      </c>
      <c r="U76" s="348">
        <v>15.58</v>
      </c>
      <c r="V76" s="348" t="s">
        <v>1205</v>
      </c>
    </row>
    <row r="77" spans="1:22">
      <c r="A77" s="5" t="str">
        <f>IF(K77&gt;0,COUNT($A$7:A76)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7" s="630"/>
      <c r="C77" s="630"/>
      <c r="D77" s="53" t="s">
        <v>2321</v>
      </c>
      <c r="E77" s="54">
        <v>100029357</v>
      </c>
      <c r="F77" s="55" t="s">
        <v>2322</v>
      </c>
      <c r="G77" s="282">
        <v>18</v>
      </c>
      <c r="H77" s="282">
        <v>432</v>
      </c>
      <c r="I77" s="128">
        <f>_xlfn.XLOOKUP(E77,'All Products'!D:D,'All Products'!H:H)</f>
        <v>65.17</v>
      </c>
      <c r="J77" s="135">
        <f>ROUNDUP(I77*Order_Quote!$L$15,2)</f>
        <v>325.85000000000002</v>
      </c>
      <c r="K77" s="127"/>
      <c r="L77" s="79"/>
      <c r="M77" s="117">
        <f t="shared" si="2"/>
        <v>0</v>
      </c>
      <c r="O77" s="265" t="s">
        <v>76</v>
      </c>
      <c r="P77" s="265" t="s">
        <v>102</v>
      </c>
      <c r="Q77" s="265" t="s">
        <v>2323</v>
      </c>
      <c r="R77" s="265">
        <v>0</v>
      </c>
      <c r="S77" s="265" t="s">
        <v>2323</v>
      </c>
      <c r="T77" s="347">
        <v>1.042</v>
      </c>
      <c r="U77" s="348">
        <v>20.951999999999998</v>
      </c>
      <c r="V77" s="348">
        <v>1.8803145838984718</v>
      </c>
    </row>
    <row r="78" spans="1:22">
      <c r="A78" s="5" t="str">
        <f>IF(K78&gt;0,COUNT($A$7:A77)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8" s="630"/>
      <c r="C78" s="630"/>
      <c r="D78" s="53" t="s">
        <v>2324</v>
      </c>
      <c r="E78" s="54">
        <v>100030901</v>
      </c>
      <c r="F78" s="55" t="s">
        <v>2325</v>
      </c>
      <c r="G78" s="282">
        <v>1</v>
      </c>
      <c r="H78" s="282">
        <v>160</v>
      </c>
      <c r="I78" s="128">
        <f>_xlfn.XLOOKUP(E78,'All Products'!D:D,'All Products'!H:H)</f>
        <v>136.25</v>
      </c>
      <c r="J78" s="135">
        <f>ROUNDUP(I78*Order_Quote!$L$15,2)</f>
        <v>681.25</v>
      </c>
      <c r="K78" s="123"/>
      <c r="L78" s="79"/>
      <c r="M78" s="117">
        <f t="shared" si="2"/>
        <v>0</v>
      </c>
      <c r="O78" s="265" t="s">
        <v>359</v>
      </c>
      <c r="P78" s="265" t="s">
        <v>102</v>
      </c>
      <c r="Q78" s="265" t="s">
        <v>2326</v>
      </c>
      <c r="R78" s="265">
        <v>0</v>
      </c>
      <c r="S78" s="265" t="s">
        <v>2327</v>
      </c>
      <c r="T78" s="347">
        <v>2.34</v>
      </c>
      <c r="U78" s="348">
        <v>374.4</v>
      </c>
      <c r="V78" s="348">
        <v>53.333269333358928</v>
      </c>
    </row>
    <row r="79" spans="1:22">
      <c r="A79" s="5" t="str">
        <f>IF(K79&gt;0,COUNT($A$7:A78)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79" s="630"/>
      <c r="C79" s="630"/>
      <c r="D79" s="53" t="s">
        <v>2328</v>
      </c>
      <c r="E79" s="54">
        <v>100029356</v>
      </c>
      <c r="F79" s="55" t="s">
        <v>2329</v>
      </c>
      <c r="G79" s="282">
        <v>1</v>
      </c>
      <c r="H79" s="282">
        <v>140</v>
      </c>
      <c r="I79" s="128">
        <f>_xlfn.XLOOKUP(E79,'All Products'!D:D,'All Products'!H:H)</f>
        <v>128.33000000000001</v>
      </c>
      <c r="J79" s="135">
        <f>ROUNDUP(I79*Order_Quote!$L$15,2)</f>
        <v>641.65</v>
      </c>
      <c r="K79" s="123"/>
      <c r="L79" s="79"/>
      <c r="M79" s="117">
        <f t="shared" si="2"/>
        <v>0</v>
      </c>
      <c r="O79" s="265" t="s">
        <v>76</v>
      </c>
      <c r="P79" s="265" t="s">
        <v>102</v>
      </c>
      <c r="Q79" s="265" t="s">
        <v>2330</v>
      </c>
      <c r="R79" s="265">
        <v>0</v>
      </c>
      <c r="S79" s="265" t="s">
        <v>2331</v>
      </c>
      <c r="T79" s="347">
        <v>2.8559999999999999</v>
      </c>
      <c r="U79" s="348">
        <v>401.52</v>
      </c>
      <c r="V79" s="348">
        <v>53.333269333358928</v>
      </c>
    </row>
    <row r="80" spans="1:22">
      <c r="A80" s="5" t="str">
        <f>IF(K80&gt;0,COUNT($A$7:A79)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0" s="630"/>
      <c r="C80" s="630"/>
      <c r="D80" s="53" t="s">
        <v>2332</v>
      </c>
      <c r="E80" s="54">
        <v>100029351</v>
      </c>
      <c r="F80" s="55" t="s">
        <v>2333</v>
      </c>
      <c r="G80" s="282">
        <v>1</v>
      </c>
      <c r="H80" s="282">
        <v>80</v>
      </c>
      <c r="I80" s="128">
        <f>_xlfn.XLOOKUP(E80,'All Products'!D:D,'All Products'!H:H)</f>
        <v>373.88</v>
      </c>
      <c r="J80" s="135">
        <f>ROUNDUP(I80*Order_Quote!$L$15,2)</f>
        <v>1869.4</v>
      </c>
      <c r="K80" s="123"/>
      <c r="L80" s="79"/>
      <c r="M80" s="118">
        <f t="shared" si="2"/>
        <v>0</v>
      </c>
      <c r="O80" s="265" t="s">
        <v>76</v>
      </c>
      <c r="P80" s="265" t="s">
        <v>102</v>
      </c>
      <c r="Q80" s="265" t="s">
        <v>2334</v>
      </c>
      <c r="R80" s="265">
        <v>0</v>
      </c>
      <c r="S80" s="265" t="s">
        <v>2335</v>
      </c>
      <c r="T80" s="347">
        <v>3.8639999999999999</v>
      </c>
      <c r="U80" s="348">
        <v>309.12</v>
      </c>
      <c r="V80" s="348">
        <v>53.333269333358928</v>
      </c>
    </row>
    <row r="81" spans="1:22">
      <c r="A81" s="5" t="str">
        <f>IF(K81&gt;0,COUNT($A$7:A80)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1" s="630"/>
      <c r="C81" s="630"/>
      <c r="D81" s="53" t="s">
        <v>2336</v>
      </c>
      <c r="E81" s="54">
        <v>300003467</v>
      </c>
      <c r="F81" s="55" t="s">
        <v>2337</v>
      </c>
      <c r="G81" s="282">
        <v>1</v>
      </c>
      <c r="H81" s="282">
        <v>36</v>
      </c>
      <c r="I81" s="128">
        <f>_xlfn.XLOOKUP(E81,'All Products'!D:D,'All Products'!H:H)</f>
        <v>2200.87</v>
      </c>
      <c r="J81" s="135">
        <f>ROUNDUP(I81*Order_Quote!$L$15,2)</f>
        <v>11004.35</v>
      </c>
      <c r="K81" s="123"/>
      <c r="L81" s="79"/>
      <c r="M81" s="117">
        <f t="shared" si="2"/>
        <v>0</v>
      </c>
      <c r="O81" s="265" t="s">
        <v>1693</v>
      </c>
      <c r="P81" s="265" t="s">
        <v>77</v>
      </c>
      <c r="Q81" s="265" t="s">
        <v>2338</v>
      </c>
      <c r="R81" s="265">
        <v>0</v>
      </c>
      <c r="S81" s="265">
        <v>0</v>
      </c>
      <c r="T81" s="347">
        <v>8.86</v>
      </c>
      <c r="U81" s="348">
        <v>8.86</v>
      </c>
      <c r="V81" s="348" t="s">
        <v>1205</v>
      </c>
    </row>
    <row r="82" spans="1:22">
      <c r="A82" s="5" t="str">
        <f>IF(K82&gt;0,COUNT($A$7:A81)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2" s="630"/>
      <c r="C82" s="630"/>
      <c r="D82" s="53" t="s">
        <v>2339</v>
      </c>
      <c r="E82" s="54">
        <v>300003525</v>
      </c>
      <c r="F82" s="55" t="s">
        <v>2340</v>
      </c>
      <c r="G82" s="282">
        <v>1</v>
      </c>
      <c r="H82" s="282">
        <v>16</v>
      </c>
      <c r="I82" s="128">
        <f>_xlfn.XLOOKUP(E82,'All Products'!D:D,'All Products'!H:H)</f>
        <v>3742.78</v>
      </c>
      <c r="J82" s="135">
        <f>ROUNDUP(I82*Order_Quote!$L$15,2)</f>
        <v>18713.900000000001</v>
      </c>
      <c r="K82" s="123"/>
      <c r="L82" s="79"/>
      <c r="M82" s="117">
        <f t="shared" si="2"/>
        <v>0</v>
      </c>
      <c r="O82" s="265" t="s">
        <v>1693</v>
      </c>
      <c r="P82" s="265" t="s">
        <v>77</v>
      </c>
      <c r="Q82" s="265" t="s">
        <v>2341</v>
      </c>
      <c r="R82" s="265">
        <v>0</v>
      </c>
      <c r="S82" s="265">
        <v>0</v>
      </c>
      <c r="T82" s="347">
        <v>15.86</v>
      </c>
      <c r="U82" s="348">
        <v>15.86</v>
      </c>
      <c r="V82" s="348" t="s">
        <v>1205</v>
      </c>
    </row>
    <row r="83" spans="1:22">
      <c r="A83" s="5" t="str">
        <f>IF(K83&gt;0,COUNT($A$7:A82)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3" s="630"/>
      <c r="C83" s="630"/>
      <c r="D83" s="53" t="s">
        <v>2342</v>
      </c>
      <c r="E83" s="54">
        <v>100029349</v>
      </c>
      <c r="F83" s="55" t="s">
        <v>2343</v>
      </c>
      <c r="G83" s="282">
        <v>18</v>
      </c>
      <c r="H83" s="282">
        <v>432</v>
      </c>
      <c r="I83" s="128">
        <f>_xlfn.XLOOKUP(E83,'All Products'!D:D,'All Products'!H:H)</f>
        <v>61.95</v>
      </c>
      <c r="J83" s="135">
        <f>ROUNDUP(I83*Order_Quote!$L$15,2)</f>
        <v>309.75</v>
      </c>
      <c r="K83" s="127"/>
      <c r="L83" s="79"/>
      <c r="M83" s="118">
        <f t="shared" si="2"/>
        <v>0</v>
      </c>
      <c r="O83" s="265" t="s">
        <v>76</v>
      </c>
      <c r="P83" s="265" t="s">
        <v>102</v>
      </c>
      <c r="Q83" s="265" t="s">
        <v>2344</v>
      </c>
      <c r="R83" s="265">
        <v>0</v>
      </c>
      <c r="S83" s="265" t="s">
        <v>2344</v>
      </c>
      <c r="T83" s="347">
        <v>0.86199999999999999</v>
      </c>
      <c r="U83" s="348">
        <v>17.712</v>
      </c>
      <c r="V83" s="348">
        <v>1.8803145838984718</v>
      </c>
    </row>
    <row r="84" spans="1:22">
      <c r="A84" s="5" t="str">
        <f>IF(K84&gt;0,COUNT($A$7:A83)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4" s="630"/>
      <c r="C84" s="630"/>
      <c r="D84" s="53" t="s">
        <v>2345</v>
      </c>
      <c r="E84" s="54">
        <v>100029352</v>
      </c>
      <c r="F84" s="55" t="s">
        <v>2346</v>
      </c>
      <c r="G84" s="282">
        <v>1</v>
      </c>
      <c r="H84" s="282">
        <v>140</v>
      </c>
      <c r="I84" s="128">
        <f>_xlfn.XLOOKUP(E84,'All Products'!D:D,'All Products'!H:H)</f>
        <v>121.83</v>
      </c>
      <c r="J84" s="135">
        <f>ROUNDUP(I84*Order_Quote!$L$15,2)</f>
        <v>609.15</v>
      </c>
      <c r="K84" s="123"/>
      <c r="L84" s="79"/>
      <c r="M84" s="117">
        <f t="shared" si="2"/>
        <v>0</v>
      </c>
      <c r="O84" s="265" t="s">
        <v>76</v>
      </c>
      <c r="P84" s="265" t="s">
        <v>102</v>
      </c>
      <c r="Q84" s="265" t="s">
        <v>2347</v>
      </c>
      <c r="R84" s="265">
        <v>0</v>
      </c>
      <c r="S84" s="265" t="s">
        <v>2348</v>
      </c>
      <c r="T84" s="347">
        <v>2.536</v>
      </c>
      <c r="U84" s="348">
        <v>355.32</v>
      </c>
      <c r="V84" s="348">
        <v>53.333269333358928</v>
      </c>
    </row>
    <row r="85" spans="1:22">
      <c r="A85" s="5" t="str">
        <f>IF(K85&gt;0,COUNT($A$7:A84)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5" s="630"/>
      <c r="C85" s="630"/>
      <c r="D85" s="53" t="s">
        <v>2349</v>
      </c>
      <c r="E85" s="54">
        <v>100029350</v>
      </c>
      <c r="F85" s="55" t="s">
        <v>2350</v>
      </c>
      <c r="G85" s="282">
        <v>1</v>
      </c>
      <c r="H85" s="282">
        <v>80</v>
      </c>
      <c r="I85" s="128">
        <f>_xlfn.XLOOKUP(E85,'All Products'!D:D,'All Products'!H:H)</f>
        <v>390.72</v>
      </c>
      <c r="J85" s="135">
        <f>ROUNDUP(I85*Order_Quote!$L$15,2)</f>
        <v>1953.6</v>
      </c>
      <c r="K85" s="123"/>
      <c r="L85" s="79"/>
      <c r="M85" s="117">
        <f t="shared" si="2"/>
        <v>0</v>
      </c>
      <c r="O85" s="265" t="s">
        <v>359</v>
      </c>
      <c r="P85" s="265" t="s">
        <v>102</v>
      </c>
      <c r="Q85" s="265" t="s">
        <v>2351</v>
      </c>
      <c r="R85" s="265">
        <v>0</v>
      </c>
      <c r="S85" s="265" t="s">
        <v>2352</v>
      </c>
      <c r="T85" s="347">
        <v>3.3820000000000001</v>
      </c>
      <c r="U85" s="348">
        <v>270.56</v>
      </c>
      <c r="V85" s="348">
        <v>53.333269333358928</v>
      </c>
    </row>
    <row r="86" spans="1:22">
      <c r="A86" s="5" t="str">
        <f>IF(K86&gt;0,COUNT($A$7:A85)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6" s="630"/>
      <c r="C86" s="630"/>
      <c r="D86" s="53" t="s">
        <v>2353</v>
      </c>
      <c r="E86" s="54">
        <v>300005897</v>
      </c>
      <c r="F86" s="55" t="s">
        <v>2354</v>
      </c>
      <c r="G86" s="283">
        <v>1</v>
      </c>
      <c r="H86" s="283">
        <v>180</v>
      </c>
      <c r="I86" s="128">
        <f>_xlfn.XLOOKUP(E86,'All Products'!D:D,'All Products'!H:H)</f>
        <v>422.7</v>
      </c>
      <c r="J86" s="135">
        <f>ROUNDUP(I86*Order_Quote!$L$15,2)</f>
        <v>2113.5</v>
      </c>
      <c r="K86" s="123"/>
      <c r="L86" s="79"/>
      <c r="M86" s="117">
        <f t="shared" si="2"/>
        <v>0</v>
      </c>
      <c r="O86" s="265" t="s">
        <v>1693</v>
      </c>
      <c r="P86" s="265" t="s">
        <v>77</v>
      </c>
      <c r="Q86" s="265" t="s">
        <v>2355</v>
      </c>
      <c r="R86" s="265">
        <v>0</v>
      </c>
      <c r="S86" s="265">
        <v>0</v>
      </c>
      <c r="T86" s="347">
        <v>2.2000000000000002</v>
      </c>
      <c r="U86" s="348">
        <v>2.2000000000000002</v>
      </c>
      <c r="V86" s="348" t="s">
        <v>1205</v>
      </c>
    </row>
    <row r="87" spans="1:22">
      <c r="A87" s="5" t="str">
        <f>IF(K87&gt;0,COUNT($A$7:A86)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7" s="630"/>
      <c r="C87" s="630"/>
      <c r="D87" s="53" t="s">
        <v>2356</v>
      </c>
      <c r="E87" s="54">
        <v>300005898</v>
      </c>
      <c r="F87" s="55" t="s">
        <v>2357</v>
      </c>
      <c r="G87" s="283">
        <v>1</v>
      </c>
      <c r="H87" s="283">
        <v>120</v>
      </c>
      <c r="I87" s="128">
        <f>_xlfn.XLOOKUP(E87,'All Products'!D:D,'All Products'!H:H)</f>
        <v>938</v>
      </c>
      <c r="J87" s="135">
        <f>ROUNDUP(I87*Order_Quote!$L$15,2)</f>
        <v>4690</v>
      </c>
      <c r="K87" s="123"/>
      <c r="L87" s="79"/>
      <c r="M87" s="117">
        <f t="shared" si="2"/>
        <v>0</v>
      </c>
      <c r="O87" s="265" t="s">
        <v>1693</v>
      </c>
      <c r="P87" s="265" t="s">
        <v>77</v>
      </c>
      <c r="Q87" s="265" t="s">
        <v>2358</v>
      </c>
      <c r="R87" s="265">
        <v>0</v>
      </c>
      <c r="S87" s="265">
        <v>0</v>
      </c>
      <c r="T87" s="347">
        <v>112.83</v>
      </c>
      <c r="U87" s="348">
        <v>112.83</v>
      </c>
      <c r="V87" s="348" t="s">
        <v>1205</v>
      </c>
    </row>
    <row r="88" spans="1:22">
      <c r="A88" s="5" t="str">
        <f>IF(K88&gt;0,COUNT($A$7:A87)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8" s="630"/>
      <c r="C88" s="630"/>
      <c r="D88" s="53" t="s">
        <v>2359</v>
      </c>
      <c r="E88" s="54">
        <v>300005899</v>
      </c>
      <c r="F88" s="55" t="s">
        <v>2360</v>
      </c>
      <c r="G88" s="283">
        <v>1</v>
      </c>
      <c r="H88" s="283">
        <v>60</v>
      </c>
      <c r="I88" s="128">
        <f>_xlfn.XLOOKUP(E88,'All Products'!D:D,'All Products'!H:H)</f>
        <v>1099.5</v>
      </c>
      <c r="J88" s="135">
        <f>ROUNDUP(I88*Order_Quote!$L$15,2)</f>
        <v>5497.5</v>
      </c>
      <c r="K88" s="123"/>
      <c r="L88" s="79"/>
      <c r="M88" s="118">
        <f t="shared" si="2"/>
        <v>0</v>
      </c>
      <c r="O88" s="265" t="s">
        <v>1693</v>
      </c>
      <c r="P88" s="265" t="s">
        <v>77</v>
      </c>
      <c r="Q88" s="265" t="s">
        <v>2361</v>
      </c>
      <c r="R88" s="265">
        <v>0</v>
      </c>
      <c r="S88" s="265">
        <v>0</v>
      </c>
      <c r="T88" s="347">
        <v>115.12</v>
      </c>
      <c r="U88" s="348">
        <v>115.12</v>
      </c>
      <c r="V88" s="348" t="s">
        <v>1205</v>
      </c>
    </row>
    <row r="89" spans="1:22">
      <c r="A89" s="5" t="str">
        <f>IF(K89&gt;0,COUNT($A$7:A88)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89" s="630"/>
      <c r="C89" s="630"/>
      <c r="D89" s="53" t="s">
        <v>2362</v>
      </c>
      <c r="E89" s="54">
        <v>300005900</v>
      </c>
      <c r="F89" s="55" t="s">
        <v>2363</v>
      </c>
      <c r="G89" s="283">
        <v>1</v>
      </c>
      <c r="H89" s="283">
        <v>36</v>
      </c>
      <c r="I89" s="128">
        <f>_xlfn.XLOOKUP(E89,'All Products'!D:D,'All Products'!H:H)</f>
        <v>1274.72</v>
      </c>
      <c r="J89" s="135">
        <f>ROUNDUP(I89*Order_Quote!$L$15,2)</f>
        <v>6373.6</v>
      </c>
      <c r="K89" s="123"/>
      <c r="L89" s="79"/>
      <c r="M89" s="117">
        <f t="shared" si="2"/>
        <v>0</v>
      </c>
      <c r="O89" s="265" t="s">
        <v>1693</v>
      </c>
      <c r="P89" s="265" t="s">
        <v>77</v>
      </c>
      <c r="Q89" s="265" t="s">
        <v>2364</v>
      </c>
      <c r="R89" s="265">
        <v>0</v>
      </c>
      <c r="S89" s="265">
        <v>0</v>
      </c>
      <c r="T89" s="347">
        <v>7.5</v>
      </c>
      <c r="U89" s="348">
        <v>7.5</v>
      </c>
      <c r="V89" s="348" t="s">
        <v>1205</v>
      </c>
    </row>
    <row r="90" spans="1:22" ht="38.25" customHeight="1">
      <c r="A90" s="5" t="str">
        <f>IF(K90&gt;0,COUNT($A$7:A89)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0" s="630"/>
      <c r="C90" s="630"/>
      <c r="D90" s="53" t="s">
        <v>2365</v>
      </c>
      <c r="E90" s="54">
        <v>300004438</v>
      </c>
      <c r="F90" s="55" t="s">
        <v>2366</v>
      </c>
      <c r="G90" s="283">
        <v>36</v>
      </c>
      <c r="H90" s="283">
        <v>2250</v>
      </c>
      <c r="I90" s="128">
        <f>_xlfn.XLOOKUP(E90,'All Products'!D:D,'All Products'!H:H)</f>
        <v>49.44</v>
      </c>
      <c r="J90" s="135">
        <f>ROUNDUP(I90*Order_Quote!$L$15,2)</f>
        <v>247.2</v>
      </c>
      <c r="K90" s="127"/>
      <c r="L90" s="79"/>
      <c r="M90" s="118">
        <f t="shared" si="2"/>
        <v>0</v>
      </c>
      <c r="O90" s="265" t="s">
        <v>1693</v>
      </c>
      <c r="P90" s="265" t="s">
        <v>77</v>
      </c>
      <c r="Q90" s="265" t="s">
        <v>2367</v>
      </c>
      <c r="R90" s="265">
        <v>0</v>
      </c>
      <c r="S90" s="265">
        <v>0</v>
      </c>
      <c r="T90" s="347">
        <v>0.15</v>
      </c>
      <c r="U90" s="348">
        <v>5.3999999999999995</v>
      </c>
      <c r="V90" s="348" t="s">
        <v>1205</v>
      </c>
    </row>
    <row r="91" spans="1:22">
      <c r="A91" s="5" t="str">
        <f>IF(K91&gt;0,COUNT($A$7:A90)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1" s="630"/>
      <c r="C91" s="630"/>
      <c r="D91" s="53" t="s">
        <v>2368</v>
      </c>
      <c r="E91" s="54">
        <v>100029353</v>
      </c>
      <c r="F91" s="55" t="s">
        <v>2369</v>
      </c>
      <c r="G91" s="283">
        <v>24</v>
      </c>
      <c r="H91" s="283">
        <v>1080</v>
      </c>
      <c r="I91" s="128">
        <f>_xlfn.XLOOKUP(E91,'All Products'!D:D,'All Products'!H:H)</f>
        <v>31.82</v>
      </c>
      <c r="J91" s="135">
        <f>ROUNDUP(I91*Order_Quote!$L$15,2)</f>
        <v>159.1</v>
      </c>
      <c r="K91" s="127"/>
      <c r="L91" s="79"/>
      <c r="M91" s="117">
        <f t="shared" si="2"/>
        <v>0</v>
      </c>
      <c r="O91" s="265" t="s">
        <v>76</v>
      </c>
      <c r="P91" s="265" t="s">
        <v>102</v>
      </c>
      <c r="Q91" s="265" t="s">
        <v>2370</v>
      </c>
      <c r="R91" s="265">
        <v>0</v>
      </c>
      <c r="S91" s="265" t="s">
        <v>2371</v>
      </c>
      <c r="T91" s="347">
        <v>0.36099999999999999</v>
      </c>
      <c r="U91" s="348">
        <v>9.863999999999999</v>
      </c>
      <c r="V91" s="348">
        <v>0.98955954024750914</v>
      </c>
    </row>
    <row r="92" spans="1:22">
      <c r="A92" s="5" t="str">
        <f>IF(K92&gt;0,COUNT($A$7:A91)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2" s="630"/>
      <c r="C92" s="630"/>
      <c r="D92" s="53" t="s">
        <v>2372</v>
      </c>
      <c r="E92" s="54">
        <v>100029354</v>
      </c>
      <c r="F92" s="55" t="s">
        <v>2373</v>
      </c>
      <c r="G92" s="283">
        <v>18</v>
      </c>
      <c r="H92" s="283">
        <v>432</v>
      </c>
      <c r="I92" s="128">
        <f>_xlfn.XLOOKUP(E92,'All Products'!D:D,'All Products'!H:H)</f>
        <v>48.77</v>
      </c>
      <c r="J92" s="135">
        <f>ROUNDUP(I92*Order_Quote!$L$15,2)</f>
        <v>243.85</v>
      </c>
      <c r="K92" s="123"/>
      <c r="L92" s="79"/>
      <c r="M92" s="118">
        <f t="shared" si="2"/>
        <v>0</v>
      </c>
      <c r="O92" s="265" t="s">
        <v>76</v>
      </c>
      <c r="P92" s="265" t="s">
        <v>102</v>
      </c>
      <c r="Q92" s="265" t="s">
        <v>2374</v>
      </c>
      <c r="R92" s="265">
        <v>0</v>
      </c>
      <c r="S92" s="265" t="s">
        <v>2375</v>
      </c>
      <c r="T92" s="347">
        <v>1.0469999999999999</v>
      </c>
      <c r="U92" s="348">
        <v>21.042000000000002</v>
      </c>
      <c r="V92" s="348">
        <v>1.8803145838984718</v>
      </c>
    </row>
    <row r="93" spans="1:22">
      <c r="A93" s="5" t="str">
        <f>IF(K93&gt;0,COUNT($A$7:A92)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3" s="630"/>
      <c r="C93" s="630"/>
      <c r="D93" s="53" t="s">
        <v>2376</v>
      </c>
      <c r="E93" s="54">
        <v>100029355</v>
      </c>
      <c r="F93" s="55" t="s">
        <v>2377</v>
      </c>
      <c r="G93" s="283">
        <v>9</v>
      </c>
      <c r="H93" s="283">
        <v>162</v>
      </c>
      <c r="I93" s="128">
        <f>_xlfn.XLOOKUP(E93,'All Products'!D:D,'All Products'!H:H)</f>
        <v>172.85</v>
      </c>
      <c r="J93" s="135">
        <f>ROUNDUP(I93*Order_Quote!$L$15,2)</f>
        <v>864.25</v>
      </c>
      <c r="K93" s="123"/>
      <c r="L93" s="79"/>
      <c r="M93" s="117">
        <f t="shared" si="2"/>
        <v>0</v>
      </c>
      <c r="O93" s="265" t="s">
        <v>359</v>
      </c>
      <c r="P93" s="265" t="s">
        <v>102</v>
      </c>
      <c r="Q93" s="265" t="s">
        <v>2378</v>
      </c>
      <c r="R93" s="265">
        <v>0</v>
      </c>
      <c r="S93" s="265" t="s">
        <v>2379</v>
      </c>
      <c r="T93" s="347">
        <v>2.17</v>
      </c>
      <c r="U93" s="348">
        <v>21.384</v>
      </c>
      <c r="V93" s="348">
        <v>2.361325291407383</v>
      </c>
    </row>
    <row r="94" spans="1:22">
      <c r="A94" s="5" t="str">
        <f>IF(K94&gt;0,COUNT($A$7:A93)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4" s="630"/>
      <c r="C94" s="630"/>
      <c r="D94" s="53" t="s">
        <v>2380</v>
      </c>
      <c r="E94" s="54">
        <v>300005844</v>
      </c>
      <c r="F94" s="55" t="s">
        <v>2381</v>
      </c>
      <c r="G94" s="283">
        <v>1</v>
      </c>
      <c r="H94" s="283">
        <v>72</v>
      </c>
      <c r="I94" s="128">
        <f>_xlfn.XLOOKUP(E94,'All Products'!D:D,'All Products'!H:H)</f>
        <v>1031.68</v>
      </c>
      <c r="J94" s="135">
        <f>ROUNDUP(I94*Order_Quote!$L$15,2)</f>
        <v>5158.3999999999996</v>
      </c>
      <c r="K94" s="123"/>
      <c r="L94" s="79"/>
      <c r="M94" s="117">
        <f t="shared" si="2"/>
        <v>0</v>
      </c>
      <c r="O94" s="265" t="s">
        <v>1693</v>
      </c>
      <c r="P94" s="265" t="s">
        <v>77</v>
      </c>
      <c r="Q94" s="265" t="s">
        <v>2382</v>
      </c>
      <c r="R94" s="265">
        <v>0</v>
      </c>
      <c r="S94" s="265">
        <v>0</v>
      </c>
      <c r="T94" s="347">
        <v>4.4000000000000004</v>
      </c>
      <c r="U94" s="348">
        <v>4.4000000000000004</v>
      </c>
      <c r="V94" s="348" t="s">
        <v>1205</v>
      </c>
    </row>
    <row r="95" spans="1:22">
      <c r="A95" s="5" t="str">
        <f>IF(K95&gt;0,COUNT($A$7:A94)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5" s="630"/>
      <c r="C95" s="630"/>
      <c r="D95" s="53" t="s">
        <v>2383</v>
      </c>
      <c r="E95" s="54">
        <v>300005849</v>
      </c>
      <c r="F95" s="55" t="s">
        <v>2384</v>
      </c>
      <c r="G95" s="283">
        <v>2</v>
      </c>
      <c r="H95" s="283">
        <v>36</v>
      </c>
      <c r="I95" s="128">
        <f>_xlfn.XLOOKUP(E95,'All Products'!D:D,'All Products'!H:H)</f>
        <v>1535.05</v>
      </c>
      <c r="J95" s="135">
        <f>ROUNDUP(I95*Order_Quote!$L$15,2)</f>
        <v>7675.25</v>
      </c>
      <c r="K95" s="123"/>
      <c r="L95" s="79"/>
      <c r="M95" s="117">
        <f t="shared" si="2"/>
        <v>0</v>
      </c>
      <c r="O95" s="265" t="s">
        <v>1693</v>
      </c>
      <c r="P95" s="265" t="s">
        <v>77</v>
      </c>
      <c r="Q95" s="265" t="s">
        <v>2385</v>
      </c>
      <c r="R95" s="265">
        <v>0</v>
      </c>
      <c r="S95" s="265">
        <v>0</v>
      </c>
      <c r="T95" s="347">
        <v>8.57</v>
      </c>
      <c r="U95" s="348">
        <v>17.14</v>
      </c>
      <c r="V95" s="348" t="s">
        <v>1205</v>
      </c>
    </row>
    <row r="96" spans="1:22">
      <c r="A96" s="5" t="str">
        <f>IF(K96&gt;0,COUNT($A$7:A95)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6" s="630"/>
      <c r="C96" s="630"/>
      <c r="D96" s="53" t="s">
        <v>2386</v>
      </c>
      <c r="E96" s="54">
        <v>100029246</v>
      </c>
      <c r="F96" s="55" t="s">
        <v>2387</v>
      </c>
      <c r="G96" s="283">
        <v>25</v>
      </c>
      <c r="H96" s="283">
        <v>1125</v>
      </c>
      <c r="I96" s="128">
        <f>_xlfn.XLOOKUP(E96,'All Products'!D:D,'All Products'!H:H)</f>
        <v>42.08</v>
      </c>
      <c r="J96" s="135">
        <f>ROUNDUP(I96*Order_Quote!$L$15,2)</f>
        <v>210.4</v>
      </c>
      <c r="K96" s="127"/>
      <c r="L96" s="79"/>
      <c r="M96" s="117">
        <f t="shared" si="2"/>
        <v>0</v>
      </c>
      <c r="O96" s="265" t="s">
        <v>76</v>
      </c>
      <c r="P96" s="265" t="s">
        <v>102</v>
      </c>
      <c r="Q96" s="265" t="s">
        <v>2388</v>
      </c>
      <c r="R96" s="265">
        <v>0</v>
      </c>
      <c r="S96" s="265" t="s">
        <v>2389</v>
      </c>
      <c r="T96" s="347">
        <v>0.46300000000000002</v>
      </c>
      <c r="U96" s="348">
        <v>12.775</v>
      </c>
      <c r="V96" s="348">
        <v>0.98955954024750914</v>
      </c>
    </row>
    <row r="97" spans="1:22">
      <c r="A97" s="5" t="str">
        <f>IF(K97&gt;0,COUNT($A$7:A96)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7" s="630"/>
      <c r="C97" s="630"/>
      <c r="D97" s="53" t="s">
        <v>2390</v>
      </c>
      <c r="E97" s="54">
        <v>100029247</v>
      </c>
      <c r="F97" s="55" t="s">
        <v>2391</v>
      </c>
      <c r="G97" s="283">
        <v>15</v>
      </c>
      <c r="H97" s="283">
        <v>360</v>
      </c>
      <c r="I97" s="128">
        <f>_xlfn.XLOOKUP(E97,'All Products'!D:D,'All Products'!H:H)</f>
        <v>78.959999999999994</v>
      </c>
      <c r="J97" s="135">
        <f>ROUNDUP(I97*Order_Quote!$L$15,2)</f>
        <v>394.8</v>
      </c>
      <c r="K97" s="123"/>
      <c r="L97" s="79"/>
      <c r="M97" s="117">
        <f t="shared" si="2"/>
        <v>0</v>
      </c>
      <c r="O97" s="265" t="s">
        <v>76</v>
      </c>
      <c r="P97" s="265" t="s">
        <v>102</v>
      </c>
      <c r="Q97" s="265" t="s">
        <v>2392</v>
      </c>
      <c r="R97" s="265">
        <v>0</v>
      </c>
      <c r="S97" s="265" t="s">
        <v>2393</v>
      </c>
      <c r="T97" s="347">
        <v>1.202</v>
      </c>
      <c r="U97" s="348">
        <v>20.220000000000002</v>
      </c>
      <c r="V97" s="348">
        <v>1.8803145838984718</v>
      </c>
    </row>
    <row r="98" spans="1:22">
      <c r="A98" s="5" t="str">
        <f>IF(K98&gt;0,COUNT($A$7:A97)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8" s="630"/>
      <c r="C98" s="630"/>
      <c r="D98" s="53" t="s">
        <v>2394</v>
      </c>
      <c r="E98" s="54">
        <v>100029245</v>
      </c>
      <c r="F98" s="55" t="s">
        <v>2395</v>
      </c>
      <c r="G98" s="283">
        <v>8</v>
      </c>
      <c r="H98" s="283">
        <v>192</v>
      </c>
      <c r="I98" s="128">
        <f>_xlfn.XLOOKUP(E98,'All Products'!D:D,'All Products'!H:H)</f>
        <v>213.04</v>
      </c>
      <c r="J98" s="135">
        <f>ROUNDUP(I98*Order_Quote!$L$15,2)</f>
        <v>1065.2</v>
      </c>
      <c r="K98" s="123"/>
      <c r="L98" s="79"/>
      <c r="M98" s="117">
        <f t="shared" si="2"/>
        <v>0</v>
      </c>
      <c r="O98" s="265" t="s">
        <v>76</v>
      </c>
      <c r="P98" s="265" t="s">
        <v>102</v>
      </c>
      <c r="Q98" s="265" t="s">
        <v>2396</v>
      </c>
      <c r="R98" s="265">
        <v>0</v>
      </c>
      <c r="S98" s="265" t="s">
        <v>2397</v>
      </c>
      <c r="T98" s="347">
        <v>2.2959999999999998</v>
      </c>
      <c r="U98" s="348">
        <v>20.544</v>
      </c>
      <c r="V98" s="348">
        <v>1.8803145838984718</v>
      </c>
    </row>
    <row r="99" spans="1:22">
      <c r="A99" s="5" t="str">
        <f>IF(K99&gt;0,COUNT($A$7:A98)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99" s="630"/>
      <c r="C99" s="630"/>
      <c r="D99" s="53" t="s">
        <v>2398</v>
      </c>
      <c r="E99" s="54">
        <v>300003461</v>
      </c>
      <c r="F99" s="55" t="s">
        <v>2399</v>
      </c>
      <c r="G99" s="283">
        <v>1</v>
      </c>
      <c r="H99" s="283">
        <v>72</v>
      </c>
      <c r="I99" s="128">
        <f>_xlfn.XLOOKUP(E99,'All Products'!D:D,'All Products'!H:H)</f>
        <v>1200.3499999999999</v>
      </c>
      <c r="J99" s="135">
        <f>ROUNDUP(I99*Order_Quote!$L$15,2)</f>
        <v>6001.75</v>
      </c>
      <c r="K99" s="123"/>
      <c r="L99" s="79"/>
      <c r="M99" s="118">
        <f t="shared" si="2"/>
        <v>0</v>
      </c>
      <c r="O99" s="265" t="s">
        <v>1693</v>
      </c>
      <c r="P99" s="265" t="s">
        <v>77</v>
      </c>
      <c r="Q99" s="265" t="s">
        <v>2400</v>
      </c>
      <c r="R99" s="265">
        <v>0</v>
      </c>
      <c r="S99" s="265">
        <v>0</v>
      </c>
      <c r="T99" s="347">
        <v>4.72</v>
      </c>
      <c r="U99" s="348">
        <v>4.72</v>
      </c>
      <c r="V99" s="348" t="s">
        <v>1205</v>
      </c>
    </row>
    <row r="100" spans="1:22">
      <c r="A100" s="5" t="str">
        <f>IF(K100&gt;0,COUNT($A$7:A99)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0" s="630"/>
      <c r="C100" s="630"/>
      <c r="D100" s="53" t="s">
        <v>2401</v>
      </c>
      <c r="E100" s="54">
        <v>300003519</v>
      </c>
      <c r="F100" s="55" t="s">
        <v>2402</v>
      </c>
      <c r="G100" s="283">
        <v>1</v>
      </c>
      <c r="H100" s="283">
        <v>40</v>
      </c>
      <c r="I100" s="128">
        <f>_xlfn.XLOOKUP(E100,'All Products'!D:D,'All Products'!H:H)</f>
        <v>2160.56</v>
      </c>
      <c r="J100" s="135">
        <f>ROUNDUP(I100*Order_Quote!$L$15,2)</f>
        <v>10802.8</v>
      </c>
      <c r="K100" s="123"/>
      <c r="L100" s="79"/>
      <c r="M100" s="117">
        <f t="shared" si="2"/>
        <v>0</v>
      </c>
      <c r="O100" s="265" t="s">
        <v>1693</v>
      </c>
      <c r="P100" s="265" t="s">
        <v>77</v>
      </c>
      <c r="Q100" s="265" t="s">
        <v>2403</v>
      </c>
      <c r="R100" s="265">
        <v>0</v>
      </c>
      <c r="S100" s="265">
        <v>0</v>
      </c>
      <c r="T100" s="347">
        <v>8.3000000000000007</v>
      </c>
      <c r="U100" s="348">
        <v>8.3000000000000007</v>
      </c>
      <c r="V100" s="348" t="s">
        <v>1205</v>
      </c>
    </row>
    <row r="101" spans="1:22" ht="45.75" customHeight="1">
      <c r="A101" s="5" t="str">
        <f>IF(K101&gt;0,COUNT($A$7:A100)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1" s="630"/>
      <c r="C101" s="630"/>
      <c r="D101" s="53" t="s">
        <v>2404</v>
      </c>
      <c r="E101" s="54">
        <v>300005772</v>
      </c>
      <c r="F101" s="55" t="s">
        <v>2405</v>
      </c>
      <c r="G101" s="283">
        <v>16</v>
      </c>
      <c r="H101" s="283">
        <v>192</v>
      </c>
      <c r="I101" s="128">
        <f>_xlfn.XLOOKUP(E101,'All Products'!D:D,'All Products'!H:H)</f>
        <v>456.6</v>
      </c>
      <c r="J101" s="135">
        <f>ROUNDUP(I101*Order_Quote!$L$15,2)</f>
        <v>2283</v>
      </c>
      <c r="K101" s="127"/>
      <c r="L101" s="79"/>
      <c r="M101" s="118">
        <f t="shared" si="2"/>
        <v>0</v>
      </c>
      <c r="O101" s="265" t="s">
        <v>1693</v>
      </c>
      <c r="P101" s="265" t="s">
        <v>77</v>
      </c>
      <c r="Q101" s="265" t="s">
        <v>2406</v>
      </c>
      <c r="R101" s="265">
        <v>0</v>
      </c>
      <c r="S101" s="265">
        <v>0</v>
      </c>
      <c r="T101" s="347">
        <v>1.64</v>
      </c>
      <c r="U101" s="348">
        <v>26.24</v>
      </c>
      <c r="V101" s="348" t="s">
        <v>1205</v>
      </c>
    </row>
    <row r="102" spans="1:22">
      <c r="A102" s="5" t="str">
        <f>IF(K102&gt;0,COUNT($A$7:A101)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2" s="577"/>
      <c r="C102" s="578"/>
      <c r="D102" s="53" t="s">
        <v>2407</v>
      </c>
      <c r="E102" s="54">
        <v>100029425</v>
      </c>
      <c r="F102" s="55" t="s">
        <v>2408</v>
      </c>
      <c r="G102" s="283">
        <v>16</v>
      </c>
      <c r="H102" s="283">
        <v>288</v>
      </c>
      <c r="I102" s="128">
        <f>_xlfn.XLOOKUP(E102,'All Products'!D:D,'All Products'!H:H)</f>
        <v>123.3</v>
      </c>
      <c r="J102" s="135">
        <f>ROUNDUP(I102*Order_Quote!$L$15,2)</f>
        <v>616.5</v>
      </c>
      <c r="K102" s="127"/>
      <c r="L102" s="79"/>
      <c r="M102" s="117">
        <f t="shared" ref="M102:M133" si="3">K102/G102</f>
        <v>0</v>
      </c>
      <c r="O102" s="265" t="s">
        <v>76</v>
      </c>
      <c r="P102" s="265" t="s">
        <v>102</v>
      </c>
      <c r="Q102" s="265" t="s">
        <v>2409</v>
      </c>
      <c r="R102" s="265">
        <v>0</v>
      </c>
      <c r="S102" s="265" t="s">
        <v>2410</v>
      </c>
      <c r="T102" s="347">
        <v>1.65</v>
      </c>
      <c r="U102" s="348">
        <v>28.271999999999998</v>
      </c>
      <c r="V102" s="348">
        <v>2.361325291407383</v>
      </c>
    </row>
    <row r="103" spans="1:22">
      <c r="A103" s="5" t="str">
        <f>IF(K103&gt;0,COUNT($A$7:A102)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3" s="579"/>
      <c r="C103" s="580"/>
      <c r="D103" s="53" t="s">
        <v>2411</v>
      </c>
      <c r="E103" s="54">
        <v>300005873</v>
      </c>
      <c r="F103" s="55" t="s">
        <v>2412</v>
      </c>
      <c r="G103" s="283">
        <v>5</v>
      </c>
      <c r="H103" s="283">
        <v>120</v>
      </c>
      <c r="I103" s="128">
        <f>_xlfn.XLOOKUP(E103,'All Products'!D:D,'All Products'!H:H)</f>
        <v>712.06</v>
      </c>
      <c r="J103" s="135">
        <f>ROUNDUP(I103*Order_Quote!$L$15,2)</f>
        <v>3560.3</v>
      </c>
      <c r="K103" s="123"/>
      <c r="L103" s="79"/>
      <c r="M103" s="118">
        <f t="shared" si="3"/>
        <v>0</v>
      </c>
      <c r="O103" s="265" t="s">
        <v>1693</v>
      </c>
      <c r="P103" s="265" t="s">
        <v>77</v>
      </c>
      <c r="Q103" s="265" t="s">
        <v>2413</v>
      </c>
      <c r="R103" s="265">
        <v>0</v>
      </c>
      <c r="S103" s="265">
        <v>0</v>
      </c>
      <c r="T103" s="347">
        <v>2.9289999999999998</v>
      </c>
      <c r="U103" s="348">
        <v>14.645</v>
      </c>
      <c r="V103" s="348" t="s">
        <v>1205</v>
      </c>
    </row>
    <row r="104" spans="1:22">
      <c r="A104" s="5" t="str">
        <f>IF(K104&gt;0,COUNT($A$7:A103)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4" s="579"/>
      <c r="C104" s="580"/>
      <c r="D104" s="53" t="s">
        <v>2414</v>
      </c>
      <c r="E104" s="54">
        <v>100029424</v>
      </c>
      <c r="F104" s="55" t="s">
        <v>2415</v>
      </c>
      <c r="G104" s="283">
        <v>4</v>
      </c>
      <c r="H104" s="283">
        <v>96</v>
      </c>
      <c r="I104" s="128">
        <f>_xlfn.XLOOKUP(E104,'All Products'!D:D,'All Products'!H:H)</f>
        <v>351.61</v>
      </c>
      <c r="J104" s="135">
        <f>ROUNDUP(I104*Order_Quote!$L$15,2)</f>
        <v>1758.05</v>
      </c>
      <c r="K104" s="123"/>
      <c r="L104" s="79"/>
      <c r="M104" s="117">
        <f t="shared" si="3"/>
        <v>0</v>
      </c>
      <c r="O104" s="265" t="s">
        <v>359</v>
      </c>
      <c r="P104" s="265" t="s">
        <v>102</v>
      </c>
      <c r="Q104" s="265" t="s">
        <v>2416</v>
      </c>
      <c r="R104" s="265">
        <v>0</v>
      </c>
      <c r="S104" s="265" t="s">
        <v>2417</v>
      </c>
      <c r="T104" s="347">
        <v>3.0960000000000001</v>
      </c>
      <c r="U104" s="348">
        <v>18.556000000000001</v>
      </c>
      <c r="V104" s="348">
        <v>1.8803145838984718</v>
      </c>
    </row>
    <row r="105" spans="1:22">
      <c r="A105" s="5" t="str">
        <f>IF(K105&gt;0,COUNT($A$7:A104)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5" s="630"/>
      <c r="C105" s="630"/>
      <c r="D105" s="53" t="s">
        <v>2418</v>
      </c>
      <c r="E105" s="54">
        <v>300004468</v>
      </c>
      <c r="F105" s="55" t="s">
        <v>2419</v>
      </c>
      <c r="G105" s="283">
        <v>10</v>
      </c>
      <c r="H105" s="283" t="s">
        <v>1205</v>
      </c>
      <c r="I105" s="128">
        <f>_xlfn.XLOOKUP(E105,'All Products'!D:D,'All Products'!H:H)</f>
        <v>260.58</v>
      </c>
      <c r="J105" s="135">
        <f>ROUNDUP(I105*Order_Quote!$L$15,2)</f>
        <v>1302.9000000000001</v>
      </c>
      <c r="K105" s="127"/>
      <c r="L105" s="79"/>
      <c r="M105" s="117">
        <f t="shared" si="3"/>
        <v>0</v>
      </c>
      <c r="O105" s="265" t="s">
        <v>1693</v>
      </c>
      <c r="P105" s="265" t="s">
        <v>77</v>
      </c>
      <c r="Q105" s="265" t="s">
        <v>2420</v>
      </c>
      <c r="R105" s="265">
        <v>0</v>
      </c>
      <c r="S105" s="265">
        <v>0</v>
      </c>
      <c r="T105" s="347">
        <v>1.3</v>
      </c>
      <c r="U105" s="348">
        <v>13</v>
      </c>
      <c r="V105" s="348" t="s">
        <v>1205</v>
      </c>
    </row>
    <row r="106" spans="1:22">
      <c r="A106" s="5" t="str">
        <f>IF(K106&gt;0,COUNT($A$7:A105)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6" s="630"/>
      <c r="C106" s="630"/>
      <c r="D106" s="53" t="s">
        <v>2421</v>
      </c>
      <c r="E106" s="54">
        <v>300004490</v>
      </c>
      <c r="F106" s="55" t="s">
        <v>2422</v>
      </c>
      <c r="G106" s="283">
        <v>5</v>
      </c>
      <c r="H106" s="283" t="s">
        <v>1205</v>
      </c>
      <c r="I106" s="128">
        <f>_xlfn.XLOOKUP(E106,'All Products'!D:D,'All Products'!H:H)</f>
        <v>620.45000000000005</v>
      </c>
      <c r="J106" s="135">
        <f>ROUNDUP(I106*Order_Quote!$L$15,2)</f>
        <v>3102.25</v>
      </c>
      <c r="K106" s="123"/>
      <c r="L106" s="79"/>
      <c r="M106" s="118">
        <f t="shared" si="3"/>
        <v>0</v>
      </c>
      <c r="O106" s="265" t="s">
        <v>1693</v>
      </c>
      <c r="P106" s="265" t="s">
        <v>77</v>
      </c>
      <c r="Q106" s="265" t="s">
        <v>2423</v>
      </c>
      <c r="R106" s="265">
        <v>0</v>
      </c>
      <c r="S106" s="265">
        <v>0</v>
      </c>
      <c r="T106" s="347">
        <v>3.5</v>
      </c>
      <c r="U106" s="348">
        <v>17.5</v>
      </c>
      <c r="V106" s="348" t="s">
        <v>1205</v>
      </c>
    </row>
    <row r="107" spans="1:22">
      <c r="A107" s="5" t="str">
        <f>IF(K107&gt;0,COUNT($A$7:A106)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7" s="630"/>
      <c r="C107" s="630"/>
      <c r="D107" s="53" t="s">
        <v>2424</v>
      </c>
      <c r="E107" s="54">
        <v>300004500</v>
      </c>
      <c r="F107" s="55" t="s">
        <v>2425</v>
      </c>
      <c r="G107" s="283">
        <v>5</v>
      </c>
      <c r="H107" s="283" t="s">
        <v>1205</v>
      </c>
      <c r="I107" s="128">
        <f>_xlfn.XLOOKUP(E107,'All Products'!D:D,'All Products'!H:H)</f>
        <v>906.37</v>
      </c>
      <c r="J107" s="135">
        <f>ROUNDUP(I107*Order_Quote!$L$15,2)</f>
        <v>4531.8500000000004</v>
      </c>
      <c r="K107" s="123"/>
      <c r="L107" s="79"/>
      <c r="M107" s="117">
        <f t="shared" si="3"/>
        <v>0</v>
      </c>
      <c r="O107" s="265" t="s">
        <v>1693</v>
      </c>
      <c r="P107" s="265" t="s">
        <v>77</v>
      </c>
      <c r="Q107" s="265" t="s">
        <v>2426</v>
      </c>
      <c r="R107" s="265">
        <v>0</v>
      </c>
      <c r="S107" s="265">
        <v>0</v>
      </c>
      <c r="T107" s="347">
        <v>2.66</v>
      </c>
      <c r="U107" s="348">
        <v>13.3</v>
      </c>
      <c r="V107" s="348" t="s">
        <v>1205</v>
      </c>
    </row>
    <row r="108" spans="1:22">
      <c r="A108" s="5" t="str">
        <f>IF(K108&gt;0,COUNT($A$7:A107)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8" s="630"/>
      <c r="C108" s="630"/>
      <c r="D108" s="53" t="s">
        <v>2427</v>
      </c>
      <c r="E108" s="54">
        <v>300003485</v>
      </c>
      <c r="F108" s="55" t="s">
        <v>2428</v>
      </c>
      <c r="G108" s="283">
        <v>2</v>
      </c>
      <c r="H108" s="283">
        <v>36</v>
      </c>
      <c r="I108" s="128">
        <f>_xlfn.XLOOKUP(E108,'All Products'!D:D,'All Products'!H:H)</f>
        <v>1657.58</v>
      </c>
      <c r="J108" s="135">
        <f>ROUNDUP(I108*Order_Quote!$L$15,2)</f>
        <v>8287.9</v>
      </c>
      <c r="K108" s="123"/>
      <c r="L108" s="79"/>
      <c r="M108" s="117">
        <f t="shared" si="3"/>
        <v>0</v>
      </c>
      <c r="O108" s="265" t="s">
        <v>1693</v>
      </c>
      <c r="P108" s="265" t="s">
        <v>77</v>
      </c>
      <c r="Q108" s="265" t="s">
        <v>2429</v>
      </c>
      <c r="R108" s="265">
        <v>0</v>
      </c>
      <c r="S108" s="265">
        <v>0</v>
      </c>
      <c r="T108" s="347">
        <v>4.55</v>
      </c>
      <c r="U108" s="348">
        <v>9.1</v>
      </c>
      <c r="V108" s="348" t="s">
        <v>1205</v>
      </c>
    </row>
    <row r="109" spans="1:22">
      <c r="A109" s="5" t="str">
        <f>IF(K109&gt;0,COUNT($A$7:A108)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09" s="115"/>
      <c r="C109" s="116"/>
      <c r="D109" s="53" t="s">
        <v>2430</v>
      </c>
      <c r="E109" s="54">
        <v>300004467</v>
      </c>
      <c r="F109" s="55" t="s">
        <v>2431</v>
      </c>
      <c r="G109" s="283">
        <v>8</v>
      </c>
      <c r="H109" s="283" t="s">
        <v>1205</v>
      </c>
      <c r="I109" s="128">
        <f>_xlfn.XLOOKUP(E109,'All Products'!D:D,'All Products'!H:H)</f>
        <v>510.12</v>
      </c>
      <c r="J109" s="135">
        <f>ROUNDUP(I109*Order_Quote!$L$15,2)</f>
        <v>2550.6</v>
      </c>
      <c r="K109" s="123"/>
      <c r="L109" s="79"/>
      <c r="M109" s="117">
        <f t="shared" si="3"/>
        <v>0</v>
      </c>
      <c r="O109" s="265" t="s">
        <v>1693</v>
      </c>
      <c r="P109" s="265" t="s">
        <v>77</v>
      </c>
      <c r="Q109" s="265" t="s">
        <v>2432</v>
      </c>
      <c r="R109" s="265">
        <v>0</v>
      </c>
      <c r="S109" s="265">
        <v>0</v>
      </c>
      <c r="T109" s="347">
        <v>1.54</v>
      </c>
      <c r="U109" s="348">
        <v>12.32</v>
      </c>
      <c r="V109" s="348" t="s">
        <v>1205</v>
      </c>
    </row>
    <row r="110" spans="1:22">
      <c r="A110" s="5" t="str">
        <f>IF(K110&gt;0,COUNT($A$7:A109)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0" s="115"/>
      <c r="C110" s="116"/>
      <c r="D110" s="53" t="s">
        <v>2433</v>
      </c>
      <c r="E110" s="54">
        <v>300004488</v>
      </c>
      <c r="F110" s="55" t="s">
        <v>2434</v>
      </c>
      <c r="G110" s="283">
        <v>8</v>
      </c>
      <c r="H110" s="283" t="s">
        <v>1205</v>
      </c>
      <c r="I110" s="128">
        <f>_xlfn.XLOOKUP(E110,'All Products'!D:D,'All Products'!H:H)</f>
        <v>1020.6</v>
      </c>
      <c r="J110" s="135">
        <f>ROUNDUP(I110*Order_Quote!$L$15,2)</f>
        <v>5103</v>
      </c>
      <c r="K110" s="123"/>
      <c r="L110" s="79"/>
      <c r="M110" s="118">
        <f t="shared" si="3"/>
        <v>0</v>
      </c>
      <c r="O110" s="265" t="s">
        <v>1693</v>
      </c>
      <c r="P110" s="265" t="s">
        <v>77</v>
      </c>
      <c r="Q110" s="265">
        <v>0</v>
      </c>
      <c r="R110" s="265">
        <v>0</v>
      </c>
      <c r="S110" s="265">
        <v>0</v>
      </c>
      <c r="T110" s="347">
        <v>3.5</v>
      </c>
      <c r="U110" s="348">
        <v>28</v>
      </c>
      <c r="V110" s="348" t="s">
        <v>1205</v>
      </c>
    </row>
    <row r="111" spans="1:22">
      <c r="A111" s="5" t="str">
        <f>IF(K111&gt;0,COUNT($A$7:A110)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1" s="115"/>
      <c r="C111" s="116"/>
      <c r="D111" s="53" t="s">
        <v>2435</v>
      </c>
      <c r="E111" s="54">
        <v>300004498</v>
      </c>
      <c r="F111" s="55" t="s">
        <v>2436</v>
      </c>
      <c r="G111" s="283">
        <v>4</v>
      </c>
      <c r="H111" s="283" t="s">
        <v>1205</v>
      </c>
      <c r="I111" s="128">
        <f>_xlfn.XLOOKUP(E111,'All Products'!D:D,'All Products'!H:H)</f>
        <v>362.25</v>
      </c>
      <c r="J111" s="135">
        <f>ROUNDUP(I111*Order_Quote!$L$15,2)</f>
        <v>1811.25</v>
      </c>
      <c r="K111" s="123"/>
      <c r="L111" s="79"/>
      <c r="M111" s="117">
        <f t="shared" si="3"/>
        <v>0</v>
      </c>
      <c r="O111" s="265" t="s">
        <v>1693</v>
      </c>
      <c r="P111" s="265" t="s">
        <v>77</v>
      </c>
      <c r="Q111" s="265">
        <v>0</v>
      </c>
      <c r="R111" s="265">
        <v>0</v>
      </c>
      <c r="S111" s="265">
        <v>0</v>
      </c>
      <c r="T111" s="347">
        <v>7.3</v>
      </c>
      <c r="U111" s="348">
        <v>29.2</v>
      </c>
      <c r="V111" s="348" t="s">
        <v>1205</v>
      </c>
    </row>
    <row r="112" spans="1:22" ht="25.5" customHeight="1">
      <c r="A112" s="5" t="str">
        <f>IF(K112&gt;0,COUNT($A$7:A111)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2" s="630"/>
      <c r="C112" s="630"/>
      <c r="D112" s="53" t="s">
        <v>2437</v>
      </c>
      <c r="E112" s="54">
        <v>300004421</v>
      </c>
      <c r="F112" s="55" t="s">
        <v>2438</v>
      </c>
      <c r="G112" s="283">
        <v>6</v>
      </c>
      <c r="H112" s="283" t="s">
        <v>1205</v>
      </c>
      <c r="I112" s="128">
        <f>_xlfn.XLOOKUP(E112,'All Products'!D:D,'All Products'!H:H)</f>
        <v>575.41999999999996</v>
      </c>
      <c r="J112" s="135">
        <f>ROUNDUP(I112*Order_Quote!$L$15,2)</f>
        <v>2877.1</v>
      </c>
      <c r="K112" s="127"/>
      <c r="L112" s="79"/>
      <c r="M112" s="117">
        <f t="shared" si="3"/>
        <v>0</v>
      </c>
      <c r="O112" s="265" t="s">
        <v>1693</v>
      </c>
      <c r="P112" s="265" t="s">
        <v>77</v>
      </c>
      <c r="Q112" s="265" t="s">
        <v>2439</v>
      </c>
      <c r="R112" s="265">
        <v>0</v>
      </c>
      <c r="S112" s="265">
        <v>0</v>
      </c>
      <c r="T112" s="347">
        <v>2.2400000000000002</v>
      </c>
      <c r="U112" s="348">
        <v>13.440000000000001</v>
      </c>
      <c r="V112" s="348" t="s">
        <v>1205</v>
      </c>
    </row>
    <row r="113" spans="1:22" ht="25.5" customHeight="1">
      <c r="A113" s="5" t="str">
        <f>IF(K113&gt;0,COUNT($A$7:A112)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3" s="630"/>
      <c r="C113" s="630"/>
      <c r="D113" s="53" t="s">
        <v>2440</v>
      </c>
      <c r="E113" s="54">
        <v>100029398</v>
      </c>
      <c r="F113" s="55" t="s">
        <v>2441</v>
      </c>
      <c r="G113" s="283">
        <v>3</v>
      </c>
      <c r="H113" s="283">
        <v>21</v>
      </c>
      <c r="I113" s="128">
        <f>_xlfn.XLOOKUP(E113,'All Products'!D:D,'All Products'!H:H)</f>
        <v>1502.29</v>
      </c>
      <c r="J113" s="135">
        <f>ROUNDUP(I113*Order_Quote!$L$15,2)</f>
        <v>7511.45</v>
      </c>
      <c r="K113" s="123"/>
      <c r="L113" s="79"/>
      <c r="M113" s="117">
        <f t="shared" si="3"/>
        <v>0</v>
      </c>
      <c r="O113" s="265" t="s">
        <v>76</v>
      </c>
      <c r="P113" s="265" t="s">
        <v>102</v>
      </c>
      <c r="Q113" s="265" t="s">
        <v>2442</v>
      </c>
      <c r="R113" s="265">
        <v>0</v>
      </c>
      <c r="S113" s="265" t="s">
        <v>2443</v>
      </c>
      <c r="T113" s="347">
        <v>6.96</v>
      </c>
      <c r="U113" s="348">
        <v>278.39999999999998</v>
      </c>
      <c r="V113" s="348">
        <v>53.333269333358928</v>
      </c>
    </row>
    <row r="114" spans="1:22" ht="40.5" customHeight="1">
      <c r="A114" s="5" t="str">
        <f>IF(K114&gt;0,COUNT($A$7:A113)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4" s="630"/>
      <c r="C114" s="630"/>
      <c r="D114" s="53" t="s">
        <v>2444</v>
      </c>
      <c r="E114" s="54">
        <v>300004419</v>
      </c>
      <c r="F114" s="55" t="s">
        <v>2445</v>
      </c>
      <c r="G114" s="283">
        <v>1</v>
      </c>
      <c r="H114" s="283" t="s">
        <v>1205</v>
      </c>
      <c r="I114" s="128">
        <f>_xlfn.XLOOKUP(E114,'All Products'!D:D,'All Products'!H:H)</f>
        <v>2245.58</v>
      </c>
      <c r="J114" s="135">
        <f>ROUNDUP(I114*Order_Quote!$L$15,2)</f>
        <v>11227.9</v>
      </c>
      <c r="K114" s="123"/>
      <c r="L114" s="79"/>
      <c r="M114" s="117">
        <f t="shared" si="3"/>
        <v>0</v>
      </c>
      <c r="O114" s="265" t="s">
        <v>1693</v>
      </c>
      <c r="P114" s="265" t="s">
        <v>77</v>
      </c>
      <c r="Q114" s="265" t="s">
        <v>2446</v>
      </c>
      <c r="R114" s="265">
        <v>0</v>
      </c>
      <c r="S114" s="265">
        <v>0</v>
      </c>
      <c r="T114" s="347">
        <v>1</v>
      </c>
      <c r="U114" s="348">
        <v>1</v>
      </c>
      <c r="V114" s="348" t="s">
        <v>1205</v>
      </c>
    </row>
    <row r="115" spans="1:22" ht="31.5" customHeight="1">
      <c r="A115" s="5" t="str">
        <f>IF(K115&gt;0,COUNT($A$7:A114)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5" s="630"/>
      <c r="C115" s="630"/>
      <c r="D115" s="53" t="s">
        <v>2447</v>
      </c>
      <c r="E115" s="54">
        <v>300005859</v>
      </c>
      <c r="F115" s="55" t="s">
        <v>2448</v>
      </c>
      <c r="G115" s="283">
        <v>22</v>
      </c>
      <c r="H115" s="283">
        <v>528</v>
      </c>
      <c r="I115" s="128">
        <f>_xlfn.XLOOKUP(E115,'All Products'!D:D,'All Products'!H:H)</f>
        <v>412.1</v>
      </c>
      <c r="J115" s="135">
        <f>ROUNDUP(I115*Order_Quote!$L$15,2)</f>
        <v>2060.5</v>
      </c>
      <c r="K115" s="123"/>
      <c r="L115" s="79"/>
      <c r="M115" s="117">
        <f t="shared" si="3"/>
        <v>0</v>
      </c>
      <c r="O115" s="265" t="s">
        <v>1693</v>
      </c>
      <c r="P115" s="265" t="s">
        <v>77</v>
      </c>
      <c r="Q115" s="265" t="s">
        <v>2449</v>
      </c>
      <c r="R115" s="265">
        <v>0</v>
      </c>
      <c r="S115" s="265">
        <v>0</v>
      </c>
      <c r="T115" s="347">
        <v>0.58499999999999996</v>
      </c>
      <c r="U115" s="348">
        <v>12.87</v>
      </c>
      <c r="V115" s="348" t="s">
        <v>1205</v>
      </c>
    </row>
    <row r="116" spans="1:22" ht="35.25" customHeight="1">
      <c r="A116" s="5" t="str">
        <f>IF(K116&gt;0,COUNT($A$7:A115)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6" s="630"/>
      <c r="C116" s="630"/>
      <c r="D116" s="53" t="s">
        <v>2450</v>
      </c>
      <c r="E116" s="54">
        <v>300004440</v>
      </c>
      <c r="F116" s="55" t="s">
        <v>2451</v>
      </c>
      <c r="G116" s="283">
        <v>8</v>
      </c>
      <c r="H116" s="283" t="s">
        <v>1205</v>
      </c>
      <c r="I116" s="128">
        <f>_xlfn.XLOOKUP(E116,'All Products'!D:D,'All Products'!H:H)</f>
        <v>275.42</v>
      </c>
      <c r="J116" s="135">
        <f>ROUNDUP(I116*Order_Quote!$L$15,2)</f>
        <v>1377.1</v>
      </c>
      <c r="K116" s="123"/>
      <c r="L116" s="79"/>
      <c r="M116" s="117">
        <f t="shared" si="3"/>
        <v>0</v>
      </c>
      <c r="O116" s="265" t="s">
        <v>1693</v>
      </c>
      <c r="P116" s="265" t="s">
        <v>77</v>
      </c>
      <c r="Q116" s="265" t="s">
        <v>2452</v>
      </c>
      <c r="R116" s="265">
        <v>0</v>
      </c>
      <c r="S116" s="265">
        <v>0</v>
      </c>
      <c r="T116" s="347">
        <v>1</v>
      </c>
      <c r="U116" s="348">
        <v>8</v>
      </c>
      <c r="V116" s="348" t="s">
        <v>1205</v>
      </c>
    </row>
    <row r="117" spans="1:22">
      <c r="A117" s="5" t="str">
        <f>IF(K117&gt;0,COUNT($A$7:A116)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7" s="630"/>
      <c r="C117" s="630"/>
      <c r="D117" s="53" t="s">
        <v>2453</v>
      </c>
      <c r="E117" s="54">
        <v>300004495</v>
      </c>
      <c r="F117" s="55" t="s">
        <v>2454</v>
      </c>
      <c r="G117" s="283">
        <v>2</v>
      </c>
      <c r="H117" s="283">
        <v>14</v>
      </c>
      <c r="I117" s="128">
        <f>_xlfn.XLOOKUP(E117,'All Products'!D:D,'All Products'!H:H)</f>
        <v>506.22</v>
      </c>
      <c r="J117" s="135">
        <f>ROUNDUP(I117*Order_Quote!$L$15,2)</f>
        <v>2531.1</v>
      </c>
      <c r="K117" s="123"/>
      <c r="L117" s="79"/>
      <c r="M117" s="117">
        <f t="shared" si="3"/>
        <v>0</v>
      </c>
      <c r="O117" s="265" t="s">
        <v>1693</v>
      </c>
      <c r="P117" s="265" t="s">
        <v>77</v>
      </c>
      <c r="Q117" s="265">
        <v>0</v>
      </c>
      <c r="R117" s="265">
        <v>0</v>
      </c>
      <c r="S117" s="265">
        <v>0</v>
      </c>
      <c r="T117" s="347">
        <v>25.251999999999999</v>
      </c>
      <c r="U117" s="348">
        <v>50.503999999999998</v>
      </c>
      <c r="V117" s="348" t="s">
        <v>1205</v>
      </c>
    </row>
    <row r="118" spans="1:22">
      <c r="A118" s="5" t="str">
        <f>IF(K118&gt;0,COUNT($A$7:A117)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8" s="630"/>
      <c r="C118" s="630"/>
      <c r="D118" s="53" t="s">
        <v>2455</v>
      </c>
      <c r="E118" s="54">
        <v>100029331</v>
      </c>
      <c r="F118" s="55" t="s">
        <v>2456</v>
      </c>
      <c r="G118" s="283">
        <v>10</v>
      </c>
      <c r="H118" s="283">
        <v>180</v>
      </c>
      <c r="I118" s="128">
        <f>_xlfn.XLOOKUP(E118,'All Products'!D:D,'All Products'!H:H)</f>
        <v>125.56</v>
      </c>
      <c r="J118" s="135">
        <f>ROUNDUP(I118*Order_Quote!$L$15,2)</f>
        <v>627.79999999999995</v>
      </c>
      <c r="K118" s="127"/>
      <c r="L118" s="79"/>
      <c r="M118" s="117">
        <f t="shared" si="3"/>
        <v>0</v>
      </c>
      <c r="O118" s="265" t="s">
        <v>76</v>
      </c>
      <c r="P118" s="265" t="s">
        <v>102</v>
      </c>
      <c r="Q118" s="265" t="s">
        <v>2457</v>
      </c>
      <c r="R118" s="265">
        <v>0</v>
      </c>
      <c r="S118" s="265" t="s">
        <v>2458</v>
      </c>
      <c r="T118" s="347">
        <v>1.8280000000000001</v>
      </c>
      <c r="U118" s="348">
        <v>20.13</v>
      </c>
      <c r="V118" s="348">
        <v>2.361325291407383</v>
      </c>
    </row>
    <row r="119" spans="1:22">
      <c r="A119" s="5" t="str">
        <f>IF(K119&gt;0,COUNT($A$7:A118)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19" s="630"/>
      <c r="C119" s="630"/>
      <c r="D119" s="53" t="s">
        <v>2459</v>
      </c>
      <c r="E119" s="54">
        <v>100029365</v>
      </c>
      <c r="F119" s="55" t="s">
        <v>2460</v>
      </c>
      <c r="G119" s="283">
        <v>1</v>
      </c>
      <c r="H119" s="283">
        <v>110</v>
      </c>
      <c r="I119" s="128">
        <f>_xlfn.XLOOKUP(E119,'All Products'!D:D,'All Products'!H:H)</f>
        <v>271.76</v>
      </c>
      <c r="J119" s="135">
        <f>ROUNDUP(I119*Order_Quote!$L$15,2)</f>
        <v>1358.8</v>
      </c>
      <c r="K119" s="123"/>
      <c r="L119" s="79"/>
      <c r="M119" s="118">
        <f t="shared" si="3"/>
        <v>0</v>
      </c>
      <c r="O119" s="265" t="s">
        <v>76</v>
      </c>
      <c r="P119" s="265" t="s">
        <v>102</v>
      </c>
      <c r="Q119" s="265" t="s">
        <v>2461</v>
      </c>
      <c r="R119" s="265">
        <v>0</v>
      </c>
      <c r="S119" s="265" t="s">
        <v>2462</v>
      </c>
      <c r="T119" s="347">
        <v>3.1619999999999999</v>
      </c>
      <c r="U119" s="348">
        <v>347.82</v>
      </c>
      <c r="V119" s="348">
        <v>53.333269333358928</v>
      </c>
    </row>
    <row r="120" spans="1:22">
      <c r="A120" s="5" t="str">
        <f>IF(K120&gt;0,COUNT($A$7:A119)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0" s="630"/>
      <c r="C120" s="630"/>
      <c r="D120" s="53" t="s">
        <v>2463</v>
      </c>
      <c r="E120" s="54">
        <v>100029335</v>
      </c>
      <c r="F120" s="55" t="s">
        <v>2464</v>
      </c>
      <c r="G120" s="283">
        <v>1</v>
      </c>
      <c r="H120" s="283">
        <v>48</v>
      </c>
      <c r="I120" s="128">
        <f>_xlfn.XLOOKUP(E120,'All Products'!D:D,'All Products'!H:H)</f>
        <v>316.83999999999997</v>
      </c>
      <c r="J120" s="135">
        <f>ROUNDUP(I120*Order_Quote!$L$15,2)</f>
        <v>1584.2</v>
      </c>
      <c r="K120" s="123"/>
      <c r="L120" s="79"/>
      <c r="M120" s="117">
        <f t="shared" si="3"/>
        <v>0</v>
      </c>
      <c r="O120" s="265" t="s">
        <v>76</v>
      </c>
      <c r="P120" s="265" t="s">
        <v>102</v>
      </c>
      <c r="Q120" s="265" t="s">
        <v>2465</v>
      </c>
      <c r="R120" s="265">
        <v>0</v>
      </c>
      <c r="S120" s="265" t="s">
        <v>2466</v>
      </c>
      <c r="T120" s="347">
        <v>6.1360000000000001</v>
      </c>
      <c r="U120" s="348">
        <v>408.96</v>
      </c>
      <c r="V120" s="348">
        <v>53.333269333358928</v>
      </c>
    </row>
    <row r="121" spans="1:22">
      <c r="A121" s="5" t="str">
        <f>IF(K121&gt;0,COUNT($A$7:A120)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1" s="630"/>
      <c r="C121" s="630"/>
      <c r="D121" s="53" t="s">
        <v>2467</v>
      </c>
      <c r="E121" s="54">
        <v>100029366</v>
      </c>
      <c r="F121" s="55" t="s">
        <v>2468</v>
      </c>
      <c r="G121" s="283">
        <v>1</v>
      </c>
      <c r="H121" s="283">
        <v>41</v>
      </c>
      <c r="I121" s="128">
        <f>_xlfn.XLOOKUP(E121,'All Products'!D:D,'All Products'!H:H)</f>
        <v>344.14</v>
      </c>
      <c r="J121" s="135">
        <f>ROUNDUP(I121*Order_Quote!$L$15,2)</f>
        <v>1720.7</v>
      </c>
      <c r="K121" s="123"/>
      <c r="L121" s="79"/>
      <c r="M121" s="117">
        <f t="shared" si="3"/>
        <v>0</v>
      </c>
      <c r="O121" s="265" t="s">
        <v>76</v>
      </c>
      <c r="P121" s="265" t="s">
        <v>102</v>
      </c>
      <c r="Q121" s="265" t="s">
        <v>2469</v>
      </c>
      <c r="R121" s="265">
        <v>0</v>
      </c>
      <c r="S121" s="265" t="s">
        <v>2469</v>
      </c>
      <c r="T121" s="347">
        <v>8.3759999999999994</v>
      </c>
      <c r="U121" s="348">
        <v>455.14100000000002</v>
      </c>
      <c r="V121" s="348">
        <v>53.333269333358928</v>
      </c>
    </row>
    <row r="122" spans="1:22">
      <c r="A122" s="5" t="str">
        <f>IF(K122&gt;0,COUNT($A$7:A121)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2" s="630"/>
      <c r="C122" s="630"/>
      <c r="D122" s="53" t="s">
        <v>2470</v>
      </c>
      <c r="E122" s="54">
        <v>100029367</v>
      </c>
      <c r="F122" s="55" t="s">
        <v>2471</v>
      </c>
      <c r="G122" s="283">
        <v>1</v>
      </c>
      <c r="H122" s="283">
        <v>40</v>
      </c>
      <c r="I122" s="128">
        <f>_xlfn.XLOOKUP(E122,'All Products'!D:D,'All Products'!H:H)</f>
        <v>395.83</v>
      </c>
      <c r="J122" s="135">
        <f>ROUNDUP(I122*Order_Quote!$L$15,2)</f>
        <v>1979.15</v>
      </c>
      <c r="K122" s="123"/>
      <c r="L122" s="79"/>
      <c r="M122" s="117">
        <f t="shared" si="3"/>
        <v>0</v>
      </c>
      <c r="O122" s="265" t="s">
        <v>76</v>
      </c>
      <c r="P122" s="265" t="s">
        <v>102</v>
      </c>
      <c r="Q122" s="265" t="s">
        <v>2472</v>
      </c>
      <c r="R122" s="265">
        <v>0</v>
      </c>
      <c r="S122" s="265" t="s">
        <v>2473</v>
      </c>
      <c r="T122" s="347">
        <v>9.6240000000000006</v>
      </c>
      <c r="U122" s="348">
        <v>498.48</v>
      </c>
      <c r="V122" s="348">
        <v>53.333269333358928</v>
      </c>
    </row>
    <row r="123" spans="1:22">
      <c r="A123" s="5" t="str">
        <f>IF(K123&gt;0,COUNT($A$7:A122)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3" s="630"/>
      <c r="C123" s="630"/>
      <c r="D123" s="53" t="s">
        <v>2474</v>
      </c>
      <c r="E123" s="54">
        <v>100029336</v>
      </c>
      <c r="F123" s="55" t="s">
        <v>2475</v>
      </c>
      <c r="G123" s="283">
        <v>1</v>
      </c>
      <c r="H123" s="283">
        <v>24</v>
      </c>
      <c r="I123" s="128">
        <f>_xlfn.XLOOKUP(E123,'All Products'!D:D,'All Products'!H:H)</f>
        <v>974.26</v>
      </c>
      <c r="J123" s="135">
        <f>ROUNDUP(I123*Order_Quote!$L$15,2)</f>
        <v>4871.3</v>
      </c>
      <c r="K123" s="123"/>
      <c r="L123" s="79"/>
      <c r="M123" s="118">
        <f t="shared" si="3"/>
        <v>0</v>
      </c>
      <c r="O123" s="265" t="s">
        <v>76</v>
      </c>
      <c r="P123" s="265" t="s">
        <v>102</v>
      </c>
      <c r="Q123" s="265" t="s">
        <v>2476</v>
      </c>
      <c r="R123" s="265">
        <v>0</v>
      </c>
      <c r="S123" s="265" t="s">
        <v>2477</v>
      </c>
      <c r="T123" s="347">
        <v>10.304</v>
      </c>
      <c r="U123" s="348">
        <v>247.29599999999999</v>
      </c>
      <c r="V123" s="348">
        <v>53.333269333358928</v>
      </c>
    </row>
    <row r="124" spans="1:22">
      <c r="A124" s="5" t="str">
        <f>IF(K124&gt;0,COUNT($A$7:A123)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4" s="630"/>
      <c r="C124" s="630"/>
      <c r="D124" s="53" t="s">
        <v>2478</v>
      </c>
      <c r="E124" s="54">
        <v>100029380</v>
      </c>
      <c r="F124" s="55" t="s">
        <v>2479</v>
      </c>
      <c r="G124" s="283">
        <v>1</v>
      </c>
      <c r="H124" s="283">
        <v>22</v>
      </c>
      <c r="I124" s="128">
        <f>_xlfn.XLOOKUP(E124,'All Products'!D:D,'All Products'!H:H)</f>
        <v>1484.31</v>
      </c>
      <c r="J124" s="135">
        <f>ROUNDUP(I124*Order_Quote!$L$15,2)</f>
        <v>7421.55</v>
      </c>
      <c r="K124" s="123"/>
      <c r="L124" s="79"/>
      <c r="M124" s="117">
        <f t="shared" si="3"/>
        <v>0</v>
      </c>
      <c r="O124" s="265" t="s">
        <v>76</v>
      </c>
      <c r="P124" s="265" t="s">
        <v>102</v>
      </c>
      <c r="Q124" s="265" t="s">
        <v>2480</v>
      </c>
      <c r="R124" s="265">
        <v>0</v>
      </c>
      <c r="S124" s="265" t="s">
        <v>2481</v>
      </c>
      <c r="T124" s="347">
        <v>11.388</v>
      </c>
      <c r="U124" s="348">
        <v>250.536</v>
      </c>
      <c r="V124" s="348">
        <v>53.333269333358928</v>
      </c>
    </row>
    <row r="125" spans="1:22" ht="30" customHeight="1">
      <c r="A125" s="5" t="str">
        <f>IF(K125&gt;0,COUNT($A$7:A124)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5" s="630"/>
      <c r="C125" s="630"/>
      <c r="D125" s="53" t="s">
        <v>2482</v>
      </c>
      <c r="E125" s="54">
        <v>300005770</v>
      </c>
      <c r="F125" s="55" t="s">
        <v>2483</v>
      </c>
      <c r="G125" s="283">
        <v>1</v>
      </c>
      <c r="H125" s="283">
        <v>48</v>
      </c>
      <c r="I125" s="128">
        <f>_xlfn.XLOOKUP(E125,'All Products'!D:D,'All Products'!H:H)</f>
        <v>674.77</v>
      </c>
      <c r="J125" s="135">
        <f>ROUNDUP(I125*Order_Quote!$L$15,2)</f>
        <v>3373.85</v>
      </c>
      <c r="K125" s="123"/>
      <c r="L125" s="79"/>
      <c r="M125" s="118">
        <f t="shared" si="3"/>
        <v>0</v>
      </c>
      <c r="O125" s="265" t="s">
        <v>1693</v>
      </c>
      <c r="P125" s="265" t="s">
        <v>77</v>
      </c>
      <c r="Q125" s="265" t="s">
        <v>2484</v>
      </c>
      <c r="R125" s="265">
        <v>0</v>
      </c>
      <c r="S125" s="265">
        <v>0</v>
      </c>
      <c r="T125" s="347">
        <v>4.4720000000000004</v>
      </c>
      <c r="U125" s="348">
        <v>4.4720000000000004</v>
      </c>
      <c r="V125" s="348" t="s">
        <v>1205</v>
      </c>
    </row>
    <row r="126" spans="1:22" ht="30" customHeight="1">
      <c r="A126" s="5" t="str">
        <f>IF(K126&gt;0,COUNT($A$7:A125)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6" s="630"/>
      <c r="C126" s="630"/>
      <c r="D126" s="53" t="s">
        <v>2485</v>
      </c>
      <c r="E126" s="54">
        <v>300005775</v>
      </c>
      <c r="F126" s="55" t="s">
        <v>2486</v>
      </c>
      <c r="G126" s="283">
        <v>1</v>
      </c>
      <c r="H126" s="283">
        <v>40</v>
      </c>
      <c r="I126" s="128">
        <f>_xlfn.XLOOKUP(E126,'All Products'!D:D,'All Products'!H:H)</f>
        <v>632.75</v>
      </c>
      <c r="J126" s="135">
        <f>ROUNDUP(I126*Order_Quote!$L$15,2)</f>
        <v>3163.75</v>
      </c>
      <c r="K126" s="127"/>
      <c r="L126" s="79"/>
      <c r="M126" s="117">
        <f t="shared" si="3"/>
        <v>0</v>
      </c>
      <c r="O126" s="265" t="s">
        <v>1693</v>
      </c>
      <c r="P126" s="265" t="s">
        <v>77</v>
      </c>
      <c r="Q126" s="265" t="s">
        <v>2487</v>
      </c>
      <c r="R126" s="265">
        <v>0</v>
      </c>
      <c r="S126" s="265">
        <v>0</v>
      </c>
      <c r="T126" s="347">
        <v>6.9850000000000003</v>
      </c>
      <c r="U126" s="348">
        <v>6.9850000000000003</v>
      </c>
      <c r="V126" s="348" t="s">
        <v>1205</v>
      </c>
    </row>
    <row r="127" spans="1:22">
      <c r="A127" s="5" t="str">
        <f>IF(K127&gt;0,COUNT($A$7:A126)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7" s="630"/>
      <c r="C127" s="630"/>
      <c r="D127" s="53" t="s">
        <v>2488</v>
      </c>
      <c r="E127" s="54">
        <v>100030996</v>
      </c>
      <c r="F127" s="55" t="s">
        <v>2489</v>
      </c>
      <c r="G127" s="283">
        <v>12</v>
      </c>
      <c r="H127" s="283">
        <v>384</v>
      </c>
      <c r="I127" s="128">
        <f>_xlfn.XLOOKUP(E127,'All Products'!D:D,'All Products'!H:H)</f>
        <v>185.56</v>
      </c>
      <c r="J127" s="135">
        <f>ROUNDUP(I127*Order_Quote!$L$15,2)</f>
        <v>927.8</v>
      </c>
      <c r="K127" s="127"/>
      <c r="L127" s="79"/>
      <c r="M127" s="117">
        <f t="shared" si="3"/>
        <v>0</v>
      </c>
      <c r="O127" s="265" t="s">
        <v>359</v>
      </c>
      <c r="P127" s="265" t="s">
        <v>102</v>
      </c>
      <c r="Q127" s="265" t="s">
        <v>2490</v>
      </c>
      <c r="R127" s="265">
        <v>0</v>
      </c>
      <c r="S127" s="265" t="s">
        <v>2491</v>
      </c>
      <c r="T127" s="347">
        <v>0.97799999999999998</v>
      </c>
      <c r="U127" s="348">
        <v>13.776</v>
      </c>
      <c r="V127" s="348">
        <v>1.3788503419060438</v>
      </c>
    </row>
    <row r="128" spans="1:22">
      <c r="A128" s="5" t="str">
        <f>IF(K128&gt;0,COUNT($A$7:A127)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8" s="630"/>
      <c r="C128" s="630"/>
      <c r="D128" s="53" t="s">
        <v>2492</v>
      </c>
      <c r="E128" s="54">
        <v>100029309</v>
      </c>
      <c r="F128" s="55" t="s">
        <v>2493</v>
      </c>
      <c r="G128" s="283">
        <v>10</v>
      </c>
      <c r="H128" s="283">
        <v>320</v>
      </c>
      <c r="I128" s="128">
        <f>_xlfn.XLOOKUP(E128,'All Products'!D:D,'All Products'!H:H)</f>
        <v>233.11</v>
      </c>
      <c r="J128" s="135">
        <f>ROUNDUP(I128*Order_Quote!$L$15,2)</f>
        <v>1165.55</v>
      </c>
      <c r="K128" s="123"/>
      <c r="L128" s="79"/>
      <c r="M128" s="118">
        <f t="shared" si="3"/>
        <v>0</v>
      </c>
      <c r="O128" s="265" t="s">
        <v>76</v>
      </c>
      <c r="P128" s="265" t="s">
        <v>102</v>
      </c>
      <c r="Q128" s="265" t="s">
        <v>2494</v>
      </c>
      <c r="R128" s="265">
        <v>0</v>
      </c>
      <c r="S128" s="265" t="s">
        <v>2494</v>
      </c>
      <c r="T128" s="347">
        <v>1.1319999999999999</v>
      </c>
      <c r="U128" s="348">
        <v>13.37</v>
      </c>
      <c r="V128" s="348">
        <v>1.3788503419060438</v>
      </c>
    </row>
    <row r="129" spans="1:22">
      <c r="A129" s="5" t="str">
        <f>IF(K129&gt;0,COUNT($A$7:A128)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29" s="630"/>
      <c r="C129" s="630"/>
      <c r="D129" s="53" t="s">
        <v>2495</v>
      </c>
      <c r="E129" s="54">
        <v>100030926</v>
      </c>
      <c r="F129" s="55" t="s">
        <v>2496</v>
      </c>
      <c r="G129" s="283">
        <v>4</v>
      </c>
      <c r="H129" s="283">
        <v>96</v>
      </c>
      <c r="I129" s="128">
        <f>_xlfn.XLOOKUP(E129,'All Products'!D:D,'All Products'!H:H)</f>
        <v>267.01</v>
      </c>
      <c r="J129" s="135">
        <f>ROUNDUP(I129*Order_Quote!$L$15,2)</f>
        <v>1335.05</v>
      </c>
      <c r="K129" s="123"/>
      <c r="L129" s="79"/>
      <c r="M129" s="117">
        <f t="shared" si="3"/>
        <v>0</v>
      </c>
      <c r="O129" s="265" t="s">
        <v>76</v>
      </c>
      <c r="P129" s="265" t="s">
        <v>102</v>
      </c>
      <c r="Q129" s="265" t="s">
        <v>2497</v>
      </c>
      <c r="R129" s="265">
        <v>0</v>
      </c>
      <c r="S129" s="265" t="s">
        <v>2498</v>
      </c>
      <c r="T129" s="347">
        <v>2.637</v>
      </c>
      <c r="U129" s="348">
        <v>12.72</v>
      </c>
      <c r="V129" s="348">
        <v>1.8803145838984718</v>
      </c>
    </row>
    <row r="130" spans="1:22">
      <c r="A130" s="5" t="str">
        <f>IF(K130&gt;0,COUNT($A$7:A129)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0" s="630"/>
      <c r="C130" s="630"/>
      <c r="D130" s="53" t="s">
        <v>2499</v>
      </c>
      <c r="E130" s="54">
        <v>100029334</v>
      </c>
      <c r="F130" s="55" t="s">
        <v>2500</v>
      </c>
      <c r="G130" s="283">
        <v>6</v>
      </c>
      <c r="H130" s="283">
        <v>192</v>
      </c>
      <c r="I130" s="128">
        <f>_xlfn.XLOOKUP(E130,'All Products'!D:D,'All Products'!H:H)</f>
        <v>412.09</v>
      </c>
      <c r="J130" s="135">
        <f>ROUNDUP(I130*Order_Quote!$L$15,2)</f>
        <v>2060.4499999999998</v>
      </c>
      <c r="K130" s="123"/>
      <c r="L130" s="79"/>
      <c r="M130" s="117">
        <f t="shared" si="3"/>
        <v>0</v>
      </c>
      <c r="O130" s="265" t="s">
        <v>359</v>
      </c>
      <c r="P130" s="265" t="s">
        <v>102</v>
      </c>
      <c r="Q130" s="265" t="s">
        <v>2501</v>
      </c>
      <c r="R130" s="265">
        <v>0</v>
      </c>
      <c r="S130" s="265" t="s">
        <v>2502</v>
      </c>
      <c r="T130" s="347">
        <v>1.6359999999999999</v>
      </c>
      <c r="U130" s="348">
        <v>11.868</v>
      </c>
      <c r="V130" s="348">
        <v>1.3788503419060438</v>
      </c>
    </row>
    <row r="131" spans="1:22">
      <c r="A131" s="5" t="str">
        <f>IF(K131&gt;0,COUNT($A$7:A130)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1" s="630"/>
      <c r="C131" s="630"/>
      <c r="D131" s="53" t="s">
        <v>2503</v>
      </c>
      <c r="E131" s="54">
        <v>300003499</v>
      </c>
      <c r="F131" s="55" t="s">
        <v>2504</v>
      </c>
      <c r="G131" s="283">
        <v>4</v>
      </c>
      <c r="H131" s="283">
        <v>96</v>
      </c>
      <c r="I131" s="128">
        <f>_xlfn.XLOOKUP(E131,'All Products'!D:D,'All Products'!H:H)</f>
        <v>1092.72</v>
      </c>
      <c r="J131" s="135">
        <f>ROUNDUP(I131*Order_Quote!$L$15,2)</f>
        <v>5463.6</v>
      </c>
      <c r="K131" s="123"/>
      <c r="L131" s="79"/>
      <c r="M131" s="117">
        <f t="shared" si="3"/>
        <v>0</v>
      </c>
      <c r="O131" s="265" t="s">
        <v>1693</v>
      </c>
      <c r="P131" s="265" t="s">
        <v>77</v>
      </c>
      <c r="Q131" s="265" t="s">
        <v>2505</v>
      </c>
      <c r="R131" s="265">
        <v>0</v>
      </c>
      <c r="S131" s="265">
        <v>0</v>
      </c>
      <c r="T131" s="347">
        <v>3.3330000000000002</v>
      </c>
      <c r="U131" s="348">
        <v>13.332000000000001</v>
      </c>
      <c r="V131" s="348" t="s">
        <v>1205</v>
      </c>
    </row>
    <row r="132" spans="1:22">
      <c r="A132" s="5" t="str">
        <f>IF(K132&gt;0,COUNT($A$7:A131)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2" s="630"/>
      <c r="C132" s="630"/>
      <c r="D132" s="53" t="s">
        <v>2506</v>
      </c>
      <c r="E132" s="54">
        <v>300003556</v>
      </c>
      <c r="F132" s="55" t="s">
        <v>2507</v>
      </c>
      <c r="G132" s="283">
        <v>6</v>
      </c>
      <c r="H132" s="283">
        <v>192</v>
      </c>
      <c r="I132" s="128">
        <f>_xlfn.XLOOKUP(E132,'All Products'!D:D,'All Products'!H:H)</f>
        <v>1105.1500000000001</v>
      </c>
      <c r="J132" s="135">
        <f>ROUNDUP(I132*Order_Quote!$L$15,2)</f>
        <v>5525.75</v>
      </c>
      <c r="K132" s="123"/>
      <c r="L132" s="79"/>
      <c r="M132" s="118">
        <f t="shared" si="3"/>
        <v>0</v>
      </c>
      <c r="O132" s="265" t="s">
        <v>1693</v>
      </c>
      <c r="P132" s="265" t="s">
        <v>77</v>
      </c>
      <c r="Q132" s="265" t="s">
        <v>2508</v>
      </c>
      <c r="R132" s="265">
        <v>0</v>
      </c>
      <c r="S132" s="265">
        <v>0</v>
      </c>
      <c r="T132" s="347">
        <v>1.1399999999999999</v>
      </c>
      <c r="U132" s="348">
        <v>6.84</v>
      </c>
      <c r="V132" s="348" t="s">
        <v>1205</v>
      </c>
    </row>
    <row r="133" spans="1:22">
      <c r="A133" s="5" t="str">
        <f>IF(K133&gt;0,COUNT($A$7:A132)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3" s="630"/>
      <c r="C133" s="630"/>
      <c r="D133" s="53" t="s">
        <v>2509</v>
      </c>
      <c r="E133" s="54">
        <v>300003570</v>
      </c>
      <c r="F133" s="55" t="s">
        <v>2510</v>
      </c>
      <c r="G133" s="283">
        <v>4</v>
      </c>
      <c r="H133" s="283">
        <v>96</v>
      </c>
      <c r="I133" s="128">
        <f>_xlfn.XLOOKUP(E133,'All Products'!D:D,'All Products'!H:H)</f>
        <v>1157.33</v>
      </c>
      <c r="J133" s="135">
        <f>ROUNDUP(I133*Order_Quote!$L$15,2)</f>
        <v>5786.65</v>
      </c>
      <c r="K133" s="123"/>
      <c r="L133" s="79"/>
      <c r="M133" s="117">
        <f t="shared" si="3"/>
        <v>0</v>
      </c>
      <c r="O133" s="265" t="s">
        <v>1693</v>
      </c>
      <c r="P133" s="265" t="s">
        <v>77</v>
      </c>
      <c r="Q133" s="265" t="s">
        <v>2511</v>
      </c>
      <c r="R133" s="265">
        <v>0</v>
      </c>
      <c r="S133" s="265">
        <v>0</v>
      </c>
      <c r="T133" s="347">
        <v>2.15</v>
      </c>
      <c r="U133" s="348">
        <v>8.6</v>
      </c>
      <c r="V133" s="348" t="s">
        <v>1205</v>
      </c>
    </row>
    <row r="134" spans="1:22">
      <c r="A134" s="5" t="str">
        <f>IF(K134&gt;0,COUNT($A$7:A133)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4" s="630"/>
      <c r="C134" s="630"/>
      <c r="D134" s="53" t="s">
        <v>2512</v>
      </c>
      <c r="E134" s="54">
        <v>300003659</v>
      </c>
      <c r="F134" s="55" t="s">
        <v>2513</v>
      </c>
      <c r="G134" s="283">
        <v>4</v>
      </c>
      <c r="H134" s="283">
        <v>96</v>
      </c>
      <c r="I134" s="128">
        <f>_xlfn.XLOOKUP(E134,'All Products'!D:D,'All Products'!H:H)</f>
        <v>534.12</v>
      </c>
      <c r="J134" s="135">
        <f>ROUNDUP(I134*Order_Quote!$L$15,2)</f>
        <v>2670.6</v>
      </c>
      <c r="K134" s="123"/>
      <c r="L134" s="79"/>
      <c r="M134" s="117">
        <f t="shared" ref="M134:M142" si="4">K134/G134</f>
        <v>0</v>
      </c>
      <c r="O134" s="265" t="s">
        <v>1693</v>
      </c>
      <c r="P134" s="265" t="s">
        <v>77</v>
      </c>
      <c r="Q134" s="265" t="s">
        <v>2514</v>
      </c>
      <c r="R134" s="265">
        <v>0</v>
      </c>
      <c r="S134" s="265">
        <v>0</v>
      </c>
      <c r="T134" s="347">
        <v>2.15</v>
      </c>
      <c r="U134" s="348">
        <v>8.6</v>
      </c>
      <c r="V134" s="348" t="s">
        <v>1205</v>
      </c>
    </row>
    <row r="135" spans="1:22">
      <c r="A135" s="5" t="str">
        <f>IF(K135&gt;0,COUNT($A$7:A134)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5" s="630"/>
      <c r="C135" s="630"/>
      <c r="D135" s="53" t="s">
        <v>2515</v>
      </c>
      <c r="E135" s="54">
        <v>300005633</v>
      </c>
      <c r="F135" s="55" t="s">
        <v>2516</v>
      </c>
      <c r="G135" s="283">
        <v>6</v>
      </c>
      <c r="H135" s="283">
        <v>270</v>
      </c>
      <c r="I135" s="128">
        <f>_xlfn.XLOOKUP(E135,'All Products'!D:D,'All Products'!H:H)</f>
        <v>8342.35</v>
      </c>
      <c r="J135" s="135">
        <f>ROUNDUP(I135*Order_Quote!$L$15,2)</f>
        <v>41711.75</v>
      </c>
      <c r="K135" s="127"/>
      <c r="L135" s="79"/>
      <c r="M135" s="117">
        <f t="shared" si="4"/>
        <v>0</v>
      </c>
      <c r="O135" s="265" t="s">
        <v>1693</v>
      </c>
      <c r="P135" s="265" t="s">
        <v>77</v>
      </c>
      <c r="Q135" s="265" t="s">
        <v>2517</v>
      </c>
      <c r="R135" s="265">
        <v>0</v>
      </c>
      <c r="S135" s="265">
        <v>0</v>
      </c>
      <c r="T135" s="347">
        <v>1.62</v>
      </c>
      <c r="U135" s="348">
        <v>9.7200000000000006</v>
      </c>
      <c r="V135" s="348" t="s">
        <v>1205</v>
      </c>
    </row>
    <row r="136" spans="1:22">
      <c r="A136" s="5" t="str">
        <f>IF(K136&gt;0,COUNT($A$7:A135)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6" s="630"/>
      <c r="C136" s="630"/>
      <c r="D136" s="53" t="s">
        <v>2518</v>
      </c>
      <c r="E136" s="54">
        <v>300005832</v>
      </c>
      <c r="F136" s="55" t="s">
        <v>2519</v>
      </c>
      <c r="G136" s="283">
        <v>6</v>
      </c>
      <c r="H136" s="283">
        <v>270</v>
      </c>
      <c r="I136" s="128">
        <f>_xlfn.XLOOKUP(E136,'All Products'!D:D,'All Products'!H:H)</f>
        <v>779.57</v>
      </c>
      <c r="J136" s="135">
        <f>ROUNDUP(I136*Order_Quote!$L$15,2)</f>
        <v>3897.85</v>
      </c>
      <c r="K136" s="123"/>
      <c r="L136" s="79"/>
      <c r="M136" s="117">
        <f t="shared" si="4"/>
        <v>0</v>
      </c>
      <c r="O136" s="265" t="s">
        <v>1693</v>
      </c>
      <c r="P136" s="265" t="s">
        <v>77</v>
      </c>
      <c r="Q136" s="265" t="s">
        <v>2520</v>
      </c>
      <c r="R136" s="265">
        <v>0</v>
      </c>
      <c r="S136" s="265">
        <v>0</v>
      </c>
      <c r="T136" s="347">
        <v>1.62</v>
      </c>
      <c r="U136" s="348">
        <v>9.7200000000000006</v>
      </c>
      <c r="V136" s="348" t="s">
        <v>1205</v>
      </c>
    </row>
    <row r="137" spans="1:22">
      <c r="A137" s="5" t="str">
        <f>IF(K137&gt;0,COUNT($A$7:A136)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7" s="630"/>
      <c r="C137" s="630"/>
      <c r="D137" s="53" t="s">
        <v>2521</v>
      </c>
      <c r="E137" s="54">
        <v>300005774</v>
      </c>
      <c r="F137" s="55" t="s">
        <v>2522</v>
      </c>
      <c r="G137" s="283">
        <v>4</v>
      </c>
      <c r="H137" s="283">
        <v>72</v>
      </c>
      <c r="I137" s="128">
        <f>_xlfn.XLOOKUP(E137,'All Products'!D:D,'All Products'!H:H)</f>
        <v>300.87</v>
      </c>
      <c r="J137" s="135">
        <f>ROUNDUP(I137*Order_Quote!$L$15,2)</f>
        <v>1504.35</v>
      </c>
      <c r="K137" s="123"/>
      <c r="L137" s="79"/>
      <c r="M137" s="118">
        <f t="shared" si="4"/>
        <v>0</v>
      </c>
      <c r="O137" s="265" t="s">
        <v>1693</v>
      </c>
      <c r="P137" s="265" t="s">
        <v>77</v>
      </c>
      <c r="Q137" s="265" t="s">
        <v>2523</v>
      </c>
      <c r="R137" s="265">
        <v>0</v>
      </c>
      <c r="S137" s="265">
        <v>0</v>
      </c>
      <c r="T137" s="347">
        <v>2.6720000000000002</v>
      </c>
      <c r="U137" s="348">
        <v>10.688000000000001</v>
      </c>
      <c r="V137" s="348" t="s">
        <v>1205</v>
      </c>
    </row>
    <row r="138" spans="1:22">
      <c r="A138" s="5" t="str">
        <f>IF(K138&gt;0,COUNT($A$7:A137)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8" s="630"/>
      <c r="C138" s="630"/>
      <c r="D138" s="53" t="s">
        <v>2524</v>
      </c>
      <c r="E138" s="54">
        <v>300005846</v>
      </c>
      <c r="F138" s="55" t="s">
        <v>2525</v>
      </c>
      <c r="G138" s="283">
        <v>6</v>
      </c>
      <c r="H138" s="283">
        <v>192</v>
      </c>
      <c r="I138" s="128">
        <f>_xlfn.XLOOKUP(E138,'All Products'!D:D,'All Products'!H:H)</f>
        <v>1378.63</v>
      </c>
      <c r="J138" s="135">
        <f>ROUNDUP(I138*Order_Quote!$L$15,2)</f>
        <v>6893.15</v>
      </c>
      <c r="K138" s="123"/>
      <c r="L138" s="79"/>
      <c r="M138" s="117">
        <f t="shared" si="4"/>
        <v>0</v>
      </c>
      <c r="O138" s="265" t="s">
        <v>1693</v>
      </c>
      <c r="P138" s="265" t="s">
        <v>77</v>
      </c>
      <c r="Q138" s="265" t="s">
        <v>2526</v>
      </c>
      <c r="R138" s="265">
        <v>0</v>
      </c>
      <c r="S138" s="265">
        <v>0</v>
      </c>
      <c r="T138" s="347">
        <v>1.04</v>
      </c>
      <c r="U138" s="348">
        <v>6.24</v>
      </c>
      <c r="V138" s="348" t="s">
        <v>1205</v>
      </c>
    </row>
    <row r="139" spans="1:22">
      <c r="A139" s="5" t="str">
        <f>IF(K139&gt;0,COUNT($A$7:A138)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39" s="630"/>
      <c r="C139" s="630"/>
      <c r="D139" s="53" t="s">
        <v>2527</v>
      </c>
      <c r="E139" s="54">
        <v>300005847</v>
      </c>
      <c r="F139" s="55" t="s">
        <v>2528</v>
      </c>
      <c r="G139" s="283">
        <v>4</v>
      </c>
      <c r="H139" s="283">
        <v>72</v>
      </c>
      <c r="I139" s="128">
        <f>_xlfn.XLOOKUP(E139,'All Products'!D:D,'All Products'!H:H)</f>
        <v>2592.67</v>
      </c>
      <c r="J139" s="135">
        <f>ROUNDUP(I139*Order_Quote!$L$15,2)</f>
        <v>12963.35</v>
      </c>
      <c r="K139" s="123"/>
      <c r="L139" s="79"/>
      <c r="M139" s="117">
        <f t="shared" si="4"/>
        <v>0</v>
      </c>
      <c r="O139" s="265" t="s">
        <v>1693</v>
      </c>
      <c r="P139" s="265" t="s">
        <v>77</v>
      </c>
      <c r="Q139" s="265" t="s">
        <v>2529</v>
      </c>
      <c r="R139" s="265">
        <v>0</v>
      </c>
      <c r="S139" s="265">
        <v>0</v>
      </c>
      <c r="T139" s="347">
        <v>3.4</v>
      </c>
      <c r="U139" s="348">
        <v>13.6</v>
      </c>
      <c r="V139" s="348" t="s">
        <v>1205</v>
      </c>
    </row>
    <row r="140" spans="1:22">
      <c r="A140" s="5" t="str">
        <f>IF(K140&gt;0,COUNT($A$7:A139)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40" s="630"/>
      <c r="C140" s="630"/>
      <c r="D140" s="53" t="s">
        <v>2530</v>
      </c>
      <c r="E140" s="54">
        <v>300005852</v>
      </c>
      <c r="F140" s="55" t="s">
        <v>2531</v>
      </c>
      <c r="G140" s="283">
        <v>6</v>
      </c>
      <c r="H140" s="283">
        <v>192</v>
      </c>
      <c r="I140" s="128">
        <f>_xlfn.XLOOKUP(E140,'All Products'!D:D,'All Products'!H:H)</f>
        <v>1909.48</v>
      </c>
      <c r="J140" s="135">
        <f>ROUNDUP(I140*Order_Quote!$L$15,2)</f>
        <v>9547.4</v>
      </c>
      <c r="K140" s="123"/>
      <c r="L140" s="79"/>
      <c r="M140" s="117">
        <f t="shared" si="4"/>
        <v>0</v>
      </c>
      <c r="O140" s="265" t="s">
        <v>1693</v>
      </c>
      <c r="P140" s="265" t="s">
        <v>77</v>
      </c>
      <c r="Q140" s="265" t="s">
        <v>2532</v>
      </c>
      <c r="R140" s="265">
        <v>0</v>
      </c>
      <c r="S140" s="265">
        <v>0</v>
      </c>
      <c r="T140" s="347">
        <v>1.64</v>
      </c>
      <c r="U140" s="348">
        <v>9.84</v>
      </c>
      <c r="V140" s="348" t="s">
        <v>1205</v>
      </c>
    </row>
    <row r="141" spans="1:22">
      <c r="A141" s="5" t="str">
        <f>IF(K141&gt;0,COUNT($A$7:A140)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41" s="630"/>
      <c r="C141" s="630"/>
      <c r="D141" s="53" t="s">
        <v>2533</v>
      </c>
      <c r="E141" s="54">
        <v>300005854</v>
      </c>
      <c r="F141" s="55" t="s">
        <v>2534</v>
      </c>
      <c r="G141" s="283">
        <v>4</v>
      </c>
      <c r="H141" s="283">
        <v>72</v>
      </c>
      <c r="I141" s="128">
        <f>_xlfn.XLOOKUP(E141,'All Products'!D:D,'All Products'!H:H)</f>
        <v>3228.67</v>
      </c>
      <c r="J141" s="135">
        <f>ROUNDUP(I141*Order_Quote!$L$15,2)</f>
        <v>16143.35</v>
      </c>
      <c r="K141" s="123"/>
      <c r="L141" s="79"/>
      <c r="M141" s="118">
        <f t="shared" si="4"/>
        <v>0</v>
      </c>
      <c r="O141" s="265" t="s">
        <v>1693</v>
      </c>
      <c r="P141" s="265" t="s">
        <v>77</v>
      </c>
      <c r="Q141" s="265" t="s">
        <v>2535</v>
      </c>
      <c r="R141" s="265">
        <v>0</v>
      </c>
      <c r="S141" s="265">
        <v>0</v>
      </c>
      <c r="T141" s="347">
        <v>3.34</v>
      </c>
      <c r="U141" s="348">
        <v>13.36</v>
      </c>
      <c r="V141" s="348" t="s">
        <v>1205</v>
      </c>
    </row>
    <row r="142" spans="1:22">
      <c r="A142" s="5" t="str">
        <f>IF(K142&gt;0,COUNT($A$7:A141)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+COUNT(SDR35SW!$A$8:$A$123)+1,"")</f>
        <v/>
      </c>
      <c r="B142" s="630"/>
      <c r="C142" s="630"/>
      <c r="D142" s="53" t="s">
        <v>2536</v>
      </c>
      <c r="E142" s="54">
        <v>300003746</v>
      </c>
      <c r="F142" s="55" t="s">
        <v>2537</v>
      </c>
      <c r="G142" s="283">
        <v>1</v>
      </c>
      <c r="H142" s="283" t="s">
        <v>1205</v>
      </c>
      <c r="I142" s="128">
        <f>_xlfn.XLOOKUP(E142,'All Products'!D:D,'All Products'!H:H)</f>
        <v>4154.58</v>
      </c>
      <c r="J142" s="135">
        <f>ROUNDUP(I142*Order_Quote!$L$15,2)</f>
        <v>20772.900000000001</v>
      </c>
      <c r="K142" s="123"/>
      <c r="L142" s="79"/>
      <c r="M142" s="117">
        <f t="shared" si="4"/>
        <v>0</v>
      </c>
      <c r="O142" s="265" t="s">
        <v>1693</v>
      </c>
      <c r="P142" s="265" t="s">
        <v>77</v>
      </c>
      <c r="Q142" s="265">
        <v>0</v>
      </c>
      <c r="R142" s="265">
        <v>0</v>
      </c>
      <c r="S142" s="265">
        <v>0</v>
      </c>
      <c r="T142" s="347">
        <v>1.849</v>
      </c>
      <c r="U142" s="348">
        <v>1.849</v>
      </c>
      <c r="V142" s="348" t="s">
        <v>1205</v>
      </c>
    </row>
    <row r="143" spans="1:22">
      <c r="A143" s="104">
        <f>MAX(A8:A142)+1</f>
        <v>1</v>
      </c>
    </row>
  </sheetData>
  <sheetProtection algorithmName="SHA-512" hashValue="eG/VctOx3yLjDdHZgovOFiVQz6phkIAVzu95OxQEJy8a1KKiLThkob/xGCC/2FN3GUpKCwYCF4z9fAexiopREg==" saltValue="mAenThFuXOAxvNfMvwiH+A==" spinCount="100000" sheet="1" formatCells="0" formatColumns="0" formatRows="0" insertColumns="0" insertRows="0" insertHyperlinks="0" deleteColumns="0" deleteRows="0" sort="0" autoFilter="0" pivotTables="0"/>
  <mergeCells count="32">
    <mergeCell ref="B63:C65"/>
    <mergeCell ref="B86:C89"/>
    <mergeCell ref="B135:C142"/>
    <mergeCell ref="B127:C134"/>
    <mergeCell ref="J2:K3"/>
    <mergeCell ref="B116:C116"/>
    <mergeCell ref="B101:C101"/>
    <mergeCell ref="B53:C55"/>
    <mergeCell ref="B66:C71"/>
    <mergeCell ref="B72:C76"/>
    <mergeCell ref="B77:C82"/>
    <mergeCell ref="B96:C100"/>
    <mergeCell ref="B105:C108"/>
    <mergeCell ref="B90:C90"/>
    <mergeCell ref="B83:C85"/>
    <mergeCell ref="B91:C95"/>
    <mergeCell ref="B115:C115"/>
    <mergeCell ref="B125:C126"/>
    <mergeCell ref="B117:C117"/>
    <mergeCell ref="B118:C124"/>
    <mergeCell ref="Q6:S6"/>
    <mergeCell ref="B56:C57"/>
    <mergeCell ref="B8:C8"/>
    <mergeCell ref="B9:C10"/>
    <mergeCell ref="B11:C22"/>
    <mergeCell ref="B23:C27"/>
    <mergeCell ref="B28:C30"/>
    <mergeCell ref="B31:C42"/>
    <mergeCell ref="B58:C62"/>
    <mergeCell ref="B102:C104"/>
    <mergeCell ref="B112:C113"/>
    <mergeCell ref="B114:C114"/>
  </mergeCells>
  <dataValidations xWindow="894" yWindow="297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43:L65447 L1:L6 K1" xr:uid="{00000000-0002-0000-07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7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00000000-0002-0000-07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42" xr:uid="{00000000-0002-0000-0700-000003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52" max="8" man="1"/>
    <brk id="100" max="8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  <pageSetUpPr fitToPage="1"/>
  </sheetPr>
  <dimension ref="A1:W85"/>
  <sheetViews>
    <sheetView showGridLines="0" zoomScaleNormal="100" workbookViewId="0">
      <pane xSplit="6" ySplit="7" topLeftCell="G25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4.28515625" style="104" customWidth="1"/>
    <col min="2" max="3" width="8.7109375" style="17" customWidth="1"/>
    <col min="4" max="5" width="12.7109375" style="17" customWidth="1"/>
    <col min="6" max="6" width="50.7109375" style="217" customWidth="1"/>
    <col min="7" max="8" width="8.5703125" style="17" bestFit="1" customWidth="1"/>
    <col min="9" max="9" width="4.140625" style="17" bestFit="1" customWidth="1"/>
    <col min="10" max="10" width="9.5703125" style="25" bestFit="1" customWidth="1"/>
    <col min="11" max="11" width="10.42578125" style="284" customWidth="1"/>
    <col min="12" max="12" width="9.42578125" style="17" customWidth="1"/>
    <col min="13" max="13" width="1.42578125" style="17" customWidth="1"/>
    <col min="14" max="14" width="11.5703125" style="17" bestFit="1" customWidth="1"/>
    <col min="15" max="15" width="2.28515625" style="17" customWidth="1"/>
    <col min="16" max="16" width="12.7109375" style="20" customWidth="1"/>
    <col min="17" max="17" width="11.7109375" style="217" customWidth="1"/>
    <col min="18" max="18" width="11.28515625" style="17" bestFit="1" customWidth="1"/>
    <col min="19" max="19" width="9.140625" style="17" customWidth="1"/>
    <col min="20" max="20" width="11.28515625" style="17" bestFit="1" customWidth="1"/>
    <col min="21" max="22" width="9.140625" style="17" customWidth="1"/>
    <col min="23" max="16384" width="9.140625" style="17"/>
  </cols>
  <sheetData>
    <row r="1" spans="1:23" ht="18.75">
      <c r="F1" s="173" t="s">
        <v>2538</v>
      </c>
      <c r="G1" s="236"/>
      <c r="H1" s="236"/>
      <c r="I1" s="236"/>
      <c r="P1" s="236"/>
      <c r="Q1" s="236"/>
    </row>
    <row r="2" spans="1:23" ht="15.75">
      <c r="D2" s="270"/>
      <c r="E2" s="268"/>
      <c r="J2" s="17"/>
      <c r="K2" s="628" t="s">
        <v>59</v>
      </c>
      <c r="L2" s="628"/>
    </row>
    <row r="3" spans="1:23">
      <c r="D3" s="20"/>
      <c r="E3" s="20"/>
      <c r="F3" s="436" t="s">
        <v>2539</v>
      </c>
      <c r="J3" s="17"/>
      <c r="K3" s="628"/>
      <c r="L3" s="628"/>
      <c r="Q3" s="20"/>
    </row>
    <row r="4" spans="1:23">
      <c r="E4" s="104" t="s">
        <v>2540</v>
      </c>
      <c r="F4" s="440" t="s">
        <v>2540</v>
      </c>
      <c r="J4" s="17"/>
      <c r="K4" s="21"/>
      <c r="Q4" s="20"/>
    </row>
    <row r="5" spans="1:23">
      <c r="F5" s="438" t="s">
        <v>329</v>
      </c>
      <c r="J5" s="17"/>
      <c r="K5" s="21"/>
      <c r="Q5" s="20"/>
    </row>
    <row r="6" spans="1:23">
      <c r="K6" s="21"/>
      <c r="P6" s="486" t="s">
        <v>63</v>
      </c>
      <c r="R6" s="576" t="s">
        <v>64</v>
      </c>
      <c r="S6" s="576"/>
      <c r="T6" s="576"/>
    </row>
    <row r="7" spans="1:23" ht="36" customHeight="1">
      <c r="A7" s="44"/>
      <c r="B7" s="149"/>
      <c r="C7" s="149"/>
      <c r="D7" s="149" t="s">
        <v>48</v>
      </c>
      <c r="E7" s="149" t="s">
        <v>49</v>
      </c>
      <c r="F7" s="149" t="s">
        <v>2541</v>
      </c>
      <c r="G7" s="149" t="s">
        <v>53</v>
      </c>
      <c r="H7" s="149" t="s">
        <v>2542</v>
      </c>
      <c r="I7" s="149" t="s">
        <v>2543</v>
      </c>
      <c r="J7" s="176" t="s">
        <v>51</v>
      </c>
      <c r="K7" s="176" t="s">
        <v>55</v>
      </c>
      <c r="L7" s="177" t="s">
        <v>52</v>
      </c>
      <c r="M7" s="178"/>
      <c r="N7" s="156" t="s">
        <v>67</v>
      </c>
      <c r="P7" s="263" t="s">
        <v>68</v>
      </c>
      <c r="Q7" s="263" t="s">
        <v>69</v>
      </c>
      <c r="R7" s="263" t="s">
        <v>70</v>
      </c>
      <c r="S7" s="263" t="s">
        <v>71</v>
      </c>
      <c r="T7" s="263" t="s">
        <v>72</v>
      </c>
      <c r="U7" s="263" t="s">
        <v>73</v>
      </c>
      <c r="V7" s="263" t="s">
        <v>330</v>
      </c>
      <c r="W7" s="263" t="s">
        <v>331</v>
      </c>
    </row>
    <row r="8" spans="1:23" ht="39.75" customHeight="1">
      <c r="A8" s="104" t="str">
        <f>IF(L8&gt;0,COUNT($A$7:A7)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8" s="630"/>
      <c r="C8" s="630"/>
      <c r="D8" s="53" t="s">
        <v>2544</v>
      </c>
      <c r="E8" s="54">
        <v>300003387</v>
      </c>
      <c r="F8" s="55" t="s">
        <v>2545</v>
      </c>
      <c r="G8" s="129">
        <v>8</v>
      </c>
      <c r="H8" s="129">
        <v>140</v>
      </c>
      <c r="I8" s="106" t="s">
        <v>2546</v>
      </c>
      <c r="J8" s="128">
        <f>VLOOKUP(E8,'All Products'!$D:$H,5,0)</f>
        <v>1226.4100000000001</v>
      </c>
      <c r="K8" s="235">
        <f>ROUNDUP(J8*Order_Quote!$L$16,2)</f>
        <v>6132.05</v>
      </c>
      <c r="L8" s="123"/>
      <c r="M8" s="79"/>
      <c r="N8" s="117">
        <f t="shared" ref="N8:N38" si="0">L8/G8</f>
        <v>0</v>
      </c>
      <c r="P8" s="265" t="s">
        <v>1693</v>
      </c>
      <c r="Q8" s="265" t="s">
        <v>77</v>
      </c>
      <c r="R8" s="265" t="s">
        <v>2547</v>
      </c>
      <c r="S8" s="265">
        <v>0</v>
      </c>
      <c r="T8" s="265">
        <v>0</v>
      </c>
      <c r="U8" s="347">
        <v>1.516</v>
      </c>
      <c r="V8" s="348">
        <v>12.128</v>
      </c>
      <c r="W8" s="348" t="s">
        <v>1205</v>
      </c>
    </row>
    <row r="9" spans="1:23" ht="15.75" customHeight="1">
      <c r="A9" s="104" t="str">
        <f>IF(L9&gt;0,COUNT($A$7:A8)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9" s="630"/>
      <c r="C9" s="630"/>
      <c r="D9" s="53" t="s">
        <v>2548</v>
      </c>
      <c r="E9" s="54">
        <v>300003374</v>
      </c>
      <c r="F9" s="55" t="s">
        <v>2549</v>
      </c>
      <c r="G9" s="129">
        <v>8</v>
      </c>
      <c r="H9" s="129" t="s">
        <v>1205</v>
      </c>
      <c r="I9" s="106" t="s">
        <v>2546</v>
      </c>
      <c r="J9" s="128">
        <f>VLOOKUP(E9,'All Products'!$D:$H,5,0)</f>
        <v>314.85000000000002</v>
      </c>
      <c r="K9" s="235">
        <f>ROUNDUP(J9*Order_Quote!$L$16,2)</f>
        <v>1574.25</v>
      </c>
      <c r="L9" s="127"/>
      <c r="M9" s="79"/>
      <c r="N9" s="118">
        <f t="shared" si="0"/>
        <v>0</v>
      </c>
      <c r="P9" s="265" t="s">
        <v>1693</v>
      </c>
      <c r="Q9" s="265" t="s">
        <v>77</v>
      </c>
      <c r="R9" s="265" t="s">
        <v>2550</v>
      </c>
      <c r="S9" s="265">
        <v>0</v>
      </c>
      <c r="T9" s="265">
        <v>0</v>
      </c>
      <c r="U9" s="347">
        <v>3.621</v>
      </c>
      <c r="V9" s="348">
        <v>28.968</v>
      </c>
      <c r="W9" s="348" t="s">
        <v>1205</v>
      </c>
    </row>
    <row r="10" spans="1:23" ht="15.75" customHeight="1">
      <c r="A10" s="104" t="str">
        <f>IF(L10&gt;0,COUNT($A$7:A9)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0" s="630"/>
      <c r="C10" s="630"/>
      <c r="D10" s="53" t="s">
        <v>2551</v>
      </c>
      <c r="E10" s="54">
        <v>300003398</v>
      </c>
      <c r="F10" s="55" t="s">
        <v>2552</v>
      </c>
      <c r="G10" s="129">
        <v>4</v>
      </c>
      <c r="H10" s="129">
        <v>60</v>
      </c>
      <c r="I10" s="106" t="s">
        <v>2546</v>
      </c>
      <c r="J10" s="128">
        <f>VLOOKUP(E10,'All Products'!$D:$H,5,0)</f>
        <v>601.07000000000005</v>
      </c>
      <c r="K10" s="235">
        <f>ROUNDUP(J10*Order_Quote!$L$16,2)</f>
        <v>3005.35</v>
      </c>
      <c r="L10" s="123"/>
      <c r="M10" s="79"/>
      <c r="N10" s="118">
        <f t="shared" si="0"/>
        <v>0</v>
      </c>
      <c r="P10" s="265" t="s">
        <v>1693</v>
      </c>
      <c r="Q10" s="265" t="s">
        <v>77</v>
      </c>
      <c r="R10" s="265" t="s">
        <v>2553</v>
      </c>
      <c r="S10" s="265">
        <v>0</v>
      </c>
      <c r="T10" s="265">
        <v>0</v>
      </c>
      <c r="U10" s="347">
        <v>3.18</v>
      </c>
      <c r="V10" s="348">
        <v>12.72</v>
      </c>
      <c r="W10" s="348" t="s">
        <v>1205</v>
      </c>
    </row>
    <row r="11" spans="1:23" ht="15.75" customHeight="1">
      <c r="A11" s="104" t="str">
        <f>IF(L11&gt;0,COUNT($A$7:A10)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1" s="630"/>
      <c r="C11" s="630"/>
      <c r="D11" s="53" t="s">
        <v>2554</v>
      </c>
      <c r="E11" s="54">
        <v>300003426</v>
      </c>
      <c r="F11" s="55" t="s">
        <v>2555</v>
      </c>
      <c r="G11" s="129">
        <v>4</v>
      </c>
      <c r="H11" s="129">
        <v>38</v>
      </c>
      <c r="I11" s="106" t="s">
        <v>2546</v>
      </c>
      <c r="J11" s="128">
        <f>VLOOKUP(E11,'All Products'!$D:$H,5,0)</f>
        <v>961.78</v>
      </c>
      <c r="K11" s="235">
        <f>ROUNDUP(J11*Order_Quote!$L$16,2)</f>
        <v>4808.8999999999996</v>
      </c>
      <c r="L11" s="123"/>
      <c r="M11" s="79"/>
      <c r="N11" s="117">
        <f t="shared" si="0"/>
        <v>0</v>
      </c>
      <c r="P11" s="265" t="s">
        <v>1693</v>
      </c>
      <c r="Q11" s="265" t="s">
        <v>77</v>
      </c>
      <c r="R11" s="265" t="s">
        <v>2556</v>
      </c>
      <c r="S11" s="265">
        <v>0</v>
      </c>
      <c r="T11" s="265">
        <v>0</v>
      </c>
      <c r="U11" s="347">
        <v>7.38</v>
      </c>
      <c r="V11" s="348">
        <v>29.52</v>
      </c>
      <c r="W11" s="348" t="s">
        <v>1205</v>
      </c>
    </row>
    <row r="12" spans="1:23" ht="15.75" customHeight="1">
      <c r="A12" s="104" t="str">
        <f>IF(L12&gt;0,COUNT($A$7:A11)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2" s="630"/>
      <c r="C12" s="630"/>
      <c r="D12" s="53" t="s">
        <v>2557</v>
      </c>
      <c r="E12" s="54">
        <v>300003375</v>
      </c>
      <c r="F12" s="55" t="s">
        <v>2558</v>
      </c>
      <c r="G12" s="129">
        <v>8</v>
      </c>
      <c r="H12" s="129" t="s">
        <v>1205</v>
      </c>
      <c r="I12" s="106" t="s">
        <v>2546</v>
      </c>
      <c r="J12" s="128">
        <f>VLOOKUP(E12,'All Products'!$D:$H,5,0)</f>
        <v>559.79</v>
      </c>
      <c r="K12" s="235">
        <f>ROUNDUP(J12*Order_Quote!$L$16,2)</f>
        <v>2798.95</v>
      </c>
      <c r="L12" s="127"/>
      <c r="M12" s="79"/>
      <c r="N12" s="118">
        <f t="shared" si="0"/>
        <v>0</v>
      </c>
      <c r="P12" s="265" t="s">
        <v>1693</v>
      </c>
      <c r="Q12" s="265" t="s">
        <v>77</v>
      </c>
      <c r="R12" s="265" t="s">
        <v>2559</v>
      </c>
      <c r="S12" s="265">
        <v>0</v>
      </c>
      <c r="T12" s="265">
        <v>0</v>
      </c>
      <c r="U12" s="347">
        <v>6.8769999999999998</v>
      </c>
      <c r="V12" s="348">
        <v>55.015999999999998</v>
      </c>
      <c r="W12" s="348" t="s">
        <v>1205</v>
      </c>
    </row>
    <row r="13" spans="1:23" ht="15.75" customHeight="1">
      <c r="A13" s="104" t="str">
        <f>IF(L13&gt;0,COUNT($A$7:A12)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3" s="630"/>
      <c r="C13" s="630"/>
      <c r="D13" s="53" t="s">
        <v>2560</v>
      </c>
      <c r="E13" s="54">
        <v>300003399</v>
      </c>
      <c r="F13" s="55" t="s">
        <v>2561</v>
      </c>
      <c r="G13" s="129">
        <v>4</v>
      </c>
      <c r="H13" s="129">
        <v>60</v>
      </c>
      <c r="I13" s="106" t="s">
        <v>2546</v>
      </c>
      <c r="J13" s="128">
        <f>VLOOKUP(E13,'All Products'!$D:$H,5,0)</f>
        <v>1587.12</v>
      </c>
      <c r="K13" s="235">
        <f>ROUNDUP(J13*Order_Quote!$L$16,2)</f>
        <v>7935.6</v>
      </c>
      <c r="L13" s="123"/>
      <c r="M13" s="79"/>
      <c r="N13" s="118">
        <f t="shared" si="0"/>
        <v>0</v>
      </c>
      <c r="P13" s="265" t="s">
        <v>1693</v>
      </c>
      <c r="Q13" s="265" t="s">
        <v>77</v>
      </c>
      <c r="R13" s="265" t="s">
        <v>2562</v>
      </c>
      <c r="S13" s="265">
        <v>0</v>
      </c>
      <c r="T13" s="265">
        <v>0</v>
      </c>
      <c r="U13" s="347">
        <v>2.41</v>
      </c>
      <c r="V13" s="348">
        <v>9.64</v>
      </c>
      <c r="W13" s="348" t="s">
        <v>1205</v>
      </c>
    </row>
    <row r="14" spans="1:23" ht="15.75" customHeight="1">
      <c r="A14" s="104" t="str">
        <f>IF(L14&gt;0,COUNT($A$7:A13)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4" s="630"/>
      <c r="C14" s="630"/>
      <c r="D14" s="53" t="s">
        <v>2563</v>
      </c>
      <c r="E14" s="54">
        <v>100029347</v>
      </c>
      <c r="F14" s="55" t="s">
        <v>2564</v>
      </c>
      <c r="G14" s="129">
        <v>18</v>
      </c>
      <c r="H14" s="129">
        <v>432</v>
      </c>
      <c r="I14" s="106" t="s">
        <v>2546</v>
      </c>
      <c r="J14" s="128">
        <f>VLOOKUP(E14,'All Products'!$D:$H,5,0)</f>
        <v>166.36</v>
      </c>
      <c r="K14" s="235">
        <f>ROUNDUP(J14*Order_Quote!$L$16,2)</f>
        <v>831.8</v>
      </c>
      <c r="L14" s="127"/>
      <c r="M14" s="79"/>
      <c r="N14" s="118">
        <f t="shared" si="0"/>
        <v>0</v>
      </c>
      <c r="P14" s="265" t="s">
        <v>76</v>
      </c>
      <c r="Q14" s="265" t="s">
        <v>102</v>
      </c>
      <c r="R14" s="265" t="s">
        <v>2565</v>
      </c>
      <c r="S14" s="265">
        <v>0</v>
      </c>
      <c r="T14" s="265" t="s">
        <v>2566</v>
      </c>
      <c r="U14" s="347">
        <v>1.05</v>
      </c>
      <c r="V14" s="348">
        <v>21.311999999999998</v>
      </c>
      <c r="W14" s="348">
        <v>1.8803145838984718</v>
      </c>
    </row>
    <row r="15" spans="1:23" ht="15.75" customHeight="1">
      <c r="A15" s="104" t="str">
        <f>IF(L15&gt;0,COUNT($A$7:A14)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5" s="630"/>
      <c r="C15" s="630"/>
      <c r="D15" s="53" t="s">
        <v>2567</v>
      </c>
      <c r="E15" s="54">
        <v>100029348</v>
      </c>
      <c r="F15" s="55" t="s">
        <v>2568</v>
      </c>
      <c r="G15" s="129">
        <v>1</v>
      </c>
      <c r="H15" s="129">
        <v>120</v>
      </c>
      <c r="I15" s="106" t="s">
        <v>2546</v>
      </c>
      <c r="J15" s="128">
        <f>VLOOKUP(E15,'All Products'!$D:$H,5,0)</f>
        <v>313.64</v>
      </c>
      <c r="K15" s="235">
        <f>ROUNDUP(J15*Order_Quote!$L$16,2)</f>
        <v>1568.2</v>
      </c>
      <c r="L15" s="123"/>
      <c r="M15" s="79"/>
      <c r="N15" s="117">
        <f t="shared" si="0"/>
        <v>0</v>
      </c>
      <c r="P15" s="265" t="s">
        <v>76</v>
      </c>
      <c r="Q15" s="265" t="s">
        <v>102</v>
      </c>
      <c r="R15" s="265" t="s">
        <v>2569</v>
      </c>
      <c r="S15" s="265">
        <v>0</v>
      </c>
      <c r="T15" s="265" t="s">
        <v>2570</v>
      </c>
      <c r="U15" s="347">
        <v>2.8439999999999999</v>
      </c>
      <c r="V15" s="348">
        <v>341.28</v>
      </c>
      <c r="W15" s="348">
        <v>53.333269333358928</v>
      </c>
    </row>
    <row r="16" spans="1:23" ht="15.75" customHeight="1">
      <c r="A16" s="104" t="str">
        <f>IF(L16&gt;0,COUNT($A$7:A15)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6" s="630"/>
      <c r="C16" s="630"/>
      <c r="D16" s="53" t="s">
        <v>2571</v>
      </c>
      <c r="E16" s="54">
        <v>300005761</v>
      </c>
      <c r="F16" s="55" t="s">
        <v>2572</v>
      </c>
      <c r="G16" s="129">
        <v>1</v>
      </c>
      <c r="H16" s="129">
        <v>70</v>
      </c>
      <c r="I16" s="106" t="s">
        <v>2546</v>
      </c>
      <c r="J16" s="128">
        <f>VLOOKUP(E16,'All Products'!$D:$H,5,0)</f>
        <v>1046.92</v>
      </c>
      <c r="K16" s="235">
        <f>ROUNDUP(J16*Order_Quote!$L$16,2)</f>
        <v>5234.6000000000004</v>
      </c>
      <c r="L16" s="123"/>
      <c r="M16" s="79"/>
      <c r="N16" s="117">
        <f t="shared" si="0"/>
        <v>0</v>
      </c>
      <c r="P16" s="265" t="s">
        <v>1693</v>
      </c>
      <c r="Q16" s="265" t="s">
        <v>77</v>
      </c>
      <c r="R16" s="265" t="s">
        <v>2573</v>
      </c>
      <c r="S16" s="265">
        <v>0</v>
      </c>
      <c r="T16" s="265">
        <v>0</v>
      </c>
      <c r="U16" s="347">
        <v>5.5</v>
      </c>
      <c r="V16" s="348">
        <v>5.5</v>
      </c>
      <c r="W16" s="348" t="s">
        <v>1205</v>
      </c>
    </row>
    <row r="17" spans="1:23" ht="15.75" customHeight="1">
      <c r="A17" s="104" t="str">
        <f>IF(L17&gt;0,COUNT($A$7:A16)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7" s="630"/>
      <c r="C17" s="630"/>
      <c r="D17" s="53" t="s">
        <v>2574</v>
      </c>
      <c r="E17" s="54">
        <v>100029345</v>
      </c>
      <c r="F17" s="55" t="s">
        <v>2575</v>
      </c>
      <c r="G17" s="129">
        <v>18</v>
      </c>
      <c r="H17" s="129">
        <v>432</v>
      </c>
      <c r="I17" s="106" t="s">
        <v>2546</v>
      </c>
      <c r="J17" s="128">
        <f>VLOOKUP(E17,'All Products'!$D:$H,5,0)</f>
        <v>159.29</v>
      </c>
      <c r="K17" s="235">
        <f>ROUNDUP(J17*Order_Quote!$L$16,2)</f>
        <v>796.45</v>
      </c>
      <c r="L17" s="127"/>
      <c r="M17" s="79"/>
      <c r="N17" s="118">
        <f t="shared" si="0"/>
        <v>0</v>
      </c>
      <c r="P17" s="265" t="s">
        <v>76</v>
      </c>
      <c r="Q17" s="265" t="s">
        <v>102</v>
      </c>
      <c r="R17" s="265" t="s">
        <v>2576</v>
      </c>
      <c r="S17" s="265">
        <v>0</v>
      </c>
      <c r="T17" s="265" t="s">
        <v>2577</v>
      </c>
      <c r="U17" s="347">
        <v>0.86799999999999999</v>
      </c>
      <c r="V17" s="348">
        <v>17.765999999999998</v>
      </c>
      <c r="W17" s="348">
        <v>1.8803145838984718</v>
      </c>
    </row>
    <row r="18" spans="1:23" ht="15.75" customHeight="1">
      <c r="A18" s="104" t="str">
        <f>IF(L18&gt;0,COUNT($A$7:A17)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8" s="630"/>
      <c r="C18" s="630"/>
      <c r="D18" s="53" t="s">
        <v>2578</v>
      </c>
      <c r="E18" s="54">
        <v>100029346</v>
      </c>
      <c r="F18" s="55" t="s">
        <v>2579</v>
      </c>
      <c r="G18" s="129">
        <v>1</v>
      </c>
      <c r="H18" s="129">
        <v>120</v>
      </c>
      <c r="I18" s="106" t="s">
        <v>2546</v>
      </c>
      <c r="J18" s="128">
        <f>VLOOKUP(E18,'All Products'!$D:$H,5,0)</f>
        <v>300.45</v>
      </c>
      <c r="K18" s="235">
        <f>ROUNDUP(J18*Order_Quote!$L$16,2)</f>
        <v>1502.25</v>
      </c>
      <c r="L18" s="123"/>
      <c r="M18" s="79"/>
      <c r="N18" s="117">
        <f t="shared" si="0"/>
        <v>0</v>
      </c>
      <c r="P18" s="265" t="s">
        <v>76</v>
      </c>
      <c r="Q18" s="265" t="s">
        <v>102</v>
      </c>
      <c r="R18" s="265" t="s">
        <v>2580</v>
      </c>
      <c r="S18" s="265">
        <v>0</v>
      </c>
      <c r="T18" s="265" t="s">
        <v>2581</v>
      </c>
      <c r="U18" s="347">
        <v>2.5059999999999998</v>
      </c>
      <c r="V18" s="348">
        <v>300.71999999999997</v>
      </c>
      <c r="W18" s="348">
        <v>53.333269333358928</v>
      </c>
    </row>
    <row r="19" spans="1:23" ht="15.75" customHeight="1">
      <c r="A19" s="104" t="str">
        <f>IF(L19&gt;0,COUNT($A$7:A18)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19" s="630"/>
      <c r="C19" s="630"/>
      <c r="D19" s="53" t="s">
        <v>2582</v>
      </c>
      <c r="E19" s="54">
        <v>300005762</v>
      </c>
      <c r="F19" s="55" t="s">
        <v>2583</v>
      </c>
      <c r="G19" s="129">
        <v>1</v>
      </c>
      <c r="H19" s="129">
        <v>70</v>
      </c>
      <c r="I19" s="106" t="s">
        <v>2546</v>
      </c>
      <c r="J19" s="128">
        <f>VLOOKUP(E19,'All Products'!$D:$H,5,0)</f>
        <v>1029.3</v>
      </c>
      <c r="K19" s="235">
        <f>ROUNDUP(J19*Order_Quote!$L$16,2)</f>
        <v>5146.5</v>
      </c>
      <c r="L19" s="123"/>
      <c r="M19" s="79"/>
      <c r="N19" s="118">
        <f t="shared" si="0"/>
        <v>0</v>
      </c>
      <c r="P19" s="265" t="s">
        <v>1693</v>
      </c>
      <c r="Q19" s="265" t="s">
        <v>77</v>
      </c>
      <c r="R19" s="265" t="s">
        <v>2584</v>
      </c>
      <c r="S19" s="265">
        <v>0</v>
      </c>
      <c r="T19" s="265">
        <v>0</v>
      </c>
      <c r="U19" s="347">
        <v>5.36</v>
      </c>
      <c r="V19" s="348">
        <v>5.36</v>
      </c>
      <c r="W19" s="348" t="s">
        <v>1205</v>
      </c>
    </row>
    <row r="20" spans="1:23" ht="15.75" customHeight="1">
      <c r="A20" s="104" t="str">
        <f>IF(L20&gt;0,COUNT($A$7:A19)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0" s="630"/>
      <c r="C20" s="630"/>
      <c r="D20" s="53" t="s">
        <v>2585</v>
      </c>
      <c r="E20" s="54">
        <v>100029299</v>
      </c>
      <c r="F20" s="55" t="s">
        <v>2586</v>
      </c>
      <c r="G20" s="129">
        <v>16</v>
      </c>
      <c r="H20" s="129">
        <v>384</v>
      </c>
      <c r="I20" s="106" t="s">
        <v>2546</v>
      </c>
      <c r="J20" s="128">
        <f>VLOOKUP(E20,'All Products'!$D:$H,5,0)</f>
        <v>125.35</v>
      </c>
      <c r="K20" s="235">
        <f>ROUNDUP(J20*Order_Quote!$L$16,2)</f>
        <v>626.75</v>
      </c>
      <c r="L20" s="123"/>
      <c r="M20" s="79"/>
      <c r="N20" s="117">
        <f t="shared" si="0"/>
        <v>0</v>
      </c>
      <c r="P20" s="265" t="s">
        <v>76</v>
      </c>
      <c r="Q20" s="265" t="s">
        <v>102</v>
      </c>
      <c r="R20" s="265" t="s">
        <v>2587</v>
      </c>
      <c r="S20" s="265">
        <v>0</v>
      </c>
      <c r="T20" s="265" t="s">
        <v>2588</v>
      </c>
      <c r="U20" s="347">
        <v>1.127</v>
      </c>
      <c r="V20" s="348">
        <v>20.224</v>
      </c>
      <c r="W20" s="348">
        <v>1.8803145838984718</v>
      </c>
    </row>
    <row r="21" spans="1:23" ht="15.75" customHeight="1">
      <c r="A21" s="104" t="str">
        <f>IF(L21&gt;0,COUNT($A$7:A20)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1" s="630"/>
      <c r="C21" s="630"/>
      <c r="D21" s="53" t="s">
        <v>2589</v>
      </c>
      <c r="E21" s="54">
        <v>100029300</v>
      </c>
      <c r="F21" s="55" t="s">
        <v>2590</v>
      </c>
      <c r="G21" s="129">
        <v>1</v>
      </c>
      <c r="H21" s="129">
        <v>110</v>
      </c>
      <c r="I21" s="106" t="s">
        <v>2546</v>
      </c>
      <c r="J21" s="128">
        <f>VLOOKUP(E21,'All Products'!$D:$H,5,0)</f>
        <v>230.11</v>
      </c>
      <c r="K21" s="235">
        <f>ROUNDUP(J21*Order_Quote!$L$16,2)</f>
        <v>1150.55</v>
      </c>
      <c r="L21" s="123"/>
      <c r="M21" s="79"/>
      <c r="N21" s="118">
        <f t="shared" si="0"/>
        <v>0</v>
      </c>
      <c r="P21" s="265" t="s">
        <v>76</v>
      </c>
      <c r="Q21" s="265" t="s">
        <v>102</v>
      </c>
      <c r="R21" s="265" t="s">
        <v>2591</v>
      </c>
      <c r="S21" s="265">
        <v>0</v>
      </c>
      <c r="T21" s="265" t="s">
        <v>2592</v>
      </c>
      <c r="U21" s="347">
        <v>3.181</v>
      </c>
      <c r="V21" s="348">
        <v>349.91</v>
      </c>
      <c r="W21" s="348">
        <v>53.333269333358928</v>
      </c>
    </row>
    <row r="22" spans="1:23" ht="15.75" customHeight="1">
      <c r="A22" s="104" t="str">
        <f>IF(L22&gt;0,COUNT($A$7:A21)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2" s="630"/>
      <c r="C22" s="630"/>
      <c r="D22" s="53" t="s">
        <v>2593</v>
      </c>
      <c r="E22" s="54">
        <v>100029301</v>
      </c>
      <c r="F22" s="55" t="s">
        <v>2594</v>
      </c>
      <c r="G22" s="129">
        <v>1</v>
      </c>
      <c r="H22" s="129">
        <v>48</v>
      </c>
      <c r="I22" s="106" t="s">
        <v>2546</v>
      </c>
      <c r="J22" s="128">
        <f>VLOOKUP(E22,'All Products'!$D:$H,5,0)</f>
        <v>571.75</v>
      </c>
      <c r="K22" s="235">
        <f>ROUNDUP(J22*Order_Quote!$L$16,2)</f>
        <v>2858.75</v>
      </c>
      <c r="L22" s="123"/>
      <c r="M22" s="79"/>
      <c r="N22" s="118">
        <f t="shared" si="0"/>
        <v>0</v>
      </c>
      <c r="P22" s="265" t="s">
        <v>76</v>
      </c>
      <c r="Q22" s="265" t="s">
        <v>102</v>
      </c>
      <c r="R22" s="265" t="s">
        <v>2595</v>
      </c>
      <c r="S22" s="265">
        <v>0</v>
      </c>
      <c r="T22" s="265" t="s">
        <v>2596</v>
      </c>
      <c r="U22" s="347">
        <v>6.7640000000000002</v>
      </c>
      <c r="V22" s="348">
        <v>324.67200000000003</v>
      </c>
      <c r="W22" s="348">
        <v>53.333269333358928</v>
      </c>
    </row>
    <row r="23" spans="1:23" ht="15.75" customHeight="1">
      <c r="A23" s="104" t="str">
        <f>IF(L23&gt;0,COUNT($A$7:A22)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3" s="630"/>
      <c r="C23" s="630"/>
      <c r="D23" s="53" t="s">
        <v>2597</v>
      </c>
      <c r="E23" s="54">
        <v>100029296</v>
      </c>
      <c r="F23" s="55" t="s">
        <v>2598</v>
      </c>
      <c r="G23" s="129">
        <v>16</v>
      </c>
      <c r="H23" s="129">
        <v>384</v>
      </c>
      <c r="I23" s="106" t="s">
        <v>2546</v>
      </c>
      <c r="J23" s="128">
        <f>VLOOKUP(E23,'All Products'!$D:$H,5,0)</f>
        <v>115.73</v>
      </c>
      <c r="K23" s="235">
        <f>ROUNDUP(J23*Order_Quote!$L$16,2)</f>
        <v>578.65</v>
      </c>
      <c r="L23" s="127"/>
      <c r="M23" s="79"/>
      <c r="N23" s="117">
        <f t="shared" si="0"/>
        <v>0</v>
      </c>
      <c r="P23" s="265" t="s">
        <v>76</v>
      </c>
      <c r="Q23" s="265" t="s">
        <v>102</v>
      </c>
      <c r="R23" s="265" t="s">
        <v>2599</v>
      </c>
      <c r="S23" s="265">
        <v>0</v>
      </c>
      <c r="T23" s="265" t="s">
        <v>2600</v>
      </c>
      <c r="U23" s="347">
        <v>1.0409999999999999</v>
      </c>
      <c r="V23" s="348">
        <v>18.847999999999999</v>
      </c>
      <c r="W23" s="348">
        <v>1.8803145838984718</v>
      </c>
    </row>
    <row r="24" spans="1:23" ht="15.75" customHeight="1">
      <c r="A24" s="104" t="str">
        <f>IF(L24&gt;0,COUNT($A$7:A23)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4" s="630"/>
      <c r="C24" s="630"/>
      <c r="D24" s="53" t="s">
        <v>2601</v>
      </c>
      <c r="E24" s="54">
        <v>100029297</v>
      </c>
      <c r="F24" s="55" t="s">
        <v>2602</v>
      </c>
      <c r="G24" s="129">
        <v>1</v>
      </c>
      <c r="H24" s="129">
        <v>120</v>
      </c>
      <c r="I24" s="106" t="s">
        <v>2546</v>
      </c>
      <c r="J24" s="128">
        <f>VLOOKUP(E24,'All Products'!$D:$H,5,0)</f>
        <v>169.98</v>
      </c>
      <c r="K24" s="235">
        <f>ROUNDUP(J24*Order_Quote!$L$16,2)</f>
        <v>849.9</v>
      </c>
      <c r="L24" s="123"/>
      <c r="M24" s="79"/>
      <c r="N24" s="118">
        <f t="shared" si="0"/>
        <v>0</v>
      </c>
      <c r="P24" s="265" t="s">
        <v>76</v>
      </c>
      <c r="Q24" s="265" t="s">
        <v>102</v>
      </c>
      <c r="R24" s="265" t="s">
        <v>2603</v>
      </c>
      <c r="S24" s="265">
        <v>0</v>
      </c>
      <c r="T24" s="265" t="s">
        <v>2604</v>
      </c>
      <c r="U24" s="347">
        <v>2.9289999999999998</v>
      </c>
      <c r="V24" s="348">
        <v>351.47999999999996</v>
      </c>
      <c r="W24" s="348">
        <v>53.333269333358928</v>
      </c>
    </row>
    <row r="25" spans="1:23" ht="15.75" customHeight="1">
      <c r="A25" s="104" t="str">
        <f>IF(L25&gt;0,COUNT($A$7:A24)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5" s="630"/>
      <c r="C25" s="630"/>
      <c r="D25" s="53" t="s">
        <v>2605</v>
      </c>
      <c r="E25" s="54">
        <v>100029298</v>
      </c>
      <c r="F25" s="55" t="s">
        <v>2606</v>
      </c>
      <c r="G25" s="129">
        <v>1</v>
      </c>
      <c r="H25" s="129">
        <v>48</v>
      </c>
      <c r="I25" s="106" t="s">
        <v>2546</v>
      </c>
      <c r="J25" s="128">
        <f>VLOOKUP(E25,'All Products'!$D:$H,5,0)</f>
        <v>571.75</v>
      </c>
      <c r="K25" s="235">
        <f>ROUNDUP(J25*Order_Quote!$L$16,2)</f>
        <v>2858.75</v>
      </c>
      <c r="L25" s="123"/>
      <c r="M25" s="79"/>
      <c r="N25" s="117">
        <f t="shared" si="0"/>
        <v>0</v>
      </c>
      <c r="P25" s="265" t="s">
        <v>359</v>
      </c>
      <c r="Q25" s="265" t="s">
        <v>102</v>
      </c>
      <c r="R25" s="265" t="s">
        <v>2607</v>
      </c>
      <c r="S25" s="265">
        <v>0</v>
      </c>
      <c r="T25" s="265" t="s">
        <v>2608</v>
      </c>
      <c r="U25" s="347">
        <v>6.274</v>
      </c>
      <c r="V25" s="348">
        <v>301.15199999999999</v>
      </c>
      <c r="W25" s="348">
        <v>53.333269333358928</v>
      </c>
    </row>
    <row r="26" spans="1:23" ht="15.75" customHeight="1">
      <c r="A26" s="104" t="str">
        <f>IF(L26&gt;0,COUNT($A$7:A25)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6" s="630"/>
      <c r="C26" s="630"/>
      <c r="D26" s="53" t="s">
        <v>2609</v>
      </c>
      <c r="E26" s="54">
        <v>100029295</v>
      </c>
      <c r="F26" s="55" t="s">
        <v>2610</v>
      </c>
      <c r="G26" s="129">
        <v>10</v>
      </c>
      <c r="H26" s="129">
        <v>240</v>
      </c>
      <c r="I26" s="106" t="s">
        <v>2546</v>
      </c>
      <c r="J26" s="128">
        <f>VLOOKUP(E26,'All Products'!$D:$H,5,0)</f>
        <v>222.71</v>
      </c>
      <c r="K26" s="235">
        <f>ROUNDUP(J26*Order_Quote!$L$16,2)</f>
        <v>1113.55</v>
      </c>
      <c r="L26" s="127"/>
      <c r="M26" s="79"/>
      <c r="N26" s="118">
        <f t="shared" si="0"/>
        <v>0</v>
      </c>
      <c r="P26" s="265" t="s">
        <v>76</v>
      </c>
      <c r="Q26" s="265" t="s">
        <v>102</v>
      </c>
      <c r="R26" s="265" t="s">
        <v>2611</v>
      </c>
      <c r="S26" s="265">
        <v>0</v>
      </c>
      <c r="T26" s="265" t="s">
        <v>2612</v>
      </c>
      <c r="U26" s="347">
        <v>1.452</v>
      </c>
      <c r="V26" s="348">
        <v>16.690000000000001</v>
      </c>
      <c r="W26" s="348">
        <v>1.8803145838984718</v>
      </c>
    </row>
    <row r="27" spans="1:23" ht="15.75" customHeight="1">
      <c r="A27" s="104" t="str">
        <f>IF(L27&gt;0,COUNT($A$7:A26)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7" s="630"/>
      <c r="C27" s="630"/>
      <c r="D27" s="53" t="s">
        <v>2613</v>
      </c>
      <c r="E27" s="54">
        <v>100029302</v>
      </c>
      <c r="F27" s="55" t="s">
        <v>2614</v>
      </c>
      <c r="G27" s="129">
        <v>1</v>
      </c>
      <c r="H27" s="129">
        <v>100</v>
      </c>
      <c r="I27" s="106" t="s">
        <v>2546</v>
      </c>
      <c r="J27" s="128">
        <f>VLOOKUP(E27,'All Products'!$D:$H,5,0)</f>
        <v>244.39</v>
      </c>
      <c r="K27" s="235">
        <f>ROUNDUP(J27*Order_Quote!$L$16,2)</f>
        <v>1221.95</v>
      </c>
      <c r="L27" s="123"/>
      <c r="M27" s="79"/>
      <c r="N27" s="118">
        <f t="shared" si="0"/>
        <v>0</v>
      </c>
      <c r="P27" s="265" t="s">
        <v>76</v>
      </c>
      <c r="Q27" s="265" t="s">
        <v>102</v>
      </c>
      <c r="R27" s="265" t="s">
        <v>2615</v>
      </c>
      <c r="S27" s="265">
        <v>0</v>
      </c>
      <c r="T27" s="265" t="s">
        <v>2616</v>
      </c>
      <c r="U27" s="347">
        <v>3.8</v>
      </c>
      <c r="V27" s="348">
        <v>380</v>
      </c>
      <c r="W27" s="348">
        <v>53.333269333358928</v>
      </c>
    </row>
    <row r="28" spans="1:23" ht="15.75" customHeight="1">
      <c r="A28" s="104" t="str">
        <f>IF(L28&gt;0,COUNT($A$7:A27)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8" s="630"/>
      <c r="C28" s="630"/>
      <c r="D28" s="53" t="s">
        <v>2617</v>
      </c>
      <c r="E28" s="54">
        <v>300005842</v>
      </c>
      <c r="F28" s="55" t="s">
        <v>2618</v>
      </c>
      <c r="G28" s="129">
        <v>1</v>
      </c>
      <c r="H28" s="129">
        <v>45</v>
      </c>
      <c r="I28" s="106" t="s">
        <v>2546</v>
      </c>
      <c r="J28" s="128">
        <f>VLOOKUP(E28,'All Products'!$D:$H,5,0)</f>
        <v>1940.02</v>
      </c>
      <c r="K28" s="235">
        <f>ROUNDUP(J28*Order_Quote!$L$16,2)</f>
        <v>9700.1</v>
      </c>
      <c r="L28" s="123"/>
      <c r="M28" s="79"/>
      <c r="N28" s="117">
        <f t="shared" si="0"/>
        <v>0</v>
      </c>
      <c r="P28" s="265" t="s">
        <v>1693</v>
      </c>
      <c r="Q28" s="265" t="s">
        <v>77</v>
      </c>
      <c r="R28" s="265" t="s">
        <v>2619</v>
      </c>
      <c r="S28" s="265">
        <v>0</v>
      </c>
      <c r="T28" s="265">
        <v>0</v>
      </c>
      <c r="U28" s="347">
        <v>9.5</v>
      </c>
      <c r="V28" s="348">
        <v>9.5</v>
      </c>
      <c r="W28" s="348" t="s">
        <v>1205</v>
      </c>
    </row>
    <row r="29" spans="1:23" ht="15.75" customHeight="1">
      <c r="A29" s="104" t="str">
        <f>IF(L29&gt;0,COUNT($A$7:A28)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29" s="579"/>
      <c r="C29" s="580"/>
      <c r="D29" s="53" t="s">
        <v>2620</v>
      </c>
      <c r="E29" s="54">
        <v>300003395</v>
      </c>
      <c r="F29" s="55" t="s">
        <v>2621</v>
      </c>
      <c r="G29" s="129">
        <v>4</v>
      </c>
      <c r="H29" s="129">
        <v>24</v>
      </c>
      <c r="I29" s="106" t="s">
        <v>2546</v>
      </c>
      <c r="J29" s="128">
        <f>VLOOKUP(E29,'All Products'!$D:$H,5,0)</f>
        <v>1120.9100000000001</v>
      </c>
      <c r="K29" s="235">
        <f>ROUNDUP(J29*Order_Quote!$L$16,2)</f>
        <v>5604.55</v>
      </c>
      <c r="L29" s="127"/>
      <c r="M29" s="79"/>
      <c r="N29" s="118">
        <f t="shared" si="0"/>
        <v>0</v>
      </c>
      <c r="P29" s="265" t="s">
        <v>1693</v>
      </c>
      <c r="Q29" s="265" t="s">
        <v>77</v>
      </c>
      <c r="R29" s="265" t="s">
        <v>2622</v>
      </c>
      <c r="S29" s="265">
        <v>0</v>
      </c>
      <c r="T29" s="265">
        <v>0</v>
      </c>
      <c r="U29" s="347">
        <v>5.29</v>
      </c>
      <c r="V29" s="348">
        <v>21.16</v>
      </c>
      <c r="W29" s="348" t="s">
        <v>1205</v>
      </c>
    </row>
    <row r="30" spans="1:23" ht="15.75" customHeight="1">
      <c r="A30" s="104" t="str">
        <f>IF(L30&gt;0,COUNT($A$7:A29)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0" s="581"/>
      <c r="C30" s="582"/>
      <c r="D30" s="53" t="s">
        <v>2623</v>
      </c>
      <c r="E30" s="54">
        <v>300003424</v>
      </c>
      <c r="F30" s="55" t="s">
        <v>2624</v>
      </c>
      <c r="G30" s="129">
        <v>2</v>
      </c>
      <c r="H30" s="129">
        <v>12</v>
      </c>
      <c r="I30" s="106" t="s">
        <v>2546</v>
      </c>
      <c r="J30" s="128">
        <f>VLOOKUP(E30,'All Products'!$D:$H,5,0)</f>
        <v>2492.25</v>
      </c>
      <c r="K30" s="235">
        <f>ROUNDUP(J30*Order_Quote!$L$16,2)</f>
        <v>12461.25</v>
      </c>
      <c r="L30" s="127"/>
      <c r="M30" s="79"/>
      <c r="N30" s="117">
        <f t="shared" si="0"/>
        <v>0</v>
      </c>
      <c r="P30" s="265" t="s">
        <v>1693</v>
      </c>
      <c r="Q30" s="265" t="s">
        <v>77</v>
      </c>
      <c r="R30" s="265" t="s">
        <v>2625</v>
      </c>
      <c r="S30" s="265">
        <v>0</v>
      </c>
      <c r="T30" s="265">
        <v>0</v>
      </c>
      <c r="U30" s="347">
        <v>11.609</v>
      </c>
      <c r="V30" s="348">
        <v>23.218</v>
      </c>
      <c r="W30" s="348" t="s">
        <v>1205</v>
      </c>
    </row>
    <row r="31" spans="1:23" ht="15.75" customHeight="1">
      <c r="A31" s="104" t="str">
        <f>IF(L31&gt;0,COUNT($A$7:A30)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1" s="630"/>
      <c r="C31" s="630"/>
      <c r="D31" s="53" t="s">
        <v>2626</v>
      </c>
      <c r="E31" s="54">
        <v>300005840</v>
      </c>
      <c r="F31" s="55" t="s">
        <v>2627</v>
      </c>
      <c r="G31" s="129">
        <v>10</v>
      </c>
      <c r="H31" s="129">
        <v>240</v>
      </c>
      <c r="I31" s="106" t="s">
        <v>2546</v>
      </c>
      <c r="J31" s="128">
        <f>VLOOKUP(E31,'All Products'!$D:$H,5,0)</f>
        <v>826.87</v>
      </c>
      <c r="K31" s="235">
        <f>ROUNDUP(J31*Order_Quote!$L$16,2)</f>
        <v>4134.3500000000004</v>
      </c>
      <c r="L31" s="127"/>
      <c r="M31" s="79"/>
      <c r="N31" s="117">
        <f t="shared" si="0"/>
        <v>0</v>
      </c>
      <c r="P31" s="265" t="s">
        <v>1693</v>
      </c>
      <c r="Q31" s="265" t="s">
        <v>77</v>
      </c>
      <c r="R31" s="265" t="s">
        <v>2628</v>
      </c>
      <c r="S31" s="265">
        <v>0</v>
      </c>
      <c r="T31" s="265">
        <v>0</v>
      </c>
      <c r="U31" s="347">
        <v>1.2070000000000001</v>
      </c>
      <c r="V31" s="348">
        <v>12.07</v>
      </c>
      <c r="W31" s="348" t="s">
        <v>1205</v>
      </c>
    </row>
    <row r="32" spans="1:23" ht="15.75" customHeight="1">
      <c r="A32" s="104" t="str">
        <f>IF(L32&gt;0,COUNT($A$7:A31)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2" s="630"/>
      <c r="C32" s="630"/>
      <c r="D32" s="53" t="s">
        <v>2629</v>
      </c>
      <c r="E32" s="54">
        <v>300005758</v>
      </c>
      <c r="F32" s="55" t="s">
        <v>2630</v>
      </c>
      <c r="G32" s="129">
        <v>4</v>
      </c>
      <c r="H32" s="129">
        <v>100</v>
      </c>
      <c r="I32" s="106" t="s">
        <v>2546</v>
      </c>
      <c r="J32" s="128">
        <f>VLOOKUP(E32,'All Products'!$D:$H,5,0)</f>
        <v>597.83000000000004</v>
      </c>
      <c r="K32" s="235">
        <f>ROUNDUP(J32*Order_Quote!$L$16,2)</f>
        <v>2989.15</v>
      </c>
      <c r="L32" s="123"/>
      <c r="M32" s="79"/>
      <c r="N32" s="118">
        <f t="shared" si="0"/>
        <v>0</v>
      </c>
      <c r="P32" s="265" t="s">
        <v>1693</v>
      </c>
      <c r="Q32" s="265" t="s">
        <v>77</v>
      </c>
      <c r="R32" s="265" t="s">
        <v>2631</v>
      </c>
      <c r="S32" s="265">
        <v>0</v>
      </c>
      <c r="T32" s="265">
        <v>0</v>
      </c>
      <c r="U32" s="347">
        <v>3.4460000000000002</v>
      </c>
      <c r="V32" s="348">
        <v>13.784000000000001</v>
      </c>
      <c r="W32" s="348" t="s">
        <v>1205</v>
      </c>
    </row>
    <row r="33" spans="1:23" ht="15.75" customHeight="1">
      <c r="A33" s="104" t="str">
        <f>IF(L33&gt;0,COUNT($A$7:A32)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3" s="630"/>
      <c r="C33" s="630"/>
      <c r="D33" s="53" t="s">
        <v>2632</v>
      </c>
      <c r="E33" s="54">
        <v>300005843</v>
      </c>
      <c r="F33" s="55" t="s">
        <v>2633</v>
      </c>
      <c r="G33" s="129">
        <v>1</v>
      </c>
      <c r="H33" s="129">
        <v>45</v>
      </c>
      <c r="I33" s="106" t="s">
        <v>2546</v>
      </c>
      <c r="J33" s="128">
        <f>VLOOKUP(E33,'All Products'!$D:$H,5,0)</f>
        <v>1780</v>
      </c>
      <c r="K33" s="235">
        <f>ROUNDUP(J33*Order_Quote!$L$16,2)</f>
        <v>8900</v>
      </c>
      <c r="L33" s="123"/>
      <c r="M33" s="79"/>
      <c r="N33" s="118">
        <f t="shared" si="0"/>
        <v>0</v>
      </c>
      <c r="P33" s="265" t="s">
        <v>1693</v>
      </c>
      <c r="Q33" s="265" t="s">
        <v>77</v>
      </c>
      <c r="R33" s="265" t="s">
        <v>2634</v>
      </c>
      <c r="S33" s="265">
        <v>0</v>
      </c>
      <c r="T33" s="265">
        <v>0</v>
      </c>
      <c r="U33" s="347">
        <v>7.3769999999999998</v>
      </c>
      <c r="V33" s="348">
        <v>7.3769999999999998</v>
      </c>
      <c r="W33" s="348" t="s">
        <v>1205</v>
      </c>
    </row>
    <row r="34" spans="1:23" ht="43.5" customHeight="1">
      <c r="A34" s="104" t="str">
        <f>IF(L34&gt;0,COUNT($A$7:A33)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4" s="577"/>
      <c r="C34" s="578"/>
      <c r="D34" s="53" t="s">
        <v>2635</v>
      </c>
      <c r="E34" s="54">
        <v>300003373</v>
      </c>
      <c r="F34" s="55" t="s">
        <v>2636</v>
      </c>
      <c r="G34" s="129">
        <v>6</v>
      </c>
      <c r="H34" s="129" t="s">
        <v>1205</v>
      </c>
      <c r="I34" s="106" t="s">
        <v>2546</v>
      </c>
      <c r="J34" s="128">
        <f>VLOOKUP(E34,'All Products'!$D:$H,5,0)</f>
        <v>380.28</v>
      </c>
      <c r="K34" s="235">
        <f>ROUNDUP(J34*Order_Quote!$L$16,2)</f>
        <v>1901.4</v>
      </c>
      <c r="L34" s="127"/>
      <c r="M34" s="79"/>
      <c r="N34" s="117">
        <f t="shared" si="0"/>
        <v>0</v>
      </c>
      <c r="P34" s="265" t="s">
        <v>1693</v>
      </c>
      <c r="Q34" s="265" t="s">
        <v>77</v>
      </c>
      <c r="R34" s="265" t="s">
        <v>2637</v>
      </c>
      <c r="S34" s="265">
        <v>0</v>
      </c>
      <c r="T34" s="265">
        <v>0</v>
      </c>
      <c r="U34" s="347">
        <v>1.899</v>
      </c>
      <c r="V34" s="348">
        <v>11.394</v>
      </c>
      <c r="W34" s="348" t="s">
        <v>1205</v>
      </c>
    </row>
    <row r="35" spans="1:23" ht="15.75" customHeight="1">
      <c r="A35" s="104" t="str">
        <f>IF(L35&gt;0,COUNT($A$7:A34)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5" s="630"/>
      <c r="C35" s="630"/>
      <c r="D35" s="53" t="s">
        <v>2638</v>
      </c>
      <c r="E35" s="54">
        <v>300003407</v>
      </c>
      <c r="F35" s="55" t="s">
        <v>2639</v>
      </c>
      <c r="G35" s="129">
        <v>4</v>
      </c>
      <c r="H35" s="129" t="s">
        <v>1205</v>
      </c>
      <c r="I35" s="106" t="s">
        <v>2546</v>
      </c>
      <c r="J35" s="128">
        <f>VLOOKUP(E35,'All Products'!$D:$H,5,0)</f>
        <v>546.63</v>
      </c>
      <c r="K35" s="235">
        <f>ROUNDUP(J35*Order_Quote!$L$16,2)</f>
        <v>2733.15</v>
      </c>
      <c r="L35" s="127"/>
      <c r="M35" s="79"/>
      <c r="N35" s="118">
        <f t="shared" si="0"/>
        <v>0</v>
      </c>
      <c r="P35" s="265" t="s">
        <v>1693</v>
      </c>
      <c r="Q35" s="265" t="s">
        <v>77</v>
      </c>
      <c r="R35" s="265" t="s">
        <v>2640</v>
      </c>
      <c r="S35" s="265">
        <v>0</v>
      </c>
      <c r="T35" s="265">
        <v>0</v>
      </c>
      <c r="U35" s="347">
        <v>5.4560000000000004</v>
      </c>
      <c r="V35" s="348">
        <v>21.824000000000002</v>
      </c>
      <c r="W35" s="348" t="s">
        <v>1205</v>
      </c>
    </row>
    <row r="36" spans="1:23" ht="15.75" customHeight="1">
      <c r="A36" s="104" t="str">
        <f>IF(L36&gt;0,COUNT($A$7:A35)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6" s="630"/>
      <c r="C36" s="630"/>
      <c r="D36" s="53" t="s">
        <v>2641</v>
      </c>
      <c r="E36" s="106">
        <v>300003439</v>
      </c>
      <c r="F36" s="55" t="s">
        <v>2642</v>
      </c>
      <c r="G36" s="129">
        <v>4</v>
      </c>
      <c r="H36" s="129" t="s">
        <v>1205</v>
      </c>
      <c r="I36" s="106" t="s">
        <v>2546</v>
      </c>
      <c r="J36" s="128">
        <f>VLOOKUP(E36,'All Products'!$D:$H,5,0)</f>
        <v>743.91</v>
      </c>
      <c r="K36" s="235">
        <f>ROUNDUP(J36*Order_Quote!$L$16,2)</f>
        <v>3719.55</v>
      </c>
      <c r="L36" s="123"/>
      <c r="M36" s="79"/>
      <c r="N36" s="117">
        <f t="shared" si="0"/>
        <v>0</v>
      </c>
      <c r="P36" s="265" t="s">
        <v>1693</v>
      </c>
      <c r="Q36" s="265" t="s">
        <v>77</v>
      </c>
      <c r="R36" s="265" t="s">
        <v>2643</v>
      </c>
      <c r="S36" s="265">
        <v>0</v>
      </c>
      <c r="T36" s="265">
        <v>0</v>
      </c>
      <c r="U36" s="347">
        <v>7.9749999999999996</v>
      </c>
      <c r="V36" s="348">
        <v>31.9</v>
      </c>
      <c r="W36" s="348" t="s">
        <v>1205</v>
      </c>
    </row>
    <row r="37" spans="1:23" ht="15.75" customHeight="1">
      <c r="A37" s="104" t="str">
        <f>IF(L37&gt;0,COUNT($A$7:A36)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7" s="630"/>
      <c r="C37" s="630"/>
      <c r="D37" s="53" t="s">
        <v>2644</v>
      </c>
      <c r="E37" s="54">
        <v>300003448</v>
      </c>
      <c r="F37" s="55" t="s">
        <v>2645</v>
      </c>
      <c r="G37" s="129">
        <v>4</v>
      </c>
      <c r="H37" s="129" t="s">
        <v>1205</v>
      </c>
      <c r="I37" s="106" t="s">
        <v>2546</v>
      </c>
      <c r="J37" s="128">
        <f>VLOOKUP(E37,'All Products'!$D:$H,5,0)</f>
        <v>1248.6300000000001</v>
      </c>
      <c r="K37" s="235">
        <f>ROUNDUP(J37*Order_Quote!$L$16,2)</f>
        <v>6243.15</v>
      </c>
      <c r="L37" s="123"/>
      <c r="M37" s="79"/>
      <c r="N37" s="117">
        <f t="shared" si="0"/>
        <v>0</v>
      </c>
      <c r="P37" s="265" t="s">
        <v>1693</v>
      </c>
      <c r="Q37" s="265" t="s">
        <v>77</v>
      </c>
      <c r="R37" s="265" t="s">
        <v>2646</v>
      </c>
      <c r="S37" s="265">
        <v>0</v>
      </c>
      <c r="T37" s="265">
        <v>0</v>
      </c>
      <c r="U37" s="347">
        <v>4.8</v>
      </c>
      <c r="V37" s="348">
        <v>19.2</v>
      </c>
      <c r="W37" s="348" t="s">
        <v>1205</v>
      </c>
    </row>
    <row r="38" spans="1:23" ht="51" customHeight="1">
      <c r="A38" s="104" t="str">
        <f>IF(L38&gt;0,COUNT($A$7:A37)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8" s="583"/>
      <c r="C38" s="584"/>
      <c r="D38" s="53" t="s">
        <v>2647</v>
      </c>
      <c r="E38" s="54">
        <v>300005760</v>
      </c>
      <c r="F38" s="55" t="s">
        <v>2648</v>
      </c>
      <c r="G38" s="129">
        <v>16</v>
      </c>
      <c r="H38" s="129">
        <v>288</v>
      </c>
      <c r="I38" s="106" t="s">
        <v>2546</v>
      </c>
      <c r="J38" s="128">
        <f>VLOOKUP(E38,'All Products'!$D:$H,5,0)</f>
        <v>522.16999999999996</v>
      </c>
      <c r="K38" s="235">
        <f>ROUNDUP(J38*Order_Quote!$L$16,2)</f>
        <v>2610.85</v>
      </c>
      <c r="L38" s="127"/>
      <c r="M38" s="79"/>
      <c r="N38" s="117">
        <f t="shared" si="0"/>
        <v>0</v>
      </c>
      <c r="P38" s="265" t="s">
        <v>1693</v>
      </c>
      <c r="Q38" s="265" t="s">
        <v>77</v>
      </c>
      <c r="R38" s="265" t="s">
        <v>2649</v>
      </c>
      <c r="S38" s="265">
        <v>0</v>
      </c>
      <c r="T38" s="265">
        <v>0</v>
      </c>
      <c r="U38" s="347">
        <v>1.98</v>
      </c>
      <c r="V38" s="348">
        <v>31.68</v>
      </c>
      <c r="W38" s="348" t="s">
        <v>1205</v>
      </c>
    </row>
    <row r="39" spans="1:23">
      <c r="A39" s="104" t="str">
        <f>IF(L39&gt;0,COUNT($A$7:A38)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39" s="630"/>
      <c r="C39" s="630"/>
      <c r="D39" s="53" t="s">
        <v>2650</v>
      </c>
      <c r="E39" s="54">
        <v>100029262</v>
      </c>
      <c r="F39" s="55" t="s">
        <v>2651</v>
      </c>
      <c r="G39" s="129">
        <v>10</v>
      </c>
      <c r="H39" s="129">
        <v>180</v>
      </c>
      <c r="I39" s="106" t="s">
        <v>2546</v>
      </c>
      <c r="J39" s="128">
        <f>VLOOKUP(E39,'All Products'!$D:$H,5,0)</f>
        <v>296.23</v>
      </c>
      <c r="K39" s="235">
        <f>ROUNDUP(J39*Order_Quote!$L$16,2)</f>
        <v>1481.15</v>
      </c>
      <c r="L39" s="123"/>
      <c r="M39" s="79"/>
      <c r="N39" s="118">
        <f t="shared" ref="N39:N60" si="1">L39/G39</f>
        <v>0</v>
      </c>
      <c r="P39" s="265" t="s">
        <v>359</v>
      </c>
      <c r="Q39" s="265" t="s">
        <v>102</v>
      </c>
      <c r="R39" s="265" t="s">
        <v>2652</v>
      </c>
      <c r="S39" s="265">
        <v>0</v>
      </c>
      <c r="T39" s="265" t="s">
        <v>2653</v>
      </c>
      <c r="U39" s="347">
        <v>1.94</v>
      </c>
      <c r="V39" s="348">
        <v>21.25</v>
      </c>
      <c r="W39" s="348">
        <v>2.361325291407383</v>
      </c>
    </row>
    <row r="40" spans="1:23">
      <c r="A40" s="104" t="str">
        <f>IF(L40&gt;0,COUNT($A$7:A39)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0" s="630"/>
      <c r="C40" s="630"/>
      <c r="D40" s="53" t="s">
        <v>2654</v>
      </c>
      <c r="E40" s="54">
        <v>300003409</v>
      </c>
      <c r="F40" s="55" t="s">
        <v>2655</v>
      </c>
      <c r="G40" s="129">
        <v>4</v>
      </c>
      <c r="H40" s="129">
        <v>54</v>
      </c>
      <c r="I40" s="106" t="s">
        <v>2546</v>
      </c>
      <c r="J40" s="128">
        <f>VLOOKUP(E40,'All Products'!$D:$H,5,0)</f>
        <v>655.95</v>
      </c>
      <c r="K40" s="235">
        <f>ROUNDUP(J40*Order_Quote!$L$16,2)</f>
        <v>3279.75</v>
      </c>
      <c r="L40" s="123"/>
      <c r="M40" s="79"/>
      <c r="N40" s="118">
        <f t="shared" si="1"/>
        <v>0</v>
      </c>
      <c r="P40" s="265" t="s">
        <v>1693</v>
      </c>
      <c r="Q40" s="265" t="s">
        <v>77</v>
      </c>
      <c r="R40" s="265" t="s">
        <v>2656</v>
      </c>
      <c r="S40" s="265">
        <v>0</v>
      </c>
      <c r="T40" s="265">
        <v>0</v>
      </c>
      <c r="U40" s="347">
        <v>5.5979999999999999</v>
      </c>
      <c r="V40" s="348">
        <v>22.391999999999999</v>
      </c>
      <c r="W40" s="348" t="s">
        <v>1205</v>
      </c>
    </row>
    <row r="41" spans="1:23">
      <c r="A41" s="104" t="str">
        <f>IF(L41&gt;0,COUNT($A$7:A40)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1" s="630"/>
      <c r="C41" s="630"/>
      <c r="D41" s="53" t="s">
        <v>2657</v>
      </c>
      <c r="E41" s="54">
        <v>100029261</v>
      </c>
      <c r="F41" s="55" t="s">
        <v>2658</v>
      </c>
      <c r="G41" s="129">
        <v>1</v>
      </c>
      <c r="H41" s="129">
        <v>75</v>
      </c>
      <c r="I41" s="106" t="s">
        <v>2546</v>
      </c>
      <c r="J41" s="128">
        <f>VLOOKUP(E41,'All Products'!$D:$H,5,0)</f>
        <v>405.97</v>
      </c>
      <c r="K41" s="235">
        <f>ROUNDUP(J41*Order_Quote!$L$16,2)</f>
        <v>2029.85</v>
      </c>
      <c r="L41" s="123"/>
      <c r="M41" s="79"/>
      <c r="N41" s="117">
        <f t="shared" si="1"/>
        <v>0</v>
      </c>
      <c r="P41" s="265" t="s">
        <v>76</v>
      </c>
      <c r="Q41" s="265" t="s">
        <v>102</v>
      </c>
      <c r="R41" s="265" t="s">
        <v>2659</v>
      </c>
      <c r="S41" s="265">
        <v>0</v>
      </c>
      <c r="T41" s="265" t="s">
        <v>2660</v>
      </c>
      <c r="U41" s="347">
        <v>4.78</v>
      </c>
      <c r="V41" s="348">
        <v>469.27499999999998</v>
      </c>
      <c r="W41" s="348">
        <v>53.333269333358928</v>
      </c>
    </row>
    <row r="42" spans="1:23">
      <c r="A42" s="104" t="str">
        <f>IF(L42&gt;0,COUNT($A$7:A41)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2" s="630"/>
      <c r="C42" s="630"/>
      <c r="D42" s="53" t="s">
        <v>2661</v>
      </c>
      <c r="E42" s="54">
        <v>100029278</v>
      </c>
      <c r="F42" s="55" t="s">
        <v>2662</v>
      </c>
      <c r="G42" s="129">
        <v>1</v>
      </c>
      <c r="H42" s="129">
        <v>41</v>
      </c>
      <c r="I42" s="106" t="s">
        <v>2546</v>
      </c>
      <c r="J42" s="128">
        <f>VLOOKUP(E42,'All Products'!$D:$H,5,0)</f>
        <v>569.25</v>
      </c>
      <c r="K42" s="235">
        <f>ROUNDUP(J42*Order_Quote!$L$16,2)</f>
        <v>2846.25</v>
      </c>
      <c r="L42" s="123"/>
      <c r="M42" s="79"/>
      <c r="N42" s="118">
        <f t="shared" si="1"/>
        <v>0</v>
      </c>
      <c r="P42" s="265" t="s">
        <v>359</v>
      </c>
      <c r="Q42" s="265" t="s">
        <v>102</v>
      </c>
      <c r="R42" s="265" t="s">
        <v>2663</v>
      </c>
      <c r="S42" s="265">
        <v>0</v>
      </c>
      <c r="T42" s="265" t="s">
        <v>2664</v>
      </c>
      <c r="U42" s="347">
        <v>9.43</v>
      </c>
      <c r="V42" s="348">
        <v>386.63</v>
      </c>
      <c r="W42" s="348">
        <v>53.333269333358928</v>
      </c>
    </row>
    <row r="43" spans="1:23">
      <c r="A43" s="104" t="str">
        <f>IF(L43&gt;0,COUNT($A$7:A42)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3" s="630"/>
      <c r="C43" s="630"/>
      <c r="D43" s="53" t="s">
        <v>2665</v>
      </c>
      <c r="E43" s="54">
        <v>300003428</v>
      </c>
      <c r="F43" s="55" t="s">
        <v>2666</v>
      </c>
      <c r="G43" s="129">
        <v>2</v>
      </c>
      <c r="H43" s="129">
        <v>13</v>
      </c>
      <c r="I43" s="106" t="s">
        <v>2546</v>
      </c>
      <c r="J43" s="128">
        <f>VLOOKUP(E43,'All Products'!$D:$H,5,0)</f>
        <v>1698.96</v>
      </c>
      <c r="K43" s="235">
        <f>ROUNDUP(J43*Order_Quote!$L$16,2)</f>
        <v>8494.7999999999993</v>
      </c>
      <c r="L43" s="123"/>
      <c r="M43" s="79"/>
      <c r="N43" s="118">
        <f t="shared" si="1"/>
        <v>0</v>
      </c>
      <c r="P43" s="265" t="s">
        <v>1693</v>
      </c>
      <c r="Q43" s="265" t="s">
        <v>77</v>
      </c>
      <c r="R43" s="265" t="s">
        <v>2667</v>
      </c>
      <c r="S43" s="265">
        <v>0</v>
      </c>
      <c r="T43" s="265">
        <v>0</v>
      </c>
      <c r="U43" s="347">
        <v>14.798</v>
      </c>
      <c r="V43" s="348">
        <v>29.596</v>
      </c>
      <c r="W43" s="348" t="s">
        <v>1205</v>
      </c>
    </row>
    <row r="44" spans="1:23" ht="27.75" customHeight="1">
      <c r="A44" s="104" t="str">
        <f>IF(L44&gt;0,COUNT($A$7:A43)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4" s="577"/>
      <c r="C44" s="578"/>
      <c r="D44" s="53" t="s">
        <v>2668</v>
      </c>
      <c r="E44" s="54">
        <v>300003378</v>
      </c>
      <c r="F44" s="55" t="s">
        <v>2669</v>
      </c>
      <c r="G44" s="129">
        <v>6</v>
      </c>
      <c r="H44" s="129" t="s">
        <v>1205</v>
      </c>
      <c r="I44" s="106" t="s">
        <v>2546</v>
      </c>
      <c r="J44" s="128">
        <f>VLOOKUP(E44,'All Products'!$D:$H,5,0)</f>
        <v>490.46</v>
      </c>
      <c r="K44" s="235">
        <f>ROUNDUP(J44*Order_Quote!$L$16,2)</f>
        <v>2452.3000000000002</v>
      </c>
      <c r="L44" s="127"/>
      <c r="M44" s="79"/>
      <c r="N44" s="118">
        <f t="shared" si="1"/>
        <v>0</v>
      </c>
      <c r="P44" s="265" t="s">
        <v>1693</v>
      </c>
      <c r="Q44" s="265" t="s">
        <v>77</v>
      </c>
      <c r="R44" s="265" t="s">
        <v>2670</v>
      </c>
      <c r="S44" s="265">
        <v>0</v>
      </c>
      <c r="T44" s="265">
        <v>0</v>
      </c>
      <c r="U44" s="347">
        <v>3.22</v>
      </c>
      <c r="V44" s="348">
        <v>19.32</v>
      </c>
      <c r="W44" s="348" t="s">
        <v>1205</v>
      </c>
    </row>
    <row r="45" spans="1:23" ht="27.75" customHeight="1">
      <c r="A45" s="104" t="str">
        <f>IF(L45&gt;0,COUNT($A$7:A44)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5" s="581"/>
      <c r="C45" s="582"/>
      <c r="D45" s="53" t="s">
        <v>2671</v>
      </c>
      <c r="E45" s="54">
        <v>100029435</v>
      </c>
      <c r="F45" s="55" t="s">
        <v>2672</v>
      </c>
      <c r="G45" s="129">
        <v>1</v>
      </c>
      <c r="H45" s="129">
        <v>40</v>
      </c>
      <c r="I45" s="106" t="s">
        <v>2546</v>
      </c>
      <c r="J45" s="128">
        <f>VLOOKUP(E45,'All Products'!$D:$H,5,0)</f>
        <v>1502.29</v>
      </c>
      <c r="K45" s="235">
        <f>ROUNDUP(J45*Order_Quote!$L$16,2)</f>
        <v>7511.45</v>
      </c>
      <c r="L45" s="127"/>
      <c r="M45" s="79"/>
      <c r="N45" s="118">
        <f t="shared" si="1"/>
        <v>0</v>
      </c>
      <c r="P45" s="265" t="s">
        <v>76</v>
      </c>
      <c r="Q45" s="265" t="s">
        <v>102</v>
      </c>
      <c r="R45" s="265" t="s">
        <v>2673</v>
      </c>
      <c r="S45" s="265">
        <v>0</v>
      </c>
      <c r="T45" s="265" t="s">
        <v>2674</v>
      </c>
      <c r="U45" s="347">
        <v>7.17</v>
      </c>
      <c r="V45" s="348">
        <v>286.8</v>
      </c>
      <c r="W45" s="348">
        <v>53.333269333358928</v>
      </c>
    </row>
    <row r="46" spans="1:23">
      <c r="A46" s="104" t="str">
        <f>IF(L46&gt;0,COUNT($A$7:A45)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6" s="630"/>
      <c r="C46" s="630"/>
      <c r="D46" s="53" t="s">
        <v>2675</v>
      </c>
      <c r="E46" s="54">
        <v>300003411</v>
      </c>
      <c r="F46" s="55" t="s">
        <v>2676</v>
      </c>
      <c r="G46" s="129">
        <v>5</v>
      </c>
      <c r="H46" s="129">
        <v>56</v>
      </c>
      <c r="I46" s="106" t="s">
        <v>2546</v>
      </c>
      <c r="J46" s="128">
        <f>VLOOKUP(E46,'All Products'!$D:$H,5,0)</f>
        <v>639.49</v>
      </c>
      <c r="K46" s="235">
        <f>ROUNDUP(J46*Order_Quote!$L$16,2)</f>
        <v>3197.45</v>
      </c>
      <c r="L46" s="123"/>
      <c r="M46" s="79"/>
      <c r="N46" s="117">
        <f t="shared" si="1"/>
        <v>0</v>
      </c>
      <c r="P46" s="265" t="s">
        <v>1693</v>
      </c>
      <c r="Q46" s="265" t="s">
        <v>77</v>
      </c>
      <c r="R46" s="265" t="s">
        <v>2677</v>
      </c>
      <c r="S46" s="265">
        <v>0</v>
      </c>
      <c r="T46" s="265">
        <v>0</v>
      </c>
      <c r="U46" s="347">
        <v>5.84</v>
      </c>
      <c r="V46" s="348">
        <v>29.2</v>
      </c>
      <c r="W46" s="348" t="s">
        <v>1205</v>
      </c>
    </row>
    <row r="47" spans="1:23">
      <c r="A47" s="104" t="str">
        <f>IF(L47&gt;0,COUNT($A$7:A46)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7" s="630"/>
      <c r="C47" s="630"/>
      <c r="D47" s="53" t="s">
        <v>2678</v>
      </c>
      <c r="E47" s="54">
        <v>100029328</v>
      </c>
      <c r="F47" s="55" t="s">
        <v>2679</v>
      </c>
      <c r="G47" s="129">
        <v>1</v>
      </c>
      <c r="H47" s="129">
        <v>48</v>
      </c>
      <c r="I47" s="106" t="s">
        <v>2546</v>
      </c>
      <c r="J47" s="128">
        <f>VLOOKUP(E47,'All Products'!$D:$H,5,0)</f>
        <v>529.6</v>
      </c>
      <c r="K47" s="235">
        <f>ROUNDUP(J47*Order_Quote!$L$16,2)</f>
        <v>2648</v>
      </c>
      <c r="L47" s="123"/>
      <c r="M47" s="79"/>
      <c r="N47" s="118">
        <f t="shared" si="1"/>
        <v>0</v>
      </c>
      <c r="P47" s="265" t="s">
        <v>76</v>
      </c>
      <c r="Q47" s="265" t="s">
        <v>102</v>
      </c>
      <c r="R47" s="265" t="s">
        <v>2680</v>
      </c>
      <c r="S47" s="265">
        <v>0</v>
      </c>
      <c r="T47" s="265" t="s">
        <v>2681</v>
      </c>
      <c r="U47" s="347">
        <v>6.194</v>
      </c>
      <c r="V47" s="348">
        <v>297.31200000000001</v>
      </c>
      <c r="W47" s="348">
        <v>53.333269333358928</v>
      </c>
    </row>
    <row r="48" spans="1:23">
      <c r="A48" s="104" t="str">
        <f>IF(L48&gt;0,COUNT($A$7:A47)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8" s="630"/>
      <c r="C48" s="630"/>
      <c r="D48" s="53" t="s">
        <v>2682</v>
      </c>
      <c r="E48" s="54">
        <v>300005764</v>
      </c>
      <c r="F48" s="55" t="s">
        <v>2683</v>
      </c>
      <c r="G48" s="129">
        <v>1</v>
      </c>
      <c r="H48" s="129">
        <v>41</v>
      </c>
      <c r="I48" s="106" t="s">
        <v>2546</v>
      </c>
      <c r="J48" s="128">
        <f>VLOOKUP(E48,'All Products'!$D:$H,5,0)</f>
        <v>1116.42</v>
      </c>
      <c r="K48" s="235">
        <f>ROUNDUP(J48*Order_Quote!$L$16,2)</f>
        <v>5582.1</v>
      </c>
      <c r="L48" s="123"/>
      <c r="M48" s="79"/>
      <c r="N48" s="118">
        <f t="shared" si="1"/>
        <v>0</v>
      </c>
      <c r="P48" s="265" t="s">
        <v>1693</v>
      </c>
      <c r="Q48" s="265" t="s">
        <v>77</v>
      </c>
      <c r="R48" s="265" t="s">
        <v>2684</v>
      </c>
      <c r="S48" s="265">
        <v>0</v>
      </c>
      <c r="T48" s="265">
        <v>0</v>
      </c>
      <c r="U48" s="347">
        <v>8.16</v>
      </c>
      <c r="V48" s="348">
        <v>8.16</v>
      </c>
      <c r="W48" s="348" t="s">
        <v>1205</v>
      </c>
    </row>
    <row r="49" spans="1:23">
      <c r="A49" s="104" t="str">
        <f>IF(L49&gt;0,COUNT($A$7:A48)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49" s="630"/>
      <c r="C49" s="630"/>
      <c r="D49" s="53" t="s">
        <v>2685</v>
      </c>
      <c r="E49" s="54">
        <v>100029364</v>
      </c>
      <c r="F49" s="55" t="s">
        <v>2686</v>
      </c>
      <c r="G49" s="129">
        <v>1</v>
      </c>
      <c r="H49" s="129">
        <v>39</v>
      </c>
      <c r="I49" s="106" t="s">
        <v>2546</v>
      </c>
      <c r="J49" s="128">
        <f>VLOOKUP(E49,'All Products'!$D:$H,5,0)</f>
        <v>583.41999999999996</v>
      </c>
      <c r="K49" s="235">
        <f>ROUNDUP(J49*Order_Quote!$L$16,2)</f>
        <v>2917.1</v>
      </c>
      <c r="L49" s="123"/>
      <c r="M49" s="79"/>
      <c r="N49" s="117">
        <f t="shared" si="1"/>
        <v>0</v>
      </c>
      <c r="P49" s="265" t="s">
        <v>76</v>
      </c>
      <c r="Q49" s="265" t="s">
        <v>102</v>
      </c>
      <c r="R49" s="265" t="s">
        <v>2687</v>
      </c>
      <c r="S49" s="265">
        <v>0</v>
      </c>
      <c r="T49" s="265" t="s">
        <v>2688</v>
      </c>
      <c r="U49" s="347">
        <v>10.082000000000001</v>
      </c>
      <c r="V49" s="348">
        <v>393.19800000000004</v>
      </c>
      <c r="W49" s="348">
        <v>53.333269333358928</v>
      </c>
    </row>
    <row r="50" spans="1:23">
      <c r="A50" s="104" t="str">
        <f>IF(L50&gt;0,COUNT($A$7:A49)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0" s="630"/>
      <c r="C50" s="630"/>
      <c r="D50" s="53" t="s">
        <v>2689</v>
      </c>
      <c r="E50" s="54">
        <v>300003442</v>
      </c>
      <c r="F50" s="55" t="s">
        <v>2690</v>
      </c>
      <c r="G50" s="129">
        <v>1</v>
      </c>
      <c r="H50" s="129" t="s">
        <v>1205</v>
      </c>
      <c r="I50" s="106" t="s">
        <v>2691</v>
      </c>
      <c r="J50" s="128">
        <f>VLOOKUP(E50,'All Products'!$D:$H,5,0)</f>
        <v>2358.83</v>
      </c>
      <c r="K50" s="235">
        <f>ROUNDUP(J50*Order_Quote!$L$16,2)</f>
        <v>11794.15</v>
      </c>
      <c r="L50" s="127"/>
      <c r="M50" s="79"/>
      <c r="N50" s="117">
        <f t="shared" si="1"/>
        <v>0</v>
      </c>
      <c r="P50" s="265" t="s">
        <v>1693</v>
      </c>
      <c r="Q50" s="265" t="s">
        <v>77</v>
      </c>
      <c r="R50" s="265" t="s">
        <v>2692</v>
      </c>
      <c r="S50" s="265">
        <v>0</v>
      </c>
      <c r="T50" s="265">
        <v>0</v>
      </c>
      <c r="U50" s="347">
        <v>9.5549999999999997</v>
      </c>
      <c r="V50" s="348">
        <v>9.5549999999999997</v>
      </c>
      <c r="W50" s="348" t="s">
        <v>1205</v>
      </c>
    </row>
    <row r="51" spans="1:23">
      <c r="A51" s="104" t="str">
        <f>IF(L51&gt;0,COUNT($A$7:A50)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1" s="630"/>
      <c r="C51" s="630"/>
      <c r="D51" s="53" t="s">
        <v>2693</v>
      </c>
      <c r="E51" s="54">
        <v>100029263</v>
      </c>
      <c r="F51" s="55" t="s">
        <v>2694</v>
      </c>
      <c r="G51" s="129">
        <v>10</v>
      </c>
      <c r="H51" s="129">
        <v>120</v>
      </c>
      <c r="I51" s="106" t="s">
        <v>2546</v>
      </c>
      <c r="J51" s="128">
        <f>VLOOKUP(E51,'All Products'!$D:$H,5,0)</f>
        <v>283.73</v>
      </c>
      <c r="K51" s="235">
        <f>ROUNDUP(J51*Order_Quote!$L$16,2)</f>
        <v>1418.65</v>
      </c>
      <c r="L51" s="123"/>
      <c r="M51" s="79"/>
      <c r="N51" s="117">
        <f t="shared" si="1"/>
        <v>0</v>
      </c>
      <c r="P51" s="265" t="s">
        <v>76</v>
      </c>
      <c r="Q51" s="265" t="s">
        <v>102</v>
      </c>
      <c r="R51" s="265" t="s">
        <v>2695</v>
      </c>
      <c r="S51" s="265">
        <v>0</v>
      </c>
      <c r="T51" s="265" t="s">
        <v>2696</v>
      </c>
      <c r="U51" s="347">
        <v>2.3639999999999999</v>
      </c>
      <c r="V51" s="348">
        <v>25.54</v>
      </c>
      <c r="W51" s="348">
        <v>2.7986077527791204</v>
      </c>
    </row>
    <row r="52" spans="1:23">
      <c r="A52" s="104" t="str">
        <f>IF(L52&gt;0,COUNT($A$7:A51)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2" s="630"/>
      <c r="C52" s="630"/>
      <c r="D52" s="53" t="s">
        <v>2697</v>
      </c>
      <c r="E52" s="54">
        <v>100029279</v>
      </c>
      <c r="F52" s="55" t="s">
        <v>2698</v>
      </c>
      <c r="G52" s="129">
        <v>1</v>
      </c>
      <c r="H52" s="129">
        <v>75</v>
      </c>
      <c r="I52" s="106" t="s">
        <v>2546</v>
      </c>
      <c r="J52" s="128">
        <f>VLOOKUP(E52,'All Products'!$D:$H,5,0)</f>
        <v>372.43</v>
      </c>
      <c r="K52" s="235">
        <f>ROUNDUP(J52*Order_Quote!$L$16,2)</f>
        <v>1862.15</v>
      </c>
      <c r="L52" s="123"/>
      <c r="M52" s="79"/>
      <c r="N52" s="118">
        <f t="shared" si="1"/>
        <v>0</v>
      </c>
      <c r="P52" s="265" t="s">
        <v>76</v>
      </c>
      <c r="Q52" s="265" t="s">
        <v>102</v>
      </c>
      <c r="R52" s="265" t="s">
        <v>2699</v>
      </c>
      <c r="S52" s="265">
        <v>0</v>
      </c>
      <c r="T52" s="265" t="s">
        <v>2700</v>
      </c>
      <c r="U52" s="347">
        <v>4.8460000000000001</v>
      </c>
      <c r="V52" s="348">
        <v>363.45</v>
      </c>
      <c r="W52" s="348">
        <v>53.333269333358928</v>
      </c>
    </row>
    <row r="53" spans="1:23">
      <c r="A53" s="104" t="str">
        <f>IF(L53&gt;0,COUNT($A$7:A52)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3" s="630"/>
      <c r="C53" s="630"/>
      <c r="D53" s="53" t="s">
        <v>2701</v>
      </c>
      <c r="E53" s="54">
        <v>100029264</v>
      </c>
      <c r="F53" s="55" t="s">
        <v>2702</v>
      </c>
      <c r="G53" s="129">
        <v>1</v>
      </c>
      <c r="H53" s="129">
        <v>50</v>
      </c>
      <c r="I53" s="106" t="s">
        <v>2546</v>
      </c>
      <c r="J53" s="128">
        <f>VLOOKUP(E53,'All Products'!$D:$H,5,0)</f>
        <v>460.62</v>
      </c>
      <c r="K53" s="235">
        <f>ROUNDUP(J53*Order_Quote!$L$16,2)</f>
        <v>2303.1</v>
      </c>
      <c r="L53" s="123"/>
      <c r="M53" s="79"/>
      <c r="N53" s="118">
        <f t="shared" si="1"/>
        <v>0</v>
      </c>
      <c r="P53" s="265" t="s">
        <v>76</v>
      </c>
      <c r="Q53" s="265" t="s">
        <v>102</v>
      </c>
      <c r="R53" s="265" t="s">
        <v>2703</v>
      </c>
      <c r="S53" s="265">
        <v>0</v>
      </c>
      <c r="T53" s="265" t="s">
        <v>2704</v>
      </c>
      <c r="U53" s="347">
        <v>6.3120000000000003</v>
      </c>
      <c r="V53" s="348">
        <v>429.1</v>
      </c>
      <c r="W53" s="348">
        <v>53.333269333358928</v>
      </c>
    </row>
    <row r="54" spans="1:23">
      <c r="A54" s="104" t="str">
        <f>IF(L54&gt;0,COUNT($A$7:A53)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4" s="630"/>
      <c r="C54" s="630"/>
      <c r="D54" s="53" t="s">
        <v>2705</v>
      </c>
      <c r="E54" s="54">
        <v>100029280</v>
      </c>
      <c r="F54" s="55" t="s">
        <v>2706</v>
      </c>
      <c r="G54" s="129">
        <v>1</v>
      </c>
      <c r="H54" s="129">
        <v>45</v>
      </c>
      <c r="I54" s="106" t="s">
        <v>2546</v>
      </c>
      <c r="J54" s="128">
        <f>VLOOKUP(E54,'All Products'!$D:$H,5,0)</f>
        <v>521.49</v>
      </c>
      <c r="K54" s="235">
        <f>ROUNDUP(J54*Order_Quote!$L$16,2)</f>
        <v>2607.4499999999998</v>
      </c>
      <c r="L54" s="123"/>
      <c r="M54" s="79"/>
      <c r="N54" s="117">
        <f t="shared" si="1"/>
        <v>0</v>
      </c>
      <c r="P54" s="265" t="s">
        <v>76</v>
      </c>
      <c r="Q54" s="265" t="s">
        <v>102</v>
      </c>
      <c r="R54" s="265" t="s">
        <v>2707</v>
      </c>
      <c r="S54" s="265">
        <v>0</v>
      </c>
      <c r="T54" s="265" t="s">
        <v>2708</v>
      </c>
      <c r="U54" s="347">
        <v>8.5060000000000002</v>
      </c>
      <c r="V54" s="348">
        <v>382.77</v>
      </c>
      <c r="W54" s="348">
        <v>53.333269333358928</v>
      </c>
    </row>
    <row r="55" spans="1:23">
      <c r="A55" s="104" t="str">
        <f>IF(L55&gt;0,COUNT($A$7:A54)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5" s="630"/>
      <c r="C55" s="630"/>
      <c r="D55" s="53" t="s">
        <v>2709</v>
      </c>
      <c r="E55" s="54">
        <v>100029281</v>
      </c>
      <c r="F55" s="55" t="s">
        <v>2710</v>
      </c>
      <c r="G55" s="129">
        <v>1</v>
      </c>
      <c r="H55" s="129">
        <v>34</v>
      </c>
      <c r="I55" s="106" t="s">
        <v>2546</v>
      </c>
      <c r="J55" s="128">
        <f>VLOOKUP(E55,'All Products'!$D:$H,5,0)</f>
        <v>598.36</v>
      </c>
      <c r="K55" s="235">
        <f>ROUNDUP(J55*Order_Quote!$L$16,2)</f>
        <v>2991.8</v>
      </c>
      <c r="L55" s="123"/>
      <c r="M55" s="79"/>
      <c r="N55" s="117">
        <f t="shared" si="1"/>
        <v>0</v>
      </c>
      <c r="P55" s="265" t="s">
        <v>359</v>
      </c>
      <c r="Q55" s="265" t="s">
        <v>102</v>
      </c>
      <c r="R55" s="265" t="s">
        <v>2711</v>
      </c>
      <c r="S55" s="265">
        <v>0</v>
      </c>
      <c r="T55" s="265" t="s">
        <v>2712</v>
      </c>
      <c r="U55" s="347">
        <v>11.082000000000001</v>
      </c>
      <c r="V55" s="348">
        <v>376.78800000000001</v>
      </c>
      <c r="W55" s="348">
        <v>53.333269333358928</v>
      </c>
    </row>
    <row r="56" spans="1:23">
      <c r="A56" s="104" t="str">
        <f>IF(L56&gt;0,COUNT($A$7:A55)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6" s="630"/>
      <c r="C56" s="630"/>
      <c r="D56" s="53" t="s">
        <v>2713</v>
      </c>
      <c r="E56" s="54">
        <v>300003434</v>
      </c>
      <c r="F56" s="105" t="s">
        <v>2714</v>
      </c>
      <c r="G56" s="129">
        <v>2</v>
      </c>
      <c r="H56" s="129">
        <v>10</v>
      </c>
      <c r="I56" s="106" t="s">
        <v>2691</v>
      </c>
      <c r="J56" s="128">
        <f>VLOOKUP(E56,'All Products'!$D:$H,5,0)</f>
        <v>1920.23</v>
      </c>
      <c r="K56" s="235">
        <f>ROUNDUP(J56*Order_Quote!$L$16,2)</f>
        <v>9601.15</v>
      </c>
      <c r="L56" s="123"/>
      <c r="M56" s="79"/>
      <c r="N56" s="118">
        <f t="shared" si="1"/>
        <v>0</v>
      </c>
      <c r="P56" s="265" t="s">
        <v>1693</v>
      </c>
      <c r="Q56" s="265" t="s">
        <v>77</v>
      </c>
      <c r="R56" s="265" t="s">
        <v>2715</v>
      </c>
      <c r="S56" s="265">
        <v>0</v>
      </c>
      <c r="T56" s="265">
        <v>0</v>
      </c>
      <c r="U56" s="347">
        <v>8.5050000000000008</v>
      </c>
      <c r="V56" s="348">
        <v>17.010000000000002</v>
      </c>
      <c r="W56" s="348" t="s">
        <v>1205</v>
      </c>
    </row>
    <row r="57" spans="1:23">
      <c r="A57" s="104" t="str">
        <f>IF(L57&gt;0,COUNT($A$7:A56)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7" s="630"/>
      <c r="C57" s="630"/>
      <c r="D57" s="53" t="s">
        <v>2716</v>
      </c>
      <c r="E57" s="54">
        <v>300005836</v>
      </c>
      <c r="F57" s="55" t="s">
        <v>2717</v>
      </c>
      <c r="G57" s="129">
        <v>1</v>
      </c>
      <c r="H57" s="129">
        <v>28</v>
      </c>
      <c r="I57" s="106" t="s">
        <v>2546</v>
      </c>
      <c r="J57" s="128">
        <f>VLOOKUP(E57,'All Products'!$D:$H,5,0)</f>
        <v>3249.59</v>
      </c>
      <c r="K57" s="235">
        <f>ROUNDUP(J57*Order_Quote!$L$16,2)</f>
        <v>16247.95</v>
      </c>
      <c r="L57" s="123"/>
      <c r="M57" s="79"/>
      <c r="N57" s="118">
        <f t="shared" si="1"/>
        <v>0</v>
      </c>
      <c r="P57" s="265" t="s">
        <v>1693</v>
      </c>
      <c r="Q57" s="265" t="s">
        <v>77</v>
      </c>
      <c r="R57" s="265" t="s">
        <v>2718</v>
      </c>
      <c r="S57" s="265">
        <v>0</v>
      </c>
      <c r="T57" s="265">
        <v>0</v>
      </c>
      <c r="U57" s="347">
        <v>10.75</v>
      </c>
      <c r="V57" s="348">
        <v>10.75</v>
      </c>
      <c r="W57" s="348" t="s">
        <v>1205</v>
      </c>
    </row>
    <row r="58" spans="1:23">
      <c r="A58" s="104" t="str">
        <f>IF(L58&gt;0,COUNT($A$7:A57)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8" s="630"/>
      <c r="C58" s="630"/>
      <c r="D58" s="53" t="s">
        <v>2719</v>
      </c>
      <c r="E58" s="54">
        <v>300005837</v>
      </c>
      <c r="F58" s="55" t="s">
        <v>2720</v>
      </c>
      <c r="G58" s="129">
        <v>1</v>
      </c>
      <c r="H58" s="129">
        <v>24</v>
      </c>
      <c r="I58" s="106" t="s">
        <v>2546</v>
      </c>
      <c r="J58" s="128">
        <f>VLOOKUP(E58,'All Products'!$D:$H,5,0)</f>
        <v>1235.46</v>
      </c>
      <c r="K58" s="235">
        <f>ROUNDUP(J58*Order_Quote!$L$16,2)</f>
        <v>6177.3</v>
      </c>
      <c r="L58" s="123"/>
      <c r="M58" s="79"/>
      <c r="N58" s="117">
        <f t="shared" si="1"/>
        <v>0</v>
      </c>
      <c r="P58" s="265" t="s">
        <v>1693</v>
      </c>
      <c r="Q58" s="265" t="s">
        <v>77</v>
      </c>
      <c r="R58" s="265" t="s">
        <v>2721</v>
      </c>
      <c r="S58" s="265">
        <v>0</v>
      </c>
      <c r="T58" s="265">
        <v>0</v>
      </c>
      <c r="U58" s="347">
        <v>17.23</v>
      </c>
      <c r="V58" s="348">
        <v>17.23</v>
      </c>
      <c r="W58" s="348" t="s">
        <v>1205</v>
      </c>
    </row>
    <row r="59" spans="1:23" ht="30" customHeight="1">
      <c r="A59" s="104" t="str">
        <f>IF(L59&gt;0,COUNT($A$7:A58)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59" s="577"/>
      <c r="C59" s="578"/>
      <c r="D59" s="53" t="s">
        <v>2722</v>
      </c>
      <c r="E59" s="54">
        <v>300003406</v>
      </c>
      <c r="F59" s="55" t="s">
        <v>2723</v>
      </c>
      <c r="G59" s="129">
        <v>3</v>
      </c>
      <c r="H59" s="129">
        <v>15</v>
      </c>
      <c r="I59" s="106" t="s">
        <v>2546</v>
      </c>
      <c r="J59" s="128">
        <f>VLOOKUP(E59,'All Products'!$D:$H,5,0)</f>
        <v>647.36</v>
      </c>
      <c r="K59" s="235">
        <f>ROUNDUP(J59*Order_Quote!$L$16,2)</f>
        <v>3236.8</v>
      </c>
      <c r="L59" s="127"/>
      <c r="M59" s="79"/>
      <c r="N59" s="118">
        <f t="shared" si="1"/>
        <v>0</v>
      </c>
      <c r="P59" s="265" t="s">
        <v>359</v>
      </c>
      <c r="Q59" s="265" t="s">
        <v>77</v>
      </c>
      <c r="R59" s="265">
        <v>0</v>
      </c>
      <c r="S59" s="265">
        <v>0</v>
      </c>
      <c r="T59" s="265">
        <v>0</v>
      </c>
      <c r="U59" s="347">
        <v>7.9690000000000003</v>
      </c>
      <c r="V59" s="348">
        <v>23.907</v>
      </c>
      <c r="W59" s="348" t="s">
        <v>1205</v>
      </c>
    </row>
    <row r="60" spans="1:23" ht="30" customHeight="1">
      <c r="A60" s="104" t="str">
        <f>IF(L60&gt;0,COUNT($A$7:A59)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+COUNT(SDR35G!$A$8:$A$142)+1,"")</f>
        <v/>
      </c>
      <c r="B60" s="581"/>
      <c r="C60" s="582"/>
      <c r="D60" s="53" t="s">
        <v>2724</v>
      </c>
      <c r="E60" s="54">
        <v>300003390</v>
      </c>
      <c r="F60" s="55" t="s">
        <v>2725</v>
      </c>
      <c r="G60" s="129">
        <v>2</v>
      </c>
      <c r="H60" s="129">
        <v>12</v>
      </c>
      <c r="I60" s="106" t="s">
        <v>2546</v>
      </c>
      <c r="J60" s="128">
        <f>VLOOKUP(E60,'All Products'!$D:$H,5,0)</f>
        <v>1583.6</v>
      </c>
      <c r="K60" s="235">
        <f>ROUNDUP(J60*Order_Quote!$L$16,2)</f>
        <v>7918</v>
      </c>
      <c r="L60" s="127"/>
      <c r="M60" s="79"/>
      <c r="N60" s="117">
        <f t="shared" si="1"/>
        <v>0</v>
      </c>
      <c r="P60" s="265" t="s">
        <v>1693</v>
      </c>
      <c r="Q60" s="265" t="s">
        <v>77</v>
      </c>
      <c r="R60" s="265">
        <v>0</v>
      </c>
      <c r="S60" s="265">
        <v>0</v>
      </c>
      <c r="T60" s="265">
        <v>0</v>
      </c>
      <c r="U60" s="347">
        <v>11.356999999999999</v>
      </c>
      <c r="V60" s="348">
        <v>22.713999999999999</v>
      </c>
      <c r="W60" s="348" t="s">
        <v>1205</v>
      </c>
    </row>
    <row r="61" spans="1:23">
      <c r="A61" s="104">
        <f>MAX(A8:A60)+1</f>
        <v>1</v>
      </c>
    </row>
    <row r="62" spans="1:23"/>
    <row r="63" spans="1:23"/>
    <row r="64" spans="1:23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</sheetData>
  <sheetProtection algorithmName="SHA-512" hashValue="d1jSTzp77VhJeTcu3k7wNtzs/rcZ+1FhIwoSPKArW8DIucAXur9Ds4vW9e/RkwlkY5PvWCp/uDK6zavH08zoNQ==" saltValue="xcT1njg6vRU9akgbYTqeWw==" spinCount="100000" sheet="1" objects="1" scenarios="1" formatCells="0" formatColumns="0" formatRows="0" insertColumns="0" insertRows="0" insertHyperlinks="0" deleteColumns="0" deleteRows="0" sort="0" autoFilter="0" pivotTables="0"/>
  <mergeCells count="21">
    <mergeCell ref="B59:C60"/>
    <mergeCell ref="B29:C30"/>
    <mergeCell ref="B34:C34"/>
    <mergeCell ref="B38:C38"/>
    <mergeCell ref="B50:C50"/>
    <mergeCell ref="K2:L3"/>
    <mergeCell ref="B35:C37"/>
    <mergeCell ref="B39:C43"/>
    <mergeCell ref="B46:C49"/>
    <mergeCell ref="B51:C58"/>
    <mergeCell ref="B20:C22"/>
    <mergeCell ref="B23:C25"/>
    <mergeCell ref="R6:T6"/>
    <mergeCell ref="B44:C45"/>
    <mergeCell ref="B26:C28"/>
    <mergeCell ref="B31:C33"/>
    <mergeCell ref="B8:C8"/>
    <mergeCell ref="B9:C11"/>
    <mergeCell ref="B14:C16"/>
    <mergeCell ref="B12:C13"/>
    <mergeCell ref="B17:C19"/>
  </mergeCells>
  <dataValidations xWindow="919" yWindow="369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61:M65495 M1:M6 L1" xr:uid="{00000000-0002-0000-06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6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7:M7 L6" xr:uid="{00000000-0002-0000-06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8:M60" xr:uid="{00000000-0002-0000-0600-000003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1" manualBreakCount="1">
    <brk id="34" max="9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0"/>
    <pageSetUpPr fitToPage="1"/>
  </sheetPr>
  <dimension ref="A1:Y100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customHeight="1"/>
  <cols>
    <col min="1" max="1" width="2.28515625" style="104" customWidth="1"/>
    <col min="2" max="3" width="8.7109375" style="17" customWidth="1"/>
    <col min="4" max="5" width="12.7109375" style="20" customWidth="1"/>
    <col min="6" max="6" width="40.7109375" style="217" customWidth="1"/>
    <col min="7" max="7" width="9.28515625" style="217" bestFit="1" customWidth="1"/>
    <col min="8" max="8" width="15.7109375" style="217" customWidth="1"/>
    <col min="9" max="9" width="10.28515625" style="217" bestFit="1" customWidth="1"/>
    <col min="10" max="10" width="13.42578125" style="217" bestFit="1" customWidth="1"/>
    <col min="11" max="12" width="10.7109375" style="20" customWidth="1"/>
    <col min="13" max="14" width="10.7109375" style="25" customWidth="1"/>
    <col min="15" max="15" width="10.7109375" style="20" customWidth="1"/>
    <col min="16" max="16" width="1.42578125" style="20" customWidth="1"/>
    <col min="17" max="17" width="10.7109375" style="20" customWidth="1"/>
    <col min="18" max="18" width="2.28515625" style="17" customWidth="1"/>
    <col min="19" max="19" width="12.7109375" style="20" customWidth="1"/>
    <col min="20" max="20" width="10.7109375" style="20" customWidth="1"/>
    <col min="21" max="21" width="17.42578125" style="17" customWidth="1"/>
    <col min="22" max="22" width="13.140625" style="17" bestFit="1" customWidth="1"/>
    <col min="23" max="16384" width="9.140625" style="17"/>
  </cols>
  <sheetData>
    <row r="1" spans="1:25" ht="15" customHeight="1">
      <c r="F1" s="173" t="s">
        <v>2726</v>
      </c>
      <c r="G1" s="236"/>
      <c r="H1" s="236"/>
      <c r="I1" s="236"/>
      <c r="J1" s="236"/>
      <c r="K1" s="236"/>
      <c r="L1" s="236"/>
      <c r="S1" s="173"/>
      <c r="T1" s="173"/>
    </row>
    <row r="2" spans="1:25" ht="15" customHeight="1">
      <c r="D2" s="238"/>
      <c r="E2" s="239"/>
      <c r="F2" s="20"/>
      <c r="N2" s="628" t="s">
        <v>59</v>
      </c>
      <c r="O2" s="628"/>
    </row>
    <row r="3" spans="1:25" ht="15" customHeight="1">
      <c r="F3" s="436" t="s">
        <v>2727</v>
      </c>
      <c r="G3" s="4"/>
      <c r="H3" s="4"/>
      <c r="I3" s="4"/>
      <c r="J3" s="4"/>
      <c r="K3" s="4"/>
      <c r="L3" s="4"/>
      <c r="N3" s="628"/>
      <c r="O3" s="628"/>
    </row>
    <row r="4" spans="1:25" ht="15" customHeight="1">
      <c r="E4" s="163" t="s">
        <v>2728</v>
      </c>
      <c r="F4" s="440" t="s">
        <v>2729</v>
      </c>
      <c r="G4" s="4"/>
      <c r="H4" s="4"/>
      <c r="I4" s="4"/>
      <c r="J4" s="4"/>
      <c r="K4" s="4"/>
      <c r="L4" s="4"/>
      <c r="N4" s="21"/>
      <c r="O4" s="17"/>
    </row>
    <row r="5" spans="1:25" ht="15" customHeight="1">
      <c r="E5" s="163" t="s">
        <v>2728</v>
      </c>
      <c r="F5" s="438" t="s">
        <v>329</v>
      </c>
      <c r="G5" s="4"/>
      <c r="H5" s="4"/>
      <c r="I5" s="4"/>
      <c r="J5" s="4"/>
      <c r="K5" s="4"/>
      <c r="L5" s="4"/>
      <c r="N5" s="21"/>
      <c r="O5" s="17"/>
    </row>
    <row r="6" spans="1:25" ht="15" customHeight="1">
      <c r="G6" s="4"/>
      <c r="H6" s="4"/>
      <c r="I6" s="4"/>
      <c r="J6" s="4"/>
      <c r="K6" s="4"/>
      <c r="L6" s="4"/>
      <c r="N6" s="21"/>
      <c r="O6" s="17"/>
      <c r="U6" s="576" t="s">
        <v>64</v>
      </c>
      <c r="V6" s="576"/>
      <c r="W6" s="20"/>
      <c r="X6" s="20"/>
      <c r="Y6" s="20"/>
    </row>
    <row r="7" spans="1:25" ht="38.25" customHeight="1" thickBo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2730</v>
      </c>
      <c r="H7" s="149" t="s">
        <v>2731</v>
      </c>
      <c r="I7" s="149" t="s">
        <v>2732</v>
      </c>
      <c r="J7" s="149" t="s">
        <v>2733</v>
      </c>
      <c r="K7" s="149" t="s">
        <v>53</v>
      </c>
      <c r="L7" s="149" t="s">
        <v>2542</v>
      </c>
      <c r="M7" s="176" t="s">
        <v>51</v>
      </c>
      <c r="N7" s="176" t="s">
        <v>55</v>
      </c>
      <c r="O7" s="177" t="s">
        <v>52</v>
      </c>
      <c r="P7" s="178"/>
      <c r="Q7" s="156" t="s">
        <v>67</v>
      </c>
      <c r="S7" s="263" t="s">
        <v>68</v>
      </c>
      <c r="T7" s="263" t="s">
        <v>69</v>
      </c>
      <c r="U7" s="263" t="s">
        <v>70</v>
      </c>
      <c r="V7" s="263" t="s">
        <v>72</v>
      </c>
      <c r="W7" s="263" t="s">
        <v>73</v>
      </c>
      <c r="X7" s="263" t="s">
        <v>330</v>
      </c>
      <c r="Y7" s="263" t="s">
        <v>331</v>
      </c>
    </row>
    <row r="8" spans="1:25" ht="15" customHeight="1">
      <c r="A8" s="104" t="str">
        <f>IF(O8&gt;0,COUNT($A$7:A7)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" s="577"/>
      <c r="C8" s="578"/>
      <c r="D8" s="155" t="s">
        <v>2734</v>
      </c>
      <c r="E8" s="106">
        <v>300002361</v>
      </c>
      <c r="F8" s="233" t="s">
        <v>2735</v>
      </c>
      <c r="G8" s="365" t="s">
        <v>2736</v>
      </c>
      <c r="H8" s="365" t="s">
        <v>2737</v>
      </c>
      <c r="I8" s="365" t="s">
        <v>2738</v>
      </c>
      <c r="J8" s="365" t="s">
        <v>2739</v>
      </c>
      <c r="K8" s="234">
        <v>6</v>
      </c>
      <c r="L8" s="234">
        <v>162</v>
      </c>
      <c r="M8" s="155">
        <f>VLOOKUP(E8,'All Products'!$D:$H,5,0)</f>
        <v>159.25</v>
      </c>
      <c r="N8" s="235">
        <f>ROUNDUP(M8*Order_Quote!$L$17,2)</f>
        <v>796.25</v>
      </c>
      <c r="O8" s="204"/>
      <c r="P8" s="116"/>
      <c r="Q8" s="199">
        <f t="shared" ref="Q8:Q39" si="0">O8/K8</f>
        <v>0</v>
      </c>
      <c r="S8" s="265" t="s">
        <v>359</v>
      </c>
      <c r="T8" s="297" t="s">
        <v>77</v>
      </c>
      <c r="U8" s="366">
        <v>810116842285</v>
      </c>
      <c r="V8" s="366">
        <v>10810116842282</v>
      </c>
      <c r="W8" s="347">
        <v>8.6669999999999998</v>
      </c>
      <c r="X8" s="348">
        <v>56</v>
      </c>
      <c r="Y8" s="348">
        <v>1.21</v>
      </c>
    </row>
    <row r="9" spans="1:25" ht="15" customHeight="1">
      <c r="A9" s="104" t="str">
        <f>IF(O9&gt;0,COUNT($A$7:A8)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" s="579"/>
      <c r="C9" s="580"/>
      <c r="D9" s="155" t="s">
        <v>2740</v>
      </c>
      <c r="E9" s="106">
        <v>300002313</v>
      </c>
      <c r="F9" s="233" t="s">
        <v>2741</v>
      </c>
      <c r="G9" s="365" t="s">
        <v>2742</v>
      </c>
      <c r="H9" s="365" t="s">
        <v>2737</v>
      </c>
      <c r="I9" s="365" t="s">
        <v>2738</v>
      </c>
      <c r="J9" s="365" t="s">
        <v>2739</v>
      </c>
      <c r="K9" s="234">
        <v>12</v>
      </c>
      <c r="L9" s="234">
        <v>576</v>
      </c>
      <c r="M9" s="155">
        <f>VLOOKUP(E9,'All Products'!$D:$H,5,0)</f>
        <v>22.48</v>
      </c>
      <c r="N9" s="235">
        <f>ROUNDUP(M9*Order_Quote!$L$17,2)</f>
        <v>112.4</v>
      </c>
      <c r="O9" s="78"/>
      <c r="P9" s="116"/>
      <c r="Q9" s="199">
        <f t="shared" si="0"/>
        <v>0</v>
      </c>
      <c r="S9" s="265" t="s">
        <v>1693</v>
      </c>
      <c r="T9" s="297" t="s">
        <v>77</v>
      </c>
      <c r="U9" s="366" t="s">
        <v>2743</v>
      </c>
      <c r="V9" s="366">
        <v>50049081071009</v>
      </c>
      <c r="W9" s="347">
        <v>2.25</v>
      </c>
      <c r="X9" s="348">
        <v>27</v>
      </c>
      <c r="Y9" s="348">
        <v>0.78</v>
      </c>
    </row>
    <row r="10" spans="1:25" ht="15" customHeight="1">
      <c r="A10" s="104" t="str">
        <f>IF(O10&gt;0,COUNT($A$7:A9)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0" s="579"/>
      <c r="C10" s="580"/>
      <c r="D10" s="155" t="s">
        <v>2744</v>
      </c>
      <c r="E10" s="106">
        <v>300002274</v>
      </c>
      <c r="F10" s="233" t="s">
        <v>2745</v>
      </c>
      <c r="G10" s="365" t="s">
        <v>2746</v>
      </c>
      <c r="H10" s="365" t="s">
        <v>2737</v>
      </c>
      <c r="I10" s="365" t="s">
        <v>2738</v>
      </c>
      <c r="J10" s="365" t="s">
        <v>2739</v>
      </c>
      <c r="K10" s="234">
        <v>12</v>
      </c>
      <c r="L10" s="234">
        <v>1008</v>
      </c>
      <c r="M10" s="155">
        <f>VLOOKUP(E10,'All Products'!$D:$H,5,0)</f>
        <v>12.91</v>
      </c>
      <c r="N10" s="235">
        <f>ROUNDUP(M10*Order_Quote!$L$17,2)</f>
        <v>64.55</v>
      </c>
      <c r="O10" s="78"/>
      <c r="P10" s="116"/>
      <c r="Q10" s="199">
        <f t="shared" si="0"/>
        <v>0</v>
      </c>
      <c r="S10" s="265" t="s">
        <v>359</v>
      </c>
      <c r="T10" s="297" t="s">
        <v>77</v>
      </c>
      <c r="U10" s="366" t="s">
        <v>2747</v>
      </c>
      <c r="V10" s="366">
        <v>50049081071016</v>
      </c>
      <c r="W10" s="347">
        <v>1.167</v>
      </c>
      <c r="X10" s="348">
        <v>14</v>
      </c>
      <c r="Y10" s="348">
        <v>0.42</v>
      </c>
    </row>
    <row r="11" spans="1:25" ht="15" customHeight="1">
      <c r="A11" s="104" t="str">
        <f>IF(O11&gt;0,COUNT($A$7:A10)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1" s="579"/>
      <c r="C11" s="580"/>
      <c r="D11" s="155" t="s">
        <v>2748</v>
      </c>
      <c r="E11" s="106">
        <v>300002250</v>
      </c>
      <c r="F11" s="233" t="s">
        <v>2749</v>
      </c>
      <c r="G11" s="365" t="s">
        <v>2750</v>
      </c>
      <c r="H11" s="365" t="s">
        <v>2737</v>
      </c>
      <c r="I11" s="365" t="s">
        <v>2738</v>
      </c>
      <c r="J11" s="365" t="s">
        <v>2739</v>
      </c>
      <c r="K11" s="234">
        <v>24</v>
      </c>
      <c r="L11" s="234">
        <v>1920</v>
      </c>
      <c r="M11" s="155">
        <f>VLOOKUP(E11,'All Products'!$D:$H,5,0)</f>
        <v>23.78</v>
      </c>
      <c r="N11" s="235">
        <f>ROUNDUP(M11*Order_Quote!$L$17,2)</f>
        <v>118.9</v>
      </c>
      <c r="O11" s="78"/>
      <c r="P11" s="116"/>
      <c r="Q11" s="199">
        <f t="shared" si="0"/>
        <v>0</v>
      </c>
      <c r="S11" s="265" t="s">
        <v>359</v>
      </c>
      <c r="T11" s="297" t="s">
        <v>77</v>
      </c>
      <c r="U11" s="366" t="s">
        <v>2751</v>
      </c>
      <c r="V11" s="366">
        <v>50049081071023</v>
      </c>
      <c r="W11" s="347">
        <v>0.625</v>
      </c>
      <c r="X11" s="348">
        <v>15</v>
      </c>
      <c r="Y11" s="348">
        <v>0.41</v>
      </c>
    </row>
    <row r="12" spans="1:25" ht="15" customHeight="1">
      <c r="A12" s="104" t="str">
        <f>IF(O12&gt;0,COUNT($A$7:A11)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2" s="581"/>
      <c r="C12" s="582"/>
      <c r="D12" s="155" t="s">
        <v>2752</v>
      </c>
      <c r="E12" s="106">
        <v>300002296</v>
      </c>
      <c r="F12" s="233" t="s">
        <v>2753</v>
      </c>
      <c r="G12" s="365" t="s">
        <v>2754</v>
      </c>
      <c r="H12" s="365" t="s">
        <v>2737</v>
      </c>
      <c r="I12" s="365" t="s">
        <v>2738</v>
      </c>
      <c r="J12" s="365" t="s">
        <v>2739</v>
      </c>
      <c r="K12" s="234">
        <v>24</v>
      </c>
      <c r="L12" s="234">
        <v>2808</v>
      </c>
      <c r="M12" s="155">
        <f>VLOOKUP(E12,'All Products'!$D:$H,5,0)</f>
        <v>5.39</v>
      </c>
      <c r="N12" s="235">
        <f>ROUNDUP(M12*Order_Quote!$L$17,2)</f>
        <v>26.95</v>
      </c>
      <c r="O12" s="78"/>
      <c r="P12" s="116"/>
      <c r="Q12" s="199">
        <f t="shared" si="0"/>
        <v>0</v>
      </c>
      <c r="S12" s="265" t="s">
        <v>359</v>
      </c>
      <c r="T12" s="297" t="s">
        <v>77</v>
      </c>
      <c r="U12" s="366" t="s">
        <v>2755</v>
      </c>
      <c r="V12" s="366">
        <v>50049081071030</v>
      </c>
      <c r="W12" s="347">
        <v>0.33300000000000002</v>
      </c>
      <c r="X12" s="348">
        <v>8</v>
      </c>
      <c r="Y12" s="348">
        <v>0.28999999999999998</v>
      </c>
    </row>
    <row r="13" spans="1:25" ht="15" customHeight="1">
      <c r="A13" s="104" t="str">
        <f>IF(O13&gt;0,COUNT($A$7:A12)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3" s="577"/>
      <c r="C13" s="578"/>
      <c r="D13" s="155" t="s">
        <v>2756</v>
      </c>
      <c r="E13" s="106">
        <v>300002362</v>
      </c>
      <c r="F13" s="233" t="s">
        <v>2757</v>
      </c>
      <c r="G13" s="365" t="s">
        <v>2736</v>
      </c>
      <c r="H13" s="365" t="s">
        <v>2737</v>
      </c>
      <c r="I13" s="365" t="s">
        <v>2758</v>
      </c>
      <c r="J13" s="365" t="s">
        <v>2739</v>
      </c>
      <c r="K13" s="234">
        <v>6</v>
      </c>
      <c r="L13" s="234">
        <v>162</v>
      </c>
      <c r="M13" s="155">
        <f>VLOOKUP(E13,'All Products'!$D:$H,5,0)</f>
        <v>84.41</v>
      </c>
      <c r="N13" s="235">
        <f>ROUNDUP(M13*Order_Quote!$L$17,2)</f>
        <v>422.05</v>
      </c>
      <c r="O13" s="78"/>
      <c r="P13" s="116"/>
      <c r="Q13" s="199">
        <f t="shared" si="0"/>
        <v>0</v>
      </c>
      <c r="S13" s="265" t="s">
        <v>1693</v>
      </c>
      <c r="T13" s="297" t="s">
        <v>77</v>
      </c>
      <c r="U13" s="366">
        <v>810116842292</v>
      </c>
      <c r="V13" s="366">
        <v>10810116842299</v>
      </c>
      <c r="W13" s="347">
        <v>8.7149999999999999</v>
      </c>
      <c r="X13" s="348">
        <v>56</v>
      </c>
      <c r="Y13" s="348">
        <v>1.21</v>
      </c>
    </row>
    <row r="14" spans="1:25" ht="15" customHeight="1">
      <c r="A14" s="104" t="str">
        <f>IF(O14&gt;0,COUNT($A$7:A13)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4" s="579"/>
      <c r="C14" s="580"/>
      <c r="D14" s="155" t="s">
        <v>2759</v>
      </c>
      <c r="E14" s="106">
        <v>300002376</v>
      </c>
      <c r="F14" s="233" t="s">
        <v>2760</v>
      </c>
      <c r="G14" s="365" t="s">
        <v>2742</v>
      </c>
      <c r="H14" s="365" t="s">
        <v>2737</v>
      </c>
      <c r="I14" s="365" t="s">
        <v>2758</v>
      </c>
      <c r="J14" s="365" t="s">
        <v>2739</v>
      </c>
      <c r="K14" s="234">
        <v>12</v>
      </c>
      <c r="L14" s="234">
        <v>576</v>
      </c>
      <c r="M14" s="155">
        <f>VLOOKUP(E14,'All Products'!$D:$H,5,0)</f>
        <v>25.24</v>
      </c>
      <c r="N14" s="235">
        <f>ROUNDUP(M14*Order_Quote!$L$17,2)</f>
        <v>126.2</v>
      </c>
      <c r="O14" s="78"/>
      <c r="P14" s="116"/>
      <c r="Q14" s="199">
        <f t="shared" si="0"/>
        <v>0</v>
      </c>
      <c r="S14" s="265" t="s">
        <v>1693</v>
      </c>
      <c r="T14" s="297" t="s">
        <v>77</v>
      </c>
      <c r="U14" s="366">
        <v>810116842308</v>
      </c>
      <c r="V14" s="366">
        <v>10810116842305</v>
      </c>
      <c r="W14" s="347">
        <v>2.2839999999999998</v>
      </c>
      <c r="X14" s="348">
        <v>30</v>
      </c>
      <c r="Y14" s="348">
        <v>0.78</v>
      </c>
    </row>
    <row r="15" spans="1:25" ht="15" customHeight="1">
      <c r="A15" s="104" t="str">
        <f>IF(O15&gt;0,COUNT($A$7:A14)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5" s="579"/>
      <c r="C15" s="580"/>
      <c r="D15" s="155" t="s">
        <v>2761</v>
      </c>
      <c r="E15" s="106">
        <v>300002368</v>
      </c>
      <c r="F15" s="233" t="s">
        <v>2762</v>
      </c>
      <c r="G15" s="365" t="s">
        <v>2746</v>
      </c>
      <c r="H15" s="365" t="s">
        <v>2737</v>
      </c>
      <c r="I15" s="365" t="s">
        <v>2758</v>
      </c>
      <c r="J15" s="365" t="s">
        <v>2739</v>
      </c>
      <c r="K15" s="234">
        <v>12</v>
      </c>
      <c r="L15" s="234">
        <v>1008</v>
      </c>
      <c r="M15" s="155">
        <f>VLOOKUP(E15,'All Products'!$D:$H,5,0)</f>
        <v>14.3</v>
      </c>
      <c r="N15" s="235">
        <f>ROUNDUP(M15*Order_Quote!$L$17,2)</f>
        <v>71.5</v>
      </c>
      <c r="O15" s="78"/>
      <c r="P15" s="116"/>
      <c r="Q15" s="199">
        <f t="shared" si="0"/>
        <v>0</v>
      </c>
      <c r="S15" s="265" t="s">
        <v>359</v>
      </c>
      <c r="T15" s="297" t="s">
        <v>77</v>
      </c>
      <c r="U15" s="366">
        <v>810116842315</v>
      </c>
      <c r="V15" s="366">
        <v>10810116842312</v>
      </c>
      <c r="W15" s="347">
        <v>1.1759999999999999</v>
      </c>
      <c r="X15" s="348">
        <v>16</v>
      </c>
      <c r="Y15" s="348">
        <v>0.42</v>
      </c>
    </row>
    <row r="16" spans="1:25" ht="15" customHeight="1">
      <c r="A16" s="104" t="str">
        <f>IF(O16&gt;0,COUNT($A$7:A15)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6" s="579"/>
      <c r="C16" s="580"/>
      <c r="D16" s="155" t="s">
        <v>2763</v>
      </c>
      <c r="E16" s="106">
        <v>300002365</v>
      </c>
      <c r="F16" s="233" t="s">
        <v>2764</v>
      </c>
      <c r="G16" s="365" t="s">
        <v>2750</v>
      </c>
      <c r="H16" s="365" t="s">
        <v>2737</v>
      </c>
      <c r="I16" s="365" t="s">
        <v>2758</v>
      </c>
      <c r="J16" s="365" t="s">
        <v>2739</v>
      </c>
      <c r="K16" s="234">
        <v>24</v>
      </c>
      <c r="L16" s="234">
        <v>1920</v>
      </c>
      <c r="M16" s="155">
        <f>VLOOKUP(E16,'All Products'!$D:$H,5,0)</f>
        <v>8.83</v>
      </c>
      <c r="N16" s="235">
        <f>ROUNDUP(M16*Order_Quote!$L$17,2)</f>
        <v>44.15</v>
      </c>
      <c r="O16" s="78"/>
      <c r="P16" s="116"/>
      <c r="Q16" s="199">
        <f t="shared" si="0"/>
        <v>0</v>
      </c>
      <c r="S16" s="265" t="s">
        <v>1693</v>
      </c>
      <c r="T16" s="297" t="s">
        <v>77</v>
      </c>
      <c r="U16" s="366">
        <v>810116842322</v>
      </c>
      <c r="V16" s="366">
        <v>10810116842329</v>
      </c>
      <c r="W16" s="347">
        <v>0.67100000000000004</v>
      </c>
      <c r="X16" s="348">
        <v>18</v>
      </c>
      <c r="Y16" s="348">
        <v>0.41</v>
      </c>
    </row>
    <row r="17" spans="1:25" ht="15" customHeight="1">
      <c r="A17" s="104" t="str">
        <f>IF(O17&gt;0,COUNT($A$7:A16)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7" s="581"/>
      <c r="C17" s="582"/>
      <c r="D17" s="155" t="s">
        <v>2765</v>
      </c>
      <c r="E17" s="106">
        <v>300002373</v>
      </c>
      <c r="F17" s="233" t="s">
        <v>2766</v>
      </c>
      <c r="G17" s="365" t="s">
        <v>2754</v>
      </c>
      <c r="H17" s="365" t="s">
        <v>2737</v>
      </c>
      <c r="I17" s="365" t="s">
        <v>2758</v>
      </c>
      <c r="J17" s="365" t="s">
        <v>2739</v>
      </c>
      <c r="K17" s="234">
        <v>24</v>
      </c>
      <c r="L17" s="234">
        <v>2808</v>
      </c>
      <c r="M17" s="155">
        <f>VLOOKUP(E17,'All Products'!$D:$H,5,0)</f>
        <v>6.52</v>
      </c>
      <c r="N17" s="235">
        <f>ROUNDUP(M17*Order_Quote!$L$17,2)</f>
        <v>32.6</v>
      </c>
      <c r="O17" s="78"/>
      <c r="P17" s="116"/>
      <c r="Q17" s="199">
        <f t="shared" si="0"/>
        <v>0</v>
      </c>
      <c r="S17" s="265" t="s">
        <v>1693</v>
      </c>
      <c r="T17" s="297" t="s">
        <v>77</v>
      </c>
      <c r="U17" s="366">
        <v>810116842339</v>
      </c>
      <c r="V17" s="366">
        <v>10810116842336</v>
      </c>
      <c r="W17" s="347">
        <v>0.34399999999999997</v>
      </c>
      <c r="X17" s="348">
        <v>9</v>
      </c>
      <c r="Y17" s="348">
        <v>0.28999999999999998</v>
      </c>
    </row>
    <row r="18" spans="1:25" ht="15" customHeight="1">
      <c r="A18" s="104" t="str">
        <f>IF(O18&gt;0,COUNT($A$7:A17)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8" s="577"/>
      <c r="C18" s="578"/>
      <c r="D18" s="155" t="s">
        <v>2767</v>
      </c>
      <c r="E18" s="106">
        <v>300002229</v>
      </c>
      <c r="F18" s="233" t="s">
        <v>2768</v>
      </c>
      <c r="G18" s="365" t="s">
        <v>2736</v>
      </c>
      <c r="H18" s="365" t="s">
        <v>2769</v>
      </c>
      <c r="I18" s="365" t="s">
        <v>2738</v>
      </c>
      <c r="J18" s="365" t="s">
        <v>2739</v>
      </c>
      <c r="K18" s="234">
        <v>6</v>
      </c>
      <c r="L18" s="234">
        <v>162</v>
      </c>
      <c r="M18" s="155">
        <f>VLOOKUP(E18,'All Products'!$D:$H,5,0)</f>
        <v>135.63</v>
      </c>
      <c r="N18" s="235">
        <f>ROUNDUP(M18*Order_Quote!$L$17,2)</f>
        <v>678.15</v>
      </c>
      <c r="O18" s="78"/>
      <c r="P18" s="116"/>
      <c r="Q18" s="199">
        <f t="shared" si="0"/>
        <v>0</v>
      </c>
      <c r="S18" s="265" t="s">
        <v>359</v>
      </c>
      <c r="T18" s="297" t="s">
        <v>77</v>
      </c>
      <c r="U18" s="366" t="s">
        <v>2770</v>
      </c>
      <c r="V18" s="366">
        <v>50049081071047</v>
      </c>
      <c r="W18" s="347">
        <v>8.6669999999999998</v>
      </c>
      <c r="X18" s="348">
        <v>52</v>
      </c>
      <c r="Y18" s="348">
        <v>1.21</v>
      </c>
    </row>
    <row r="19" spans="1:25" ht="15" customHeight="1">
      <c r="A19" s="104" t="str">
        <f>IF(O19&gt;0,COUNT($A$7:A18)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19" s="579"/>
      <c r="C19" s="580"/>
      <c r="D19" s="155" t="s">
        <v>2771</v>
      </c>
      <c r="E19" s="106">
        <v>300002314</v>
      </c>
      <c r="F19" s="233" t="s">
        <v>2772</v>
      </c>
      <c r="G19" s="365" t="s">
        <v>2742</v>
      </c>
      <c r="H19" s="365" t="s">
        <v>2769</v>
      </c>
      <c r="I19" s="365" t="s">
        <v>2738</v>
      </c>
      <c r="J19" s="365" t="s">
        <v>2739</v>
      </c>
      <c r="K19" s="234">
        <v>12</v>
      </c>
      <c r="L19" s="234">
        <v>576</v>
      </c>
      <c r="M19" s="155">
        <f>VLOOKUP(E19,'All Products'!$D:$H,5,0)</f>
        <v>51</v>
      </c>
      <c r="N19" s="235">
        <f>ROUNDUP(M19*Order_Quote!$L$17,2)</f>
        <v>255</v>
      </c>
      <c r="O19" s="78"/>
      <c r="P19" s="116"/>
      <c r="Q19" s="199">
        <f t="shared" si="0"/>
        <v>0</v>
      </c>
      <c r="S19" s="265" t="s">
        <v>1693</v>
      </c>
      <c r="T19" s="297" t="s">
        <v>77</v>
      </c>
      <c r="U19" s="366" t="s">
        <v>2773</v>
      </c>
      <c r="V19" s="366">
        <v>50049081071054</v>
      </c>
      <c r="W19" s="347">
        <v>2.25</v>
      </c>
      <c r="X19" s="348">
        <v>27</v>
      </c>
      <c r="Y19" s="348">
        <v>0.78</v>
      </c>
    </row>
    <row r="20" spans="1:25" ht="15" customHeight="1">
      <c r="A20" s="104" t="str">
        <f>IF(O20&gt;0,COUNT($A$7:A19)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0" s="579"/>
      <c r="C20" s="580"/>
      <c r="D20" s="155" t="s">
        <v>2774</v>
      </c>
      <c r="E20" s="106">
        <v>300002275</v>
      </c>
      <c r="F20" s="233" t="s">
        <v>2775</v>
      </c>
      <c r="G20" s="365" t="s">
        <v>2746</v>
      </c>
      <c r="H20" s="365" t="s">
        <v>2769</v>
      </c>
      <c r="I20" s="365" t="s">
        <v>2738</v>
      </c>
      <c r="J20" s="365" t="s">
        <v>2739</v>
      </c>
      <c r="K20" s="234">
        <v>12</v>
      </c>
      <c r="L20" s="234">
        <v>1008</v>
      </c>
      <c r="M20" s="155">
        <f>VLOOKUP(E20,'All Products'!$D:$H,5,0)</f>
        <v>30.48</v>
      </c>
      <c r="N20" s="235">
        <f>ROUNDUP(M20*Order_Quote!$L$17,2)</f>
        <v>152.4</v>
      </c>
      <c r="O20" s="78"/>
      <c r="P20" s="116"/>
      <c r="Q20" s="199">
        <f t="shared" si="0"/>
        <v>0</v>
      </c>
      <c r="S20" s="265" t="s">
        <v>1693</v>
      </c>
      <c r="T20" s="297" t="s">
        <v>77</v>
      </c>
      <c r="U20" s="366" t="s">
        <v>2776</v>
      </c>
      <c r="V20" s="366">
        <v>50049081071061</v>
      </c>
      <c r="W20" s="347">
        <v>1.167</v>
      </c>
      <c r="X20" s="348">
        <v>14</v>
      </c>
      <c r="Y20" s="348">
        <v>0.42</v>
      </c>
    </row>
    <row r="21" spans="1:25" ht="15" customHeight="1">
      <c r="A21" s="104" t="str">
        <f>IF(O21&gt;0,COUNT($A$7:A20)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1" s="579"/>
      <c r="C21" s="580"/>
      <c r="D21" s="155" t="s">
        <v>2777</v>
      </c>
      <c r="E21" s="106">
        <v>300002251</v>
      </c>
      <c r="F21" s="233" t="s">
        <v>2778</v>
      </c>
      <c r="G21" s="365" t="s">
        <v>2750</v>
      </c>
      <c r="H21" s="365" t="s">
        <v>2769</v>
      </c>
      <c r="I21" s="365" t="s">
        <v>2738</v>
      </c>
      <c r="J21" s="365" t="s">
        <v>2739</v>
      </c>
      <c r="K21" s="234">
        <v>24</v>
      </c>
      <c r="L21" s="234">
        <v>1920</v>
      </c>
      <c r="M21" s="155">
        <f>VLOOKUP(E21,'All Products'!$D:$H,5,0)</f>
        <v>20.05</v>
      </c>
      <c r="N21" s="235">
        <f>ROUNDUP(M21*Order_Quote!$L$17,2)</f>
        <v>100.25</v>
      </c>
      <c r="O21" s="78"/>
      <c r="P21" s="116"/>
      <c r="Q21" s="199">
        <f t="shared" si="0"/>
        <v>0</v>
      </c>
      <c r="S21" s="265" t="s">
        <v>1693</v>
      </c>
      <c r="T21" s="297" t="s">
        <v>77</v>
      </c>
      <c r="U21" s="366" t="s">
        <v>2779</v>
      </c>
      <c r="V21" s="366">
        <v>50049081071078</v>
      </c>
      <c r="W21" s="347">
        <v>0.625</v>
      </c>
      <c r="X21" s="348">
        <v>15</v>
      </c>
      <c r="Y21" s="348">
        <v>0.41</v>
      </c>
    </row>
    <row r="22" spans="1:25" ht="15" customHeight="1">
      <c r="A22" s="104" t="str">
        <f>IF(O22&gt;0,COUNT($A$7:A21)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2" s="581"/>
      <c r="C22" s="582"/>
      <c r="D22" s="155" t="s">
        <v>2780</v>
      </c>
      <c r="E22" s="106">
        <v>300002297</v>
      </c>
      <c r="F22" s="233" t="s">
        <v>2781</v>
      </c>
      <c r="G22" s="365" t="s">
        <v>2754</v>
      </c>
      <c r="H22" s="365" t="s">
        <v>2769</v>
      </c>
      <c r="I22" s="365" t="s">
        <v>2738</v>
      </c>
      <c r="J22" s="365" t="s">
        <v>2739</v>
      </c>
      <c r="K22" s="234">
        <v>24</v>
      </c>
      <c r="L22" s="234">
        <v>2808</v>
      </c>
      <c r="M22" s="155">
        <f>VLOOKUP(E22,'All Products'!$D:$H,5,0)</f>
        <v>11.25</v>
      </c>
      <c r="N22" s="235">
        <f>ROUNDUP(M22*Order_Quote!$L$17,2)</f>
        <v>56.25</v>
      </c>
      <c r="O22" s="78"/>
      <c r="P22" s="116"/>
      <c r="Q22" s="199">
        <f t="shared" si="0"/>
        <v>0</v>
      </c>
      <c r="S22" s="265" t="s">
        <v>1693</v>
      </c>
      <c r="T22" s="297" t="s">
        <v>77</v>
      </c>
      <c r="U22" s="366" t="s">
        <v>2782</v>
      </c>
      <c r="V22" s="366">
        <v>50049081071085</v>
      </c>
      <c r="W22" s="347">
        <v>0.33300000000000002</v>
      </c>
      <c r="X22" s="348">
        <v>8</v>
      </c>
      <c r="Y22" s="348">
        <v>0.28999999999999998</v>
      </c>
    </row>
    <row r="23" spans="1:25" ht="15" customHeight="1">
      <c r="A23" s="104" t="str">
        <f>IF(O23&gt;0,COUNT($A$7:A22)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3" s="577"/>
      <c r="C23" s="578"/>
      <c r="D23" s="155" t="s">
        <v>2783</v>
      </c>
      <c r="E23" s="106">
        <v>300002230</v>
      </c>
      <c r="F23" s="233" t="s">
        <v>2784</v>
      </c>
      <c r="G23" s="365" t="s">
        <v>2736</v>
      </c>
      <c r="H23" s="365" t="s">
        <v>2769</v>
      </c>
      <c r="I23" s="365" t="s">
        <v>2758</v>
      </c>
      <c r="J23" s="365" t="s">
        <v>2739</v>
      </c>
      <c r="K23" s="234">
        <v>6</v>
      </c>
      <c r="L23" s="234">
        <v>162</v>
      </c>
      <c r="M23" s="155">
        <f>VLOOKUP(E23,'All Products'!$D:$H,5,0)</f>
        <v>114.56</v>
      </c>
      <c r="N23" s="235">
        <f>ROUNDUP(M23*Order_Quote!$L$17,2)</f>
        <v>572.79999999999995</v>
      </c>
      <c r="O23" s="78"/>
      <c r="P23" s="116"/>
      <c r="Q23" s="199">
        <f t="shared" si="0"/>
        <v>0</v>
      </c>
      <c r="S23" s="265" t="s">
        <v>1693</v>
      </c>
      <c r="T23" s="297" t="s">
        <v>77</v>
      </c>
      <c r="U23" s="366" t="s">
        <v>2785</v>
      </c>
      <c r="V23" s="366">
        <v>50049081071092</v>
      </c>
      <c r="W23" s="347">
        <v>8.6669999999999998</v>
      </c>
      <c r="X23" s="348">
        <v>52</v>
      </c>
      <c r="Y23" s="348">
        <v>1.21</v>
      </c>
    </row>
    <row r="24" spans="1:25" ht="15" customHeight="1">
      <c r="A24" s="104" t="str">
        <f>IF(O24&gt;0,COUNT($A$7:A23)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4" s="579"/>
      <c r="C24" s="580"/>
      <c r="D24" s="155" t="s">
        <v>2786</v>
      </c>
      <c r="E24" s="106">
        <v>300002315</v>
      </c>
      <c r="F24" s="233" t="s">
        <v>2787</v>
      </c>
      <c r="G24" s="365" t="s">
        <v>2742</v>
      </c>
      <c r="H24" s="365" t="s">
        <v>2769</v>
      </c>
      <c r="I24" s="365" t="s">
        <v>2758</v>
      </c>
      <c r="J24" s="365" t="s">
        <v>2739</v>
      </c>
      <c r="K24" s="234">
        <v>12</v>
      </c>
      <c r="L24" s="234">
        <v>576</v>
      </c>
      <c r="M24" s="155">
        <f>VLOOKUP(E24,'All Products'!$D:$H,5,0)</f>
        <v>30.91</v>
      </c>
      <c r="N24" s="235">
        <f>ROUNDUP(M24*Order_Quote!$L$17,2)</f>
        <v>154.55000000000001</v>
      </c>
      <c r="O24" s="78"/>
      <c r="P24" s="116"/>
      <c r="Q24" s="199">
        <f t="shared" si="0"/>
        <v>0</v>
      </c>
      <c r="S24" s="265" t="s">
        <v>359</v>
      </c>
      <c r="T24" s="297" t="s">
        <v>77</v>
      </c>
      <c r="U24" s="366" t="s">
        <v>2788</v>
      </c>
      <c r="V24" s="366">
        <v>50049081071108</v>
      </c>
      <c r="W24" s="347">
        <v>2.25</v>
      </c>
      <c r="X24" s="348">
        <v>27</v>
      </c>
      <c r="Y24" s="348">
        <v>0.78</v>
      </c>
    </row>
    <row r="25" spans="1:25" ht="15" customHeight="1">
      <c r="A25" s="104" t="str">
        <f>IF(O25&gt;0,COUNT($A$7:A24)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5" s="579"/>
      <c r="C25" s="580"/>
      <c r="D25" s="155" t="s">
        <v>2789</v>
      </c>
      <c r="E25" s="106">
        <v>300002276</v>
      </c>
      <c r="F25" s="233" t="s">
        <v>2790</v>
      </c>
      <c r="G25" s="365" t="s">
        <v>2746</v>
      </c>
      <c r="H25" s="365" t="s">
        <v>2769</v>
      </c>
      <c r="I25" s="365" t="s">
        <v>2758</v>
      </c>
      <c r="J25" s="365" t="s">
        <v>2739</v>
      </c>
      <c r="K25" s="234">
        <v>12</v>
      </c>
      <c r="L25" s="234">
        <v>1008</v>
      </c>
      <c r="M25" s="155">
        <f>VLOOKUP(E25,'All Products'!$D:$H,5,0)</f>
        <v>17.420000000000002</v>
      </c>
      <c r="N25" s="235">
        <f>ROUNDUP(M25*Order_Quote!$L$17,2)</f>
        <v>87.1</v>
      </c>
      <c r="O25" s="78"/>
      <c r="P25" s="116"/>
      <c r="Q25" s="199">
        <f t="shared" si="0"/>
        <v>0</v>
      </c>
      <c r="S25" s="265" t="s">
        <v>359</v>
      </c>
      <c r="T25" s="297" t="s">
        <v>77</v>
      </c>
      <c r="U25" s="366" t="s">
        <v>2791</v>
      </c>
      <c r="V25" s="366">
        <v>50049081071115</v>
      </c>
      <c r="W25" s="347">
        <v>1.167</v>
      </c>
      <c r="X25" s="348">
        <v>14</v>
      </c>
      <c r="Y25" s="348">
        <v>0.42</v>
      </c>
    </row>
    <row r="26" spans="1:25" ht="15" customHeight="1">
      <c r="A26" s="104" t="str">
        <f>IF(O26&gt;0,COUNT($A$7:A25)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6" s="579"/>
      <c r="C26" s="580"/>
      <c r="D26" s="155" t="s">
        <v>2792</v>
      </c>
      <c r="E26" s="106">
        <v>300002252</v>
      </c>
      <c r="F26" s="233" t="s">
        <v>2793</v>
      </c>
      <c r="G26" s="365" t="s">
        <v>2750</v>
      </c>
      <c r="H26" s="365" t="s">
        <v>2769</v>
      </c>
      <c r="I26" s="365" t="s">
        <v>2758</v>
      </c>
      <c r="J26" s="365" t="s">
        <v>2739</v>
      </c>
      <c r="K26" s="234">
        <v>24</v>
      </c>
      <c r="L26" s="234">
        <v>1920</v>
      </c>
      <c r="M26" s="155">
        <f>VLOOKUP(E26,'All Products'!$D:$H,5,0)</f>
        <v>10.67</v>
      </c>
      <c r="N26" s="235">
        <f>ROUNDUP(M26*Order_Quote!$L$17,2)</f>
        <v>53.35</v>
      </c>
      <c r="O26" s="78"/>
      <c r="P26" s="116"/>
      <c r="Q26" s="199">
        <f t="shared" si="0"/>
        <v>0</v>
      </c>
      <c r="S26" s="265" t="s">
        <v>1693</v>
      </c>
      <c r="T26" s="297" t="s">
        <v>77</v>
      </c>
      <c r="U26" s="366" t="s">
        <v>2794</v>
      </c>
      <c r="V26" s="366">
        <v>50049081071122</v>
      </c>
      <c r="W26" s="347">
        <v>0.625</v>
      </c>
      <c r="X26" s="348">
        <v>15</v>
      </c>
      <c r="Y26" s="348">
        <v>0.41</v>
      </c>
    </row>
    <row r="27" spans="1:25" ht="15" customHeight="1">
      <c r="A27" s="104" t="str">
        <f>IF(O27&gt;0,COUNT($A$7:A26)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7" s="581"/>
      <c r="C27" s="582"/>
      <c r="D27" s="155" t="s">
        <v>2795</v>
      </c>
      <c r="E27" s="106">
        <v>300002298</v>
      </c>
      <c r="F27" s="233" t="s">
        <v>2796</v>
      </c>
      <c r="G27" s="365" t="s">
        <v>2754</v>
      </c>
      <c r="H27" s="365" t="s">
        <v>2769</v>
      </c>
      <c r="I27" s="365" t="s">
        <v>2758</v>
      </c>
      <c r="J27" s="365" t="s">
        <v>2739</v>
      </c>
      <c r="K27" s="234">
        <v>24</v>
      </c>
      <c r="L27" s="234">
        <v>2808</v>
      </c>
      <c r="M27" s="155">
        <f>VLOOKUP(E27,'All Products'!$D:$H,5,0)</f>
        <v>12.68</v>
      </c>
      <c r="N27" s="235">
        <f>ROUNDUP(M27*Order_Quote!$L$17,2)</f>
        <v>63.4</v>
      </c>
      <c r="O27" s="78"/>
      <c r="P27" s="116"/>
      <c r="Q27" s="199">
        <f t="shared" si="0"/>
        <v>0</v>
      </c>
      <c r="S27" s="265" t="s">
        <v>359</v>
      </c>
      <c r="T27" s="297" t="s">
        <v>77</v>
      </c>
      <c r="U27" s="366" t="s">
        <v>2797</v>
      </c>
      <c r="V27" s="366">
        <v>50049081071139</v>
      </c>
      <c r="W27" s="347">
        <v>0.33300000000000002</v>
      </c>
      <c r="X27" s="348">
        <v>8</v>
      </c>
      <c r="Y27" s="348">
        <v>0.28999999999999998</v>
      </c>
    </row>
    <row r="28" spans="1:25" ht="15" customHeight="1">
      <c r="A28" s="104" t="str">
        <f>IF(O28&gt;0,COUNT($A$7:A27)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8" s="577"/>
      <c r="C28" s="578"/>
      <c r="D28" s="155" t="s">
        <v>2798</v>
      </c>
      <c r="E28" s="106">
        <v>300002231</v>
      </c>
      <c r="F28" s="233" t="s">
        <v>2799</v>
      </c>
      <c r="G28" s="365" t="s">
        <v>2736</v>
      </c>
      <c r="H28" s="365" t="s">
        <v>2800</v>
      </c>
      <c r="I28" s="365" t="s">
        <v>2738</v>
      </c>
      <c r="J28" s="365" t="s">
        <v>2801</v>
      </c>
      <c r="K28" s="234">
        <v>6</v>
      </c>
      <c r="L28" s="234">
        <v>162</v>
      </c>
      <c r="M28" s="155">
        <f>VLOOKUP(E28,'All Products'!$D:$H,5,0)</f>
        <v>118.09</v>
      </c>
      <c r="N28" s="235">
        <f>ROUNDUP(M28*Order_Quote!$L$17,2)</f>
        <v>590.45000000000005</v>
      </c>
      <c r="O28" s="78"/>
      <c r="P28" s="116"/>
      <c r="Q28" s="199">
        <f t="shared" si="0"/>
        <v>0</v>
      </c>
      <c r="S28" s="265" t="s">
        <v>1693</v>
      </c>
      <c r="T28" s="297" t="s">
        <v>77</v>
      </c>
      <c r="U28" s="369" t="s">
        <v>2802</v>
      </c>
      <c r="V28" s="366" t="s">
        <v>2803</v>
      </c>
      <c r="W28" s="347">
        <v>8.6669999999999998</v>
      </c>
      <c r="X28" s="348">
        <v>53</v>
      </c>
      <c r="Y28" s="348">
        <v>1.21</v>
      </c>
    </row>
    <row r="29" spans="1:25" ht="15" customHeight="1">
      <c r="A29" s="104" t="str">
        <f>IF(O29&gt;0,COUNT($A$7:A28)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29" s="579"/>
      <c r="C29" s="580"/>
      <c r="D29" s="155" t="s">
        <v>2804</v>
      </c>
      <c r="E29" s="106">
        <v>300002316</v>
      </c>
      <c r="F29" s="233" t="s">
        <v>2805</v>
      </c>
      <c r="G29" s="365" t="s">
        <v>2742</v>
      </c>
      <c r="H29" s="365" t="s">
        <v>2800</v>
      </c>
      <c r="I29" s="365" t="s">
        <v>2738</v>
      </c>
      <c r="J29" s="365" t="s">
        <v>2801</v>
      </c>
      <c r="K29" s="234">
        <v>12</v>
      </c>
      <c r="L29" s="234">
        <v>576</v>
      </c>
      <c r="M29" s="155">
        <f>VLOOKUP(E29,'All Products'!$D:$H,5,0)</f>
        <v>33.43</v>
      </c>
      <c r="N29" s="235">
        <f>ROUNDUP(M29*Order_Quote!$L$17,2)</f>
        <v>167.15</v>
      </c>
      <c r="O29" s="78"/>
      <c r="P29" s="116"/>
      <c r="Q29" s="199">
        <f t="shared" si="0"/>
        <v>0</v>
      </c>
      <c r="S29" s="265" t="s">
        <v>359</v>
      </c>
      <c r="T29" s="297" t="s">
        <v>77</v>
      </c>
      <c r="U29" s="369" t="s">
        <v>2806</v>
      </c>
      <c r="V29" s="366" t="s">
        <v>2803</v>
      </c>
      <c r="W29" s="347">
        <v>2.25</v>
      </c>
      <c r="X29" s="348">
        <v>28</v>
      </c>
      <c r="Y29" s="348">
        <v>0.78</v>
      </c>
    </row>
    <row r="30" spans="1:25" ht="15" customHeight="1">
      <c r="A30" s="104" t="str">
        <f>IF(O30&gt;0,COUNT($A$7:A29)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0" s="579"/>
      <c r="C30" s="580"/>
      <c r="D30" s="155" t="s">
        <v>2807</v>
      </c>
      <c r="E30" s="106">
        <v>300002277</v>
      </c>
      <c r="F30" s="233" t="s">
        <v>2808</v>
      </c>
      <c r="G30" s="365" t="s">
        <v>2746</v>
      </c>
      <c r="H30" s="365" t="s">
        <v>2800</v>
      </c>
      <c r="I30" s="365" t="s">
        <v>2738</v>
      </c>
      <c r="J30" s="365" t="s">
        <v>2801</v>
      </c>
      <c r="K30" s="234">
        <v>12</v>
      </c>
      <c r="L30" s="234">
        <v>1008</v>
      </c>
      <c r="M30" s="155">
        <f>VLOOKUP(E30,'All Products'!$D:$H,5,0)</f>
        <v>20.96</v>
      </c>
      <c r="N30" s="235">
        <f>ROUNDUP(M30*Order_Quote!$L$17,2)</f>
        <v>104.8</v>
      </c>
      <c r="O30" s="78"/>
      <c r="P30" s="116"/>
      <c r="Q30" s="199">
        <f t="shared" si="0"/>
        <v>0</v>
      </c>
      <c r="S30" s="265" t="s">
        <v>1693</v>
      </c>
      <c r="T30" s="297" t="s">
        <v>77</v>
      </c>
      <c r="U30" s="369" t="s">
        <v>2809</v>
      </c>
      <c r="V30" s="366" t="s">
        <v>2803</v>
      </c>
      <c r="W30" s="347">
        <v>1.167</v>
      </c>
      <c r="X30" s="348">
        <v>14</v>
      </c>
      <c r="Y30" s="348">
        <v>0.42</v>
      </c>
    </row>
    <row r="31" spans="1:25" ht="15" customHeight="1">
      <c r="A31" s="104" t="str">
        <f>IF(O31&gt;0,COUNT($A$7:A30)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1" s="581"/>
      <c r="C31" s="582"/>
      <c r="D31" s="155" t="s">
        <v>2810</v>
      </c>
      <c r="E31" s="106">
        <v>300002253</v>
      </c>
      <c r="F31" s="233" t="s">
        <v>2811</v>
      </c>
      <c r="G31" s="365" t="s">
        <v>2750</v>
      </c>
      <c r="H31" s="365" t="s">
        <v>2800</v>
      </c>
      <c r="I31" s="365" t="s">
        <v>2738</v>
      </c>
      <c r="J31" s="365" t="s">
        <v>2801</v>
      </c>
      <c r="K31" s="234">
        <v>24</v>
      </c>
      <c r="L31" s="234">
        <v>1920</v>
      </c>
      <c r="M31" s="155">
        <f>VLOOKUP(E31,'All Products'!$D:$H,5,0)</f>
        <v>12.4</v>
      </c>
      <c r="N31" s="235">
        <f>ROUNDUP(M31*Order_Quote!$L$17,2)</f>
        <v>62</v>
      </c>
      <c r="O31" s="78"/>
      <c r="P31" s="116"/>
      <c r="Q31" s="199">
        <f t="shared" si="0"/>
        <v>0</v>
      </c>
      <c r="S31" s="265" t="s">
        <v>1693</v>
      </c>
      <c r="T31" s="297" t="s">
        <v>77</v>
      </c>
      <c r="U31" s="369" t="s">
        <v>2812</v>
      </c>
      <c r="V31" s="366" t="s">
        <v>2803</v>
      </c>
      <c r="W31" s="347">
        <v>0.625</v>
      </c>
      <c r="X31" s="348">
        <v>15</v>
      </c>
      <c r="Y31" s="348">
        <v>0.41</v>
      </c>
    </row>
    <row r="32" spans="1:25" ht="15" customHeight="1">
      <c r="A32" s="104" t="str">
        <f>IF(O32&gt;0,COUNT($A$7:A31)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2" s="577"/>
      <c r="C32" s="578"/>
      <c r="D32" s="155" t="s">
        <v>2813</v>
      </c>
      <c r="E32" s="106">
        <v>300002232</v>
      </c>
      <c r="F32" s="233" t="s">
        <v>2814</v>
      </c>
      <c r="G32" s="365" t="s">
        <v>2736</v>
      </c>
      <c r="H32" s="365" t="s">
        <v>2800</v>
      </c>
      <c r="I32" s="365" t="s">
        <v>2758</v>
      </c>
      <c r="J32" s="365" t="s">
        <v>2801</v>
      </c>
      <c r="K32" s="234">
        <v>6</v>
      </c>
      <c r="L32" s="234">
        <v>162</v>
      </c>
      <c r="M32" s="155">
        <f>VLOOKUP(E32,'All Products'!$D:$H,5,0)</f>
        <v>121.32</v>
      </c>
      <c r="N32" s="235">
        <f>ROUNDUP(M32*Order_Quote!$L$17,2)</f>
        <v>606.6</v>
      </c>
      <c r="O32" s="78"/>
      <c r="P32" s="116"/>
      <c r="Q32" s="199">
        <f t="shared" si="0"/>
        <v>0</v>
      </c>
      <c r="S32" s="265" t="s">
        <v>359</v>
      </c>
      <c r="T32" s="297" t="s">
        <v>77</v>
      </c>
      <c r="U32" s="366" t="s">
        <v>2815</v>
      </c>
      <c r="V32" s="366">
        <v>50049081071191</v>
      </c>
      <c r="W32" s="347">
        <v>8.8330000000000002</v>
      </c>
      <c r="X32" s="348">
        <v>9</v>
      </c>
      <c r="Y32" s="348">
        <v>0.28999999999999998</v>
      </c>
    </row>
    <row r="33" spans="1:25" ht="15" customHeight="1">
      <c r="A33" s="104" t="str">
        <f>IF(O33&gt;0,COUNT($A$7:A32)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3" s="579"/>
      <c r="C33" s="580"/>
      <c r="D33" s="155" t="s">
        <v>2816</v>
      </c>
      <c r="E33" s="106">
        <v>300002317</v>
      </c>
      <c r="F33" s="233" t="s">
        <v>2817</v>
      </c>
      <c r="G33" s="365" t="s">
        <v>2742</v>
      </c>
      <c r="H33" s="365" t="s">
        <v>2800</v>
      </c>
      <c r="I33" s="365" t="s">
        <v>2758</v>
      </c>
      <c r="J33" s="365" t="s">
        <v>2801</v>
      </c>
      <c r="K33" s="234">
        <v>12</v>
      </c>
      <c r="L33" s="234">
        <v>576</v>
      </c>
      <c r="M33" s="155">
        <f>VLOOKUP(E33,'All Products'!$D:$H,5,0)</f>
        <v>36.11</v>
      </c>
      <c r="N33" s="235">
        <f>ROUNDUP(M33*Order_Quote!$L$17,2)</f>
        <v>180.55</v>
      </c>
      <c r="O33" s="78"/>
      <c r="P33" s="116"/>
      <c r="Q33" s="199">
        <f t="shared" si="0"/>
        <v>0</v>
      </c>
      <c r="S33" s="265" t="s">
        <v>359</v>
      </c>
      <c r="T33" s="297" t="s">
        <v>77</v>
      </c>
      <c r="U33" s="366" t="s">
        <v>2818</v>
      </c>
      <c r="V33" s="366">
        <v>50049081071207</v>
      </c>
      <c r="W33" s="347">
        <v>2.3969999999999998</v>
      </c>
      <c r="X33" s="348">
        <v>28</v>
      </c>
      <c r="Y33" s="348">
        <v>0.78</v>
      </c>
    </row>
    <row r="34" spans="1:25" ht="15" customHeight="1">
      <c r="A34" s="104" t="str">
        <f>IF(O34&gt;0,COUNT($A$7:A33)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4" s="579"/>
      <c r="C34" s="580"/>
      <c r="D34" s="155" t="s">
        <v>2819</v>
      </c>
      <c r="E34" s="106">
        <v>300002278</v>
      </c>
      <c r="F34" s="233" t="s">
        <v>2820</v>
      </c>
      <c r="G34" s="365" t="s">
        <v>2746</v>
      </c>
      <c r="H34" s="365" t="s">
        <v>2800</v>
      </c>
      <c r="I34" s="365" t="s">
        <v>2758</v>
      </c>
      <c r="J34" s="365" t="s">
        <v>2801</v>
      </c>
      <c r="K34" s="234">
        <v>12</v>
      </c>
      <c r="L34" s="234">
        <v>1008</v>
      </c>
      <c r="M34" s="155">
        <f>VLOOKUP(E34,'All Products'!$D:$H,5,0)</f>
        <v>21.96</v>
      </c>
      <c r="N34" s="235">
        <f>ROUNDUP(M34*Order_Quote!$L$17,2)</f>
        <v>109.8</v>
      </c>
      <c r="O34" s="78"/>
      <c r="P34" s="116"/>
      <c r="Q34" s="199">
        <f t="shared" si="0"/>
        <v>0</v>
      </c>
      <c r="S34" s="265" t="s">
        <v>359</v>
      </c>
      <c r="T34" s="297" t="s">
        <v>77</v>
      </c>
      <c r="U34" s="366" t="s">
        <v>2821</v>
      </c>
      <c r="V34" s="366">
        <v>50049081071214</v>
      </c>
      <c r="W34" s="347">
        <v>1.2330000000000001</v>
      </c>
      <c r="X34" s="348">
        <v>14</v>
      </c>
      <c r="Y34" s="348">
        <v>0.42</v>
      </c>
    </row>
    <row r="35" spans="1:25" ht="15" customHeight="1">
      <c r="A35" s="104" t="str">
        <f>IF(O35&gt;0,COUNT($A$7:A34)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5" s="579"/>
      <c r="C35" s="580"/>
      <c r="D35" s="155" t="s">
        <v>2822</v>
      </c>
      <c r="E35" s="106">
        <v>300002254</v>
      </c>
      <c r="F35" s="233" t="s">
        <v>2823</v>
      </c>
      <c r="G35" s="365" t="s">
        <v>2750</v>
      </c>
      <c r="H35" s="365" t="s">
        <v>2800</v>
      </c>
      <c r="I35" s="365" t="s">
        <v>2758</v>
      </c>
      <c r="J35" s="365" t="s">
        <v>2801</v>
      </c>
      <c r="K35" s="234">
        <v>24</v>
      </c>
      <c r="L35" s="234">
        <v>1920</v>
      </c>
      <c r="M35" s="155">
        <f>VLOOKUP(E35,'All Products'!$D:$H,5,0)</f>
        <v>13.04</v>
      </c>
      <c r="N35" s="235">
        <f>ROUNDUP(M35*Order_Quote!$L$17,2)</f>
        <v>65.2</v>
      </c>
      <c r="O35" s="78"/>
      <c r="P35" s="116"/>
      <c r="Q35" s="199">
        <f t="shared" si="0"/>
        <v>0</v>
      </c>
      <c r="S35" s="265" t="s">
        <v>359</v>
      </c>
      <c r="T35" s="297" t="s">
        <v>77</v>
      </c>
      <c r="U35" s="366" t="s">
        <v>2824</v>
      </c>
      <c r="V35" s="366">
        <v>50049081071221</v>
      </c>
      <c r="W35" s="347">
        <v>0.65700000000000003</v>
      </c>
      <c r="X35" s="348">
        <v>15</v>
      </c>
      <c r="Y35" s="348">
        <v>0.41</v>
      </c>
    </row>
    <row r="36" spans="1:25" ht="15" customHeight="1">
      <c r="A36" s="104" t="str">
        <f>IF(O36&gt;0,COUNT($A$7:A35)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6" s="579"/>
      <c r="C36" s="580"/>
      <c r="D36" s="155" t="s">
        <v>2825</v>
      </c>
      <c r="E36" s="106">
        <v>300002371</v>
      </c>
      <c r="F36" s="233" t="s">
        <v>2826</v>
      </c>
      <c r="G36" s="365" t="s">
        <v>2754</v>
      </c>
      <c r="H36" s="365" t="s">
        <v>2800</v>
      </c>
      <c r="I36" s="365" t="s">
        <v>2758</v>
      </c>
      <c r="J36" s="365" t="s">
        <v>2801</v>
      </c>
      <c r="K36" s="234">
        <v>24</v>
      </c>
      <c r="L36" s="234">
        <v>2808</v>
      </c>
      <c r="M36" s="155">
        <f>VLOOKUP(E36,'All Products'!$D:$H,5,0)</f>
        <v>9.81</v>
      </c>
      <c r="N36" s="235">
        <f>ROUNDUP(M36*Order_Quote!$L$17,2)</f>
        <v>49.05</v>
      </c>
      <c r="O36" s="78"/>
      <c r="P36" s="116"/>
      <c r="Q36" s="199">
        <f t="shared" si="0"/>
        <v>0</v>
      </c>
      <c r="S36" s="265" t="s">
        <v>1693</v>
      </c>
      <c r="T36" s="297" t="s">
        <v>77</v>
      </c>
      <c r="U36" s="366">
        <v>810116842346</v>
      </c>
      <c r="V36" s="366">
        <v>10810116842343</v>
      </c>
      <c r="W36" s="347">
        <v>0.35399999999999998</v>
      </c>
      <c r="X36" s="348">
        <v>9</v>
      </c>
      <c r="Y36" s="348">
        <v>0.28999999999999998</v>
      </c>
    </row>
    <row r="37" spans="1:25" ht="15" customHeight="1">
      <c r="A37" s="104" t="str">
        <f>IF(O37&gt;0,COUNT($A$7:A36)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7" s="577"/>
      <c r="C37" s="578"/>
      <c r="D37" s="155" t="s">
        <v>2827</v>
      </c>
      <c r="E37" s="106">
        <v>300002233</v>
      </c>
      <c r="F37" s="233" t="s">
        <v>2828</v>
      </c>
      <c r="G37" s="365" t="s">
        <v>2736</v>
      </c>
      <c r="H37" s="365" t="s">
        <v>2769</v>
      </c>
      <c r="I37" s="365" t="s">
        <v>2829</v>
      </c>
      <c r="J37" s="365" t="s">
        <v>2830</v>
      </c>
      <c r="K37" s="234">
        <v>6</v>
      </c>
      <c r="L37" s="234">
        <v>162</v>
      </c>
      <c r="M37" s="155">
        <f>VLOOKUP(E37,'All Products'!$D:$H,5,0)</f>
        <v>121.56</v>
      </c>
      <c r="N37" s="235">
        <f>ROUNDUP(M37*Order_Quote!$L$17,2)</f>
        <v>607.79999999999995</v>
      </c>
      <c r="O37" s="78"/>
      <c r="P37" s="116"/>
      <c r="Q37" s="199">
        <f t="shared" si="0"/>
        <v>0</v>
      </c>
      <c r="S37" s="265" t="s">
        <v>359</v>
      </c>
      <c r="T37" s="297" t="s">
        <v>77</v>
      </c>
      <c r="U37" s="366" t="s">
        <v>2831</v>
      </c>
      <c r="V37" s="366">
        <v>50049081071238</v>
      </c>
      <c r="W37" s="347">
        <v>9.1669999999999998</v>
      </c>
      <c r="X37" s="348">
        <v>53</v>
      </c>
      <c r="Y37" s="348">
        <v>1.21</v>
      </c>
    </row>
    <row r="38" spans="1:25" ht="15" customHeight="1">
      <c r="A38" s="104" t="str">
        <f>IF(O38&gt;0,COUNT($A$7:A37)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8" s="579"/>
      <c r="C38" s="580"/>
      <c r="D38" s="155" t="s">
        <v>2832</v>
      </c>
      <c r="E38" s="106">
        <v>300002318</v>
      </c>
      <c r="F38" s="233" t="s">
        <v>2833</v>
      </c>
      <c r="G38" s="365" t="s">
        <v>2742</v>
      </c>
      <c r="H38" s="365" t="s">
        <v>2769</v>
      </c>
      <c r="I38" s="365" t="s">
        <v>2829</v>
      </c>
      <c r="J38" s="365" t="s">
        <v>2830</v>
      </c>
      <c r="K38" s="234">
        <v>12</v>
      </c>
      <c r="L38" s="234">
        <v>576</v>
      </c>
      <c r="M38" s="155">
        <f>VLOOKUP(E38,'All Products'!$D:$H,5,0)</f>
        <v>35.159999999999997</v>
      </c>
      <c r="N38" s="235">
        <f>ROUNDUP(M38*Order_Quote!$L$17,2)</f>
        <v>175.8</v>
      </c>
      <c r="O38" s="78"/>
      <c r="P38" s="116"/>
      <c r="Q38" s="199">
        <f t="shared" si="0"/>
        <v>0</v>
      </c>
      <c r="S38" s="265" t="s">
        <v>359</v>
      </c>
      <c r="T38" s="297" t="s">
        <v>77</v>
      </c>
      <c r="U38" s="366" t="s">
        <v>2834</v>
      </c>
      <c r="V38" s="366">
        <v>50049081071245</v>
      </c>
      <c r="W38" s="347">
        <v>2.5</v>
      </c>
      <c r="X38" s="348">
        <v>27</v>
      </c>
      <c r="Y38" s="348">
        <v>0.78</v>
      </c>
    </row>
    <row r="39" spans="1:25" ht="15" customHeight="1">
      <c r="A39" s="104" t="str">
        <f>IF(O39&gt;0,COUNT($A$7:A38)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39" s="579"/>
      <c r="C39" s="580"/>
      <c r="D39" s="155" t="s">
        <v>2835</v>
      </c>
      <c r="E39" s="106">
        <v>300002279</v>
      </c>
      <c r="F39" s="233" t="s">
        <v>2836</v>
      </c>
      <c r="G39" s="365" t="s">
        <v>2746</v>
      </c>
      <c r="H39" s="365" t="s">
        <v>2769</v>
      </c>
      <c r="I39" s="365" t="s">
        <v>2829</v>
      </c>
      <c r="J39" s="365" t="s">
        <v>2830</v>
      </c>
      <c r="K39" s="234">
        <v>12</v>
      </c>
      <c r="L39" s="234">
        <v>1008</v>
      </c>
      <c r="M39" s="155">
        <f>VLOOKUP(E39,'All Products'!$D:$H,5,0)</f>
        <v>21.16</v>
      </c>
      <c r="N39" s="235">
        <f>ROUNDUP(M39*Order_Quote!$L$17,2)</f>
        <v>105.8</v>
      </c>
      <c r="O39" s="78"/>
      <c r="P39" s="116"/>
      <c r="Q39" s="199">
        <f t="shared" si="0"/>
        <v>0</v>
      </c>
      <c r="S39" s="265" t="s">
        <v>359</v>
      </c>
      <c r="T39" s="297" t="s">
        <v>77</v>
      </c>
      <c r="U39" s="366" t="s">
        <v>2837</v>
      </c>
      <c r="V39" s="366">
        <v>50049081071252</v>
      </c>
      <c r="W39" s="347">
        <v>1.25</v>
      </c>
      <c r="X39" s="348">
        <v>14</v>
      </c>
      <c r="Y39" s="348">
        <v>0.42</v>
      </c>
    </row>
    <row r="40" spans="1:25" ht="15" customHeight="1">
      <c r="A40" s="104" t="str">
        <f>IF(O40&gt;0,COUNT($A$7:A39)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0" s="579"/>
      <c r="C40" s="580"/>
      <c r="D40" s="155" t="s">
        <v>2838</v>
      </c>
      <c r="E40" s="106">
        <v>300002255</v>
      </c>
      <c r="F40" s="233" t="s">
        <v>2839</v>
      </c>
      <c r="G40" s="365" t="s">
        <v>2750</v>
      </c>
      <c r="H40" s="365" t="s">
        <v>2769</v>
      </c>
      <c r="I40" s="365" t="s">
        <v>2829</v>
      </c>
      <c r="J40" s="365" t="s">
        <v>2830</v>
      </c>
      <c r="K40" s="234">
        <v>24</v>
      </c>
      <c r="L40" s="234">
        <v>1920</v>
      </c>
      <c r="M40" s="155">
        <f>VLOOKUP(E40,'All Products'!$D:$H,5,0)</f>
        <v>12.4</v>
      </c>
      <c r="N40" s="235">
        <f>ROUNDUP(M40*Order_Quote!$L$17,2)</f>
        <v>62</v>
      </c>
      <c r="O40" s="78"/>
      <c r="P40" s="116"/>
      <c r="Q40" s="199">
        <f t="shared" ref="Q40:Q71" si="1">O40/K40</f>
        <v>0</v>
      </c>
      <c r="S40" s="265" t="s">
        <v>359</v>
      </c>
      <c r="T40" s="297" t="s">
        <v>77</v>
      </c>
      <c r="U40" s="366" t="s">
        <v>2840</v>
      </c>
      <c r="V40" s="366">
        <v>50049081071269</v>
      </c>
      <c r="W40" s="347">
        <v>0.625</v>
      </c>
      <c r="X40" s="348">
        <v>15</v>
      </c>
      <c r="Y40" s="348">
        <v>0.41</v>
      </c>
    </row>
    <row r="41" spans="1:25" ht="15" customHeight="1">
      <c r="A41" s="104" t="str">
        <f>IF(O41&gt;0,COUNT($A$7:A40)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1" s="581"/>
      <c r="C41" s="582"/>
      <c r="D41" s="155" t="s">
        <v>2841</v>
      </c>
      <c r="E41" s="106">
        <v>300002300</v>
      </c>
      <c r="F41" s="233" t="s">
        <v>2842</v>
      </c>
      <c r="G41" s="365" t="s">
        <v>2754</v>
      </c>
      <c r="H41" s="365" t="s">
        <v>2769</v>
      </c>
      <c r="I41" s="365" t="s">
        <v>2829</v>
      </c>
      <c r="J41" s="365" t="s">
        <v>2830</v>
      </c>
      <c r="K41" s="234">
        <v>24</v>
      </c>
      <c r="L41" s="234">
        <v>2808</v>
      </c>
      <c r="M41" s="155">
        <f>VLOOKUP(E41,'All Products'!$D:$H,5,0)</f>
        <v>7.69</v>
      </c>
      <c r="N41" s="235">
        <f>ROUNDUP(M41*Order_Quote!$L$17,2)</f>
        <v>38.450000000000003</v>
      </c>
      <c r="O41" s="78"/>
      <c r="P41" s="116"/>
      <c r="Q41" s="199">
        <f t="shared" si="1"/>
        <v>0</v>
      </c>
      <c r="S41" s="265" t="s">
        <v>359</v>
      </c>
      <c r="T41" s="297" t="s">
        <v>77</v>
      </c>
      <c r="U41" s="366" t="s">
        <v>2843</v>
      </c>
      <c r="V41" s="366">
        <v>50049081071276</v>
      </c>
      <c r="W41" s="347">
        <v>0.375</v>
      </c>
      <c r="X41" s="348">
        <v>8</v>
      </c>
      <c r="Y41" s="348">
        <v>0.28999999999999998</v>
      </c>
    </row>
    <row r="42" spans="1:25" ht="15" customHeight="1">
      <c r="A42" s="104" t="str">
        <f>IF(O42&gt;0,COUNT($A$7:A41)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2" s="577"/>
      <c r="C42" s="578"/>
      <c r="D42" s="155" t="s">
        <v>2844</v>
      </c>
      <c r="E42" s="106">
        <v>300002234</v>
      </c>
      <c r="F42" s="233" t="s">
        <v>2845</v>
      </c>
      <c r="G42" s="365" t="s">
        <v>2736</v>
      </c>
      <c r="H42" s="365" t="s">
        <v>2769</v>
      </c>
      <c r="I42" s="365" t="s">
        <v>2846</v>
      </c>
      <c r="J42" s="365" t="s">
        <v>2847</v>
      </c>
      <c r="K42" s="234">
        <v>6</v>
      </c>
      <c r="L42" s="234">
        <v>162</v>
      </c>
      <c r="M42" s="155">
        <f>VLOOKUP(E42,'All Products'!$D:$H,5,0)</f>
        <v>285.19</v>
      </c>
      <c r="N42" s="235">
        <f>ROUNDUP(M42*Order_Quote!$L$17,2)</f>
        <v>1425.95</v>
      </c>
      <c r="O42" s="78"/>
      <c r="P42" s="116"/>
      <c r="Q42" s="199">
        <f t="shared" si="1"/>
        <v>0</v>
      </c>
      <c r="S42" s="265" t="s">
        <v>1693</v>
      </c>
      <c r="T42" s="297" t="s">
        <v>77</v>
      </c>
      <c r="U42" s="366" t="s">
        <v>2848</v>
      </c>
      <c r="V42" s="366">
        <v>50049081071283</v>
      </c>
      <c r="W42" s="347">
        <v>9.1669999999999998</v>
      </c>
      <c r="X42" s="348">
        <v>53</v>
      </c>
      <c r="Y42" s="348">
        <v>1.21</v>
      </c>
    </row>
    <row r="43" spans="1:25" ht="15" customHeight="1">
      <c r="A43" s="104" t="str">
        <f>IF(O43&gt;0,COUNT($A$7:A42)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3" s="579"/>
      <c r="C43" s="580"/>
      <c r="D43" s="155" t="s">
        <v>2849</v>
      </c>
      <c r="E43" s="106">
        <v>300002319</v>
      </c>
      <c r="F43" s="233" t="s">
        <v>2850</v>
      </c>
      <c r="G43" s="365" t="s">
        <v>2742</v>
      </c>
      <c r="H43" s="365" t="s">
        <v>2769</v>
      </c>
      <c r="I43" s="365" t="s">
        <v>2846</v>
      </c>
      <c r="J43" s="365" t="s">
        <v>2847</v>
      </c>
      <c r="K43" s="234">
        <v>12</v>
      </c>
      <c r="L43" s="234">
        <v>576</v>
      </c>
      <c r="M43" s="155">
        <f>VLOOKUP(E43,'All Products'!$D:$H,5,0)</f>
        <v>49.86</v>
      </c>
      <c r="N43" s="235">
        <f>ROUNDUP(M43*Order_Quote!$L$17,2)</f>
        <v>249.3</v>
      </c>
      <c r="O43" s="78"/>
      <c r="P43" s="116"/>
      <c r="Q43" s="199">
        <f t="shared" si="1"/>
        <v>0</v>
      </c>
      <c r="S43" s="265" t="s">
        <v>359</v>
      </c>
      <c r="T43" s="297" t="s">
        <v>77</v>
      </c>
      <c r="U43" s="366" t="s">
        <v>2851</v>
      </c>
      <c r="V43" s="366">
        <v>50049081071290</v>
      </c>
      <c r="W43" s="347">
        <v>2.331</v>
      </c>
      <c r="X43" s="348">
        <v>27</v>
      </c>
      <c r="Y43" s="348">
        <v>0.78</v>
      </c>
    </row>
    <row r="44" spans="1:25" ht="15" customHeight="1">
      <c r="A44" s="104" t="str">
        <f>IF(O44&gt;0,COUNT($A$7:A43)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4" s="579"/>
      <c r="C44" s="580"/>
      <c r="D44" s="155" t="s">
        <v>2852</v>
      </c>
      <c r="E44" s="106">
        <v>300002280</v>
      </c>
      <c r="F44" s="233" t="s">
        <v>2853</v>
      </c>
      <c r="G44" s="365" t="s">
        <v>2746</v>
      </c>
      <c r="H44" s="365" t="s">
        <v>2769</v>
      </c>
      <c r="I44" s="365" t="s">
        <v>2846</v>
      </c>
      <c r="J44" s="365" t="s">
        <v>2847</v>
      </c>
      <c r="K44" s="234">
        <v>12</v>
      </c>
      <c r="L44" s="234">
        <v>1008</v>
      </c>
      <c r="M44" s="155">
        <f>VLOOKUP(E44,'All Products'!$D:$H,5,0)</f>
        <v>28.82</v>
      </c>
      <c r="N44" s="235">
        <f>ROUNDUP(M44*Order_Quote!$L$17,2)</f>
        <v>144.1</v>
      </c>
      <c r="O44" s="78"/>
      <c r="P44" s="116"/>
      <c r="Q44" s="199">
        <f t="shared" si="1"/>
        <v>0</v>
      </c>
      <c r="S44" s="265" t="s">
        <v>359</v>
      </c>
      <c r="T44" s="297" t="s">
        <v>77</v>
      </c>
      <c r="U44" s="366" t="s">
        <v>2854</v>
      </c>
      <c r="V44" s="366">
        <v>50049081071306</v>
      </c>
      <c r="W44" s="347">
        <v>1.1919999999999999</v>
      </c>
      <c r="X44" s="348">
        <v>14</v>
      </c>
      <c r="Y44" s="348">
        <v>0.42</v>
      </c>
    </row>
    <row r="45" spans="1:25" ht="15" customHeight="1">
      <c r="A45" s="104" t="str">
        <f>IF(O45&gt;0,COUNT($A$7:A44)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5" s="579"/>
      <c r="C45" s="580"/>
      <c r="D45" s="155" t="s">
        <v>2855</v>
      </c>
      <c r="E45" s="106">
        <v>300002256</v>
      </c>
      <c r="F45" s="233" t="s">
        <v>2856</v>
      </c>
      <c r="G45" s="365" t="s">
        <v>2750</v>
      </c>
      <c r="H45" s="365" t="s">
        <v>2769</v>
      </c>
      <c r="I45" s="365" t="s">
        <v>2846</v>
      </c>
      <c r="J45" s="365" t="s">
        <v>2847</v>
      </c>
      <c r="K45" s="234">
        <v>24</v>
      </c>
      <c r="L45" s="234">
        <v>1920</v>
      </c>
      <c r="M45" s="155">
        <f>VLOOKUP(E45,'All Products'!$D:$H,5,0)</f>
        <v>13.61</v>
      </c>
      <c r="N45" s="235">
        <f>ROUNDUP(M45*Order_Quote!$L$17,2)</f>
        <v>68.05</v>
      </c>
      <c r="O45" s="78"/>
      <c r="P45" s="116"/>
      <c r="Q45" s="199">
        <f t="shared" si="1"/>
        <v>0</v>
      </c>
      <c r="S45" s="265" t="s">
        <v>359</v>
      </c>
      <c r="T45" s="297" t="s">
        <v>77</v>
      </c>
      <c r="U45" s="366" t="s">
        <v>2857</v>
      </c>
      <c r="V45" s="366">
        <v>50049081071313</v>
      </c>
      <c r="W45" s="347">
        <v>0.63600000000000001</v>
      </c>
      <c r="X45" s="348">
        <v>15</v>
      </c>
      <c r="Y45" s="348">
        <v>0.41</v>
      </c>
    </row>
    <row r="46" spans="1:25" ht="15" customHeight="1">
      <c r="A46" s="104" t="str">
        <f>IF(O46&gt;0,COUNT($A$7:A45)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6" s="581"/>
      <c r="C46" s="582"/>
      <c r="D46" s="155" t="s">
        <v>2858</v>
      </c>
      <c r="E46" s="106">
        <v>300002301</v>
      </c>
      <c r="F46" s="233" t="s">
        <v>2859</v>
      </c>
      <c r="G46" s="365" t="s">
        <v>2754</v>
      </c>
      <c r="H46" s="365" t="s">
        <v>2769</v>
      </c>
      <c r="I46" s="365" t="s">
        <v>2846</v>
      </c>
      <c r="J46" s="365" t="s">
        <v>2847</v>
      </c>
      <c r="K46" s="234">
        <v>24</v>
      </c>
      <c r="L46" s="234">
        <v>2808</v>
      </c>
      <c r="M46" s="155">
        <f>VLOOKUP(E46,'All Products'!$D:$H,5,0)</f>
        <v>11.49</v>
      </c>
      <c r="N46" s="235">
        <f>ROUNDUP(M46*Order_Quote!$L$17,2)</f>
        <v>57.45</v>
      </c>
      <c r="O46" s="78"/>
      <c r="P46" s="116"/>
      <c r="Q46" s="199">
        <f t="shared" si="1"/>
        <v>0</v>
      </c>
      <c r="S46" s="265" t="s">
        <v>359</v>
      </c>
      <c r="T46" s="297" t="s">
        <v>77</v>
      </c>
      <c r="U46" s="366" t="s">
        <v>2860</v>
      </c>
      <c r="V46" s="366">
        <v>50049081071320</v>
      </c>
      <c r="W46" s="347">
        <v>0.35899999999999999</v>
      </c>
      <c r="X46" s="348">
        <v>8</v>
      </c>
      <c r="Y46" s="348">
        <v>0.28999999999999998</v>
      </c>
    </row>
    <row r="47" spans="1:25" ht="15" customHeight="1">
      <c r="A47" s="104" t="str">
        <f>IF(O47&gt;0,COUNT($A$7:A46)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7" s="577"/>
      <c r="C47" s="578"/>
      <c r="D47" s="155" t="s">
        <v>2861</v>
      </c>
      <c r="E47" s="106">
        <v>300002239</v>
      </c>
      <c r="F47" s="233" t="s">
        <v>2862</v>
      </c>
      <c r="G47" s="365" t="s">
        <v>2736</v>
      </c>
      <c r="H47" s="365" t="s">
        <v>2769</v>
      </c>
      <c r="I47" s="365" t="s">
        <v>2738</v>
      </c>
      <c r="J47" s="365" t="s">
        <v>2739</v>
      </c>
      <c r="K47" s="234">
        <v>6</v>
      </c>
      <c r="L47" s="234">
        <v>162</v>
      </c>
      <c r="M47" s="155">
        <f>VLOOKUP(E47,'All Products'!$D:$H,5,0)</f>
        <v>118.18</v>
      </c>
      <c r="N47" s="235">
        <f>ROUNDUP(M47*Order_Quote!$L$17,2)</f>
        <v>590.9</v>
      </c>
      <c r="O47" s="78"/>
      <c r="P47" s="116"/>
      <c r="Q47" s="199">
        <f t="shared" si="1"/>
        <v>0</v>
      </c>
      <c r="S47" s="265" t="s">
        <v>359</v>
      </c>
      <c r="T47" s="297" t="s">
        <v>77</v>
      </c>
      <c r="U47" s="366" t="s">
        <v>2863</v>
      </c>
      <c r="V47" s="366" t="s">
        <v>2803</v>
      </c>
      <c r="W47" s="347">
        <v>8.5</v>
      </c>
      <c r="X47" s="348">
        <v>51</v>
      </c>
      <c r="Y47" s="348">
        <v>1.07</v>
      </c>
    </row>
    <row r="48" spans="1:25" ht="15" customHeight="1">
      <c r="A48" s="104" t="str">
        <f>IF(O48&gt;0,COUNT($A$7:A47)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8" s="579"/>
      <c r="C48" s="580"/>
      <c r="D48" s="155" t="s">
        <v>2864</v>
      </c>
      <c r="E48" s="106">
        <v>300002325</v>
      </c>
      <c r="F48" s="233" t="s">
        <v>2865</v>
      </c>
      <c r="G48" s="365" t="s">
        <v>2742</v>
      </c>
      <c r="H48" s="365" t="s">
        <v>2769</v>
      </c>
      <c r="I48" s="365" t="s">
        <v>2738</v>
      </c>
      <c r="J48" s="365" t="s">
        <v>2739</v>
      </c>
      <c r="K48" s="234">
        <v>12</v>
      </c>
      <c r="L48" s="234">
        <v>576</v>
      </c>
      <c r="M48" s="155">
        <f>VLOOKUP(E48,'All Products'!$D:$H,5,0)</f>
        <v>57.12</v>
      </c>
      <c r="N48" s="235">
        <f>ROUNDUP(M48*Order_Quote!$L$17,2)</f>
        <v>285.60000000000002</v>
      </c>
      <c r="O48" s="78"/>
      <c r="P48" s="116"/>
      <c r="Q48" s="199">
        <f t="shared" si="1"/>
        <v>0</v>
      </c>
      <c r="S48" s="265" t="s">
        <v>359</v>
      </c>
      <c r="T48" s="297" t="s">
        <v>77</v>
      </c>
      <c r="U48" s="366" t="s">
        <v>2866</v>
      </c>
      <c r="V48" s="366" t="s">
        <v>2803</v>
      </c>
      <c r="W48" s="347">
        <v>2.25</v>
      </c>
      <c r="X48" s="348">
        <v>27</v>
      </c>
      <c r="Y48" s="348">
        <v>0.67</v>
      </c>
    </row>
    <row r="49" spans="1:25" ht="15" customHeight="1">
      <c r="A49" s="104" t="str">
        <f>IF(O49&gt;0,COUNT($A$7:A48)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49" s="579"/>
      <c r="C49" s="580"/>
      <c r="D49" s="155" t="s">
        <v>2867</v>
      </c>
      <c r="E49" s="106">
        <v>300002286</v>
      </c>
      <c r="F49" s="233" t="s">
        <v>2868</v>
      </c>
      <c r="G49" s="365" t="s">
        <v>2746</v>
      </c>
      <c r="H49" s="365" t="s">
        <v>2769</v>
      </c>
      <c r="I49" s="365" t="s">
        <v>2738</v>
      </c>
      <c r="J49" s="365" t="s">
        <v>2739</v>
      </c>
      <c r="K49" s="234">
        <v>12</v>
      </c>
      <c r="L49" s="234">
        <v>1008</v>
      </c>
      <c r="M49" s="155">
        <f>VLOOKUP(E49,'All Products'!$D:$H,5,0)</f>
        <v>28.48</v>
      </c>
      <c r="N49" s="235">
        <f>ROUNDUP(M49*Order_Quote!$L$17,2)</f>
        <v>142.4</v>
      </c>
      <c r="O49" s="78"/>
      <c r="P49" s="116"/>
      <c r="Q49" s="199">
        <f t="shared" si="1"/>
        <v>0</v>
      </c>
      <c r="S49" s="265" t="s">
        <v>359</v>
      </c>
      <c r="T49" s="297" t="s">
        <v>77</v>
      </c>
      <c r="U49" s="366" t="s">
        <v>2869</v>
      </c>
      <c r="V49" s="366" t="s">
        <v>2803</v>
      </c>
      <c r="W49" s="347">
        <v>1.167</v>
      </c>
      <c r="X49" s="348">
        <v>14</v>
      </c>
      <c r="Y49" s="348">
        <v>0.36</v>
      </c>
    </row>
    <row r="50" spans="1:25" ht="15" customHeight="1">
      <c r="A50" s="104" t="str">
        <f>IF(O50&gt;0,COUNT($A$7:A49)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0" s="579"/>
      <c r="C50" s="580"/>
      <c r="D50" s="155" t="s">
        <v>2870</v>
      </c>
      <c r="E50" s="106">
        <v>300002262</v>
      </c>
      <c r="F50" s="233" t="s">
        <v>2871</v>
      </c>
      <c r="G50" s="365" t="s">
        <v>2750</v>
      </c>
      <c r="H50" s="365" t="s">
        <v>2769</v>
      </c>
      <c r="I50" s="365" t="s">
        <v>2738</v>
      </c>
      <c r="J50" s="365" t="s">
        <v>2739</v>
      </c>
      <c r="K50" s="234">
        <v>24</v>
      </c>
      <c r="L50" s="234">
        <v>1920</v>
      </c>
      <c r="M50" s="155">
        <f>VLOOKUP(E50,'All Products'!$D:$H,5,0)</f>
        <v>19.04</v>
      </c>
      <c r="N50" s="235">
        <f>ROUNDUP(M50*Order_Quote!$L$17,2)</f>
        <v>95.2</v>
      </c>
      <c r="O50" s="78"/>
      <c r="P50" s="116"/>
      <c r="Q50" s="199">
        <f t="shared" si="1"/>
        <v>0</v>
      </c>
      <c r="S50" s="265" t="s">
        <v>359</v>
      </c>
      <c r="T50" s="297" t="s">
        <v>77</v>
      </c>
      <c r="U50" s="366" t="s">
        <v>2872</v>
      </c>
      <c r="V50" s="366">
        <v>50049081072013</v>
      </c>
      <c r="W50" s="347">
        <v>0.625</v>
      </c>
      <c r="X50" s="348">
        <v>15</v>
      </c>
      <c r="Y50" s="348">
        <v>0.37</v>
      </c>
    </row>
    <row r="51" spans="1:25" ht="15" customHeight="1">
      <c r="A51" s="104" t="str">
        <f>IF(O51&gt;0,COUNT($A$7:A50)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1" s="581"/>
      <c r="C51" s="582"/>
      <c r="D51" s="155" t="s">
        <v>2873</v>
      </c>
      <c r="E51" s="106">
        <v>300002306</v>
      </c>
      <c r="F51" s="233" t="s">
        <v>2874</v>
      </c>
      <c r="G51" s="365" t="s">
        <v>2754</v>
      </c>
      <c r="H51" s="365" t="s">
        <v>2769</v>
      </c>
      <c r="I51" s="365" t="s">
        <v>2738</v>
      </c>
      <c r="J51" s="365" t="s">
        <v>2739</v>
      </c>
      <c r="K51" s="234">
        <v>24</v>
      </c>
      <c r="L51" s="234">
        <v>2808</v>
      </c>
      <c r="M51" s="155">
        <f>VLOOKUP(E51,'All Products'!$D:$H,5,0)</f>
        <v>9.39</v>
      </c>
      <c r="N51" s="235">
        <f>ROUNDUP(M51*Order_Quote!$L$17,2)</f>
        <v>46.95</v>
      </c>
      <c r="O51" s="78"/>
      <c r="P51" s="116"/>
      <c r="Q51" s="199">
        <f t="shared" si="1"/>
        <v>0</v>
      </c>
      <c r="S51" s="265" t="s">
        <v>359</v>
      </c>
      <c r="T51" s="297" t="s">
        <v>77</v>
      </c>
      <c r="U51" s="366" t="s">
        <v>2875</v>
      </c>
      <c r="V51" s="366">
        <v>50049081072020</v>
      </c>
      <c r="W51" s="347">
        <v>0.33300000000000002</v>
      </c>
      <c r="X51" s="348">
        <v>8</v>
      </c>
      <c r="Y51" s="348">
        <v>0.22</v>
      </c>
    </row>
    <row r="52" spans="1:25" ht="15" customHeight="1">
      <c r="A52" s="104" t="str">
        <f>IF(O52&gt;0,COUNT($A$7:A51)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2" s="577"/>
      <c r="C52" s="578"/>
      <c r="D52" s="155" t="s">
        <v>2876</v>
      </c>
      <c r="E52" s="106">
        <v>300002331</v>
      </c>
      <c r="F52" s="233" t="s">
        <v>2877</v>
      </c>
      <c r="G52" s="365" t="s">
        <v>2742</v>
      </c>
      <c r="H52" s="365" t="s">
        <v>2878</v>
      </c>
      <c r="I52" s="365" t="s">
        <v>2829</v>
      </c>
      <c r="J52" s="365" t="s">
        <v>2847</v>
      </c>
      <c r="K52" s="234">
        <v>12</v>
      </c>
      <c r="L52" s="234">
        <v>576</v>
      </c>
      <c r="M52" s="155">
        <f>VLOOKUP(E52,'All Products'!$D:$H,5,0)</f>
        <v>25.46</v>
      </c>
      <c r="N52" s="235">
        <f>ROUNDUP(M52*Order_Quote!$L$17,2)</f>
        <v>127.3</v>
      </c>
      <c r="O52" s="78"/>
      <c r="P52" s="116"/>
      <c r="Q52" s="199">
        <f t="shared" si="1"/>
        <v>0</v>
      </c>
      <c r="S52" s="265" t="s">
        <v>359</v>
      </c>
      <c r="T52" s="297" t="s">
        <v>77</v>
      </c>
      <c r="U52" s="366" t="s">
        <v>2879</v>
      </c>
      <c r="V52" s="366">
        <v>50049081071788</v>
      </c>
      <c r="W52" s="347">
        <v>2.5</v>
      </c>
      <c r="X52" s="348">
        <v>28</v>
      </c>
      <c r="Y52" s="348">
        <v>0.67</v>
      </c>
    </row>
    <row r="53" spans="1:25" ht="15" customHeight="1">
      <c r="A53" s="104" t="str">
        <f>IF(O53&gt;0,COUNT($A$7:A52)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3" s="579"/>
      <c r="C53" s="580"/>
      <c r="D53" s="155" t="s">
        <v>2880</v>
      </c>
      <c r="E53" s="106">
        <v>300002292</v>
      </c>
      <c r="F53" s="233" t="s">
        <v>2881</v>
      </c>
      <c r="G53" s="365" t="s">
        <v>2746</v>
      </c>
      <c r="H53" s="365" t="s">
        <v>2878</v>
      </c>
      <c r="I53" s="365" t="s">
        <v>2829</v>
      </c>
      <c r="J53" s="365" t="s">
        <v>2847</v>
      </c>
      <c r="K53" s="234">
        <v>12</v>
      </c>
      <c r="L53" s="234">
        <v>1008</v>
      </c>
      <c r="M53" s="155">
        <f>VLOOKUP(E53,'All Products'!$D:$H,5,0)</f>
        <v>33.53</v>
      </c>
      <c r="N53" s="235">
        <f>ROUNDUP(M53*Order_Quote!$L$17,2)</f>
        <v>167.65</v>
      </c>
      <c r="O53" s="78"/>
      <c r="P53" s="116"/>
      <c r="Q53" s="199">
        <f t="shared" si="1"/>
        <v>0</v>
      </c>
      <c r="S53" s="265" t="s">
        <v>359</v>
      </c>
      <c r="T53" s="297" t="s">
        <v>77</v>
      </c>
      <c r="U53" s="366" t="s">
        <v>2882</v>
      </c>
      <c r="V53" s="366">
        <v>50049081071795</v>
      </c>
      <c r="W53" s="347">
        <v>1.202</v>
      </c>
      <c r="X53" s="348">
        <v>14</v>
      </c>
      <c r="Y53" s="348">
        <v>0.36</v>
      </c>
    </row>
    <row r="54" spans="1:25" ht="15" customHeight="1">
      <c r="A54" s="104" t="str">
        <f>IF(O54&gt;0,COUNT($A$7:A53)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4" s="579"/>
      <c r="C54" s="580"/>
      <c r="D54" s="155" t="s">
        <v>2883</v>
      </c>
      <c r="E54" s="106">
        <v>300002268</v>
      </c>
      <c r="F54" s="233" t="s">
        <v>2884</v>
      </c>
      <c r="G54" s="365" t="s">
        <v>2750</v>
      </c>
      <c r="H54" s="365" t="s">
        <v>2878</v>
      </c>
      <c r="I54" s="365" t="s">
        <v>2829</v>
      </c>
      <c r="J54" s="365" t="s">
        <v>2847</v>
      </c>
      <c r="K54" s="234">
        <v>24</v>
      </c>
      <c r="L54" s="234">
        <v>1920</v>
      </c>
      <c r="M54" s="155">
        <f>VLOOKUP(E54,'All Products'!$D:$H,5,0)</f>
        <v>22.18</v>
      </c>
      <c r="N54" s="235">
        <f>ROUNDUP(M54*Order_Quote!$L$17,2)</f>
        <v>110.9</v>
      </c>
      <c r="O54" s="78"/>
      <c r="P54" s="116"/>
      <c r="Q54" s="199">
        <f t="shared" si="1"/>
        <v>0</v>
      </c>
      <c r="S54" s="265" t="s">
        <v>1693</v>
      </c>
      <c r="T54" s="297" t="s">
        <v>77</v>
      </c>
      <c r="U54" s="366" t="s">
        <v>2885</v>
      </c>
      <c r="V54" s="366" t="s">
        <v>2803</v>
      </c>
      <c r="W54" s="347">
        <v>0.63700000000000001</v>
      </c>
      <c r="X54" s="348">
        <v>15</v>
      </c>
      <c r="Y54" s="348">
        <v>0.37</v>
      </c>
    </row>
    <row r="55" spans="1:25" ht="15" customHeight="1">
      <c r="A55" s="104" t="str">
        <f>IF(O55&gt;0,COUNT($A$7:A54)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5" s="581"/>
      <c r="C55" s="582"/>
      <c r="D55" s="155" t="s">
        <v>2886</v>
      </c>
      <c r="E55" s="106">
        <v>300002309</v>
      </c>
      <c r="F55" s="233" t="s">
        <v>2887</v>
      </c>
      <c r="G55" s="365" t="s">
        <v>2754</v>
      </c>
      <c r="H55" s="365" t="s">
        <v>2878</v>
      </c>
      <c r="I55" s="365" t="s">
        <v>2829</v>
      </c>
      <c r="J55" s="365" t="s">
        <v>2847</v>
      </c>
      <c r="K55" s="234">
        <v>24</v>
      </c>
      <c r="L55" s="234">
        <v>2808</v>
      </c>
      <c r="M55" s="155">
        <f>VLOOKUP(E55,'All Products'!$D:$H,5,0)</f>
        <v>13.02</v>
      </c>
      <c r="N55" s="235">
        <f>ROUNDUP(M55*Order_Quote!$L$17,2)</f>
        <v>65.099999999999994</v>
      </c>
      <c r="O55" s="78"/>
      <c r="P55" s="116"/>
      <c r="Q55" s="199">
        <f t="shared" si="1"/>
        <v>0</v>
      </c>
      <c r="S55" s="265" t="s">
        <v>1693</v>
      </c>
      <c r="T55" s="297" t="s">
        <v>77</v>
      </c>
      <c r="U55" s="366" t="s">
        <v>2888</v>
      </c>
      <c r="V55" s="366" t="s">
        <v>2803</v>
      </c>
      <c r="W55" s="347">
        <v>0.375</v>
      </c>
      <c r="X55" s="348">
        <v>8</v>
      </c>
      <c r="Y55" s="348">
        <v>0.22</v>
      </c>
    </row>
    <row r="56" spans="1:25" ht="15" customHeight="1">
      <c r="A56" s="104" t="str">
        <f>IF(O56&gt;0,COUNT($A$7:A55)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6" s="577"/>
      <c r="C56" s="578"/>
      <c r="D56" s="155" t="s">
        <v>2889</v>
      </c>
      <c r="E56" s="106">
        <v>300002320</v>
      </c>
      <c r="F56" s="233" t="s">
        <v>2890</v>
      </c>
      <c r="G56" s="365" t="s">
        <v>2742</v>
      </c>
      <c r="H56" s="365" t="s">
        <v>2891</v>
      </c>
      <c r="I56" s="365" t="s">
        <v>2892</v>
      </c>
      <c r="J56" s="365" t="s">
        <v>2739</v>
      </c>
      <c r="K56" s="234">
        <v>12</v>
      </c>
      <c r="L56" s="234">
        <v>576</v>
      </c>
      <c r="M56" s="155">
        <f>VLOOKUP(E56,'All Products'!$D:$H,5,0)</f>
        <v>48.34</v>
      </c>
      <c r="N56" s="235">
        <f>ROUNDUP(M56*Order_Quote!$L$17,2)</f>
        <v>241.7</v>
      </c>
      <c r="O56" s="78"/>
      <c r="P56" s="116"/>
      <c r="Q56" s="199">
        <f t="shared" si="1"/>
        <v>0</v>
      </c>
      <c r="S56" s="265" t="s">
        <v>1693</v>
      </c>
      <c r="T56" s="297" t="s">
        <v>77</v>
      </c>
      <c r="U56" s="366" t="s">
        <v>2893</v>
      </c>
      <c r="V56" s="366">
        <v>50049081071344</v>
      </c>
      <c r="W56" s="347">
        <v>2.5</v>
      </c>
      <c r="X56" s="348">
        <v>29</v>
      </c>
      <c r="Y56" s="348">
        <v>0.78</v>
      </c>
    </row>
    <row r="57" spans="1:25" ht="15" customHeight="1">
      <c r="A57" s="104" t="str">
        <f>IF(O57&gt;0,COUNT($A$7:A56)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7" s="579"/>
      <c r="C57" s="580"/>
      <c r="D57" s="155" t="s">
        <v>2894</v>
      </c>
      <c r="E57" s="106">
        <v>300002281</v>
      </c>
      <c r="F57" s="233" t="s">
        <v>2895</v>
      </c>
      <c r="G57" s="365" t="s">
        <v>2746</v>
      </c>
      <c r="H57" s="365" t="s">
        <v>2891</v>
      </c>
      <c r="I57" s="365" t="s">
        <v>2892</v>
      </c>
      <c r="J57" s="365" t="s">
        <v>2739</v>
      </c>
      <c r="K57" s="234">
        <v>12</v>
      </c>
      <c r="L57" s="234">
        <v>1008</v>
      </c>
      <c r="M57" s="155">
        <f>VLOOKUP(E57,'All Products'!$D:$H,5,0)</f>
        <v>27.85</v>
      </c>
      <c r="N57" s="235">
        <f>ROUNDUP(M57*Order_Quote!$L$17,2)</f>
        <v>139.25</v>
      </c>
      <c r="O57" s="78"/>
      <c r="P57" s="116"/>
      <c r="Q57" s="199">
        <f t="shared" si="1"/>
        <v>0</v>
      </c>
      <c r="S57" s="265" t="s">
        <v>1693</v>
      </c>
      <c r="T57" s="297" t="s">
        <v>77</v>
      </c>
      <c r="U57" s="366" t="s">
        <v>2896</v>
      </c>
      <c r="V57" s="366">
        <v>50049081071351</v>
      </c>
      <c r="W57" s="347">
        <v>1.272</v>
      </c>
      <c r="X57" s="348">
        <v>15</v>
      </c>
      <c r="Y57" s="348">
        <v>0.42</v>
      </c>
    </row>
    <row r="58" spans="1:25" ht="15" customHeight="1">
      <c r="A58" s="104" t="str">
        <f>IF(O58&gt;0,COUNT($A$7:A57)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8" s="579"/>
      <c r="C58" s="580"/>
      <c r="D58" s="155" t="s">
        <v>2897</v>
      </c>
      <c r="E58" s="106">
        <v>300002257</v>
      </c>
      <c r="F58" s="233" t="s">
        <v>2898</v>
      </c>
      <c r="G58" s="365" t="s">
        <v>2750</v>
      </c>
      <c r="H58" s="365" t="s">
        <v>2891</v>
      </c>
      <c r="I58" s="365" t="s">
        <v>2892</v>
      </c>
      <c r="J58" s="365" t="s">
        <v>2739</v>
      </c>
      <c r="K58" s="234">
        <v>24</v>
      </c>
      <c r="L58" s="234">
        <v>1920</v>
      </c>
      <c r="M58" s="155">
        <f>VLOOKUP(E58,'All Products'!$D:$H,5,0)</f>
        <v>17.28</v>
      </c>
      <c r="N58" s="235">
        <f>ROUNDUP(M58*Order_Quote!$L$17,2)</f>
        <v>86.4</v>
      </c>
      <c r="O58" s="78"/>
      <c r="P58" s="116"/>
      <c r="Q58" s="199">
        <f t="shared" si="1"/>
        <v>0</v>
      </c>
      <c r="S58" s="265" t="s">
        <v>1693</v>
      </c>
      <c r="T58" s="297" t="s">
        <v>77</v>
      </c>
      <c r="U58" s="366" t="s">
        <v>2899</v>
      </c>
      <c r="V58" s="366">
        <v>50049081071368</v>
      </c>
      <c r="W58" s="347">
        <v>0.67</v>
      </c>
      <c r="X58" s="348">
        <v>16</v>
      </c>
      <c r="Y58" s="348">
        <v>0.41</v>
      </c>
    </row>
    <row r="59" spans="1:25" ht="15" customHeight="1">
      <c r="A59" s="104" t="str">
        <f>IF(O59&gt;0,COUNT($A$7:A58)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59" s="581"/>
      <c r="C59" s="582"/>
      <c r="D59" s="155" t="s">
        <v>2900</v>
      </c>
      <c r="E59" s="106">
        <v>300002302</v>
      </c>
      <c r="F59" s="233" t="s">
        <v>2901</v>
      </c>
      <c r="G59" s="365" t="s">
        <v>2754</v>
      </c>
      <c r="H59" s="365" t="s">
        <v>2891</v>
      </c>
      <c r="I59" s="365" t="s">
        <v>2892</v>
      </c>
      <c r="J59" s="365" t="s">
        <v>2739</v>
      </c>
      <c r="K59" s="234">
        <v>24</v>
      </c>
      <c r="L59" s="234">
        <v>2808</v>
      </c>
      <c r="M59" s="155">
        <f>VLOOKUP(E59,'All Products'!$D:$H,5,0)</f>
        <v>10.84</v>
      </c>
      <c r="N59" s="235">
        <f>ROUNDUP(M59*Order_Quote!$L$17,2)</f>
        <v>54.2</v>
      </c>
      <c r="O59" s="78"/>
      <c r="P59" s="116"/>
      <c r="Q59" s="199">
        <f t="shared" si="1"/>
        <v>0</v>
      </c>
      <c r="S59" s="265" t="s">
        <v>1693</v>
      </c>
      <c r="T59" s="297" t="s">
        <v>77</v>
      </c>
      <c r="U59" s="366" t="s">
        <v>2902</v>
      </c>
      <c r="V59" s="366">
        <v>50049081071375</v>
      </c>
      <c r="W59" s="347">
        <v>0.376</v>
      </c>
      <c r="X59" s="348">
        <v>8</v>
      </c>
      <c r="Y59" s="348">
        <v>0.28999999999999998</v>
      </c>
    </row>
    <row r="60" spans="1:25" ht="15" customHeight="1">
      <c r="A60" s="104" t="str">
        <f>IF(O60&gt;0,COUNT($A$7:A59)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0" s="577"/>
      <c r="C60" s="578"/>
      <c r="D60" s="155" t="s">
        <v>2903</v>
      </c>
      <c r="E60" s="106">
        <v>300002321</v>
      </c>
      <c r="F60" s="233" t="s">
        <v>2904</v>
      </c>
      <c r="G60" s="365" t="s">
        <v>2742</v>
      </c>
      <c r="H60" s="365" t="s">
        <v>2905</v>
      </c>
      <c r="I60" s="365" t="s">
        <v>2906</v>
      </c>
      <c r="J60" s="365" t="s">
        <v>2801</v>
      </c>
      <c r="K60" s="234">
        <v>12</v>
      </c>
      <c r="L60" s="234">
        <v>576</v>
      </c>
      <c r="M60" s="155">
        <f>VLOOKUP(E60,'All Products'!$D:$H,5,0)</f>
        <v>73.33</v>
      </c>
      <c r="N60" s="235">
        <f>ROUNDUP(M60*Order_Quote!$L$17,2)</f>
        <v>366.65</v>
      </c>
      <c r="O60" s="78"/>
      <c r="P60" s="116"/>
      <c r="Q60" s="199">
        <f t="shared" si="1"/>
        <v>0</v>
      </c>
      <c r="S60" s="265" t="s">
        <v>1693</v>
      </c>
      <c r="T60" s="297" t="s">
        <v>77</v>
      </c>
      <c r="U60" s="366" t="s">
        <v>2907</v>
      </c>
      <c r="V60" s="366">
        <v>50049081071382</v>
      </c>
      <c r="W60" s="347">
        <v>2.5</v>
      </c>
      <c r="X60" s="348">
        <v>29</v>
      </c>
      <c r="Y60" s="348">
        <v>0.78</v>
      </c>
    </row>
    <row r="61" spans="1:25" ht="15" customHeight="1">
      <c r="A61" s="104" t="str">
        <f>IF(O61&gt;0,COUNT($A$7:A60)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1" s="579"/>
      <c r="C61" s="580"/>
      <c r="D61" s="155" t="s">
        <v>2908</v>
      </c>
      <c r="E61" s="106">
        <v>300002282</v>
      </c>
      <c r="F61" s="233" t="s">
        <v>2909</v>
      </c>
      <c r="G61" s="365" t="s">
        <v>2746</v>
      </c>
      <c r="H61" s="365" t="s">
        <v>2905</v>
      </c>
      <c r="I61" s="365" t="s">
        <v>2906</v>
      </c>
      <c r="J61" s="365" t="s">
        <v>2801</v>
      </c>
      <c r="K61" s="234">
        <v>12</v>
      </c>
      <c r="L61" s="234">
        <v>1008</v>
      </c>
      <c r="M61" s="155">
        <f>VLOOKUP(E61,'All Products'!$D:$H,5,0)</f>
        <v>47.7</v>
      </c>
      <c r="N61" s="235">
        <f>ROUNDUP(M61*Order_Quote!$L$17,2)</f>
        <v>238.5</v>
      </c>
      <c r="O61" s="78"/>
      <c r="P61" s="116"/>
      <c r="Q61" s="199">
        <f t="shared" si="1"/>
        <v>0</v>
      </c>
      <c r="S61" s="265" t="s">
        <v>359</v>
      </c>
      <c r="T61" s="297" t="s">
        <v>77</v>
      </c>
      <c r="U61" s="366" t="s">
        <v>2910</v>
      </c>
      <c r="V61" s="366">
        <v>50049081071399</v>
      </c>
      <c r="W61" s="347">
        <v>1.25</v>
      </c>
      <c r="X61" s="348">
        <v>14</v>
      </c>
      <c r="Y61" s="348">
        <v>0.42</v>
      </c>
    </row>
    <row r="62" spans="1:25" ht="15" customHeight="1">
      <c r="A62" s="104" t="str">
        <f>IF(O62&gt;0,COUNT($A$7:A61)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2" s="579"/>
      <c r="C62" s="580"/>
      <c r="D62" s="155" t="s">
        <v>2911</v>
      </c>
      <c r="E62" s="106">
        <v>300002258</v>
      </c>
      <c r="F62" s="233" t="s">
        <v>2912</v>
      </c>
      <c r="G62" s="365" t="s">
        <v>2750</v>
      </c>
      <c r="H62" s="365" t="s">
        <v>2905</v>
      </c>
      <c r="I62" s="365" t="s">
        <v>2906</v>
      </c>
      <c r="J62" s="365" t="s">
        <v>2801</v>
      </c>
      <c r="K62" s="234">
        <v>24</v>
      </c>
      <c r="L62" s="234">
        <v>1920</v>
      </c>
      <c r="M62" s="155">
        <f>VLOOKUP(E62,'All Products'!$D:$H,5,0)</f>
        <v>41.69</v>
      </c>
      <c r="N62" s="235">
        <f>ROUNDUP(M62*Order_Quote!$L$17,2)</f>
        <v>208.45</v>
      </c>
      <c r="O62" s="78"/>
      <c r="P62" s="116"/>
      <c r="Q62" s="199">
        <f t="shared" si="1"/>
        <v>0</v>
      </c>
      <c r="S62" s="265" t="s">
        <v>1693</v>
      </c>
      <c r="T62" s="297" t="s">
        <v>77</v>
      </c>
      <c r="U62" s="366" t="s">
        <v>2913</v>
      </c>
      <c r="V62" s="366">
        <v>50049081071405</v>
      </c>
      <c r="W62" s="347">
        <v>0.66800000000000004</v>
      </c>
      <c r="X62" s="348">
        <v>15</v>
      </c>
      <c r="Y62" s="348">
        <v>0.41</v>
      </c>
    </row>
    <row r="63" spans="1:25" ht="15" customHeight="1">
      <c r="A63" s="104" t="str">
        <f>IF(O63&gt;0,COUNT($A$7:A62)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3" s="581"/>
      <c r="C63" s="582"/>
      <c r="D63" s="155" t="s">
        <v>2914</v>
      </c>
      <c r="E63" s="106">
        <v>300002372</v>
      </c>
      <c r="F63" s="233" t="s">
        <v>2915</v>
      </c>
      <c r="G63" s="365" t="s">
        <v>2754</v>
      </c>
      <c r="H63" s="365" t="s">
        <v>2905</v>
      </c>
      <c r="I63" s="365" t="s">
        <v>2906</v>
      </c>
      <c r="J63" s="365" t="s">
        <v>2801</v>
      </c>
      <c r="K63" s="234">
        <v>24</v>
      </c>
      <c r="L63" s="234">
        <v>2808</v>
      </c>
      <c r="M63" s="155">
        <f>VLOOKUP(E63,'All Products'!$D:$H,5,0)</f>
        <v>11.99</v>
      </c>
      <c r="N63" s="235">
        <f>ROUNDUP(M63*Order_Quote!$L$17,2)</f>
        <v>59.95</v>
      </c>
      <c r="O63" s="78"/>
      <c r="P63" s="116"/>
      <c r="Q63" s="199">
        <f t="shared" si="1"/>
        <v>0</v>
      </c>
      <c r="S63" s="265" t="s">
        <v>1693</v>
      </c>
      <c r="T63" s="297" t="s">
        <v>77</v>
      </c>
      <c r="U63" s="366">
        <v>810116842452</v>
      </c>
      <c r="V63" s="366">
        <v>10810116842459</v>
      </c>
      <c r="W63" s="347">
        <v>0.62</v>
      </c>
      <c r="X63" s="348">
        <v>9</v>
      </c>
      <c r="Y63" s="348">
        <v>0.28999999999999998</v>
      </c>
    </row>
    <row r="64" spans="1:25" ht="15" customHeight="1">
      <c r="A64" s="104" t="str">
        <f>IF(O64&gt;0,COUNT($A$7:A63)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4" s="577"/>
      <c r="C64" s="578"/>
      <c r="D64" s="155" t="s">
        <v>2916</v>
      </c>
      <c r="E64" s="106">
        <v>300002363</v>
      </c>
      <c r="F64" s="233" t="s">
        <v>2917</v>
      </c>
      <c r="G64" s="365" t="s">
        <v>2736</v>
      </c>
      <c r="H64" s="365" t="s">
        <v>2918</v>
      </c>
      <c r="I64" s="365" t="s">
        <v>2892</v>
      </c>
      <c r="J64" s="365" t="s">
        <v>2739</v>
      </c>
      <c r="K64" s="234">
        <v>6</v>
      </c>
      <c r="L64" s="234">
        <v>162</v>
      </c>
      <c r="M64" s="155">
        <f>VLOOKUP(E64,'All Products'!$D:$H,5,0)</f>
        <v>98.71</v>
      </c>
      <c r="N64" s="235">
        <f>ROUNDUP(M64*Order_Quote!$L$17,2)</f>
        <v>493.55</v>
      </c>
      <c r="O64" s="78"/>
      <c r="P64" s="116"/>
      <c r="Q64" s="199">
        <f t="shared" si="1"/>
        <v>0</v>
      </c>
      <c r="S64" s="265" t="s">
        <v>1693</v>
      </c>
      <c r="T64" s="297" t="s">
        <v>77</v>
      </c>
      <c r="U64" s="366">
        <v>810116842353</v>
      </c>
      <c r="V64" s="366">
        <v>10810116842350</v>
      </c>
      <c r="W64" s="347">
        <v>8.3309999999999995</v>
      </c>
      <c r="X64" s="348">
        <v>56</v>
      </c>
      <c r="Y64" s="348">
        <v>1.21</v>
      </c>
    </row>
    <row r="65" spans="1:25" ht="15" customHeight="1">
      <c r="A65" s="104" t="str">
        <f>IF(O65&gt;0,COUNT($A$7:A64)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5" s="579"/>
      <c r="C65" s="580"/>
      <c r="D65" s="155" t="s">
        <v>2919</v>
      </c>
      <c r="E65" s="106">
        <v>300002377</v>
      </c>
      <c r="F65" s="233" t="s">
        <v>2920</v>
      </c>
      <c r="G65" s="365" t="s">
        <v>2742</v>
      </c>
      <c r="H65" s="365" t="s">
        <v>2918</v>
      </c>
      <c r="I65" s="365" t="s">
        <v>2892</v>
      </c>
      <c r="J65" s="365" t="s">
        <v>2739</v>
      </c>
      <c r="K65" s="234">
        <v>12</v>
      </c>
      <c r="L65" s="234">
        <v>576</v>
      </c>
      <c r="M65" s="155">
        <f>VLOOKUP(E65,'All Products'!$D:$H,5,0)</f>
        <v>28.34</v>
      </c>
      <c r="N65" s="235">
        <f>ROUNDUP(M65*Order_Quote!$L$17,2)</f>
        <v>141.69999999999999</v>
      </c>
      <c r="O65" s="78"/>
      <c r="P65" s="116"/>
      <c r="Q65" s="199">
        <f t="shared" si="1"/>
        <v>0</v>
      </c>
      <c r="S65" s="265" t="s">
        <v>1693</v>
      </c>
      <c r="T65" s="297" t="s">
        <v>77</v>
      </c>
      <c r="U65" s="366">
        <v>810116842360</v>
      </c>
      <c r="V65" s="366">
        <v>10810116842367</v>
      </c>
      <c r="W65" s="347">
        <v>2.1880000000000002</v>
      </c>
      <c r="X65" s="348">
        <v>30</v>
      </c>
      <c r="Y65" s="348">
        <v>0.78</v>
      </c>
    </row>
    <row r="66" spans="1:25" ht="15" customHeight="1">
      <c r="A66" s="104" t="str">
        <f>IF(O66&gt;0,COUNT($A$7:A65)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6" s="579"/>
      <c r="C66" s="580"/>
      <c r="D66" s="155" t="s">
        <v>2921</v>
      </c>
      <c r="E66" s="106">
        <v>300002369</v>
      </c>
      <c r="F66" s="233" t="s">
        <v>2922</v>
      </c>
      <c r="G66" s="365" t="s">
        <v>2746</v>
      </c>
      <c r="H66" s="365" t="s">
        <v>2918</v>
      </c>
      <c r="I66" s="365" t="s">
        <v>2892</v>
      </c>
      <c r="J66" s="365" t="s">
        <v>2739</v>
      </c>
      <c r="K66" s="234">
        <v>12</v>
      </c>
      <c r="L66" s="234">
        <v>1008</v>
      </c>
      <c r="M66" s="155">
        <f>VLOOKUP(E66,'All Products'!$D:$H,5,0)</f>
        <v>20.2</v>
      </c>
      <c r="N66" s="235">
        <f>ROUNDUP(M66*Order_Quote!$L$17,2)</f>
        <v>101</v>
      </c>
      <c r="O66" s="78"/>
      <c r="P66" s="116"/>
      <c r="Q66" s="199">
        <f t="shared" si="1"/>
        <v>0</v>
      </c>
      <c r="S66" s="265" t="s">
        <v>1693</v>
      </c>
      <c r="T66" s="297" t="s">
        <v>77</v>
      </c>
      <c r="U66" s="366">
        <v>810116842377</v>
      </c>
      <c r="V66" s="366">
        <v>10810116842374</v>
      </c>
      <c r="W66" s="347">
        <v>1.1279999999999999</v>
      </c>
      <c r="X66" s="348">
        <v>16</v>
      </c>
      <c r="Y66" s="348">
        <v>0.42</v>
      </c>
    </row>
    <row r="67" spans="1:25" ht="15" customHeight="1">
      <c r="A67" s="104" t="str">
        <f>IF(O67&gt;0,COUNT($A$7:A66)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7" s="579"/>
      <c r="C67" s="580"/>
      <c r="D67" s="155" t="s">
        <v>2923</v>
      </c>
      <c r="E67" s="106">
        <v>300002366</v>
      </c>
      <c r="F67" s="233" t="s">
        <v>2924</v>
      </c>
      <c r="G67" s="365" t="s">
        <v>2750</v>
      </c>
      <c r="H67" s="365" t="s">
        <v>2918</v>
      </c>
      <c r="I67" s="365" t="s">
        <v>2892</v>
      </c>
      <c r="J67" s="365" t="s">
        <v>2739</v>
      </c>
      <c r="K67" s="234">
        <v>24</v>
      </c>
      <c r="L67" s="234">
        <v>1920</v>
      </c>
      <c r="M67" s="155">
        <f>VLOOKUP(E67,'All Products'!$D:$H,5,0)</f>
        <v>11.83</v>
      </c>
      <c r="N67" s="235">
        <f>ROUNDUP(M67*Order_Quote!$L$17,2)</f>
        <v>59.15</v>
      </c>
      <c r="O67" s="78"/>
      <c r="P67" s="116"/>
      <c r="Q67" s="199">
        <f t="shared" si="1"/>
        <v>0</v>
      </c>
      <c r="S67" s="265" t="s">
        <v>1693</v>
      </c>
      <c r="T67" s="297" t="s">
        <v>77</v>
      </c>
      <c r="U67" s="366">
        <v>810116842384</v>
      </c>
      <c r="V67" s="366">
        <v>10810116842381</v>
      </c>
      <c r="W67" s="347">
        <v>0.60499999999999998</v>
      </c>
      <c r="X67" s="348">
        <v>18</v>
      </c>
      <c r="Y67" s="348">
        <v>0.41</v>
      </c>
    </row>
    <row r="68" spans="1:25" ht="15" customHeight="1">
      <c r="A68" s="104" t="str">
        <f>IF(O68&gt;0,COUNT($A$7:A67)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8" s="581"/>
      <c r="C68" s="582"/>
      <c r="D68" s="155" t="s">
        <v>2925</v>
      </c>
      <c r="E68" s="106">
        <v>300002374</v>
      </c>
      <c r="F68" s="233" t="s">
        <v>2926</v>
      </c>
      <c r="G68" s="365" t="s">
        <v>2754</v>
      </c>
      <c r="H68" s="365" t="s">
        <v>2918</v>
      </c>
      <c r="I68" s="365" t="s">
        <v>2892</v>
      </c>
      <c r="J68" s="365" t="s">
        <v>2739</v>
      </c>
      <c r="K68" s="234">
        <v>24</v>
      </c>
      <c r="L68" s="234">
        <v>2808</v>
      </c>
      <c r="M68" s="155">
        <f>VLOOKUP(E68,'All Products'!$D:$H,5,0)</f>
        <v>8.5399999999999991</v>
      </c>
      <c r="N68" s="235">
        <f>ROUNDUP(M68*Order_Quote!$L$17,2)</f>
        <v>42.7</v>
      </c>
      <c r="O68" s="78"/>
      <c r="P68" s="116"/>
      <c r="Q68" s="199">
        <f t="shared" si="1"/>
        <v>0</v>
      </c>
      <c r="S68" s="265" t="s">
        <v>1693</v>
      </c>
      <c r="T68" s="297" t="s">
        <v>77</v>
      </c>
      <c r="U68" s="366">
        <v>810116842391</v>
      </c>
      <c r="V68" s="366">
        <v>10810116842398</v>
      </c>
      <c r="W68" s="347">
        <v>0.33200000000000002</v>
      </c>
      <c r="X68" s="348">
        <v>9</v>
      </c>
      <c r="Y68" s="348">
        <v>0.28999999999999998</v>
      </c>
    </row>
    <row r="69" spans="1:25" ht="15" customHeight="1">
      <c r="A69" s="104" t="str">
        <f>IF(O69&gt;0,COUNT($A$7:A68)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69" s="577"/>
      <c r="C69" s="578"/>
      <c r="D69" s="155" t="s">
        <v>2927</v>
      </c>
      <c r="E69" s="106">
        <v>300002364</v>
      </c>
      <c r="F69" s="233" t="s">
        <v>2928</v>
      </c>
      <c r="G69" s="365" t="s">
        <v>2736</v>
      </c>
      <c r="H69" s="365" t="s">
        <v>2918</v>
      </c>
      <c r="I69" s="365" t="s">
        <v>2929</v>
      </c>
      <c r="J69" s="365" t="s">
        <v>2739</v>
      </c>
      <c r="K69" s="234">
        <v>6</v>
      </c>
      <c r="L69" s="234">
        <v>162</v>
      </c>
      <c r="M69" s="155">
        <f>VLOOKUP(E69,'All Products'!$D:$H,5,0)</f>
        <v>95.74</v>
      </c>
      <c r="N69" s="235">
        <f>ROUNDUP(M69*Order_Quote!$L$17,2)</f>
        <v>478.7</v>
      </c>
      <c r="O69" s="78"/>
      <c r="P69" s="116"/>
      <c r="Q69" s="199">
        <f t="shared" si="1"/>
        <v>0</v>
      </c>
      <c r="S69" s="265" t="s">
        <v>1693</v>
      </c>
      <c r="T69" s="297" t="s">
        <v>77</v>
      </c>
      <c r="U69" s="366">
        <v>810116842407</v>
      </c>
      <c r="V69" s="366">
        <v>10810116842404</v>
      </c>
      <c r="W69" s="347">
        <v>8.4309999999999992</v>
      </c>
      <c r="X69" s="348">
        <v>56</v>
      </c>
      <c r="Y69" s="348">
        <v>1.21</v>
      </c>
    </row>
    <row r="70" spans="1:25" ht="15" customHeight="1">
      <c r="A70" s="104" t="str">
        <f>IF(O70&gt;0,COUNT($A$7:A69)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0" s="579"/>
      <c r="C70" s="580"/>
      <c r="D70" s="155" t="s">
        <v>2930</v>
      </c>
      <c r="E70" s="106">
        <v>300002378</v>
      </c>
      <c r="F70" s="233" t="s">
        <v>2931</v>
      </c>
      <c r="G70" s="365" t="s">
        <v>2742</v>
      </c>
      <c r="H70" s="365" t="s">
        <v>2918</v>
      </c>
      <c r="I70" s="365" t="s">
        <v>2929</v>
      </c>
      <c r="J70" s="365" t="s">
        <v>2739</v>
      </c>
      <c r="K70" s="234">
        <v>12</v>
      </c>
      <c r="L70" s="234">
        <v>576</v>
      </c>
      <c r="M70" s="155">
        <f>VLOOKUP(E70,'All Products'!$D:$H,5,0)</f>
        <v>27.5</v>
      </c>
      <c r="N70" s="235">
        <f>ROUNDUP(M70*Order_Quote!$L$17,2)</f>
        <v>137.5</v>
      </c>
      <c r="O70" s="78"/>
      <c r="P70" s="116"/>
      <c r="Q70" s="199">
        <f t="shared" si="1"/>
        <v>0</v>
      </c>
      <c r="S70" s="265" t="s">
        <v>1693</v>
      </c>
      <c r="T70" s="297" t="s">
        <v>77</v>
      </c>
      <c r="U70" s="366">
        <v>810116842414</v>
      </c>
      <c r="V70" s="366">
        <v>10810116842411</v>
      </c>
      <c r="W70" s="347">
        <v>2.1749999999999998</v>
      </c>
      <c r="X70" s="348">
        <v>30</v>
      </c>
      <c r="Y70" s="348">
        <v>0.78</v>
      </c>
    </row>
    <row r="71" spans="1:25" ht="15" customHeight="1">
      <c r="A71" s="104" t="str">
        <f>IF(O71&gt;0,COUNT($A$7:A70)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1" s="579"/>
      <c r="C71" s="580"/>
      <c r="D71" s="155" t="s">
        <v>2932</v>
      </c>
      <c r="E71" s="106">
        <v>300002370</v>
      </c>
      <c r="F71" s="233" t="s">
        <v>2933</v>
      </c>
      <c r="G71" s="365" t="s">
        <v>2746</v>
      </c>
      <c r="H71" s="365" t="s">
        <v>2918</v>
      </c>
      <c r="I71" s="365" t="s">
        <v>2929</v>
      </c>
      <c r="J71" s="365" t="s">
        <v>2739</v>
      </c>
      <c r="K71" s="234">
        <v>12</v>
      </c>
      <c r="L71" s="234">
        <v>1008</v>
      </c>
      <c r="M71" s="155">
        <f>VLOOKUP(E71,'All Products'!$D:$H,5,0)</f>
        <v>33.369999999999997</v>
      </c>
      <c r="N71" s="235">
        <f>ROUNDUP(M71*Order_Quote!$L$17,2)</f>
        <v>166.85</v>
      </c>
      <c r="O71" s="78"/>
      <c r="P71" s="116"/>
      <c r="Q71" s="199">
        <f t="shared" si="1"/>
        <v>0</v>
      </c>
      <c r="S71" s="265" t="s">
        <v>1693</v>
      </c>
      <c r="T71" s="297" t="s">
        <v>77</v>
      </c>
      <c r="U71" s="366">
        <v>810116842421</v>
      </c>
      <c r="V71" s="366">
        <v>10810116842428</v>
      </c>
      <c r="W71" s="347">
        <v>1.141</v>
      </c>
      <c r="X71" s="348">
        <v>16</v>
      </c>
      <c r="Y71" s="348">
        <v>0.42</v>
      </c>
    </row>
    <row r="72" spans="1:25" ht="15" customHeight="1">
      <c r="A72" s="104" t="str">
        <f>IF(O72&gt;0,COUNT($A$7:A71)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2" s="579"/>
      <c r="C72" s="580"/>
      <c r="D72" s="155" t="s">
        <v>2934</v>
      </c>
      <c r="E72" s="106">
        <v>300002367</v>
      </c>
      <c r="F72" s="233" t="s">
        <v>2935</v>
      </c>
      <c r="G72" s="365" t="s">
        <v>2750</v>
      </c>
      <c r="H72" s="365" t="s">
        <v>2918</v>
      </c>
      <c r="I72" s="365" t="s">
        <v>2929</v>
      </c>
      <c r="J72" s="365" t="s">
        <v>2739</v>
      </c>
      <c r="K72" s="234">
        <v>24</v>
      </c>
      <c r="L72" s="234">
        <v>1920</v>
      </c>
      <c r="M72" s="155">
        <f>VLOOKUP(E72,'All Products'!$D:$H,5,0)</f>
        <v>21.95</v>
      </c>
      <c r="N72" s="235">
        <f>ROUNDUP(M72*Order_Quote!$L$17,2)</f>
        <v>109.75</v>
      </c>
      <c r="O72" s="78"/>
      <c r="P72" s="116"/>
      <c r="Q72" s="199">
        <f t="shared" ref="Q72:Q99" si="2">O72/K72</f>
        <v>0</v>
      </c>
      <c r="S72" s="265" t="s">
        <v>1693</v>
      </c>
      <c r="T72" s="297" t="s">
        <v>77</v>
      </c>
      <c r="U72" s="366">
        <v>810116842438</v>
      </c>
      <c r="V72" s="366">
        <v>10810116842435</v>
      </c>
      <c r="W72" s="347">
        <v>0.61099999999999999</v>
      </c>
      <c r="X72" s="348">
        <v>18</v>
      </c>
      <c r="Y72" s="348">
        <v>0.41</v>
      </c>
    </row>
    <row r="73" spans="1:25" ht="15" customHeight="1">
      <c r="A73" s="104" t="str">
        <f>IF(O73&gt;0,COUNT($A$7:A72)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3" s="581"/>
      <c r="C73" s="582"/>
      <c r="D73" s="155" t="s">
        <v>2936</v>
      </c>
      <c r="E73" s="106">
        <v>300002375</v>
      </c>
      <c r="F73" s="233" t="s">
        <v>2937</v>
      </c>
      <c r="G73" s="365" t="s">
        <v>2754</v>
      </c>
      <c r="H73" s="365" t="s">
        <v>2918</v>
      </c>
      <c r="I73" s="365" t="s">
        <v>2929</v>
      </c>
      <c r="J73" s="365" t="s">
        <v>2739</v>
      </c>
      <c r="K73" s="234">
        <v>24</v>
      </c>
      <c r="L73" s="234">
        <v>2808</v>
      </c>
      <c r="M73" s="155">
        <f>VLOOKUP(E73,'All Products'!$D:$H,5,0)</f>
        <v>8.24</v>
      </c>
      <c r="N73" s="235">
        <f>ROUNDUP(M73*Order_Quote!$L$17,2)</f>
        <v>41.2</v>
      </c>
      <c r="O73" s="78"/>
      <c r="P73" s="116"/>
      <c r="Q73" s="199">
        <f t="shared" si="2"/>
        <v>0</v>
      </c>
      <c r="S73" s="265" t="s">
        <v>1693</v>
      </c>
      <c r="T73" s="297" t="s">
        <v>77</v>
      </c>
      <c r="U73" s="366">
        <v>810116842445</v>
      </c>
      <c r="V73" s="366">
        <v>10810116842442</v>
      </c>
      <c r="W73" s="347">
        <v>0.33600000000000002</v>
      </c>
      <c r="X73" s="348">
        <v>9</v>
      </c>
      <c r="Y73" s="348">
        <v>0.28999999999999998</v>
      </c>
    </row>
    <row r="74" spans="1:25" ht="15" customHeight="1">
      <c r="A74" s="104" t="str">
        <f>IF(O74&gt;0,COUNT($A$7:A73)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4" s="577"/>
      <c r="C74" s="578"/>
      <c r="D74" s="155" t="s">
        <v>2938</v>
      </c>
      <c r="E74" s="106">
        <v>300002237</v>
      </c>
      <c r="F74" s="233" t="s">
        <v>2939</v>
      </c>
      <c r="G74" s="365" t="s">
        <v>2736</v>
      </c>
      <c r="H74" s="365" t="s">
        <v>2940</v>
      </c>
      <c r="I74" s="365" t="s">
        <v>2941</v>
      </c>
      <c r="J74" s="365" t="s">
        <v>2803</v>
      </c>
      <c r="K74" s="234">
        <v>6</v>
      </c>
      <c r="L74" s="234">
        <v>162</v>
      </c>
      <c r="M74" s="155">
        <f>VLOOKUP(E74,'All Products'!$D:$H,5,0)</f>
        <v>97.9</v>
      </c>
      <c r="N74" s="235">
        <f>ROUNDUP(M74*Order_Quote!$L$17,2)</f>
        <v>489.5</v>
      </c>
      <c r="O74" s="78"/>
      <c r="P74" s="116"/>
      <c r="Q74" s="199">
        <f t="shared" si="2"/>
        <v>0</v>
      </c>
      <c r="S74" s="265" t="s">
        <v>359</v>
      </c>
      <c r="T74" s="297" t="s">
        <v>77</v>
      </c>
      <c r="U74" s="366" t="s">
        <v>2942</v>
      </c>
      <c r="V74" s="366">
        <v>50049081071467</v>
      </c>
      <c r="W74" s="347">
        <v>8.1669999999999998</v>
      </c>
      <c r="X74" s="348">
        <v>49</v>
      </c>
      <c r="Y74" s="348">
        <v>1.21</v>
      </c>
    </row>
    <row r="75" spans="1:25" ht="15" customHeight="1">
      <c r="A75" s="104" t="str">
        <f>IF(O75&gt;0,COUNT($A$7:A74)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5" s="579"/>
      <c r="C75" s="580"/>
      <c r="D75" s="155" t="s">
        <v>2943</v>
      </c>
      <c r="E75" s="106">
        <v>300002323</v>
      </c>
      <c r="F75" s="233" t="s">
        <v>2944</v>
      </c>
      <c r="G75" s="365" t="s">
        <v>2742</v>
      </c>
      <c r="H75" s="365" t="s">
        <v>2940</v>
      </c>
      <c r="I75" s="365" t="s">
        <v>2941</v>
      </c>
      <c r="J75" s="365" t="s">
        <v>2803</v>
      </c>
      <c r="K75" s="234">
        <v>12</v>
      </c>
      <c r="L75" s="234">
        <v>576</v>
      </c>
      <c r="M75" s="155">
        <f>VLOOKUP(E75,'All Products'!$D:$H,5,0)</f>
        <v>28.43</v>
      </c>
      <c r="N75" s="235">
        <f>ROUNDUP(M75*Order_Quote!$L$17,2)</f>
        <v>142.15</v>
      </c>
      <c r="O75" s="78"/>
      <c r="P75" s="116"/>
      <c r="Q75" s="199">
        <f t="shared" si="2"/>
        <v>0</v>
      </c>
      <c r="S75" s="265" t="s">
        <v>1693</v>
      </c>
      <c r="T75" s="297" t="s">
        <v>77</v>
      </c>
      <c r="U75" s="366" t="s">
        <v>2945</v>
      </c>
      <c r="V75" s="366">
        <v>50049081071474</v>
      </c>
      <c r="W75" s="347">
        <v>2.169</v>
      </c>
      <c r="X75" s="348">
        <v>25</v>
      </c>
      <c r="Y75" s="348">
        <v>0.78</v>
      </c>
    </row>
    <row r="76" spans="1:25" ht="15" customHeight="1">
      <c r="A76" s="104" t="str">
        <f>IF(O76&gt;0,COUNT($A$7:A75)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6" s="579"/>
      <c r="C76" s="580"/>
      <c r="D76" s="155" t="s">
        <v>2946</v>
      </c>
      <c r="E76" s="106">
        <v>300002284</v>
      </c>
      <c r="F76" s="233" t="s">
        <v>2947</v>
      </c>
      <c r="G76" s="365" t="s">
        <v>2746</v>
      </c>
      <c r="H76" s="365" t="s">
        <v>2940</v>
      </c>
      <c r="I76" s="365" t="s">
        <v>2941</v>
      </c>
      <c r="J76" s="365" t="s">
        <v>2803</v>
      </c>
      <c r="K76" s="234">
        <v>12</v>
      </c>
      <c r="L76" s="234">
        <v>1008</v>
      </c>
      <c r="M76" s="155">
        <f>VLOOKUP(E76,'All Products'!$D:$H,5,0)</f>
        <v>17.260000000000002</v>
      </c>
      <c r="N76" s="235">
        <f>ROUNDUP(M76*Order_Quote!$L$17,2)</f>
        <v>86.3</v>
      </c>
      <c r="O76" s="78"/>
      <c r="P76" s="116"/>
      <c r="Q76" s="199">
        <f t="shared" si="2"/>
        <v>0</v>
      </c>
      <c r="S76" s="265" t="s">
        <v>359</v>
      </c>
      <c r="T76" s="297" t="s">
        <v>77</v>
      </c>
      <c r="U76" s="366" t="s">
        <v>2948</v>
      </c>
      <c r="V76" s="366">
        <v>50049081071481</v>
      </c>
      <c r="W76" s="347">
        <v>1.083</v>
      </c>
      <c r="X76" s="348">
        <v>13</v>
      </c>
      <c r="Y76" s="348">
        <v>0.42</v>
      </c>
    </row>
    <row r="77" spans="1:25" ht="15" customHeight="1">
      <c r="A77" s="104" t="str">
        <f>IF(O77&gt;0,COUNT($A$7:A76)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7" s="579"/>
      <c r="C77" s="580"/>
      <c r="D77" s="155" t="s">
        <v>2949</v>
      </c>
      <c r="E77" s="106">
        <v>300002260</v>
      </c>
      <c r="F77" s="233" t="s">
        <v>2950</v>
      </c>
      <c r="G77" s="365" t="s">
        <v>2750</v>
      </c>
      <c r="H77" s="365" t="s">
        <v>2940</v>
      </c>
      <c r="I77" s="365" t="s">
        <v>2941</v>
      </c>
      <c r="J77" s="365" t="s">
        <v>2803</v>
      </c>
      <c r="K77" s="234">
        <v>24</v>
      </c>
      <c r="L77" s="234">
        <v>1920</v>
      </c>
      <c r="M77" s="155">
        <f>VLOOKUP(E77,'All Products'!$D:$H,5,0)</f>
        <v>10.37</v>
      </c>
      <c r="N77" s="235">
        <f>ROUNDUP(M77*Order_Quote!$L$17,2)</f>
        <v>51.85</v>
      </c>
      <c r="O77" s="78"/>
      <c r="P77" s="116"/>
      <c r="Q77" s="199">
        <f t="shared" si="2"/>
        <v>0</v>
      </c>
      <c r="S77" s="265" t="s">
        <v>359</v>
      </c>
      <c r="T77" s="297" t="s">
        <v>77</v>
      </c>
      <c r="U77" s="366" t="s">
        <v>2951</v>
      </c>
      <c r="V77" s="366">
        <v>50049081071498</v>
      </c>
      <c r="W77" s="347">
        <v>0.58299999999999996</v>
      </c>
      <c r="X77" s="348">
        <v>14</v>
      </c>
      <c r="Y77" s="348">
        <v>0.41</v>
      </c>
    </row>
    <row r="78" spans="1:25" ht="15" customHeight="1">
      <c r="A78" s="104" t="str">
        <f>IF(O78&gt;0,COUNT($A$7:A77)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8" s="581"/>
      <c r="C78" s="582"/>
      <c r="D78" s="155" t="s">
        <v>2952</v>
      </c>
      <c r="E78" s="106">
        <v>300002304</v>
      </c>
      <c r="F78" s="233" t="s">
        <v>2953</v>
      </c>
      <c r="G78" s="365" t="s">
        <v>2754</v>
      </c>
      <c r="H78" s="365" t="s">
        <v>2940</v>
      </c>
      <c r="I78" s="365" t="s">
        <v>2941</v>
      </c>
      <c r="J78" s="365" t="s">
        <v>2803</v>
      </c>
      <c r="K78" s="234">
        <v>24</v>
      </c>
      <c r="L78" s="234">
        <v>2808</v>
      </c>
      <c r="M78" s="155">
        <f>VLOOKUP(E78,'All Products'!$D:$H,5,0)</f>
        <v>7.69</v>
      </c>
      <c r="N78" s="235">
        <f>ROUNDUP(M78*Order_Quote!$L$17,2)</f>
        <v>38.450000000000003</v>
      </c>
      <c r="O78" s="78"/>
      <c r="P78" s="116"/>
      <c r="Q78" s="199">
        <f t="shared" si="2"/>
        <v>0</v>
      </c>
      <c r="S78" s="265" t="s">
        <v>359</v>
      </c>
      <c r="T78" s="297" t="s">
        <v>77</v>
      </c>
      <c r="U78" s="366" t="s">
        <v>2954</v>
      </c>
      <c r="V78" s="366">
        <v>50049081071504</v>
      </c>
      <c r="W78" s="347">
        <v>0.29199999999999998</v>
      </c>
      <c r="X78" s="348">
        <v>7</v>
      </c>
      <c r="Y78" s="348">
        <v>0.28999999999999998</v>
      </c>
    </row>
    <row r="79" spans="1:25" ht="15" customHeight="1">
      <c r="A79" s="104" t="str">
        <f>IF(O79&gt;0,COUNT($A$7:A78)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79" s="577"/>
      <c r="C79" s="578"/>
      <c r="D79" s="155" t="s">
        <v>2955</v>
      </c>
      <c r="E79" s="367">
        <v>300002236</v>
      </c>
      <c r="F79" s="233" t="s">
        <v>2956</v>
      </c>
      <c r="G79" s="365" t="s">
        <v>2736</v>
      </c>
      <c r="H79" s="365" t="s">
        <v>2940</v>
      </c>
      <c r="I79" s="365" t="s">
        <v>2738</v>
      </c>
      <c r="J79" s="365" t="s">
        <v>2803</v>
      </c>
      <c r="K79" s="234">
        <v>6</v>
      </c>
      <c r="L79" s="234">
        <v>162</v>
      </c>
      <c r="M79" s="155">
        <f>VLOOKUP(E79,'All Products'!$D:$H,5,0)</f>
        <v>88.68</v>
      </c>
      <c r="N79" s="235">
        <f>ROUNDUP(M79*Order_Quote!$L$17,2)</f>
        <v>443.4</v>
      </c>
      <c r="O79" s="78"/>
      <c r="P79" s="116"/>
      <c r="Q79" s="199">
        <f t="shared" si="2"/>
        <v>0</v>
      </c>
      <c r="S79" s="265" t="s">
        <v>359</v>
      </c>
      <c r="T79" s="297" t="s">
        <v>77</v>
      </c>
      <c r="U79" s="369" t="s">
        <v>2957</v>
      </c>
      <c r="V79" s="366" t="s">
        <v>2803</v>
      </c>
      <c r="W79" s="347">
        <v>8.1669999999999998</v>
      </c>
      <c r="X79" s="348">
        <v>49</v>
      </c>
      <c r="Y79" s="348">
        <v>1.21</v>
      </c>
    </row>
    <row r="80" spans="1:25" ht="15" customHeight="1">
      <c r="A80" s="104" t="str">
        <f>IF(O80&gt;0,COUNT($A$7:A79)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0" s="579"/>
      <c r="C80" s="580"/>
      <c r="D80" s="155" t="s">
        <v>2958</v>
      </c>
      <c r="E80" s="367">
        <v>300002322</v>
      </c>
      <c r="F80" s="233" t="s">
        <v>2959</v>
      </c>
      <c r="G80" s="365" t="s">
        <v>2742</v>
      </c>
      <c r="H80" s="365" t="s">
        <v>2940</v>
      </c>
      <c r="I80" s="365" t="s">
        <v>2738</v>
      </c>
      <c r="J80" s="365" t="s">
        <v>2803</v>
      </c>
      <c r="K80" s="234">
        <v>12</v>
      </c>
      <c r="L80" s="234">
        <v>576</v>
      </c>
      <c r="M80" s="155">
        <f>VLOOKUP(E80,'All Products'!$D:$H,5,0)</f>
        <v>42.18</v>
      </c>
      <c r="N80" s="235">
        <f>ROUNDUP(M80*Order_Quote!$L$17,2)</f>
        <v>210.9</v>
      </c>
      <c r="O80" s="78"/>
      <c r="P80" s="116"/>
      <c r="Q80" s="199">
        <f t="shared" si="2"/>
        <v>0</v>
      </c>
      <c r="S80" s="265" t="s">
        <v>1693</v>
      </c>
      <c r="T80" s="297" t="s">
        <v>77</v>
      </c>
      <c r="U80" s="369" t="s">
        <v>2960</v>
      </c>
      <c r="V80" s="366" t="s">
        <v>2803</v>
      </c>
      <c r="W80" s="347">
        <v>2.2309999999999999</v>
      </c>
      <c r="X80" s="348">
        <v>25</v>
      </c>
      <c r="Y80" s="348">
        <v>0.78</v>
      </c>
    </row>
    <row r="81" spans="1:25" ht="15" customHeight="1">
      <c r="A81" s="104" t="str">
        <f>IF(O81&gt;0,COUNT($A$7:A80)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1" s="579"/>
      <c r="C81" s="580"/>
      <c r="D81" s="155" t="s">
        <v>2961</v>
      </c>
      <c r="E81" s="367">
        <v>300002283</v>
      </c>
      <c r="F81" s="233" t="s">
        <v>2962</v>
      </c>
      <c r="G81" s="365" t="s">
        <v>2746</v>
      </c>
      <c r="H81" s="365" t="s">
        <v>2940</v>
      </c>
      <c r="I81" s="365" t="s">
        <v>2738</v>
      </c>
      <c r="J81" s="365" t="s">
        <v>2803</v>
      </c>
      <c r="K81" s="234">
        <v>12</v>
      </c>
      <c r="L81" s="234">
        <v>1008</v>
      </c>
      <c r="M81" s="155">
        <f>VLOOKUP(E81,'All Products'!$D:$H,5,0)</f>
        <v>63.15</v>
      </c>
      <c r="N81" s="235">
        <f>ROUNDUP(M81*Order_Quote!$L$17,2)</f>
        <v>315.75</v>
      </c>
      <c r="O81" s="78"/>
      <c r="P81" s="116"/>
      <c r="Q81" s="199">
        <f t="shared" si="2"/>
        <v>0</v>
      </c>
      <c r="S81" s="265" t="s">
        <v>1693</v>
      </c>
      <c r="T81" s="297" t="s">
        <v>77</v>
      </c>
      <c r="U81" s="369" t="s">
        <v>2963</v>
      </c>
      <c r="V81" s="366" t="s">
        <v>2803</v>
      </c>
      <c r="W81" s="347">
        <v>1.1890000000000001</v>
      </c>
      <c r="X81" s="348">
        <v>13</v>
      </c>
      <c r="Y81" s="348">
        <v>0.42</v>
      </c>
    </row>
    <row r="82" spans="1:25" ht="15" customHeight="1">
      <c r="A82" s="104" t="str">
        <f>IF(O82&gt;0,COUNT($A$7:A81)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2" s="579"/>
      <c r="C82" s="580"/>
      <c r="D82" s="155" t="s">
        <v>2964</v>
      </c>
      <c r="E82" s="367">
        <v>300002259</v>
      </c>
      <c r="F82" s="233" t="s">
        <v>2965</v>
      </c>
      <c r="G82" s="365" t="s">
        <v>2750</v>
      </c>
      <c r="H82" s="365" t="s">
        <v>2940</v>
      </c>
      <c r="I82" s="365" t="s">
        <v>2738</v>
      </c>
      <c r="J82" s="365" t="s">
        <v>2803</v>
      </c>
      <c r="K82" s="234">
        <v>24</v>
      </c>
      <c r="L82" s="234">
        <v>1920</v>
      </c>
      <c r="M82" s="155">
        <f>VLOOKUP(E82,'All Products'!$D:$H,5,0)</f>
        <v>28.43</v>
      </c>
      <c r="N82" s="235">
        <f>ROUNDUP(M82*Order_Quote!$L$17,2)</f>
        <v>142.15</v>
      </c>
      <c r="O82" s="78"/>
      <c r="P82" s="116"/>
      <c r="Q82" s="199">
        <f t="shared" si="2"/>
        <v>0</v>
      </c>
      <c r="S82" s="265" t="s">
        <v>1693</v>
      </c>
      <c r="T82" s="297" t="s">
        <v>77</v>
      </c>
      <c r="U82" s="369" t="s">
        <v>2966</v>
      </c>
      <c r="V82" s="366" t="s">
        <v>2803</v>
      </c>
      <c r="W82" s="347">
        <v>0.59599999999999997</v>
      </c>
      <c r="X82" s="348">
        <v>14</v>
      </c>
      <c r="Y82" s="348">
        <v>0.41</v>
      </c>
    </row>
    <row r="83" spans="1:25" ht="15" customHeight="1">
      <c r="A83" s="104" t="str">
        <f>IF(O83&gt;0,COUNT($A$7:A82)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3" s="581"/>
      <c r="C83" s="582"/>
      <c r="D83" s="155" t="s">
        <v>2967</v>
      </c>
      <c r="E83" s="367">
        <v>300002303</v>
      </c>
      <c r="F83" s="233" t="s">
        <v>2968</v>
      </c>
      <c r="G83" s="365" t="s">
        <v>2754</v>
      </c>
      <c r="H83" s="365" t="s">
        <v>2940</v>
      </c>
      <c r="I83" s="365" t="s">
        <v>2738</v>
      </c>
      <c r="J83" s="365" t="s">
        <v>2803</v>
      </c>
      <c r="K83" s="234">
        <v>24</v>
      </c>
      <c r="L83" s="234">
        <v>2808</v>
      </c>
      <c r="M83" s="155">
        <f>VLOOKUP(E83,'All Products'!$D:$H,5,0)</f>
        <v>9.89</v>
      </c>
      <c r="N83" s="235">
        <f>ROUNDUP(M83*Order_Quote!$L$17,2)</f>
        <v>49.45</v>
      </c>
      <c r="O83" s="78"/>
      <c r="P83" s="116"/>
      <c r="Q83" s="199">
        <f t="shared" si="2"/>
        <v>0</v>
      </c>
      <c r="S83" s="265" t="s">
        <v>1693</v>
      </c>
      <c r="T83" s="297" t="s">
        <v>77</v>
      </c>
      <c r="U83" s="369" t="s">
        <v>2969</v>
      </c>
      <c r="V83" s="366" t="s">
        <v>2803</v>
      </c>
      <c r="W83" s="347">
        <v>0.34699999999999998</v>
      </c>
      <c r="X83" s="348">
        <v>7</v>
      </c>
      <c r="Y83" s="348">
        <v>0.28999999999999998</v>
      </c>
    </row>
    <row r="84" spans="1:25" ht="15" customHeight="1">
      <c r="A84" s="104" t="str">
        <f>IF(O84&gt;0,COUNT($A$7:A83)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4" s="577"/>
      <c r="C84" s="578"/>
      <c r="D84" s="155" t="s">
        <v>2970</v>
      </c>
      <c r="E84" s="106">
        <v>300002238</v>
      </c>
      <c r="F84" s="233" t="s">
        <v>2971</v>
      </c>
      <c r="G84" s="365" t="s">
        <v>2736</v>
      </c>
      <c r="H84" s="365" t="s">
        <v>2972</v>
      </c>
      <c r="I84" s="365" t="s">
        <v>2738</v>
      </c>
      <c r="J84" s="365" t="s">
        <v>2803</v>
      </c>
      <c r="K84" s="234">
        <v>6</v>
      </c>
      <c r="L84" s="234">
        <v>162</v>
      </c>
      <c r="M84" s="155">
        <f>VLOOKUP(E84,'All Products'!$D:$H,5,0)</f>
        <v>60.95</v>
      </c>
      <c r="N84" s="235">
        <f>ROUNDUP(M84*Order_Quote!$L$17,2)</f>
        <v>304.75</v>
      </c>
      <c r="O84" s="78"/>
      <c r="P84" s="116"/>
      <c r="Q84" s="199">
        <f t="shared" si="2"/>
        <v>0</v>
      </c>
      <c r="S84" s="265" t="s">
        <v>359</v>
      </c>
      <c r="T84" s="297" t="s">
        <v>77</v>
      </c>
      <c r="U84" s="366" t="s">
        <v>2973</v>
      </c>
      <c r="V84" s="366">
        <v>50049081071511</v>
      </c>
      <c r="W84" s="347">
        <v>8.1669999999999998</v>
      </c>
      <c r="X84" s="348">
        <v>46</v>
      </c>
      <c r="Y84" s="348">
        <v>1.21</v>
      </c>
    </row>
    <row r="85" spans="1:25" ht="15" customHeight="1">
      <c r="A85" s="104" t="str">
        <f>IF(O85&gt;0,COUNT($A$7:A84)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5" s="579"/>
      <c r="C85" s="580"/>
      <c r="D85" s="155" t="s">
        <v>2974</v>
      </c>
      <c r="E85" s="106">
        <v>300002324</v>
      </c>
      <c r="F85" s="233" t="s">
        <v>2975</v>
      </c>
      <c r="G85" s="365" t="s">
        <v>2742</v>
      </c>
      <c r="H85" s="365" t="s">
        <v>2972</v>
      </c>
      <c r="I85" s="365" t="s">
        <v>2738</v>
      </c>
      <c r="J85" s="365" t="s">
        <v>2803</v>
      </c>
      <c r="K85" s="234">
        <v>12</v>
      </c>
      <c r="L85" s="234">
        <v>576</v>
      </c>
      <c r="M85" s="155">
        <f>VLOOKUP(E85,'All Products'!$D:$H,5,0)</f>
        <v>34.25</v>
      </c>
      <c r="N85" s="235">
        <f>ROUNDUP(M85*Order_Quote!$L$17,2)</f>
        <v>171.25</v>
      </c>
      <c r="O85" s="78"/>
      <c r="P85" s="116"/>
      <c r="Q85" s="199">
        <f t="shared" si="2"/>
        <v>0</v>
      </c>
      <c r="S85" s="265" t="s">
        <v>1693</v>
      </c>
      <c r="T85" s="297" t="s">
        <v>77</v>
      </c>
      <c r="U85" s="366" t="s">
        <v>2976</v>
      </c>
      <c r="V85" s="366">
        <v>50049081071528</v>
      </c>
      <c r="W85" s="347">
        <v>2.0830000000000002</v>
      </c>
      <c r="X85" s="348">
        <v>24</v>
      </c>
      <c r="Y85" s="348">
        <v>0.78</v>
      </c>
    </row>
    <row r="86" spans="1:25" ht="15" customHeight="1">
      <c r="A86" s="104" t="str">
        <f>IF(O86&gt;0,COUNT($A$7:A85)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6" s="579"/>
      <c r="C86" s="580"/>
      <c r="D86" s="155" t="s">
        <v>2977</v>
      </c>
      <c r="E86" s="106">
        <v>300002285</v>
      </c>
      <c r="F86" s="233" t="s">
        <v>2978</v>
      </c>
      <c r="G86" s="365" t="s">
        <v>2746</v>
      </c>
      <c r="H86" s="365" t="s">
        <v>2972</v>
      </c>
      <c r="I86" s="365" t="s">
        <v>2738</v>
      </c>
      <c r="J86" s="365" t="s">
        <v>2803</v>
      </c>
      <c r="K86" s="234">
        <v>12</v>
      </c>
      <c r="L86" s="234">
        <v>1008</v>
      </c>
      <c r="M86" s="155">
        <f>VLOOKUP(E86,'All Products'!$D:$H,5,0)</f>
        <v>13.3</v>
      </c>
      <c r="N86" s="235">
        <f>ROUNDUP(M86*Order_Quote!$L$17,2)</f>
        <v>66.5</v>
      </c>
      <c r="O86" s="78"/>
      <c r="P86" s="116"/>
      <c r="Q86" s="199">
        <f t="shared" si="2"/>
        <v>0</v>
      </c>
      <c r="S86" s="265" t="s">
        <v>1693</v>
      </c>
      <c r="T86" s="297" t="s">
        <v>77</v>
      </c>
      <c r="U86" s="366" t="s">
        <v>2979</v>
      </c>
      <c r="V86" s="366">
        <v>50049081071535</v>
      </c>
      <c r="W86" s="347">
        <v>1.083</v>
      </c>
      <c r="X86" s="348">
        <v>12</v>
      </c>
      <c r="Y86" s="348">
        <v>0.42</v>
      </c>
    </row>
    <row r="87" spans="1:25" ht="15" customHeight="1">
      <c r="A87" s="104" t="str">
        <f>IF(O87&gt;0,COUNT($A$7:A86)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7" s="579"/>
      <c r="C87" s="580"/>
      <c r="D87" s="155" t="s">
        <v>2980</v>
      </c>
      <c r="E87" s="106">
        <v>300002261</v>
      </c>
      <c r="F87" s="233" t="s">
        <v>2981</v>
      </c>
      <c r="G87" s="365" t="s">
        <v>2750</v>
      </c>
      <c r="H87" s="365" t="s">
        <v>2972</v>
      </c>
      <c r="I87" s="365" t="s">
        <v>2738</v>
      </c>
      <c r="J87" s="365" t="s">
        <v>2803</v>
      </c>
      <c r="K87" s="234">
        <v>24</v>
      </c>
      <c r="L87" s="234">
        <v>1920</v>
      </c>
      <c r="M87" s="155">
        <f>VLOOKUP(E87,'All Products'!$D:$H,5,0)</f>
        <v>8.4700000000000006</v>
      </c>
      <c r="N87" s="235">
        <f>ROUNDUP(M87*Order_Quote!$L$17,2)</f>
        <v>42.35</v>
      </c>
      <c r="O87" s="78"/>
      <c r="P87" s="116"/>
      <c r="Q87" s="199">
        <f t="shared" si="2"/>
        <v>0</v>
      </c>
      <c r="S87" s="265" t="s">
        <v>359</v>
      </c>
      <c r="T87" s="297" t="s">
        <v>77</v>
      </c>
      <c r="U87" s="366" t="s">
        <v>2982</v>
      </c>
      <c r="V87" s="366">
        <v>50049081071542</v>
      </c>
      <c r="W87" s="347">
        <v>0.58299999999999996</v>
      </c>
      <c r="X87" s="348">
        <v>13</v>
      </c>
      <c r="Y87" s="348">
        <v>0.41</v>
      </c>
    </row>
    <row r="88" spans="1:25" ht="15" customHeight="1">
      <c r="A88" s="104" t="str">
        <f>IF(O88&gt;0,COUNT($A$7:A87)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8" s="581"/>
      <c r="C88" s="582"/>
      <c r="D88" s="155" t="s">
        <v>2983</v>
      </c>
      <c r="E88" s="106">
        <v>300002305</v>
      </c>
      <c r="F88" s="233" t="s">
        <v>2984</v>
      </c>
      <c r="G88" s="365" t="s">
        <v>2754</v>
      </c>
      <c r="H88" s="365" t="s">
        <v>2972</v>
      </c>
      <c r="I88" s="365" t="s">
        <v>2738</v>
      </c>
      <c r="J88" s="365" t="s">
        <v>2803</v>
      </c>
      <c r="K88" s="234">
        <v>24</v>
      </c>
      <c r="L88" s="234">
        <v>2808</v>
      </c>
      <c r="M88" s="155">
        <f>VLOOKUP(E88,'All Products'!$D:$H,5,0)</f>
        <v>9.5299999999999994</v>
      </c>
      <c r="N88" s="235">
        <f>ROUNDUP(M88*Order_Quote!$L$17,2)</f>
        <v>47.65</v>
      </c>
      <c r="O88" s="78"/>
      <c r="P88" s="116"/>
      <c r="Q88" s="199">
        <f t="shared" si="2"/>
        <v>0</v>
      </c>
      <c r="S88" s="265" t="s">
        <v>1693</v>
      </c>
      <c r="T88" s="297" t="s">
        <v>77</v>
      </c>
      <c r="U88" s="366" t="s">
        <v>2985</v>
      </c>
      <c r="V88" s="366">
        <v>50049081071559</v>
      </c>
      <c r="W88" s="347">
        <v>0.29199999999999998</v>
      </c>
      <c r="X88" s="348">
        <v>7</v>
      </c>
      <c r="Y88" s="348">
        <v>0.28999999999999998</v>
      </c>
    </row>
    <row r="89" spans="1:25" ht="60" customHeight="1">
      <c r="A89" s="104" t="str">
        <f>IF(O89&gt;0,COUNT($A$7:A88)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89" s="630"/>
      <c r="C89" s="630"/>
      <c r="D89" s="155" t="s">
        <v>2986</v>
      </c>
      <c r="E89" s="106">
        <v>300002272</v>
      </c>
      <c r="F89" s="233" t="s">
        <v>2987</v>
      </c>
      <c r="G89" s="441" t="s">
        <v>2988</v>
      </c>
      <c r="H89" s="441" t="s">
        <v>2988</v>
      </c>
      <c r="I89" s="365" t="s">
        <v>2803</v>
      </c>
      <c r="J89" s="365" t="s">
        <v>2803</v>
      </c>
      <c r="K89" s="234">
        <v>24</v>
      </c>
      <c r="L89" s="234" t="s">
        <v>2989</v>
      </c>
      <c r="M89" s="155">
        <f>VLOOKUP(E89,'All Products'!$D:$H,5,0)</f>
        <v>29.84</v>
      </c>
      <c r="N89" s="235">
        <f>ROUNDUP(M89*Order_Quote!$L$17,2)</f>
        <v>149.19999999999999</v>
      </c>
      <c r="O89" s="78"/>
      <c r="P89" s="116"/>
      <c r="Q89" s="199">
        <f t="shared" si="2"/>
        <v>0</v>
      </c>
      <c r="S89" s="265" t="s">
        <v>359</v>
      </c>
      <c r="T89" s="297" t="s">
        <v>77</v>
      </c>
      <c r="U89" s="366" t="s">
        <v>2990</v>
      </c>
      <c r="V89" s="366">
        <v>50049081072181</v>
      </c>
      <c r="W89" s="347">
        <v>0.83299999999999996</v>
      </c>
      <c r="X89" s="348">
        <v>20</v>
      </c>
      <c r="Y89" s="348">
        <v>0.38600000000000001</v>
      </c>
    </row>
    <row r="90" spans="1:25" ht="60" customHeight="1" thickBot="1">
      <c r="A90" s="104" t="str">
        <f>IF(O90&gt;0,COUNT($A$7:A89)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0" s="630"/>
      <c r="C90" s="630"/>
      <c r="D90" s="155" t="s">
        <v>2991</v>
      </c>
      <c r="E90" s="106">
        <v>300002336</v>
      </c>
      <c r="F90" s="233" t="s">
        <v>2992</v>
      </c>
      <c r="G90" s="365" t="s">
        <v>2993</v>
      </c>
      <c r="H90" s="365" t="s">
        <v>2993</v>
      </c>
      <c r="I90" s="365" t="s">
        <v>2803</v>
      </c>
      <c r="J90" s="365" t="s">
        <v>2803</v>
      </c>
      <c r="K90" s="234">
        <v>12</v>
      </c>
      <c r="L90" s="234" t="s">
        <v>2989</v>
      </c>
      <c r="M90" s="155">
        <f>VLOOKUP(E90,'All Products'!$D:$H,5,0)</f>
        <v>17.88</v>
      </c>
      <c r="N90" s="235">
        <f>ROUNDUP(M90*Order_Quote!$L$17,2)</f>
        <v>89.4</v>
      </c>
      <c r="O90" s="368"/>
      <c r="P90" s="116"/>
      <c r="Q90" s="199">
        <f t="shared" si="2"/>
        <v>0</v>
      </c>
      <c r="S90" s="265" t="s">
        <v>1693</v>
      </c>
      <c r="T90" s="297" t="s">
        <v>77</v>
      </c>
      <c r="U90" s="366" t="s">
        <v>2994</v>
      </c>
      <c r="V90" s="366">
        <v>50049081072167</v>
      </c>
      <c r="W90" s="347">
        <v>0.25</v>
      </c>
      <c r="X90" s="348">
        <v>3</v>
      </c>
      <c r="Y90" s="348">
        <v>0.67</v>
      </c>
    </row>
    <row r="91" spans="1:25" ht="15" customHeight="1">
      <c r="A91" s="104" t="str">
        <f>IF(O91&gt;0,COUNT($A$7:A90)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1" s="635"/>
      <c r="C91" s="636"/>
      <c r="D91" s="155" t="s">
        <v>2995</v>
      </c>
      <c r="E91" s="106">
        <v>300002219</v>
      </c>
      <c r="F91" s="233" t="s">
        <v>2996</v>
      </c>
      <c r="G91" s="365" t="s">
        <v>2803</v>
      </c>
      <c r="H91" s="365" t="s">
        <v>2997</v>
      </c>
      <c r="I91" s="365" t="s">
        <v>2803</v>
      </c>
      <c r="J91" s="365" t="s">
        <v>2803</v>
      </c>
      <c r="K91" s="234">
        <v>50</v>
      </c>
      <c r="L91" s="234" t="s">
        <v>2989</v>
      </c>
      <c r="M91" s="155">
        <f>VLOOKUP(E91,'All Products'!$D:$H,5,0)</f>
        <v>1.85</v>
      </c>
      <c r="N91" s="235">
        <f>ROUNDUP(M91*Order_Quote!$L$17,2)</f>
        <v>9.25</v>
      </c>
      <c r="O91" s="78"/>
      <c r="P91" s="116"/>
      <c r="Q91" s="199">
        <f t="shared" si="2"/>
        <v>0</v>
      </c>
      <c r="S91" s="265" t="s">
        <v>359</v>
      </c>
      <c r="T91" s="297" t="s">
        <v>77</v>
      </c>
      <c r="U91" s="366" t="s">
        <v>2998</v>
      </c>
      <c r="V91" s="366">
        <v>50049081070118</v>
      </c>
      <c r="W91" s="347">
        <v>0.03</v>
      </c>
      <c r="X91" s="348">
        <v>1.5</v>
      </c>
      <c r="Y91" s="348">
        <v>0.2</v>
      </c>
    </row>
    <row r="92" spans="1:25" ht="15" customHeight="1">
      <c r="A92" s="104" t="str">
        <f>IF(O92&gt;0,COUNT($A$7:A91)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2" s="635"/>
      <c r="C92" s="636"/>
      <c r="D92" s="155" t="s">
        <v>2999</v>
      </c>
      <c r="E92" s="106">
        <v>300002220</v>
      </c>
      <c r="F92" s="233" t="s">
        <v>3000</v>
      </c>
      <c r="G92" s="365" t="s">
        <v>2803</v>
      </c>
      <c r="H92" s="365" t="s">
        <v>2997</v>
      </c>
      <c r="I92" s="365" t="s">
        <v>2803</v>
      </c>
      <c r="J92" s="365" t="s">
        <v>2803</v>
      </c>
      <c r="K92" s="234">
        <v>50</v>
      </c>
      <c r="L92" s="234" t="s">
        <v>2989</v>
      </c>
      <c r="M92" s="155">
        <f>VLOOKUP(E92,'All Products'!$D:$H,5,0)</f>
        <v>2.04</v>
      </c>
      <c r="N92" s="235">
        <f>ROUNDUP(M92*Order_Quote!$L$17,2)</f>
        <v>10.199999999999999</v>
      </c>
      <c r="O92" s="78"/>
      <c r="P92" s="116"/>
      <c r="Q92" s="199">
        <f t="shared" si="2"/>
        <v>0</v>
      </c>
      <c r="S92" s="265" t="s">
        <v>359</v>
      </c>
      <c r="T92" s="297" t="s">
        <v>77</v>
      </c>
      <c r="U92" s="366" t="s">
        <v>3001</v>
      </c>
      <c r="V92" s="366">
        <v>50049081070125</v>
      </c>
      <c r="W92" s="347">
        <v>0.03</v>
      </c>
      <c r="X92" s="348">
        <v>1.5</v>
      </c>
      <c r="Y92" s="348">
        <v>0.2</v>
      </c>
    </row>
    <row r="93" spans="1:25" ht="15" customHeight="1">
      <c r="A93" s="104" t="str">
        <f>IF(O93&gt;0,COUNT($A$7:A92)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3" s="635"/>
      <c r="C93" s="636"/>
      <c r="D93" s="155" t="s">
        <v>3002</v>
      </c>
      <c r="E93" s="106">
        <v>300002221</v>
      </c>
      <c r="F93" s="233" t="s">
        <v>3003</v>
      </c>
      <c r="G93" s="365" t="s">
        <v>2803</v>
      </c>
      <c r="H93" s="365" t="s">
        <v>2997</v>
      </c>
      <c r="I93" s="365" t="s">
        <v>2803</v>
      </c>
      <c r="J93" s="365" t="s">
        <v>2803</v>
      </c>
      <c r="K93" s="234">
        <v>50</v>
      </c>
      <c r="L93" s="234" t="s">
        <v>2989</v>
      </c>
      <c r="M93" s="155">
        <f>VLOOKUP(E93,'All Products'!$D:$H,5,0)</f>
        <v>1.85</v>
      </c>
      <c r="N93" s="235">
        <f>ROUNDUP(M93*Order_Quote!$L$17,2)</f>
        <v>9.25</v>
      </c>
      <c r="O93" s="78"/>
      <c r="P93" s="116"/>
      <c r="Q93" s="199">
        <f t="shared" si="2"/>
        <v>0</v>
      </c>
      <c r="S93" s="265" t="s">
        <v>1693</v>
      </c>
      <c r="T93" s="297" t="s">
        <v>77</v>
      </c>
      <c r="U93" s="366" t="s">
        <v>3004</v>
      </c>
      <c r="V93" s="366">
        <v>50049081070132</v>
      </c>
      <c r="W93" s="347">
        <v>0.03</v>
      </c>
      <c r="X93" s="348">
        <v>1.5</v>
      </c>
      <c r="Y93" s="348">
        <v>0.2</v>
      </c>
    </row>
    <row r="94" spans="1:25" ht="15" customHeight="1">
      <c r="A94" s="104" t="str">
        <f>IF(O94&gt;0,COUNT($A$7:A93)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4" s="633"/>
      <c r="C94" s="634"/>
      <c r="D94" s="155" t="s">
        <v>3005</v>
      </c>
      <c r="E94" s="106">
        <v>300002222</v>
      </c>
      <c r="F94" s="233" t="s">
        <v>3006</v>
      </c>
      <c r="G94" s="365" t="s">
        <v>2803</v>
      </c>
      <c r="H94" s="365" t="s">
        <v>2997</v>
      </c>
      <c r="I94" s="365" t="s">
        <v>2803</v>
      </c>
      <c r="J94" s="365" t="s">
        <v>2803</v>
      </c>
      <c r="K94" s="234">
        <v>50</v>
      </c>
      <c r="L94" s="234" t="s">
        <v>2989</v>
      </c>
      <c r="M94" s="155">
        <f>VLOOKUP(E94,'All Products'!$D:$H,5,0)</f>
        <v>2.04</v>
      </c>
      <c r="N94" s="235">
        <f>ROUNDUP(M94*Order_Quote!$L$17,2)</f>
        <v>10.199999999999999</v>
      </c>
      <c r="O94" s="78"/>
      <c r="P94" s="116"/>
      <c r="Q94" s="199">
        <f t="shared" si="2"/>
        <v>0</v>
      </c>
      <c r="S94" s="265" t="s">
        <v>359</v>
      </c>
      <c r="T94" s="297" t="s">
        <v>77</v>
      </c>
      <c r="U94" s="366" t="s">
        <v>3007</v>
      </c>
      <c r="V94" s="366">
        <v>50049081070149</v>
      </c>
      <c r="W94" s="347">
        <v>3.4000000000000002E-2</v>
      </c>
      <c r="X94" s="348">
        <v>1.7</v>
      </c>
      <c r="Y94" s="348">
        <v>0.2</v>
      </c>
    </row>
    <row r="95" spans="1:25" ht="39.950000000000003" customHeight="1">
      <c r="A95" s="104" t="str">
        <f>IF(O95&gt;0,COUNT($A$7:A94)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5" s="363"/>
      <c r="C95" s="364"/>
      <c r="D95" s="155" t="s">
        <v>3008</v>
      </c>
      <c r="E95" s="106">
        <v>300002224</v>
      </c>
      <c r="F95" s="233" t="s">
        <v>3009</v>
      </c>
      <c r="G95" s="365" t="s">
        <v>2803</v>
      </c>
      <c r="H95" s="365" t="s">
        <v>3010</v>
      </c>
      <c r="I95" s="365" t="s">
        <v>2803</v>
      </c>
      <c r="J95" s="365" t="s">
        <v>2803</v>
      </c>
      <c r="K95" s="234">
        <v>20</v>
      </c>
      <c r="L95" s="234" t="s">
        <v>2989</v>
      </c>
      <c r="M95" s="155">
        <f>VLOOKUP(E95,'All Products'!$D:$H,5,0)</f>
        <v>24.96</v>
      </c>
      <c r="N95" s="235">
        <f>ROUNDUP(M95*Order_Quote!$L$17,2)</f>
        <v>124.8</v>
      </c>
      <c r="O95" s="78"/>
      <c r="P95" s="116"/>
      <c r="Q95" s="199">
        <f t="shared" si="2"/>
        <v>0</v>
      </c>
      <c r="S95" s="265" t="s">
        <v>1693</v>
      </c>
      <c r="T95" s="297" t="s">
        <v>77</v>
      </c>
      <c r="U95" s="366" t="s">
        <v>3011</v>
      </c>
      <c r="V95" s="366">
        <v>50049081070187</v>
      </c>
      <c r="W95" s="347">
        <v>0.35</v>
      </c>
      <c r="X95" s="348">
        <v>7</v>
      </c>
      <c r="Y95" s="348">
        <v>0.93</v>
      </c>
    </row>
    <row r="96" spans="1:25" ht="24.95" customHeight="1">
      <c r="A96" s="104" t="str">
        <f>IF(O96&gt;0,COUNT($A$7:A95)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6" s="631"/>
      <c r="C96" s="632"/>
      <c r="D96" s="155" t="s">
        <v>3012</v>
      </c>
      <c r="E96" s="106">
        <v>300002225</v>
      </c>
      <c r="F96" s="233" t="s">
        <v>3013</v>
      </c>
      <c r="G96" s="365" t="s">
        <v>2803</v>
      </c>
      <c r="H96" s="365" t="s">
        <v>3014</v>
      </c>
      <c r="I96" s="365" t="s">
        <v>2803</v>
      </c>
      <c r="J96" s="365" t="s">
        <v>2803</v>
      </c>
      <c r="K96" s="234">
        <v>24</v>
      </c>
      <c r="L96" s="234" t="s">
        <v>2989</v>
      </c>
      <c r="M96" s="155">
        <f>VLOOKUP(E96,'All Products'!$D:$H,5,0)</f>
        <v>22.48</v>
      </c>
      <c r="N96" s="235">
        <f>ROUNDUP(M96*Order_Quote!$L$17,2)</f>
        <v>112.4</v>
      </c>
      <c r="O96" s="78"/>
      <c r="P96" s="116"/>
      <c r="Q96" s="199">
        <f t="shared" si="2"/>
        <v>0</v>
      </c>
      <c r="S96" s="265" t="s">
        <v>359</v>
      </c>
      <c r="T96" s="297" t="s">
        <v>77</v>
      </c>
      <c r="U96" s="366" t="s">
        <v>3015</v>
      </c>
      <c r="V96" s="366">
        <v>50049081070156</v>
      </c>
      <c r="W96" s="347">
        <v>0.16700000000000001</v>
      </c>
      <c r="X96" s="348">
        <v>4</v>
      </c>
      <c r="Y96" s="348">
        <v>0.93</v>
      </c>
    </row>
    <row r="97" spans="1:25" ht="24.95" customHeight="1">
      <c r="A97" s="104" t="str">
        <f>IF(O97&gt;0,COUNT($A$7:A96)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7" s="633"/>
      <c r="C97" s="634"/>
      <c r="D97" s="155" t="s">
        <v>3016</v>
      </c>
      <c r="E97" s="106">
        <v>300002226</v>
      </c>
      <c r="F97" s="233" t="s">
        <v>3017</v>
      </c>
      <c r="G97" s="365" t="s">
        <v>2803</v>
      </c>
      <c r="H97" s="365" t="s">
        <v>3014</v>
      </c>
      <c r="I97" s="365" t="s">
        <v>2803</v>
      </c>
      <c r="J97" s="365" t="s">
        <v>2803</v>
      </c>
      <c r="K97" s="234">
        <v>24</v>
      </c>
      <c r="L97" s="234" t="s">
        <v>2989</v>
      </c>
      <c r="M97" s="155">
        <f>VLOOKUP(E97,'All Products'!$D:$H,5,0)</f>
        <v>28.06</v>
      </c>
      <c r="N97" s="235">
        <f>ROUNDUP(M97*Order_Quote!$L$17,2)</f>
        <v>140.30000000000001</v>
      </c>
      <c r="O97" s="78"/>
      <c r="P97" s="116"/>
      <c r="Q97" s="199">
        <f t="shared" si="2"/>
        <v>0</v>
      </c>
      <c r="S97" s="265" t="s">
        <v>359</v>
      </c>
      <c r="T97" s="297" t="s">
        <v>77</v>
      </c>
      <c r="U97" s="366" t="s">
        <v>3018</v>
      </c>
      <c r="V97" s="366">
        <v>50049081070163</v>
      </c>
      <c r="W97" s="347">
        <v>0.20799999999999999</v>
      </c>
      <c r="X97" s="348">
        <v>5</v>
      </c>
      <c r="Y97" s="348">
        <v>0.93</v>
      </c>
    </row>
    <row r="98" spans="1:25" ht="24.95" customHeight="1">
      <c r="A98" s="104" t="str">
        <f>IF(O98&gt;0,COUNT($A$7:A97)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8" s="631"/>
      <c r="C98" s="632"/>
      <c r="D98" s="155" t="s">
        <v>3019</v>
      </c>
      <c r="E98" s="106">
        <v>300002227</v>
      </c>
      <c r="F98" s="233" t="s">
        <v>3020</v>
      </c>
      <c r="G98" s="365" t="s">
        <v>2803</v>
      </c>
      <c r="H98" s="441" t="s">
        <v>3021</v>
      </c>
      <c r="I98" s="365" t="s">
        <v>2803</v>
      </c>
      <c r="J98" s="365" t="s">
        <v>2803</v>
      </c>
      <c r="K98" s="234">
        <v>50</v>
      </c>
      <c r="L98" s="234" t="s">
        <v>2989</v>
      </c>
      <c r="M98" s="155">
        <f>VLOOKUP(E98,'All Products'!$D:$H,5,0)</f>
        <v>7.06</v>
      </c>
      <c r="N98" s="235">
        <f>ROUNDUP(M98*Order_Quote!$L$17,2)</f>
        <v>35.299999999999997</v>
      </c>
      <c r="O98" s="78"/>
      <c r="P98" s="116"/>
      <c r="Q98" s="199">
        <f t="shared" si="2"/>
        <v>0</v>
      </c>
      <c r="S98" s="265" t="s">
        <v>1693</v>
      </c>
      <c r="T98" s="297" t="s">
        <v>77</v>
      </c>
      <c r="U98" s="366" t="s">
        <v>3022</v>
      </c>
      <c r="V98" s="366">
        <v>50049081070194</v>
      </c>
      <c r="W98" s="347">
        <v>0.04</v>
      </c>
      <c r="X98" s="348">
        <v>2</v>
      </c>
      <c r="Y98" s="348">
        <v>0.2</v>
      </c>
    </row>
    <row r="99" spans="1:25" ht="24.95" customHeight="1">
      <c r="A99" s="104" t="str">
        <f>IF(O99&gt;0,COUNT($A$7:A98)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+COUNT(SDR26G!$A$8:$A$60)+1,"")</f>
        <v/>
      </c>
      <c r="B99" s="633"/>
      <c r="C99" s="634"/>
      <c r="D99" s="155" t="s">
        <v>3023</v>
      </c>
      <c r="E99" s="106">
        <v>300002228</v>
      </c>
      <c r="F99" s="233" t="s">
        <v>3024</v>
      </c>
      <c r="G99" s="365" t="s">
        <v>2803</v>
      </c>
      <c r="H99" s="441" t="s">
        <v>3021</v>
      </c>
      <c r="I99" s="365" t="s">
        <v>2803</v>
      </c>
      <c r="J99" s="365" t="s">
        <v>2803</v>
      </c>
      <c r="K99" s="234">
        <v>50</v>
      </c>
      <c r="L99" s="234" t="s">
        <v>2989</v>
      </c>
      <c r="M99" s="155">
        <f>VLOOKUP(E99,'All Products'!$D:$H,5,0)</f>
        <v>7.06</v>
      </c>
      <c r="N99" s="235">
        <f>ROUNDUP(M99*Order_Quote!$L$17,2)</f>
        <v>35.299999999999997</v>
      </c>
      <c r="O99" s="78"/>
      <c r="P99" s="116"/>
      <c r="Q99" s="199">
        <f t="shared" si="2"/>
        <v>0</v>
      </c>
      <c r="S99" s="265" t="s">
        <v>359</v>
      </c>
      <c r="T99" s="297" t="s">
        <v>77</v>
      </c>
      <c r="U99" s="366" t="s">
        <v>3025</v>
      </c>
      <c r="V99" s="366">
        <v>50049081070200</v>
      </c>
      <c r="W99" s="347">
        <v>0.04</v>
      </c>
      <c r="X99" s="348">
        <v>2</v>
      </c>
      <c r="Y99" s="348">
        <v>0.2</v>
      </c>
    </row>
    <row r="100" spans="1:25" ht="15" customHeight="1">
      <c r="A100" s="104">
        <f>MAX(A8:A99)+1</f>
        <v>1</v>
      </c>
    </row>
  </sheetData>
  <sheetProtection algorithmName="SHA-512" hashValue="qhQqdEeO+tVLbhnVQF+vJQB44A8jAt2duYoP6pl5ZEr3zPXdDdIYTsdNqSLrjfvKKNcEY7FHQBRkNi2oUOX1Vw==" saltValue="KKE2fNZUif1lVvfRGVvNrA==" spinCount="100000" sheet="1" formatCells="0" formatColumns="0" formatRows="0" insertColumns="0" insertRows="0" insertHyperlinks="0" deleteColumns="0" deleteRows="0" sort="0" autoFilter="0" pivotTables="0"/>
  <mergeCells count="24">
    <mergeCell ref="N2:O3"/>
    <mergeCell ref="B8:C12"/>
    <mergeCell ref="B13:C17"/>
    <mergeCell ref="B18:C22"/>
    <mergeCell ref="B23:C27"/>
    <mergeCell ref="U6:V6"/>
    <mergeCell ref="B52:C55"/>
    <mergeCell ref="B79:C83"/>
    <mergeCell ref="B90:C90"/>
    <mergeCell ref="B91:C94"/>
    <mergeCell ref="B47:C51"/>
    <mergeCell ref="B32:C36"/>
    <mergeCell ref="B42:C46"/>
    <mergeCell ref="B28:C31"/>
    <mergeCell ref="B37:C41"/>
    <mergeCell ref="B64:C68"/>
    <mergeCell ref="B69:C73"/>
    <mergeCell ref="B96:C97"/>
    <mergeCell ref="B98:C99"/>
    <mergeCell ref="B89:C89"/>
    <mergeCell ref="B56:C59"/>
    <mergeCell ref="B60:C63"/>
    <mergeCell ref="B74:C78"/>
    <mergeCell ref="B84:C88"/>
  </mergeCells>
  <dataValidations xWindow="1215" yWindow="270" count="4"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9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P1:P6 O1 O100:P100" xr:uid="{00000000-0002-0000-09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O7:P7 O6" xr:uid="{00000000-0002-0000-0900-000003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O8:P99" xr:uid="{00000000-0002-0000-0900-000000000000}">
      <formula1>1</formula1>
    </dataValidation>
  </dataValidations>
  <printOptions horizontalCentered="1"/>
  <pageMargins left="0.7" right="0.7" top="0.75" bottom="0.75" header="0.3" footer="0.3"/>
  <pageSetup scale="54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51" max="12" man="1"/>
    <brk id="99" max="12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A5F6A-4F71-4B38-9E5A-E0172B44C228}">
  <sheetPr>
    <tabColor theme="0"/>
    <pageSetUpPr fitToPage="1"/>
  </sheetPr>
  <dimension ref="A1:W143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/>
  <cols>
    <col min="1" max="1" width="4.28515625" style="104" customWidth="1"/>
    <col min="2" max="3" width="8.7109375" style="17" customWidth="1"/>
    <col min="4" max="5" width="12.7109375" style="20" customWidth="1"/>
    <col min="6" max="6" width="44.28515625" style="217" customWidth="1"/>
    <col min="7" max="7" width="8.85546875" style="20" customWidth="1"/>
    <col min="8" max="8" width="8.28515625" style="20" customWidth="1"/>
    <col min="9" max="9" width="23.140625" style="240" bestFit="1" customWidth="1"/>
    <col min="10" max="10" width="7.7109375" style="20" customWidth="1"/>
    <col min="11" max="11" width="7.7109375" style="25" customWidth="1"/>
    <col min="12" max="12" width="10.42578125" style="237" customWidth="1"/>
    <col min="13" max="13" width="10.42578125" style="20" customWidth="1"/>
    <col min="14" max="14" width="1.42578125" style="20" customWidth="1"/>
    <col min="15" max="15" width="10.7109375" style="25" customWidth="1"/>
    <col min="16" max="16" width="2.7109375" style="17" customWidth="1"/>
    <col min="17" max="17" width="14.42578125" style="240" bestFit="1" customWidth="1"/>
    <col min="18" max="18" width="12.28515625" style="240" customWidth="1"/>
    <col min="19" max="21" width="14.42578125" style="240" bestFit="1" customWidth="1"/>
    <col min="22" max="23" width="10.7109375" style="25" customWidth="1"/>
    <col min="24" max="16384" width="9.140625" style="17"/>
  </cols>
  <sheetData>
    <row r="1" spans="1:23" ht="18.75">
      <c r="F1" s="173" t="s">
        <v>3026</v>
      </c>
      <c r="H1" s="236"/>
      <c r="I1" s="236"/>
      <c r="J1" s="236"/>
      <c r="Q1" s="236"/>
      <c r="R1" s="236"/>
      <c r="S1" s="236"/>
      <c r="T1" s="236"/>
      <c r="U1" s="236"/>
    </row>
    <row r="2" spans="1:23" ht="15.75">
      <c r="D2" s="238"/>
      <c r="E2" s="239"/>
      <c r="L2" s="628" t="s">
        <v>59</v>
      </c>
      <c r="M2" s="628"/>
    </row>
    <row r="3" spans="1:23">
      <c r="F3" s="436" t="s">
        <v>3027</v>
      </c>
      <c r="G3" s="4"/>
      <c r="H3" s="4"/>
      <c r="J3" s="240"/>
      <c r="L3" s="628"/>
      <c r="M3" s="628"/>
    </row>
    <row r="4" spans="1:23">
      <c r="E4" s="163" t="s">
        <v>3028</v>
      </c>
      <c r="F4" s="440" t="s">
        <v>3028</v>
      </c>
      <c r="G4" s="4"/>
      <c r="H4" s="4"/>
      <c r="J4" s="240"/>
      <c r="M4" s="17"/>
    </row>
    <row r="5" spans="1:23">
      <c r="F5" s="438" t="s">
        <v>329</v>
      </c>
      <c r="G5" s="4"/>
      <c r="H5" s="4"/>
      <c r="J5" s="240"/>
      <c r="M5" s="17"/>
    </row>
    <row r="6" spans="1:23">
      <c r="L6" s="215"/>
      <c r="M6" s="17"/>
      <c r="S6" s="629" t="s">
        <v>64</v>
      </c>
      <c r="T6" s="629"/>
      <c r="U6" s="629"/>
    </row>
    <row r="7" spans="1:23" ht="45">
      <c r="B7" s="149"/>
      <c r="C7" s="149"/>
      <c r="D7" s="149" t="s">
        <v>3029</v>
      </c>
      <c r="E7" s="149" t="s">
        <v>49</v>
      </c>
      <c r="F7" s="149" t="s">
        <v>2541</v>
      </c>
      <c r="G7" s="149" t="s">
        <v>3030</v>
      </c>
      <c r="H7" s="149" t="s">
        <v>3031</v>
      </c>
      <c r="I7" s="241" t="s">
        <v>2731</v>
      </c>
      <c r="J7" s="149" t="s">
        <v>66</v>
      </c>
      <c r="K7" s="176" t="s">
        <v>51</v>
      </c>
      <c r="L7" s="176" t="s">
        <v>55</v>
      </c>
      <c r="M7" s="177" t="s">
        <v>52</v>
      </c>
      <c r="N7" s="178"/>
      <c r="O7" s="176" t="s">
        <v>3032</v>
      </c>
      <c r="Q7" s="241" t="s">
        <v>68</v>
      </c>
      <c r="R7" s="241" t="s">
        <v>69</v>
      </c>
      <c r="S7" s="241" t="s">
        <v>70</v>
      </c>
      <c r="T7" s="241" t="s">
        <v>71</v>
      </c>
      <c r="U7" s="241" t="s">
        <v>72</v>
      </c>
      <c r="V7" s="176" t="s">
        <v>73</v>
      </c>
      <c r="W7" s="176" t="s">
        <v>3033</v>
      </c>
    </row>
    <row r="8" spans="1:23" ht="19.5" thickBot="1">
      <c r="B8" s="242" t="s">
        <v>3034</v>
      </c>
      <c r="C8" s="44"/>
      <c r="D8" s="44"/>
      <c r="E8" s="44"/>
      <c r="F8" s="44"/>
      <c r="G8" s="44"/>
      <c r="H8" s="44"/>
      <c r="I8" s="244"/>
      <c r="J8" s="44"/>
      <c r="K8" s="245"/>
      <c r="L8" s="245"/>
      <c r="M8" s="246"/>
      <c r="N8" s="243"/>
      <c r="O8" s="245"/>
      <c r="Q8" s="244"/>
      <c r="R8" s="244"/>
      <c r="S8" s="244"/>
      <c r="T8" s="244"/>
      <c r="U8" s="244"/>
      <c r="V8" s="245"/>
      <c r="W8" s="245"/>
    </row>
    <row r="9" spans="1:23" ht="16.5" thickBot="1">
      <c r="B9" s="166" t="s">
        <v>3035</v>
      </c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67"/>
      <c r="O9" s="493"/>
      <c r="Q9" s="166"/>
      <c r="R9" s="167"/>
      <c r="S9" s="167"/>
      <c r="T9" s="167"/>
      <c r="U9" s="167"/>
      <c r="V9" s="167"/>
      <c r="W9" s="493"/>
    </row>
    <row r="10" spans="1:23">
      <c r="A10" s="104" t="str">
        <f>IF(M10&gt;0,COUNT($A$9:A9)+COUNT('DWV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" s="637"/>
      <c r="C10" s="638"/>
      <c r="D10" s="182">
        <v>60</v>
      </c>
      <c r="E10" s="150">
        <v>100025676</v>
      </c>
      <c r="F10" s="183" t="s">
        <v>3036</v>
      </c>
      <c r="G10" s="150" t="s">
        <v>2929</v>
      </c>
      <c r="H10" s="150" t="s">
        <v>3037</v>
      </c>
      <c r="I10" s="247" t="s">
        <v>3038</v>
      </c>
      <c r="J10" s="150">
        <v>570</v>
      </c>
      <c r="K10" s="248">
        <f>VLOOKUP(E10,'All Products'!$D:$H,5,0)</f>
        <v>21.05</v>
      </c>
      <c r="L10" s="213">
        <f>ROUND(K10*Order_Quote!$L$18,2)</f>
        <v>105.25</v>
      </c>
      <c r="M10" s="207"/>
      <c r="N10" s="487"/>
      <c r="O10" s="495">
        <f t="shared" ref="O10:O19" si="0">M10/J10</f>
        <v>0</v>
      </c>
      <c r="Q10" s="494" t="s">
        <v>76</v>
      </c>
      <c r="R10" s="247" t="s">
        <v>102</v>
      </c>
      <c r="S10" s="324" t="s">
        <v>3039</v>
      </c>
      <c r="T10" s="324">
        <v>0</v>
      </c>
      <c r="U10" s="324">
        <v>0</v>
      </c>
      <c r="V10" s="356">
        <v>1.07</v>
      </c>
      <c r="W10" s="495">
        <v>0.46</v>
      </c>
    </row>
    <row r="11" spans="1:23">
      <c r="A11" s="104" t="str">
        <f>IF(M11&gt;0,COUNT($A$9:A10)+COUNT('DWV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" s="639"/>
      <c r="C11" s="580"/>
      <c r="D11" s="158">
        <v>61</v>
      </c>
      <c r="E11" s="106">
        <v>100028499</v>
      </c>
      <c r="F11" s="159" t="s">
        <v>3040</v>
      </c>
      <c r="G11" s="106" t="s">
        <v>3037</v>
      </c>
      <c r="H11" s="106" t="s">
        <v>3037</v>
      </c>
      <c r="I11" s="249" t="s">
        <v>3038</v>
      </c>
      <c r="J11" s="106">
        <v>570</v>
      </c>
      <c r="K11" s="153">
        <f>VLOOKUP(E11,'All Products'!$D:$H,5,0)</f>
        <v>21.05</v>
      </c>
      <c r="L11" s="205">
        <f>ROUND(K11*Order_Quote!$L$18,2)</f>
        <v>105.25</v>
      </c>
      <c r="M11" s="78"/>
      <c r="N11" s="116"/>
      <c r="O11" s="497">
        <f t="shared" si="0"/>
        <v>0</v>
      </c>
      <c r="Q11" s="496" t="s">
        <v>76</v>
      </c>
      <c r="R11" s="249" t="s">
        <v>102</v>
      </c>
      <c r="S11" s="325" t="s">
        <v>3041</v>
      </c>
      <c r="T11" s="325">
        <v>0</v>
      </c>
      <c r="U11" s="330">
        <v>0</v>
      </c>
      <c r="V11" s="357">
        <v>1.07</v>
      </c>
      <c r="W11" s="497">
        <v>0.46</v>
      </c>
    </row>
    <row r="12" spans="1:23">
      <c r="A12" s="104" t="str">
        <f>IF(M12&gt;0,COUNT($A$9:A11)+COUNT('DWV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" s="639"/>
      <c r="C12" s="580"/>
      <c r="D12" s="158">
        <v>62</v>
      </c>
      <c r="E12" s="106">
        <v>100028500</v>
      </c>
      <c r="F12" s="159" t="s">
        <v>3042</v>
      </c>
      <c r="G12" s="106" t="s">
        <v>3043</v>
      </c>
      <c r="H12" s="106" t="s">
        <v>3043</v>
      </c>
      <c r="I12" s="249" t="s">
        <v>3038</v>
      </c>
      <c r="J12" s="106">
        <v>570</v>
      </c>
      <c r="K12" s="153">
        <f>VLOOKUP(E12,'All Products'!$D:$H,5,0)</f>
        <v>21.05</v>
      </c>
      <c r="L12" s="205">
        <f>ROUND(K12*Order_Quote!$L$18,2)</f>
        <v>105.25</v>
      </c>
      <c r="M12" s="78"/>
      <c r="N12" s="116"/>
      <c r="O12" s="497">
        <f t="shared" si="0"/>
        <v>0</v>
      </c>
      <c r="Q12" s="496" t="s">
        <v>76</v>
      </c>
      <c r="R12" s="249" t="s">
        <v>102</v>
      </c>
      <c r="S12" s="325" t="s">
        <v>3044</v>
      </c>
      <c r="T12" s="325">
        <v>0</v>
      </c>
      <c r="U12" s="330">
        <v>0</v>
      </c>
      <c r="V12" s="357">
        <v>1.07</v>
      </c>
      <c r="W12" s="497">
        <v>0.46</v>
      </c>
    </row>
    <row r="13" spans="1:23">
      <c r="A13" s="104" t="str">
        <f>IF(M13&gt;0,COUNT($A$9:A12)+COUNT('DWV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" s="639"/>
      <c r="C13" s="580"/>
      <c r="D13" s="158">
        <v>64</v>
      </c>
      <c r="E13" s="106">
        <v>100028502</v>
      </c>
      <c r="F13" s="159" t="s">
        <v>3045</v>
      </c>
      <c r="G13" s="106" t="s">
        <v>2929</v>
      </c>
      <c r="H13" s="106" t="s">
        <v>2929</v>
      </c>
      <c r="I13" s="249" t="s">
        <v>3038</v>
      </c>
      <c r="J13" s="106">
        <v>570</v>
      </c>
      <c r="K13" s="153">
        <f>VLOOKUP(E13,'All Products'!$D:$H,5,0)</f>
        <v>21.05</v>
      </c>
      <c r="L13" s="205">
        <f>ROUND(K13*Order_Quote!$L$18,2)</f>
        <v>105.25</v>
      </c>
      <c r="M13" s="78"/>
      <c r="N13" s="116"/>
      <c r="O13" s="497">
        <f t="shared" si="0"/>
        <v>0</v>
      </c>
      <c r="Q13" s="496" t="s">
        <v>359</v>
      </c>
      <c r="R13" s="249" t="s">
        <v>102</v>
      </c>
      <c r="S13" s="325" t="s">
        <v>3046</v>
      </c>
      <c r="T13" s="325">
        <v>0</v>
      </c>
      <c r="U13" s="330">
        <v>0</v>
      </c>
      <c r="V13" s="357">
        <v>1.07</v>
      </c>
      <c r="W13" s="497">
        <v>0.46</v>
      </c>
    </row>
    <row r="14" spans="1:23">
      <c r="A14" s="104" t="str">
        <f>IF(M14&gt;0,COUNT($A$9:A13)+COUNT('DWV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4" s="639"/>
      <c r="C14" s="580"/>
      <c r="D14" s="158">
        <v>63</v>
      </c>
      <c r="E14" s="106">
        <v>100028501</v>
      </c>
      <c r="F14" s="159" t="s">
        <v>3047</v>
      </c>
      <c r="G14" s="106" t="s">
        <v>2941</v>
      </c>
      <c r="H14" s="106" t="s">
        <v>2941</v>
      </c>
      <c r="I14" s="249" t="s">
        <v>3048</v>
      </c>
      <c r="J14" s="106">
        <v>570</v>
      </c>
      <c r="K14" s="153">
        <f>VLOOKUP(E14,'All Products'!$D:$H,5,0)</f>
        <v>21.05</v>
      </c>
      <c r="L14" s="205">
        <f>ROUND(K14*Order_Quote!$L$18,2)</f>
        <v>105.25</v>
      </c>
      <c r="M14" s="78"/>
      <c r="N14" s="116"/>
      <c r="O14" s="497">
        <f t="shared" si="0"/>
        <v>0</v>
      </c>
      <c r="Q14" s="496" t="s">
        <v>359</v>
      </c>
      <c r="R14" s="249" t="s">
        <v>102</v>
      </c>
      <c r="S14" s="325" t="s">
        <v>3049</v>
      </c>
      <c r="T14" s="325">
        <v>0</v>
      </c>
      <c r="U14" s="330">
        <v>0</v>
      </c>
      <c r="V14" s="357">
        <v>1.07</v>
      </c>
      <c r="W14" s="497">
        <v>0.46</v>
      </c>
    </row>
    <row r="15" spans="1:23">
      <c r="A15" s="104" t="str">
        <f>IF(M15&gt;0,COUNT($A$9:A14)+COUNT('DWV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5" s="639"/>
      <c r="C15" s="580"/>
      <c r="D15" s="158" t="s">
        <v>3050</v>
      </c>
      <c r="E15" s="106">
        <v>100025804</v>
      </c>
      <c r="F15" s="159" t="s">
        <v>3051</v>
      </c>
      <c r="G15" s="106" t="s">
        <v>2929</v>
      </c>
      <c r="H15" s="106" t="s">
        <v>3037</v>
      </c>
      <c r="I15" s="249" t="s">
        <v>3052</v>
      </c>
      <c r="J15" s="106">
        <v>570</v>
      </c>
      <c r="K15" s="153">
        <f>VLOOKUP(E15,'All Products'!$D:$H,5,0)</f>
        <v>21.05</v>
      </c>
      <c r="L15" s="205">
        <f>ROUND(K15*Order_Quote!$L$18,2)</f>
        <v>105.25</v>
      </c>
      <c r="M15" s="78"/>
      <c r="N15" s="116"/>
      <c r="O15" s="497">
        <f t="shared" si="0"/>
        <v>0</v>
      </c>
      <c r="Q15" s="496" t="s">
        <v>76</v>
      </c>
      <c r="R15" s="249" t="s">
        <v>102</v>
      </c>
      <c r="S15" s="325" t="s">
        <v>3053</v>
      </c>
      <c r="T15" s="325">
        <v>0</v>
      </c>
      <c r="U15" s="330">
        <v>0</v>
      </c>
      <c r="V15" s="357">
        <v>1.07</v>
      </c>
      <c r="W15" s="497">
        <v>0.46</v>
      </c>
    </row>
    <row r="16" spans="1:23">
      <c r="A16" s="104" t="str">
        <f>IF(M16&gt;0,COUNT($A$9:A15)+COUNT('DWV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6" s="639"/>
      <c r="C16" s="580"/>
      <c r="D16" s="158" t="s">
        <v>3054</v>
      </c>
      <c r="E16" s="106">
        <v>100025809</v>
      </c>
      <c r="F16" s="159" t="s">
        <v>3055</v>
      </c>
      <c r="G16" s="106" t="s">
        <v>3037</v>
      </c>
      <c r="H16" s="106" t="s">
        <v>3037</v>
      </c>
      <c r="I16" s="249" t="s">
        <v>3052</v>
      </c>
      <c r="J16" s="106">
        <v>570</v>
      </c>
      <c r="K16" s="153">
        <f>VLOOKUP(E16,'All Products'!$D:$H,5,0)</f>
        <v>21.05</v>
      </c>
      <c r="L16" s="205">
        <f>ROUND(K16*Order_Quote!$L$18,2)</f>
        <v>105.25</v>
      </c>
      <c r="M16" s="78"/>
      <c r="N16" s="116"/>
      <c r="O16" s="497">
        <f t="shared" si="0"/>
        <v>0</v>
      </c>
      <c r="Q16" s="496" t="s">
        <v>359</v>
      </c>
      <c r="R16" s="249" t="s">
        <v>102</v>
      </c>
      <c r="S16" s="325" t="s">
        <v>3056</v>
      </c>
      <c r="T16" s="325">
        <v>0</v>
      </c>
      <c r="U16" s="330">
        <v>0</v>
      </c>
      <c r="V16" s="357">
        <v>1.07</v>
      </c>
      <c r="W16" s="497">
        <v>0.46</v>
      </c>
    </row>
    <row r="17" spans="1:23">
      <c r="A17" s="104" t="str">
        <f>IF(M17&gt;0,COUNT($A$9:A16)+COUNT('DWV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7" s="639"/>
      <c r="C17" s="580"/>
      <c r="D17" s="158" t="s">
        <v>3057</v>
      </c>
      <c r="E17" s="106">
        <v>100025806</v>
      </c>
      <c r="F17" s="159" t="s">
        <v>3058</v>
      </c>
      <c r="G17" s="106" t="s">
        <v>2929</v>
      </c>
      <c r="H17" s="106" t="s">
        <v>3037</v>
      </c>
      <c r="I17" s="249" t="s">
        <v>3059</v>
      </c>
      <c r="J17" s="106">
        <v>570</v>
      </c>
      <c r="K17" s="153">
        <f>VLOOKUP(E17,'All Products'!$D:$H,5,0)</f>
        <v>21.05</v>
      </c>
      <c r="L17" s="205">
        <f>ROUND(K17*Order_Quote!$L$18,2)</f>
        <v>105.25</v>
      </c>
      <c r="M17" s="78"/>
      <c r="N17" s="116"/>
      <c r="O17" s="497">
        <f t="shared" si="0"/>
        <v>0</v>
      </c>
      <c r="Q17" s="496" t="s">
        <v>76</v>
      </c>
      <c r="R17" s="249" t="s">
        <v>102</v>
      </c>
      <c r="S17" s="325" t="s">
        <v>3060</v>
      </c>
      <c r="T17" s="325">
        <v>0</v>
      </c>
      <c r="U17" s="330">
        <v>0</v>
      </c>
      <c r="V17" s="357">
        <v>1.07</v>
      </c>
      <c r="W17" s="497">
        <v>0.46</v>
      </c>
    </row>
    <row r="18" spans="1:23">
      <c r="A18" s="104" t="str">
        <f>IF(M18&gt;0,COUNT($A$9:A17)+COUNT('DWV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8" s="639"/>
      <c r="C18" s="580"/>
      <c r="D18" s="158" t="s">
        <v>3061</v>
      </c>
      <c r="E18" s="106">
        <v>100025269</v>
      </c>
      <c r="F18" s="159" t="s">
        <v>3062</v>
      </c>
      <c r="G18" s="106" t="s">
        <v>2929</v>
      </c>
      <c r="H18" s="106" t="s">
        <v>3037</v>
      </c>
      <c r="I18" s="249" t="s">
        <v>3063</v>
      </c>
      <c r="J18" s="106">
        <v>570</v>
      </c>
      <c r="K18" s="153">
        <f>VLOOKUP(E18,'All Products'!$D:$H,5,0)</f>
        <v>21.05</v>
      </c>
      <c r="L18" s="205">
        <f>ROUND(K18*Order_Quote!$L$18,2)</f>
        <v>105.25</v>
      </c>
      <c r="M18" s="78"/>
      <c r="N18" s="116"/>
      <c r="O18" s="497">
        <f t="shared" si="0"/>
        <v>0</v>
      </c>
      <c r="Q18" s="496" t="s">
        <v>76</v>
      </c>
      <c r="R18" s="249" t="s">
        <v>102</v>
      </c>
      <c r="S18" s="325" t="s">
        <v>3064</v>
      </c>
      <c r="T18" s="325">
        <v>0</v>
      </c>
      <c r="U18" s="330">
        <v>0</v>
      </c>
      <c r="V18" s="357">
        <v>1.07</v>
      </c>
      <c r="W18" s="497">
        <v>0.46</v>
      </c>
    </row>
    <row r="19" spans="1:23" ht="15.75" thickBot="1">
      <c r="A19" s="104" t="str">
        <f>IF(M19&gt;0,COUNT($A$9:A18)+COUNT('DWV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9" s="640"/>
      <c r="C19" s="641"/>
      <c r="D19" s="185" t="s">
        <v>3065</v>
      </c>
      <c r="E19" s="151">
        <v>100025807</v>
      </c>
      <c r="F19" s="186" t="s">
        <v>3066</v>
      </c>
      <c r="G19" s="151" t="s">
        <v>3037</v>
      </c>
      <c r="H19" s="151" t="s">
        <v>3037</v>
      </c>
      <c r="I19" s="250" t="s">
        <v>3063</v>
      </c>
      <c r="J19" s="151">
        <v>570</v>
      </c>
      <c r="K19" s="251">
        <f>VLOOKUP(E19,'All Products'!$D:$H,5,0)</f>
        <v>21.05</v>
      </c>
      <c r="L19" s="214">
        <f>ROUND(K19*Order_Quote!$L$18,2)</f>
        <v>105.25</v>
      </c>
      <c r="M19" s="187"/>
      <c r="N19" s="488"/>
      <c r="O19" s="499">
        <f t="shared" si="0"/>
        <v>0</v>
      </c>
      <c r="Q19" s="498" t="s">
        <v>76</v>
      </c>
      <c r="R19" s="250" t="s">
        <v>102</v>
      </c>
      <c r="S19" s="326" t="s">
        <v>3067</v>
      </c>
      <c r="T19" s="326">
        <v>0</v>
      </c>
      <c r="U19" s="331">
        <v>0</v>
      </c>
      <c r="V19" s="358">
        <v>1.07</v>
      </c>
      <c r="W19" s="499">
        <v>0.46</v>
      </c>
    </row>
    <row r="20" spans="1:23">
      <c r="A20" s="104" t="str">
        <f>IF(M20&gt;0,COUNT($A$9:A19)+COUNT('DWV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0" s="20"/>
      <c r="C20" s="152"/>
      <c r="D20" s="152"/>
      <c r="E20" s="152"/>
      <c r="F20" s="152"/>
      <c r="G20" s="154"/>
      <c r="H20" s="154"/>
      <c r="I20" s="252"/>
      <c r="J20" s="152"/>
      <c r="K20" s="152"/>
      <c r="L20" s="253"/>
      <c r="M20" s="152"/>
      <c r="N20" s="152"/>
      <c r="O20" s="152"/>
      <c r="Q20" s="252"/>
      <c r="R20" s="252"/>
      <c r="S20" s="252"/>
      <c r="T20" s="252"/>
      <c r="U20" s="252"/>
      <c r="V20" s="152"/>
      <c r="W20" s="152"/>
    </row>
    <row r="21" spans="1:23" ht="19.5" thickBot="1">
      <c r="A21" s="104" t="str">
        <f>IF(M21&gt;0,COUNT($A$9:A20)+COUNT('DWV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1" s="242" t="s">
        <v>3068</v>
      </c>
      <c r="C21" s="152"/>
      <c r="D21" s="152"/>
      <c r="E21" s="152"/>
      <c r="F21" s="152"/>
      <c r="G21" s="154"/>
      <c r="H21" s="154"/>
      <c r="I21" s="252"/>
      <c r="J21" s="152"/>
      <c r="K21" s="152"/>
      <c r="L21" s="253"/>
      <c r="M21" s="152"/>
      <c r="N21" s="152"/>
      <c r="O21" s="152"/>
      <c r="Q21" s="252"/>
      <c r="R21" s="252"/>
      <c r="S21" s="252"/>
      <c r="T21" s="252"/>
      <c r="U21" s="252"/>
      <c r="V21" s="152"/>
      <c r="W21" s="152"/>
    </row>
    <row r="22" spans="1:23" ht="16.5" thickBot="1">
      <c r="A22" s="104" t="str">
        <f>IF(M22&gt;0,COUNT($A$9:A21)+COUNT('DWV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2" s="166" t="s">
        <v>3069</v>
      </c>
      <c r="C22" s="167"/>
      <c r="D22" s="167"/>
      <c r="E22" s="167"/>
      <c r="F22" s="167"/>
      <c r="G22" s="167"/>
      <c r="H22" s="167"/>
      <c r="I22" s="167"/>
      <c r="J22" s="167"/>
      <c r="K22" s="167"/>
      <c r="L22" s="228"/>
      <c r="M22" s="167"/>
      <c r="N22" s="167"/>
      <c r="O22" s="493"/>
      <c r="Q22" s="492"/>
      <c r="R22" s="160"/>
      <c r="S22" s="160"/>
      <c r="T22" s="160"/>
      <c r="U22" s="160"/>
      <c r="V22" s="167"/>
      <c r="W22" s="493"/>
    </row>
    <row r="23" spans="1:23">
      <c r="A23" s="104" t="str">
        <f>IF(M23&gt;0,COUNT($A$9:A22)+COUNT('DWV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3" s="637"/>
      <c r="C23" s="638"/>
      <c r="D23" s="285">
        <v>70</v>
      </c>
      <c r="E23" s="150">
        <v>100028506</v>
      </c>
      <c r="F23" s="183" t="s">
        <v>3070</v>
      </c>
      <c r="G23" s="150" t="s">
        <v>2929</v>
      </c>
      <c r="H23" s="150" t="s">
        <v>3037</v>
      </c>
      <c r="I23" s="247" t="s">
        <v>3038</v>
      </c>
      <c r="J23" s="150">
        <v>240</v>
      </c>
      <c r="K23" s="248">
        <f>VLOOKUP(E23,'All Products'!$D:$H,5,0)</f>
        <v>39.03</v>
      </c>
      <c r="L23" s="213">
        <f>ROUND(K23*Order_Quote!$L$18,2)</f>
        <v>195.15</v>
      </c>
      <c r="M23" s="191"/>
      <c r="N23" s="487"/>
      <c r="O23" s="495">
        <f t="shared" ref="O23:O28" si="1">M23/J23</f>
        <v>0</v>
      </c>
      <c r="Q23" s="494" t="s">
        <v>359</v>
      </c>
      <c r="R23" s="247" t="s">
        <v>102</v>
      </c>
      <c r="S23" s="324" t="s">
        <v>3071</v>
      </c>
      <c r="T23" s="324">
        <v>0</v>
      </c>
      <c r="U23" s="329">
        <v>0</v>
      </c>
      <c r="V23" s="356">
        <v>1.07</v>
      </c>
      <c r="W23" s="495">
        <v>0.46</v>
      </c>
    </row>
    <row r="24" spans="1:23">
      <c r="A24" s="104" t="str">
        <f>IF(M24&gt;0,COUNT($A$9:A23)+COUNT('DWV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4" s="639"/>
      <c r="C24" s="580"/>
      <c r="D24" s="286">
        <v>71</v>
      </c>
      <c r="E24" s="106">
        <v>100028507</v>
      </c>
      <c r="F24" s="159" t="s">
        <v>3072</v>
      </c>
      <c r="G24" s="106" t="s">
        <v>3037</v>
      </c>
      <c r="H24" s="106" t="s">
        <v>3037</v>
      </c>
      <c r="I24" s="249" t="s">
        <v>3038</v>
      </c>
      <c r="J24" s="106">
        <v>240</v>
      </c>
      <c r="K24" s="153">
        <f>VLOOKUP(E24,'All Products'!$D:$H,5,0)</f>
        <v>39.03</v>
      </c>
      <c r="L24" s="205">
        <f>ROUND(K24*Order_Quote!$L$18,2)</f>
        <v>195.15</v>
      </c>
      <c r="M24" s="78"/>
      <c r="N24" s="116"/>
      <c r="O24" s="497">
        <f t="shared" si="1"/>
        <v>0</v>
      </c>
      <c r="Q24" s="496" t="s">
        <v>76</v>
      </c>
      <c r="R24" s="249" t="s">
        <v>102</v>
      </c>
      <c r="S24" s="325" t="s">
        <v>3073</v>
      </c>
      <c r="T24" s="325">
        <v>0</v>
      </c>
      <c r="U24" s="330">
        <v>0</v>
      </c>
      <c r="V24" s="357">
        <v>1.07</v>
      </c>
      <c r="W24" s="497">
        <v>0.46</v>
      </c>
    </row>
    <row r="25" spans="1:23">
      <c r="A25" s="104" t="str">
        <f>IF(M25&gt;0,COUNT($A$9:A24)+COUNT('DWV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5" s="639"/>
      <c r="C25" s="580"/>
      <c r="D25" s="286">
        <v>74</v>
      </c>
      <c r="E25" s="106">
        <v>100028510</v>
      </c>
      <c r="F25" s="159" t="s">
        <v>3074</v>
      </c>
      <c r="G25" s="106" t="s">
        <v>2929</v>
      </c>
      <c r="H25" s="106" t="s">
        <v>2929</v>
      </c>
      <c r="I25" s="249" t="s">
        <v>3038</v>
      </c>
      <c r="J25" s="106">
        <v>240</v>
      </c>
      <c r="K25" s="153">
        <f>VLOOKUP(E25,'All Products'!$D:$H,5,0)</f>
        <v>39.03</v>
      </c>
      <c r="L25" s="205">
        <f>ROUND(K25*Order_Quote!$L$18,2)</f>
        <v>195.15</v>
      </c>
      <c r="M25" s="78"/>
      <c r="N25" s="116"/>
      <c r="O25" s="497">
        <f t="shared" si="1"/>
        <v>0</v>
      </c>
      <c r="Q25" s="496" t="s">
        <v>359</v>
      </c>
      <c r="R25" s="249" t="s">
        <v>102</v>
      </c>
      <c r="S25" s="325" t="s">
        <v>3075</v>
      </c>
      <c r="T25" s="325">
        <v>0</v>
      </c>
      <c r="U25" s="330">
        <v>0</v>
      </c>
      <c r="V25" s="357">
        <v>1.07</v>
      </c>
      <c r="W25" s="497">
        <v>0.46</v>
      </c>
    </row>
    <row r="26" spans="1:23">
      <c r="A26" s="104" t="str">
        <f>IF(M26&gt;0,COUNT($A$9:A25)+COUNT('DWV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6" s="639"/>
      <c r="C26" s="580"/>
      <c r="D26" s="286">
        <v>73</v>
      </c>
      <c r="E26" s="106">
        <v>100028509</v>
      </c>
      <c r="F26" s="159" t="s">
        <v>3076</v>
      </c>
      <c r="G26" s="106" t="s">
        <v>2941</v>
      </c>
      <c r="H26" s="106" t="s">
        <v>2941</v>
      </c>
      <c r="I26" s="249" t="s">
        <v>3048</v>
      </c>
      <c r="J26" s="106">
        <v>240</v>
      </c>
      <c r="K26" s="153">
        <f>VLOOKUP(E26,'All Products'!$D:$H,5,0)</f>
        <v>39.03</v>
      </c>
      <c r="L26" s="205">
        <f>ROUND(K26*Order_Quote!$L$18,2)</f>
        <v>195.15</v>
      </c>
      <c r="M26" s="78"/>
      <c r="N26" s="116"/>
      <c r="O26" s="497">
        <f t="shared" si="1"/>
        <v>0</v>
      </c>
      <c r="Q26" s="496" t="s">
        <v>76</v>
      </c>
      <c r="R26" s="249" t="s">
        <v>102</v>
      </c>
      <c r="S26" s="325" t="s">
        <v>3077</v>
      </c>
      <c r="T26" s="325">
        <v>0</v>
      </c>
      <c r="U26" s="330">
        <v>0</v>
      </c>
      <c r="V26" s="357">
        <v>1.07</v>
      </c>
      <c r="W26" s="497">
        <v>0.46</v>
      </c>
    </row>
    <row r="27" spans="1:23">
      <c r="A27" s="104" t="str">
        <f>IF(M27&gt;0,COUNT($A$9:A26)+COUNT('DWV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7" s="639"/>
      <c r="C27" s="580"/>
      <c r="D27" s="158" t="s">
        <v>3078</v>
      </c>
      <c r="E27" s="106">
        <v>100025825</v>
      </c>
      <c r="F27" s="159" t="s">
        <v>3079</v>
      </c>
      <c r="G27" s="106" t="s">
        <v>2929</v>
      </c>
      <c r="H27" s="106" t="s">
        <v>2929</v>
      </c>
      <c r="I27" s="249" t="s">
        <v>3063</v>
      </c>
      <c r="J27" s="106">
        <v>240</v>
      </c>
      <c r="K27" s="153">
        <f>VLOOKUP(E27,'All Products'!$D:$H,5,0)</f>
        <v>39.03</v>
      </c>
      <c r="L27" s="205">
        <f>ROUND(K27*Order_Quote!$L$18,2)</f>
        <v>195.15</v>
      </c>
      <c r="M27" s="78"/>
      <c r="N27" s="116"/>
      <c r="O27" s="497">
        <f t="shared" si="1"/>
        <v>0</v>
      </c>
      <c r="Q27" s="496" t="s">
        <v>359</v>
      </c>
      <c r="R27" s="249" t="s">
        <v>102</v>
      </c>
      <c r="S27" s="325" t="s">
        <v>3080</v>
      </c>
      <c r="T27" s="325">
        <v>0</v>
      </c>
      <c r="U27" s="330">
        <v>0</v>
      </c>
      <c r="V27" s="357">
        <v>1.07</v>
      </c>
      <c r="W27" s="497">
        <v>0.46</v>
      </c>
    </row>
    <row r="28" spans="1:23" ht="15.75" thickBot="1">
      <c r="A28" s="104" t="str">
        <f>IF(M28&gt;0,COUNT($A$9:A27)+COUNT('DWV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8" s="640"/>
      <c r="C28" s="641"/>
      <c r="D28" s="185" t="s">
        <v>3081</v>
      </c>
      <c r="E28" s="151">
        <v>100025302</v>
      </c>
      <c r="F28" s="186" t="s">
        <v>3082</v>
      </c>
      <c r="G28" s="151" t="s">
        <v>2929</v>
      </c>
      <c r="H28" s="151" t="s">
        <v>2929</v>
      </c>
      <c r="I28" s="250" t="s">
        <v>3083</v>
      </c>
      <c r="J28" s="151">
        <v>240</v>
      </c>
      <c r="K28" s="251">
        <f>VLOOKUP(E28,'All Products'!$D:$H,5,0)</f>
        <v>39.03</v>
      </c>
      <c r="L28" s="214">
        <f>ROUND(K28*Order_Quote!$L$18,2)</f>
        <v>195.15</v>
      </c>
      <c r="M28" s="187"/>
      <c r="N28" s="488"/>
      <c r="O28" s="499">
        <f t="shared" si="1"/>
        <v>0</v>
      </c>
      <c r="Q28" s="498" t="s">
        <v>359</v>
      </c>
      <c r="R28" s="250" t="s">
        <v>102</v>
      </c>
      <c r="S28" s="326" t="s">
        <v>3084</v>
      </c>
      <c r="T28" s="326">
        <v>0</v>
      </c>
      <c r="U28" s="331">
        <v>0</v>
      </c>
      <c r="V28" s="358">
        <v>1.07</v>
      </c>
      <c r="W28" s="499">
        <v>0.46</v>
      </c>
    </row>
    <row r="29" spans="1:23">
      <c r="A29" s="104" t="str">
        <f>IF(M29&gt;0,COUNT($A$9:A28)+COUNT('DWV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29" s="20"/>
      <c r="C29" s="152"/>
      <c r="D29" s="152"/>
      <c r="E29" s="152"/>
      <c r="F29" s="152"/>
      <c r="G29" s="154"/>
      <c r="H29" s="154"/>
      <c r="I29" s="252"/>
      <c r="J29" s="152"/>
      <c r="K29" s="152"/>
      <c r="L29" s="253"/>
      <c r="M29" s="152"/>
      <c r="N29" s="152"/>
      <c r="O29" s="152"/>
      <c r="P29" s="152"/>
      <c r="Q29" s="252"/>
      <c r="R29" s="252"/>
      <c r="S29" s="252"/>
      <c r="T29" s="252"/>
      <c r="U29" s="252"/>
      <c r="V29" s="152"/>
      <c r="W29" s="152"/>
    </row>
    <row r="30" spans="1:23" ht="19.5" thickBot="1">
      <c r="A30" s="104" t="str">
        <f>IF(M30&gt;0,COUNT($A$9:A29)+COUNT('DWV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0" s="148" t="s">
        <v>3085</v>
      </c>
      <c r="C30" s="152"/>
      <c r="D30" s="152"/>
      <c r="E30" s="152"/>
      <c r="F30" s="152"/>
      <c r="G30" s="154"/>
      <c r="H30" s="154"/>
      <c r="I30" s="252"/>
      <c r="J30" s="152"/>
      <c r="K30" s="152"/>
      <c r="L30" s="253"/>
      <c r="M30" s="152"/>
      <c r="N30" s="152"/>
      <c r="O30" s="152"/>
      <c r="P30" s="152"/>
      <c r="Q30" s="252"/>
      <c r="R30" s="252"/>
      <c r="S30" s="252"/>
      <c r="T30" s="252"/>
      <c r="U30" s="252"/>
      <c r="V30" s="152"/>
      <c r="W30" s="152"/>
    </row>
    <row r="31" spans="1:23" ht="16.5" thickBot="1">
      <c r="A31" s="104" t="str">
        <f>IF(M31&gt;0,COUNT($A$9:A30)+COUNT('DWV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1" s="166" t="s">
        <v>3086</v>
      </c>
      <c r="C31" s="167"/>
      <c r="D31" s="167"/>
      <c r="E31" s="167"/>
      <c r="F31" s="167"/>
      <c r="G31" s="167"/>
      <c r="H31" s="167"/>
      <c r="I31" s="167"/>
      <c r="J31" s="167"/>
      <c r="K31" s="167"/>
      <c r="L31" s="228"/>
      <c r="M31" s="167"/>
      <c r="N31" s="167"/>
      <c r="O31" s="493"/>
      <c r="Q31" s="492"/>
      <c r="R31" s="160"/>
      <c r="S31" s="160"/>
      <c r="T31" s="160"/>
      <c r="U31" s="160"/>
      <c r="V31" s="167"/>
      <c r="W31" s="493"/>
    </row>
    <row r="32" spans="1:23">
      <c r="A32" s="104" t="str">
        <f>IF(M32&gt;0,COUNT($A$9:A31)+COUNT('DWV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2" s="637"/>
      <c r="C32" s="638"/>
      <c r="D32" s="285">
        <v>100</v>
      </c>
      <c r="E32" s="150">
        <v>100028513</v>
      </c>
      <c r="F32" s="183" t="s">
        <v>3087</v>
      </c>
      <c r="G32" s="150" t="s">
        <v>2929</v>
      </c>
      <c r="H32" s="150" t="s">
        <v>3037</v>
      </c>
      <c r="I32" s="247" t="s">
        <v>3038</v>
      </c>
      <c r="J32" s="150">
        <v>156</v>
      </c>
      <c r="K32" s="248">
        <f>VLOOKUP(E32,'All Products'!$D:$H,5,0)</f>
        <v>47.82</v>
      </c>
      <c r="L32" s="213">
        <f>ROUND(K32*Order_Quote!$L$18,2)</f>
        <v>239.1</v>
      </c>
      <c r="M32" s="191"/>
      <c r="N32" s="487"/>
      <c r="O32" s="495">
        <f t="shared" ref="O32:O51" si="2">M32/J32</f>
        <v>0</v>
      </c>
      <c r="Q32" s="494" t="s">
        <v>76</v>
      </c>
      <c r="R32" s="247" t="s">
        <v>102</v>
      </c>
      <c r="S32" s="324" t="s">
        <v>3088</v>
      </c>
      <c r="T32" s="324">
        <v>0</v>
      </c>
      <c r="U32" s="329">
        <v>0</v>
      </c>
      <c r="V32" s="356">
        <v>3.39</v>
      </c>
      <c r="W32" s="495">
        <v>1.03</v>
      </c>
    </row>
    <row r="33" spans="1:23">
      <c r="A33" s="104" t="str">
        <f>IF(M33&gt;0,COUNT($A$9:A32)+COUNT('DWV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3" s="639"/>
      <c r="C33" s="580"/>
      <c r="D33" s="286">
        <v>101</v>
      </c>
      <c r="E33" s="106">
        <v>100028514</v>
      </c>
      <c r="F33" s="159" t="s">
        <v>3089</v>
      </c>
      <c r="G33" s="106" t="s">
        <v>3037</v>
      </c>
      <c r="H33" s="106" t="s">
        <v>3037</v>
      </c>
      <c r="I33" s="249" t="s">
        <v>3038</v>
      </c>
      <c r="J33" s="106">
        <v>156</v>
      </c>
      <c r="K33" s="153">
        <f>VLOOKUP(E33,'All Products'!$D:$H,5,0)</f>
        <v>47.82</v>
      </c>
      <c r="L33" s="205">
        <f>ROUND(K33*Order_Quote!$L$18,2)</f>
        <v>239.1</v>
      </c>
      <c r="M33" s="78"/>
      <c r="N33" s="116"/>
      <c r="O33" s="497">
        <f t="shared" si="2"/>
        <v>0</v>
      </c>
      <c r="Q33" s="496" t="s">
        <v>76</v>
      </c>
      <c r="R33" s="249" t="s">
        <v>102</v>
      </c>
      <c r="S33" s="325" t="s">
        <v>3090</v>
      </c>
      <c r="T33" s="325">
        <v>0</v>
      </c>
      <c r="U33" s="330">
        <v>0</v>
      </c>
      <c r="V33" s="357">
        <v>3.39</v>
      </c>
      <c r="W33" s="497">
        <v>1.03</v>
      </c>
    </row>
    <row r="34" spans="1:23">
      <c r="A34" s="104" t="str">
        <f>IF(M34&gt;0,COUNT($A$9:A33)+COUNT('DWV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4" s="639"/>
      <c r="C34" s="580"/>
      <c r="D34" s="286">
        <v>102</v>
      </c>
      <c r="E34" s="106">
        <v>100028515</v>
      </c>
      <c r="F34" s="159" t="s">
        <v>3091</v>
      </c>
      <c r="G34" s="106" t="s">
        <v>3043</v>
      </c>
      <c r="H34" s="106" t="s">
        <v>3043</v>
      </c>
      <c r="I34" s="249" t="s">
        <v>3038</v>
      </c>
      <c r="J34" s="106">
        <v>156</v>
      </c>
      <c r="K34" s="153">
        <f>VLOOKUP(E34,'All Products'!$D:$H,5,0)</f>
        <v>47.82</v>
      </c>
      <c r="L34" s="205">
        <f>ROUND(K34*Order_Quote!$L$18,2)</f>
        <v>239.1</v>
      </c>
      <c r="M34" s="78"/>
      <c r="N34" s="116"/>
      <c r="O34" s="497">
        <f t="shared" si="2"/>
        <v>0</v>
      </c>
      <c r="Q34" s="496" t="s">
        <v>76</v>
      </c>
      <c r="R34" s="249" t="s">
        <v>102</v>
      </c>
      <c r="S34" s="325" t="s">
        <v>3092</v>
      </c>
      <c r="T34" s="325">
        <v>0</v>
      </c>
      <c r="U34" s="330">
        <v>0</v>
      </c>
      <c r="V34" s="357">
        <v>3.39</v>
      </c>
      <c r="W34" s="497">
        <v>1.03</v>
      </c>
    </row>
    <row r="35" spans="1:23">
      <c r="A35" s="104" t="str">
        <f>IF(M35&gt;0,COUNT($A$9:A34)+COUNT('DWV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5" s="639"/>
      <c r="C35" s="580"/>
      <c r="D35" s="286">
        <v>104</v>
      </c>
      <c r="E35" s="106">
        <v>100028517</v>
      </c>
      <c r="F35" s="159" t="s">
        <v>3093</v>
      </c>
      <c r="G35" s="106" t="s">
        <v>2929</v>
      </c>
      <c r="H35" s="106" t="s">
        <v>2929</v>
      </c>
      <c r="I35" s="249" t="s">
        <v>3038</v>
      </c>
      <c r="J35" s="106">
        <v>156</v>
      </c>
      <c r="K35" s="153">
        <f>VLOOKUP(E35,'All Products'!$D:$H,5,0)</f>
        <v>47.82</v>
      </c>
      <c r="L35" s="205">
        <f>ROUND(K35*Order_Quote!$L$18,2)</f>
        <v>239.1</v>
      </c>
      <c r="M35" s="78"/>
      <c r="N35" s="116"/>
      <c r="O35" s="497">
        <f t="shared" si="2"/>
        <v>0</v>
      </c>
      <c r="Q35" s="496" t="s">
        <v>76</v>
      </c>
      <c r="R35" s="249" t="s">
        <v>102</v>
      </c>
      <c r="S35" s="325" t="s">
        <v>3094</v>
      </c>
      <c r="T35" s="325">
        <v>0</v>
      </c>
      <c r="U35" s="330">
        <v>0</v>
      </c>
      <c r="V35" s="357">
        <v>3.39</v>
      </c>
      <c r="W35" s="497">
        <v>1.03</v>
      </c>
    </row>
    <row r="36" spans="1:23" ht="24">
      <c r="A36" s="104" t="str">
        <f>IF(M36&gt;0,COUNT($A$9:A35)+COUNT('DWV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6" s="639"/>
      <c r="C36" s="580"/>
      <c r="D36" s="158" t="s">
        <v>3095</v>
      </c>
      <c r="E36" s="106">
        <v>100025678</v>
      </c>
      <c r="F36" s="159" t="s">
        <v>3096</v>
      </c>
      <c r="G36" s="106" t="s">
        <v>2929</v>
      </c>
      <c r="H36" s="106" t="s">
        <v>3037</v>
      </c>
      <c r="I36" s="162" t="s">
        <v>3097</v>
      </c>
      <c r="J36" s="106">
        <v>156</v>
      </c>
      <c r="K36" s="153">
        <f>VLOOKUP(E36,'All Products'!$D:$H,5,0)</f>
        <v>47.82</v>
      </c>
      <c r="L36" s="205">
        <f>ROUND(K36*Order_Quote!$L$18,2)</f>
        <v>239.1</v>
      </c>
      <c r="M36" s="78"/>
      <c r="N36" s="116"/>
      <c r="O36" s="497">
        <f t="shared" si="2"/>
        <v>0</v>
      </c>
      <c r="Q36" s="504" t="s">
        <v>359</v>
      </c>
      <c r="R36" s="162" t="s">
        <v>102</v>
      </c>
      <c r="S36" s="327" t="s">
        <v>3098</v>
      </c>
      <c r="T36" s="327">
        <v>0</v>
      </c>
      <c r="U36" s="332">
        <v>0</v>
      </c>
      <c r="V36" s="357">
        <v>3.2850000000000001</v>
      </c>
      <c r="W36" s="497">
        <v>1.03</v>
      </c>
    </row>
    <row r="37" spans="1:23" ht="24">
      <c r="A37" s="104" t="str">
        <f>IF(M37&gt;0,COUNT($A$9:A36)+COUNT('DWV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7" s="639"/>
      <c r="C37" s="580"/>
      <c r="D37" s="158" t="s">
        <v>3099</v>
      </c>
      <c r="E37" s="106">
        <v>100025685</v>
      </c>
      <c r="F37" s="159" t="s">
        <v>3100</v>
      </c>
      <c r="G37" s="106" t="s">
        <v>3037</v>
      </c>
      <c r="H37" s="106" t="s">
        <v>3037</v>
      </c>
      <c r="I37" s="162" t="s">
        <v>3097</v>
      </c>
      <c r="J37" s="106">
        <v>156</v>
      </c>
      <c r="K37" s="153">
        <f>VLOOKUP(E37,'All Products'!$D:$H,5,0)</f>
        <v>47.82</v>
      </c>
      <c r="L37" s="205">
        <f>ROUND(K37*Order_Quote!$L$18,2)</f>
        <v>239.1</v>
      </c>
      <c r="M37" s="78"/>
      <c r="N37" s="116"/>
      <c r="O37" s="497">
        <f t="shared" si="2"/>
        <v>0</v>
      </c>
      <c r="Q37" s="504" t="s">
        <v>76</v>
      </c>
      <c r="R37" s="162" t="s">
        <v>102</v>
      </c>
      <c r="S37" s="327" t="s">
        <v>3101</v>
      </c>
      <c r="T37" s="327">
        <v>0</v>
      </c>
      <c r="U37" s="332">
        <v>0</v>
      </c>
      <c r="V37" s="357">
        <v>3.19</v>
      </c>
      <c r="W37" s="497">
        <v>1.03</v>
      </c>
    </row>
    <row r="38" spans="1:23">
      <c r="A38" s="104" t="str">
        <f>IF(M38&gt;0,COUNT($A$9:A37)+COUNT('DWV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8" s="639"/>
      <c r="C38" s="580"/>
      <c r="D38" s="286">
        <v>103</v>
      </c>
      <c r="E38" s="106">
        <v>100028516</v>
      </c>
      <c r="F38" s="159" t="s">
        <v>3102</v>
      </c>
      <c r="G38" s="106" t="s">
        <v>2941</v>
      </c>
      <c r="H38" s="106" t="s">
        <v>2941</v>
      </c>
      <c r="I38" s="249" t="s">
        <v>3048</v>
      </c>
      <c r="J38" s="106">
        <v>156</v>
      </c>
      <c r="K38" s="153">
        <f>VLOOKUP(E38,'All Products'!$D:$H,5,0)</f>
        <v>47.82</v>
      </c>
      <c r="L38" s="205">
        <f>ROUND(K38*Order_Quote!$L$18,2)</f>
        <v>239.1</v>
      </c>
      <c r="M38" s="78"/>
      <c r="N38" s="116"/>
      <c r="O38" s="497">
        <f t="shared" si="2"/>
        <v>0</v>
      </c>
      <c r="Q38" s="496" t="s">
        <v>359</v>
      </c>
      <c r="R38" s="249" t="s">
        <v>102</v>
      </c>
      <c r="S38" s="325" t="s">
        <v>3103</v>
      </c>
      <c r="T38" s="325">
        <v>0</v>
      </c>
      <c r="U38" s="330">
        <v>0</v>
      </c>
      <c r="V38" s="357">
        <v>3.39</v>
      </c>
      <c r="W38" s="497">
        <v>1.03</v>
      </c>
    </row>
    <row r="39" spans="1:23">
      <c r="A39" s="104" t="str">
        <f>IF(M39&gt;0,COUNT($A$9:A38)+COUNT('DWV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39" s="639"/>
      <c r="C39" s="580"/>
      <c r="D39" s="158" t="s">
        <v>3104</v>
      </c>
      <c r="E39" s="106">
        <v>100025679</v>
      </c>
      <c r="F39" s="159" t="s">
        <v>3105</v>
      </c>
      <c r="G39" s="106" t="s">
        <v>2929</v>
      </c>
      <c r="H39" s="106" t="s">
        <v>3037</v>
      </c>
      <c r="I39" s="249" t="s">
        <v>3052</v>
      </c>
      <c r="J39" s="106">
        <v>156</v>
      </c>
      <c r="K39" s="153">
        <f>VLOOKUP(E39,'All Products'!$D:$H,5,0)</f>
        <v>47.82</v>
      </c>
      <c r="L39" s="205">
        <f>ROUND(K39*Order_Quote!$L$18,2)</f>
        <v>239.1</v>
      </c>
      <c r="M39" s="78"/>
      <c r="N39" s="116"/>
      <c r="O39" s="497">
        <f t="shared" si="2"/>
        <v>0</v>
      </c>
      <c r="Q39" s="496" t="s">
        <v>76</v>
      </c>
      <c r="R39" s="249" t="s">
        <v>102</v>
      </c>
      <c r="S39" s="325" t="s">
        <v>3106</v>
      </c>
      <c r="T39" s="325">
        <v>0</v>
      </c>
      <c r="U39" s="330">
        <v>0</v>
      </c>
      <c r="V39" s="357">
        <v>3.39</v>
      </c>
      <c r="W39" s="497">
        <v>1.03</v>
      </c>
    </row>
    <row r="40" spans="1:23">
      <c r="A40" s="104" t="str">
        <f>IF(M40&gt;0,COUNT($A$9:A39)+COUNT('DWV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0" s="639"/>
      <c r="C40" s="580"/>
      <c r="D40" s="158" t="s">
        <v>3107</v>
      </c>
      <c r="E40" s="106">
        <v>100025688</v>
      </c>
      <c r="F40" s="159" t="s">
        <v>3108</v>
      </c>
      <c r="G40" s="106" t="s">
        <v>3037</v>
      </c>
      <c r="H40" s="106" t="s">
        <v>3037</v>
      </c>
      <c r="I40" s="249" t="s">
        <v>3052</v>
      </c>
      <c r="J40" s="106">
        <v>156</v>
      </c>
      <c r="K40" s="153">
        <f>VLOOKUP(E40,'All Products'!$D:$H,5,0)</f>
        <v>47.82</v>
      </c>
      <c r="L40" s="205">
        <f>ROUND(K40*Order_Quote!$L$18,2)</f>
        <v>239.1</v>
      </c>
      <c r="M40" s="78"/>
      <c r="N40" s="116"/>
      <c r="O40" s="497">
        <f t="shared" si="2"/>
        <v>0</v>
      </c>
      <c r="Q40" s="496" t="s">
        <v>76</v>
      </c>
      <c r="R40" s="249" t="s">
        <v>102</v>
      </c>
      <c r="S40" s="325" t="s">
        <v>3109</v>
      </c>
      <c r="T40" s="325">
        <v>0</v>
      </c>
      <c r="U40" s="330">
        <v>0</v>
      </c>
      <c r="V40" s="357">
        <v>3.39</v>
      </c>
      <c r="W40" s="497">
        <v>1.03</v>
      </c>
    </row>
    <row r="41" spans="1:23">
      <c r="A41" s="104" t="str">
        <f>IF(M41&gt;0,COUNT($A$9:A40)+COUNT('DWV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1" s="639"/>
      <c r="C41" s="580"/>
      <c r="D41" s="158" t="s">
        <v>3110</v>
      </c>
      <c r="E41" s="106">
        <v>100025681</v>
      </c>
      <c r="F41" s="159" t="s">
        <v>3111</v>
      </c>
      <c r="G41" s="106" t="s">
        <v>2929</v>
      </c>
      <c r="H41" s="106" t="s">
        <v>3037</v>
      </c>
      <c r="I41" s="249" t="s">
        <v>3059</v>
      </c>
      <c r="J41" s="106">
        <v>156</v>
      </c>
      <c r="K41" s="153">
        <f>VLOOKUP(E41,'All Products'!$D:$H,5,0)</f>
        <v>47.82</v>
      </c>
      <c r="L41" s="205">
        <f>ROUND(K41*Order_Quote!$L$18,2)</f>
        <v>239.1</v>
      </c>
      <c r="M41" s="78"/>
      <c r="N41" s="116"/>
      <c r="O41" s="497">
        <f t="shared" si="2"/>
        <v>0</v>
      </c>
      <c r="Q41" s="496" t="s">
        <v>76</v>
      </c>
      <c r="R41" s="249" t="s">
        <v>102</v>
      </c>
      <c r="S41" s="325" t="s">
        <v>3112</v>
      </c>
      <c r="T41" s="325">
        <v>0</v>
      </c>
      <c r="U41" s="330">
        <v>0</v>
      </c>
      <c r="V41" s="357">
        <v>3.39</v>
      </c>
      <c r="W41" s="497">
        <v>1.03</v>
      </c>
    </row>
    <row r="42" spans="1:23">
      <c r="A42" s="104" t="str">
        <f>IF(M42&gt;0,COUNT($A$9:A41)+COUNT('DWV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2" s="639"/>
      <c r="C42" s="580"/>
      <c r="D42" s="158" t="s">
        <v>3113</v>
      </c>
      <c r="E42" s="106">
        <v>100025102</v>
      </c>
      <c r="F42" s="159" t="s">
        <v>3114</v>
      </c>
      <c r="G42" s="106" t="s">
        <v>3037</v>
      </c>
      <c r="H42" s="106" t="s">
        <v>3037</v>
      </c>
      <c r="I42" s="249" t="s">
        <v>3059</v>
      </c>
      <c r="J42" s="106">
        <v>156</v>
      </c>
      <c r="K42" s="153">
        <f>VLOOKUP(E42,'All Products'!$D:$H,5,0)</f>
        <v>47.82</v>
      </c>
      <c r="L42" s="205">
        <f>ROUND(K42*Order_Quote!$L$18,2)</f>
        <v>239.1</v>
      </c>
      <c r="M42" s="78"/>
      <c r="N42" s="116"/>
      <c r="O42" s="497">
        <f t="shared" si="2"/>
        <v>0</v>
      </c>
      <c r="Q42" s="496" t="s">
        <v>359</v>
      </c>
      <c r="R42" s="249" t="s">
        <v>102</v>
      </c>
      <c r="S42" s="325" t="s">
        <v>3115</v>
      </c>
      <c r="T42" s="325">
        <v>0</v>
      </c>
      <c r="U42" s="330">
        <v>0</v>
      </c>
      <c r="V42" s="357">
        <v>3.39</v>
      </c>
      <c r="W42" s="497">
        <v>1.03</v>
      </c>
    </row>
    <row r="43" spans="1:23">
      <c r="A43" s="104" t="str">
        <f>IF(M43&gt;0,COUNT($A$9:A42)+COUNT('DWV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3" s="639"/>
      <c r="C43" s="580"/>
      <c r="D43" s="158" t="s">
        <v>3116</v>
      </c>
      <c r="E43" s="106">
        <v>100025114</v>
      </c>
      <c r="F43" s="159" t="s">
        <v>3117</v>
      </c>
      <c r="G43" s="106" t="s">
        <v>2929</v>
      </c>
      <c r="H43" s="106" t="s">
        <v>2929</v>
      </c>
      <c r="I43" s="249" t="s">
        <v>3059</v>
      </c>
      <c r="J43" s="106">
        <v>156</v>
      </c>
      <c r="K43" s="153">
        <f>VLOOKUP(E43,'All Products'!$D:$H,5,0)</f>
        <v>47.82</v>
      </c>
      <c r="L43" s="205">
        <f>ROUND(K43*Order_Quote!$L$18,2)</f>
        <v>239.1</v>
      </c>
      <c r="M43" s="78"/>
      <c r="N43" s="116"/>
      <c r="O43" s="497">
        <f t="shared" si="2"/>
        <v>0</v>
      </c>
      <c r="Q43" s="496" t="s">
        <v>359</v>
      </c>
      <c r="R43" s="249" t="s">
        <v>102</v>
      </c>
      <c r="S43" s="325" t="s">
        <v>3118</v>
      </c>
      <c r="T43" s="325">
        <v>0</v>
      </c>
      <c r="U43" s="330">
        <v>0</v>
      </c>
      <c r="V43" s="357">
        <v>3.39</v>
      </c>
      <c r="W43" s="497">
        <v>1.03</v>
      </c>
    </row>
    <row r="44" spans="1:23">
      <c r="A44" s="104" t="str">
        <f>IF(M44&gt;0,COUNT($A$9:A43)+COUNT('DWV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4" s="639"/>
      <c r="C44" s="580"/>
      <c r="D44" s="158" t="s">
        <v>3119</v>
      </c>
      <c r="E44" s="106">
        <v>100025099</v>
      </c>
      <c r="F44" s="159" t="s">
        <v>3120</v>
      </c>
      <c r="G44" s="106" t="s">
        <v>3037</v>
      </c>
      <c r="H44" s="106" t="s">
        <v>3037</v>
      </c>
      <c r="I44" s="249" t="s">
        <v>3121</v>
      </c>
      <c r="J44" s="106">
        <v>156</v>
      </c>
      <c r="K44" s="153">
        <f>VLOOKUP(E44,'All Products'!$D:$H,5,0)</f>
        <v>47.82</v>
      </c>
      <c r="L44" s="205">
        <f>ROUND(K44*Order_Quote!$L$18,2)</f>
        <v>239.1</v>
      </c>
      <c r="M44" s="78"/>
      <c r="N44" s="116"/>
      <c r="O44" s="497">
        <f t="shared" si="2"/>
        <v>0</v>
      </c>
      <c r="Q44" s="496" t="s">
        <v>359</v>
      </c>
      <c r="R44" s="249" t="s">
        <v>102</v>
      </c>
      <c r="S44" s="325" t="s">
        <v>3122</v>
      </c>
      <c r="T44" s="325">
        <v>0</v>
      </c>
      <c r="U44" s="330">
        <v>0</v>
      </c>
      <c r="V44" s="357">
        <v>3.19</v>
      </c>
      <c r="W44" s="497">
        <v>1.03</v>
      </c>
    </row>
    <row r="45" spans="1:23">
      <c r="A45" s="104" t="str">
        <f>IF(M45&gt;0,COUNT($A$9:A44)+COUNT('DWV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5" s="639"/>
      <c r="C45" s="580"/>
      <c r="D45" s="158" t="s">
        <v>3123</v>
      </c>
      <c r="E45" s="106">
        <v>100025112</v>
      </c>
      <c r="F45" s="159" t="s">
        <v>3124</v>
      </c>
      <c r="G45" s="106" t="s">
        <v>2929</v>
      </c>
      <c r="H45" s="106" t="s">
        <v>2929</v>
      </c>
      <c r="I45" s="249" t="s">
        <v>3125</v>
      </c>
      <c r="J45" s="106">
        <v>156</v>
      </c>
      <c r="K45" s="153">
        <f>VLOOKUP(E45,'All Products'!$D:$H,5,0)</f>
        <v>47.82</v>
      </c>
      <c r="L45" s="205">
        <f>ROUND(K45*Order_Quote!$L$18,2)</f>
        <v>239.1</v>
      </c>
      <c r="M45" s="78"/>
      <c r="N45" s="116"/>
      <c r="O45" s="497">
        <f t="shared" si="2"/>
        <v>0</v>
      </c>
      <c r="Q45" s="496" t="s">
        <v>359</v>
      </c>
      <c r="R45" s="249" t="s">
        <v>102</v>
      </c>
      <c r="S45" s="325" t="s">
        <v>3126</v>
      </c>
      <c r="T45" s="325">
        <v>0</v>
      </c>
      <c r="U45" s="330">
        <v>0</v>
      </c>
      <c r="V45" s="357">
        <v>3.39</v>
      </c>
      <c r="W45" s="497">
        <v>1.03</v>
      </c>
    </row>
    <row r="46" spans="1:23">
      <c r="A46" s="104" t="str">
        <f>IF(M46&gt;0,COUNT($A$9:A45)+COUNT('DWV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6" s="639"/>
      <c r="C46" s="580"/>
      <c r="D46" s="158" t="s">
        <v>3127</v>
      </c>
      <c r="E46" s="106">
        <v>100025086</v>
      </c>
      <c r="F46" s="159" t="s">
        <v>3128</v>
      </c>
      <c r="G46" s="106" t="s">
        <v>2929</v>
      </c>
      <c r="H46" s="106" t="s">
        <v>3037</v>
      </c>
      <c r="I46" s="249" t="s">
        <v>3063</v>
      </c>
      <c r="J46" s="106">
        <v>156</v>
      </c>
      <c r="K46" s="153">
        <f>VLOOKUP(E46,'All Products'!$D:$H,5,0)</f>
        <v>47.82</v>
      </c>
      <c r="L46" s="205">
        <f>ROUND(K46*Order_Quote!$L$18,2)</f>
        <v>239.1</v>
      </c>
      <c r="M46" s="78"/>
      <c r="N46" s="116"/>
      <c r="O46" s="497">
        <f t="shared" si="2"/>
        <v>0</v>
      </c>
      <c r="Q46" s="496" t="s">
        <v>76</v>
      </c>
      <c r="R46" s="249" t="s">
        <v>102</v>
      </c>
      <c r="S46" s="325" t="s">
        <v>3129</v>
      </c>
      <c r="T46" s="325">
        <v>0</v>
      </c>
      <c r="U46" s="330">
        <v>0</v>
      </c>
      <c r="V46" s="357">
        <v>3.39</v>
      </c>
      <c r="W46" s="497">
        <v>1.03</v>
      </c>
    </row>
    <row r="47" spans="1:23">
      <c r="A47" s="104" t="str">
        <f>IF(M47&gt;0,COUNT($A$9:A46)+COUNT('DWV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7" s="639"/>
      <c r="C47" s="580"/>
      <c r="D47" s="158" t="s">
        <v>3130</v>
      </c>
      <c r="E47" s="106">
        <v>100025683</v>
      </c>
      <c r="F47" s="159" t="s">
        <v>3131</v>
      </c>
      <c r="G47" s="106" t="s">
        <v>3037</v>
      </c>
      <c r="H47" s="106" t="s">
        <v>3037</v>
      </c>
      <c r="I47" s="249" t="s">
        <v>3063</v>
      </c>
      <c r="J47" s="106">
        <v>156</v>
      </c>
      <c r="K47" s="153">
        <f>VLOOKUP(E47,'All Products'!$D:$H,5,0)</f>
        <v>47.82</v>
      </c>
      <c r="L47" s="205">
        <f>ROUND(K47*Order_Quote!$L$18,2)</f>
        <v>239.1</v>
      </c>
      <c r="M47" s="78"/>
      <c r="N47" s="116"/>
      <c r="O47" s="497">
        <f t="shared" si="2"/>
        <v>0</v>
      </c>
      <c r="Q47" s="496" t="s">
        <v>359</v>
      </c>
      <c r="R47" s="249" t="s">
        <v>102</v>
      </c>
      <c r="S47" s="325" t="s">
        <v>3132</v>
      </c>
      <c r="T47" s="325">
        <v>0</v>
      </c>
      <c r="U47" s="330">
        <v>0</v>
      </c>
      <c r="V47" s="357">
        <v>3.39</v>
      </c>
      <c r="W47" s="497">
        <v>1.03</v>
      </c>
    </row>
    <row r="48" spans="1:23">
      <c r="A48" s="104" t="str">
        <f>IF(M48&gt;0,COUNT($A$9:A47)+COUNT('DWV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8" s="639"/>
      <c r="C48" s="580"/>
      <c r="D48" s="158" t="s">
        <v>3133</v>
      </c>
      <c r="E48" s="106">
        <v>100025693</v>
      </c>
      <c r="F48" s="159" t="s">
        <v>3134</v>
      </c>
      <c r="G48" s="106" t="s">
        <v>2929</v>
      </c>
      <c r="H48" s="106" t="s">
        <v>2929</v>
      </c>
      <c r="I48" s="249" t="s">
        <v>3063</v>
      </c>
      <c r="J48" s="106">
        <v>156</v>
      </c>
      <c r="K48" s="153">
        <f>VLOOKUP(E48,'All Products'!$D:$H,5,0)</f>
        <v>47.82</v>
      </c>
      <c r="L48" s="205">
        <f>ROUND(K48*Order_Quote!$L$18,2)</f>
        <v>239.1</v>
      </c>
      <c r="M48" s="78"/>
      <c r="N48" s="116"/>
      <c r="O48" s="497">
        <f t="shared" si="2"/>
        <v>0</v>
      </c>
      <c r="Q48" s="496" t="s">
        <v>359</v>
      </c>
      <c r="R48" s="249" t="s">
        <v>102</v>
      </c>
      <c r="S48" s="325" t="s">
        <v>3135</v>
      </c>
      <c r="T48" s="325">
        <v>0</v>
      </c>
      <c r="U48" s="330">
        <v>0</v>
      </c>
      <c r="V48" s="357">
        <v>3.39</v>
      </c>
      <c r="W48" s="497">
        <v>1.03</v>
      </c>
    </row>
    <row r="49" spans="1:23">
      <c r="A49" s="104" t="str">
        <f>IF(M49&gt;0,COUNT($A$9:A48)+COUNT('DWV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49" s="639"/>
      <c r="C49" s="580"/>
      <c r="D49" s="158" t="s">
        <v>3136</v>
      </c>
      <c r="E49" s="106">
        <v>100025088</v>
      </c>
      <c r="F49" s="159" t="s">
        <v>3137</v>
      </c>
      <c r="G49" s="106" t="s">
        <v>2929</v>
      </c>
      <c r="H49" s="106" t="s">
        <v>3037</v>
      </c>
      <c r="I49" s="249" t="s">
        <v>3083</v>
      </c>
      <c r="J49" s="106">
        <v>156</v>
      </c>
      <c r="K49" s="153">
        <f>VLOOKUP(E49,'All Products'!$D:$H,5,0)</f>
        <v>47.82</v>
      </c>
      <c r="L49" s="205">
        <f>ROUND(K49*Order_Quote!$L$18,2)</f>
        <v>239.1</v>
      </c>
      <c r="M49" s="78"/>
      <c r="N49" s="116"/>
      <c r="O49" s="497">
        <f t="shared" si="2"/>
        <v>0</v>
      </c>
      <c r="Q49" s="496" t="s">
        <v>359</v>
      </c>
      <c r="R49" s="249" t="s">
        <v>102</v>
      </c>
      <c r="S49" s="325" t="s">
        <v>3138</v>
      </c>
      <c r="T49" s="325">
        <v>0</v>
      </c>
      <c r="U49" s="330">
        <v>0</v>
      </c>
      <c r="V49" s="357">
        <v>3.39</v>
      </c>
      <c r="W49" s="497">
        <v>1.03</v>
      </c>
    </row>
    <row r="50" spans="1:23">
      <c r="A50" s="104" t="str">
        <f>IF(M50&gt;0,COUNT($A$9:A49)+COUNT('DWV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0" s="639"/>
      <c r="C50" s="580"/>
      <c r="D50" s="158" t="s">
        <v>3139</v>
      </c>
      <c r="E50" s="106">
        <v>100025097</v>
      </c>
      <c r="F50" s="159" t="s">
        <v>3140</v>
      </c>
      <c r="G50" s="106" t="s">
        <v>3037</v>
      </c>
      <c r="H50" s="106" t="s">
        <v>3037</v>
      </c>
      <c r="I50" s="249" t="s">
        <v>3083</v>
      </c>
      <c r="J50" s="106">
        <v>156</v>
      </c>
      <c r="K50" s="153">
        <f>VLOOKUP(E50,'All Products'!$D:$H,5,0)</f>
        <v>47.82</v>
      </c>
      <c r="L50" s="205">
        <f>ROUND(K50*Order_Quote!$L$18,2)</f>
        <v>239.1</v>
      </c>
      <c r="M50" s="78"/>
      <c r="N50" s="116"/>
      <c r="O50" s="497">
        <f t="shared" si="2"/>
        <v>0</v>
      </c>
      <c r="Q50" s="496" t="s">
        <v>359</v>
      </c>
      <c r="R50" s="249" t="s">
        <v>102</v>
      </c>
      <c r="S50" s="325" t="s">
        <v>3141</v>
      </c>
      <c r="T50" s="325">
        <v>0</v>
      </c>
      <c r="U50" s="330">
        <v>0</v>
      </c>
      <c r="V50" s="357">
        <v>3.39</v>
      </c>
      <c r="W50" s="497">
        <v>1.03</v>
      </c>
    </row>
    <row r="51" spans="1:23" ht="15.75" thickBot="1">
      <c r="A51" s="104" t="str">
        <f>IF(M51&gt;0,COUNT($A$9:A50)+COUNT('DWV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1" s="640"/>
      <c r="C51" s="641"/>
      <c r="D51" s="185" t="s">
        <v>3142</v>
      </c>
      <c r="E51" s="151">
        <v>100025101</v>
      </c>
      <c r="F51" s="186" t="s">
        <v>3143</v>
      </c>
      <c r="G51" s="151" t="s">
        <v>3037</v>
      </c>
      <c r="H51" s="151" t="s">
        <v>3037</v>
      </c>
      <c r="I51" s="250" t="s">
        <v>3144</v>
      </c>
      <c r="J51" s="151">
        <v>156</v>
      </c>
      <c r="K51" s="251">
        <f>VLOOKUP(E51,'All Products'!$D:$H,5,0)</f>
        <v>47.82</v>
      </c>
      <c r="L51" s="214">
        <f>ROUND(K51*Order_Quote!$L$18,2)</f>
        <v>239.1</v>
      </c>
      <c r="M51" s="187"/>
      <c r="N51" s="488"/>
      <c r="O51" s="499">
        <f t="shared" si="2"/>
        <v>0</v>
      </c>
      <c r="Q51" s="498" t="s">
        <v>359</v>
      </c>
      <c r="R51" s="250" t="s">
        <v>102</v>
      </c>
      <c r="S51" s="326" t="s">
        <v>3145</v>
      </c>
      <c r="T51" s="326">
        <v>0</v>
      </c>
      <c r="U51" s="331">
        <v>0</v>
      </c>
      <c r="V51" s="358">
        <v>3.39</v>
      </c>
      <c r="W51" s="499">
        <v>1.03</v>
      </c>
    </row>
    <row r="52" spans="1:23">
      <c r="A52" s="104" t="str">
        <f>IF(M52&gt;0,COUNT($A$9:A51)+COUNT('DWV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2" s="20"/>
      <c r="C52" s="152"/>
      <c r="D52" s="152"/>
      <c r="E52" s="152"/>
      <c r="F52" s="152"/>
      <c r="G52" s="154"/>
      <c r="H52" s="154"/>
      <c r="I52" s="252"/>
      <c r="J52" s="152"/>
      <c r="K52" s="152"/>
      <c r="L52" s="253"/>
      <c r="M52" s="152"/>
      <c r="N52" s="152"/>
      <c r="O52" s="152"/>
      <c r="Q52" s="252"/>
      <c r="R52" s="252"/>
      <c r="S52" s="252"/>
      <c r="T52" s="252"/>
      <c r="U52" s="252"/>
      <c r="V52" s="152"/>
      <c r="W52" s="152"/>
    </row>
    <row r="53" spans="1:23" ht="19.5" thickBot="1">
      <c r="A53" s="104" t="str">
        <f>IF(M53&gt;0,COUNT($A$9:A52)+COUNT('DWV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3" s="242" t="s">
        <v>3146</v>
      </c>
      <c r="C53" s="152"/>
      <c r="D53" s="152"/>
      <c r="E53" s="152"/>
      <c r="F53" s="152"/>
      <c r="G53" s="154"/>
      <c r="H53" s="154"/>
      <c r="I53" s="252"/>
      <c r="J53" s="152"/>
      <c r="K53" s="152"/>
      <c r="L53" s="253"/>
      <c r="M53" s="152"/>
      <c r="N53" s="152"/>
      <c r="O53" s="152"/>
      <c r="Q53" s="252"/>
      <c r="R53" s="252"/>
      <c r="S53" s="252"/>
      <c r="T53" s="252"/>
      <c r="U53" s="252"/>
      <c r="V53" s="152"/>
      <c r="W53" s="152"/>
    </row>
    <row r="54" spans="1:23" ht="16.5" thickBot="1">
      <c r="A54" s="104" t="str">
        <f>IF(M54&gt;0,COUNT($A$9:A53)+COUNT('DWV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4" s="166" t="s">
        <v>3147</v>
      </c>
      <c r="C54" s="167"/>
      <c r="D54" s="167"/>
      <c r="E54" s="167"/>
      <c r="F54" s="167"/>
      <c r="G54" s="167"/>
      <c r="H54" s="167"/>
      <c r="I54" s="167"/>
      <c r="J54" s="167"/>
      <c r="K54" s="167"/>
      <c r="L54" s="228"/>
      <c r="M54" s="167"/>
      <c r="N54" s="167"/>
      <c r="O54" s="493"/>
      <c r="Q54" s="492"/>
      <c r="R54" s="160"/>
      <c r="S54" s="160"/>
      <c r="T54" s="160"/>
      <c r="U54" s="160"/>
      <c r="V54" s="167"/>
      <c r="W54" s="493"/>
    </row>
    <row r="55" spans="1:23">
      <c r="A55" s="104" t="str">
        <f>IF(M55&gt;0,COUNT($A$9:A54)+COUNT('DWV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5" s="637"/>
      <c r="C55" s="638"/>
      <c r="D55" s="182" t="s">
        <v>3148</v>
      </c>
      <c r="E55" s="150">
        <v>100025700</v>
      </c>
      <c r="F55" s="183" t="s">
        <v>3149</v>
      </c>
      <c r="G55" s="150" t="s">
        <v>2929</v>
      </c>
      <c r="H55" s="150" t="s">
        <v>3037</v>
      </c>
      <c r="I55" s="247" t="s">
        <v>3038</v>
      </c>
      <c r="J55" s="150">
        <v>1</v>
      </c>
      <c r="K55" s="248">
        <f>VLOOKUP(E55,'All Products'!$D:$H,5,0)</f>
        <v>173.8</v>
      </c>
      <c r="L55" s="213">
        <f>ROUND(K55*Order_Quote!$L$18,2)</f>
        <v>869</v>
      </c>
      <c r="M55" s="191"/>
      <c r="N55" s="487"/>
      <c r="O55" s="495">
        <f t="shared" ref="O55:O60" si="3">M55/J55</f>
        <v>0</v>
      </c>
      <c r="Q55" s="494" t="s">
        <v>359</v>
      </c>
      <c r="R55" s="247" t="s">
        <v>102</v>
      </c>
      <c r="S55" s="324">
        <v>0</v>
      </c>
      <c r="T55" s="324">
        <v>0</v>
      </c>
      <c r="U55" s="329">
        <v>0</v>
      </c>
      <c r="V55" s="356">
        <v>6.2949999999999999</v>
      </c>
      <c r="W55" s="495">
        <v>1.58</v>
      </c>
    </row>
    <row r="56" spans="1:23">
      <c r="A56" s="104" t="str">
        <f>IF(M56&gt;0,COUNT($A$9:A55)+COUNT('DWV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6" s="639"/>
      <c r="C56" s="580"/>
      <c r="D56" s="158" t="s">
        <v>3150</v>
      </c>
      <c r="E56" s="106">
        <v>100025701</v>
      </c>
      <c r="F56" s="159" t="s">
        <v>3151</v>
      </c>
      <c r="G56" s="106" t="s">
        <v>3037</v>
      </c>
      <c r="H56" s="106" t="s">
        <v>3037</v>
      </c>
      <c r="I56" s="249" t="s">
        <v>3038</v>
      </c>
      <c r="J56" s="106">
        <v>1</v>
      </c>
      <c r="K56" s="153">
        <f>VLOOKUP(E56,'All Products'!$D:$H,5,0)</f>
        <v>173.8</v>
      </c>
      <c r="L56" s="205">
        <f>ROUND(K56*Order_Quote!$L$18,2)</f>
        <v>869</v>
      </c>
      <c r="M56" s="78"/>
      <c r="N56" s="116"/>
      <c r="O56" s="497">
        <f t="shared" si="3"/>
        <v>0</v>
      </c>
      <c r="Q56" s="496" t="s">
        <v>76</v>
      </c>
      <c r="R56" s="249" t="s">
        <v>102</v>
      </c>
      <c r="S56" s="325">
        <v>0</v>
      </c>
      <c r="T56" s="325">
        <v>0</v>
      </c>
      <c r="U56" s="330">
        <v>0</v>
      </c>
      <c r="V56" s="357">
        <v>6.2949999999999999</v>
      </c>
      <c r="W56" s="497">
        <v>1.58</v>
      </c>
    </row>
    <row r="57" spans="1:23">
      <c r="A57" s="104" t="str">
        <f>IF(M57&gt;0,COUNT($A$9:A56)+COUNT('DWV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7" s="639"/>
      <c r="C57" s="580"/>
      <c r="D57" s="158" t="s">
        <v>3152</v>
      </c>
      <c r="E57" s="106">
        <v>100025125</v>
      </c>
      <c r="F57" s="159" t="s">
        <v>3153</v>
      </c>
      <c r="G57" s="106" t="s">
        <v>2929</v>
      </c>
      <c r="H57" s="106" t="s">
        <v>2929</v>
      </c>
      <c r="I57" s="249" t="s">
        <v>3038</v>
      </c>
      <c r="J57" s="106">
        <v>1</v>
      </c>
      <c r="K57" s="153">
        <f>VLOOKUP(E57,'All Products'!$D:$H,5,0)</f>
        <v>173.8</v>
      </c>
      <c r="L57" s="205">
        <f>ROUND(K57*Order_Quote!$L$18,2)</f>
        <v>869</v>
      </c>
      <c r="M57" s="78"/>
      <c r="N57" s="116"/>
      <c r="O57" s="497">
        <f t="shared" si="3"/>
        <v>0</v>
      </c>
      <c r="Q57" s="496" t="s">
        <v>76</v>
      </c>
      <c r="R57" s="249" t="s">
        <v>102</v>
      </c>
      <c r="S57" s="325">
        <v>0</v>
      </c>
      <c r="T57" s="325">
        <v>0</v>
      </c>
      <c r="U57" s="330">
        <v>0</v>
      </c>
      <c r="V57" s="357">
        <v>6.2949999999999999</v>
      </c>
      <c r="W57" s="497">
        <v>1.58</v>
      </c>
    </row>
    <row r="58" spans="1:23">
      <c r="A58" s="104" t="str">
        <f>IF(M58&gt;0,COUNT($A$9:A57)+COUNT('DWV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8" s="639"/>
      <c r="C58" s="580"/>
      <c r="D58" s="158" t="s">
        <v>3154</v>
      </c>
      <c r="E58" s="106">
        <v>100025124</v>
      </c>
      <c r="F58" s="159" t="s">
        <v>3155</v>
      </c>
      <c r="G58" s="106" t="s">
        <v>2941</v>
      </c>
      <c r="H58" s="106" t="s">
        <v>2941</v>
      </c>
      <c r="I58" s="249" t="s">
        <v>3048</v>
      </c>
      <c r="J58" s="106">
        <v>1</v>
      </c>
      <c r="K58" s="153">
        <f>VLOOKUP(E58,'All Products'!$D:$H,5,0)</f>
        <v>173.8</v>
      </c>
      <c r="L58" s="205">
        <f>ROUND(K58*Order_Quote!$L$18,2)</f>
        <v>869</v>
      </c>
      <c r="M58" s="78"/>
      <c r="N58" s="116"/>
      <c r="O58" s="497">
        <f t="shared" si="3"/>
        <v>0</v>
      </c>
      <c r="Q58" s="496" t="s">
        <v>359</v>
      </c>
      <c r="R58" s="249" t="s">
        <v>102</v>
      </c>
      <c r="S58" s="325">
        <v>0</v>
      </c>
      <c r="T58" s="325">
        <v>0</v>
      </c>
      <c r="U58" s="330">
        <v>0</v>
      </c>
      <c r="V58" s="357">
        <v>6.2949999999999999</v>
      </c>
      <c r="W58" s="497">
        <v>1.58</v>
      </c>
    </row>
    <row r="59" spans="1:23">
      <c r="A59" s="104" t="str">
        <f>IF(M59&gt;0,COUNT($A$9:A58)+COUNT('DWV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59" s="639"/>
      <c r="C59" s="580"/>
      <c r="D59" s="158" t="s">
        <v>3156</v>
      </c>
      <c r="E59" s="106">
        <v>100025120</v>
      </c>
      <c r="F59" s="159" t="s">
        <v>3157</v>
      </c>
      <c r="G59" s="106" t="s">
        <v>2929</v>
      </c>
      <c r="H59" s="106" t="s">
        <v>3037</v>
      </c>
      <c r="I59" s="249" t="s">
        <v>3158</v>
      </c>
      <c r="J59" s="106">
        <v>1</v>
      </c>
      <c r="K59" s="153">
        <f>VLOOKUP(E59,'All Products'!$D:$H,5,0)</f>
        <v>173.8</v>
      </c>
      <c r="L59" s="205">
        <f>ROUND(K59*Order_Quote!$L$18,2)</f>
        <v>869</v>
      </c>
      <c r="M59" s="78"/>
      <c r="N59" s="116"/>
      <c r="O59" s="497">
        <f t="shared" si="3"/>
        <v>0</v>
      </c>
      <c r="Q59" s="496" t="s">
        <v>359</v>
      </c>
      <c r="R59" s="249" t="s">
        <v>102</v>
      </c>
      <c r="S59" s="325">
        <v>0</v>
      </c>
      <c r="T59" s="325">
        <v>0</v>
      </c>
      <c r="U59" s="330">
        <v>0</v>
      </c>
      <c r="V59" s="357">
        <v>6.2949999999999999</v>
      </c>
      <c r="W59" s="497">
        <v>1.58</v>
      </c>
    </row>
    <row r="60" spans="1:23" ht="15.75" thickBot="1">
      <c r="A60" s="104" t="str">
        <f>IF(M60&gt;0,COUNT($A$9:A59)+COUNT('DWV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0" s="640"/>
      <c r="C60" s="641"/>
      <c r="D60" s="185" t="s">
        <v>3159</v>
      </c>
      <c r="E60" s="151">
        <v>100025705</v>
      </c>
      <c r="F60" s="186" t="s">
        <v>3160</v>
      </c>
      <c r="G60" s="151" t="s">
        <v>3161</v>
      </c>
      <c r="H60" s="151" t="s">
        <v>3161</v>
      </c>
      <c r="I60" s="250" t="s">
        <v>3158</v>
      </c>
      <c r="J60" s="151">
        <v>1</v>
      </c>
      <c r="K60" s="251">
        <f>VLOOKUP(E60,'All Products'!$D:$H,5,0)</f>
        <v>173.8</v>
      </c>
      <c r="L60" s="214">
        <f>ROUND(K60*Order_Quote!$L$18,2)</f>
        <v>869</v>
      </c>
      <c r="M60" s="187"/>
      <c r="N60" s="488"/>
      <c r="O60" s="499">
        <f t="shared" si="3"/>
        <v>0</v>
      </c>
      <c r="Q60" s="498" t="s">
        <v>76</v>
      </c>
      <c r="R60" s="250" t="s">
        <v>102</v>
      </c>
      <c r="S60" s="326">
        <v>0</v>
      </c>
      <c r="T60" s="326">
        <v>0</v>
      </c>
      <c r="U60" s="331">
        <v>0</v>
      </c>
      <c r="V60" s="358">
        <v>6.2949999999999999</v>
      </c>
      <c r="W60" s="499">
        <v>1.58</v>
      </c>
    </row>
    <row r="61" spans="1:23">
      <c r="A61" s="104" t="str">
        <f>IF(M61&gt;0,COUNT($A$9:A60)+COUNT('DWV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1" s="20"/>
      <c r="C61" s="152"/>
      <c r="D61" s="152"/>
      <c r="E61" s="152"/>
      <c r="F61" s="152"/>
      <c r="G61" s="154"/>
      <c r="H61" s="154"/>
      <c r="I61" s="252"/>
      <c r="J61" s="152"/>
      <c r="K61" s="152"/>
      <c r="L61" s="253"/>
      <c r="M61" s="152"/>
      <c r="N61" s="152"/>
      <c r="O61" s="152"/>
      <c r="Q61" s="252"/>
      <c r="R61" s="252"/>
      <c r="S61" s="252"/>
      <c r="T61" s="252"/>
      <c r="U61" s="252"/>
      <c r="V61" s="152"/>
      <c r="W61" s="152"/>
    </row>
    <row r="62" spans="1:23" ht="19.5" thickBot="1">
      <c r="A62" s="104" t="str">
        <f>IF(M62&gt;0,COUNT($A$9:A61)+COUNT('DWV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2" s="148" t="s">
        <v>3162</v>
      </c>
      <c r="C62" s="152"/>
      <c r="D62" s="152"/>
      <c r="E62" s="152"/>
      <c r="F62" s="152"/>
      <c r="G62" s="154"/>
      <c r="H62" s="154"/>
      <c r="I62" s="252"/>
      <c r="J62" s="152"/>
      <c r="K62" s="152"/>
      <c r="L62" s="253"/>
      <c r="M62" s="152"/>
      <c r="N62" s="152"/>
      <c r="O62" s="152"/>
      <c r="Q62" s="252"/>
      <c r="R62" s="252"/>
      <c r="S62" s="252"/>
      <c r="T62" s="252"/>
      <c r="U62" s="252"/>
      <c r="V62" s="152"/>
      <c r="W62" s="152"/>
    </row>
    <row r="63" spans="1:23" ht="16.5" thickBot="1">
      <c r="A63" s="104" t="str">
        <f>IF(M63&gt;0,COUNT($A$9:A62)+COUNT('DWV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3" s="166" t="s">
        <v>3163</v>
      </c>
      <c r="C63" s="167"/>
      <c r="D63" s="167"/>
      <c r="E63" s="167"/>
      <c r="F63" s="167"/>
      <c r="G63" s="167"/>
      <c r="H63" s="167"/>
      <c r="I63" s="167"/>
      <c r="J63" s="167"/>
      <c r="K63" s="167"/>
      <c r="L63" s="228"/>
      <c r="M63" s="167"/>
      <c r="N63" s="167"/>
      <c r="O63" s="493"/>
      <c r="Q63" s="492"/>
      <c r="R63" s="160"/>
      <c r="S63" s="160"/>
      <c r="T63" s="160"/>
      <c r="U63" s="160"/>
      <c r="V63" s="167"/>
      <c r="W63" s="493"/>
    </row>
    <row r="64" spans="1:23">
      <c r="A64" s="104" t="str">
        <f>IF(M64&gt;0,COUNT($A$9:A63)+COUNT('DWV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4" s="637"/>
      <c r="C64" s="638"/>
      <c r="D64" s="285">
        <v>10150</v>
      </c>
      <c r="E64" s="150">
        <v>100031059</v>
      </c>
      <c r="F64" s="183" t="s">
        <v>3164</v>
      </c>
      <c r="G64" s="150" t="s">
        <v>2929</v>
      </c>
      <c r="H64" s="150" t="s">
        <v>3037</v>
      </c>
      <c r="I64" s="247" t="s">
        <v>3038</v>
      </c>
      <c r="J64" s="150">
        <v>126</v>
      </c>
      <c r="K64" s="248">
        <f>VLOOKUP(E64,'All Products'!$D:$H,5,0)</f>
        <v>71.209999999999994</v>
      </c>
      <c r="L64" s="213">
        <f>ROUND(K64*Order_Quote!$L$18,2)</f>
        <v>356.05</v>
      </c>
      <c r="M64" s="191"/>
      <c r="N64" s="487"/>
      <c r="O64" s="495">
        <f>M64/J64</f>
        <v>0</v>
      </c>
      <c r="Q64" s="494" t="s">
        <v>76</v>
      </c>
      <c r="R64" s="247" t="s">
        <v>102</v>
      </c>
      <c r="S64" s="360">
        <v>0</v>
      </c>
      <c r="T64" s="324">
        <v>0</v>
      </c>
      <c r="U64" s="329">
        <v>0</v>
      </c>
      <c r="V64" s="356">
        <v>4.1399999999999997</v>
      </c>
      <c r="W64" s="495">
        <v>1.5</v>
      </c>
    </row>
    <row r="65" spans="1:23">
      <c r="A65" s="104" t="str">
        <f>IF(M65&gt;0,COUNT($A$9:A64)+COUNT('DWV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5" s="639"/>
      <c r="C65" s="580"/>
      <c r="D65" s="286">
        <v>10151</v>
      </c>
      <c r="E65" s="106">
        <v>100031060</v>
      </c>
      <c r="F65" s="159" t="s">
        <v>3165</v>
      </c>
      <c r="G65" s="106" t="s">
        <v>3037</v>
      </c>
      <c r="H65" s="106" t="s">
        <v>3037</v>
      </c>
      <c r="I65" s="249" t="s">
        <v>3038</v>
      </c>
      <c r="J65" s="106">
        <v>126</v>
      </c>
      <c r="K65" s="153">
        <f>VLOOKUP(E65,'All Products'!$D:$H,5,0)</f>
        <v>71.209999999999994</v>
      </c>
      <c r="L65" s="205">
        <f>ROUND(K65*Order_Quote!$L$18,2)</f>
        <v>356.05</v>
      </c>
      <c r="M65" s="78"/>
      <c r="N65" s="116"/>
      <c r="O65" s="497">
        <f>M65/J65</f>
        <v>0</v>
      </c>
      <c r="Q65" s="496" t="s">
        <v>359</v>
      </c>
      <c r="R65" s="249" t="s">
        <v>102</v>
      </c>
      <c r="S65" s="361">
        <v>0</v>
      </c>
      <c r="T65" s="325">
        <v>0</v>
      </c>
      <c r="U65" s="330">
        <v>0</v>
      </c>
      <c r="V65" s="357">
        <v>4.1399999999999997</v>
      </c>
      <c r="W65" s="497">
        <v>1.5</v>
      </c>
    </row>
    <row r="66" spans="1:23" ht="15.75" thickBot="1">
      <c r="A66" s="104" t="str">
        <f>IF(M66&gt;0,COUNT($A$9:A65)+COUNT('DWV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6" s="640"/>
      <c r="C66" s="641"/>
      <c r="D66" s="287">
        <v>10153</v>
      </c>
      <c r="E66" s="151">
        <v>100031062</v>
      </c>
      <c r="F66" s="186" t="s">
        <v>3166</v>
      </c>
      <c r="G66" s="151" t="s">
        <v>2941</v>
      </c>
      <c r="H66" s="151" t="s">
        <v>2941</v>
      </c>
      <c r="I66" s="250" t="s">
        <v>3038</v>
      </c>
      <c r="J66" s="151">
        <v>126</v>
      </c>
      <c r="K66" s="251">
        <f>VLOOKUP(E66,'All Products'!$D:$H,5,0)</f>
        <v>71.209999999999994</v>
      </c>
      <c r="L66" s="214">
        <f>ROUND(K66*Order_Quote!$L$18,2)</f>
        <v>356.05</v>
      </c>
      <c r="M66" s="187"/>
      <c r="N66" s="488"/>
      <c r="O66" s="499">
        <f>M66/J66</f>
        <v>0</v>
      </c>
      <c r="Q66" s="498" t="s">
        <v>359</v>
      </c>
      <c r="R66" s="250" t="s">
        <v>102</v>
      </c>
      <c r="S66" s="362">
        <v>0</v>
      </c>
      <c r="T66" s="326">
        <v>0</v>
      </c>
      <c r="U66" s="331">
        <v>0</v>
      </c>
      <c r="V66" s="358">
        <v>4.1399999999999997</v>
      </c>
      <c r="W66" s="499">
        <v>1.5</v>
      </c>
    </row>
    <row r="67" spans="1:23" ht="15.75">
      <c r="A67" s="104" t="str">
        <f>IF(M67&gt;0,COUNT($A$9:A66)+COUNT('DWV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7" s="147"/>
      <c r="C67" s="147"/>
      <c r="D67" s="152"/>
      <c r="E67" s="152"/>
      <c r="F67" s="152"/>
      <c r="G67" s="154"/>
      <c r="H67" s="154"/>
      <c r="I67" s="252"/>
      <c r="J67" s="152"/>
      <c r="K67" s="152"/>
      <c r="L67" s="253"/>
      <c r="M67" s="152"/>
      <c r="N67" s="152"/>
      <c r="O67" s="152"/>
      <c r="Q67" s="252"/>
      <c r="R67" s="252"/>
      <c r="S67" s="252"/>
      <c r="T67" s="252"/>
      <c r="U67" s="252"/>
      <c r="V67" s="152"/>
      <c r="W67" s="152"/>
    </row>
    <row r="68" spans="1:23" ht="19.5" thickBot="1">
      <c r="A68" s="104" t="str">
        <f>IF(M68&gt;0,COUNT($A$9:A67)+COUNT('DWV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8" s="242" t="s">
        <v>3167</v>
      </c>
      <c r="C68" s="232"/>
      <c r="D68" s="152"/>
      <c r="E68" s="152"/>
      <c r="F68" s="152"/>
      <c r="G68" s="154"/>
      <c r="H68" s="154"/>
      <c r="I68" s="252"/>
      <c r="J68" s="152"/>
      <c r="K68" s="152"/>
      <c r="L68" s="253"/>
      <c r="M68" s="152"/>
      <c r="N68" s="152"/>
      <c r="O68" s="152"/>
      <c r="Q68" s="252"/>
      <c r="R68" s="252"/>
      <c r="S68" s="252"/>
      <c r="T68" s="252"/>
      <c r="U68" s="252"/>
      <c r="V68" s="152"/>
      <c r="W68" s="152"/>
    </row>
    <row r="69" spans="1:23" ht="16.5" thickBot="1">
      <c r="A69" s="104" t="str">
        <f>IF(M69&gt;0,COUNT($A$9:A68)+COUNT('DWV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69" s="166" t="s">
        <v>3168</v>
      </c>
      <c r="C69" s="167"/>
      <c r="D69" s="167"/>
      <c r="E69" s="167"/>
      <c r="F69" s="167"/>
      <c r="G69" s="167"/>
      <c r="H69" s="167"/>
      <c r="I69" s="167"/>
      <c r="J69" s="167"/>
      <c r="K69" s="167"/>
      <c r="L69" s="228"/>
      <c r="M69" s="167"/>
      <c r="N69" s="167"/>
      <c r="O69" s="493"/>
      <c r="Q69" s="492"/>
      <c r="R69" s="160"/>
      <c r="S69" s="160"/>
      <c r="T69" s="160"/>
      <c r="U69" s="160"/>
      <c r="V69" s="167"/>
      <c r="W69" s="493"/>
    </row>
    <row r="70" spans="1:23">
      <c r="A70" s="104" t="str">
        <f>IF(M70&gt;0,COUNT($A$9:A69)+COUNT('DWV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0" s="637"/>
      <c r="C70" s="638"/>
      <c r="D70" s="182" t="s">
        <v>3169</v>
      </c>
      <c r="E70" s="150">
        <v>100025707</v>
      </c>
      <c r="F70" s="183" t="s">
        <v>3170</v>
      </c>
      <c r="G70" s="150" t="s">
        <v>2929</v>
      </c>
      <c r="H70" s="150" t="s">
        <v>3037</v>
      </c>
      <c r="I70" s="247" t="s">
        <v>3038</v>
      </c>
      <c r="J70" s="150">
        <v>98</v>
      </c>
      <c r="K70" s="248">
        <f>VLOOKUP(E70,'All Products'!$D:$H,5,0)</f>
        <v>82.86</v>
      </c>
      <c r="L70" s="213">
        <f>ROUND(K70*Order_Quote!$L$18,2)</f>
        <v>414.3</v>
      </c>
      <c r="M70" s="191"/>
      <c r="N70" s="487"/>
      <c r="O70" s="495">
        <f t="shared" ref="O70:O80" si="4">M70/J70</f>
        <v>0</v>
      </c>
      <c r="Q70" s="494" t="s">
        <v>76</v>
      </c>
      <c r="R70" s="247" t="s">
        <v>102</v>
      </c>
      <c r="S70" s="324" t="s">
        <v>3171</v>
      </c>
      <c r="T70" s="324">
        <v>0</v>
      </c>
      <c r="U70" s="329" t="s">
        <v>3172</v>
      </c>
      <c r="V70" s="356">
        <v>6.56</v>
      </c>
      <c r="W70" s="495">
        <v>1.04</v>
      </c>
    </row>
    <row r="71" spans="1:23">
      <c r="A71" s="104" t="str">
        <f>IF(M71&gt;0,COUNT($A$9:A70)+COUNT('DWV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1" s="639"/>
      <c r="C71" s="580"/>
      <c r="D71" s="158" t="s">
        <v>3173</v>
      </c>
      <c r="E71" s="106">
        <v>100025722</v>
      </c>
      <c r="F71" s="159" t="s">
        <v>3174</v>
      </c>
      <c r="G71" s="106" t="s">
        <v>3037</v>
      </c>
      <c r="H71" s="106" t="s">
        <v>3037</v>
      </c>
      <c r="I71" s="249" t="s">
        <v>3038</v>
      </c>
      <c r="J71" s="106">
        <v>98</v>
      </c>
      <c r="K71" s="153">
        <f>VLOOKUP(E71,'All Products'!$D:$H,5,0)</f>
        <v>82.86</v>
      </c>
      <c r="L71" s="205">
        <f>ROUND(K71*Order_Quote!$L$18,2)</f>
        <v>414.3</v>
      </c>
      <c r="M71" s="78"/>
      <c r="N71" s="116"/>
      <c r="O71" s="497">
        <f t="shared" si="4"/>
        <v>0</v>
      </c>
      <c r="Q71" s="496" t="s">
        <v>76</v>
      </c>
      <c r="R71" s="249" t="s">
        <v>102</v>
      </c>
      <c r="S71" s="325" t="s">
        <v>3175</v>
      </c>
      <c r="T71" s="325">
        <v>0</v>
      </c>
      <c r="U71" s="330" t="s">
        <v>3176</v>
      </c>
      <c r="V71" s="357">
        <v>6.56</v>
      </c>
      <c r="W71" s="497">
        <v>1.04</v>
      </c>
    </row>
    <row r="72" spans="1:23">
      <c r="A72" s="104" t="str">
        <f>IF(M72&gt;0,COUNT($A$9:A71)+COUNT('DWV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2" s="639"/>
      <c r="C72" s="580"/>
      <c r="D72" s="158" t="s">
        <v>3177</v>
      </c>
      <c r="E72" s="106">
        <v>100025742</v>
      </c>
      <c r="F72" s="159" t="s">
        <v>3178</v>
      </c>
      <c r="G72" s="106" t="s">
        <v>3043</v>
      </c>
      <c r="H72" s="106" t="s">
        <v>3043</v>
      </c>
      <c r="I72" s="249" t="s">
        <v>3038</v>
      </c>
      <c r="J72" s="106">
        <v>98</v>
      </c>
      <c r="K72" s="153">
        <f>VLOOKUP(E72,'All Products'!$D:$H,5,0)</f>
        <v>82.86</v>
      </c>
      <c r="L72" s="205">
        <f>ROUND(K72*Order_Quote!$L$18,2)</f>
        <v>414.3</v>
      </c>
      <c r="M72" s="78"/>
      <c r="N72" s="116"/>
      <c r="O72" s="497">
        <f t="shared" si="4"/>
        <v>0</v>
      </c>
      <c r="Q72" s="496" t="s">
        <v>76</v>
      </c>
      <c r="R72" s="249" t="s">
        <v>102</v>
      </c>
      <c r="S72" s="325" t="s">
        <v>3179</v>
      </c>
      <c r="T72" s="325">
        <v>0</v>
      </c>
      <c r="U72" s="330" t="s">
        <v>3180</v>
      </c>
      <c r="V72" s="357">
        <v>6.56</v>
      </c>
      <c r="W72" s="497">
        <v>1.04</v>
      </c>
    </row>
    <row r="73" spans="1:23">
      <c r="A73" s="104" t="str">
        <f>IF(M73&gt;0,COUNT($A$9:A72)+COUNT('DWV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3" s="639"/>
      <c r="C73" s="580"/>
      <c r="D73" s="158" t="s">
        <v>3181</v>
      </c>
      <c r="E73" s="106">
        <v>100025750</v>
      </c>
      <c r="F73" s="159" t="s">
        <v>3182</v>
      </c>
      <c r="G73" s="106" t="s">
        <v>2941</v>
      </c>
      <c r="H73" s="106" t="s">
        <v>2941</v>
      </c>
      <c r="I73" s="249" t="s">
        <v>3048</v>
      </c>
      <c r="J73" s="106">
        <v>98</v>
      </c>
      <c r="K73" s="153">
        <f>VLOOKUP(E73,'All Products'!$D:$H,5,0)</f>
        <v>82.86</v>
      </c>
      <c r="L73" s="205">
        <f>ROUND(K73*Order_Quote!$L$18,2)</f>
        <v>414.3</v>
      </c>
      <c r="M73" s="78"/>
      <c r="N73" s="116"/>
      <c r="O73" s="497">
        <f t="shared" si="4"/>
        <v>0</v>
      </c>
      <c r="Q73" s="496" t="s">
        <v>359</v>
      </c>
      <c r="R73" s="249" t="s">
        <v>102</v>
      </c>
      <c r="S73" s="325" t="s">
        <v>3183</v>
      </c>
      <c r="T73" s="325">
        <v>0</v>
      </c>
      <c r="U73" s="330" t="s">
        <v>3184</v>
      </c>
      <c r="V73" s="357">
        <v>6.56</v>
      </c>
      <c r="W73" s="497">
        <v>1.04</v>
      </c>
    </row>
    <row r="74" spans="1:23">
      <c r="A74" s="104" t="str">
        <f>IF(M74&gt;0,COUNT($A$9:A73)+COUNT('DWV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4" s="639"/>
      <c r="C74" s="580"/>
      <c r="D74" s="158" t="s">
        <v>3185</v>
      </c>
      <c r="E74" s="106">
        <v>100025754</v>
      </c>
      <c r="F74" s="159" t="s">
        <v>3186</v>
      </c>
      <c r="G74" s="106" t="s">
        <v>2929</v>
      </c>
      <c r="H74" s="106" t="s">
        <v>2929</v>
      </c>
      <c r="I74" s="249" t="s">
        <v>3038</v>
      </c>
      <c r="J74" s="106">
        <v>98</v>
      </c>
      <c r="K74" s="153">
        <f>VLOOKUP(E74,'All Products'!$D:$H,5,0)</f>
        <v>82.86</v>
      </c>
      <c r="L74" s="205">
        <f>ROUND(K74*Order_Quote!$L$18,2)</f>
        <v>414.3</v>
      </c>
      <c r="M74" s="78"/>
      <c r="N74" s="116"/>
      <c r="O74" s="497">
        <f t="shared" si="4"/>
        <v>0</v>
      </c>
      <c r="Q74" s="496" t="s">
        <v>76</v>
      </c>
      <c r="R74" s="249" t="s">
        <v>102</v>
      </c>
      <c r="S74" s="325" t="s">
        <v>3187</v>
      </c>
      <c r="T74" s="325">
        <v>0</v>
      </c>
      <c r="U74" s="330" t="s">
        <v>3188</v>
      </c>
      <c r="V74" s="357">
        <v>6.56</v>
      </c>
      <c r="W74" s="497">
        <v>1.04</v>
      </c>
    </row>
    <row r="75" spans="1:23">
      <c r="A75" s="104" t="str">
        <f>IF(M75&gt;0,COUNT($A$9:A74)+COUNT('DWV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5" s="639"/>
      <c r="C75" s="580"/>
      <c r="D75" s="158" t="s">
        <v>3189</v>
      </c>
      <c r="E75" s="106">
        <v>100025131</v>
      </c>
      <c r="F75" s="159" t="s">
        <v>3190</v>
      </c>
      <c r="G75" s="106" t="s">
        <v>2929</v>
      </c>
      <c r="H75" s="106" t="s">
        <v>3037</v>
      </c>
      <c r="I75" s="249" t="s">
        <v>3191</v>
      </c>
      <c r="J75" s="106">
        <v>98</v>
      </c>
      <c r="K75" s="153">
        <f>VLOOKUP(E75,'All Products'!$D:$H,5,0)</f>
        <v>82.86</v>
      </c>
      <c r="L75" s="205">
        <f>ROUND(K75*Order_Quote!$L$18,2)</f>
        <v>414.3</v>
      </c>
      <c r="M75" s="78"/>
      <c r="N75" s="116"/>
      <c r="O75" s="497">
        <f t="shared" si="4"/>
        <v>0</v>
      </c>
      <c r="Q75" s="496" t="s">
        <v>359</v>
      </c>
      <c r="R75" s="249" t="s">
        <v>102</v>
      </c>
      <c r="S75" s="325" t="s">
        <v>3192</v>
      </c>
      <c r="T75" s="325">
        <v>0</v>
      </c>
      <c r="U75" s="330">
        <v>0</v>
      </c>
      <c r="V75" s="357">
        <v>7.14</v>
      </c>
      <c r="W75" s="497">
        <v>1.04</v>
      </c>
    </row>
    <row r="76" spans="1:23">
      <c r="A76" s="104" t="str">
        <f>IF(M76&gt;0,COUNT($A$9:A75)+COUNT('DWV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6" s="639"/>
      <c r="C76" s="580"/>
      <c r="D76" s="158" t="s">
        <v>3193</v>
      </c>
      <c r="E76" s="106">
        <v>100025182</v>
      </c>
      <c r="F76" s="159" t="s">
        <v>3194</v>
      </c>
      <c r="G76" s="106" t="s">
        <v>2929</v>
      </c>
      <c r="H76" s="106" t="s">
        <v>2929</v>
      </c>
      <c r="I76" s="249" t="s">
        <v>3191</v>
      </c>
      <c r="J76" s="106">
        <v>98</v>
      </c>
      <c r="K76" s="153">
        <f>VLOOKUP(E76,'All Products'!$D:$H,5,0)</f>
        <v>82.86</v>
      </c>
      <c r="L76" s="205">
        <f>ROUND(K76*Order_Quote!$L$18,2)</f>
        <v>414.3</v>
      </c>
      <c r="M76" s="78"/>
      <c r="N76" s="116"/>
      <c r="O76" s="497">
        <f t="shared" si="4"/>
        <v>0</v>
      </c>
      <c r="Q76" s="496" t="s">
        <v>359</v>
      </c>
      <c r="R76" s="249" t="s">
        <v>102</v>
      </c>
      <c r="S76" s="325" t="s">
        <v>3195</v>
      </c>
      <c r="T76" s="325">
        <v>0</v>
      </c>
      <c r="U76" s="330">
        <v>0</v>
      </c>
      <c r="V76" s="357">
        <v>7.3</v>
      </c>
      <c r="W76" s="497">
        <v>1.04</v>
      </c>
    </row>
    <row r="77" spans="1:23">
      <c r="A77" s="104" t="str">
        <f>IF(M77&gt;0,COUNT($A$9:A76)+COUNT('DWV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7" s="639"/>
      <c r="C77" s="580"/>
      <c r="D77" s="158" t="s">
        <v>3196</v>
      </c>
      <c r="E77" s="106">
        <v>100025144</v>
      </c>
      <c r="F77" s="159" t="s">
        <v>3197</v>
      </c>
      <c r="G77" s="106" t="s">
        <v>3037</v>
      </c>
      <c r="H77" s="106" t="s">
        <v>3037</v>
      </c>
      <c r="I77" s="249" t="s">
        <v>3063</v>
      </c>
      <c r="J77" s="106">
        <v>98</v>
      </c>
      <c r="K77" s="153">
        <f>VLOOKUP(E77,'All Products'!$D:$H,5,0)</f>
        <v>82.86</v>
      </c>
      <c r="L77" s="205">
        <f>ROUND(K77*Order_Quote!$L$18,2)</f>
        <v>414.3</v>
      </c>
      <c r="M77" s="78"/>
      <c r="N77" s="116"/>
      <c r="O77" s="497">
        <f t="shared" si="4"/>
        <v>0</v>
      </c>
      <c r="Q77" s="496" t="s">
        <v>359</v>
      </c>
      <c r="R77" s="249" t="s">
        <v>102</v>
      </c>
      <c r="S77" s="325" t="s">
        <v>3198</v>
      </c>
      <c r="T77" s="325">
        <v>0</v>
      </c>
      <c r="U77" s="330" t="s">
        <v>3199</v>
      </c>
      <c r="V77" s="357">
        <v>6.56</v>
      </c>
      <c r="W77" s="497">
        <v>1.04</v>
      </c>
    </row>
    <row r="78" spans="1:23">
      <c r="A78" s="104" t="str">
        <f>IF(M78&gt;0,COUNT($A$9:A77)+COUNT('DWV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8" s="639"/>
      <c r="C78" s="580"/>
      <c r="D78" s="158" t="s">
        <v>3200</v>
      </c>
      <c r="E78" s="106">
        <v>100025181</v>
      </c>
      <c r="F78" s="159" t="s">
        <v>3201</v>
      </c>
      <c r="G78" s="106" t="s">
        <v>2929</v>
      </c>
      <c r="H78" s="106" t="s">
        <v>2929</v>
      </c>
      <c r="I78" s="249" t="s">
        <v>3063</v>
      </c>
      <c r="J78" s="106">
        <v>98</v>
      </c>
      <c r="K78" s="153">
        <f>VLOOKUP(E78,'All Products'!$D:$H,5,0)</f>
        <v>82.86</v>
      </c>
      <c r="L78" s="205">
        <f>ROUND(K78*Order_Quote!$L$18,2)</f>
        <v>414.3</v>
      </c>
      <c r="M78" s="78"/>
      <c r="N78" s="116"/>
      <c r="O78" s="497">
        <f t="shared" si="4"/>
        <v>0</v>
      </c>
      <c r="Q78" s="496" t="s">
        <v>359</v>
      </c>
      <c r="R78" s="249" t="s">
        <v>102</v>
      </c>
      <c r="S78" s="325" t="s">
        <v>3202</v>
      </c>
      <c r="T78" s="325">
        <v>0</v>
      </c>
      <c r="U78" s="330" t="s">
        <v>3203</v>
      </c>
      <c r="V78" s="357">
        <v>6.56</v>
      </c>
      <c r="W78" s="497">
        <v>1.04</v>
      </c>
    </row>
    <row r="79" spans="1:23">
      <c r="A79" s="104" t="str">
        <f>IF(M79&gt;0,COUNT($A$9:A78)+COUNT('DWV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79" s="639"/>
      <c r="C79" s="580"/>
      <c r="D79" s="158" t="s">
        <v>3204</v>
      </c>
      <c r="E79" s="106">
        <v>100025146</v>
      </c>
      <c r="F79" s="159" t="s">
        <v>3205</v>
      </c>
      <c r="G79" s="106" t="s">
        <v>3037</v>
      </c>
      <c r="H79" s="106" t="s">
        <v>3037</v>
      </c>
      <c r="I79" s="249" t="s">
        <v>3144</v>
      </c>
      <c r="J79" s="106">
        <v>98</v>
      </c>
      <c r="K79" s="153">
        <f>VLOOKUP(E79,'All Products'!$D:$H,5,0)</f>
        <v>82.86</v>
      </c>
      <c r="L79" s="205">
        <f>ROUND(K79*Order_Quote!$L$18,2)</f>
        <v>414.3</v>
      </c>
      <c r="M79" s="78"/>
      <c r="N79" s="116"/>
      <c r="O79" s="497">
        <f t="shared" si="4"/>
        <v>0</v>
      </c>
      <c r="Q79" s="496" t="s">
        <v>359</v>
      </c>
      <c r="R79" s="249" t="s">
        <v>102</v>
      </c>
      <c r="S79" s="325" t="s">
        <v>3206</v>
      </c>
      <c r="T79" s="325">
        <v>0</v>
      </c>
      <c r="U79" s="330" t="s">
        <v>3207</v>
      </c>
      <c r="V79" s="357">
        <v>6.56</v>
      </c>
      <c r="W79" s="497">
        <v>1.04</v>
      </c>
    </row>
    <row r="80" spans="1:23" ht="15.75" thickBot="1">
      <c r="A80" s="104" t="str">
        <f>IF(M80&gt;0,COUNT($A$9:A79)+COUNT('DWV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0" s="640"/>
      <c r="C80" s="641"/>
      <c r="D80" s="254" t="s">
        <v>3208</v>
      </c>
      <c r="E80" s="151">
        <v>100025350</v>
      </c>
      <c r="F80" s="186" t="s">
        <v>3209</v>
      </c>
      <c r="G80" s="151" t="s">
        <v>2929</v>
      </c>
      <c r="H80" s="151" t="s">
        <v>3037</v>
      </c>
      <c r="I80" s="250" t="s">
        <v>3038</v>
      </c>
      <c r="J80" s="151">
        <v>98</v>
      </c>
      <c r="K80" s="251">
        <f>VLOOKUP(E80,'All Products'!$D:$H,5,0)</f>
        <v>175.68</v>
      </c>
      <c r="L80" s="214">
        <f>ROUND(K80*Order_Quote!$L$18,2)</f>
        <v>878.4</v>
      </c>
      <c r="M80" s="187"/>
      <c r="N80" s="488"/>
      <c r="O80" s="499">
        <f t="shared" si="4"/>
        <v>0</v>
      </c>
      <c r="Q80" s="498" t="s">
        <v>359</v>
      </c>
      <c r="R80" s="250" t="s">
        <v>102</v>
      </c>
      <c r="S80" s="326" t="s">
        <v>3210</v>
      </c>
      <c r="T80" s="326">
        <v>0</v>
      </c>
      <c r="U80" s="331">
        <v>0</v>
      </c>
      <c r="V80" s="358">
        <v>10.8</v>
      </c>
      <c r="W80" s="499">
        <v>1.56</v>
      </c>
    </row>
    <row r="81" spans="1:23" ht="16.5" thickBot="1">
      <c r="A81" s="104" t="str">
        <f>IF(M81&gt;0,COUNT($A$9:A80)+COUNT('DWV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1" s="169" t="s">
        <v>3211</v>
      </c>
      <c r="C81" s="168"/>
      <c r="D81" s="168"/>
      <c r="E81" s="168"/>
      <c r="F81" s="168"/>
      <c r="G81" s="168"/>
      <c r="H81" s="168"/>
      <c r="I81" s="168"/>
      <c r="J81" s="168"/>
      <c r="K81" s="168"/>
      <c r="L81" s="229"/>
      <c r="M81" s="168"/>
      <c r="N81" s="168"/>
      <c r="O81" s="501"/>
      <c r="Q81" s="500"/>
      <c r="R81" s="161"/>
      <c r="S81" s="161"/>
      <c r="T81" s="161"/>
      <c r="U81" s="161"/>
      <c r="V81" s="168"/>
      <c r="W81" s="501"/>
    </row>
    <row r="82" spans="1:23">
      <c r="A82" s="104" t="str">
        <f>IF(M82&gt;0,COUNT($A$9:A81)+COUNT('DWV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2" s="637"/>
      <c r="C82" s="638"/>
      <c r="D82" s="285">
        <v>120</v>
      </c>
      <c r="E82" s="150">
        <v>100028520</v>
      </c>
      <c r="F82" s="183" t="s">
        <v>3212</v>
      </c>
      <c r="G82" s="150" t="s">
        <v>2929</v>
      </c>
      <c r="H82" s="150" t="s">
        <v>3037</v>
      </c>
      <c r="I82" s="247" t="s">
        <v>3038</v>
      </c>
      <c r="J82" s="150">
        <v>72</v>
      </c>
      <c r="K82" s="248">
        <f>VLOOKUP(E82,'All Products'!$D:$H,5,0)</f>
        <v>108.36</v>
      </c>
      <c r="L82" s="213">
        <f>ROUND(K82*Order_Quote!$L$18,2)</f>
        <v>541.79999999999995</v>
      </c>
      <c r="M82" s="191"/>
      <c r="N82" s="487"/>
      <c r="O82" s="495">
        <f t="shared" ref="O82:O104" si="5">M82/J82</f>
        <v>0</v>
      </c>
      <c r="Q82" s="494" t="s">
        <v>76</v>
      </c>
      <c r="R82" s="247" t="s">
        <v>102</v>
      </c>
      <c r="S82" s="324" t="s">
        <v>3213</v>
      </c>
      <c r="T82" s="324">
        <v>0</v>
      </c>
      <c r="U82" s="329" t="s">
        <v>3214</v>
      </c>
      <c r="V82" s="356">
        <v>9.0500000000000007</v>
      </c>
      <c r="W82" s="495">
        <v>2.4300000000000002</v>
      </c>
    </row>
    <row r="83" spans="1:23">
      <c r="A83" s="104" t="str">
        <f>IF(M83&gt;0,COUNT($A$9:A82)+COUNT('DWV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3" s="639"/>
      <c r="C83" s="580"/>
      <c r="D83" s="286">
        <v>121</v>
      </c>
      <c r="E83" s="106">
        <v>100028521</v>
      </c>
      <c r="F83" s="159" t="s">
        <v>3215</v>
      </c>
      <c r="G83" s="106" t="s">
        <v>3037</v>
      </c>
      <c r="H83" s="106" t="s">
        <v>3037</v>
      </c>
      <c r="I83" s="249" t="s">
        <v>3038</v>
      </c>
      <c r="J83" s="106">
        <v>72</v>
      </c>
      <c r="K83" s="153">
        <f>VLOOKUP(E83,'All Products'!$D:$H,5,0)</f>
        <v>108.36</v>
      </c>
      <c r="L83" s="205">
        <f>ROUND(K83*Order_Quote!$L$18,2)</f>
        <v>541.79999999999995</v>
      </c>
      <c r="M83" s="78"/>
      <c r="N83" s="116"/>
      <c r="O83" s="497">
        <f t="shared" si="5"/>
        <v>0</v>
      </c>
      <c r="Q83" s="496" t="s">
        <v>76</v>
      </c>
      <c r="R83" s="249" t="s">
        <v>102</v>
      </c>
      <c r="S83" s="325" t="s">
        <v>3216</v>
      </c>
      <c r="T83" s="325">
        <v>0</v>
      </c>
      <c r="U83" s="330" t="s">
        <v>3217</v>
      </c>
      <c r="V83" s="357">
        <v>9.0500000000000007</v>
      </c>
      <c r="W83" s="497">
        <v>2.4300000000000002</v>
      </c>
    </row>
    <row r="84" spans="1:23">
      <c r="A84" s="104" t="str">
        <f>IF(M84&gt;0,COUNT($A$9:A83)+COUNT('DWV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4" s="639"/>
      <c r="C84" s="580"/>
      <c r="D84" s="286">
        <v>122</v>
      </c>
      <c r="E84" s="106">
        <v>100028522</v>
      </c>
      <c r="F84" s="159" t="s">
        <v>3218</v>
      </c>
      <c r="G84" s="106" t="s">
        <v>3043</v>
      </c>
      <c r="H84" s="106" t="s">
        <v>3043</v>
      </c>
      <c r="I84" s="249" t="s">
        <v>3038</v>
      </c>
      <c r="J84" s="106">
        <v>72</v>
      </c>
      <c r="K84" s="153">
        <f>VLOOKUP(E84,'All Products'!$D:$H,5,0)</f>
        <v>108.36</v>
      </c>
      <c r="L84" s="205">
        <f>ROUND(K84*Order_Quote!$L$18,2)</f>
        <v>541.79999999999995</v>
      </c>
      <c r="M84" s="78"/>
      <c r="N84" s="116"/>
      <c r="O84" s="497">
        <f t="shared" si="5"/>
        <v>0</v>
      </c>
      <c r="Q84" s="496" t="s">
        <v>76</v>
      </c>
      <c r="R84" s="249" t="s">
        <v>102</v>
      </c>
      <c r="S84" s="325" t="s">
        <v>3219</v>
      </c>
      <c r="T84" s="325">
        <v>0</v>
      </c>
      <c r="U84" s="330" t="s">
        <v>3220</v>
      </c>
      <c r="V84" s="357">
        <v>9.0500000000000007</v>
      </c>
      <c r="W84" s="497">
        <v>2.4300000000000002</v>
      </c>
    </row>
    <row r="85" spans="1:23">
      <c r="A85" s="104" t="str">
        <f>IF(M85&gt;0,COUNT($A$9:A84)+COUNT('DWV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5" s="639"/>
      <c r="C85" s="580"/>
      <c r="D85" s="286">
        <v>124</v>
      </c>
      <c r="E85" s="106">
        <v>100028524</v>
      </c>
      <c r="F85" s="159" t="s">
        <v>3221</v>
      </c>
      <c r="G85" s="106" t="s">
        <v>2929</v>
      </c>
      <c r="H85" s="106" t="s">
        <v>2929</v>
      </c>
      <c r="I85" s="249" t="s">
        <v>3038</v>
      </c>
      <c r="J85" s="106">
        <v>72</v>
      </c>
      <c r="K85" s="153">
        <f>VLOOKUP(E85,'All Products'!$D:$H,5,0)</f>
        <v>108.36</v>
      </c>
      <c r="L85" s="205">
        <f>ROUND(K85*Order_Quote!$L$18,2)</f>
        <v>541.79999999999995</v>
      </c>
      <c r="M85" s="78"/>
      <c r="N85" s="116"/>
      <c r="O85" s="497">
        <f t="shared" si="5"/>
        <v>0</v>
      </c>
      <c r="Q85" s="496" t="s">
        <v>76</v>
      </c>
      <c r="R85" s="249" t="s">
        <v>102</v>
      </c>
      <c r="S85" s="325" t="s">
        <v>3222</v>
      </c>
      <c r="T85" s="325">
        <v>0</v>
      </c>
      <c r="U85" s="330" t="s">
        <v>3223</v>
      </c>
      <c r="V85" s="357">
        <v>9.0500000000000007</v>
      </c>
      <c r="W85" s="497">
        <v>2.4300000000000002</v>
      </c>
    </row>
    <row r="86" spans="1:23" ht="24">
      <c r="A86" s="104" t="str">
        <f>IF(M86&gt;0,COUNT($A$9:A85)+COUNT('DWV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6" s="639"/>
      <c r="C86" s="580"/>
      <c r="D86" s="158" t="s">
        <v>3224</v>
      </c>
      <c r="E86" s="106">
        <v>100025733</v>
      </c>
      <c r="F86" s="159" t="s">
        <v>3225</v>
      </c>
      <c r="G86" s="106" t="s">
        <v>3037</v>
      </c>
      <c r="H86" s="106" t="s">
        <v>3037</v>
      </c>
      <c r="I86" s="162" t="s">
        <v>3097</v>
      </c>
      <c r="J86" s="106">
        <v>72</v>
      </c>
      <c r="K86" s="153">
        <f>VLOOKUP(E86,'All Products'!$D:$H,5,0)</f>
        <v>108.36</v>
      </c>
      <c r="L86" s="205">
        <f>ROUND(K86*Order_Quote!$L$18,2)</f>
        <v>541.79999999999995</v>
      </c>
      <c r="M86" s="78"/>
      <c r="N86" s="116"/>
      <c r="O86" s="497">
        <f t="shared" si="5"/>
        <v>0</v>
      </c>
      <c r="Q86" s="504" t="s">
        <v>76</v>
      </c>
      <c r="R86" s="162" t="s">
        <v>102</v>
      </c>
      <c r="S86" s="327" t="s">
        <v>3226</v>
      </c>
      <c r="T86" s="327">
        <v>0</v>
      </c>
      <c r="U86" s="332">
        <v>0</v>
      </c>
      <c r="V86" s="357">
        <v>8.83</v>
      </c>
      <c r="W86" s="497">
        <v>2.4300000000000002</v>
      </c>
    </row>
    <row r="87" spans="1:23">
      <c r="A87" s="104" t="str">
        <f>IF(M87&gt;0,COUNT($A$9:A86)+COUNT('DWV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7" s="639"/>
      <c r="C87" s="580"/>
      <c r="D87" s="286">
        <v>123</v>
      </c>
      <c r="E87" s="106">
        <v>100028523</v>
      </c>
      <c r="F87" s="159" t="s">
        <v>3227</v>
      </c>
      <c r="G87" s="106" t="s">
        <v>2941</v>
      </c>
      <c r="H87" s="106" t="s">
        <v>2941</v>
      </c>
      <c r="I87" s="249" t="s">
        <v>3048</v>
      </c>
      <c r="J87" s="106">
        <v>72</v>
      </c>
      <c r="K87" s="153">
        <f>VLOOKUP(E87,'All Products'!$D:$H,5,0)</f>
        <v>108.36</v>
      </c>
      <c r="L87" s="205">
        <f>ROUND(K87*Order_Quote!$L$18,2)</f>
        <v>541.79999999999995</v>
      </c>
      <c r="M87" s="78"/>
      <c r="N87" s="116"/>
      <c r="O87" s="497">
        <f t="shared" si="5"/>
        <v>0</v>
      </c>
      <c r="Q87" s="496" t="s">
        <v>359</v>
      </c>
      <c r="R87" s="249" t="s">
        <v>102</v>
      </c>
      <c r="S87" s="325" t="s">
        <v>3228</v>
      </c>
      <c r="T87" s="325">
        <v>0</v>
      </c>
      <c r="U87" s="330" t="s">
        <v>3229</v>
      </c>
      <c r="V87" s="357">
        <v>9.0500000000000007</v>
      </c>
      <c r="W87" s="497">
        <v>2.4300000000000002</v>
      </c>
    </row>
    <row r="88" spans="1:23">
      <c r="A88" s="104" t="str">
        <f>IF(M88&gt;0,COUNT($A$9:A87)+COUNT('DWV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8" s="639"/>
      <c r="C88" s="580"/>
      <c r="D88" s="158" t="s">
        <v>3230</v>
      </c>
      <c r="E88" s="106">
        <v>100025718</v>
      </c>
      <c r="F88" s="159" t="s">
        <v>3231</v>
      </c>
      <c r="G88" s="106" t="s">
        <v>3037</v>
      </c>
      <c r="H88" s="106" t="s">
        <v>2929</v>
      </c>
      <c r="I88" s="249" t="s">
        <v>3059</v>
      </c>
      <c r="J88" s="106">
        <v>72</v>
      </c>
      <c r="K88" s="153">
        <f>VLOOKUP(E88,'All Products'!$D:$H,5,0)</f>
        <v>108.36</v>
      </c>
      <c r="L88" s="205">
        <f>ROUND(K88*Order_Quote!$L$18,2)</f>
        <v>541.79999999999995</v>
      </c>
      <c r="M88" s="78"/>
      <c r="N88" s="116"/>
      <c r="O88" s="497">
        <f t="shared" si="5"/>
        <v>0</v>
      </c>
      <c r="Q88" s="496" t="s">
        <v>76</v>
      </c>
      <c r="R88" s="249" t="s">
        <v>102</v>
      </c>
      <c r="S88" s="325" t="s">
        <v>3232</v>
      </c>
      <c r="T88" s="325">
        <v>0</v>
      </c>
      <c r="U88" s="330" t="s">
        <v>3233</v>
      </c>
      <c r="V88" s="357">
        <v>9.0500000000000007</v>
      </c>
      <c r="W88" s="497">
        <v>2.4300000000000002</v>
      </c>
    </row>
    <row r="89" spans="1:23">
      <c r="A89" s="104" t="str">
        <f>IF(M89&gt;0,COUNT($A$9:A88)+COUNT('DWV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89" s="639"/>
      <c r="C89" s="580"/>
      <c r="D89" s="158" t="s">
        <v>3234</v>
      </c>
      <c r="E89" s="106">
        <v>100025737</v>
      </c>
      <c r="F89" s="159" t="s">
        <v>3235</v>
      </c>
      <c r="G89" s="106" t="s">
        <v>3037</v>
      </c>
      <c r="H89" s="106" t="s">
        <v>3037</v>
      </c>
      <c r="I89" s="249" t="s">
        <v>3059</v>
      </c>
      <c r="J89" s="106">
        <v>72</v>
      </c>
      <c r="K89" s="153">
        <f>VLOOKUP(E89,'All Products'!$D:$H,5,0)</f>
        <v>108.36</v>
      </c>
      <c r="L89" s="205">
        <f>ROUND(K89*Order_Quote!$L$18,2)</f>
        <v>541.79999999999995</v>
      </c>
      <c r="M89" s="78"/>
      <c r="N89" s="116"/>
      <c r="O89" s="497">
        <f t="shared" si="5"/>
        <v>0</v>
      </c>
      <c r="Q89" s="496" t="s">
        <v>76</v>
      </c>
      <c r="R89" s="249" t="s">
        <v>102</v>
      </c>
      <c r="S89" s="325" t="s">
        <v>3236</v>
      </c>
      <c r="T89" s="325">
        <v>0</v>
      </c>
      <c r="U89" s="330" t="s">
        <v>3237</v>
      </c>
      <c r="V89" s="357">
        <v>9.0500000000000007</v>
      </c>
      <c r="W89" s="497">
        <v>2.4300000000000002</v>
      </c>
    </row>
    <row r="90" spans="1:23">
      <c r="A90" s="104" t="str">
        <f>IF(M90&gt;0,COUNT($A$9:A89)+COUNT('DWV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0" s="639"/>
      <c r="C90" s="580"/>
      <c r="D90" s="158" t="s">
        <v>3238</v>
      </c>
      <c r="E90" s="106">
        <v>100025712</v>
      </c>
      <c r="F90" s="159" t="s">
        <v>3239</v>
      </c>
      <c r="G90" s="106" t="s">
        <v>2929</v>
      </c>
      <c r="H90" s="106" t="s">
        <v>3037</v>
      </c>
      <c r="I90" s="249" t="s">
        <v>3125</v>
      </c>
      <c r="J90" s="106">
        <v>72</v>
      </c>
      <c r="K90" s="153">
        <f>VLOOKUP(E90,'All Products'!$D:$H,5,0)</f>
        <v>108.36</v>
      </c>
      <c r="L90" s="205">
        <f>ROUND(K90*Order_Quote!$L$18,2)</f>
        <v>541.79999999999995</v>
      </c>
      <c r="M90" s="78"/>
      <c r="N90" s="116"/>
      <c r="O90" s="497">
        <f t="shared" si="5"/>
        <v>0</v>
      </c>
      <c r="Q90" s="496" t="s">
        <v>76</v>
      </c>
      <c r="R90" s="249" t="s">
        <v>102</v>
      </c>
      <c r="S90" s="325" t="s">
        <v>3240</v>
      </c>
      <c r="T90" s="325">
        <v>0</v>
      </c>
      <c r="U90" s="330" t="s">
        <v>3241</v>
      </c>
      <c r="V90" s="357">
        <v>9.0500000000000007</v>
      </c>
      <c r="W90" s="497">
        <v>2.4300000000000002</v>
      </c>
    </row>
    <row r="91" spans="1:23">
      <c r="A91" s="104" t="str">
        <f>IF(M91&gt;0,COUNT($A$9:A90)+COUNT('DWV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1" s="639"/>
      <c r="C91" s="580"/>
      <c r="D91" s="158" t="s">
        <v>3242</v>
      </c>
      <c r="E91" s="106">
        <v>100025731</v>
      </c>
      <c r="F91" s="159" t="s">
        <v>3243</v>
      </c>
      <c r="G91" s="106" t="s">
        <v>3037</v>
      </c>
      <c r="H91" s="106" t="s">
        <v>3037</v>
      </c>
      <c r="I91" s="249" t="s">
        <v>3125</v>
      </c>
      <c r="J91" s="106">
        <v>72</v>
      </c>
      <c r="K91" s="153">
        <f>VLOOKUP(E91,'All Products'!$D:$H,5,0)</f>
        <v>108.36</v>
      </c>
      <c r="L91" s="205">
        <f>ROUND(K91*Order_Quote!$L$18,2)</f>
        <v>541.79999999999995</v>
      </c>
      <c r="M91" s="78"/>
      <c r="N91" s="116"/>
      <c r="O91" s="497">
        <f t="shared" si="5"/>
        <v>0</v>
      </c>
      <c r="Q91" s="496" t="s">
        <v>359</v>
      </c>
      <c r="R91" s="249" t="s">
        <v>102</v>
      </c>
      <c r="S91" s="325" t="s">
        <v>3244</v>
      </c>
      <c r="T91" s="325">
        <v>0</v>
      </c>
      <c r="U91" s="330" t="s">
        <v>3245</v>
      </c>
      <c r="V91" s="357">
        <v>9.0500000000000007</v>
      </c>
      <c r="W91" s="497">
        <v>2.4300000000000002</v>
      </c>
    </row>
    <row r="92" spans="1:23">
      <c r="A92" s="104" t="str">
        <f>IF(M92&gt;0,COUNT($A$9:A91)+COUNT('DWV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2" s="639"/>
      <c r="C92" s="580"/>
      <c r="D92" s="158" t="s">
        <v>3246</v>
      </c>
      <c r="E92" s="106">
        <v>100025192</v>
      </c>
      <c r="F92" s="159" t="s">
        <v>3247</v>
      </c>
      <c r="G92" s="106" t="s">
        <v>2929</v>
      </c>
      <c r="H92" s="106" t="s">
        <v>2929</v>
      </c>
      <c r="I92" s="249" t="s">
        <v>3125</v>
      </c>
      <c r="J92" s="106">
        <v>72</v>
      </c>
      <c r="K92" s="153">
        <f>VLOOKUP(E92,'All Products'!$D:$H,5,0)</f>
        <v>108.36</v>
      </c>
      <c r="L92" s="205">
        <f>ROUND(K92*Order_Quote!$L$18,2)</f>
        <v>541.79999999999995</v>
      </c>
      <c r="M92" s="78"/>
      <c r="N92" s="116"/>
      <c r="O92" s="497">
        <f t="shared" si="5"/>
        <v>0</v>
      </c>
      <c r="Q92" s="496" t="s">
        <v>359</v>
      </c>
      <c r="R92" s="249" t="s">
        <v>102</v>
      </c>
      <c r="S92" s="325" t="s">
        <v>3248</v>
      </c>
      <c r="T92" s="325">
        <v>0</v>
      </c>
      <c r="U92" s="330" t="s">
        <v>3249</v>
      </c>
      <c r="V92" s="357">
        <v>9.0500000000000007</v>
      </c>
      <c r="W92" s="497">
        <v>2.4300000000000002</v>
      </c>
    </row>
    <row r="93" spans="1:23">
      <c r="A93" s="104" t="str">
        <f>IF(M93&gt;0,COUNT($A$9:A92)+COUNT('DWV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3" s="639"/>
      <c r="C93" s="580"/>
      <c r="D93" s="158" t="s">
        <v>3250</v>
      </c>
      <c r="E93" s="106">
        <v>100025713</v>
      </c>
      <c r="F93" s="159" t="s">
        <v>3251</v>
      </c>
      <c r="G93" s="106" t="s">
        <v>2929</v>
      </c>
      <c r="H93" s="106" t="s">
        <v>3037</v>
      </c>
      <c r="I93" s="249" t="s">
        <v>3191</v>
      </c>
      <c r="J93" s="106">
        <v>72</v>
      </c>
      <c r="K93" s="153">
        <f>VLOOKUP(E93,'All Products'!$D:$H,5,0)</f>
        <v>108.36</v>
      </c>
      <c r="L93" s="205">
        <f>ROUND(K93*Order_Quote!$L$18,2)</f>
        <v>541.79999999999995</v>
      </c>
      <c r="M93" s="78"/>
      <c r="N93" s="116"/>
      <c r="O93" s="497">
        <f t="shared" si="5"/>
        <v>0</v>
      </c>
      <c r="Q93" s="496" t="s">
        <v>359</v>
      </c>
      <c r="R93" s="249" t="s">
        <v>102</v>
      </c>
      <c r="S93" s="325" t="s">
        <v>3252</v>
      </c>
      <c r="T93" s="325">
        <v>0</v>
      </c>
      <c r="U93" s="330" t="s">
        <v>3253</v>
      </c>
      <c r="V93" s="357">
        <v>9.0500000000000007</v>
      </c>
      <c r="W93" s="497">
        <v>2.4300000000000002</v>
      </c>
    </row>
    <row r="94" spans="1:23">
      <c r="A94" s="104" t="str">
        <f>IF(M94&gt;0,COUNT($A$9:A93)+COUNT('DWV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4" s="639"/>
      <c r="C94" s="580"/>
      <c r="D94" s="158" t="s">
        <v>3254</v>
      </c>
      <c r="E94" s="106">
        <v>100025732</v>
      </c>
      <c r="F94" s="159" t="s">
        <v>3255</v>
      </c>
      <c r="G94" s="106" t="s">
        <v>3037</v>
      </c>
      <c r="H94" s="106" t="s">
        <v>3037</v>
      </c>
      <c r="I94" s="249" t="s">
        <v>3191</v>
      </c>
      <c r="J94" s="106">
        <v>72</v>
      </c>
      <c r="K94" s="153">
        <f>VLOOKUP(E94,'All Products'!$D:$H,5,0)</f>
        <v>108.36</v>
      </c>
      <c r="L94" s="205">
        <f>ROUND(K94*Order_Quote!$L$18,2)</f>
        <v>541.79999999999995</v>
      </c>
      <c r="M94" s="78"/>
      <c r="N94" s="116"/>
      <c r="O94" s="497">
        <f t="shared" si="5"/>
        <v>0</v>
      </c>
      <c r="Q94" s="496" t="s">
        <v>76</v>
      </c>
      <c r="R94" s="249" t="s">
        <v>102</v>
      </c>
      <c r="S94" s="325" t="s">
        <v>3256</v>
      </c>
      <c r="T94" s="325">
        <v>0</v>
      </c>
      <c r="U94" s="330">
        <v>0</v>
      </c>
      <c r="V94" s="357">
        <v>9.0500000000000007</v>
      </c>
      <c r="W94" s="497">
        <v>2.4300000000000002</v>
      </c>
    </row>
    <row r="95" spans="1:23">
      <c r="A95" s="104" t="str">
        <f>IF(M95&gt;0,COUNT($A$9:A94)+COUNT('DWV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5" s="639"/>
      <c r="C95" s="580"/>
      <c r="D95" s="158" t="s">
        <v>3257</v>
      </c>
      <c r="E95" s="106">
        <v>100025758</v>
      </c>
      <c r="F95" s="159" t="s">
        <v>3258</v>
      </c>
      <c r="G95" s="106" t="s">
        <v>2929</v>
      </c>
      <c r="H95" s="106" t="s">
        <v>2929</v>
      </c>
      <c r="I95" s="249" t="s">
        <v>3191</v>
      </c>
      <c r="J95" s="106">
        <v>72</v>
      </c>
      <c r="K95" s="153">
        <f>VLOOKUP(E95,'All Products'!$D:$H,5,0)</f>
        <v>108.36</v>
      </c>
      <c r="L95" s="205">
        <f>ROUND(K95*Order_Quote!$L$18,2)</f>
        <v>541.79999999999995</v>
      </c>
      <c r="M95" s="78"/>
      <c r="N95" s="116"/>
      <c r="O95" s="497">
        <f t="shared" si="5"/>
        <v>0</v>
      </c>
      <c r="Q95" s="496" t="s">
        <v>76</v>
      </c>
      <c r="R95" s="249" t="s">
        <v>102</v>
      </c>
      <c r="S95" s="325" t="s">
        <v>3259</v>
      </c>
      <c r="T95" s="325">
        <v>0</v>
      </c>
      <c r="U95" s="330">
        <v>0</v>
      </c>
      <c r="V95" s="357">
        <v>9.6300000000000008</v>
      </c>
      <c r="W95" s="497">
        <v>2.4300000000000002</v>
      </c>
    </row>
    <row r="96" spans="1:23">
      <c r="A96" s="104" t="str">
        <f>IF(M96&gt;0,COUNT($A$9:A95)+COUNT('DWV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6" s="639"/>
      <c r="C96" s="580"/>
      <c r="D96" s="158" t="s">
        <v>3260</v>
      </c>
      <c r="E96" s="106">
        <v>100025715</v>
      </c>
      <c r="F96" s="159" t="s">
        <v>3261</v>
      </c>
      <c r="G96" s="106" t="s">
        <v>2929</v>
      </c>
      <c r="H96" s="106" t="s">
        <v>3037</v>
      </c>
      <c r="I96" s="249" t="s">
        <v>3052</v>
      </c>
      <c r="J96" s="106">
        <v>72</v>
      </c>
      <c r="K96" s="153">
        <f>VLOOKUP(E96,'All Products'!$D:$H,5,0)</f>
        <v>108.36</v>
      </c>
      <c r="L96" s="205">
        <f>ROUND(K96*Order_Quote!$L$18,2)</f>
        <v>541.79999999999995</v>
      </c>
      <c r="M96" s="78"/>
      <c r="N96" s="116"/>
      <c r="O96" s="497">
        <f t="shared" si="5"/>
        <v>0</v>
      </c>
      <c r="Q96" s="496" t="s">
        <v>76</v>
      </c>
      <c r="R96" s="249" t="s">
        <v>102</v>
      </c>
      <c r="S96" s="325" t="s">
        <v>3262</v>
      </c>
      <c r="T96" s="325">
        <v>0</v>
      </c>
      <c r="U96" s="330" t="s">
        <v>3263</v>
      </c>
      <c r="V96" s="357">
        <v>9.0500000000000007</v>
      </c>
      <c r="W96" s="497">
        <v>2.4300000000000002</v>
      </c>
    </row>
    <row r="97" spans="1:23">
      <c r="A97" s="104" t="str">
        <f>IF(M97&gt;0,COUNT($A$9:A96)+COUNT('DWV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7" s="639"/>
      <c r="C97" s="580"/>
      <c r="D97" s="158" t="s">
        <v>3264</v>
      </c>
      <c r="E97" s="106">
        <v>100025160</v>
      </c>
      <c r="F97" s="159" t="s">
        <v>3265</v>
      </c>
      <c r="G97" s="106" t="s">
        <v>3037</v>
      </c>
      <c r="H97" s="106" t="s">
        <v>3037</v>
      </c>
      <c r="I97" s="249" t="s">
        <v>3052</v>
      </c>
      <c r="J97" s="106">
        <v>72</v>
      </c>
      <c r="K97" s="153">
        <f>VLOOKUP(E97,'All Products'!$D:$H,5,0)</f>
        <v>108.36</v>
      </c>
      <c r="L97" s="205">
        <f>ROUND(K97*Order_Quote!$L$18,2)</f>
        <v>541.79999999999995</v>
      </c>
      <c r="M97" s="78"/>
      <c r="N97" s="116"/>
      <c r="O97" s="497">
        <f t="shared" si="5"/>
        <v>0</v>
      </c>
      <c r="Q97" s="496" t="s">
        <v>359</v>
      </c>
      <c r="R97" s="249" t="s">
        <v>102</v>
      </c>
      <c r="S97" s="325" t="s">
        <v>3266</v>
      </c>
      <c r="T97" s="325">
        <v>0</v>
      </c>
      <c r="U97" s="330" t="s">
        <v>3267</v>
      </c>
      <c r="V97" s="357">
        <v>9.0500000000000007</v>
      </c>
      <c r="W97" s="497">
        <v>2.4300000000000002</v>
      </c>
    </row>
    <row r="98" spans="1:23">
      <c r="A98" s="104" t="str">
        <f>IF(M98&gt;0,COUNT($A$9:A97)+COUNT('DWV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8" s="639"/>
      <c r="C98" s="580"/>
      <c r="D98" s="158" t="s">
        <v>3268</v>
      </c>
      <c r="E98" s="106">
        <v>100025710</v>
      </c>
      <c r="F98" s="159" t="s">
        <v>3269</v>
      </c>
      <c r="G98" s="106" t="s">
        <v>2929</v>
      </c>
      <c r="H98" s="106" t="s">
        <v>3037</v>
      </c>
      <c r="I98" s="249" t="s">
        <v>3063</v>
      </c>
      <c r="J98" s="106">
        <v>72</v>
      </c>
      <c r="K98" s="153">
        <f>VLOOKUP(E98,'All Products'!$D:$H,5,0)</f>
        <v>108.36</v>
      </c>
      <c r="L98" s="205">
        <f>ROUND(K98*Order_Quote!$L$18,2)</f>
        <v>541.79999999999995</v>
      </c>
      <c r="M98" s="78"/>
      <c r="N98" s="116"/>
      <c r="O98" s="497">
        <f t="shared" si="5"/>
        <v>0</v>
      </c>
      <c r="Q98" s="496" t="s">
        <v>76</v>
      </c>
      <c r="R98" s="249" t="s">
        <v>102</v>
      </c>
      <c r="S98" s="325" t="s">
        <v>3270</v>
      </c>
      <c r="T98" s="325">
        <v>0</v>
      </c>
      <c r="U98" s="330" t="s">
        <v>3271</v>
      </c>
      <c r="V98" s="357">
        <v>9.0500000000000007</v>
      </c>
      <c r="W98" s="497">
        <v>2.4300000000000002</v>
      </c>
    </row>
    <row r="99" spans="1:23">
      <c r="A99" s="104" t="str">
        <f>IF(M99&gt;0,COUNT($A$9:A98)+COUNT('DWV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99" s="639"/>
      <c r="C99" s="580"/>
      <c r="D99" s="158" t="s">
        <v>3272</v>
      </c>
      <c r="E99" s="106">
        <v>100025728</v>
      </c>
      <c r="F99" s="159" t="s">
        <v>3273</v>
      </c>
      <c r="G99" s="106" t="s">
        <v>3037</v>
      </c>
      <c r="H99" s="106" t="s">
        <v>3037</v>
      </c>
      <c r="I99" s="249" t="s">
        <v>3063</v>
      </c>
      <c r="J99" s="106">
        <v>72</v>
      </c>
      <c r="K99" s="153">
        <f>VLOOKUP(E99,'All Products'!$D:$H,5,0)</f>
        <v>108.36</v>
      </c>
      <c r="L99" s="205">
        <f>ROUND(K99*Order_Quote!$L$18,2)</f>
        <v>541.79999999999995</v>
      </c>
      <c r="M99" s="78"/>
      <c r="N99" s="116"/>
      <c r="O99" s="497">
        <f t="shared" si="5"/>
        <v>0</v>
      </c>
      <c r="Q99" s="496" t="s">
        <v>76</v>
      </c>
      <c r="R99" s="249" t="s">
        <v>102</v>
      </c>
      <c r="S99" s="325" t="s">
        <v>3274</v>
      </c>
      <c r="T99" s="325">
        <v>0</v>
      </c>
      <c r="U99" s="330" t="s">
        <v>3275</v>
      </c>
      <c r="V99" s="357">
        <v>9.0500000000000007</v>
      </c>
      <c r="W99" s="497">
        <v>2.4300000000000002</v>
      </c>
    </row>
    <row r="100" spans="1:23">
      <c r="A100" s="104" t="str">
        <f>IF(M100&gt;0,COUNT($A$9:A99)+COUNT('DWV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0" s="639"/>
      <c r="C100" s="580"/>
      <c r="D100" s="158" t="s">
        <v>3276</v>
      </c>
      <c r="E100" s="106">
        <v>100025757</v>
      </c>
      <c r="F100" s="159" t="s">
        <v>3277</v>
      </c>
      <c r="G100" s="106" t="s">
        <v>2929</v>
      </c>
      <c r="H100" s="106" t="s">
        <v>2929</v>
      </c>
      <c r="I100" s="249" t="s">
        <v>3063</v>
      </c>
      <c r="J100" s="106">
        <v>72</v>
      </c>
      <c r="K100" s="153">
        <f>VLOOKUP(E100,'All Products'!$D:$H,5,0)</f>
        <v>108.36</v>
      </c>
      <c r="L100" s="205">
        <f>ROUND(K100*Order_Quote!$L$18,2)</f>
        <v>541.79999999999995</v>
      </c>
      <c r="M100" s="78"/>
      <c r="N100" s="116"/>
      <c r="O100" s="497">
        <f t="shared" si="5"/>
        <v>0</v>
      </c>
      <c r="Q100" s="496" t="s">
        <v>76</v>
      </c>
      <c r="R100" s="249" t="s">
        <v>102</v>
      </c>
      <c r="S100" s="325" t="s">
        <v>3278</v>
      </c>
      <c r="T100" s="325">
        <v>0</v>
      </c>
      <c r="U100" s="330" t="s">
        <v>3279</v>
      </c>
      <c r="V100" s="357">
        <v>9.0500000000000007</v>
      </c>
      <c r="W100" s="497">
        <v>2.4300000000000002</v>
      </c>
    </row>
    <row r="101" spans="1:23">
      <c r="A101" s="104" t="str">
        <f>IF(M101&gt;0,COUNT($A$9:A100)+COUNT('DWV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1" s="639"/>
      <c r="C101" s="580"/>
      <c r="D101" s="158" t="s">
        <v>3280</v>
      </c>
      <c r="E101" s="106">
        <v>100025767</v>
      </c>
      <c r="F101" s="159" t="s">
        <v>3281</v>
      </c>
      <c r="G101" s="106" t="s">
        <v>3161</v>
      </c>
      <c r="H101" s="106" t="s">
        <v>3161</v>
      </c>
      <c r="I101" s="249" t="s">
        <v>3063</v>
      </c>
      <c r="J101" s="106">
        <v>72</v>
      </c>
      <c r="K101" s="153">
        <f>VLOOKUP(E101,'All Products'!$D:$H,5,0)</f>
        <v>108.36</v>
      </c>
      <c r="L101" s="205">
        <f>ROUND(K101*Order_Quote!$L$18,2)</f>
        <v>541.79999999999995</v>
      </c>
      <c r="M101" s="78"/>
      <c r="N101" s="116"/>
      <c r="O101" s="497">
        <f t="shared" si="5"/>
        <v>0</v>
      </c>
      <c r="Q101" s="496" t="s">
        <v>76</v>
      </c>
      <c r="R101" s="249" t="s">
        <v>102</v>
      </c>
      <c r="S101" s="325" t="s">
        <v>3282</v>
      </c>
      <c r="T101" s="325">
        <v>0</v>
      </c>
      <c r="U101" s="330" t="s">
        <v>3283</v>
      </c>
      <c r="V101" s="357">
        <v>9.0500000000000007</v>
      </c>
      <c r="W101" s="497">
        <v>2.4300000000000002</v>
      </c>
    </row>
    <row r="102" spans="1:23">
      <c r="A102" s="104" t="str">
        <f>IF(M102&gt;0,COUNT($A$9:A101)+COUNT('DWV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2" s="639"/>
      <c r="C102" s="580"/>
      <c r="D102" s="158" t="s">
        <v>3284</v>
      </c>
      <c r="E102" s="106">
        <v>100025155</v>
      </c>
      <c r="F102" s="159" t="s">
        <v>3285</v>
      </c>
      <c r="G102" s="106" t="s">
        <v>3037</v>
      </c>
      <c r="H102" s="106" t="s">
        <v>3037</v>
      </c>
      <c r="I102" s="249" t="s">
        <v>3286</v>
      </c>
      <c r="J102" s="106">
        <v>72</v>
      </c>
      <c r="K102" s="153">
        <f>VLOOKUP(E102,'All Products'!$D:$H,5,0)</f>
        <v>108.36</v>
      </c>
      <c r="L102" s="205">
        <f>ROUND(K102*Order_Quote!$L$18,2)</f>
        <v>541.79999999999995</v>
      </c>
      <c r="M102" s="78"/>
      <c r="N102" s="116"/>
      <c r="O102" s="497">
        <f t="shared" si="5"/>
        <v>0</v>
      </c>
      <c r="Q102" s="496" t="s">
        <v>76</v>
      </c>
      <c r="R102" s="249" t="s">
        <v>102</v>
      </c>
      <c r="S102" s="325" t="s">
        <v>3287</v>
      </c>
      <c r="T102" s="325">
        <v>0</v>
      </c>
      <c r="U102" s="330" t="s">
        <v>3288</v>
      </c>
      <c r="V102" s="357">
        <v>9.0500000000000007</v>
      </c>
      <c r="W102" s="497">
        <v>2.4300000000000002</v>
      </c>
    </row>
    <row r="103" spans="1:23">
      <c r="A103" s="104" t="str">
        <f>IF(M103&gt;0,COUNT($A$9:A102)+COUNT('DWV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3" s="639"/>
      <c r="C103" s="580"/>
      <c r="D103" s="158" t="s">
        <v>3289</v>
      </c>
      <c r="E103" s="106">
        <v>100025191</v>
      </c>
      <c r="F103" s="159" t="s">
        <v>3290</v>
      </c>
      <c r="G103" s="106" t="s">
        <v>2929</v>
      </c>
      <c r="H103" s="106" t="s">
        <v>2929</v>
      </c>
      <c r="I103" s="249" t="s">
        <v>3286</v>
      </c>
      <c r="J103" s="106">
        <v>72</v>
      </c>
      <c r="K103" s="153">
        <f>VLOOKUP(E103,'All Products'!$D:$H,5,0)</f>
        <v>108.36</v>
      </c>
      <c r="L103" s="205">
        <f>ROUND(K103*Order_Quote!$L$18,2)</f>
        <v>541.79999999999995</v>
      </c>
      <c r="M103" s="78"/>
      <c r="N103" s="116"/>
      <c r="O103" s="497">
        <f t="shared" si="5"/>
        <v>0</v>
      </c>
      <c r="Q103" s="496" t="s">
        <v>359</v>
      </c>
      <c r="R103" s="249" t="s">
        <v>102</v>
      </c>
      <c r="S103" s="325" t="s">
        <v>3291</v>
      </c>
      <c r="T103" s="325">
        <v>0</v>
      </c>
      <c r="U103" s="330" t="s">
        <v>3292</v>
      </c>
      <c r="V103" s="357">
        <v>9.0500000000000007</v>
      </c>
      <c r="W103" s="497">
        <v>2.4300000000000002</v>
      </c>
    </row>
    <row r="104" spans="1:23" ht="15.75" thickBot="1">
      <c r="A104" s="104" t="str">
        <f>IF(M104&gt;0,COUNT($A$9:A103)+COUNT('DWV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4" s="640"/>
      <c r="C104" s="641"/>
      <c r="D104" s="185" t="s">
        <v>3293</v>
      </c>
      <c r="E104" s="151">
        <v>100025735</v>
      </c>
      <c r="F104" s="186" t="s">
        <v>3294</v>
      </c>
      <c r="G104" s="151" t="s">
        <v>3037</v>
      </c>
      <c r="H104" s="151" t="s">
        <v>3037</v>
      </c>
      <c r="I104" s="250" t="s">
        <v>3144</v>
      </c>
      <c r="J104" s="151">
        <v>72</v>
      </c>
      <c r="K104" s="251">
        <f>VLOOKUP(E104,'All Products'!$D:$H,5,0)</f>
        <v>108.36</v>
      </c>
      <c r="L104" s="214">
        <f>ROUND(K104*Order_Quote!$L$18,2)</f>
        <v>541.79999999999995</v>
      </c>
      <c r="M104" s="187"/>
      <c r="N104" s="488"/>
      <c r="O104" s="499">
        <f t="shared" si="5"/>
        <v>0</v>
      </c>
      <c r="Q104" s="498" t="s">
        <v>76</v>
      </c>
      <c r="R104" s="250" t="s">
        <v>102</v>
      </c>
      <c r="S104" s="326" t="s">
        <v>3295</v>
      </c>
      <c r="T104" s="326">
        <v>0</v>
      </c>
      <c r="U104" s="331" t="s">
        <v>3296</v>
      </c>
      <c r="V104" s="358">
        <v>9.0500000000000007</v>
      </c>
      <c r="W104" s="499">
        <v>2.4300000000000002</v>
      </c>
    </row>
    <row r="105" spans="1:23">
      <c r="A105" s="104" t="str">
        <f>IF(M105&gt;0,COUNT($A$9:A104)+COUNT('DWV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5" s="20"/>
      <c r="C105" s="152"/>
      <c r="D105" s="152"/>
      <c r="E105" s="152"/>
      <c r="F105" s="152"/>
      <c r="G105" s="154"/>
      <c r="H105" s="154"/>
      <c r="I105" s="252"/>
      <c r="J105" s="152"/>
      <c r="K105" s="152"/>
      <c r="L105" s="253"/>
      <c r="M105" s="152"/>
      <c r="N105" s="152"/>
      <c r="O105" s="152"/>
      <c r="Q105" s="252"/>
      <c r="R105" s="252"/>
      <c r="S105" s="252"/>
      <c r="T105" s="252"/>
      <c r="U105" s="252"/>
      <c r="V105" s="152"/>
      <c r="W105" s="152"/>
    </row>
    <row r="106" spans="1:23" ht="19.5" thickBot="1">
      <c r="A106" s="104" t="str">
        <f>IF(M106&gt;0,COUNT($A$9:A105)+COUNT('DWV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6" s="148" t="s">
        <v>3297</v>
      </c>
      <c r="C106" s="152"/>
      <c r="D106" s="152"/>
      <c r="E106" s="152"/>
      <c r="F106" s="152"/>
      <c r="G106" s="154"/>
      <c r="H106" s="154"/>
      <c r="I106" s="252"/>
      <c r="J106" s="152"/>
      <c r="K106" s="152"/>
      <c r="L106" s="253"/>
      <c r="M106" s="152"/>
      <c r="N106" s="152"/>
      <c r="O106" s="152"/>
      <c r="Q106" s="252"/>
      <c r="R106" s="252"/>
      <c r="S106" s="252"/>
      <c r="T106" s="252"/>
      <c r="U106" s="252"/>
      <c r="V106" s="152"/>
      <c r="W106" s="152"/>
    </row>
    <row r="107" spans="1:23" ht="16.5" thickBot="1">
      <c r="A107" s="104" t="str">
        <f>IF(M107&gt;0,COUNT($A$9:A106)+COUNT('DWV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7" s="166" t="s">
        <v>3298</v>
      </c>
      <c r="C107" s="167"/>
      <c r="D107" s="167"/>
      <c r="E107" s="167"/>
      <c r="F107" s="167"/>
      <c r="G107" s="167"/>
      <c r="H107" s="167"/>
      <c r="I107" s="167"/>
      <c r="J107" s="167"/>
      <c r="K107" s="167"/>
      <c r="L107" s="228"/>
      <c r="M107" s="167"/>
      <c r="N107" s="167"/>
      <c r="O107" s="493"/>
      <c r="Q107" s="492"/>
      <c r="R107" s="160"/>
      <c r="S107" s="160"/>
      <c r="T107" s="160"/>
      <c r="U107" s="160"/>
      <c r="V107" s="167"/>
      <c r="W107" s="493"/>
    </row>
    <row r="108" spans="1:23">
      <c r="A108" s="104" t="str">
        <f>IF(M108&gt;0,COUNT($A$9:A107)+COUNT('DWV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8" s="637"/>
      <c r="C108" s="638"/>
      <c r="D108" s="182" t="s">
        <v>3299</v>
      </c>
      <c r="E108" s="150">
        <v>100025720</v>
      </c>
      <c r="F108" s="183" t="s">
        <v>3300</v>
      </c>
      <c r="G108" s="150" t="s">
        <v>2929</v>
      </c>
      <c r="H108" s="150" t="s">
        <v>3037</v>
      </c>
      <c r="I108" s="247" t="s">
        <v>3038</v>
      </c>
      <c r="J108" s="150">
        <v>49</v>
      </c>
      <c r="K108" s="248">
        <f>VLOOKUP(E108,'All Products'!$D:$H,5,0)</f>
        <v>99.47</v>
      </c>
      <c r="L108" s="213">
        <f>ROUND(K108*Order_Quote!$L$18,2)</f>
        <v>497.35</v>
      </c>
      <c r="M108" s="191"/>
      <c r="N108" s="487"/>
      <c r="O108" s="495">
        <f t="shared" ref="O108:O111" si="6">M108/J108</f>
        <v>0</v>
      </c>
      <c r="Q108" s="494" t="s">
        <v>359</v>
      </c>
      <c r="R108" s="247" t="s">
        <v>102</v>
      </c>
      <c r="S108" s="324" t="s">
        <v>3301</v>
      </c>
      <c r="T108" s="324">
        <v>0</v>
      </c>
      <c r="U108" s="329" t="s">
        <v>3302</v>
      </c>
      <c r="V108" s="356">
        <v>6.7050000000000001</v>
      </c>
      <c r="W108" s="495">
        <v>1.03</v>
      </c>
    </row>
    <row r="109" spans="1:23">
      <c r="A109" s="104" t="str">
        <f>IF(M109&gt;0,COUNT($A$9:A108)+COUNT('DWV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09" s="639"/>
      <c r="C109" s="580"/>
      <c r="D109" s="158" t="s">
        <v>3303</v>
      </c>
      <c r="E109" s="106">
        <v>100025739</v>
      </c>
      <c r="F109" s="159" t="s">
        <v>3304</v>
      </c>
      <c r="G109" s="106" t="s">
        <v>3037</v>
      </c>
      <c r="H109" s="106" t="s">
        <v>3037</v>
      </c>
      <c r="I109" s="249" t="s">
        <v>3038</v>
      </c>
      <c r="J109" s="106">
        <v>49</v>
      </c>
      <c r="K109" s="153">
        <f>VLOOKUP(E109,'All Products'!$D:$H,5,0)</f>
        <v>99.47</v>
      </c>
      <c r="L109" s="205">
        <f>ROUND(K109*Order_Quote!$L$18,2)</f>
        <v>497.35</v>
      </c>
      <c r="M109" s="78"/>
      <c r="N109" s="116"/>
      <c r="O109" s="497">
        <f t="shared" si="6"/>
        <v>0</v>
      </c>
      <c r="Q109" s="496" t="s">
        <v>76</v>
      </c>
      <c r="R109" s="249" t="s">
        <v>102</v>
      </c>
      <c r="S109" s="325" t="s">
        <v>3305</v>
      </c>
      <c r="T109" s="325">
        <v>0</v>
      </c>
      <c r="U109" s="330" t="s">
        <v>3306</v>
      </c>
      <c r="V109" s="357">
        <v>6.7050000000000001</v>
      </c>
      <c r="W109" s="497">
        <v>1.03</v>
      </c>
    </row>
    <row r="110" spans="1:23">
      <c r="A110" s="104" t="str">
        <f>IF(M110&gt;0,COUNT($A$9:A109)+COUNT('DWV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0" s="639"/>
      <c r="C110" s="580"/>
      <c r="D110" s="158" t="s">
        <v>3307</v>
      </c>
      <c r="E110" s="106">
        <v>100025748</v>
      </c>
      <c r="F110" s="159" t="s">
        <v>3308</v>
      </c>
      <c r="G110" s="106" t="s">
        <v>3043</v>
      </c>
      <c r="H110" s="106" t="s">
        <v>3043</v>
      </c>
      <c r="I110" s="249" t="s">
        <v>3038</v>
      </c>
      <c r="J110" s="106">
        <v>49</v>
      </c>
      <c r="K110" s="153">
        <f>VLOOKUP(E110,'All Products'!$D:$H,5,0)</f>
        <v>99.47</v>
      </c>
      <c r="L110" s="205">
        <f>ROUND(K110*Order_Quote!$L$18,2)</f>
        <v>497.35</v>
      </c>
      <c r="M110" s="78"/>
      <c r="N110" s="116"/>
      <c r="O110" s="497">
        <f t="shared" si="6"/>
        <v>0</v>
      </c>
      <c r="Q110" s="496" t="s">
        <v>76</v>
      </c>
      <c r="R110" s="249" t="s">
        <v>102</v>
      </c>
      <c r="S110" s="325" t="s">
        <v>3309</v>
      </c>
      <c r="T110" s="325">
        <v>0</v>
      </c>
      <c r="U110" s="330" t="s">
        <v>3310</v>
      </c>
      <c r="V110" s="357">
        <v>6.7050000000000001</v>
      </c>
      <c r="W110" s="497">
        <v>1.03</v>
      </c>
    </row>
    <row r="111" spans="1:23" ht="15.75" thickBot="1">
      <c r="A111" s="104" t="str">
        <f>IF(M111&gt;0,COUNT($A$9:A110)+COUNT('DWV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1" s="640"/>
      <c r="C111" s="641"/>
      <c r="D111" s="185" t="s">
        <v>3311</v>
      </c>
      <c r="E111" s="151">
        <v>100025179</v>
      </c>
      <c r="F111" s="186" t="s">
        <v>3312</v>
      </c>
      <c r="G111" s="151" t="s">
        <v>2941</v>
      </c>
      <c r="H111" s="151" t="s">
        <v>2941</v>
      </c>
      <c r="I111" s="250" t="s">
        <v>3048</v>
      </c>
      <c r="J111" s="151">
        <v>49</v>
      </c>
      <c r="K111" s="251">
        <f>VLOOKUP(E111,'All Products'!$D:$H,5,0)</f>
        <v>99.47</v>
      </c>
      <c r="L111" s="214">
        <f>ROUND(K111*Order_Quote!$L$18,2)</f>
        <v>497.35</v>
      </c>
      <c r="M111" s="187"/>
      <c r="N111" s="488"/>
      <c r="O111" s="499">
        <f t="shared" si="6"/>
        <v>0</v>
      </c>
      <c r="Q111" s="498" t="s">
        <v>359</v>
      </c>
      <c r="R111" s="250" t="s">
        <v>102</v>
      </c>
      <c r="S111" s="326" t="s">
        <v>3313</v>
      </c>
      <c r="T111" s="326">
        <v>0</v>
      </c>
      <c r="U111" s="331" t="s">
        <v>3314</v>
      </c>
      <c r="V111" s="358">
        <v>6.7050000000000001</v>
      </c>
      <c r="W111" s="499">
        <v>1.03</v>
      </c>
    </row>
    <row r="112" spans="1:23" ht="15.75">
      <c r="A112" s="104" t="str">
        <f>IF(M112&gt;0,COUNT($A$9:A111)+COUNT('DWV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2" s="147"/>
      <c r="C112" s="152"/>
      <c r="D112" s="152"/>
      <c r="E112" s="152"/>
      <c r="F112" s="152"/>
      <c r="G112" s="154"/>
      <c r="H112" s="154"/>
      <c r="I112" s="252"/>
      <c r="J112" s="152"/>
      <c r="K112" s="152"/>
      <c r="L112" s="253"/>
      <c r="M112" s="152"/>
      <c r="N112" s="152"/>
      <c r="O112" s="152"/>
      <c r="Q112" s="252"/>
      <c r="R112" s="252"/>
      <c r="S112" s="252"/>
      <c r="T112" s="252"/>
      <c r="U112" s="252"/>
      <c r="V112" s="152"/>
      <c r="W112" s="152"/>
    </row>
    <row r="113" spans="1:23" ht="19.5" thickBot="1">
      <c r="A113" s="104" t="str">
        <f>IF(M113&gt;0,COUNT($A$9:A112)+COUNT('DWV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3" s="242" t="s">
        <v>3315</v>
      </c>
      <c r="C113" s="152"/>
      <c r="D113" s="152"/>
      <c r="E113" s="152"/>
      <c r="F113" s="152"/>
      <c r="G113" s="154"/>
      <c r="H113" s="154"/>
      <c r="I113" s="252"/>
      <c r="J113" s="152"/>
      <c r="K113" s="152"/>
      <c r="L113" s="253"/>
      <c r="M113" s="152"/>
      <c r="N113" s="152"/>
      <c r="O113" s="152"/>
      <c r="Q113" s="252"/>
      <c r="R113" s="252"/>
      <c r="S113" s="252"/>
      <c r="T113" s="252"/>
      <c r="U113" s="252"/>
      <c r="V113" s="152"/>
      <c r="W113" s="152"/>
    </row>
    <row r="114" spans="1:23" ht="16.5" thickBot="1">
      <c r="A114" s="104" t="str">
        <f>IF(M114&gt;0,COUNT($A$9:A113)+COUNT('DWV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4" s="166" t="s">
        <v>3316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228"/>
      <c r="M114" s="167"/>
      <c r="N114" s="167"/>
      <c r="O114" s="493"/>
      <c r="Q114" s="492"/>
      <c r="R114" s="160"/>
      <c r="S114" s="160"/>
      <c r="T114" s="160"/>
      <c r="U114" s="160"/>
      <c r="V114" s="167"/>
      <c r="W114" s="493"/>
    </row>
    <row r="115" spans="1:23">
      <c r="A115" s="104" t="str">
        <f>IF(M115&gt;0,COUNT($A$9:A114)+COUNT('DWV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5" s="637"/>
      <c r="C115" s="638"/>
      <c r="D115" s="182" t="s">
        <v>3317</v>
      </c>
      <c r="E115" s="150">
        <v>100025136</v>
      </c>
      <c r="F115" s="183" t="s">
        <v>3318</v>
      </c>
      <c r="G115" s="150" t="s">
        <v>2929</v>
      </c>
      <c r="H115" s="150" t="s">
        <v>3037</v>
      </c>
      <c r="I115" s="247" t="s">
        <v>3038</v>
      </c>
      <c r="J115" s="150">
        <v>1</v>
      </c>
      <c r="K115" s="248">
        <f>VLOOKUP(E115,'All Products'!$D:$H,5,0)</f>
        <v>243.93</v>
      </c>
      <c r="L115" s="213">
        <f>ROUND(K115*Order_Quote!$L$18,2)</f>
        <v>1219.6500000000001</v>
      </c>
      <c r="M115" s="191"/>
      <c r="N115" s="487"/>
      <c r="O115" s="495">
        <f t="shared" ref="O115:O121" si="7">M115/J115</f>
        <v>0</v>
      </c>
      <c r="Q115" s="494" t="s">
        <v>76</v>
      </c>
      <c r="R115" s="247" t="s">
        <v>102</v>
      </c>
      <c r="S115" s="324" t="s">
        <v>3319</v>
      </c>
      <c r="T115" s="324">
        <v>0</v>
      </c>
      <c r="U115" s="329">
        <v>0</v>
      </c>
      <c r="V115" s="356">
        <v>12.814</v>
      </c>
      <c r="W115" s="495">
        <v>2.4300000000000002</v>
      </c>
    </row>
    <row r="116" spans="1:23">
      <c r="A116" s="104" t="str">
        <f>IF(M116&gt;0,COUNT($A$9:A115)+COUNT('DWV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6" s="639"/>
      <c r="C116" s="580"/>
      <c r="D116" s="158" t="s">
        <v>3320</v>
      </c>
      <c r="E116" s="106">
        <v>100025755</v>
      </c>
      <c r="F116" s="159" t="s">
        <v>3321</v>
      </c>
      <c r="G116" s="106" t="s">
        <v>2929</v>
      </c>
      <c r="H116" s="106" t="s">
        <v>2929</v>
      </c>
      <c r="I116" s="249" t="s">
        <v>3038</v>
      </c>
      <c r="J116" s="106">
        <v>1</v>
      </c>
      <c r="K116" s="153">
        <f>VLOOKUP(E116,'All Products'!$D:$H,5,0)</f>
        <v>243.93</v>
      </c>
      <c r="L116" s="205">
        <f>ROUND(K116*Order_Quote!$L$18,2)</f>
        <v>1219.6500000000001</v>
      </c>
      <c r="M116" s="78"/>
      <c r="N116" s="116"/>
      <c r="O116" s="497">
        <f t="shared" si="7"/>
        <v>0</v>
      </c>
      <c r="Q116" s="496" t="s">
        <v>76</v>
      </c>
      <c r="R116" s="249" t="s">
        <v>102</v>
      </c>
      <c r="S116" s="325" t="s">
        <v>3322</v>
      </c>
      <c r="T116" s="325">
        <v>0</v>
      </c>
      <c r="U116" s="330">
        <v>0</v>
      </c>
      <c r="V116" s="357">
        <v>12.814</v>
      </c>
      <c r="W116" s="497">
        <v>2.4300000000000002</v>
      </c>
    </row>
    <row r="117" spans="1:23">
      <c r="A117" s="104" t="str">
        <f>IF(M117&gt;0,COUNT($A$9:A116)+COUNT('DWV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7" s="639"/>
      <c r="C117" s="580"/>
      <c r="D117" s="158" t="s">
        <v>3323</v>
      </c>
      <c r="E117" s="106">
        <v>100025751</v>
      </c>
      <c r="F117" s="159" t="s">
        <v>3324</v>
      </c>
      <c r="G117" s="106" t="s">
        <v>2929</v>
      </c>
      <c r="H117" s="106" t="s">
        <v>2941</v>
      </c>
      <c r="I117" s="249" t="s">
        <v>3048</v>
      </c>
      <c r="J117" s="106">
        <v>1</v>
      </c>
      <c r="K117" s="153">
        <f>VLOOKUP(E117,'All Products'!$D:$H,5,0)</f>
        <v>243.93</v>
      </c>
      <c r="L117" s="205">
        <f>ROUND(K117*Order_Quote!$L$18,2)</f>
        <v>1219.6500000000001</v>
      </c>
      <c r="M117" s="78"/>
      <c r="N117" s="116"/>
      <c r="O117" s="497">
        <f t="shared" si="7"/>
        <v>0</v>
      </c>
      <c r="Q117" s="496" t="s">
        <v>359</v>
      </c>
      <c r="R117" s="249" t="s">
        <v>102</v>
      </c>
      <c r="S117" s="325" t="s">
        <v>3325</v>
      </c>
      <c r="T117" s="325">
        <v>0</v>
      </c>
      <c r="U117" s="330">
        <v>0</v>
      </c>
      <c r="V117" s="357">
        <v>12.814</v>
      </c>
      <c r="W117" s="497">
        <v>2.4300000000000002</v>
      </c>
    </row>
    <row r="118" spans="1:23">
      <c r="A118" s="104" t="str">
        <f>IF(M118&gt;0,COUNT($A$9:A117)+COUNT('DWV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8" s="639"/>
      <c r="C118" s="580"/>
      <c r="D118" s="158" t="s">
        <v>3326</v>
      </c>
      <c r="E118" s="106">
        <v>100025708</v>
      </c>
      <c r="F118" s="159" t="s">
        <v>3327</v>
      </c>
      <c r="G118" s="106" t="s">
        <v>2929</v>
      </c>
      <c r="H118" s="106" t="s">
        <v>3037</v>
      </c>
      <c r="I118" s="249" t="s">
        <v>3038</v>
      </c>
      <c r="J118" s="106">
        <v>1</v>
      </c>
      <c r="K118" s="153">
        <f>VLOOKUP(E118,'All Products'!$D:$H,5,0)</f>
        <v>304.93</v>
      </c>
      <c r="L118" s="205">
        <f>ROUND(K118*Order_Quote!$L$18,2)</f>
        <v>1524.65</v>
      </c>
      <c r="M118" s="78"/>
      <c r="N118" s="116"/>
      <c r="O118" s="497">
        <f t="shared" si="7"/>
        <v>0</v>
      </c>
      <c r="Q118" s="496" t="s">
        <v>359</v>
      </c>
      <c r="R118" s="249" t="s">
        <v>102</v>
      </c>
      <c r="S118" s="325" t="s">
        <v>3328</v>
      </c>
      <c r="T118" s="325">
        <v>0</v>
      </c>
      <c r="U118" s="330">
        <v>0</v>
      </c>
      <c r="V118" s="357">
        <v>12.814</v>
      </c>
      <c r="W118" s="497">
        <v>2.4300000000000002</v>
      </c>
    </row>
    <row r="119" spans="1:23">
      <c r="A119" s="104" t="str">
        <f>IF(M119&gt;0,COUNT($A$9:A118)+COUNT('DWV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19" s="639"/>
      <c r="C119" s="580"/>
      <c r="D119" s="158" t="s">
        <v>3329</v>
      </c>
      <c r="E119" s="106">
        <v>100025172</v>
      </c>
      <c r="F119" s="159" t="s">
        <v>3330</v>
      </c>
      <c r="G119" s="106" t="s">
        <v>2941</v>
      </c>
      <c r="H119" s="106" t="s">
        <v>2941</v>
      </c>
      <c r="I119" s="249" t="s">
        <v>3048</v>
      </c>
      <c r="J119" s="106">
        <v>1</v>
      </c>
      <c r="K119" s="153">
        <f>VLOOKUP(E119,'All Products'!$D:$H,5,0)</f>
        <v>304.93</v>
      </c>
      <c r="L119" s="205">
        <f>ROUND(K119*Order_Quote!$L$18,2)</f>
        <v>1524.65</v>
      </c>
      <c r="M119" s="78"/>
      <c r="N119" s="116"/>
      <c r="O119" s="497">
        <f t="shared" si="7"/>
        <v>0</v>
      </c>
      <c r="Q119" s="496" t="s">
        <v>359</v>
      </c>
      <c r="R119" s="249" t="s">
        <v>102</v>
      </c>
      <c r="S119" s="325" t="s">
        <v>3331</v>
      </c>
      <c r="T119" s="325">
        <v>0</v>
      </c>
      <c r="U119" s="330">
        <v>0</v>
      </c>
      <c r="V119" s="357">
        <v>12.814</v>
      </c>
      <c r="W119" s="497">
        <v>2.4300000000000002</v>
      </c>
    </row>
    <row r="120" spans="1:23">
      <c r="A120" s="104" t="str">
        <f>IF(M120&gt;0,COUNT($A$9:A119)+COUNT('DWV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0" s="639"/>
      <c r="C120" s="580"/>
      <c r="D120" s="158" t="s">
        <v>3332</v>
      </c>
      <c r="E120" s="106">
        <v>100025185</v>
      </c>
      <c r="F120" s="159" t="s">
        <v>3333</v>
      </c>
      <c r="G120" s="106" t="s">
        <v>2929</v>
      </c>
      <c r="H120" s="106" t="s">
        <v>2929</v>
      </c>
      <c r="I120" s="249" t="s">
        <v>3038</v>
      </c>
      <c r="J120" s="106">
        <v>1</v>
      </c>
      <c r="K120" s="153">
        <f>VLOOKUP(E120,'All Products'!$D:$H,5,0)</f>
        <v>304.93</v>
      </c>
      <c r="L120" s="205">
        <f>ROUND(K120*Order_Quote!$L$18,2)</f>
        <v>1524.65</v>
      </c>
      <c r="M120" s="78"/>
      <c r="N120" s="116"/>
      <c r="O120" s="497">
        <f t="shared" si="7"/>
        <v>0</v>
      </c>
      <c r="Q120" s="496" t="s">
        <v>76</v>
      </c>
      <c r="R120" s="249" t="s">
        <v>102</v>
      </c>
      <c r="S120" s="325" t="s">
        <v>3334</v>
      </c>
      <c r="T120" s="325">
        <v>0</v>
      </c>
      <c r="U120" s="330">
        <v>0</v>
      </c>
      <c r="V120" s="357">
        <v>12.814</v>
      </c>
      <c r="W120" s="497">
        <v>2.4300000000000002</v>
      </c>
    </row>
    <row r="121" spans="1:23" ht="15.75" thickBot="1">
      <c r="A121" s="104" t="str">
        <f>IF(M121&gt;0,COUNT($A$9:A120)+COUNT('DWV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1" s="640"/>
      <c r="C121" s="641"/>
      <c r="D121" s="185" t="s">
        <v>3335</v>
      </c>
      <c r="E121" s="151">
        <v>100025186</v>
      </c>
      <c r="F121" s="186" t="s">
        <v>3336</v>
      </c>
      <c r="G121" s="151" t="s">
        <v>2929</v>
      </c>
      <c r="H121" s="151" t="s">
        <v>2929</v>
      </c>
      <c r="I121" s="250" t="s">
        <v>3337</v>
      </c>
      <c r="J121" s="151">
        <v>1</v>
      </c>
      <c r="K121" s="251">
        <f>VLOOKUP(E121,'All Products'!$D:$H,5,0)</f>
        <v>304.93</v>
      </c>
      <c r="L121" s="214">
        <f>ROUND(K121*Order_Quote!$L$18,2)</f>
        <v>1524.65</v>
      </c>
      <c r="M121" s="187"/>
      <c r="N121" s="488"/>
      <c r="O121" s="499">
        <f t="shared" si="7"/>
        <v>0</v>
      </c>
      <c r="Q121" s="498" t="s">
        <v>359</v>
      </c>
      <c r="R121" s="250" t="s">
        <v>102</v>
      </c>
      <c r="S121" s="326" t="s">
        <v>3338</v>
      </c>
      <c r="T121" s="326">
        <v>0</v>
      </c>
      <c r="U121" s="331">
        <v>0</v>
      </c>
      <c r="V121" s="358">
        <v>12.814</v>
      </c>
      <c r="W121" s="499">
        <v>2.4300000000000002</v>
      </c>
    </row>
    <row r="122" spans="1:23">
      <c r="A122" s="104" t="str">
        <f>IF(M122&gt;0,COUNT($A$9:A121)+COUNT('DWV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2" s="20"/>
      <c r="C122" s="152"/>
      <c r="D122" s="152"/>
      <c r="E122" s="152"/>
      <c r="F122" s="152"/>
      <c r="G122" s="154"/>
      <c r="H122" s="154"/>
      <c r="I122" s="252"/>
      <c r="J122" s="152"/>
      <c r="K122" s="152"/>
      <c r="L122" s="253"/>
      <c r="M122" s="152"/>
      <c r="N122" s="152"/>
      <c r="O122" s="152"/>
      <c r="Q122" s="252"/>
      <c r="R122" s="252"/>
      <c r="S122" s="252"/>
      <c r="T122" s="252"/>
      <c r="U122" s="252"/>
      <c r="V122" s="152"/>
      <c r="W122" s="152"/>
    </row>
    <row r="123" spans="1:23" ht="19.5" thickBot="1">
      <c r="A123" s="104" t="str">
        <f>IF(M123&gt;0,COUNT($A$9:A122)+COUNT('DWV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3" s="148" t="s">
        <v>3339</v>
      </c>
      <c r="C123" s="152"/>
      <c r="D123" s="152"/>
      <c r="E123" s="152"/>
      <c r="F123" s="152"/>
      <c r="G123" s="154"/>
      <c r="H123" s="154"/>
      <c r="I123" s="252"/>
      <c r="J123" s="152"/>
      <c r="K123" s="152"/>
      <c r="L123" s="253"/>
      <c r="M123" s="152"/>
      <c r="N123" s="152"/>
      <c r="O123" s="152"/>
      <c r="Q123" s="252"/>
      <c r="R123" s="252"/>
      <c r="S123" s="252"/>
      <c r="T123" s="252"/>
      <c r="U123" s="252"/>
      <c r="V123" s="152"/>
      <c r="W123" s="152"/>
    </row>
    <row r="124" spans="1:23" ht="16.5" thickBot="1">
      <c r="A124" s="104" t="str">
        <f>IF(M124&gt;0,COUNT($A$9:A123)+COUNT('DWV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4" s="166" t="s">
        <v>3340</v>
      </c>
      <c r="C124" s="167"/>
      <c r="D124" s="167"/>
      <c r="E124" s="167"/>
      <c r="F124" s="167"/>
      <c r="G124" s="167"/>
      <c r="H124" s="167"/>
      <c r="I124" s="167"/>
      <c r="J124" s="167"/>
      <c r="K124" s="167"/>
      <c r="L124" s="228"/>
      <c r="M124" s="167"/>
      <c r="N124" s="167"/>
      <c r="O124" s="493"/>
      <c r="Q124" s="492"/>
      <c r="R124" s="160"/>
      <c r="S124" s="160"/>
      <c r="T124" s="160"/>
      <c r="U124" s="160"/>
      <c r="V124" s="167"/>
      <c r="W124" s="493"/>
    </row>
    <row r="125" spans="1:23">
      <c r="A125" s="104" t="str">
        <f>IF(M125&gt;0,COUNT($A$9:A124)+COUNT('DWV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5" s="637"/>
      <c r="C125" s="638"/>
      <c r="D125" s="182" t="s">
        <v>3341</v>
      </c>
      <c r="E125" s="150">
        <v>100025771</v>
      </c>
      <c r="F125" s="183" t="s">
        <v>3342</v>
      </c>
      <c r="G125" s="150" t="s">
        <v>2929</v>
      </c>
      <c r="H125" s="150" t="s">
        <v>3037</v>
      </c>
      <c r="I125" s="247" t="s">
        <v>3038</v>
      </c>
      <c r="J125" s="150">
        <v>56</v>
      </c>
      <c r="K125" s="248">
        <f>VLOOKUP(E125,'All Products'!$D:$H,5,0)</f>
        <v>156.16</v>
      </c>
      <c r="L125" s="213">
        <f>ROUND(K125*Order_Quote!$L$18,2)</f>
        <v>780.8</v>
      </c>
      <c r="M125" s="191"/>
      <c r="N125" s="487"/>
      <c r="O125" s="495">
        <f t="shared" ref="O125:O127" si="8">M125/J125</f>
        <v>0</v>
      </c>
      <c r="Q125" s="494" t="s">
        <v>76</v>
      </c>
      <c r="R125" s="247" t="s">
        <v>102</v>
      </c>
      <c r="S125" s="324" t="s">
        <v>3343</v>
      </c>
      <c r="T125" s="324">
        <v>0</v>
      </c>
      <c r="U125" s="329" t="s">
        <v>3344</v>
      </c>
      <c r="V125" s="356">
        <v>8.8849999999999998</v>
      </c>
      <c r="W125" s="495">
        <v>1.79</v>
      </c>
    </row>
    <row r="126" spans="1:23">
      <c r="A126" s="104" t="str">
        <f>IF(M126&gt;0,COUNT($A$9:A125)+COUNT('DWV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6" s="639"/>
      <c r="C126" s="580"/>
      <c r="D126" s="158" t="s">
        <v>3345</v>
      </c>
      <c r="E126" s="106">
        <v>100025780</v>
      </c>
      <c r="F126" s="159" t="s">
        <v>3346</v>
      </c>
      <c r="G126" s="106" t="s">
        <v>3037</v>
      </c>
      <c r="H126" s="106" t="s">
        <v>3037</v>
      </c>
      <c r="I126" s="249" t="s">
        <v>3038</v>
      </c>
      <c r="J126" s="106">
        <v>56</v>
      </c>
      <c r="K126" s="153">
        <f>VLOOKUP(E126,'All Products'!$D:$H,5,0)</f>
        <v>156.16</v>
      </c>
      <c r="L126" s="205">
        <f>ROUND(K126*Order_Quote!$L$18,2)</f>
        <v>780.8</v>
      </c>
      <c r="M126" s="78"/>
      <c r="N126" s="116"/>
      <c r="O126" s="497">
        <f t="shared" si="8"/>
        <v>0</v>
      </c>
      <c r="Q126" s="496" t="s">
        <v>76</v>
      </c>
      <c r="R126" s="249" t="s">
        <v>102</v>
      </c>
      <c r="S126" s="325" t="s">
        <v>3347</v>
      </c>
      <c r="T126" s="325">
        <v>0</v>
      </c>
      <c r="U126" s="330" t="s">
        <v>3348</v>
      </c>
      <c r="V126" s="357">
        <v>8.8849999999999998</v>
      </c>
      <c r="W126" s="497">
        <v>1.79</v>
      </c>
    </row>
    <row r="127" spans="1:23" ht="15.75" thickBot="1">
      <c r="A127" s="104" t="str">
        <f>IF(M127&gt;0,COUNT($A$9:A126)+COUNT('DWV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7" s="639"/>
      <c r="C127" s="580"/>
      <c r="D127" s="158" t="s">
        <v>3349</v>
      </c>
      <c r="E127" s="106">
        <v>100025792</v>
      </c>
      <c r="F127" s="159" t="s">
        <v>3350</v>
      </c>
      <c r="G127" s="106" t="s">
        <v>3043</v>
      </c>
      <c r="H127" s="106" t="s">
        <v>3043</v>
      </c>
      <c r="I127" s="249" t="s">
        <v>3038</v>
      </c>
      <c r="J127" s="106">
        <v>56</v>
      </c>
      <c r="K127" s="153">
        <f>VLOOKUP(E127,'All Products'!$D:$H,5,0)</f>
        <v>156.16</v>
      </c>
      <c r="L127" s="205">
        <f>ROUND(K127*Order_Quote!$L$18,2)</f>
        <v>780.8</v>
      </c>
      <c r="M127" s="78"/>
      <c r="N127" s="116"/>
      <c r="O127" s="497">
        <f t="shared" si="8"/>
        <v>0</v>
      </c>
      <c r="Q127" s="496" t="s">
        <v>76</v>
      </c>
      <c r="R127" s="249" t="s">
        <v>102</v>
      </c>
      <c r="S127" s="325" t="s">
        <v>3351</v>
      </c>
      <c r="T127" s="325">
        <v>0</v>
      </c>
      <c r="U127" s="330" t="s">
        <v>3352</v>
      </c>
      <c r="V127" s="357">
        <v>8.8849999999999998</v>
      </c>
      <c r="W127" s="497">
        <v>1.79</v>
      </c>
    </row>
    <row r="128" spans="1:23" ht="16.5" thickBot="1">
      <c r="A128" s="104" t="str">
        <f>IF(M128&gt;0,COUNT($A$9:A127)+COUNT('DWV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8" s="166" t="s">
        <v>3353</v>
      </c>
      <c r="C128" s="167"/>
      <c r="D128" s="167"/>
      <c r="E128" s="167"/>
      <c r="F128" s="167"/>
      <c r="G128" s="167"/>
      <c r="H128" s="167"/>
      <c r="I128" s="167"/>
      <c r="J128" s="167"/>
      <c r="K128" s="167"/>
      <c r="L128" s="228"/>
      <c r="M128" s="167"/>
      <c r="N128" s="167"/>
      <c r="O128" s="493"/>
      <c r="Q128" s="492"/>
      <c r="R128" s="160"/>
      <c r="S128" s="160"/>
      <c r="T128" s="160"/>
      <c r="U128" s="160"/>
      <c r="V128" s="167"/>
      <c r="W128" s="493"/>
    </row>
    <row r="129" spans="1:23">
      <c r="A129" s="104" t="str">
        <f>IF(M129&gt;0,COUNT($A$9:A128)+COUNT('DWV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29" s="637"/>
      <c r="C129" s="638"/>
      <c r="D129" s="285">
        <v>150</v>
      </c>
      <c r="E129" s="150">
        <v>100028528</v>
      </c>
      <c r="F129" s="183" t="s">
        <v>3354</v>
      </c>
      <c r="G129" s="150" t="s">
        <v>2929</v>
      </c>
      <c r="H129" s="150" t="s">
        <v>3037</v>
      </c>
      <c r="I129" s="247" t="s">
        <v>3038</v>
      </c>
      <c r="J129" s="150">
        <v>48</v>
      </c>
      <c r="K129" s="248">
        <f>VLOOKUP(E129,'All Products'!$D:$H,5,0)</f>
        <v>207.15</v>
      </c>
      <c r="L129" s="213">
        <f>ROUND(K129*Order_Quote!$L$18,2)</f>
        <v>1035.75</v>
      </c>
      <c r="M129" s="191"/>
      <c r="N129" s="487"/>
      <c r="O129" s="495">
        <f t="shared" ref="O129:O136" si="9">M129/J129</f>
        <v>0</v>
      </c>
      <c r="Q129" s="494" t="s">
        <v>76</v>
      </c>
      <c r="R129" s="247" t="s">
        <v>102</v>
      </c>
      <c r="S129" s="324" t="s">
        <v>3355</v>
      </c>
      <c r="T129" s="324">
        <v>0</v>
      </c>
      <c r="U129" s="329" t="s">
        <v>3356</v>
      </c>
      <c r="V129" s="356">
        <v>12.105</v>
      </c>
      <c r="W129" s="495">
        <v>3.58</v>
      </c>
    </row>
    <row r="130" spans="1:23">
      <c r="A130" s="104" t="str">
        <f>IF(M130&gt;0,COUNT($A$9:A129)+COUNT('DWV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0" s="639"/>
      <c r="C130" s="580"/>
      <c r="D130" s="286">
        <v>151</v>
      </c>
      <c r="E130" s="106">
        <v>100028529</v>
      </c>
      <c r="F130" s="159" t="s">
        <v>3357</v>
      </c>
      <c r="G130" s="106" t="s">
        <v>3037</v>
      </c>
      <c r="H130" s="106" t="s">
        <v>3037</v>
      </c>
      <c r="I130" s="249" t="s">
        <v>3038</v>
      </c>
      <c r="J130" s="106">
        <v>48</v>
      </c>
      <c r="K130" s="153">
        <f>VLOOKUP(E130,'All Products'!$D:$H,5,0)</f>
        <v>207.15</v>
      </c>
      <c r="L130" s="205">
        <f>ROUND(K130*Order_Quote!$L$18,2)</f>
        <v>1035.75</v>
      </c>
      <c r="M130" s="78"/>
      <c r="N130" s="116"/>
      <c r="O130" s="497">
        <f t="shared" si="9"/>
        <v>0</v>
      </c>
      <c r="Q130" s="496" t="s">
        <v>76</v>
      </c>
      <c r="R130" s="249" t="s">
        <v>102</v>
      </c>
      <c r="S130" s="325">
        <v>0</v>
      </c>
      <c r="T130" s="325">
        <v>0</v>
      </c>
      <c r="U130" s="330" t="s">
        <v>3358</v>
      </c>
      <c r="V130" s="357">
        <v>12.105</v>
      </c>
      <c r="W130" s="497">
        <v>3.58</v>
      </c>
    </row>
    <row r="131" spans="1:23">
      <c r="A131" s="104" t="str">
        <f>IF(M131&gt;0,COUNT($A$9:A130)+COUNT('DWV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1" s="639"/>
      <c r="C131" s="580"/>
      <c r="D131" s="286">
        <v>152</v>
      </c>
      <c r="E131" s="106">
        <v>100028530</v>
      </c>
      <c r="F131" s="159" t="s">
        <v>3359</v>
      </c>
      <c r="G131" s="106" t="s">
        <v>3043</v>
      </c>
      <c r="H131" s="106" t="s">
        <v>3043</v>
      </c>
      <c r="I131" s="249" t="s">
        <v>3038</v>
      </c>
      <c r="J131" s="106">
        <v>48</v>
      </c>
      <c r="K131" s="153">
        <f>VLOOKUP(E131,'All Products'!$D:$H,5,0)</f>
        <v>207.15</v>
      </c>
      <c r="L131" s="205">
        <f>ROUND(K131*Order_Quote!$L$18,2)</f>
        <v>1035.75</v>
      </c>
      <c r="M131" s="78"/>
      <c r="N131" s="116"/>
      <c r="O131" s="497">
        <f t="shared" si="9"/>
        <v>0</v>
      </c>
      <c r="Q131" s="496" t="s">
        <v>76</v>
      </c>
      <c r="R131" s="249" t="s">
        <v>102</v>
      </c>
      <c r="S131" s="325" t="s">
        <v>3360</v>
      </c>
      <c r="T131" s="325">
        <v>0</v>
      </c>
      <c r="U131" s="330" t="s">
        <v>3361</v>
      </c>
      <c r="V131" s="357">
        <v>12.105</v>
      </c>
      <c r="W131" s="497">
        <v>3.58</v>
      </c>
    </row>
    <row r="132" spans="1:23">
      <c r="A132" s="104" t="str">
        <f>IF(M132&gt;0,COUNT($A$9:A131)+COUNT('DWV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2" s="639"/>
      <c r="C132" s="580"/>
      <c r="D132" s="286">
        <v>154</v>
      </c>
      <c r="E132" s="106">
        <v>100028532</v>
      </c>
      <c r="F132" s="159" t="s">
        <v>3362</v>
      </c>
      <c r="G132" s="106" t="s">
        <v>2929</v>
      </c>
      <c r="H132" s="106" t="s">
        <v>2929</v>
      </c>
      <c r="I132" s="249" t="s">
        <v>3038</v>
      </c>
      <c r="J132" s="106">
        <v>48</v>
      </c>
      <c r="K132" s="153">
        <f>VLOOKUP(E132,'All Products'!$D:$H,5,0)</f>
        <v>207.15</v>
      </c>
      <c r="L132" s="205">
        <f>ROUND(K132*Order_Quote!$L$18,2)</f>
        <v>1035.75</v>
      </c>
      <c r="M132" s="78"/>
      <c r="N132" s="116"/>
      <c r="O132" s="497">
        <f t="shared" si="9"/>
        <v>0</v>
      </c>
      <c r="Q132" s="496" t="s">
        <v>76</v>
      </c>
      <c r="R132" s="249" t="s">
        <v>102</v>
      </c>
      <c r="S132" s="325" t="s">
        <v>3363</v>
      </c>
      <c r="T132" s="325">
        <v>0</v>
      </c>
      <c r="U132" s="330" t="s">
        <v>3364</v>
      </c>
      <c r="V132" s="357">
        <v>12.105</v>
      </c>
      <c r="W132" s="497">
        <v>3.58</v>
      </c>
    </row>
    <row r="133" spans="1:23" ht="24">
      <c r="A133" s="104" t="str">
        <f>IF(M133&gt;0,COUNT($A$9:A132)+COUNT('DWV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3" s="639"/>
      <c r="C133" s="580"/>
      <c r="D133" s="158" t="s">
        <v>3365</v>
      </c>
      <c r="E133" s="106">
        <v>100025786</v>
      </c>
      <c r="F133" s="159" t="s">
        <v>3366</v>
      </c>
      <c r="G133" s="106" t="s">
        <v>3037</v>
      </c>
      <c r="H133" s="106" t="s">
        <v>3037</v>
      </c>
      <c r="I133" s="162" t="s">
        <v>3097</v>
      </c>
      <c r="J133" s="106">
        <v>48</v>
      </c>
      <c r="K133" s="153">
        <f>VLOOKUP(E133,'All Products'!$D:$H,5,0)</f>
        <v>207.15</v>
      </c>
      <c r="L133" s="205">
        <f>ROUND(K133*Order_Quote!$L$18,2)</f>
        <v>1035.75</v>
      </c>
      <c r="M133" s="78"/>
      <c r="N133" s="116"/>
      <c r="O133" s="497">
        <f t="shared" si="9"/>
        <v>0</v>
      </c>
      <c r="Q133" s="504" t="s">
        <v>76</v>
      </c>
      <c r="R133" s="162" t="s">
        <v>102</v>
      </c>
      <c r="S133" s="327" t="s">
        <v>3367</v>
      </c>
      <c r="T133" s="327">
        <v>0</v>
      </c>
      <c r="U133" s="332">
        <v>0</v>
      </c>
      <c r="V133" s="357">
        <v>13.085000000000001</v>
      </c>
      <c r="W133" s="497">
        <v>3.58</v>
      </c>
    </row>
    <row r="134" spans="1:23">
      <c r="A134" s="104" t="str">
        <f>IF(M134&gt;0,COUNT($A$9:A133)+COUNT('DWV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4" s="639"/>
      <c r="C134" s="580"/>
      <c r="D134" s="286">
        <v>153</v>
      </c>
      <c r="E134" s="106">
        <v>100028531</v>
      </c>
      <c r="F134" s="159" t="s">
        <v>3368</v>
      </c>
      <c r="G134" s="106" t="s">
        <v>2941</v>
      </c>
      <c r="H134" s="106" t="s">
        <v>2941</v>
      </c>
      <c r="I134" s="249" t="s">
        <v>3048</v>
      </c>
      <c r="J134" s="106">
        <v>48</v>
      </c>
      <c r="K134" s="153">
        <f>VLOOKUP(E134,'All Products'!$D:$H,5,0)</f>
        <v>207.15</v>
      </c>
      <c r="L134" s="205">
        <f>ROUND(K134*Order_Quote!$L$18,2)</f>
        <v>1035.75</v>
      </c>
      <c r="M134" s="78"/>
      <c r="N134" s="116"/>
      <c r="O134" s="497">
        <f t="shared" si="9"/>
        <v>0</v>
      </c>
      <c r="Q134" s="496" t="s">
        <v>76</v>
      </c>
      <c r="R134" s="249" t="s">
        <v>102</v>
      </c>
      <c r="S134" s="325" t="s">
        <v>3369</v>
      </c>
      <c r="T134" s="325">
        <v>0</v>
      </c>
      <c r="U134" s="330" t="s">
        <v>3370</v>
      </c>
      <c r="V134" s="357">
        <v>12.105</v>
      </c>
      <c r="W134" s="497">
        <v>3.58</v>
      </c>
    </row>
    <row r="135" spans="1:23">
      <c r="A135" s="104" t="str">
        <f>IF(M135&gt;0,COUNT($A$9:A134)+COUNT('DWV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5" s="639"/>
      <c r="C135" s="580"/>
      <c r="D135" s="158" t="s">
        <v>3371</v>
      </c>
      <c r="E135" s="106">
        <v>100025783</v>
      </c>
      <c r="F135" s="159" t="s">
        <v>3372</v>
      </c>
      <c r="G135" s="106" t="s">
        <v>3037</v>
      </c>
      <c r="H135" s="106" t="s">
        <v>3037</v>
      </c>
      <c r="I135" s="249" t="s">
        <v>3063</v>
      </c>
      <c r="J135" s="106">
        <v>48</v>
      </c>
      <c r="K135" s="153">
        <f>VLOOKUP(E135,'All Products'!$D:$H,5,0)</f>
        <v>207.15</v>
      </c>
      <c r="L135" s="205">
        <f>ROUND(K135*Order_Quote!$L$18,2)</f>
        <v>1035.75</v>
      </c>
      <c r="M135" s="78"/>
      <c r="N135" s="116"/>
      <c r="O135" s="497">
        <f t="shared" si="9"/>
        <v>0</v>
      </c>
      <c r="Q135" s="496" t="s">
        <v>76</v>
      </c>
      <c r="R135" s="249" t="s">
        <v>102</v>
      </c>
      <c r="S135" s="325" t="s">
        <v>3373</v>
      </c>
      <c r="T135" s="325">
        <v>0</v>
      </c>
      <c r="U135" s="330" t="s">
        <v>3374</v>
      </c>
      <c r="V135" s="357">
        <v>12.105</v>
      </c>
      <c r="W135" s="497">
        <v>3.58</v>
      </c>
    </row>
    <row r="136" spans="1:23" ht="15.75" thickBot="1">
      <c r="A136" s="104" t="str">
        <f>IF(M136&gt;0,COUNT($A$9:A135)+COUNT('DWV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6" s="640"/>
      <c r="C136" s="641"/>
      <c r="D136" s="185" t="s">
        <v>3375</v>
      </c>
      <c r="E136" s="151">
        <v>100025773</v>
      </c>
      <c r="F136" s="186" t="s">
        <v>3376</v>
      </c>
      <c r="G136" s="151" t="s">
        <v>2929</v>
      </c>
      <c r="H136" s="151" t="s">
        <v>3037</v>
      </c>
      <c r="I136" s="250" t="s">
        <v>3377</v>
      </c>
      <c r="J136" s="151">
        <v>48</v>
      </c>
      <c r="K136" s="251">
        <f>VLOOKUP(E136,'All Products'!$D:$H,5,0)</f>
        <v>207.15</v>
      </c>
      <c r="L136" s="214">
        <f>ROUND(K136*Order_Quote!$L$18,2)</f>
        <v>1035.75</v>
      </c>
      <c r="M136" s="187"/>
      <c r="N136" s="488"/>
      <c r="O136" s="499">
        <f t="shared" si="9"/>
        <v>0</v>
      </c>
      <c r="Q136" s="498" t="s">
        <v>359</v>
      </c>
      <c r="R136" s="250" t="s">
        <v>102</v>
      </c>
      <c r="S136" s="326" t="s">
        <v>3378</v>
      </c>
      <c r="T136" s="326">
        <v>0</v>
      </c>
      <c r="U136" s="331">
        <v>0</v>
      </c>
      <c r="V136" s="358">
        <v>12.105</v>
      </c>
      <c r="W136" s="499">
        <v>3.58</v>
      </c>
    </row>
    <row r="137" spans="1:23">
      <c r="A137" s="104" t="str">
        <f>IF(M137&gt;0,COUNT($A$9:A136)+COUNT('DWV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7" s="20"/>
      <c r="C137" s="152"/>
      <c r="D137" s="152"/>
      <c r="E137" s="152"/>
      <c r="F137" s="152"/>
      <c r="G137" s="154"/>
      <c r="H137" s="154"/>
      <c r="I137" s="252"/>
      <c r="J137" s="152"/>
      <c r="K137" s="152"/>
      <c r="L137" s="253"/>
      <c r="M137" s="152"/>
      <c r="N137" s="152"/>
      <c r="O137" s="152"/>
      <c r="Q137" s="252"/>
      <c r="R137" s="252"/>
      <c r="S137" s="252"/>
      <c r="T137" s="252"/>
      <c r="U137" s="252"/>
      <c r="V137" s="152"/>
      <c r="W137" s="152"/>
    </row>
    <row r="138" spans="1:23" ht="19.5" thickBot="1">
      <c r="A138" s="104" t="str">
        <f>IF(M138&gt;0,COUNT($A$9:A137)+COUNT('DWV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8" s="242" t="s">
        <v>3379</v>
      </c>
      <c r="C138" s="152"/>
      <c r="D138" s="152"/>
      <c r="E138" s="152"/>
      <c r="F138" s="152"/>
      <c r="G138" s="154"/>
      <c r="H138" s="154"/>
      <c r="I138" s="252"/>
      <c r="J138" s="152"/>
      <c r="K138" s="152"/>
      <c r="L138" s="253"/>
      <c r="M138" s="152"/>
      <c r="N138" s="152"/>
      <c r="O138" s="152"/>
      <c r="Q138" s="252"/>
      <c r="R138" s="252"/>
      <c r="S138" s="252"/>
      <c r="T138" s="252"/>
      <c r="U138" s="252"/>
      <c r="V138" s="152"/>
      <c r="W138" s="152"/>
    </row>
    <row r="139" spans="1:23" ht="16.5" thickBot="1">
      <c r="A139" s="104" t="str">
        <f>IF(M139&gt;0,COUNT($A$9:A138)+COUNT('DWV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39" s="166" t="s">
        <v>3380</v>
      </c>
      <c r="C139" s="167"/>
      <c r="D139" s="167"/>
      <c r="E139" s="167"/>
      <c r="F139" s="167"/>
      <c r="G139" s="167"/>
      <c r="H139" s="167"/>
      <c r="I139" s="167"/>
      <c r="J139" s="167"/>
      <c r="K139" s="167"/>
      <c r="L139" s="228"/>
      <c r="M139" s="167"/>
      <c r="N139" s="167"/>
      <c r="O139" s="493"/>
      <c r="Q139" s="492"/>
      <c r="R139" s="160"/>
      <c r="S139" s="160"/>
      <c r="T139" s="160"/>
      <c r="U139" s="160"/>
      <c r="V139" s="167"/>
      <c r="W139" s="493"/>
    </row>
    <row r="140" spans="1:23">
      <c r="A140" s="104" t="str">
        <f>IF(M140&gt;0,COUNT($A$9:A139)+COUNT('DWV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40" s="637"/>
      <c r="C140" s="638"/>
      <c r="D140" s="182" t="s">
        <v>3381</v>
      </c>
      <c r="E140" s="150">
        <v>100025778</v>
      </c>
      <c r="F140" s="183" t="s">
        <v>3382</v>
      </c>
      <c r="G140" s="150" t="s">
        <v>2929</v>
      </c>
      <c r="H140" s="150" t="s">
        <v>3037</v>
      </c>
      <c r="I140" s="247" t="s">
        <v>3038</v>
      </c>
      <c r="J140" s="150">
        <v>28</v>
      </c>
      <c r="K140" s="248">
        <f>VLOOKUP(E140,'All Products'!$D:$H,5,0)</f>
        <v>172.07</v>
      </c>
      <c r="L140" s="213">
        <f>ROUND(K140*Order_Quote!$L$18,2)</f>
        <v>860.35</v>
      </c>
      <c r="M140" s="191"/>
      <c r="N140" s="487"/>
      <c r="O140" s="495">
        <f t="shared" ref="O140:O142" si="10">M140/J140</f>
        <v>0</v>
      </c>
      <c r="Q140" s="494" t="s">
        <v>359</v>
      </c>
      <c r="R140" s="247" t="s">
        <v>102</v>
      </c>
      <c r="S140" s="324" t="s">
        <v>3383</v>
      </c>
      <c r="T140" s="324">
        <v>0</v>
      </c>
      <c r="U140" s="329" t="s">
        <v>3384</v>
      </c>
      <c r="V140" s="356">
        <v>8.8849999999999998</v>
      </c>
      <c r="W140" s="495">
        <v>1.79</v>
      </c>
    </row>
    <row r="141" spans="1:23">
      <c r="A141" s="104" t="str">
        <f>IF(M141&gt;0,COUNT($A$9:A140)+COUNT('DWV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41" s="639"/>
      <c r="C141" s="580"/>
      <c r="D141" s="158" t="s">
        <v>3385</v>
      </c>
      <c r="E141" s="106">
        <v>100025790</v>
      </c>
      <c r="F141" s="159" t="s">
        <v>3386</v>
      </c>
      <c r="G141" s="106" t="s">
        <v>3037</v>
      </c>
      <c r="H141" s="106" t="s">
        <v>3037</v>
      </c>
      <c r="I141" s="249" t="s">
        <v>3038</v>
      </c>
      <c r="J141" s="106">
        <v>28</v>
      </c>
      <c r="K141" s="153">
        <f>VLOOKUP(E141,'All Products'!$D:$H,5,0)</f>
        <v>172.07</v>
      </c>
      <c r="L141" s="205">
        <f>ROUND(K141*Order_Quote!$L$18,2)</f>
        <v>860.35</v>
      </c>
      <c r="M141" s="78"/>
      <c r="N141" s="116"/>
      <c r="O141" s="497">
        <f t="shared" si="10"/>
        <v>0</v>
      </c>
      <c r="Q141" s="496" t="s">
        <v>76</v>
      </c>
      <c r="R141" s="249" t="s">
        <v>102</v>
      </c>
      <c r="S141" s="325" t="s">
        <v>3387</v>
      </c>
      <c r="T141" s="325">
        <v>0</v>
      </c>
      <c r="U141" s="330" t="s">
        <v>3388</v>
      </c>
      <c r="V141" s="357">
        <v>8.8849999999999998</v>
      </c>
      <c r="W141" s="497">
        <v>1.79</v>
      </c>
    </row>
    <row r="142" spans="1:23" ht="15.75" thickBot="1">
      <c r="A142" s="104" t="str">
        <f>IF(M142&gt;0,COUNT($A$9:A141)+COUNT('DWV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+COUNT(Cements!$A$8:$A$99)+1,"")</f>
        <v/>
      </c>
      <c r="B142" s="640"/>
      <c r="C142" s="641"/>
      <c r="D142" s="185" t="s">
        <v>3389</v>
      </c>
      <c r="E142" s="151">
        <v>100025794</v>
      </c>
      <c r="F142" s="186" t="s">
        <v>3390</v>
      </c>
      <c r="G142" s="151" t="s">
        <v>3043</v>
      </c>
      <c r="H142" s="151" t="s">
        <v>3043</v>
      </c>
      <c r="I142" s="250" t="s">
        <v>3038</v>
      </c>
      <c r="J142" s="151">
        <v>28</v>
      </c>
      <c r="K142" s="251">
        <f>VLOOKUP(E142,'All Products'!$D:$H,5,0)</f>
        <v>172.07</v>
      </c>
      <c r="L142" s="214">
        <f>ROUND(K142*Order_Quote!$L$18,2)</f>
        <v>860.35</v>
      </c>
      <c r="M142" s="187"/>
      <c r="N142" s="488"/>
      <c r="O142" s="499">
        <f t="shared" si="10"/>
        <v>0</v>
      </c>
      <c r="Q142" s="498" t="s">
        <v>359</v>
      </c>
      <c r="R142" s="250" t="s">
        <v>102</v>
      </c>
      <c r="S142" s="326" t="s">
        <v>3391</v>
      </c>
      <c r="T142" s="326">
        <v>0</v>
      </c>
      <c r="U142" s="331" t="s">
        <v>3392</v>
      </c>
      <c r="V142" s="358">
        <v>8.8849999999999998</v>
      </c>
      <c r="W142" s="499">
        <v>1.79</v>
      </c>
    </row>
    <row r="143" spans="1:23">
      <c r="A143" s="104">
        <f>MAX(A8:A142)+1</f>
        <v>1</v>
      </c>
      <c r="B143" s="152"/>
      <c r="C143" s="152"/>
      <c r="D143" s="152"/>
      <c r="E143" s="152"/>
      <c r="F143" s="152"/>
      <c r="G143" s="154"/>
      <c r="H143" s="154"/>
      <c r="I143" s="252"/>
      <c r="J143" s="152"/>
      <c r="K143" s="152"/>
      <c r="L143" s="253"/>
      <c r="M143" s="152"/>
      <c r="N143" s="152"/>
      <c r="O143" s="152"/>
      <c r="Q143" s="252"/>
      <c r="R143" s="252"/>
      <c r="S143" s="252"/>
      <c r="T143" s="252"/>
      <c r="U143" s="252"/>
      <c r="V143" s="152"/>
      <c r="W143" s="152"/>
    </row>
  </sheetData>
  <sheetProtection algorithmName="SHA-512" hashValue="uP+9tKOrvQq4heEXchdAd9aB7lRwvx5XQqmievt67C2xJii5JlVILEB+739j3zVKOTNpHv1ltvQFxm2rAzcdNg==" saltValue="PA5xqH1KddfcMCD/9P0Urg==" spinCount="100000" sheet="1" formatCells="0" formatColumns="0" formatRows="0" insertColumns="0" insertRows="0" insertHyperlinks="0" deleteColumns="0" deleteRows="0" sort="0" autoFilter="0" pivotTables="0"/>
  <mergeCells count="14">
    <mergeCell ref="L2:M3"/>
    <mergeCell ref="B10:C19"/>
    <mergeCell ref="B23:C28"/>
    <mergeCell ref="B70:C80"/>
    <mergeCell ref="B55:C60"/>
    <mergeCell ref="B64:C66"/>
    <mergeCell ref="S6:U6"/>
    <mergeCell ref="B82:C104"/>
    <mergeCell ref="B140:C142"/>
    <mergeCell ref="B125:C127"/>
    <mergeCell ref="B129:C136"/>
    <mergeCell ref="B115:C121"/>
    <mergeCell ref="B108:C111"/>
    <mergeCell ref="B32:C5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6 M7:N8" xr:uid="{7B29DEB1-00D9-40BF-90D5-0563673EB4F7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M10:N21 M23:N30 M32:N51" xr:uid="{94894809-CE98-48E7-B762-3FDD04EA6987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D0239AB6-4962-44DA-931C-3BEEB77E5368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1 N1:N6 M140:N142 M125:N127 M52:N53 M55:N62 M64:N68 M70:N80 M82:N106 M108:N113 M115:N123 M129:N138" xr:uid="{D9AD111E-F5B3-4AAF-9383-C568AEE86AEE}">
      <formula1>1</formula1>
    </dataValidation>
  </dataValidations>
  <printOptions horizontalCentered="1"/>
  <pageMargins left="0.7" right="0.7" top="0.75" bottom="0.75" header="0.3" footer="0.3"/>
  <pageSetup scale="61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60" max="10" man="1"/>
    <brk id="121" max="10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5"/>
    <pageSetUpPr fitToPage="1"/>
  </sheetPr>
  <dimension ref="A1:Q222"/>
  <sheetViews>
    <sheetView showGridLines="0" zoomScaleNormal="100" workbookViewId="0">
      <selection activeCell="L4" sqref="L4"/>
    </sheetView>
  </sheetViews>
  <sheetFormatPr defaultColWidth="0" defaultRowHeight="15"/>
  <cols>
    <col min="1" max="1" width="4.85546875" style="17" customWidth="1"/>
    <col min="2" max="2" width="16" style="434" customWidth="1"/>
    <col min="3" max="3" width="13" style="17" customWidth="1"/>
    <col min="4" max="4" width="20.5703125" style="17" customWidth="1"/>
    <col min="5" max="5" width="34" style="17" customWidth="1"/>
    <col min="6" max="6" width="13.5703125" style="17" customWidth="1"/>
    <col min="7" max="7" width="9.5703125" style="434" bestFit="1" customWidth="1"/>
    <col min="8" max="8" width="8" style="17" customWidth="1"/>
    <col min="9" max="9" width="1.28515625" style="17" customWidth="1"/>
    <col min="10" max="10" width="19" style="17" bestFit="1" customWidth="1"/>
    <col min="11" max="11" width="15.140625" style="17" bestFit="1" customWidth="1"/>
    <col min="12" max="12" width="12.85546875" style="17" customWidth="1"/>
    <col min="13" max="13" width="11.85546875" style="17" customWidth="1"/>
    <col min="14" max="14" width="1.42578125" style="17" customWidth="1"/>
    <col min="15" max="16" width="9.140625" style="17" hidden="1" customWidth="1"/>
    <col min="17" max="17" width="13.42578125" style="17" hidden="1" customWidth="1"/>
    <col min="18" max="16384" width="9.140625" style="17" hidden="1"/>
  </cols>
  <sheetData>
    <row r="1" spans="1:13" ht="16.5" thickBot="1">
      <c r="A1" s="590" t="s">
        <v>0</v>
      </c>
      <c r="B1" s="590"/>
      <c r="C1" s="593"/>
      <c r="D1" s="594"/>
      <c r="E1" s="595" t="s">
        <v>1</v>
      </c>
      <c r="F1" s="595"/>
      <c r="G1" s="595"/>
      <c r="H1" s="595"/>
      <c r="I1" s="384"/>
      <c r="J1" s="385" t="s">
        <v>2</v>
      </c>
      <c r="K1" s="386" t="s">
        <v>3</v>
      </c>
      <c r="L1" s="387" t="s">
        <v>4</v>
      </c>
      <c r="M1" s="388" t="s">
        <v>5</v>
      </c>
    </row>
    <row r="2" spans="1:13">
      <c r="A2" s="389"/>
      <c r="B2" s="390"/>
      <c r="G2" s="17"/>
      <c r="J2" s="391" t="s">
        <v>6</v>
      </c>
      <c r="K2" s="392" t="str">
        <f>IF($L2&gt;0,'DWV PVC'!F4,"-")</f>
        <v>DWV042024</v>
      </c>
      <c r="L2" s="393">
        <v>5</v>
      </c>
      <c r="M2" s="394" t="str">
        <f>Nonstandard!K2</f>
        <v>-</v>
      </c>
    </row>
    <row r="3" spans="1:13" hidden="1">
      <c r="A3" s="389"/>
      <c r="B3" s="390"/>
      <c r="G3" s="17"/>
      <c r="J3" s="395" t="s">
        <v>7</v>
      </c>
      <c r="K3" s="396" t="str">
        <f>IF($L3&gt;0,'DWV ABS'!F4,"-")</f>
        <v>ABSDWV092024</v>
      </c>
      <c r="L3" s="393">
        <v>5</v>
      </c>
      <c r="M3" s="397" t="str">
        <f>Nonstandard!K3</f>
        <v>-</v>
      </c>
    </row>
    <row r="4" spans="1:13">
      <c r="A4" s="590" t="s">
        <v>8</v>
      </c>
      <c r="B4" s="590"/>
      <c r="C4" s="597"/>
      <c r="D4" s="597"/>
      <c r="E4" s="389" t="s">
        <v>9</v>
      </c>
      <c r="F4" s="596"/>
      <c r="G4" s="596"/>
      <c r="H4" s="596"/>
      <c r="J4" s="398" t="s">
        <v>10</v>
      </c>
      <c r="K4" s="399" t="str">
        <f>IF($L4&gt;0,'PVC SCH40'!F4,"-")</f>
        <v>PVCSCH400422024</v>
      </c>
      <c r="L4" s="393">
        <v>5</v>
      </c>
      <c r="M4" s="397" t="str">
        <f>Nonstandard!K4</f>
        <v>-</v>
      </c>
    </row>
    <row r="5" spans="1:13">
      <c r="A5" s="591" t="s">
        <v>11</v>
      </c>
      <c r="B5" s="591"/>
      <c r="C5" s="596" t="s">
        <v>12</v>
      </c>
      <c r="D5" s="596"/>
      <c r="E5" s="401" t="s">
        <v>13</v>
      </c>
      <c r="F5" s="609"/>
      <c r="G5" s="609"/>
      <c r="H5" s="609"/>
      <c r="J5" s="398" t="s">
        <v>14</v>
      </c>
      <c r="K5" s="399" t="str">
        <f>IF($L5&gt;0,'PVC SCH40 LD'!F4,"-")</f>
        <v>LDPVCSCH400422024</v>
      </c>
      <c r="L5" s="393">
        <v>5</v>
      </c>
      <c r="M5" s="397" t="str">
        <f>Nonstandard!K5</f>
        <v>-</v>
      </c>
    </row>
    <row r="6" spans="1:13">
      <c r="A6" s="590" t="s">
        <v>15</v>
      </c>
      <c r="B6" s="590"/>
      <c r="C6" s="598"/>
      <c r="D6" s="598"/>
      <c r="E6" s="389" t="s">
        <v>16</v>
      </c>
      <c r="F6" s="610"/>
      <c r="G6" s="610"/>
      <c r="H6" s="610"/>
      <c r="J6" s="398" t="s">
        <v>17</v>
      </c>
      <c r="K6" s="399" t="str">
        <f>IF($L6&gt;0,'Pool &amp; SPA Sweep Elbows'!F4,"-")</f>
        <v>POOLSWEEPELBOW0422024</v>
      </c>
      <c r="L6" s="393">
        <v>5</v>
      </c>
      <c r="M6" s="397" t="str">
        <f>Nonstandard!K6</f>
        <v>-</v>
      </c>
    </row>
    <row r="7" spans="1:13">
      <c r="A7" s="591" t="s">
        <v>18</v>
      </c>
      <c r="B7" s="591"/>
      <c r="C7" s="599"/>
      <c r="D7" s="599"/>
      <c r="E7" s="389" t="s">
        <v>19</v>
      </c>
      <c r="F7" s="610"/>
      <c r="G7" s="610"/>
      <c r="H7" s="610"/>
      <c r="J7" s="398" t="s">
        <v>20</v>
      </c>
      <c r="K7" s="399" t="str">
        <f>IF($L7&gt;0,'Pool &amp; SPA Pipe Extender'!F4,"-")</f>
        <v>POOLPIPEEXT0422024</v>
      </c>
      <c r="L7" s="393">
        <v>5</v>
      </c>
      <c r="M7" s="397" t="str">
        <f>Nonstandard!K7</f>
        <v>-</v>
      </c>
    </row>
    <row r="8" spans="1:13">
      <c r="A8" s="592" t="s">
        <v>21</v>
      </c>
      <c r="B8" s="592"/>
      <c r="C8" s="599"/>
      <c r="D8" s="599"/>
      <c r="E8" s="389" t="s">
        <v>22</v>
      </c>
      <c r="F8" s="609"/>
      <c r="G8" s="609"/>
      <c r="H8" s="609"/>
      <c r="J8" s="398" t="s">
        <v>23</v>
      </c>
      <c r="K8" s="399" t="str">
        <f>IF($L8&gt;0,'PVC SCH80'!F4,"-")</f>
        <v>PVCSCH80042024</v>
      </c>
      <c r="L8" s="393">
        <v>5</v>
      </c>
      <c r="M8" s="397" t="str">
        <f>Nonstandard!K8</f>
        <v>-</v>
      </c>
    </row>
    <row r="9" spans="1:13">
      <c r="A9" s="592"/>
      <c r="B9" s="592"/>
      <c r="G9" s="17"/>
      <c r="J9" s="398" t="s">
        <v>24</v>
      </c>
      <c r="K9" s="399" t="str">
        <f>IF($L9&gt;0,'PVC SCH80 Flange'!F4,"-")</f>
        <v>FLANGESSCH80042024</v>
      </c>
      <c r="L9" s="393">
        <v>5</v>
      </c>
      <c r="M9" s="397" t="str">
        <f>Nonstandard!K9</f>
        <v>-</v>
      </c>
    </row>
    <row r="10" spans="1:13">
      <c r="A10" s="217"/>
      <c r="B10" s="217"/>
      <c r="C10" s="20"/>
      <c r="D10" s="20"/>
      <c r="G10" s="17"/>
      <c r="J10" s="398" t="s">
        <v>25</v>
      </c>
      <c r="K10" s="399" t="str">
        <f>IF($L10&gt;0,'PVC SCH80 LD Flange'!F4,"-")</f>
        <v>LDFLANGESSCH80042024</v>
      </c>
      <c r="L10" s="393">
        <v>5</v>
      </c>
      <c r="M10" s="397" t="str">
        <f>Nonstandard!K10</f>
        <v>-</v>
      </c>
    </row>
    <row r="11" spans="1:13">
      <c r="A11" s="590" t="s">
        <v>26</v>
      </c>
      <c r="B11" s="590"/>
      <c r="C11" s="600"/>
      <c r="D11" s="600"/>
      <c r="E11" s="402" t="s">
        <v>27</v>
      </c>
      <c r="F11" s="596"/>
      <c r="G11" s="596"/>
      <c r="H11" s="596"/>
      <c r="J11" s="398" t="s">
        <v>28</v>
      </c>
      <c r="K11" s="399" t="str">
        <f>IF($L11&gt;0,CPVC!F4,"-")</f>
        <v>CPVCCTS042024</v>
      </c>
      <c r="L11" s="393">
        <v>5</v>
      </c>
      <c r="M11" s="397" t="str">
        <f>Nonstandard!K11</f>
        <v>-</v>
      </c>
    </row>
    <row r="12" spans="1:13">
      <c r="A12" s="20"/>
      <c r="B12" s="17"/>
      <c r="C12" s="609"/>
      <c r="D12" s="609"/>
      <c r="F12" s="609"/>
      <c r="G12" s="609"/>
      <c r="H12" s="609"/>
      <c r="J12" s="398" t="s">
        <v>29</v>
      </c>
      <c r="K12" s="399" t="str">
        <f>IF($L12&gt;0,InsertFittings!F4,"-")</f>
        <v>INSERTFITTINGS042024</v>
      </c>
      <c r="L12" s="393">
        <v>5</v>
      </c>
      <c r="M12" s="397" t="str">
        <f>Nonstandard!K12</f>
        <v>-</v>
      </c>
    </row>
    <row r="13" spans="1:13">
      <c r="A13" s="20"/>
      <c r="B13" s="17"/>
      <c r="C13" s="609"/>
      <c r="D13" s="609"/>
      <c r="F13" s="609"/>
      <c r="G13" s="609"/>
      <c r="H13" s="609"/>
      <c r="J13" s="398" t="s">
        <v>30</v>
      </c>
      <c r="K13" s="399" t="str">
        <f>IF($L13&gt;0,Valves!F4,"-")</f>
        <v>VALVES042024</v>
      </c>
      <c r="L13" s="393">
        <v>5</v>
      </c>
      <c r="M13" s="397" t="str">
        <f>Nonstandard!K13</f>
        <v>-</v>
      </c>
    </row>
    <row r="14" spans="1:13">
      <c r="A14" s="403"/>
      <c r="B14" s="403"/>
      <c r="C14" s="403"/>
      <c r="G14" s="17"/>
      <c r="J14" s="398" t="s">
        <v>31</v>
      </c>
      <c r="K14" s="399" t="str">
        <f>IF($L14&gt;0,SDR35SW!F4,"-")</f>
        <v>SDR35SW042024</v>
      </c>
      <c r="L14" s="393">
        <v>5</v>
      </c>
      <c r="M14" s="397" t="str">
        <f>Nonstandard!K14</f>
        <v>-</v>
      </c>
    </row>
    <row r="15" spans="1:13">
      <c r="A15" s="403"/>
      <c r="B15" s="403"/>
      <c r="C15" s="403"/>
      <c r="G15" s="17"/>
      <c r="J15" s="398" t="s">
        <v>32</v>
      </c>
      <c r="K15" s="399" t="str">
        <f>IF($L15&gt;0,SDR35G!F4,"-")</f>
        <v>SDR35G0420204</v>
      </c>
      <c r="L15" s="393">
        <v>5</v>
      </c>
      <c r="M15" s="397" t="str">
        <f>Nonstandard!K15</f>
        <v>-</v>
      </c>
    </row>
    <row r="16" spans="1:13">
      <c r="A16" s="403"/>
      <c r="B16" s="403"/>
      <c r="C16" s="403"/>
      <c r="G16" s="17"/>
      <c r="J16" s="398" t="s">
        <v>33</v>
      </c>
      <c r="K16" s="399" t="str">
        <f>IF($L16&gt;0,SDR26G!F4,"-")</f>
        <v>SDR26G042024</v>
      </c>
      <c r="L16" s="393">
        <v>5</v>
      </c>
      <c r="M16" s="397" t="str">
        <f>Nonstandard!K16</f>
        <v>-</v>
      </c>
    </row>
    <row r="17" spans="1:14">
      <c r="A17" s="403"/>
      <c r="B17" s="403"/>
      <c r="C17" s="403"/>
      <c r="G17" s="17"/>
      <c r="J17" s="398" t="s">
        <v>34</v>
      </c>
      <c r="K17" s="399" t="str">
        <f>IF($L17&gt;0,Cements!F4,"-")</f>
        <v>CEMENTS042024</v>
      </c>
      <c r="L17" s="393">
        <v>5</v>
      </c>
      <c r="M17" s="397" t="str">
        <f>Nonstandard!K17</f>
        <v>-</v>
      </c>
    </row>
    <row r="18" spans="1:14">
      <c r="A18" s="403"/>
      <c r="B18" s="403"/>
      <c r="C18" s="403"/>
      <c r="G18" s="17"/>
      <c r="J18" s="398" t="s">
        <v>35</v>
      </c>
      <c r="K18" s="399" t="str">
        <f>IF($L18&gt;0,ValveBox!F4,"-")</f>
        <v>VALVEBOX042024</v>
      </c>
      <c r="L18" s="393">
        <v>5</v>
      </c>
      <c r="M18" s="397" t="str">
        <f>Nonstandard!K18</f>
        <v>-</v>
      </c>
    </row>
    <row r="19" spans="1:14">
      <c r="A19" s="403"/>
      <c r="B19" s="403"/>
      <c r="C19" s="403"/>
      <c r="G19" s="17"/>
      <c r="J19" s="398" t="s">
        <v>36</v>
      </c>
      <c r="K19" s="399" t="str">
        <f>IF($L19&gt;0,'ValveBox Components'!F4,"-")</f>
        <v>VALVEBOXCOMP042024</v>
      </c>
      <c r="L19" s="393">
        <v>5</v>
      </c>
      <c r="M19" s="397" t="str">
        <f>Nonstandard!K19</f>
        <v>-</v>
      </c>
    </row>
    <row r="20" spans="1:14">
      <c r="A20" s="403"/>
      <c r="B20" s="403"/>
      <c r="C20" s="403"/>
      <c r="G20" s="17"/>
      <c r="J20" s="398" t="s">
        <v>37</v>
      </c>
      <c r="K20" s="399" t="str">
        <f>IF($L20&gt;0,Drainage!F4,"-")</f>
        <v>DRAINAGE042024</v>
      </c>
      <c r="L20" s="393">
        <v>5</v>
      </c>
      <c r="M20" s="397" t="str">
        <f>Nonstandard!K20</f>
        <v>-</v>
      </c>
    </row>
    <row r="21" spans="1:14">
      <c r="A21" s="403"/>
      <c r="B21" s="403"/>
      <c r="C21" s="403"/>
      <c r="G21" s="17"/>
      <c r="J21" s="398" t="s">
        <v>38</v>
      </c>
      <c r="K21" s="399" t="str">
        <f>IF($L21&gt;0,Nipples!F4,"-")</f>
        <v>NIPPLES042024</v>
      </c>
      <c r="L21" s="393">
        <v>5</v>
      </c>
      <c r="M21" s="397" t="str">
        <f>Nonstandard!K21</f>
        <v>-</v>
      </c>
    </row>
    <row r="22" spans="1:14">
      <c r="A22" s="403"/>
      <c r="B22" s="403"/>
      <c r="C22" s="403"/>
      <c r="G22" s="17"/>
      <c r="J22" s="404" t="s">
        <v>39</v>
      </c>
      <c r="K22" s="399" t="str">
        <f>IF($L22&gt;0,Manifold!F4,"-")</f>
        <v>MANIFOLD042024</v>
      </c>
      <c r="L22" s="393">
        <v>5</v>
      </c>
      <c r="M22" s="397" t="str">
        <f>Nonstandard!K22</f>
        <v>-</v>
      </c>
    </row>
    <row r="23" spans="1:14">
      <c r="A23" s="403"/>
      <c r="B23" s="403"/>
      <c r="C23" s="403"/>
      <c r="G23" s="17"/>
      <c r="J23" s="404" t="s">
        <v>40</v>
      </c>
      <c r="K23" s="399" t="str">
        <f>IF($L23&gt;0,FlexibleRepairCouplings!F4,"-")</f>
        <v>FRC042024</v>
      </c>
      <c r="L23" s="393">
        <v>5</v>
      </c>
      <c r="M23" s="397" t="str">
        <f>Nonstandard!K23</f>
        <v>-</v>
      </c>
    </row>
    <row r="24" spans="1:14">
      <c r="A24" s="403"/>
      <c r="B24" s="403"/>
      <c r="C24" s="403"/>
      <c r="G24" s="17"/>
      <c r="J24" s="404" t="s">
        <v>41</v>
      </c>
      <c r="K24" s="399" t="str">
        <f>IF($L24&gt;0,DuraFix!F4,"-")</f>
        <v>DF042024</v>
      </c>
      <c r="L24" s="393">
        <v>5</v>
      </c>
      <c r="M24" s="397" t="str">
        <f>Nonstandard!K24</f>
        <v>-</v>
      </c>
    </row>
    <row r="25" spans="1:14">
      <c r="A25" s="403"/>
      <c r="B25" s="403"/>
      <c r="C25" s="403"/>
      <c r="G25" s="17"/>
      <c r="J25" s="404" t="s">
        <v>42</v>
      </c>
      <c r="K25" s="399" t="str">
        <f>IF($L25&gt;0,'Compression Fittings'!F4,"-")</f>
        <v>COMPFIT042024</v>
      </c>
      <c r="L25" s="393">
        <v>5</v>
      </c>
      <c r="M25" s="397" t="str">
        <f>Nonstandard!K25</f>
        <v>-</v>
      </c>
    </row>
    <row r="26" spans="1:14">
      <c r="A26" s="403"/>
      <c r="B26" s="403"/>
      <c r="C26" s="403"/>
      <c r="G26" s="17"/>
      <c r="J26" s="404" t="s">
        <v>43</v>
      </c>
      <c r="K26" s="399" t="str">
        <f>IF($L26&gt;0,'Hose Fittings'!F4,"-")</f>
        <v>HOSEFIT062023</v>
      </c>
      <c r="L26" s="393">
        <v>5</v>
      </c>
      <c r="M26" s="400" t="str">
        <f>Nonstandard!K26</f>
        <v>-</v>
      </c>
    </row>
    <row r="27" spans="1:14">
      <c r="A27" s="403"/>
      <c r="B27" s="403"/>
      <c r="C27" s="403"/>
      <c r="G27" s="17"/>
      <c r="J27" s="404" t="s">
        <v>44</v>
      </c>
      <c r="K27" s="399" t="str">
        <f>IF($L27&gt;0,'Swing Joints'!F4,"-")</f>
        <v>SJ042024</v>
      </c>
      <c r="L27" s="393">
        <v>5</v>
      </c>
      <c r="M27" s="400" t="str">
        <f>Nonstandard!K27</f>
        <v>-</v>
      </c>
    </row>
    <row r="28" spans="1:14" ht="15.75" thickBot="1">
      <c r="A28" s="403"/>
      <c r="B28" s="403"/>
      <c r="C28" s="403"/>
      <c r="G28" s="17"/>
      <c r="I28" s="408"/>
      <c r="J28" s="405" t="s">
        <v>45</v>
      </c>
      <c r="K28" s="406" t="str">
        <f>IF($L28&gt;0,'Swing Joints Components'!F4,"-")</f>
        <v>SJC042024</v>
      </c>
      <c r="L28" s="393">
        <v>5</v>
      </c>
      <c r="M28" s="407" t="str">
        <f>Nonstandard!K28</f>
        <v>-</v>
      </c>
    </row>
    <row r="29" spans="1:14" ht="15.75" thickBot="1">
      <c r="A29" s="403"/>
      <c r="B29" s="403"/>
      <c r="C29" s="403"/>
      <c r="G29" s="17"/>
      <c r="I29" s="408"/>
      <c r="K29" s="408"/>
      <c r="L29" s="409"/>
      <c r="M29" s="410"/>
    </row>
    <row r="30" spans="1:14" ht="16.5" thickBot="1">
      <c r="B30" s="411"/>
      <c r="C30" s="411"/>
      <c r="D30" s="412" t="s">
        <v>46</v>
      </c>
      <c r="E30" s="602"/>
      <c r="F30" s="602"/>
      <c r="G30" s="17"/>
      <c r="K30" s="413" t="s">
        <v>47</v>
      </c>
      <c r="L30" s="603">
        <f>L222</f>
        <v>0</v>
      </c>
      <c r="M30" s="604"/>
    </row>
    <row r="31" spans="1:14" s="46" customFormat="1" ht="33.75" customHeight="1">
      <c r="A31" s="411"/>
      <c r="B31" s="17"/>
      <c r="C31" s="17"/>
      <c r="D31" s="17"/>
      <c r="E31" s="17"/>
      <c r="F31" s="17"/>
      <c r="G31" s="17"/>
      <c r="H31" s="411"/>
      <c r="I31" s="414"/>
      <c r="J31" s="414"/>
      <c r="K31" s="17"/>
      <c r="L31" s="17"/>
      <c r="M31" s="17"/>
      <c r="N31" s="17"/>
    </row>
    <row r="32" spans="1:14" ht="30.75" customHeight="1" thickBot="1">
      <c r="A32" s="43"/>
      <c r="B32" s="43" t="s">
        <v>48</v>
      </c>
      <c r="C32" s="43" t="s">
        <v>49</v>
      </c>
      <c r="D32" s="605" t="s">
        <v>50</v>
      </c>
      <c r="E32" s="606"/>
      <c r="F32" s="42" t="s">
        <v>51</v>
      </c>
      <c r="G32" s="41" t="s">
        <v>52</v>
      </c>
      <c r="H32" s="607" t="s">
        <v>53</v>
      </c>
      <c r="I32" s="608"/>
      <c r="J32" s="41" t="s">
        <v>54</v>
      </c>
      <c r="K32" s="42" t="s">
        <v>55</v>
      </c>
      <c r="L32" s="42" t="s">
        <v>56</v>
      </c>
      <c r="M32" s="42" t="s">
        <v>57</v>
      </c>
      <c r="N32" s="46"/>
    </row>
    <row r="33" spans="1:13" ht="16.5" thickTop="1">
      <c r="A33" s="415">
        <v>1</v>
      </c>
      <c r="B33" s="415" t="str">
        <f>IFERROR(IF($A33&lt;'DWV PVC'!$A$285,VLOOKUP($A33,'DWV PVC'!$A$8:$M$284,4,FALSE),
IF($A33&lt;'DWV ABS'!$A$117,VLOOKUP($A33,'DWV ABS'!$A$8:$M$116,4,FALSE),
IF($A33&lt;'PVC SCH40'!$A$376,VLOOKUP($A33,'PVC SCH40'!$A$8:$M$375,4,FALSE),
IF($A33&lt;'PVC SCH40 LD'!$A$22,VLOOKUP($A33,'PVC SCH40 LD'!$A$8:$M$21,4,FALSE),
IF($A33&lt;'Pool &amp; SPA Sweep Elbows'!$A$12,VLOOKUP($A33,'Pool &amp; SPA Sweep Elbows'!$A$8:$M$11,4,FALSE),
IF($A33&lt;'Pool &amp; SPA Pipe Extender'!$A$11,VLOOKUP($A33,'Pool &amp; SPA Pipe Extender'!$A$8:$M$10,4,FALSE),
IF($A33&lt;'PVC SCH80'!$A$250,VLOOKUP($A33,'PVC SCH80'!$A$8:$M$249,4,FALSE),
IF($A33&lt;'PVC SCH80 Flange'!$A$49,VLOOKUP($A33,'PVC SCH80 Flange'!$A$8:$M$48,4,FALSE),
IF($A33&lt;'PVC SCH80 LD Flange'!$A$17,VLOOKUP($A33,'PVC SCH80 LD Flange'!$A$8:$M$16,4,FALSE),
IF($A33&lt;CPVC!$A$100,VLOOKUP($A33,CPVC!$A$8:$M$99,4,FALSE),
IF($A33&lt;InsertFittings!$A$237,VLOOKUP($A33,InsertFittings!$A$11:$M$236,4,FALSE),
IF($A33&lt;Valves!$A$132,VLOOKUP($A33,Valves!$A$8:$M$131,4,FALSE),
IF($A33&lt;SDR35SW!$A$124,VLOOKUP($A33,SDR35SW!$A$8:$M$123,4,FALSE),
IF($A33&lt;SDR35G!$A$143,VLOOKUP($A33, SDR35G!$A$8:$M$142,4,FALSE),
IF($A33&lt;SDR26G!$A$61,VLOOKUP($A33,SDR26G!$A$8:$N$60,4,FALSE),
IF($A33&lt;Cements!$A$100,VLOOKUP($A33,Cements!$A$8:$Q$99,4,FALSE),
IF($A33&lt;ValveBox!$A$143,VLOOKUP($A33,ValveBox!$A$10:$O$142,4,FALSE),
IF($A33&lt;'ValveBox Components'!$A$165,VLOOKUP($A33,'ValveBox Components'!$A$10:$O$164,4,FALSE),
IF($A33&lt;Drainage!$A$92,VLOOKUP($A33,Drainage!$A$8:$M$91,4,FALSE),
IF($A33&lt;Nipples!$A$82,VLOOKUP($A33,Nipples!$A$9:$Q$81,4,FALSE),
IF($A33&lt;Manifold!$A$33,VLOOKUP($A33,Manifold!$A$9:$M$32,4,FALSE),
IF($A33&lt;FlexibleRepairCouplings!$A$13,VLOOKUP($A33,FlexibleRepairCouplings!$A$10:$M$12,4,FALSE),
IF($A33&lt;DuraFix!$A$15,VLOOKUP($A33,DuraFix!$A$9:$M$14,4,FALSE),
IF($A33&lt;'Compression Fittings'!$A$16,VLOOKUP($A33,'Compression Fittings'!$A$8:$M$15,4,FALSE),
IF($A33&lt;'Hose Fittings'!$A$30,VLOOKUP($A33,'Hose Fittings'!$A$8:$M$29,4,FALSE),
IF($A33&lt;'Swing Joints'!$A$496,VLOOKUP($A33,'Swing Joints'!$A$9:$M$495,4,FALSE),
IF($A33&lt;'Swing Joints Components'!$A$135,VLOOKUP($A33,'Swing Joints Components'!$A$9:$M$134,4,FALSE),
IF($A33&lt;Nonstandard!$A$42,VLOOKUP($A33,Nonstandard!$A$31:$J$41,5,FALSE),"")))))))))))))))))))))))))))),"")</f>
        <v/>
      </c>
      <c r="C33" s="415" t="str">
        <f>IFERROR(IF($A33&lt;'DWV PVC'!$A$285,VLOOKUP($A33,'DWV PVC'!$A$8:$M$284,5,FALSE),
IF($A33&lt;'DWV ABS'!$A$117,VLOOKUP($A33,'DWV ABS'!$A$8:$M$116,5,FALSE),
IF($A33&lt;'PVC SCH40'!$A$376,VLOOKUP($A33,'PVC SCH40'!$A$8:$M$375,5,FALSE),
IF($A33&lt;'PVC SCH40 LD'!$A$22,VLOOKUP($A33,'PVC SCH40 LD'!$A$8:$M$21,5,FALSE),
IF($A33&lt;'Pool &amp; SPA Sweep Elbows'!$A$12,VLOOKUP($A33,'Pool &amp; SPA Sweep Elbows'!$A$8:$M$11,5,FALSE),
IF($A33&lt;'Pool &amp; SPA Pipe Extender'!$A$11,VLOOKUP($A33,'Pool &amp; SPA Pipe Extender'!$A$8:$M$10,5,FALSE),
IF($A33&lt;'PVC SCH80'!$A$250,VLOOKUP($A33,'PVC SCH80'!$A$8:$M$249,5,FALSE),
IF($A33&lt;'PVC SCH80 Flange'!$A$49,VLOOKUP($A33,'PVC SCH80 Flange'!$A$8:$M$48,5,FALSE),
IF($A33&lt;'PVC SCH80 LD Flange'!$A$17,VLOOKUP($A33,'PVC SCH80 LD Flange'!$A$8:$M$16,5,FALSE),
IF($A33&lt;CPVC!$A$100,VLOOKUP($A33,CPVC!$A$8:$M$99,5,FALSE),
IF($A33&lt;InsertFittings!$A$237,VLOOKUP($A33,InsertFittings!$A$11:$M$236,5,FALSE),
IF($A33&lt;Valves!$A$132,VLOOKUP($A33,Valves!$A$8:$M$131,5,FALSE),
IF($A33&lt;SDR35SW!$A$124,VLOOKUP($A33,SDR35SW!$A$8:$M$123,5,FALSE),
IF($A33&lt;SDR35G!$A$143,VLOOKUP($A33, SDR35G!$A$8:$M$142,5,FALSE),
IF($A33&lt;SDR26G!$A$61,VLOOKUP($A33,SDR26G!$A$8:$N$60,5,FALSE),
IF($A33&lt;Cements!$A$100,VLOOKUP($A33,Cements!$A$8:$Q$99,5,FALSE),
IF($A33&lt;ValveBox!$A$143,VLOOKUP($A33,ValveBox!$A$10:$O$142,5,FALSE),
IF($A33&lt;'ValveBox Components'!$A$165,VLOOKUP($A33,'ValveBox Components'!$A$10:$O$164,5,FALSE),
IF($A33&lt;Drainage!$A$92,VLOOKUP($A33,Drainage!$A$8:$M$91,5,FALSE),
IF($A33&lt;Nipples!$A$82,VLOOKUP($A33,Nipples!$A$9:$Q$81,5,FALSE),
IF($A33&lt;Manifold!$A$33,VLOOKUP($A33,Manifold!$A$9:$M$32,5,FALSE),
IF($A33&lt;FlexibleRepairCouplings!$A$13,VLOOKUP($A33,FlexibleRepairCouplings!$A$10:$M$12,5,FALSE),
IF($A33&lt;DuraFix!$A$15,VLOOKUP($A33,DuraFix!$A$9:$M$14,5,FALSE),
IF($A33&lt;'Compression Fittings'!$A$16,VLOOKUP($A33,'Compression Fittings'!$A$8:$M$15,5,FALSE),
IF($A33&lt;'Hose Fittings'!$A$30,VLOOKUP($A33,'Hose Fittings'!$A$8:$M$29,5,FALSE),
IF($A33&lt;'Swing Joints'!$A$496,VLOOKUP($A33,'Swing Joints'!$A$9:$M$495,5,FALSE),
IF($A33&lt;'Swing Joints Components'!$A$135,VLOOKUP($A33,'Swing Joints Components'!$A$9:$M$134,5,FALSE),
IF($A33&lt;Nonstandard!$A$42,VLOOKUP($A33,Nonstandard!$A$31:$J$41,6,FALSE),"")))))))))))))))))))))))))))),"")</f>
        <v/>
      </c>
      <c r="D33" s="426" t="str">
        <f>IFERROR(IF($A33&lt;'DWV PVC'!$A$285,VLOOKUP($A33,'DWV PVC'!$A$8:$M$284,6,FALSE),
IF($A33&lt;'DWV ABS'!$A$117,VLOOKUP($A33,'DWV ABS'!$A$8:$M$116,6,FALSE),
IF($A33&lt;'PVC SCH40'!$A$376,VLOOKUP($A33,'PVC SCH40'!$A$8:$M$375,6,FALSE),
IF($A33&lt;'PVC SCH40 LD'!$A$22,VLOOKUP($A33,'PVC SCH40 LD'!$A$8:$M$21,6,FALSE),
IF($A33&lt;'Pool &amp; SPA Sweep Elbows'!$A$12,VLOOKUP($A33,'Pool &amp; SPA Sweep Elbows'!$A$8:$M$11,6,FALSE),
IF($A33&lt;'Pool &amp; SPA Pipe Extender'!$A$11,VLOOKUP($A33,'Pool &amp; SPA Pipe Extender'!$A$8:$M$10,6,FALSE),
IF($A33&lt;'PVC SCH80'!$A$250,VLOOKUP($A33,'PVC SCH80'!$A$8:$M$249,6,FALSE),
IF($A33&lt;'PVC SCH80 Flange'!$A$49,VLOOKUP($A33,'PVC SCH80 Flange'!$A$8:$M$48,6,FALSE),
IF($A33&lt;'PVC SCH80 LD Flange'!$A$17,VLOOKUP($A33,'PVC SCH80 LD Flange'!$A$8:$M$16,6,FALSE),
IF($A33&lt;CPVC!$A$100,VLOOKUP($A33,CPVC!$A$8:$M$99,6,FALSE),
IF($A33&lt;InsertFittings!$A$237,VLOOKUP($A33,InsertFittings!$A$11:$M$236,6,FALSE),
IF($A33&lt;Valves!$A$132,VLOOKUP($A33,Valves!$A$8:$M$131,6,FALSE),
IF($A33&lt;SDR35SW!$A$124,VLOOKUP($A33,SDR35SW!$A$8:$M$123,6,FALSE),
IF($A33&lt;SDR35G!$A$143,VLOOKUP($A33, SDR35G!$A$8:$M$142,6,FALSE),
IF($A33&lt;SDR26G!$A$61,VLOOKUP($A33,SDR26G!$A$8:$N$60,6,FALSE),
IF($A33&lt;Cements!$A$100,VLOOKUP($A33,Cements!$A$8:$Q$99,6,FALSE),
IF($A33&lt;ValveBox!$A$143,VLOOKUP($A33,ValveBox!$A$10:$O$142,6,FALSE),
IF($A33&lt;'ValveBox Components'!$A$165,VLOOKUP($A33,'ValveBox Components'!$A$10:$O$164,6,FALSE),
IF($A33&lt;Drainage!$A$92,VLOOKUP($A33,Drainage!$A$8:$M$91,6,FALSE),
IF($A33&lt;Nipples!$A$82,VLOOKUP($A33,Nipples!$A$9:$Q$81,6,FALSE),
IF($A33&lt;Manifold!$A$33,VLOOKUP($A33,Manifold!$A$9:$M$32,6,FALSE),
IF($A33&lt;FlexibleRepairCouplings!$A$13,VLOOKUP($A33,FlexibleRepairCouplings!$A$10:$M$12,6,FALSE),
IF($A33&lt;DuraFix!$A$15,VLOOKUP($A33,DuraFix!$A$9:$M$14,6,FALSE),
IF($A33&lt;'Compression Fittings'!$A$16,VLOOKUP($A33,'Compression Fittings'!$A$8:$M$15,6,FALSE),
IF($A33&lt;'Hose Fittings'!$A$30,VLOOKUP($A33,'Hose Fittings'!$A$8:$M$29,6,FALSE),
IF($A33&lt;'Swing Joints'!$A$496,VLOOKUP($A33,'Swing Joints'!$A$9:$M$495,6,FALSE),
IF($A33&lt;'Swing Joints Components'!$A$135,VLOOKUP($A33,'Swing Joints Components'!$A$9:$M$134,6,FALSE),
IF($A33&lt;Nonstandard!$A$42,VLOOKUP($A33,Nonstandard!$A$31:$J$41,7,FALSE),"")))))))))))))))))))))))))))),"")</f>
        <v/>
      </c>
      <c r="E33" s="435"/>
      <c r="F33" s="418" t="str">
        <f>IFERROR(IF($A33&lt;'DWV PVC'!$A$285,VLOOKUP($A33,'DWV PVC'!$A$8:$M$284,9,FALSE),
IF($A33&lt;'DWV ABS'!$A$117,VLOOKUP($A33,'DWV ABS'!$A$8:$M$116,9,FALSE),
IF($A33&lt;'PVC SCH40'!$A$376,VLOOKUP($A33,'PVC SCH40'!$A$8:$M$375,9,FALSE),
IF($A33&lt;'PVC SCH40 LD'!$A$22,VLOOKUP($A33,'PVC SCH40 LD'!$A$8:$M$21,9,FALSE),
IF($A33&lt;'Pool &amp; SPA Sweep Elbows'!$A$12,VLOOKUP($A33,'Pool &amp; SPA Sweep Elbows'!$A$8:$M$11,9,FALSE),
IF($A33&lt;'Pool &amp; SPA Pipe Extender'!$A$11,VLOOKUP($A33,'Pool &amp; SPA Pipe Extender'!$A$8:$M$10,9,FALSE),
IF($A33&lt;'PVC SCH80'!$A$250,VLOOKUP($A33,'PVC SCH80'!$A$8:$M$249,9,FALSE),
IF($A33&lt;'PVC SCH80 Flange'!$A$49,VLOOKUP($A33,'PVC SCH80 Flange'!$A$8:$M$48,9,FALSE),
IF($A33&lt;'PVC SCH80 LD Flange'!$A$17,VLOOKUP($A33,'PVC SCH80 LD Flange'!$A$8:$M$16,9,FALSE),
IF($A33&lt;CPVC!$A$100,VLOOKUP($A33,CPVC!$A$8:$M$99,9,FALSE),
IF($A33&lt;InsertFittings!$A$237,VLOOKUP($A33,InsertFittings!$A$11:$M$236,9,FALSE),
IF($A33&lt;Valves!$A$132,VLOOKUP($A33,Valves!$A$8:$M$131,9,FALSE),
IF($A33&lt;SDR35SW!$A$124,VLOOKUP($A33,SDR35SW!$A$8:$M$123,9,FALSE),
IF($A33&lt;SDR35G!$A$143,VLOOKUP($A33, SDR35G!$A$8:$M$142,9,FALSE),
IF($A33&lt;SDR26G!$A$61,VLOOKUP($A33,SDR26G!$A$8:$N$60,10,FALSE),
IF($A33&lt;Cements!$A$100,VLOOKUP($A33,Cements!$A$8:$Q$99,13,FALSE),
IF($A33&lt;ValveBox!$A$143,VLOOKUP($A33,ValveBox!$A$10:$O$142,11,FALSE),
IF($A33&lt;'ValveBox Components'!$A$165,VLOOKUP($A33,'ValveBox Components'!$A$10:$O$164,11,FALSE),
IF($A33&lt;Drainage!$A$92,VLOOKUP($A33,Drainage!$A$8:$M$91,9,FALSE),
IF($A33&lt;Nipples!$A$82,VLOOKUP($A33,Nipples!$A$9:$Q$81,13,FALSE),
IF($A33&lt;Manifold!$A$33,VLOOKUP($A33,Manifold!$A$9:$M$32,9,FALSE),
IF($A33&lt;FlexibleRepairCouplings!$A$13,VLOOKUP($A33,FlexibleRepairCouplings!$A$10:$M$12,9,FALSE),
IF($A33&lt;DuraFix!$A$15,VLOOKUP($A33,DuraFix!$A$9:$M$14,9,FALSE),
IF($A33&lt;'Compression Fittings'!$A$16,VLOOKUP($A33,'Compression Fittings'!$A$8:$M$15,9,FALSE),
IF($A33&lt;'Hose Fittings'!$A$30,VLOOKUP($A33,'Hose Fittings'!$A$8:$M$29,9,FALSE),
IF($A33&lt;'Swing Joints'!$A$496,VLOOKUP($A33,'Swing Joints'!$A$9:$M$495,9,FALSE),
IF($A33&lt;'Swing Joints Components'!$A$135,VLOOKUP($A33,'Swing Joints Components'!$A$9:$M$134,9,FALSE),
IF($A33&lt;Nonstandard!$A$42,VLOOKUP($A33,Nonstandard!$A$31:$J$41,8,FALSE),"")))))))))))))))))))))))))))),"")</f>
        <v/>
      </c>
      <c r="G33" s="416" t="str">
        <f>IFERROR(IF($A33&lt;'DWV PVC'!$A$285,VLOOKUP($A33,'DWV PVC'!$A$8:$M$284,11,FALSE),
IF($A33&lt;'DWV ABS'!$A$117,VLOOKUP($A33,'DWV ABS'!$A$8:$M$116,11,FALSE),
IF($A33&lt;'PVC SCH40'!$A$376,VLOOKUP($A33,'PVC SCH40'!$A$8:$M$375,11,FALSE),
IF($A33&lt;'PVC SCH40 LD'!$A$22,VLOOKUP($A33,'PVC SCH40 LD'!$A$8:$M$21,11,FALSE),
IF($A33&lt;'Pool &amp; SPA Sweep Elbows'!$A$12,VLOOKUP($A33,'Pool &amp; SPA Sweep Elbows'!$A$8:$M$11,11,FALSE),
IF($A33&lt;'Pool &amp; SPA Pipe Extender'!$A$11,VLOOKUP($A33,'Pool &amp; SPA Pipe Extender'!$A$8:$M$10,11,FALSE),
IF($A33&lt;'PVC SCH80'!$A$250,VLOOKUP($A33,'PVC SCH80'!$A$8:$M$249,11,FALSE),
IF($A33&lt;'PVC SCH80 Flange'!$A$49,VLOOKUP($A33,'PVC SCH80 Flange'!$A$8:$M$48,11,FALSE),
IF($A33&lt;'PVC SCH80 LD Flange'!$A$17,VLOOKUP($A33,'PVC SCH80 LD Flange'!$A$8:$M$16,11,FALSE),
IF($A33&lt;CPVC!$A$100,VLOOKUP($A33,CPVC!$A$8:$M$99,11,FALSE),
IF($A33&lt;InsertFittings!$A$237,VLOOKUP($A33,InsertFittings!$A$11:$M$236,11,FALSE),
IF($A33&lt;Valves!$A$132,VLOOKUP($A33,Valves!$A$8:$M$131,11,FALSE),
IF($A33&lt;SDR35SW!$A$124,VLOOKUP($A33,SDR35SW!$A$8:$M$123,11,FALSE),
IF($A33&lt;SDR35G!$A$143,VLOOKUP($A33, SDR35G!$A$8:$M$142,11,FALSE),
IF($A33&lt;SDR26G!$A$61,VLOOKUP($A33,SDR26G!$A$8:$N$60,12,FALSE),
IF($A33&lt;Cements!$A$100,VLOOKUP($A33,Cements!$A$8:$Q$99,15,FALSE),
IF($A33&lt;ValveBox!$A$143,VLOOKUP($A33,ValveBox!$A$10:$O$142,13,FALSE),
IF($A33&lt;'ValveBox Components'!$A$165,VLOOKUP($A33,'ValveBox Components'!$A$10:$O$164,13,FALSE),
IF($A33&lt;Drainage!$A$92,VLOOKUP($A33,Drainage!$A$8:$M$91,11,FALSE),
IF($A33&lt;Nipples!$A$82,VLOOKUP($A33,Nipples!$A$9:$Q$81,15,FALSE),
IF($A33&lt;Manifold!$A$33,VLOOKUP($A33,Manifold!$A$9:$M$32,11,FALSE),
IF($A33&lt;FlexibleRepairCouplings!$A$13,VLOOKUP($A33,FlexibleRepairCouplings!$A$10:$M$12,11,FALSE),
IF($A33&lt;DuraFix!$A$15,VLOOKUP($A33,DuraFix!$A$9:$M$14,11,FALSE),
IF($A33&lt;'Compression Fittings'!$A$16,VLOOKUP($A33,'Compression Fittings'!$A$8:$M$15,11,FALSE),
IF($A33&lt;'Hose Fittings'!$A$30,VLOOKUP($A33,'Hose Fittings'!$A$8:$M$29,11,FALSE),
IF($A33&lt;'Swing Joints'!$A$496,VLOOKUP($A33,'Swing Joints'!$A$9:$M$495,11,FALSE),
IF($A33&lt;'Swing Joints Components'!$A$135,VLOOKUP($A33,'Swing Joints Components'!$A$9:$M$134,11,FALSE),
IF($A33&lt;Nonstandard!$A$42,VLOOKUP($A33,Nonstandard!$A$31:$J$41,3,FALSE),"")))))))))))))))))))))))))))),"")</f>
        <v/>
      </c>
      <c r="H33" s="586" t="str">
        <f>IFERROR(IF($A33&lt;'DWV PVC'!$A$285,VLOOKUP($A33,'DWV PVC'!$A$8:$M$284,7,FALSE),
IF($A33&lt;'DWV ABS'!$A$117,VLOOKUP($A33,'DWV ABS'!$A$8:$M$116,7,FALSE),
IF($A33&lt;'PVC SCH40'!$A$376,VLOOKUP($A33,'PVC SCH40'!$A$8:$M$375,7,FALSE),
IF($A33&lt;'PVC SCH40 LD'!$A$22,VLOOKUP($A33,'PVC SCH40 LD'!$A$8:$M$21,7,FALSE),
IF($A33&lt;'Pool &amp; SPA Sweep Elbows'!$A$12,VLOOKUP($A33,'Pool &amp; SPA Sweep Elbows'!$A$8:$M$11,7,FALSE),
IF($A33&lt;'Pool &amp; SPA Pipe Extender'!$A$11,VLOOKUP($A33,'Pool &amp; SPA Pipe Extender'!$A$8:$M$10,7,FALSE),
IF($A33&lt;'PVC SCH80'!$A$250,VLOOKUP($A33,'PVC SCH80'!$A$8:$M$249,7,FALSE),
IF($A33&lt;'PVC SCH80 Flange'!$A$49,VLOOKUP($A33,'PVC SCH80 Flange'!$A$8:$M$48,7,FALSE),
IF($A33&lt;'PVC SCH80 LD Flange'!$A$17,VLOOKUP($A33,'PVC SCH80 LD Flange'!$A$8:$M$16,7,FALSE),
IF($A33&lt;CPVC!$A$100,VLOOKUP($A33,CPVC!$A$8:$M$99,7,FALSE),
IF($A33&lt;InsertFittings!$A$237,VLOOKUP($A33,InsertFittings!$A$11:$M$236,7,FALSE),
IF($A33&lt;Valves!$A$132,VLOOKUP($A33,Valves!$A$8:$M$131,7,FALSE),
IF($A33&lt;SDR35SW!$A$124,VLOOKUP($A33,SDR35SW!$A$8:$M$123,7,FALSE),
IF($A33&lt;SDR35G!$A$143,VLOOKUP($A33, SDR35G!$A$8:$M$142,7,FALSE),
IF($A33&lt;SDR26G!$A$61,VLOOKUP($A33,SDR26G!$A$8:$N$60,10,FALSE),
IF($A33&lt;Cements!$A$100,VLOOKUP($A33,Cements!$A$8:$Q$99,13,FALSE),
IF($A33&lt;ValveBox!$A$143,VLOOKUP($A33,ValveBox!$A$10:$O$142,11,FALSE),
IF($A33&lt;'ValveBox Components'!$A$165,VLOOKUP($A33,'ValveBox Components'!$A$10:$O$164,11,FALSE),
IF($A33&lt;Drainage!$A$92,VLOOKUP($A33,Drainage!$A$8:$M$91,7,FALSE),
IF($A33&lt;Nipples!$A$82,VLOOKUP($A33,Nipples!$A$9:$Q$81,13,FALSE),
IF($A33&lt;Manifold!$A$33,VLOOKUP($A33,Manifold!$A$9:$M$32,7,FALSE),
IF($A33&lt;FlexibleRepairCouplings!$A$13,VLOOKUP($A33,FlexibleRepairCouplings!$A$10:$M$12,7,FALSE),
IF($A33&lt;DuraFix!$A$15,VLOOKUP($A33,DuraFix!$A$9:$M$14,7,FALSE),
IF($A33&lt;'Compression Fittings'!$A$16,VLOOKUP($A33,'Compression Fittings'!$A$8:$M$15,7,FALSE),
IF($A33&lt;'Hose Fittings'!$A$30,VLOOKUP($A33,'Hose Fittings'!$A$8:$M$29,7,FALSE),
IF($A33&lt;'Swing Joints'!$A$496,VLOOKUP($A33,'Swing Joints'!$A$9:$M$495,7,FALSE),
IF($A33&lt;'Swing Joints Components'!$A$135,VLOOKUP($A33,'Swing Joints Components'!$A$9:$M$134,7,FALSE),
IF($A33&lt;Nonstandard!$A$42,VLOOKUP($A33,Nonstandard!$A$31:$J$41,3,FALSE),"")))))))))))))))))))))))))))),"")</f>
        <v/>
      </c>
      <c r="I33" s="587"/>
      <c r="J33" s="383" t="str">
        <f>IFERROR(G33/H33,"")</f>
        <v/>
      </c>
      <c r="K33" s="417" t="str">
        <f>IFERROR(IF($A33&lt;'DWV PVC'!$A$285,VLOOKUP($A33,'DWV PVC'!$A$8:$M$284,10,FALSE),
IF($A33&lt;'DWV ABS'!$A$117,VLOOKUP($A33,'DWV ABS'!$A$8:$M$116,10,FALSE),
IF($A33&lt;'PVC SCH40'!$A$376,VLOOKUP($A33,'PVC SCH40'!$A$8:$M$375,10,FALSE),
IF($A33&lt;'PVC SCH40 LD'!$A$22,VLOOKUP($A33,'PVC SCH40 LD'!$A$8:$M$21,10,FALSE),
IF($A33&lt;'Pool &amp; SPA Sweep Elbows'!$A$12,VLOOKUP($A33,'Pool &amp; SPA Sweep Elbows'!$A$8:$M$11,10,FALSE),
IF($A33&lt;'Pool &amp; SPA Pipe Extender'!$A$11,VLOOKUP($A33,'Pool &amp; SPA Pipe Extender'!$A$8:$M$10,10,FALSE),
IF($A33&lt;'PVC SCH80'!$A$250,VLOOKUP($A33,'PVC SCH80'!$A$8:$M$249,10,FALSE),
IF($A33&lt;'PVC SCH80 Flange'!$A$49,VLOOKUP($A33,'PVC SCH80 Flange'!$A$8:$M$48,10,FALSE),
IF($A33&lt;'PVC SCH80 LD Flange'!$A$17,VLOOKUP($A33,'PVC SCH80 LD Flange'!$A$8:$M$16,10,FALSE),
IF($A33&lt;CPVC!$A$100,VLOOKUP($A33,CPVC!$A$8:$M$99,10,FALSE),
IF($A33&lt;InsertFittings!$A$237,VLOOKUP($A33,InsertFittings!$A$11:$M$236,10,FALSE),
IF($A33&lt;Valves!$A$132,VLOOKUP($A33,Valves!$A$8:$M$131,10,FALSE),
IF($A33&lt;SDR35SW!$A$124,VLOOKUP($A33,SDR35SW!$A$8:$M$123,10,FALSE),
IF($A33&lt;SDR35G!$A$143,VLOOKUP($A33, SDR35G!$A$8:$M$142,10,FALSE),
IF($A33&lt;SDR26G!$A$61,VLOOKUP($A33,SDR26G!$A$8:$N$60,11,FALSE),
IF($A33&lt;Cements!$A$100,VLOOKUP($A33,Cements!$A$8:$Q$99,14,FALSE),
IF($A33&lt;ValveBox!$A$143,VLOOKUP($A33,ValveBox!$A$10:$O$142,12,FALSE),
IF($A33&lt;'ValveBox Components'!$A$165,VLOOKUP($A33,'ValveBox Components'!$A$10:$O$164,12,FALSE),
IF($A33&lt;Drainage!$A$92,VLOOKUP($A33,Drainage!$A$8:$M$91,10,FALSE),
IF($A33&lt;Nipples!$A$82,VLOOKUP($A33,Nipples!$A$9:$Q$81,14,FALSE),
IF($A33&lt;Manifold!$A$33,VLOOKUP($A33,Manifold!$A$9:$M$32,10,FALSE),
IF($A33&lt;FlexibleRepairCouplings!$A$13,VLOOKUP($A33,FlexibleRepairCouplings!$A$10:$M$12,10,FALSE),
IF($A33&lt;DuraFix!$A$15,VLOOKUP($A33,DuraFix!$A$9:$M$14,10,FALSE),
IF($A33&lt;'Compression Fittings'!$A$16,VLOOKUP($A33,'Compression Fittings'!$A$8:$M$15,10,FALSE),
IF($A33&lt;'Hose Fittings'!$A$30,VLOOKUP($A33,'Hose Fittings'!$A$8:$M$29,10,FALSE),
IF($A33&lt;'Swing Joints'!$A$496,VLOOKUP($A33,'Swing Joints'!$A$9:$M$495,10,FALSE),
IF($A33&lt;'Swing Joints Components'!$A$135,VLOOKUP($A33,'Swing Joints Components'!$A$9:$M$134,10,FALSE),
IF($A33&lt;Nonstandard!$A$42,VLOOKUP($A33,Nonstandard!$A$31:$J$41,10,FALSE),"")))))))))))))))))))))))))))),"")</f>
        <v/>
      </c>
      <c r="L33" s="418" t="str">
        <f t="shared" ref="L33:L90" si="0">IF(G33="","-",K33*G33)</f>
        <v>-</v>
      </c>
      <c r="M33" s="419"/>
    </row>
    <row r="34" spans="1:13" ht="15.75">
      <c r="A34" s="420">
        <v>2</v>
      </c>
      <c r="B34" s="420" t="str">
        <f>IFERROR(IF($A34&lt;'DWV PVC'!$A$285,VLOOKUP($A34,'DWV PVC'!$A$8:$M$284,4,FALSE),
IF($A34&lt;'DWV ABS'!$A$117,VLOOKUP($A34,'DWV ABS'!$A$8:$M$116,4,FALSE),
IF($A34&lt;'PVC SCH40'!$A$376,VLOOKUP($A34,'PVC SCH40'!$A$8:$M$375,4,FALSE),
IF($A34&lt;'PVC SCH40 LD'!$A$22,VLOOKUP($A34,'PVC SCH40 LD'!$A$8:$M$21,4,FALSE),
IF($A34&lt;'Pool &amp; SPA Sweep Elbows'!$A$12,VLOOKUP($A34,'Pool &amp; SPA Sweep Elbows'!$A$8:$M$11,4,FALSE),
IF($A34&lt;'Pool &amp; SPA Pipe Extender'!$A$11,VLOOKUP($A34,'Pool &amp; SPA Pipe Extender'!$A$8:$M$10,4,FALSE),
IF($A34&lt;'PVC SCH80'!$A$250,VLOOKUP($A34,'PVC SCH80'!$A$8:$M$249,4,FALSE),
IF($A34&lt;'PVC SCH80 Flange'!$A$49,VLOOKUP($A34,'PVC SCH80 Flange'!$A$8:$M$48,4,FALSE),
IF($A34&lt;'PVC SCH80 LD Flange'!$A$17,VLOOKUP($A34,'PVC SCH80 LD Flange'!$A$8:$M$16,4,FALSE),
IF($A34&lt;CPVC!$A$100,VLOOKUP($A34,CPVC!$A$8:$M$99,4,FALSE),
IF($A34&lt;InsertFittings!$A$237,VLOOKUP($A34,InsertFittings!$A$11:$M$236,4,FALSE),
IF($A34&lt;Valves!$A$132,VLOOKUP($A34,Valves!$A$8:$M$131,4,FALSE),
IF($A34&lt;SDR35SW!$A$124,VLOOKUP($A34,SDR35SW!$A$8:$M$123,4,FALSE),
IF($A34&lt;SDR35G!$A$143,VLOOKUP($A34, SDR35G!$A$8:$M$142,4,FALSE),
IF($A34&lt;SDR26G!$A$61,VLOOKUP($A34,SDR26G!$A$8:$N$60,4,FALSE),
IF($A34&lt;Cements!$A$100,VLOOKUP($A34,Cements!$A$8:$Q$99,4,FALSE),
IF($A34&lt;ValveBox!$A$143,VLOOKUP($A34,ValveBox!$A$10:$O$142,4,FALSE),
IF($A34&lt;'ValveBox Components'!$A$165,VLOOKUP($A34,'ValveBox Components'!$A$10:$O$164,4,FALSE),
IF($A34&lt;Drainage!$A$92,VLOOKUP($A34,Drainage!$A$8:$M$91,4,FALSE),
IF($A34&lt;Nipples!$A$82,VLOOKUP($A34,Nipples!$A$9:$Q$81,4,FALSE),
IF($A34&lt;Manifold!$A$33,VLOOKUP($A34,Manifold!$A$9:$M$32,4,FALSE),
IF($A34&lt;FlexibleRepairCouplings!$A$13,VLOOKUP($A34,FlexibleRepairCouplings!$A$10:$M$12,4,FALSE),
IF($A34&lt;DuraFix!$A$15,VLOOKUP($A34,DuraFix!$A$9:$M$14,4,FALSE),
IF($A34&lt;'Compression Fittings'!$A$16,VLOOKUP($A34,'Compression Fittings'!$A$8:$M$15,4,FALSE),
IF($A34&lt;'Hose Fittings'!$A$30,VLOOKUP($A34,'Hose Fittings'!$A$8:$M$29,4,FALSE),
IF($A34&lt;'Swing Joints'!$A$496,VLOOKUP($A34,'Swing Joints'!$A$9:$M$495,4,FALSE),
IF($A34&lt;'Swing Joints Components'!$A$135,VLOOKUP($A34,'Swing Joints Components'!$A$9:$M$134,4,FALSE),
IF($A34&lt;Nonstandard!$A$42,VLOOKUP($A34,Nonstandard!$A$31:$J$41,5,FALSE),"")))))))))))))))))))))))))))),"")</f>
        <v/>
      </c>
      <c r="C34" s="420" t="str">
        <f>IFERROR(IF($A34&lt;'DWV PVC'!$A$285,VLOOKUP($A34,'DWV PVC'!$A$8:$M$284,5,FALSE),
IF($A34&lt;'DWV ABS'!$A$117,VLOOKUP($A34,'DWV ABS'!$A$8:$M$116,5,FALSE),
IF($A34&lt;'PVC SCH40'!$A$376,VLOOKUP($A34,'PVC SCH40'!$A$8:$M$375,5,FALSE),
IF($A34&lt;'PVC SCH40 LD'!$A$22,VLOOKUP($A34,'PVC SCH40 LD'!$A$8:$M$21,5,FALSE),
IF($A34&lt;'Pool &amp; SPA Sweep Elbows'!$A$12,VLOOKUP($A34,'Pool &amp; SPA Sweep Elbows'!$A$8:$M$11,5,FALSE),
IF($A34&lt;'Pool &amp; SPA Pipe Extender'!$A$11,VLOOKUP($A34,'Pool &amp; SPA Pipe Extender'!$A$8:$M$10,5,FALSE),
IF($A34&lt;'PVC SCH80'!$A$250,VLOOKUP($A34,'PVC SCH80'!$A$8:$M$249,5,FALSE),
IF($A34&lt;'PVC SCH80 Flange'!$A$49,VLOOKUP($A34,'PVC SCH80 Flange'!$A$8:$M$48,5,FALSE),
IF($A34&lt;'PVC SCH80 LD Flange'!$A$17,VLOOKUP($A34,'PVC SCH80 LD Flange'!$A$8:$M$16,5,FALSE),
IF($A34&lt;CPVC!$A$100,VLOOKUP($A34,CPVC!$A$8:$M$99,5,FALSE),
IF($A34&lt;InsertFittings!$A$237,VLOOKUP($A34,InsertFittings!$A$11:$M$236,5,FALSE),
IF($A34&lt;Valves!$A$132,VLOOKUP($A34,Valves!$A$8:$M$131,5,FALSE),
IF($A34&lt;SDR35SW!$A$124,VLOOKUP($A34,SDR35SW!$A$8:$M$123,5,FALSE),
IF($A34&lt;SDR35G!$A$143,VLOOKUP($A34, SDR35G!$A$8:$M$142,5,FALSE),
IF($A34&lt;SDR26G!$A$61,VLOOKUP($A34,SDR26G!$A$8:$N$60,5,FALSE),
IF($A34&lt;Cements!$A$100,VLOOKUP($A34,Cements!$A$8:$Q$99,5,FALSE),
IF($A34&lt;ValveBox!$A$143,VLOOKUP($A34,ValveBox!$A$10:$O$142,5,FALSE),
IF($A34&lt;'ValveBox Components'!$A$165,VLOOKUP($A34,'ValveBox Components'!$A$10:$O$164,5,FALSE),
IF($A34&lt;Drainage!$A$92,VLOOKUP($A34,Drainage!$A$8:$M$91,5,FALSE),
IF($A34&lt;Nipples!$A$82,VLOOKUP($A34,Nipples!$A$9:$Q$81,5,FALSE),
IF($A34&lt;Manifold!$A$33,VLOOKUP($A34,Manifold!$A$9:$M$32,5,FALSE),
IF($A34&lt;FlexibleRepairCouplings!$A$13,VLOOKUP($A34,FlexibleRepairCouplings!$A$10:$M$12,5,FALSE),
IF($A34&lt;DuraFix!$A$15,VLOOKUP($A34,DuraFix!$A$9:$M$14,5,FALSE),
IF($A34&lt;'Compression Fittings'!$A$16,VLOOKUP($A34,'Compression Fittings'!$A$8:$M$15,5,FALSE),
IF($A34&lt;'Hose Fittings'!$A$30,VLOOKUP($A34,'Hose Fittings'!$A$8:$M$29,5,FALSE),
IF($A34&lt;'Swing Joints'!$A$496,VLOOKUP($A34,'Swing Joints'!$A$9:$M$495,5,FALSE),
IF($A34&lt;'Swing Joints Components'!$A$135,VLOOKUP($A34,'Swing Joints Components'!$A$9:$M$134,5,FALSE),
IF($A34&lt;Nonstandard!$A$42,VLOOKUP($A34,Nonstandard!$A$31:$J$41,6,FALSE),"")))))))))))))))))))))))))))),"")</f>
        <v/>
      </c>
      <c r="D34" s="428" t="str">
        <f>IFERROR(IF($A34&lt;'DWV PVC'!$A$285,VLOOKUP($A34,'DWV PVC'!$A$8:$M$284,6,FALSE),
IF($A34&lt;'DWV ABS'!$A$117,VLOOKUP($A34,'DWV ABS'!$A$8:$M$116,6,FALSE),
IF($A34&lt;'PVC SCH40'!$A$376,VLOOKUP($A34,'PVC SCH40'!$A$8:$M$375,6,FALSE),
IF($A34&lt;'PVC SCH40 LD'!$A$22,VLOOKUP($A34,'PVC SCH40 LD'!$A$8:$M$21,6,FALSE),
IF($A34&lt;'Pool &amp; SPA Sweep Elbows'!$A$12,VLOOKUP($A34,'Pool &amp; SPA Sweep Elbows'!$A$8:$M$11,6,FALSE),
IF($A34&lt;'Pool &amp; SPA Pipe Extender'!$A$11,VLOOKUP($A34,'Pool &amp; SPA Pipe Extender'!$A$8:$M$10,6,FALSE),
IF($A34&lt;'PVC SCH80'!$A$250,VLOOKUP($A34,'PVC SCH80'!$A$8:$M$249,6,FALSE),
IF($A34&lt;'PVC SCH80 Flange'!$A$49,VLOOKUP($A34,'PVC SCH80 Flange'!$A$8:$M$48,6,FALSE),
IF($A34&lt;'PVC SCH80 LD Flange'!$A$17,VLOOKUP($A34,'PVC SCH80 LD Flange'!$A$8:$M$16,6,FALSE),
IF($A34&lt;CPVC!$A$100,VLOOKUP($A34,CPVC!$A$8:$M$99,6,FALSE),
IF($A34&lt;InsertFittings!$A$237,VLOOKUP($A34,InsertFittings!$A$11:$M$236,6,FALSE),
IF($A34&lt;Valves!$A$132,VLOOKUP($A34,Valves!$A$8:$M$131,6,FALSE),
IF($A34&lt;SDR35SW!$A$124,VLOOKUP($A34,SDR35SW!$A$8:$M$123,6,FALSE),
IF($A34&lt;SDR35G!$A$143,VLOOKUP($A34, SDR35G!$A$8:$M$142,6,FALSE),
IF($A34&lt;SDR26G!$A$61,VLOOKUP($A34,SDR26G!$A$8:$N$60,6,FALSE),
IF($A34&lt;Cements!$A$100,VLOOKUP($A34,Cements!$A$8:$Q$99,6,FALSE),
IF($A34&lt;ValveBox!$A$143,VLOOKUP($A34,ValveBox!$A$10:$O$142,6,FALSE),
IF($A34&lt;'ValveBox Components'!$A$165,VLOOKUP($A34,'ValveBox Components'!$A$10:$O$164,6,FALSE),
IF($A34&lt;Drainage!$A$92,VLOOKUP($A34,Drainage!$A$8:$M$91,6,FALSE),
IF($A34&lt;Nipples!$A$82,VLOOKUP($A34,Nipples!$A$9:$Q$81,6,FALSE),
IF($A34&lt;Manifold!$A$33,VLOOKUP($A34,Manifold!$A$9:$M$32,6,FALSE),
IF($A34&lt;FlexibleRepairCouplings!$A$13,VLOOKUP($A34,FlexibleRepairCouplings!$A$10:$M$12,6,FALSE),
IF($A34&lt;DuraFix!$A$15,VLOOKUP($A34,DuraFix!$A$9:$M$14,6,FALSE),
IF($A34&lt;'Compression Fittings'!$A$16,VLOOKUP($A34,'Compression Fittings'!$A$8:$M$15,6,FALSE),
IF($A34&lt;'Hose Fittings'!$A$30,VLOOKUP($A34,'Hose Fittings'!$A$8:$M$29,6,FALSE),
IF($A34&lt;'Swing Joints'!$A$496,VLOOKUP($A34,'Swing Joints'!$A$9:$M$495,6,FALSE),
IF($A34&lt;'Swing Joints Components'!$A$135,VLOOKUP($A34,'Swing Joints Components'!$A$9:$M$134,6,FALSE),
IF($A34&lt;Nonstandard!$A$42,VLOOKUP($A34,Nonstandard!$A$31:$J$41,7,FALSE),"")))))))))))))))))))))))))))),"")</f>
        <v/>
      </c>
      <c r="E34" s="429"/>
      <c r="F34" s="421" t="str">
        <f>IFERROR(IF($A34&lt;'DWV PVC'!$A$285,VLOOKUP($A34,'DWV PVC'!$A$8:$M$284,9,FALSE),
IF($A34&lt;'DWV ABS'!$A$117,VLOOKUP($A34,'DWV ABS'!$A$8:$M$116,9,FALSE),
IF($A34&lt;'PVC SCH40'!$A$376,VLOOKUP($A34,'PVC SCH40'!$A$8:$M$375,9,FALSE),
IF($A34&lt;'PVC SCH40 LD'!$A$22,VLOOKUP($A34,'PVC SCH40 LD'!$A$8:$M$21,9,FALSE),
IF($A34&lt;'Pool &amp; SPA Sweep Elbows'!$A$12,VLOOKUP($A34,'Pool &amp; SPA Sweep Elbows'!$A$8:$M$11,9,FALSE),
IF($A34&lt;'Pool &amp; SPA Pipe Extender'!$A$11,VLOOKUP($A34,'Pool &amp; SPA Pipe Extender'!$A$8:$M$10,9,FALSE),
IF($A34&lt;'PVC SCH80'!$A$250,VLOOKUP($A34,'PVC SCH80'!$A$8:$M$249,9,FALSE),
IF($A34&lt;'PVC SCH80 Flange'!$A$49,VLOOKUP($A34,'PVC SCH80 Flange'!$A$8:$M$48,9,FALSE),
IF($A34&lt;'PVC SCH80 LD Flange'!$A$17,VLOOKUP($A34,'PVC SCH80 LD Flange'!$A$8:$M$16,9,FALSE),
IF($A34&lt;CPVC!$A$100,VLOOKUP($A34,CPVC!$A$8:$M$99,9,FALSE),
IF($A34&lt;InsertFittings!$A$237,VLOOKUP($A34,InsertFittings!$A$11:$M$236,9,FALSE),
IF($A34&lt;Valves!$A$132,VLOOKUP($A34,Valves!$A$8:$M$131,9,FALSE),
IF($A34&lt;SDR35SW!$A$124,VLOOKUP($A34,SDR35SW!$A$8:$M$123,9,FALSE),
IF($A34&lt;SDR35G!$A$143,VLOOKUP($A34, SDR35G!$A$8:$M$142,9,FALSE),
IF($A34&lt;SDR26G!$A$61,VLOOKUP($A34,SDR26G!$A$8:$N$60,10,FALSE),
IF($A34&lt;Cements!$A$100,VLOOKUP($A34,Cements!$A$8:$Q$99,13,FALSE),
IF($A34&lt;ValveBox!$A$143,VLOOKUP($A34,ValveBox!$A$10:$O$142,11,FALSE),
IF($A34&lt;'ValveBox Components'!$A$165,VLOOKUP($A34,'ValveBox Components'!$A$10:$O$164,11,FALSE),
IF($A34&lt;Drainage!$A$92,VLOOKUP($A34,Drainage!$A$8:$M$91,9,FALSE),
IF($A34&lt;Nipples!$A$82,VLOOKUP($A34,Nipples!$A$9:$Q$81,13,FALSE),
IF($A34&lt;Manifold!$A$33,VLOOKUP($A34,Manifold!$A$9:$M$32,9,FALSE),
IF($A34&lt;FlexibleRepairCouplings!$A$13,VLOOKUP($A34,FlexibleRepairCouplings!$A$10:$M$12,9,FALSE),
IF($A34&lt;DuraFix!$A$15,VLOOKUP($A34,DuraFix!$A$9:$M$14,9,FALSE),
IF($A34&lt;'Compression Fittings'!$A$16,VLOOKUP($A34,'Compression Fittings'!$A$8:$M$15,9,FALSE),
IF($A34&lt;'Hose Fittings'!$A$30,VLOOKUP($A34,'Hose Fittings'!$A$8:$M$29,9,FALSE),
IF($A34&lt;'Swing Joints'!$A$496,VLOOKUP($A34,'Swing Joints'!$A$9:$M$495,9,FALSE),
IF($A34&lt;'Swing Joints Components'!$A$135,VLOOKUP($A34,'Swing Joints Components'!$A$9:$M$134,9,FALSE),
IF($A34&lt;Nonstandard!$A$42,VLOOKUP($A34,Nonstandard!$A$31:$J$41,8,FALSE),"")))))))))))))))))))))))))))),"")</f>
        <v/>
      </c>
      <c r="G34" s="422" t="str">
        <f>IFERROR(IF($A34&lt;'DWV PVC'!$A$285,VLOOKUP($A34,'DWV PVC'!$A$8:$M$284,11,FALSE),
IF($A34&lt;'DWV ABS'!$A$117,VLOOKUP($A34,'DWV ABS'!$A$8:$M$116,11,FALSE),
IF($A34&lt;'PVC SCH40'!$A$376,VLOOKUP($A34,'PVC SCH40'!$A$8:$M$375,11,FALSE),
IF($A34&lt;'PVC SCH40 LD'!$A$22,VLOOKUP($A34,'PVC SCH40 LD'!$A$8:$M$21,11,FALSE),
IF($A34&lt;'Pool &amp; SPA Sweep Elbows'!$A$12,VLOOKUP($A34,'Pool &amp; SPA Sweep Elbows'!$A$8:$M$11,11,FALSE),
IF($A34&lt;'Pool &amp; SPA Pipe Extender'!$A$11,VLOOKUP($A34,'Pool &amp; SPA Pipe Extender'!$A$8:$M$10,11,FALSE),
IF($A34&lt;'PVC SCH80'!$A$250,VLOOKUP($A34,'PVC SCH80'!$A$8:$M$249,11,FALSE),
IF($A34&lt;'PVC SCH80 Flange'!$A$49,VLOOKUP($A34,'PVC SCH80 Flange'!$A$8:$M$48,11,FALSE),
IF($A34&lt;'PVC SCH80 LD Flange'!$A$17,VLOOKUP($A34,'PVC SCH80 LD Flange'!$A$8:$M$16,11,FALSE),
IF($A34&lt;CPVC!$A$100,VLOOKUP($A34,CPVC!$A$8:$M$99,11,FALSE),
IF($A34&lt;InsertFittings!$A$237,VLOOKUP($A34,InsertFittings!$A$11:$M$236,11,FALSE),
IF($A34&lt;Valves!$A$132,VLOOKUP($A34,Valves!$A$8:$M$131,11,FALSE),
IF($A34&lt;SDR35SW!$A$124,VLOOKUP($A34,SDR35SW!$A$8:$M$123,11,FALSE),
IF($A34&lt;SDR35G!$A$143,VLOOKUP($A34, SDR35G!$A$8:$M$142,11,FALSE),
IF($A34&lt;SDR26G!$A$61,VLOOKUP($A34,SDR26G!$A$8:$N$60,12,FALSE),
IF($A34&lt;Cements!$A$100,VLOOKUP($A34,Cements!$A$8:$Q$99,15,FALSE),
IF($A34&lt;ValveBox!$A$143,VLOOKUP($A34,ValveBox!$A$10:$O$142,13,FALSE),
IF($A34&lt;'ValveBox Components'!$A$165,VLOOKUP($A34,'ValveBox Components'!$A$10:$O$164,13,FALSE),
IF($A34&lt;Drainage!$A$92,VLOOKUP($A34,Drainage!$A$8:$M$91,11,FALSE),
IF($A34&lt;Nipples!$A$82,VLOOKUP($A34,Nipples!$A$9:$Q$81,15,FALSE),
IF($A34&lt;Manifold!$A$33,VLOOKUP($A34,Manifold!$A$9:$M$32,11,FALSE),
IF($A34&lt;FlexibleRepairCouplings!$A$13,VLOOKUP($A34,FlexibleRepairCouplings!$A$10:$M$12,11,FALSE),
IF($A34&lt;DuraFix!$A$15,VLOOKUP($A34,DuraFix!$A$9:$M$14,11,FALSE),
IF($A34&lt;'Compression Fittings'!$A$16,VLOOKUP($A34,'Compression Fittings'!$A$8:$M$15,11,FALSE),
IF($A34&lt;'Hose Fittings'!$A$30,VLOOKUP($A34,'Hose Fittings'!$A$8:$M$29,11,FALSE),
IF($A34&lt;'Swing Joints'!$A$496,VLOOKUP($A34,'Swing Joints'!$A$9:$M$495,11,FALSE),
IF($A34&lt;'Swing Joints Components'!$A$135,VLOOKUP($A34,'Swing Joints Components'!$A$9:$M$134,11,FALSE),
IF($A34&lt;Nonstandard!$A$42,VLOOKUP($A34,Nonstandard!$A$31:$J$41,3,FALSE),"")))))))))))))))))))))))))))),"")</f>
        <v/>
      </c>
      <c r="H34" s="588" t="str">
        <f>IFERROR(IF($A34&lt;'DWV PVC'!$A$285,VLOOKUP($A34,'DWV PVC'!$A$8:$M$284,7,FALSE),
IF($A34&lt;'DWV ABS'!$A$117,VLOOKUP($A34,'DWV ABS'!$A$8:$M$116,7,FALSE),
IF($A34&lt;'PVC SCH40'!$A$376,VLOOKUP($A34,'PVC SCH40'!$A$8:$M$375,7,FALSE),
IF($A34&lt;'PVC SCH40 LD'!$A$22,VLOOKUP($A34,'PVC SCH40 LD'!$A$8:$M$21,7,FALSE),
IF($A34&lt;'Pool &amp; SPA Sweep Elbows'!$A$12,VLOOKUP($A34,'Pool &amp; SPA Sweep Elbows'!$A$8:$M$11,7,FALSE),
IF($A34&lt;'Pool &amp; SPA Pipe Extender'!$A$11,VLOOKUP($A34,'Pool &amp; SPA Pipe Extender'!$A$8:$M$10,7,FALSE),
IF($A34&lt;'PVC SCH80'!$A$250,VLOOKUP($A34,'PVC SCH80'!$A$8:$M$249,7,FALSE),
IF($A34&lt;'PVC SCH80 Flange'!$A$49,VLOOKUP($A34,'PVC SCH80 Flange'!$A$8:$M$48,7,FALSE),
IF($A34&lt;'PVC SCH80 LD Flange'!$A$17,VLOOKUP($A34,'PVC SCH80 LD Flange'!$A$8:$M$16,7,FALSE),
IF($A34&lt;CPVC!$A$100,VLOOKUP($A34,CPVC!$A$8:$M$99,7,FALSE),
IF($A34&lt;InsertFittings!$A$237,VLOOKUP($A34,InsertFittings!$A$11:$M$236,7,FALSE),
IF($A34&lt;Valves!$A$132,VLOOKUP($A34,Valves!$A$8:$M$131,7,FALSE),
IF($A34&lt;SDR35SW!$A$124,VLOOKUP($A34,SDR35SW!$A$8:$M$123,7,FALSE),
IF($A34&lt;SDR35G!$A$143,VLOOKUP($A34, SDR35G!$A$8:$M$142,7,FALSE),
IF($A34&lt;SDR26G!$A$61,VLOOKUP($A34,SDR26G!$A$8:$N$60,10,FALSE),
IF($A34&lt;Cements!$A$100,VLOOKUP($A34,Cements!$A$8:$Q$99,13,FALSE),
IF($A34&lt;ValveBox!$A$143,VLOOKUP($A34,ValveBox!$A$10:$O$142,11,FALSE),
IF($A34&lt;'ValveBox Components'!$A$165,VLOOKUP($A34,'ValveBox Components'!$A$10:$O$164,11,FALSE),
IF($A34&lt;Drainage!$A$92,VLOOKUP($A34,Drainage!$A$8:$M$91,7,FALSE),
IF($A34&lt;Nipples!$A$82,VLOOKUP($A34,Nipples!$A$9:$Q$81,13,FALSE),
IF($A34&lt;Manifold!$A$33,VLOOKUP($A34,Manifold!$A$9:$M$32,7,FALSE),
IF($A34&lt;FlexibleRepairCouplings!$A$13,VLOOKUP($A34,FlexibleRepairCouplings!$A$10:$M$12,7,FALSE),
IF($A34&lt;DuraFix!$A$15,VLOOKUP($A34,DuraFix!$A$9:$M$14,7,FALSE),
IF($A34&lt;'Compression Fittings'!$A$16,VLOOKUP($A34,'Compression Fittings'!$A$8:$M$15,7,FALSE),
IF($A34&lt;'Hose Fittings'!$A$30,VLOOKUP($A34,'Hose Fittings'!$A$8:$M$29,7,FALSE),
IF($A34&lt;'Swing Joints'!$A$496,VLOOKUP($A34,'Swing Joints'!$A$9:$M$495,7,FALSE),
IF($A34&lt;'Swing Joints Components'!$A$135,VLOOKUP($A34,'Swing Joints Components'!$A$9:$M$134,7,FALSE),
IF($A34&lt;Nonstandard!$A$42,VLOOKUP($A34,Nonstandard!$A$31:$J$41,3,FALSE),"")))))))))))))))))))))))))))),"")</f>
        <v/>
      </c>
      <c r="I34" s="589"/>
      <c r="J34" s="423" t="str">
        <f t="shared" ref="J34:J97" si="1">IFERROR(G34/H34,"")</f>
        <v/>
      </c>
      <c r="K34" s="424" t="str">
        <f>IFERROR(IF($A34&lt;'DWV PVC'!$A$285,VLOOKUP($A34,'DWV PVC'!$A$8:$M$284,10,FALSE),
IF($A34&lt;'DWV ABS'!$A$117,VLOOKUP($A34,'DWV ABS'!$A$8:$M$116,10,FALSE),
IF($A34&lt;'PVC SCH40'!$A$376,VLOOKUP($A34,'PVC SCH40'!$A$8:$M$375,10,FALSE),
IF($A34&lt;'PVC SCH40 LD'!$A$22,VLOOKUP($A34,'PVC SCH40 LD'!$A$8:$M$21,10,FALSE),
IF($A34&lt;'Pool &amp; SPA Sweep Elbows'!$A$12,VLOOKUP($A34,'Pool &amp; SPA Sweep Elbows'!$A$8:$M$11,10,FALSE),
IF($A34&lt;'Pool &amp; SPA Pipe Extender'!$A$11,VLOOKUP($A34,'Pool &amp; SPA Pipe Extender'!$A$8:$M$10,10,FALSE),
IF($A34&lt;'PVC SCH80'!$A$250,VLOOKUP($A34,'PVC SCH80'!$A$8:$M$249,10,FALSE),
IF($A34&lt;'PVC SCH80 Flange'!$A$49,VLOOKUP($A34,'PVC SCH80 Flange'!$A$8:$M$48,10,FALSE),
IF($A34&lt;'PVC SCH80 LD Flange'!$A$17,VLOOKUP($A34,'PVC SCH80 LD Flange'!$A$8:$M$16,10,FALSE),
IF($A34&lt;CPVC!$A$100,VLOOKUP($A34,CPVC!$A$8:$M$99,10,FALSE),
IF($A34&lt;InsertFittings!$A$237,VLOOKUP($A34,InsertFittings!$A$11:$M$236,10,FALSE),
IF($A34&lt;Valves!$A$132,VLOOKUP($A34,Valves!$A$8:$M$131,10,FALSE),
IF($A34&lt;SDR35SW!$A$124,VLOOKUP($A34,SDR35SW!$A$8:$M$123,10,FALSE),
IF($A34&lt;SDR35G!$A$143,VLOOKUP($A34, SDR35G!$A$8:$M$142,10,FALSE),
IF($A34&lt;SDR26G!$A$61,VLOOKUP($A34,SDR26G!$A$8:$N$60,11,FALSE),
IF($A34&lt;Cements!$A$100,VLOOKUP($A34,Cements!$A$8:$Q$99,14,FALSE),
IF($A34&lt;ValveBox!$A$143,VLOOKUP($A34,ValveBox!$A$10:$O$142,12,FALSE),
IF($A34&lt;'ValveBox Components'!$A$165,VLOOKUP($A34,'ValveBox Components'!$A$10:$O$164,12,FALSE),
IF($A34&lt;Drainage!$A$92,VLOOKUP($A34,Drainage!$A$8:$M$91,10,FALSE),
IF($A34&lt;Nipples!$A$82,VLOOKUP($A34,Nipples!$A$9:$Q$81,14,FALSE),
IF($A34&lt;Manifold!$A$33,VLOOKUP($A34,Manifold!$A$9:$M$32,10,FALSE),
IF($A34&lt;FlexibleRepairCouplings!$A$13,VLOOKUP($A34,FlexibleRepairCouplings!$A$10:$M$12,10,FALSE),
IF($A34&lt;DuraFix!$A$15,VLOOKUP($A34,DuraFix!$A$9:$M$14,10,FALSE),
IF($A34&lt;'Compression Fittings'!$A$16,VLOOKUP($A34,'Compression Fittings'!$A$8:$M$15,10,FALSE),
IF($A34&lt;'Hose Fittings'!$A$30,VLOOKUP($A34,'Hose Fittings'!$A$8:$M$29,10,FALSE),
IF($A34&lt;'Swing Joints'!$A$496,VLOOKUP($A34,'Swing Joints'!$A$9:$M$495,10,FALSE),
IF($A34&lt;'Swing Joints Components'!$A$135,VLOOKUP($A34,'Swing Joints Components'!$A$9:$M$134,10,FALSE),
IF($A34&lt;Nonstandard!$A$42,VLOOKUP($A34,Nonstandard!$A$31:$J$41,10,FALSE),"")))))))))))))))))))))))))))),"")</f>
        <v/>
      </c>
      <c r="L34" s="421" t="str">
        <f>IF(G34="","-",K34*G34)</f>
        <v>-</v>
      </c>
      <c r="M34" s="425"/>
    </row>
    <row r="35" spans="1:13" ht="15.75">
      <c r="A35" s="415">
        <v>3</v>
      </c>
      <c r="B35" s="415" t="str">
        <f>IFERROR(IF($A35&lt;'DWV PVC'!$A$285,VLOOKUP($A35,'DWV PVC'!$A$8:$M$284,4,FALSE),
IF($A35&lt;'DWV ABS'!$A$117,VLOOKUP($A35,'DWV ABS'!$A$8:$M$116,4,FALSE),
IF($A35&lt;'PVC SCH40'!$A$376,VLOOKUP($A35,'PVC SCH40'!$A$8:$M$375,4,FALSE),
IF($A35&lt;'PVC SCH40 LD'!$A$22,VLOOKUP($A35,'PVC SCH40 LD'!$A$8:$M$21,4,FALSE),
IF($A35&lt;'Pool &amp; SPA Sweep Elbows'!$A$12,VLOOKUP($A35,'Pool &amp; SPA Sweep Elbows'!$A$8:$M$11,4,FALSE),
IF($A35&lt;'Pool &amp; SPA Pipe Extender'!$A$11,VLOOKUP($A35,'Pool &amp; SPA Pipe Extender'!$A$8:$M$10,4,FALSE),
IF($A35&lt;'PVC SCH80'!$A$250,VLOOKUP($A35,'PVC SCH80'!$A$8:$M$249,4,FALSE),
IF($A35&lt;'PVC SCH80 Flange'!$A$49,VLOOKUP($A35,'PVC SCH80 Flange'!$A$8:$M$48,4,FALSE),
IF($A35&lt;'PVC SCH80 LD Flange'!$A$17,VLOOKUP($A35,'PVC SCH80 LD Flange'!$A$8:$M$16,4,FALSE),
IF($A35&lt;CPVC!$A$100,VLOOKUP($A35,CPVC!$A$8:$M$99,4,FALSE),
IF($A35&lt;InsertFittings!$A$237,VLOOKUP($A35,InsertFittings!$A$11:$M$236,4,FALSE),
IF($A35&lt;Valves!$A$132,VLOOKUP($A35,Valves!$A$8:$M$131,4,FALSE),
IF($A35&lt;SDR35SW!$A$124,VLOOKUP($A35,SDR35SW!$A$8:$M$123,4,FALSE),
IF($A35&lt;SDR35G!$A$143,VLOOKUP($A35, SDR35G!$A$8:$M$142,4,FALSE),
IF($A35&lt;SDR26G!$A$61,VLOOKUP($A35,SDR26G!$A$8:$N$60,4,FALSE),
IF($A35&lt;Cements!$A$100,VLOOKUP($A35,Cements!$A$8:$Q$99,4,FALSE),
IF($A35&lt;ValveBox!$A$143,VLOOKUP($A35,ValveBox!$A$10:$O$142,4,FALSE),
IF($A35&lt;'ValveBox Components'!$A$165,VLOOKUP($A35,'ValveBox Components'!$A$10:$O$164,4,FALSE),
IF($A35&lt;Drainage!$A$92,VLOOKUP($A35,Drainage!$A$8:$M$91,4,FALSE),
IF($A35&lt;Nipples!$A$82,VLOOKUP($A35,Nipples!$A$9:$Q$81,4,FALSE),
IF($A35&lt;Manifold!$A$33,VLOOKUP($A35,Manifold!$A$9:$M$32,4,FALSE),
IF($A35&lt;FlexibleRepairCouplings!$A$13,VLOOKUP($A35,FlexibleRepairCouplings!$A$10:$M$12,4,FALSE),
IF($A35&lt;DuraFix!$A$15,VLOOKUP($A35,DuraFix!$A$9:$M$14,4,FALSE),
IF($A35&lt;'Compression Fittings'!$A$16,VLOOKUP($A35,'Compression Fittings'!$A$8:$M$15,4,FALSE),
IF($A35&lt;'Hose Fittings'!$A$30,VLOOKUP($A35,'Hose Fittings'!$A$8:$M$29,4,FALSE),
IF($A35&lt;'Swing Joints'!$A$496,VLOOKUP($A35,'Swing Joints'!$A$9:$M$495,4,FALSE),
IF($A35&lt;'Swing Joints Components'!$A$135,VLOOKUP($A35,'Swing Joints Components'!$A$9:$M$134,4,FALSE),
IF($A35&lt;Nonstandard!$A$42,VLOOKUP($A35,Nonstandard!$A$31:$J$41,5,FALSE),"")))))))))))))))))))))))))))),"")</f>
        <v/>
      </c>
      <c r="C35" s="415" t="str">
        <f>IFERROR(IF($A35&lt;'DWV PVC'!$A$285,VLOOKUP($A35,'DWV PVC'!$A$8:$M$284,5,FALSE),
IF($A35&lt;'DWV ABS'!$A$117,VLOOKUP($A35,'DWV ABS'!$A$8:$M$116,5,FALSE),
IF($A35&lt;'PVC SCH40'!$A$376,VLOOKUP($A35,'PVC SCH40'!$A$8:$M$375,5,FALSE),
IF($A35&lt;'PVC SCH40 LD'!$A$22,VLOOKUP($A35,'PVC SCH40 LD'!$A$8:$M$21,5,FALSE),
IF($A35&lt;'Pool &amp; SPA Sweep Elbows'!$A$12,VLOOKUP($A35,'Pool &amp; SPA Sweep Elbows'!$A$8:$M$11,5,FALSE),
IF($A35&lt;'Pool &amp; SPA Pipe Extender'!$A$11,VLOOKUP($A35,'Pool &amp; SPA Pipe Extender'!$A$8:$M$10,5,FALSE),
IF($A35&lt;'PVC SCH80'!$A$250,VLOOKUP($A35,'PVC SCH80'!$A$8:$M$249,5,FALSE),
IF($A35&lt;'PVC SCH80 Flange'!$A$49,VLOOKUP($A35,'PVC SCH80 Flange'!$A$8:$M$48,5,FALSE),
IF($A35&lt;'PVC SCH80 LD Flange'!$A$17,VLOOKUP($A35,'PVC SCH80 LD Flange'!$A$8:$M$16,5,FALSE),
IF($A35&lt;CPVC!$A$100,VLOOKUP($A35,CPVC!$A$8:$M$99,5,FALSE),
IF($A35&lt;InsertFittings!$A$237,VLOOKUP($A35,InsertFittings!$A$11:$M$236,5,FALSE),
IF($A35&lt;Valves!$A$132,VLOOKUP($A35,Valves!$A$8:$M$131,5,FALSE),
IF($A35&lt;SDR35SW!$A$124,VLOOKUP($A35,SDR35SW!$A$8:$M$123,5,FALSE),
IF($A35&lt;SDR35G!$A$143,VLOOKUP($A35, SDR35G!$A$8:$M$142,5,FALSE),
IF($A35&lt;SDR26G!$A$61,VLOOKUP($A35,SDR26G!$A$8:$N$60,5,FALSE),
IF($A35&lt;Cements!$A$100,VLOOKUP($A35,Cements!$A$8:$Q$99,5,FALSE),
IF($A35&lt;ValveBox!$A$143,VLOOKUP($A35,ValveBox!$A$10:$O$142,5,FALSE),
IF($A35&lt;'ValveBox Components'!$A$165,VLOOKUP($A35,'ValveBox Components'!$A$10:$O$164,5,FALSE),
IF($A35&lt;Drainage!$A$92,VLOOKUP($A35,Drainage!$A$8:$M$91,5,FALSE),
IF($A35&lt;Nipples!$A$82,VLOOKUP($A35,Nipples!$A$9:$Q$81,5,FALSE),
IF($A35&lt;Manifold!$A$33,VLOOKUP($A35,Manifold!$A$9:$M$32,5,FALSE),
IF($A35&lt;FlexibleRepairCouplings!$A$13,VLOOKUP($A35,FlexibleRepairCouplings!$A$10:$M$12,5,FALSE),
IF($A35&lt;DuraFix!$A$15,VLOOKUP($A35,DuraFix!$A$9:$M$14,5,FALSE),
IF($A35&lt;'Compression Fittings'!$A$16,VLOOKUP($A35,'Compression Fittings'!$A$8:$M$15,5,FALSE),
IF($A35&lt;'Hose Fittings'!$A$30,VLOOKUP($A35,'Hose Fittings'!$A$8:$M$29,5,FALSE),
IF($A35&lt;'Swing Joints'!$A$496,VLOOKUP($A35,'Swing Joints'!$A$9:$M$495,5,FALSE),
IF($A35&lt;'Swing Joints Components'!$A$135,VLOOKUP($A35,'Swing Joints Components'!$A$9:$M$134,5,FALSE),
IF($A35&lt;Nonstandard!$A$42,VLOOKUP($A35,Nonstandard!$A$31:$J$41,6,FALSE),"")))))))))))))))))))))))))))),"")</f>
        <v/>
      </c>
      <c r="D35" s="426" t="str">
        <f>IFERROR(IF($A35&lt;'DWV PVC'!$A$285,VLOOKUP($A35,'DWV PVC'!$A$8:$M$284,6,FALSE),
IF($A35&lt;'DWV ABS'!$A$117,VLOOKUP($A35,'DWV ABS'!$A$8:$M$116,6,FALSE),
IF($A35&lt;'PVC SCH40'!$A$376,VLOOKUP($A35,'PVC SCH40'!$A$8:$M$375,6,FALSE),
IF($A35&lt;'PVC SCH40 LD'!$A$22,VLOOKUP($A35,'PVC SCH40 LD'!$A$8:$M$21,6,FALSE),
IF($A35&lt;'Pool &amp; SPA Sweep Elbows'!$A$12,VLOOKUP($A35,'Pool &amp; SPA Sweep Elbows'!$A$8:$M$11,6,FALSE),
IF($A35&lt;'Pool &amp; SPA Pipe Extender'!$A$11,VLOOKUP($A35,'Pool &amp; SPA Pipe Extender'!$A$8:$M$10,6,FALSE),
IF($A35&lt;'PVC SCH80'!$A$250,VLOOKUP($A35,'PVC SCH80'!$A$8:$M$249,6,FALSE),
IF($A35&lt;'PVC SCH80 Flange'!$A$49,VLOOKUP($A35,'PVC SCH80 Flange'!$A$8:$M$48,6,FALSE),
IF($A35&lt;'PVC SCH80 LD Flange'!$A$17,VLOOKUP($A35,'PVC SCH80 LD Flange'!$A$8:$M$16,6,FALSE),
IF($A35&lt;CPVC!$A$100,VLOOKUP($A35,CPVC!$A$8:$M$99,6,FALSE),
IF($A35&lt;InsertFittings!$A$237,VLOOKUP($A35,InsertFittings!$A$11:$M$236,6,FALSE),
IF($A35&lt;Valves!$A$132,VLOOKUP($A35,Valves!$A$8:$M$131,6,FALSE),
IF($A35&lt;SDR35SW!$A$124,VLOOKUP($A35,SDR35SW!$A$8:$M$123,6,FALSE),
IF($A35&lt;SDR35G!$A$143,VLOOKUP($A35, SDR35G!$A$8:$M$142,6,FALSE),
IF($A35&lt;SDR26G!$A$61,VLOOKUP($A35,SDR26G!$A$8:$N$60,6,FALSE),
IF($A35&lt;Cements!$A$100,VLOOKUP($A35,Cements!$A$8:$Q$99,6,FALSE),
IF($A35&lt;ValveBox!$A$143,VLOOKUP($A35,ValveBox!$A$10:$O$142,6,FALSE),
IF($A35&lt;'ValveBox Components'!$A$165,VLOOKUP($A35,'ValveBox Components'!$A$10:$O$164,6,FALSE),
IF($A35&lt;Drainage!$A$92,VLOOKUP($A35,Drainage!$A$8:$M$91,6,FALSE),
IF($A35&lt;Nipples!$A$82,VLOOKUP($A35,Nipples!$A$9:$Q$81,6,FALSE),
IF($A35&lt;Manifold!$A$33,VLOOKUP($A35,Manifold!$A$9:$M$32,6,FALSE),
IF($A35&lt;FlexibleRepairCouplings!$A$13,VLOOKUP($A35,FlexibleRepairCouplings!$A$10:$M$12,6,FALSE),
IF($A35&lt;DuraFix!$A$15,VLOOKUP($A35,DuraFix!$A$9:$M$14,6,FALSE),
IF($A35&lt;'Compression Fittings'!$A$16,VLOOKUP($A35,'Compression Fittings'!$A$8:$M$15,6,FALSE),
IF($A35&lt;'Hose Fittings'!$A$30,VLOOKUP($A35,'Hose Fittings'!$A$8:$M$29,6,FALSE),
IF($A35&lt;'Swing Joints'!$A$496,VLOOKUP($A35,'Swing Joints'!$A$9:$M$495,6,FALSE),
IF($A35&lt;'Swing Joints Components'!$A$135,VLOOKUP($A35,'Swing Joints Components'!$A$9:$M$134,6,FALSE),
IF($A35&lt;Nonstandard!$A$42,VLOOKUP($A35,Nonstandard!$A$31:$J$41,7,FALSE),"")))))))))))))))))))))))))))),"")</f>
        <v/>
      </c>
      <c r="E35" s="427"/>
      <c r="F35" s="418" t="str">
        <f>IFERROR(IF($A35&lt;'DWV PVC'!$A$285,VLOOKUP($A35,'DWV PVC'!$A$8:$M$284,9,FALSE),
IF($A35&lt;'DWV ABS'!$A$117,VLOOKUP($A35,'DWV ABS'!$A$8:$M$116,9,FALSE),
IF($A35&lt;'PVC SCH40'!$A$376,VLOOKUP($A35,'PVC SCH40'!$A$8:$M$375,9,FALSE),
IF($A35&lt;'PVC SCH40 LD'!$A$22,VLOOKUP($A35,'PVC SCH40 LD'!$A$8:$M$21,9,FALSE),
IF($A35&lt;'Pool &amp; SPA Sweep Elbows'!$A$12,VLOOKUP($A35,'Pool &amp; SPA Sweep Elbows'!$A$8:$M$11,9,FALSE),
IF($A35&lt;'Pool &amp; SPA Pipe Extender'!$A$11,VLOOKUP($A35,'Pool &amp; SPA Pipe Extender'!$A$8:$M$10,9,FALSE),
IF($A35&lt;'PVC SCH80'!$A$250,VLOOKUP($A35,'PVC SCH80'!$A$8:$M$249,9,FALSE),
IF($A35&lt;'PVC SCH80 Flange'!$A$49,VLOOKUP($A35,'PVC SCH80 Flange'!$A$8:$M$48,9,FALSE),
IF($A35&lt;'PVC SCH80 LD Flange'!$A$17,VLOOKUP($A35,'PVC SCH80 LD Flange'!$A$8:$M$16,9,FALSE),
IF($A35&lt;CPVC!$A$100,VLOOKUP($A35,CPVC!$A$8:$M$99,9,FALSE),
IF($A35&lt;InsertFittings!$A$237,VLOOKUP($A35,InsertFittings!$A$11:$M$236,9,FALSE),
IF($A35&lt;Valves!$A$132,VLOOKUP($A35,Valves!$A$8:$M$131,9,FALSE),
IF($A35&lt;SDR35SW!$A$124,VLOOKUP($A35,SDR35SW!$A$8:$M$123,9,FALSE),
IF($A35&lt;SDR35G!$A$143,VLOOKUP($A35, SDR35G!$A$8:$M$142,9,FALSE),
IF($A35&lt;SDR26G!$A$61,VLOOKUP($A35,SDR26G!$A$8:$N$60,10,FALSE),
IF($A35&lt;Cements!$A$100,VLOOKUP($A35,Cements!$A$8:$Q$99,13,FALSE),
IF($A35&lt;ValveBox!$A$143,VLOOKUP($A35,ValveBox!$A$10:$O$142,11,FALSE),
IF($A35&lt;'ValveBox Components'!$A$165,VLOOKUP($A35,'ValveBox Components'!$A$10:$O$164,11,FALSE),
IF($A35&lt;Drainage!$A$92,VLOOKUP($A35,Drainage!$A$8:$M$91,9,FALSE),
IF($A35&lt;Nipples!$A$82,VLOOKUP($A35,Nipples!$A$9:$Q$81,13,FALSE),
IF($A35&lt;Manifold!$A$33,VLOOKUP($A35,Manifold!$A$9:$M$32,9,FALSE),
IF($A35&lt;FlexibleRepairCouplings!$A$13,VLOOKUP($A35,FlexibleRepairCouplings!$A$10:$M$12,9,FALSE),
IF($A35&lt;DuraFix!$A$15,VLOOKUP($A35,DuraFix!$A$9:$M$14,9,FALSE),
IF($A35&lt;'Compression Fittings'!$A$16,VLOOKUP($A35,'Compression Fittings'!$A$8:$M$15,9,FALSE),
IF($A35&lt;'Hose Fittings'!$A$30,VLOOKUP($A35,'Hose Fittings'!$A$8:$M$29,9,FALSE),
IF($A35&lt;'Swing Joints'!$A$496,VLOOKUP($A35,'Swing Joints'!$A$9:$M$495,9,FALSE),
IF($A35&lt;'Swing Joints Components'!$A$135,VLOOKUP($A35,'Swing Joints Components'!$A$9:$M$134,9,FALSE),
IF($A35&lt;Nonstandard!$A$42,VLOOKUP($A35,Nonstandard!$A$31:$J$41,8,FALSE),"")))))))))))))))))))))))))))),"")</f>
        <v/>
      </c>
      <c r="G35" s="416" t="str">
        <f>IFERROR(IF($A35&lt;'DWV PVC'!$A$285,VLOOKUP($A35,'DWV PVC'!$A$8:$M$284,11,FALSE),
IF($A35&lt;'DWV ABS'!$A$117,VLOOKUP($A35,'DWV ABS'!$A$8:$M$116,11,FALSE),
IF($A35&lt;'PVC SCH40'!$A$376,VLOOKUP($A35,'PVC SCH40'!$A$8:$M$375,11,FALSE),
IF($A35&lt;'PVC SCH40 LD'!$A$22,VLOOKUP($A35,'PVC SCH40 LD'!$A$8:$M$21,11,FALSE),
IF($A35&lt;'Pool &amp; SPA Sweep Elbows'!$A$12,VLOOKUP($A35,'Pool &amp; SPA Sweep Elbows'!$A$8:$M$11,11,FALSE),
IF($A35&lt;'Pool &amp; SPA Pipe Extender'!$A$11,VLOOKUP($A35,'Pool &amp; SPA Pipe Extender'!$A$8:$M$10,11,FALSE),
IF($A35&lt;'PVC SCH80'!$A$250,VLOOKUP($A35,'PVC SCH80'!$A$8:$M$249,11,FALSE),
IF($A35&lt;'PVC SCH80 Flange'!$A$49,VLOOKUP($A35,'PVC SCH80 Flange'!$A$8:$M$48,11,FALSE),
IF($A35&lt;'PVC SCH80 LD Flange'!$A$17,VLOOKUP($A35,'PVC SCH80 LD Flange'!$A$8:$M$16,11,FALSE),
IF($A35&lt;CPVC!$A$100,VLOOKUP($A35,CPVC!$A$8:$M$99,11,FALSE),
IF($A35&lt;InsertFittings!$A$237,VLOOKUP($A35,InsertFittings!$A$11:$M$236,11,FALSE),
IF($A35&lt;Valves!$A$132,VLOOKUP($A35,Valves!$A$8:$M$131,11,FALSE),
IF($A35&lt;SDR35SW!$A$124,VLOOKUP($A35,SDR35SW!$A$8:$M$123,11,FALSE),
IF($A35&lt;SDR35G!$A$143,VLOOKUP($A35, SDR35G!$A$8:$M$142,11,FALSE),
IF($A35&lt;SDR26G!$A$61,VLOOKUP($A35,SDR26G!$A$8:$N$60,12,FALSE),
IF($A35&lt;Cements!$A$100,VLOOKUP($A35,Cements!$A$8:$Q$99,15,FALSE),
IF($A35&lt;ValveBox!$A$143,VLOOKUP($A35,ValveBox!$A$10:$O$142,13,FALSE),
IF($A35&lt;'ValveBox Components'!$A$165,VLOOKUP($A35,'ValveBox Components'!$A$10:$O$164,13,FALSE),
IF($A35&lt;Drainage!$A$92,VLOOKUP($A35,Drainage!$A$8:$M$91,11,FALSE),
IF($A35&lt;Nipples!$A$82,VLOOKUP($A35,Nipples!$A$9:$Q$81,15,FALSE),
IF($A35&lt;Manifold!$A$33,VLOOKUP($A35,Manifold!$A$9:$M$32,11,FALSE),
IF($A35&lt;FlexibleRepairCouplings!$A$13,VLOOKUP($A35,FlexibleRepairCouplings!$A$10:$M$12,11,FALSE),
IF($A35&lt;DuraFix!$A$15,VLOOKUP($A35,DuraFix!$A$9:$M$14,11,FALSE),
IF($A35&lt;'Compression Fittings'!$A$16,VLOOKUP($A35,'Compression Fittings'!$A$8:$M$15,11,FALSE),
IF($A35&lt;'Hose Fittings'!$A$30,VLOOKUP($A35,'Hose Fittings'!$A$8:$M$29,11,FALSE),
IF($A35&lt;'Swing Joints'!$A$496,VLOOKUP($A35,'Swing Joints'!$A$9:$M$495,11,FALSE),
IF($A35&lt;'Swing Joints Components'!$A$135,VLOOKUP($A35,'Swing Joints Components'!$A$9:$M$134,11,FALSE),
IF($A35&lt;Nonstandard!$A$42,VLOOKUP($A35,Nonstandard!$A$31:$J$41,3,FALSE),"")))))))))))))))))))))))))))),"")</f>
        <v/>
      </c>
      <c r="H35" s="586" t="str">
        <f>IFERROR(IF($A35&lt;'DWV PVC'!$A$285,VLOOKUP($A35,'DWV PVC'!$A$8:$M$284,7,FALSE),
IF($A35&lt;'DWV ABS'!$A$117,VLOOKUP($A35,'DWV ABS'!$A$8:$M$116,7,FALSE),
IF($A35&lt;'PVC SCH40'!$A$376,VLOOKUP($A35,'PVC SCH40'!$A$8:$M$375,7,FALSE),
IF($A35&lt;'PVC SCH40 LD'!$A$22,VLOOKUP($A35,'PVC SCH40 LD'!$A$8:$M$21,7,FALSE),
IF($A35&lt;'Pool &amp; SPA Sweep Elbows'!$A$12,VLOOKUP($A35,'Pool &amp; SPA Sweep Elbows'!$A$8:$M$11,7,FALSE),
IF($A35&lt;'Pool &amp; SPA Pipe Extender'!$A$11,VLOOKUP($A35,'Pool &amp; SPA Pipe Extender'!$A$8:$M$10,7,FALSE),
IF($A35&lt;'PVC SCH80'!$A$250,VLOOKUP($A35,'PVC SCH80'!$A$8:$M$249,7,FALSE),
IF($A35&lt;'PVC SCH80 Flange'!$A$49,VLOOKUP($A35,'PVC SCH80 Flange'!$A$8:$M$48,7,FALSE),
IF($A35&lt;'PVC SCH80 LD Flange'!$A$17,VLOOKUP($A35,'PVC SCH80 LD Flange'!$A$8:$M$16,7,FALSE),
IF($A35&lt;CPVC!$A$100,VLOOKUP($A35,CPVC!$A$8:$M$99,7,FALSE),
IF($A35&lt;InsertFittings!$A$237,VLOOKUP($A35,InsertFittings!$A$11:$M$236,7,FALSE),
IF($A35&lt;Valves!$A$132,VLOOKUP($A35,Valves!$A$8:$M$131,7,FALSE),
IF($A35&lt;SDR35SW!$A$124,VLOOKUP($A35,SDR35SW!$A$8:$M$123,7,FALSE),
IF($A35&lt;SDR35G!$A$143,VLOOKUP($A35, SDR35G!$A$8:$M$142,7,FALSE),
IF($A35&lt;SDR26G!$A$61,VLOOKUP($A35,SDR26G!$A$8:$N$60,10,FALSE),
IF($A35&lt;Cements!$A$100,VLOOKUP($A35,Cements!$A$8:$Q$99,13,FALSE),
IF($A35&lt;ValveBox!$A$143,VLOOKUP($A35,ValveBox!$A$10:$O$142,11,FALSE),
IF($A35&lt;'ValveBox Components'!$A$165,VLOOKUP($A35,'ValveBox Components'!$A$10:$O$164,11,FALSE),
IF($A35&lt;Drainage!$A$92,VLOOKUP($A35,Drainage!$A$8:$M$91,7,FALSE),
IF($A35&lt;Nipples!$A$82,VLOOKUP($A35,Nipples!$A$9:$Q$81,13,FALSE),
IF($A35&lt;Manifold!$A$33,VLOOKUP($A35,Manifold!$A$9:$M$32,7,FALSE),
IF($A35&lt;FlexibleRepairCouplings!$A$13,VLOOKUP($A35,FlexibleRepairCouplings!$A$10:$M$12,7,FALSE),
IF($A35&lt;DuraFix!$A$15,VLOOKUP($A35,DuraFix!$A$9:$M$14,7,FALSE),
IF($A35&lt;'Compression Fittings'!$A$16,VLOOKUP($A35,'Compression Fittings'!$A$8:$M$15,7,FALSE),
IF($A35&lt;'Hose Fittings'!$A$30,VLOOKUP($A35,'Hose Fittings'!$A$8:$M$29,7,FALSE),
IF($A35&lt;'Swing Joints'!$A$496,VLOOKUP($A35,'Swing Joints'!$A$9:$M$495,7,FALSE),
IF($A35&lt;'Swing Joints Components'!$A$135,VLOOKUP($A35,'Swing Joints Components'!$A$9:$M$134,7,FALSE),
IF($A35&lt;Nonstandard!$A$42,VLOOKUP($A35,Nonstandard!$A$31:$J$41,3,FALSE),"")))))))))))))))))))))))))))),"")</f>
        <v/>
      </c>
      <c r="I35" s="587"/>
      <c r="J35" s="383" t="str">
        <f t="shared" si="1"/>
        <v/>
      </c>
      <c r="K35" s="417" t="str">
        <f>IFERROR(IF($A35&lt;'DWV PVC'!$A$285,VLOOKUP($A35,'DWV PVC'!$A$8:$M$284,10,FALSE),
IF($A35&lt;'DWV ABS'!$A$117,VLOOKUP($A35,'DWV ABS'!$A$8:$M$116,10,FALSE),
IF($A35&lt;'PVC SCH40'!$A$376,VLOOKUP($A35,'PVC SCH40'!$A$8:$M$375,10,FALSE),
IF($A35&lt;'PVC SCH40 LD'!$A$22,VLOOKUP($A35,'PVC SCH40 LD'!$A$8:$M$21,10,FALSE),
IF($A35&lt;'Pool &amp; SPA Sweep Elbows'!$A$12,VLOOKUP($A35,'Pool &amp; SPA Sweep Elbows'!$A$8:$M$11,10,FALSE),
IF($A35&lt;'Pool &amp; SPA Pipe Extender'!$A$11,VLOOKUP($A35,'Pool &amp; SPA Pipe Extender'!$A$8:$M$10,10,FALSE),
IF($A35&lt;'PVC SCH80'!$A$250,VLOOKUP($A35,'PVC SCH80'!$A$8:$M$249,10,FALSE),
IF($A35&lt;'PVC SCH80 Flange'!$A$49,VLOOKUP($A35,'PVC SCH80 Flange'!$A$8:$M$48,10,FALSE),
IF($A35&lt;'PVC SCH80 LD Flange'!$A$17,VLOOKUP($A35,'PVC SCH80 LD Flange'!$A$8:$M$16,10,FALSE),
IF($A35&lt;CPVC!$A$100,VLOOKUP($A35,CPVC!$A$8:$M$99,10,FALSE),
IF($A35&lt;InsertFittings!$A$237,VLOOKUP($A35,InsertFittings!$A$11:$M$236,10,FALSE),
IF($A35&lt;Valves!$A$132,VLOOKUP($A35,Valves!$A$8:$M$131,10,FALSE),
IF($A35&lt;SDR35SW!$A$124,VLOOKUP($A35,SDR35SW!$A$8:$M$123,10,FALSE),
IF($A35&lt;SDR35G!$A$143,VLOOKUP($A35, SDR35G!$A$8:$M$142,10,FALSE),
IF($A35&lt;SDR26G!$A$61,VLOOKUP($A35,SDR26G!$A$8:$N$60,11,FALSE),
IF($A35&lt;Cements!$A$100,VLOOKUP($A35,Cements!$A$8:$Q$99,14,FALSE),
IF($A35&lt;ValveBox!$A$143,VLOOKUP($A35,ValveBox!$A$10:$O$142,12,FALSE),
IF($A35&lt;'ValveBox Components'!$A$165,VLOOKUP($A35,'ValveBox Components'!$A$10:$O$164,12,FALSE),
IF($A35&lt;Drainage!$A$92,VLOOKUP($A35,Drainage!$A$8:$M$91,10,FALSE),
IF($A35&lt;Nipples!$A$82,VLOOKUP($A35,Nipples!$A$9:$Q$81,14,FALSE),
IF($A35&lt;Manifold!$A$33,VLOOKUP($A35,Manifold!$A$9:$M$32,10,FALSE),
IF($A35&lt;FlexibleRepairCouplings!$A$13,VLOOKUP($A35,FlexibleRepairCouplings!$A$10:$M$12,10,FALSE),
IF($A35&lt;DuraFix!$A$15,VLOOKUP($A35,DuraFix!$A$9:$M$14,10,FALSE),
IF($A35&lt;'Compression Fittings'!$A$16,VLOOKUP($A35,'Compression Fittings'!$A$8:$M$15,10,FALSE),
IF($A35&lt;'Hose Fittings'!$A$30,VLOOKUP($A35,'Hose Fittings'!$A$8:$M$29,10,FALSE),
IF($A35&lt;'Swing Joints'!$A$496,VLOOKUP($A35,'Swing Joints'!$A$9:$M$495,10,FALSE),
IF($A35&lt;'Swing Joints Components'!$A$135,VLOOKUP($A35,'Swing Joints Components'!$A$9:$M$134,10,FALSE),
IF($A35&lt;Nonstandard!$A$42,VLOOKUP($A35,Nonstandard!$A$31:$J$41,10,FALSE),"")))))))))))))))))))))))))))),"")</f>
        <v/>
      </c>
      <c r="L35" s="418" t="str">
        <f t="shared" si="0"/>
        <v>-</v>
      </c>
      <c r="M35" s="419"/>
    </row>
    <row r="36" spans="1:13" ht="15.75">
      <c r="A36" s="420">
        <v>4</v>
      </c>
      <c r="B36" s="420" t="str">
        <f>IFERROR(IF($A36&lt;'DWV PVC'!$A$285,VLOOKUP($A36,'DWV PVC'!$A$8:$M$284,4,FALSE),
IF($A36&lt;'DWV ABS'!$A$117,VLOOKUP($A36,'DWV ABS'!$A$8:$M$116,4,FALSE),
IF($A36&lt;'PVC SCH40'!$A$376,VLOOKUP($A36,'PVC SCH40'!$A$8:$M$375,4,FALSE),
IF($A36&lt;'PVC SCH40 LD'!$A$22,VLOOKUP($A36,'PVC SCH40 LD'!$A$8:$M$21,4,FALSE),
IF($A36&lt;'Pool &amp; SPA Sweep Elbows'!$A$12,VLOOKUP($A36,'Pool &amp; SPA Sweep Elbows'!$A$8:$M$11,4,FALSE),
IF($A36&lt;'Pool &amp; SPA Pipe Extender'!$A$11,VLOOKUP($A36,'Pool &amp; SPA Pipe Extender'!$A$8:$M$10,4,FALSE),
IF($A36&lt;'PVC SCH80'!$A$250,VLOOKUP($A36,'PVC SCH80'!$A$8:$M$249,4,FALSE),
IF($A36&lt;'PVC SCH80 Flange'!$A$49,VLOOKUP($A36,'PVC SCH80 Flange'!$A$8:$M$48,4,FALSE),
IF($A36&lt;'PVC SCH80 LD Flange'!$A$17,VLOOKUP($A36,'PVC SCH80 LD Flange'!$A$8:$M$16,4,FALSE),
IF($A36&lt;CPVC!$A$100,VLOOKUP($A36,CPVC!$A$8:$M$99,4,FALSE),
IF($A36&lt;InsertFittings!$A$237,VLOOKUP($A36,InsertFittings!$A$11:$M$236,4,FALSE),
IF($A36&lt;Valves!$A$132,VLOOKUP($A36,Valves!$A$8:$M$131,4,FALSE),
IF($A36&lt;SDR35SW!$A$124,VLOOKUP($A36,SDR35SW!$A$8:$M$123,4,FALSE),
IF($A36&lt;SDR35G!$A$143,VLOOKUP($A36, SDR35G!$A$8:$M$142,4,FALSE),
IF($A36&lt;SDR26G!$A$61,VLOOKUP($A36,SDR26G!$A$8:$N$60,4,FALSE),
IF($A36&lt;Cements!$A$100,VLOOKUP($A36,Cements!$A$8:$Q$99,4,FALSE),
IF($A36&lt;ValveBox!$A$143,VLOOKUP($A36,ValveBox!$A$10:$O$142,4,FALSE),
IF($A36&lt;'ValveBox Components'!$A$165,VLOOKUP($A36,'ValveBox Components'!$A$10:$O$164,4,FALSE),
IF($A36&lt;Drainage!$A$92,VLOOKUP($A36,Drainage!$A$8:$M$91,4,FALSE),
IF($A36&lt;Nipples!$A$82,VLOOKUP($A36,Nipples!$A$9:$Q$81,4,FALSE),
IF($A36&lt;Manifold!$A$33,VLOOKUP($A36,Manifold!$A$9:$M$32,4,FALSE),
IF($A36&lt;FlexibleRepairCouplings!$A$13,VLOOKUP($A36,FlexibleRepairCouplings!$A$10:$M$12,4,FALSE),
IF($A36&lt;DuraFix!$A$15,VLOOKUP($A36,DuraFix!$A$9:$M$14,4,FALSE),
IF($A36&lt;'Compression Fittings'!$A$16,VLOOKUP($A36,'Compression Fittings'!$A$8:$M$15,4,FALSE),
IF($A36&lt;'Hose Fittings'!$A$30,VLOOKUP($A36,'Hose Fittings'!$A$8:$M$29,4,FALSE),
IF($A36&lt;'Swing Joints'!$A$496,VLOOKUP($A36,'Swing Joints'!$A$9:$M$495,4,FALSE),
IF($A36&lt;'Swing Joints Components'!$A$135,VLOOKUP($A36,'Swing Joints Components'!$A$9:$M$134,4,FALSE),
IF($A36&lt;Nonstandard!$A$42,VLOOKUP($A36,Nonstandard!$A$31:$J$41,5,FALSE),"")))))))))))))))))))))))))))),"")</f>
        <v/>
      </c>
      <c r="C36" s="420" t="str">
        <f>IFERROR(IF($A36&lt;'DWV PVC'!$A$285,VLOOKUP($A36,'DWV PVC'!$A$8:$M$284,5,FALSE),
IF($A36&lt;'DWV ABS'!$A$117,VLOOKUP($A36,'DWV ABS'!$A$8:$M$116,5,FALSE),
IF($A36&lt;'PVC SCH40'!$A$376,VLOOKUP($A36,'PVC SCH40'!$A$8:$M$375,5,FALSE),
IF($A36&lt;'PVC SCH40 LD'!$A$22,VLOOKUP($A36,'PVC SCH40 LD'!$A$8:$M$21,5,FALSE),
IF($A36&lt;'Pool &amp; SPA Sweep Elbows'!$A$12,VLOOKUP($A36,'Pool &amp; SPA Sweep Elbows'!$A$8:$M$11,5,FALSE),
IF($A36&lt;'Pool &amp; SPA Pipe Extender'!$A$11,VLOOKUP($A36,'Pool &amp; SPA Pipe Extender'!$A$8:$M$10,5,FALSE),
IF($A36&lt;'PVC SCH80'!$A$250,VLOOKUP($A36,'PVC SCH80'!$A$8:$M$249,5,FALSE),
IF($A36&lt;'PVC SCH80 Flange'!$A$49,VLOOKUP($A36,'PVC SCH80 Flange'!$A$8:$M$48,5,FALSE),
IF($A36&lt;'PVC SCH80 LD Flange'!$A$17,VLOOKUP($A36,'PVC SCH80 LD Flange'!$A$8:$M$16,5,FALSE),
IF($A36&lt;CPVC!$A$100,VLOOKUP($A36,CPVC!$A$8:$M$99,5,FALSE),
IF($A36&lt;InsertFittings!$A$237,VLOOKUP($A36,InsertFittings!$A$11:$M$236,5,FALSE),
IF($A36&lt;Valves!$A$132,VLOOKUP($A36,Valves!$A$8:$M$131,5,FALSE),
IF($A36&lt;SDR35SW!$A$124,VLOOKUP($A36,SDR35SW!$A$8:$M$123,5,FALSE),
IF($A36&lt;SDR35G!$A$143,VLOOKUP($A36, SDR35G!$A$8:$M$142,5,FALSE),
IF($A36&lt;SDR26G!$A$61,VLOOKUP($A36,SDR26G!$A$8:$N$60,5,FALSE),
IF($A36&lt;Cements!$A$100,VLOOKUP($A36,Cements!$A$8:$Q$99,5,FALSE),
IF($A36&lt;ValveBox!$A$143,VLOOKUP($A36,ValveBox!$A$10:$O$142,5,FALSE),
IF($A36&lt;'ValveBox Components'!$A$165,VLOOKUP($A36,'ValveBox Components'!$A$10:$O$164,5,FALSE),
IF($A36&lt;Drainage!$A$92,VLOOKUP($A36,Drainage!$A$8:$M$91,5,FALSE),
IF($A36&lt;Nipples!$A$82,VLOOKUP($A36,Nipples!$A$9:$Q$81,5,FALSE),
IF($A36&lt;Manifold!$A$33,VLOOKUP($A36,Manifold!$A$9:$M$32,5,FALSE),
IF($A36&lt;FlexibleRepairCouplings!$A$13,VLOOKUP($A36,FlexibleRepairCouplings!$A$10:$M$12,5,FALSE),
IF($A36&lt;DuraFix!$A$15,VLOOKUP($A36,DuraFix!$A$9:$M$14,5,FALSE),
IF($A36&lt;'Compression Fittings'!$A$16,VLOOKUP($A36,'Compression Fittings'!$A$8:$M$15,5,FALSE),
IF($A36&lt;'Hose Fittings'!$A$30,VLOOKUP($A36,'Hose Fittings'!$A$8:$M$29,5,FALSE),
IF($A36&lt;'Swing Joints'!$A$496,VLOOKUP($A36,'Swing Joints'!$A$9:$M$495,5,FALSE),
IF($A36&lt;'Swing Joints Components'!$A$135,VLOOKUP($A36,'Swing Joints Components'!$A$9:$M$134,5,FALSE),
IF($A36&lt;Nonstandard!$A$42,VLOOKUP($A36,Nonstandard!$A$31:$J$41,6,FALSE),"")))))))))))))))))))))))))))),"")</f>
        <v/>
      </c>
      <c r="D36" s="428" t="str">
        <f>IFERROR(IF($A36&lt;'DWV PVC'!$A$285,VLOOKUP($A36,'DWV PVC'!$A$8:$M$284,6,FALSE),
IF($A36&lt;'DWV ABS'!$A$117,VLOOKUP($A36,'DWV ABS'!$A$8:$M$116,6,FALSE),
IF($A36&lt;'PVC SCH40'!$A$376,VLOOKUP($A36,'PVC SCH40'!$A$8:$M$375,6,FALSE),
IF($A36&lt;'PVC SCH40 LD'!$A$22,VLOOKUP($A36,'PVC SCH40 LD'!$A$8:$M$21,6,FALSE),
IF($A36&lt;'Pool &amp; SPA Sweep Elbows'!$A$12,VLOOKUP($A36,'Pool &amp; SPA Sweep Elbows'!$A$8:$M$11,6,FALSE),
IF($A36&lt;'Pool &amp; SPA Pipe Extender'!$A$11,VLOOKUP($A36,'Pool &amp; SPA Pipe Extender'!$A$8:$M$10,6,FALSE),
IF($A36&lt;'PVC SCH80'!$A$250,VLOOKUP($A36,'PVC SCH80'!$A$8:$M$249,6,FALSE),
IF($A36&lt;'PVC SCH80 Flange'!$A$49,VLOOKUP($A36,'PVC SCH80 Flange'!$A$8:$M$48,6,FALSE),
IF($A36&lt;'PVC SCH80 LD Flange'!$A$17,VLOOKUP($A36,'PVC SCH80 LD Flange'!$A$8:$M$16,6,FALSE),
IF($A36&lt;CPVC!$A$100,VLOOKUP($A36,CPVC!$A$8:$M$99,6,FALSE),
IF($A36&lt;InsertFittings!$A$237,VLOOKUP($A36,InsertFittings!$A$11:$M$236,6,FALSE),
IF($A36&lt;Valves!$A$132,VLOOKUP($A36,Valves!$A$8:$M$131,6,FALSE),
IF($A36&lt;SDR35SW!$A$124,VLOOKUP($A36,SDR35SW!$A$8:$M$123,6,FALSE),
IF($A36&lt;SDR35G!$A$143,VLOOKUP($A36, SDR35G!$A$8:$M$142,6,FALSE),
IF($A36&lt;SDR26G!$A$61,VLOOKUP($A36,SDR26G!$A$8:$N$60,6,FALSE),
IF($A36&lt;Cements!$A$100,VLOOKUP($A36,Cements!$A$8:$Q$99,6,FALSE),
IF($A36&lt;ValveBox!$A$143,VLOOKUP($A36,ValveBox!$A$10:$O$142,6,FALSE),
IF($A36&lt;'ValveBox Components'!$A$165,VLOOKUP($A36,'ValveBox Components'!$A$10:$O$164,6,FALSE),
IF($A36&lt;Drainage!$A$92,VLOOKUP($A36,Drainage!$A$8:$M$91,6,FALSE),
IF($A36&lt;Nipples!$A$82,VLOOKUP($A36,Nipples!$A$9:$Q$81,6,FALSE),
IF($A36&lt;Manifold!$A$33,VLOOKUP($A36,Manifold!$A$9:$M$32,6,FALSE),
IF($A36&lt;FlexibleRepairCouplings!$A$13,VLOOKUP($A36,FlexibleRepairCouplings!$A$10:$M$12,6,FALSE),
IF($A36&lt;DuraFix!$A$15,VLOOKUP($A36,DuraFix!$A$9:$M$14,6,FALSE),
IF($A36&lt;'Compression Fittings'!$A$16,VLOOKUP($A36,'Compression Fittings'!$A$8:$M$15,6,FALSE),
IF($A36&lt;'Hose Fittings'!$A$30,VLOOKUP($A36,'Hose Fittings'!$A$8:$M$29,6,FALSE),
IF($A36&lt;'Swing Joints'!$A$496,VLOOKUP($A36,'Swing Joints'!$A$9:$M$495,6,FALSE),
IF($A36&lt;'Swing Joints Components'!$A$135,VLOOKUP($A36,'Swing Joints Components'!$A$9:$M$134,6,FALSE),
IF($A36&lt;Nonstandard!$A$42,VLOOKUP($A36,Nonstandard!$A$31:$J$41,7,FALSE),"")))))))))))))))))))))))))))),"")</f>
        <v/>
      </c>
      <c r="E36" s="429"/>
      <c r="F36" s="421" t="str">
        <f>IFERROR(IF($A36&lt;'DWV PVC'!$A$285,VLOOKUP($A36,'DWV PVC'!$A$8:$M$284,9,FALSE),
IF($A36&lt;'DWV ABS'!$A$117,VLOOKUP($A36,'DWV ABS'!$A$8:$M$116,9,FALSE),
IF($A36&lt;'PVC SCH40'!$A$376,VLOOKUP($A36,'PVC SCH40'!$A$8:$M$375,9,FALSE),
IF($A36&lt;'PVC SCH40 LD'!$A$22,VLOOKUP($A36,'PVC SCH40 LD'!$A$8:$M$21,9,FALSE),
IF($A36&lt;'Pool &amp; SPA Sweep Elbows'!$A$12,VLOOKUP($A36,'Pool &amp; SPA Sweep Elbows'!$A$8:$M$11,9,FALSE),
IF($A36&lt;'Pool &amp; SPA Pipe Extender'!$A$11,VLOOKUP($A36,'Pool &amp; SPA Pipe Extender'!$A$8:$M$10,9,FALSE),
IF($A36&lt;'PVC SCH80'!$A$250,VLOOKUP($A36,'PVC SCH80'!$A$8:$M$249,9,FALSE),
IF($A36&lt;'PVC SCH80 Flange'!$A$49,VLOOKUP($A36,'PVC SCH80 Flange'!$A$8:$M$48,9,FALSE),
IF($A36&lt;'PVC SCH80 LD Flange'!$A$17,VLOOKUP($A36,'PVC SCH80 LD Flange'!$A$8:$M$16,9,FALSE),
IF($A36&lt;CPVC!$A$100,VLOOKUP($A36,CPVC!$A$8:$M$99,9,FALSE),
IF($A36&lt;InsertFittings!$A$237,VLOOKUP($A36,InsertFittings!$A$11:$M$236,9,FALSE),
IF($A36&lt;Valves!$A$132,VLOOKUP($A36,Valves!$A$8:$M$131,9,FALSE),
IF($A36&lt;SDR35SW!$A$124,VLOOKUP($A36,SDR35SW!$A$8:$M$123,9,FALSE),
IF($A36&lt;SDR35G!$A$143,VLOOKUP($A36, SDR35G!$A$8:$M$142,9,FALSE),
IF($A36&lt;SDR26G!$A$61,VLOOKUP($A36,SDR26G!$A$8:$N$60,10,FALSE),
IF($A36&lt;Cements!$A$100,VLOOKUP($A36,Cements!$A$8:$Q$99,13,FALSE),
IF($A36&lt;ValveBox!$A$143,VLOOKUP($A36,ValveBox!$A$10:$O$142,11,FALSE),
IF($A36&lt;'ValveBox Components'!$A$165,VLOOKUP($A36,'ValveBox Components'!$A$10:$O$164,11,FALSE),
IF($A36&lt;Drainage!$A$92,VLOOKUP($A36,Drainage!$A$8:$M$91,9,FALSE),
IF($A36&lt;Nipples!$A$82,VLOOKUP($A36,Nipples!$A$9:$Q$81,13,FALSE),
IF($A36&lt;Manifold!$A$33,VLOOKUP($A36,Manifold!$A$9:$M$32,9,FALSE),
IF($A36&lt;FlexibleRepairCouplings!$A$13,VLOOKUP($A36,FlexibleRepairCouplings!$A$10:$M$12,9,FALSE),
IF($A36&lt;DuraFix!$A$15,VLOOKUP($A36,DuraFix!$A$9:$M$14,9,FALSE),
IF($A36&lt;'Compression Fittings'!$A$16,VLOOKUP($A36,'Compression Fittings'!$A$8:$M$15,9,FALSE),
IF($A36&lt;'Hose Fittings'!$A$30,VLOOKUP($A36,'Hose Fittings'!$A$8:$M$29,9,FALSE),
IF($A36&lt;'Swing Joints'!$A$496,VLOOKUP($A36,'Swing Joints'!$A$9:$M$495,9,FALSE),
IF($A36&lt;'Swing Joints Components'!$A$135,VLOOKUP($A36,'Swing Joints Components'!$A$9:$M$134,9,FALSE),
IF($A36&lt;Nonstandard!$A$42,VLOOKUP($A36,Nonstandard!$A$31:$J$41,8,FALSE),"")))))))))))))))))))))))))))),"")</f>
        <v/>
      </c>
      <c r="G36" s="416" t="str">
        <f>IFERROR(IF($A36&lt;'DWV PVC'!$A$285,VLOOKUP($A36,'DWV PVC'!$A$8:$M$284,11,FALSE),
IF($A36&lt;'DWV ABS'!$A$117,VLOOKUP($A36,'DWV ABS'!$A$8:$M$116,11,FALSE),
IF($A36&lt;'PVC SCH40'!$A$376,VLOOKUP($A36,'PVC SCH40'!$A$8:$M$375,11,FALSE),
IF($A36&lt;'PVC SCH40 LD'!$A$22,VLOOKUP($A36,'PVC SCH40 LD'!$A$8:$M$21,11,FALSE),
IF($A36&lt;'Pool &amp; SPA Sweep Elbows'!$A$12,VLOOKUP($A36,'Pool &amp; SPA Sweep Elbows'!$A$8:$M$11,11,FALSE),
IF($A36&lt;'Pool &amp; SPA Pipe Extender'!$A$11,VLOOKUP($A36,'Pool &amp; SPA Pipe Extender'!$A$8:$M$10,11,FALSE),
IF($A36&lt;'PVC SCH80'!$A$250,VLOOKUP($A36,'PVC SCH80'!$A$8:$M$249,11,FALSE),
IF($A36&lt;'PVC SCH80 Flange'!$A$49,VLOOKUP($A36,'PVC SCH80 Flange'!$A$8:$M$48,11,FALSE),
IF($A36&lt;'PVC SCH80 LD Flange'!$A$17,VLOOKUP($A36,'PVC SCH80 LD Flange'!$A$8:$M$16,11,FALSE),
IF($A36&lt;CPVC!$A$100,VLOOKUP($A36,CPVC!$A$8:$M$99,11,FALSE),
IF($A36&lt;InsertFittings!$A$237,VLOOKUP($A36,InsertFittings!$A$11:$M$236,11,FALSE),
IF($A36&lt;Valves!$A$132,VLOOKUP($A36,Valves!$A$8:$M$131,11,FALSE),
IF($A36&lt;SDR35SW!$A$124,VLOOKUP($A36,SDR35SW!$A$8:$M$123,11,FALSE),
IF($A36&lt;SDR35G!$A$143,VLOOKUP($A36, SDR35G!$A$8:$M$142,11,FALSE),
IF($A36&lt;SDR26G!$A$61,VLOOKUP($A36,SDR26G!$A$8:$N$60,12,FALSE),
IF($A36&lt;Cements!$A$100,VLOOKUP($A36,Cements!$A$8:$Q$99,15,FALSE),
IF($A36&lt;ValveBox!$A$143,VLOOKUP($A36,ValveBox!$A$10:$O$142,13,FALSE),
IF($A36&lt;'ValveBox Components'!$A$165,VLOOKUP($A36,'ValveBox Components'!$A$10:$O$164,13,FALSE),
IF($A36&lt;Drainage!$A$92,VLOOKUP($A36,Drainage!$A$8:$M$91,11,FALSE),
IF($A36&lt;Nipples!$A$82,VLOOKUP($A36,Nipples!$A$9:$Q$81,15,FALSE),
IF($A36&lt;Manifold!$A$33,VLOOKUP($A36,Manifold!$A$9:$M$32,11,FALSE),
IF($A36&lt;FlexibleRepairCouplings!$A$13,VLOOKUP($A36,FlexibleRepairCouplings!$A$10:$M$12,11,FALSE),
IF($A36&lt;DuraFix!$A$15,VLOOKUP($A36,DuraFix!$A$9:$M$14,11,FALSE),
IF($A36&lt;'Compression Fittings'!$A$16,VLOOKUP($A36,'Compression Fittings'!$A$8:$M$15,11,FALSE),
IF($A36&lt;'Hose Fittings'!$A$30,VLOOKUP($A36,'Hose Fittings'!$A$8:$M$29,11,FALSE),
IF($A36&lt;'Swing Joints'!$A$496,VLOOKUP($A36,'Swing Joints'!$A$9:$M$495,11,FALSE),
IF($A36&lt;'Swing Joints Components'!$A$135,VLOOKUP($A36,'Swing Joints Components'!$A$9:$M$134,11,FALSE),
IF($A36&lt;Nonstandard!$A$42,VLOOKUP($A36,Nonstandard!$A$31:$J$41,3,FALSE),"")))))))))))))))))))))))))))),"")</f>
        <v/>
      </c>
      <c r="H36" s="588" t="str">
        <f>IFERROR(IF($A36&lt;'DWV PVC'!$A$285,VLOOKUP($A36,'DWV PVC'!$A$8:$M$284,7,FALSE),
IF($A36&lt;'DWV ABS'!$A$117,VLOOKUP($A36,'DWV ABS'!$A$8:$M$116,7,FALSE),
IF($A36&lt;'PVC SCH40'!$A$376,VLOOKUP($A36,'PVC SCH40'!$A$8:$M$375,7,FALSE),
IF($A36&lt;'PVC SCH40 LD'!$A$22,VLOOKUP($A36,'PVC SCH40 LD'!$A$8:$M$21,7,FALSE),
IF($A36&lt;'Pool &amp; SPA Sweep Elbows'!$A$12,VLOOKUP($A36,'Pool &amp; SPA Sweep Elbows'!$A$8:$M$11,7,FALSE),
IF($A36&lt;'Pool &amp; SPA Pipe Extender'!$A$11,VLOOKUP($A36,'Pool &amp; SPA Pipe Extender'!$A$8:$M$10,7,FALSE),
IF($A36&lt;'PVC SCH80'!$A$250,VLOOKUP($A36,'PVC SCH80'!$A$8:$M$249,7,FALSE),
IF($A36&lt;'PVC SCH80 Flange'!$A$49,VLOOKUP($A36,'PVC SCH80 Flange'!$A$8:$M$48,7,FALSE),
IF($A36&lt;'PVC SCH80 LD Flange'!$A$17,VLOOKUP($A36,'PVC SCH80 LD Flange'!$A$8:$M$16,7,FALSE),
IF($A36&lt;CPVC!$A$100,VLOOKUP($A36,CPVC!$A$8:$M$99,7,FALSE),
IF($A36&lt;InsertFittings!$A$237,VLOOKUP($A36,InsertFittings!$A$11:$M$236,7,FALSE),
IF($A36&lt;Valves!$A$132,VLOOKUP($A36,Valves!$A$8:$M$131,7,FALSE),
IF($A36&lt;SDR35SW!$A$124,VLOOKUP($A36,SDR35SW!$A$8:$M$123,7,FALSE),
IF($A36&lt;SDR35G!$A$143,VLOOKUP($A36, SDR35G!$A$8:$M$142,7,FALSE),
IF($A36&lt;SDR26G!$A$61,VLOOKUP($A36,SDR26G!$A$8:$N$60,10,FALSE),
IF($A36&lt;Cements!$A$100,VLOOKUP($A36,Cements!$A$8:$Q$99,13,FALSE),
IF($A36&lt;ValveBox!$A$143,VLOOKUP($A36,ValveBox!$A$10:$O$142,11,FALSE),
IF($A36&lt;'ValveBox Components'!$A$165,VLOOKUP($A36,'ValveBox Components'!$A$10:$O$164,11,FALSE),
IF($A36&lt;Drainage!$A$92,VLOOKUP($A36,Drainage!$A$8:$M$91,7,FALSE),
IF($A36&lt;Nipples!$A$82,VLOOKUP($A36,Nipples!$A$9:$Q$81,13,FALSE),
IF($A36&lt;Manifold!$A$33,VLOOKUP($A36,Manifold!$A$9:$M$32,7,FALSE),
IF($A36&lt;FlexibleRepairCouplings!$A$13,VLOOKUP($A36,FlexibleRepairCouplings!$A$10:$M$12,7,FALSE),
IF($A36&lt;DuraFix!$A$15,VLOOKUP($A36,DuraFix!$A$9:$M$14,7,FALSE),
IF($A36&lt;'Compression Fittings'!$A$16,VLOOKUP($A36,'Compression Fittings'!$A$8:$M$15,7,FALSE),
IF($A36&lt;'Hose Fittings'!$A$30,VLOOKUP($A36,'Hose Fittings'!$A$8:$M$29,7,FALSE),
IF($A36&lt;'Swing Joints'!$A$496,VLOOKUP($A36,'Swing Joints'!$A$9:$M$495,7,FALSE),
IF($A36&lt;'Swing Joints Components'!$A$135,VLOOKUP($A36,'Swing Joints Components'!$A$9:$M$134,7,FALSE),
IF($A36&lt;Nonstandard!$A$42,VLOOKUP($A36,Nonstandard!$A$31:$J$41,3,FALSE),"")))))))))))))))))))))))))))),"")</f>
        <v/>
      </c>
      <c r="I36" s="589"/>
      <c r="J36" s="423" t="str">
        <f t="shared" si="1"/>
        <v/>
      </c>
      <c r="K36" s="424" t="str">
        <f>IFERROR(IF($A36&lt;'DWV PVC'!$A$285,VLOOKUP($A36,'DWV PVC'!$A$8:$M$284,10,FALSE),
IF($A36&lt;'DWV ABS'!$A$117,VLOOKUP($A36,'DWV ABS'!$A$8:$M$116,10,FALSE),
IF($A36&lt;'PVC SCH40'!$A$376,VLOOKUP($A36,'PVC SCH40'!$A$8:$M$375,10,FALSE),
IF($A36&lt;'PVC SCH40 LD'!$A$22,VLOOKUP($A36,'PVC SCH40 LD'!$A$8:$M$21,10,FALSE),
IF($A36&lt;'Pool &amp; SPA Sweep Elbows'!$A$12,VLOOKUP($A36,'Pool &amp; SPA Sweep Elbows'!$A$8:$M$11,10,FALSE),
IF($A36&lt;'Pool &amp; SPA Pipe Extender'!$A$11,VLOOKUP($A36,'Pool &amp; SPA Pipe Extender'!$A$8:$M$10,10,FALSE),
IF($A36&lt;'PVC SCH80'!$A$250,VLOOKUP($A36,'PVC SCH80'!$A$8:$M$249,10,FALSE),
IF($A36&lt;'PVC SCH80 Flange'!$A$49,VLOOKUP($A36,'PVC SCH80 Flange'!$A$8:$M$48,10,FALSE),
IF($A36&lt;'PVC SCH80 LD Flange'!$A$17,VLOOKUP($A36,'PVC SCH80 LD Flange'!$A$8:$M$16,10,FALSE),
IF($A36&lt;CPVC!$A$100,VLOOKUP($A36,CPVC!$A$8:$M$99,10,FALSE),
IF($A36&lt;InsertFittings!$A$237,VLOOKUP($A36,InsertFittings!$A$11:$M$236,10,FALSE),
IF($A36&lt;Valves!$A$132,VLOOKUP($A36,Valves!$A$8:$M$131,10,FALSE),
IF($A36&lt;SDR35SW!$A$124,VLOOKUP($A36,SDR35SW!$A$8:$M$123,10,FALSE),
IF($A36&lt;SDR35G!$A$143,VLOOKUP($A36, SDR35G!$A$8:$M$142,10,FALSE),
IF($A36&lt;SDR26G!$A$61,VLOOKUP($A36,SDR26G!$A$8:$N$60,11,FALSE),
IF($A36&lt;Cements!$A$100,VLOOKUP($A36,Cements!$A$8:$Q$99,14,FALSE),
IF($A36&lt;ValveBox!$A$143,VLOOKUP($A36,ValveBox!$A$10:$O$142,12,FALSE),
IF($A36&lt;'ValveBox Components'!$A$165,VLOOKUP($A36,'ValveBox Components'!$A$10:$O$164,12,FALSE),
IF($A36&lt;Drainage!$A$92,VLOOKUP($A36,Drainage!$A$8:$M$91,10,FALSE),
IF($A36&lt;Nipples!$A$82,VLOOKUP($A36,Nipples!$A$9:$Q$81,14,FALSE),
IF($A36&lt;Manifold!$A$33,VLOOKUP($A36,Manifold!$A$9:$M$32,10,FALSE),
IF($A36&lt;FlexibleRepairCouplings!$A$13,VLOOKUP($A36,FlexibleRepairCouplings!$A$10:$M$12,10,FALSE),
IF($A36&lt;DuraFix!$A$15,VLOOKUP($A36,DuraFix!$A$9:$M$14,10,FALSE),
IF($A36&lt;'Compression Fittings'!$A$16,VLOOKUP($A36,'Compression Fittings'!$A$8:$M$15,10,FALSE),
IF($A36&lt;'Hose Fittings'!$A$30,VLOOKUP($A36,'Hose Fittings'!$A$8:$M$29,10,FALSE),
IF($A36&lt;'Swing Joints'!$A$496,VLOOKUP($A36,'Swing Joints'!$A$9:$M$495,10,FALSE),
IF($A36&lt;'Swing Joints Components'!$A$135,VLOOKUP($A36,'Swing Joints Components'!$A$9:$M$134,10,FALSE),
IF($A36&lt;Nonstandard!$A$42,VLOOKUP($A36,Nonstandard!$A$31:$J$41,10,FALSE),"")))))))))))))))))))))))))))),"")</f>
        <v/>
      </c>
      <c r="L36" s="421" t="str">
        <f t="shared" si="0"/>
        <v>-</v>
      </c>
      <c r="M36" s="425"/>
    </row>
    <row r="37" spans="1:13" ht="15.75">
      <c r="A37" s="415">
        <v>5</v>
      </c>
      <c r="B37" s="415" t="str">
        <f>IFERROR(IF($A37&lt;'DWV PVC'!$A$285,VLOOKUP($A37,'DWV PVC'!$A$8:$M$284,4,FALSE),
IF($A37&lt;'DWV ABS'!$A$117,VLOOKUP($A37,'DWV ABS'!$A$8:$M$116,4,FALSE),
IF($A37&lt;'PVC SCH40'!$A$376,VLOOKUP($A37,'PVC SCH40'!$A$8:$M$375,4,FALSE),
IF($A37&lt;'PVC SCH40 LD'!$A$22,VLOOKUP($A37,'PVC SCH40 LD'!$A$8:$M$21,4,FALSE),
IF($A37&lt;'Pool &amp; SPA Sweep Elbows'!$A$12,VLOOKUP($A37,'Pool &amp; SPA Sweep Elbows'!$A$8:$M$11,4,FALSE),
IF($A37&lt;'Pool &amp; SPA Pipe Extender'!$A$11,VLOOKUP($A37,'Pool &amp; SPA Pipe Extender'!$A$8:$M$10,4,FALSE),
IF($A37&lt;'PVC SCH80'!$A$250,VLOOKUP($A37,'PVC SCH80'!$A$8:$M$249,4,FALSE),
IF($A37&lt;'PVC SCH80 Flange'!$A$49,VLOOKUP($A37,'PVC SCH80 Flange'!$A$8:$M$48,4,FALSE),
IF($A37&lt;'PVC SCH80 LD Flange'!$A$17,VLOOKUP($A37,'PVC SCH80 LD Flange'!$A$8:$M$16,4,FALSE),
IF($A37&lt;CPVC!$A$100,VLOOKUP($A37,CPVC!$A$8:$M$99,4,FALSE),
IF($A37&lt;InsertFittings!$A$237,VLOOKUP($A37,InsertFittings!$A$11:$M$236,4,FALSE),
IF($A37&lt;Valves!$A$132,VLOOKUP($A37,Valves!$A$8:$M$131,4,FALSE),
IF($A37&lt;SDR35SW!$A$124,VLOOKUP($A37,SDR35SW!$A$8:$M$123,4,FALSE),
IF($A37&lt;SDR35G!$A$143,VLOOKUP($A37, SDR35G!$A$8:$M$142,4,FALSE),
IF($A37&lt;SDR26G!$A$61,VLOOKUP($A37,SDR26G!$A$8:$N$60,4,FALSE),
IF($A37&lt;Cements!$A$100,VLOOKUP($A37,Cements!$A$8:$Q$99,4,FALSE),
IF($A37&lt;ValveBox!$A$143,VLOOKUP($A37,ValveBox!$A$10:$O$142,4,FALSE),
IF($A37&lt;'ValveBox Components'!$A$165,VLOOKUP($A37,'ValveBox Components'!$A$10:$O$164,4,FALSE),
IF($A37&lt;Drainage!$A$92,VLOOKUP($A37,Drainage!$A$8:$M$91,4,FALSE),
IF($A37&lt;Nipples!$A$82,VLOOKUP($A37,Nipples!$A$9:$Q$81,4,FALSE),
IF($A37&lt;Manifold!$A$33,VLOOKUP($A37,Manifold!$A$9:$M$32,4,FALSE),
IF($A37&lt;FlexibleRepairCouplings!$A$13,VLOOKUP($A37,FlexibleRepairCouplings!$A$10:$M$12,4,FALSE),
IF($A37&lt;DuraFix!$A$15,VLOOKUP($A37,DuraFix!$A$9:$M$14,4,FALSE),
IF($A37&lt;'Compression Fittings'!$A$16,VLOOKUP($A37,'Compression Fittings'!$A$8:$M$15,4,FALSE),
IF($A37&lt;'Hose Fittings'!$A$30,VLOOKUP($A37,'Hose Fittings'!$A$8:$M$29,4,FALSE),
IF($A37&lt;'Swing Joints'!$A$496,VLOOKUP($A37,'Swing Joints'!$A$9:$M$495,4,FALSE),
IF($A37&lt;'Swing Joints Components'!$A$135,VLOOKUP($A37,'Swing Joints Components'!$A$9:$M$134,4,FALSE),
IF($A37&lt;Nonstandard!$A$42,VLOOKUP($A37,Nonstandard!$A$31:$J$41,5,FALSE),"")))))))))))))))))))))))))))),"")</f>
        <v/>
      </c>
      <c r="C37" s="415" t="str">
        <f>IFERROR(IF($A37&lt;'DWV PVC'!$A$285,VLOOKUP($A37,'DWV PVC'!$A$8:$M$284,5,FALSE),
IF($A37&lt;'DWV ABS'!$A$117,VLOOKUP($A37,'DWV ABS'!$A$8:$M$116,5,FALSE),
IF($A37&lt;'PVC SCH40'!$A$376,VLOOKUP($A37,'PVC SCH40'!$A$8:$M$375,5,FALSE),
IF($A37&lt;'PVC SCH40 LD'!$A$22,VLOOKUP($A37,'PVC SCH40 LD'!$A$8:$M$21,5,FALSE),
IF($A37&lt;'Pool &amp; SPA Sweep Elbows'!$A$12,VLOOKUP($A37,'Pool &amp; SPA Sweep Elbows'!$A$8:$M$11,5,FALSE),
IF($A37&lt;'Pool &amp; SPA Pipe Extender'!$A$11,VLOOKUP($A37,'Pool &amp; SPA Pipe Extender'!$A$8:$M$10,5,FALSE),
IF($A37&lt;'PVC SCH80'!$A$250,VLOOKUP($A37,'PVC SCH80'!$A$8:$M$249,5,FALSE),
IF($A37&lt;'PVC SCH80 Flange'!$A$49,VLOOKUP($A37,'PVC SCH80 Flange'!$A$8:$M$48,5,FALSE),
IF($A37&lt;'PVC SCH80 LD Flange'!$A$17,VLOOKUP($A37,'PVC SCH80 LD Flange'!$A$8:$M$16,5,FALSE),
IF($A37&lt;CPVC!$A$100,VLOOKUP($A37,CPVC!$A$8:$M$99,5,FALSE),
IF($A37&lt;InsertFittings!$A$237,VLOOKUP($A37,InsertFittings!$A$11:$M$236,5,FALSE),
IF($A37&lt;Valves!$A$132,VLOOKUP($A37,Valves!$A$8:$M$131,5,FALSE),
IF($A37&lt;SDR35SW!$A$124,VLOOKUP($A37,SDR35SW!$A$8:$M$123,5,FALSE),
IF($A37&lt;SDR35G!$A$143,VLOOKUP($A37, SDR35G!$A$8:$M$142,5,FALSE),
IF($A37&lt;SDR26G!$A$61,VLOOKUP($A37,SDR26G!$A$8:$N$60,5,FALSE),
IF($A37&lt;Cements!$A$100,VLOOKUP($A37,Cements!$A$8:$Q$99,5,FALSE),
IF($A37&lt;ValveBox!$A$143,VLOOKUP($A37,ValveBox!$A$10:$O$142,5,FALSE),
IF($A37&lt;'ValveBox Components'!$A$165,VLOOKUP($A37,'ValveBox Components'!$A$10:$O$164,5,FALSE),
IF($A37&lt;Drainage!$A$92,VLOOKUP($A37,Drainage!$A$8:$M$91,5,FALSE),
IF($A37&lt;Nipples!$A$82,VLOOKUP($A37,Nipples!$A$9:$Q$81,5,FALSE),
IF($A37&lt;Manifold!$A$33,VLOOKUP($A37,Manifold!$A$9:$M$32,5,FALSE),
IF($A37&lt;FlexibleRepairCouplings!$A$13,VLOOKUP($A37,FlexibleRepairCouplings!$A$10:$M$12,5,FALSE),
IF($A37&lt;DuraFix!$A$15,VLOOKUP($A37,DuraFix!$A$9:$M$14,5,FALSE),
IF($A37&lt;'Compression Fittings'!$A$16,VLOOKUP($A37,'Compression Fittings'!$A$8:$M$15,5,FALSE),
IF($A37&lt;'Hose Fittings'!$A$30,VLOOKUP($A37,'Hose Fittings'!$A$8:$M$29,5,FALSE),
IF($A37&lt;'Swing Joints'!$A$496,VLOOKUP($A37,'Swing Joints'!$A$9:$M$495,5,FALSE),
IF($A37&lt;'Swing Joints Components'!$A$135,VLOOKUP($A37,'Swing Joints Components'!$A$9:$M$134,5,FALSE),
IF($A37&lt;Nonstandard!$A$42,VLOOKUP($A37,Nonstandard!$A$31:$J$41,6,FALSE),"")))))))))))))))))))))))))))),"")</f>
        <v/>
      </c>
      <c r="D37" s="426" t="str">
        <f>IFERROR(IF($A37&lt;'DWV PVC'!$A$285,VLOOKUP($A37,'DWV PVC'!$A$8:$M$284,6,FALSE),
IF($A37&lt;'DWV ABS'!$A$117,VLOOKUP($A37,'DWV ABS'!$A$8:$M$116,6,FALSE),
IF($A37&lt;'PVC SCH40'!$A$376,VLOOKUP($A37,'PVC SCH40'!$A$8:$M$375,6,FALSE),
IF($A37&lt;'PVC SCH40 LD'!$A$22,VLOOKUP($A37,'PVC SCH40 LD'!$A$8:$M$21,6,FALSE),
IF($A37&lt;'Pool &amp; SPA Sweep Elbows'!$A$12,VLOOKUP($A37,'Pool &amp; SPA Sweep Elbows'!$A$8:$M$11,6,FALSE),
IF($A37&lt;'Pool &amp; SPA Pipe Extender'!$A$11,VLOOKUP($A37,'Pool &amp; SPA Pipe Extender'!$A$8:$M$10,6,FALSE),
IF($A37&lt;'PVC SCH80'!$A$250,VLOOKUP($A37,'PVC SCH80'!$A$8:$M$249,6,FALSE),
IF($A37&lt;'PVC SCH80 Flange'!$A$49,VLOOKUP($A37,'PVC SCH80 Flange'!$A$8:$M$48,6,FALSE),
IF($A37&lt;'PVC SCH80 LD Flange'!$A$17,VLOOKUP($A37,'PVC SCH80 LD Flange'!$A$8:$M$16,6,FALSE),
IF($A37&lt;CPVC!$A$100,VLOOKUP($A37,CPVC!$A$8:$M$99,6,FALSE),
IF($A37&lt;InsertFittings!$A$237,VLOOKUP($A37,InsertFittings!$A$11:$M$236,6,FALSE),
IF($A37&lt;Valves!$A$132,VLOOKUP($A37,Valves!$A$8:$M$131,6,FALSE),
IF($A37&lt;SDR35SW!$A$124,VLOOKUP($A37,SDR35SW!$A$8:$M$123,6,FALSE),
IF($A37&lt;SDR35G!$A$143,VLOOKUP($A37, SDR35G!$A$8:$M$142,6,FALSE),
IF($A37&lt;SDR26G!$A$61,VLOOKUP($A37,SDR26G!$A$8:$N$60,6,FALSE),
IF($A37&lt;Cements!$A$100,VLOOKUP($A37,Cements!$A$8:$Q$99,6,FALSE),
IF($A37&lt;ValveBox!$A$143,VLOOKUP($A37,ValveBox!$A$10:$O$142,6,FALSE),
IF($A37&lt;'ValveBox Components'!$A$165,VLOOKUP($A37,'ValveBox Components'!$A$10:$O$164,6,FALSE),
IF($A37&lt;Drainage!$A$92,VLOOKUP($A37,Drainage!$A$8:$M$91,6,FALSE),
IF($A37&lt;Nipples!$A$82,VLOOKUP($A37,Nipples!$A$9:$Q$81,6,FALSE),
IF($A37&lt;Manifold!$A$33,VLOOKUP($A37,Manifold!$A$9:$M$32,6,FALSE),
IF($A37&lt;FlexibleRepairCouplings!$A$13,VLOOKUP($A37,FlexibleRepairCouplings!$A$10:$M$12,6,FALSE),
IF($A37&lt;DuraFix!$A$15,VLOOKUP($A37,DuraFix!$A$9:$M$14,6,FALSE),
IF($A37&lt;'Compression Fittings'!$A$16,VLOOKUP($A37,'Compression Fittings'!$A$8:$M$15,6,FALSE),
IF($A37&lt;'Hose Fittings'!$A$30,VLOOKUP($A37,'Hose Fittings'!$A$8:$M$29,6,FALSE),
IF($A37&lt;'Swing Joints'!$A$496,VLOOKUP($A37,'Swing Joints'!$A$9:$M$495,6,FALSE),
IF($A37&lt;'Swing Joints Components'!$A$135,VLOOKUP($A37,'Swing Joints Components'!$A$9:$M$134,6,FALSE),
IF($A37&lt;Nonstandard!$A$42,VLOOKUP($A37,Nonstandard!$A$31:$J$41,7,FALSE),"")))))))))))))))))))))))))))),"")</f>
        <v/>
      </c>
      <c r="E37" s="427"/>
      <c r="F37" s="418" t="str">
        <f>IFERROR(IF($A37&lt;'DWV PVC'!$A$285,VLOOKUP($A37,'DWV PVC'!$A$8:$M$284,9,FALSE),
IF($A37&lt;'DWV ABS'!$A$117,VLOOKUP($A37,'DWV ABS'!$A$8:$M$116,9,FALSE),
IF($A37&lt;'PVC SCH40'!$A$376,VLOOKUP($A37,'PVC SCH40'!$A$8:$M$375,9,FALSE),
IF($A37&lt;'PVC SCH40 LD'!$A$22,VLOOKUP($A37,'PVC SCH40 LD'!$A$8:$M$21,9,FALSE),
IF($A37&lt;'Pool &amp; SPA Sweep Elbows'!$A$12,VLOOKUP($A37,'Pool &amp; SPA Sweep Elbows'!$A$8:$M$11,9,FALSE),
IF($A37&lt;'Pool &amp; SPA Pipe Extender'!$A$11,VLOOKUP($A37,'Pool &amp; SPA Pipe Extender'!$A$8:$M$10,9,FALSE),
IF($A37&lt;'PVC SCH80'!$A$250,VLOOKUP($A37,'PVC SCH80'!$A$8:$M$249,9,FALSE),
IF($A37&lt;'PVC SCH80 Flange'!$A$49,VLOOKUP($A37,'PVC SCH80 Flange'!$A$8:$M$48,9,FALSE),
IF($A37&lt;'PVC SCH80 LD Flange'!$A$17,VLOOKUP($A37,'PVC SCH80 LD Flange'!$A$8:$M$16,9,FALSE),
IF($A37&lt;CPVC!$A$100,VLOOKUP($A37,CPVC!$A$8:$M$99,9,FALSE),
IF($A37&lt;InsertFittings!$A$237,VLOOKUP($A37,InsertFittings!$A$11:$M$236,9,FALSE),
IF($A37&lt;Valves!$A$132,VLOOKUP($A37,Valves!$A$8:$M$131,9,FALSE),
IF($A37&lt;SDR35SW!$A$124,VLOOKUP($A37,SDR35SW!$A$8:$M$123,9,FALSE),
IF($A37&lt;SDR35G!$A$143,VLOOKUP($A37, SDR35G!$A$8:$M$142,9,FALSE),
IF($A37&lt;SDR26G!$A$61,VLOOKUP($A37,SDR26G!$A$8:$N$60,10,FALSE),
IF($A37&lt;Cements!$A$100,VLOOKUP($A37,Cements!$A$8:$Q$99,13,FALSE),
IF($A37&lt;ValveBox!$A$143,VLOOKUP($A37,ValveBox!$A$10:$O$142,11,FALSE),
IF($A37&lt;'ValveBox Components'!$A$165,VLOOKUP($A37,'ValveBox Components'!$A$10:$O$164,11,FALSE),
IF($A37&lt;Drainage!$A$92,VLOOKUP($A37,Drainage!$A$8:$M$91,9,FALSE),
IF($A37&lt;Nipples!$A$82,VLOOKUP($A37,Nipples!$A$9:$Q$81,13,FALSE),
IF($A37&lt;Manifold!$A$33,VLOOKUP($A37,Manifold!$A$9:$M$32,9,FALSE),
IF($A37&lt;FlexibleRepairCouplings!$A$13,VLOOKUP($A37,FlexibleRepairCouplings!$A$10:$M$12,9,FALSE),
IF($A37&lt;DuraFix!$A$15,VLOOKUP($A37,DuraFix!$A$9:$M$14,9,FALSE),
IF($A37&lt;'Compression Fittings'!$A$16,VLOOKUP($A37,'Compression Fittings'!$A$8:$M$15,9,FALSE),
IF($A37&lt;'Hose Fittings'!$A$30,VLOOKUP($A37,'Hose Fittings'!$A$8:$M$29,9,FALSE),
IF($A37&lt;'Swing Joints'!$A$496,VLOOKUP($A37,'Swing Joints'!$A$9:$M$495,9,FALSE),
IF($A37&lt;'Swing Joints Components'!$A$135,VLOOKUP($A37,'Swing Joints Components'!$A$9:$M$134,9,FALSE),
IF($A37&lt;Nonstandard!$A$42,VLOOKUP($A37,Nonstandard!$A$31:$J$41,8,FALSE),"")))))))))))))))))))))))))))),"")</f>
        <v/>
      </c>
      <c r="G37" s="416" t="str">
        <f>IFERROR(IF($A37&lt;'DWV PVC'!$A$285,VLOOKUP($A37,'DWV PVC'!$A$8:$M$284,11,FALSE),
IF($A37&lt;'DWV ABS'!$A$117,VLOOKUP($A37,'DWV ABS'!$A$8:$M$116,11,FALSE),
IF($A37&lt;'PVC SCH40'!$A$376,VLOOKUP($A37,'PVC SCH40'!$A$8:$M$375,11,FALSE),
IF($A37&lt;'PVC SCH40 LD'!$A$22,VLOOKUP($A37,'PVC SCH40 LD'!$A$8:$M$21,11,FALSE),
IF($A37&lt;'Pool &amp; SPA Sweep Elbows'!$A$12,VLOOKUP($A37,'Pool &amp; SPA Sweep Elbows'!$A$8:$M$11,11,FALSE),
IF($A37&lt;'Pool &amp; SPA Pipe Extender'!$A$11,VLOOKUP($A37,'Pool &amp; SPA Pipe Extender'!$A$8:$M$10,11,FALSE),
IF($A37&lt;'PVC SCH80'!$A$250,VLOOKUP($A37,'PVC SCH80'!$A$8:$M$249,11,FALSE),
IF($A37&lt;'PVC SCH80 Flange'!$A$49,VLOOKUP($A37,'PVC SCH80 Flange'!$A$8:$M$48,11,FALSE),
IF($A37&lt;'PVC SCH80 LD Flange'!$A$17,VLOOKUP($A37,'PVC SCH80 LD Flange'!$A$8:$M$16,11,FALSE),
IF($A37&lt;CPVC!$A$100,VLOOKUP($A37,CPVC!$A$8:$M$99,11,FALSE),
IF($A37&lt;InsertFittings!$A$237,VLOOKUP($A37,InsertFittings!$A$11:$M$236,11,FALSE),
IF($A37&lt;Valves!$A$132,VLOOKUP($A37,Valves!$A$8:$M$131,11,FALSE),
IF($A37&lt;SDR35SW!$A$124,VLOOKUP($A37,SDR35SW!$A$8:$M$123,11,FALSE),
IF($A37&lt;SDR35G!$A$143,VLOOKUP($A37, SDR35G!$A$8:$M$142,11,FALSE),
IF($A37&lt;SDR26G!$A$61,VLOOKUP($A37,SDR26G!$A$8:$N$60,12,FALSE),
IF($A37&lt;Cements!$A$100,VLOOKUP($A37,Cements!$A$8:$Q$99,15,FALSE),
IF($A37&lt;ValveBox!$A$143,VLOOKUP($A37,ValveBox!$A$10:$O$142,13,FALSE),
IF($A37&lt;'ValveBox Components'!$A$165,VLOOKUP($A37,'ValveBox Components'!$A$10:$O$164,13,FALSE),
IF($A37&lt;Drainage!$A$92,VLOOKUP($A37,Drainage!$A$8:$M$91,11,FALSE),
IF($A37&lt;Nipples!$A$82,VLOOKUP($A37,Nipples!$A$9:$Q$81,15,FALSE),
IF($A37&lt;Manifold!$A$33,VLOOKUP($A37,Manifold!$A$9:$M$32,11,FALSE),
IF($A37&lt;FlexibleRepairCouplings!$A$13,VLOOKUP($A37,FlexibleRepairCouplings!$A$10:$M$12,11,FALSE),
IF($A37&lt;DuraFix!$A$15,VLOOKUP($A37,DuraFix!$A$9:$M$14,11,FALSE),
IF($A37&lt;'Compression Fittings'!$A$16,VLOOKUP($A37,'Compression Fittings'!$A$8:$M$15,11,FALSE),
IF($A37&lt;'Hose Fittings'!$A$30,VLOOKUP($A37,'Hose Fittings'!$A$8:$M$29,11,FALSE),
IF($A37&lt;'Swing Joints'!$A$496,VLOOKUP($A37,'Swing Joints'!$A$9:$M$495,11,FALSE),
IF($A37&lt;'Swing Joints Components'!$A$135,VLOOKUP($A37,'Swing Joints Components'!$A$9:$M$134,11,FALSE),
IF($A37&lt;Nonstandard!$A$42,VLOOKUP($A37,Nonstandard!$A$31:$J$41,3,FALSE),"")))))))))))))))))))))))))))),"")</f>
        <v/>
      </c>
      <c r="H37" s="586" t="str">
        <f>IFERROR(IF($A37&lt;'DWV PVC'!$A$285,VLOOKUP($A37,'DWV PVC'!$A$8:$M$284,7,FALSE),
IF($A37&lt;'DWV ABS'!$A$117,VLOOKUP($A37,'DWV ABS'!$A$8:$M$116,7,FALSE),
IF($A37&lt;'PVC SCH40'!$A$376,VLOOKUP($A37,'PVC SCH40'!$A$8:$M$375,7,FALSE),
IF($A37&lt;'PVC SCH40 LD'!$A$22,VLOOKUP($A37,'PVC SCH40 LD'!$A$8:$M$21,7,FALSE),
IF($A37&lt;'Pool &amp; SPA Sweep Elbows'!$A$12,VLOOKUP($A37,'Pool &amp; SPA Sweep Elbows'!$A$8:$M$11,7,FALSE),
IF($A37&lt;'Pool &amp; SPA Pipe Extender'!$A$11,VLOOKUP($A37,'Pool &amp; SPA Pipe Extender'!$A$8:$M$10,7,FALSE),
IF($A37&lt;'PVC SCH80'!$A$250,VLOOKUP($A37,'PVC SCH80'!$A$8:$M$249,7,FALSE),
IF($A37&lt;'PVC SCH80 Flange'!$A$49,VLOOKUP($A37,'PVC SCH80 Flange'!$A$8:$M$48,7,FALSE),
IF($A37&lt;'PVC SCH80 LD Flange'!$A$17,VLOOKUP($A37,'PVC SCH80 LD Flange'!$A$8:$M$16,7,FALSE),
IF($A37&lt;CPVC!$A$100,VLOOKUP($A37,CPVC!$A$8:$M$99,7,FALSE),
IF($A37&lt;InsertFittings!$A$237,VLOOKUP($A37,InsertFittings!$A$11:$M$236,7,FALSE),
IF($A37&lt;Valves!$A$132,VLOOKUP($A37,Valves!$A$8:$M$131,7,FALSE),
IF($A37&lt;SDR35SW!$A$124,VLOOKUP($A37,SDR35SW!$A$8:$M$123,7,FALSE),
IF($A37&lt;SDR35G!$A$143,VLOOKUP($A37, SDR35G!$A$8:$M$142,7,FALSE),
IF($A37&lt;SDR26G!$A$61,VLOOKUP($A37,SDR26G!$A$8:$N$60,10,FALSE),
IF($A37&lt;Cements!$A$100,VLOOKUP($A37,Cements!$A$8:$Q$99,13,FALSE),
IF($A37&lt;ValveBox!$A$143,VLOOKUP($A37,ValveBox!$A$10:$O$142,11,FALSE),
IF($A37&lt;'ValveBox Components'!$A$165,VLOOKUP($A37,'ValveBox Components'!$A$10:$O$164,11,FALSE),
IF($A37&lt;Drainage!$A$92,VLOOKUP($A37,Drainage!$A$8:$M$91,7,FALSE),
IF($A37&lt;Nipples!$A$82,VLOOKUP($A37,Nipples!$A$9:$Q$81,13,FALSE),
IF($A37&lt;Manifold!$A$33,VLOOKUP($A37,Manifold!$A$9:$M$32,7,FALSE),
IF($A37&lt;FlexibleRepairCouplings!$A$13,VLOOKUP($A37,FlexibleRepairCouplings!$A$10:$M$12,7,FALSE),
IF($A37&lt;DuraFix!$A$15,VLOOKUP($A37,DuraFix!$A$9:$M$14,7,FALSE),
IF($A37&lt;'Compression Fittings'!$A$16,VLOOKUP($A37,'Compression Fittings'!$A$8:$M$15,7,FALSE),
IF($A37&lt;'Hose Fittings'!$A$30,VLOOKUP($A37,'Hose Fittings'!$A$8:$M$29,7,FALSE),
IF($A37&lt;'Swing Joints'!$A$496,VLOOKUP($A37,'Swing Joints'!$A$9:$M$495,7,FALSE),
IF($A37&lt;'Swing Joints Components'!$A$135,VLOOKUP($A37,'Swing Joints Components'!$A$9:$M$134,7,FALSE),
IF($A37&lt;Nonstandard!$A$42,VLOOKUP($A37,Nonstandard!$A$31:$J$41,3,FALSE),"")))))))))))))))))))))))))))),"")</f>
        <v/>
      </c>
      <c r="I37" s="587"/>
      <c r="J37" s="383" t="str">
        <f t="shared" si="1"/>
        <v/>
      </c>
      <c r="K37" s="417" t="str">
        <f>IFERROR(IF($A37&lt;'DWV PVC'!$A$285,VLOOKUP($A37,'DWV PVC'!$A$8:$M$284,10,FALSE),
IF($A37&lt;'DWV ABS'!$A$117,VLOOKUP($A37,'DWV ABS'!$A$8:$M$116,10,FALSE),
IF($A37&lt;'PVC SCH40'!$A$376,VLOOKUP($A37,'PVC SCH40'!$A$8:$M$375,10,FALSE),
IF($A37&lt;'PVC SCH40 LD'!$A$22,VLOOKUP($A37,'PVC SCH40 LD'!$A$8:$M$21,10,FALSE),
IF($A37&lt;'Pool &amp; SPA Sweep Elbows'!$A$12,VLOOKUP($A37,'Pool &amp; SPA Sweep Elbows'!$A$8:$M$11,10,FALSE),
IF($A37&lt;'Pool &amp; SPA Pipe Extender'!$A$11,VLOOKUP($A37,'Pool &amp; SPA Pipe Extender'!$A$8:$M$10,10,FALSE),
IF($A37&lt;'PVC SCH80'!$A$250,VLOOKUP($A37,'PVC SCH80'!$A$8:$M$249,10,FALSE),
IF($A37&lt;'PVC SCH80 Flange'!$A$49,VLOOKUP($A37,'PVC SCH80 Flange'!$A$8:$M$48,10,FALSE),
IF($A37&lt;'PVC SCH80 LD Flange'!$A$17,VLOOKUP($A37,'PVC SCH80 LD Flange'!$A$8:$M$16,10,FALSE),
IF($A37&lt;CPVC!$A$100,VLOOKUP($A37,CPVC!$A$8:$M$99,10,FALSE),
IF($A37&lt;InsertFittings!$A$237,VLOOKUP($A37,InsertFittings!$A$11:$M$236,10,FALSE),
IF($A37&lt;Valves!$A$132,VLOOKUP($A37,Valves!$A$8:$M$131,10,FALSE),
IF($A37&lt;SDR35SW!$A$124,VLOOKUP($A37,SDR35SW!$A$8:$M$123,10,FALSE),
IF($A37&lt;SDR35G!$A$143,VLOOKUP($A37, SDR35G!$A$8:$M$142,10,FALSE),
IF($A37&lt;SDR26G!$A$61,VLOOKUP($A37,SDR26G!$A$8:$N$60,11,FALSE),
IF($A37&lt;Cements!$A$100,VLOOKUP($A37,Cements!$A$8:$Q$99,14,FALSE),
IF($A37&lt;ValveBox!$A$143,VLOOKUP($A37,ValveBox!$A$10:$O$142,12,FALSE),
IF($A37&lt;'ValveBox Components'!$A$165,VLOOKUP($A37,'ValveBox Components'!$A$10:$O$164,12,FALSE),
IF($A37&lt;Drainage!$A$92,VLOOKUP($A37,Drainage!$A$8:$M$91,10,FALSE),
IF($A37&lt;Nipples!$A$82,VLOOKUP($A37,Nipples!$A$9:$Q$81,14,FALSE),
IF($A37&lt;Manifold!$A$33,VLOOKUP($A37,Manifold!$A$9:$M$32,10,FALSE),
IF($A37&lt;FlexibleRepairCouplings!$A$13,VLOOKUP($A37,FlexibleRepairCouplings!$A$10:$M$12,10,FALSE),
IF($A37&lt;DuraFix!$A$15,VLOOKUP($A37,DuraFix!$A$9:$M$14,10,FALSE),
IF($A37&lt;'Compression Fittings'!$A$16,VLOOKUP($A37,'Compression Fittings'!$A$8:$M$15,10,FALSE),
IF($A37&lt;'Hose Fittings'!$A$30,VLOOKUP($A37,'Hose Fittings'!$A$8:$M$29,10,FALSE),
IF($A37&lt;'Swing Joints'!$A$496,VLOOKUP($A37,'Swing Joints'!$A$9:$M$495,10,FALSE),
IF($A37&lt;'Swing Joints Components'!$A$135,VLOOKUP($A37,'Swing Joints Components'!$A$9:$M$134,10,FALSE),
IF($A37&lt;Nonstandard!$A$42,VLOOKUP($A37,Nonstandard!$A$31:$J$41,10,FALSE),"")))))))))))))))))))))))))))),"")</f>
        <v/>
      </c>
      <c r="L37" s="418" t="str">
        <f t="shared" si="0"/>
        <v>-</v>
      </c>
      <c r="M37" s="419"/>
    </row>
    <row r="38" spans="1:13" ht="15.75">
      <c r="A38" s="420">
        <v>6</v>
      </c>
      <c r="B38" s="420" t="str">
        <f>IFERROR(IF($A38&lt;'DWV PVC'!$A$285,VLOOKUP($A38,'DWV PVC'!$A$8:$M$284,4,FALSE),
IF($A38&lt;'DWV ABS'!$A$117,VLOOKUP($A38,'DWV ABS'!$A$8:$M$116,4,FALSE),
IF($A38&lt;'PVC SCH40'!$A$376,VLOOKUP($A38,'PVC SCH40'!$A$8:$M$375,4,FALSE),
IF($A38&lt;'PVC SCH40 LD'!$A$22,VLOOKUP($A38,'PVC SCH40 LD'!$A$8:$M$21,4,FALSE),
IF($A38&lt;'Pool &amp; SPA Sweep Elbows'!$A$12,VLOOKUP($A38,'Pool &amp; SPA Sweep Elbows'!$A$8:$M$11,4,FALSE),
IF($A38&lt;'Pool &amp; SPA Pipe Extender'!$A$11,VLOOKUP($A38,'Pool &amp; SPA Pipe Extender'!$A$8:$M$10,4,FALSE),
IF($A38&lt;'PVC SCH80'!$A$250,VLOOKUP($A38,'PVC SCH80'!$A$8:$M$249,4,FALSE),
IF($A38&lt;'PVC SCH80 Flange'!$A$49,VLOOKUP($A38,'PVC SCH80 Flange'!$A$8:$M$48,4,FALSE),
IF($A38&lt;'PVC SCH80 LD Flange'!$A$17,VLOOKUP($A38,'PVC SCH80 LD Flange'!$A$8:$M$16,4,FALSE),
IF($A38&lt;CPVC!$A$100,VLOOKUP($A38,CPVC!$A$8:$M$99,4,FALSE),
IF($A38&lt;InsertFittings!$A$237,VLOOKUP($A38,InsertFittings!$A$11:$M$236,4,FALSE),
IF($A38&lt;Valves!$A$132,VLOOKUP($A38,Valves!$A$8:$M$131,4,FALSE),
IF($A38&lt;SDR35SW!$A$124,VLOOKUP($A38,SDR35SW!$A$8:$M$123,4,FALSE),
IF($A38&lt;SDR35G!$A$143,VLOOKUP($A38, SDR35G!$A$8:$M$142,4,FALSE),
IF($A38&lt;SDR26G!$A$61,VLOOKUP($A38,SDR26G!$A$8:$N$60,4,FALSE),
IF($A38&lt;Cements!$A$100,VLOOKUP($A38,Cements!$A$8:$Q$99,4,FALSE),
IF($A38&lt;ValveBox!$A$143,VLOOKUP($A38,ValveBox!$A$10:$O$142,4,FALSE),
IF($A38&lt;'ValveBox Components'!$A$165,VLOOKUP($A38,'ValveBox Components'!$A$10:$O$164,4,FALSE),
IF($A38&lt;Drainage!$A$92,VLOOKUP($A38,Drainage!$A$8:$M$91,4,FALSE),
IF($A38&lt;Nipples!$A$82,VLOOKUP($A38,Nipples!$A$9:$Q$81,4,FALSE),
IF($A38&lt;Manifold!$A$33,VLOOKUP($A38,Manifold!$A$9:$M$32,4,FALSE),
IF($A38&lt;FlexibleRepairCouplings!$A$13,VLOOKUP($A38,FlexibleRepairCouplings!$A$10:$M$12,4,FALSE),
IF($A38&lt;DuraFix!$A$15,VLOOKUP($A38,DuraFix!$A$9:$M$14,4,FALSE),
IF($A38&lt;'Compression Fittings'!$A$16,VLOOKUP($A38,'Compression Fittings'!$A$8:$M$15,4,FALSE),
IF($A38&lt;'Hose Fittings'!$A$30,VLOOKUP($A38,'Hose Fittings'!$A$8:$M$29,4,FALSE),
IF($A38&lt;'Swing Joints'!$A$496,VLOOKUP($A38,'Swing Joints'!$A$9:$M$495,4,FALSE),
IF($A38&lt;'Swing Joints Components'!$A$135,VLOOKUP($A38,'Swing Joints Components'!$A$9:$M$134,4,FALSE),
IF($A38&lt;Nonstandard!$A$42,VLOOKUP($A38,Nonstandard!$A$31:$J$41,5,FALSE),"")))))))))))))))))))))))))))),"")</f>
        <v/>
      </c>
      <c r="C38" s="420" t="str">
        <f>IFERROR(IF($A38&lt;'DWV PVC'!$A$285,VLOOKUP($A38,'DWV PVC'!$A$8:$M$284,5,FALSE),
IF($A38&lt;'DWV ABS'!$A$117,VLOOKUP($A38,'DWV ABS'!$A$8:$M$116,5,FALSE),
IF($A38&lt;'PVC SCH40'!$A$376,VLOOKUP($A38,'PVC SCH40'!$A$8:$M$375,5,FALSE),
IF($A38&lt;'PVC SCH40 LD'!$A$22,VLOOKUP($A38,'PVC SCH40 LD'!$A$8:$M$21,5,FALSE),
IF($A38&lt;'Pool &amp; SPA Sweep Elbows'!$A$12,VLOOKUP($A38,'Pool &amp; SPA Sweep Elbows'!$A$8:$M$11,5,FALSE),
IF($A38&lt;'Pool &amp; SPA Pipe Extender'!$A$11,VLOOKUP($A38,'Pool &amp; SPA Pipe Extender'!$A$8:$M$10,5,FALSE),
IF($A38&lt;'PVC SCH80'!$A$250,VLOOKUP($A38,'PVC SCH80'!$A$8:$M$249,5,FALSE),
IF($A38&lt;'PVC SCH80 Flange'!$A$49,VLOOKUP($A38,'PVC SCH80 Flange'!$A$8:$M$48,5,FALSE),
IF($A38&lt;'PVC SCH80 LD Flange'!$A$17,VLOOKUP($A38,'PVC SCH80 LD Flange'!$A$8:$M$16,5,FALSE),
IF($A38&lt;CPVC!$A$100,VLOOKUP($A38,CPVC!$A$8:$M$99,5,FALSE),
IF($A38&lt;InsertFittings!$A$237,VLOOKUP($A38,InsertFittings!$A$11:$M$236,5,FALSE),
IF($A38&lt;Valves!$A$132,VLOOKUP($A38,Valves!$A$8:$M$131,5,FALSE),
IF($A38&lt;SDR35SW!$A$124,VLOOKUP($A38,SDR35SW!$A$8:$M$123,5,FALSE),
IF($A38&lt;SDR35G!$A$143,VLOOKUP($A38, SDR35G!$A$8:$M$142,5,FALSE),
IF($A38&lt;SDR26G!$A$61,VLOOKUP($A38,SDR26G!$A$8:$N$60,5,FALSE),
IF($A38&lt;Cements!$A$100,VLOOKUP($A38,Cements!$A$8:$Q$99,5,FALSE),
IF($A38&lt;ValveBox!$A$143,VLOOKUP($A38,ValveBox!$A$10:$O$142,5,FALSE),
IF($A38&lt;'ValveBox Components'!$A$165,VLOOKUP($A38,'ValveBox Components'!$A$10:$O$164,5,FALSE),
IF($A38&lt;Drainage!$A$92,VLOOKUP($A38,Drainage!$A$8:$M$91,5,FALSE),
IF($A38&lt;Nipples!$A$82,VLOOKUP($A38,Nipples!$A$9:$Q$81,5,FALSE),
IF($A38&lt;Manifold!$A$33,VLOOKUP($A38,Manifold!$A$9:$M$32,5,FALSE),
IF($A38&lt;FlexibleRepairCouplings!$A$13,VLOOKUP($A38,FlexibleRepairCouplings!$A$10:$M$12,5,FALSE),
IF($A38&lt;DuraFix!$A$15,VLOOKUP($A38,DuraFix!$A$9:$M$14,5,FALSE),
IF($A38&lt;'Compression Fittings'!$A$16,VLOOKUP($A38,'Compression Fittings'!$A$8:$M$15,5,FALSE),
IF($A38&lt;'Hose Fittings'!$A$30,VLOOKUP($A38,'Hose Fittings'!$A$8:$M$29,5,FALSE),
IF($A38&lt;'Swing Joints'!$A$496,VLOOKUP($A38,'Swing Joints'!$A$9:$M$495,5,FALSE),
IF($A38&lt;'Swing Joints Components'!$A$135,VLOOKUP($A38,'Swing Joints Components'!$A$9:$M$134,5,FALSE),
IF($A38&lt;Nonstandard!$A$42,VLOOKUP($A38,Nonstandard!$A$31:$J$41,6,FALSE),"")))))))))))))))))))))))))))),"")</f>
        <v/>
      </c>
      <c r="D38" s="428" t="str">
        <f>IFERROR(IF($A38&lt;'DWV PVC'!$A$285,VLOOKUP($A38,'DWV PVC'!$A$8:$M$284,6,FALSE),
IF($A38&lt;'DWV ABS'!$A$117,VLOOKUP($A38,'DWV ABS'!$A$8:$M$116,6,FALSE),
IF($A38&lt;'PVC SCH40'!$A$376,VLOOKUP($A38,'PVC SCH40'!$A$8:$M$375,6,FALSE),
IF($A38&lt;'PVC SCH40 LD'!$A$22,VLOOKUP($A38,'PVC SCH40 LD'!$A$8:$M$21,6,FALSE),
IF($A38&lt;'Pool &amp; SPA Sweep Elbows'!$A$12,VLOOKUP($A38,'Pool &amp; SPA Sweep Elbows'!$A$8:$M$11,6,FALSE),
IF($A38&lt;'Pool &amp; SPA Pipe Extender'!$A$11,VLOOKUP($A38,'Pool &amp; SPA Pipe Extender'!$A$8:$M$10,6,FALSE),
IF($A38&lt;'PVC SCH80'!$A$250,VLOOKUP($A38,'PVC SCH80'!$A$8:$M$249,6,FALSE),
IF($A38&lt;'PVC SCH80 Flange'!$A$49,VLOOKUP($A38,'PVC SCH80 Flange'!$A$8:$M$48,6,FALSE),
IF($A38&lt;'PVC SCH80 LD Flange'!$A$17,VLOOKUP($A38,'PVC SCH80 LD Flange'!$A$8:$M$16,6,FALSE),
IF($A38&lt;CPVC!$A$100,VLOOKUP($A38,CPVC!$A$8:$M$99,6,FALSE),
IF($A38&lt;InsertFittings!$A$237,VLOOKUP($A38,InsertFittings!$A$11:$M$236,6,FALSE),
IF($A38&lt;Valves!$A$132,VLOOKUP($A38,Valves!$A$8:$M$131,6,FALSE),
IF($A38&lt;SDR35SW!$A$124,VLOOKUP($A38,SDR35SW!$A$8:$M$123,6,FALSE),
IF($A38&lt;SDR35G!$A$143,VLOOKUP($A38, SDR35G!$A$8:$M$142,6,FALSE),
IF($A38&lt;SDR26G!$A$61,VLOOKUP($A38,SDR26G!$A$8:$N$60,6,FALSE),
IF($A38&lt;Cements!$A$100,VLOOKUP($A38,Cements!$A$8:$Q$99,6,FALSE),
IF($A38&lt;ValveBox!$A$143,VLOOKUP($A38,ValveBox!$A$10:$O$142,6,FALSE),
IF($A38&lt;'ValveBox Components'!$A$165,VLOOKUP($A38,'ValveBox Components'!$A$10:$O$164,6,FALSE),
IF($A38&lt;Drainage!$A$92,VLOOKUP($A38,Drainage!$A$8:$M$91,6,FALSE),
IF($A38&lt;Nipples!$A$82,VLOOKUP($A38,Nipples!$A$9:$Q$81,6,FALSE),
IF($A38&lt;Manifold!$A$33,VLOOKUP($A38,Manifold!$A$9:$M$32,6,FALSE),
IF($A38&lt;FlexibleRepairCouplings!$A$13,VLOOKUP($A38,FlexibleRepairCouplings!$A$10:$M$12,6,FALSE),
IF($A38&lt;DuraFix!$A$15,VLOOKUP($A38,DuraFix!$A$9:$M$14,6,FALSE),
IF($A38&lt;'Compression Fittings'!$A$16,VLOOKUP($A38,'Compression Fittings'!$A$8:$M$15,6,FALSE),
IF($A38&lt;'Hose Fittings'!$A$30,VLOOKUP($A38,'Hose Fittings'!$A$8:$M$29,6,FALSE),
IF($A38&lt;'Swing Joints'!$A$496,VLOOKUP($A38,'Swing Joints'!$A$9:$M$495,6,FALSE),
IF($A38&lt;'Swing Joints Components'!$A$135,VLOOKUP($A38,'Swing Joints Components'!$A$9:$M$134,6,FALSE),
IF($A38&lt;Nonstandard!$A$42,VLOOKUP($A38,Nonstandard!$A$31:$J$41,7,FALSE),"")))))))))))))))))))))))))))),"")</f>
        <v/>
      </c>
      <c r="E38" s="429"/>
      <c r="F38" s="421" t="str">
        <f>IFERROR(IF($A38&lt;'DWV PVC'!$A$285,VLOOKUP($A38,'DWV PVC'!$A$8:$M$284,9,FALSE),
IF($A38&lt;'DWV ABS'!$A$117,VLOOKUP($A38,'DWV ABS'!$A$8:$M$116,9,FALSE),
IF($A38&lt;'PVC SCH40'!$A$376,VLOOKUP($A38,'PVC SCH40'!$A$8:$M$375,9,FALSE),
IF($A38&lt;'PVC SCH40 LD'!$A$22,VLOOKUP($A38,'PVC SCH40 LD'!$A$8:$M$21,9,FALSE),
IF($A38&lt;'Pool &amp; SPA Sweep Elbows'!$A$12,VLOOKUP($A38,'Pool &amp; SPA Sweep Elbows'!$A$8:$M$11,9,FALSE),
IF($A38&lt;'Pool &amp; SPA Pipe Extender'!$A$11,VLOOKUP($A38,'Pool &amp; SPA Pipe Extender'!$A$8:$M$10,9,FALSE),
IF($A38&lt;'PVC SCH80'!$A$250,VLOOKUP($A38,'PVC SCH80'!$A$8:$M$249,9,FALSE),
IF($A38&lt;'PVC SCH80 Flange'!$A$49,VLOOKUP($A38,'PVC SCH80 Flange'!$A$8:$M$48,9,FALSE),
IF($A38&lt;'PVC SCH80 LD Flange'!$A$17,VLOOKUP($A38,'PVC SCH80 LD Flange'!$A$8:$M$16,9,FALSE),
IF($A38&lt;CPVC!$A$100,VLOOKUP($A38,CPVC!$A$8:$M$99,9,FALSE),
IF($A38&lt;InsertFittings!$A$237,VLOOKUP($A38,InsertFittings!$A$11:$M$236,9,FALSE),
IF($A38&lt;Valves!$A$132,VLOOKUP($A38,Valves!$A$8:$M$131,9,FALSE),
IF($A38&lt;SDR35SW!$A$124,VLOOKUP($A38,SDR35SW!$A$8:$M$123,9,FALSE),
IF($A38&lt;SDR35G!$A$143,VLOOKUP($A38, SDR35G!$A$8:$M$142,9,FALSE),
IF($A38&lt;SDR26G!$A$61,VLOOKUP($A38,SDR26G!$A$8:$N$60,10,FALSE),
IF($A38&lt;Cements!$A$100,VLOOKUP($A38,Cements!$A$8:$Q$99,13,FALSE),
IF($A38&lt;ValveBox!$A$143,VLOOKUP($A38,ValveBox!$A$10:$O$142,11,FALSE),
IF($A38&lt;'ValveBox Components'!$A$165,VLOOKUP($A38,'ValveBox Components'!$A$10:$O$164,11,FALSE),
IF($A38&lt;Drainage!$A$92,VLOOKUP($A38,Drainage!$A$8:$M$91,9,FALSE),
IF($A38&lt;Nipples!$A$82,VLOOKUP($A38,Nipples!$A$9:$Q$81,13,FALSE),
IF($A38&lt;Manifold!$A$33,VLOOKUP($A38,Manifold!$A$9:$M$32,9,FALSE),
IF($A38&lt;FlexibleRepairCouplings!$A$13,VLOOKUP($A38,FlexibleRepairCouplings!$A$10:$M$12,9,FALSE),
IF($A38&lt;DuraFix!$A$15,VLOOKUP($A38,DuraFix!$A$9:$M$14,9,FALSE),
IF($A38&lt;'Compression Fittings'!$A$16,VLOOKUP($A38,'Compression Fittings'!$A$8:$M$15,9,FALSE),
IF($A38&lt;'Hose Fittings'!$A$30,VLOOKUP($A38,'Hose Fittings'!$A$8:$M$29,9,FALSE),
IF($A38&lt;'Swing Joints'!$A$496,VLOOKUP($A38,'Swing Joints'!$A$9:$M$495,9,FALSE),
IF($A38&lt;'Swing Joints Components'!$A$135,VLOOKUP($A38,'Swing Joints Components'!$A$9:$M$134,9,FALSE),
IF($A38&lt;Nonstandard!$A$42,VLOOKUP($A38,Nonstandard!$A$31:$J$41,8,FALSE),"")))))))))))))))))))))))))))),"")</f>
        <v/>
      </c>
      <c r="G38" s="422" t="str">
        <f>IFERROR(IF($A38&lt;'DWV PVC'!$A$285,VLOOKUP($A38,'DWV PVC'!$A$8:$M$284,11,FALSE),
IF($A38&lt;'DWV ABS'!$A$117,VLOOKUP($A38,'DWV ABS'!$A$8:$M$116,11,FALSE),
IF($A38&lt;'PVC SCH40'!$A$376,VLOOKUP($A38,'PVC SCH40'!$A$8:$M$375,11,FALSE),
IF($A38&lt;'PVC SCH40 LD'!$A$22,VLOOKUP($A38,'PVC SCH40 LD'!$A$8:$M$21,11,FALSE),
IF($A38&lt;'Pool &amp; SPA Sweep Elbows'!$A$12,VLOOKUP($A38,'Pool &amp; SPA Sweep Elbows'!$A$8:$M$11,11,FALSE),
IF($A38&lt;'Pool &amp; SPA Pipe Extender'!$A$11,VLOOKUP($A38,'Pool &amp; SPA Pipe Extender'!$A$8:$M$10,11,FALSE),
IF($A38&lt;'PVC SCH80'!$A$250,VLOOKUP($A38,'PVC SCH80'!$A$8:$M$249,11,FALSE),
IF($A38&lt;'PVC SCH80 Flange'!$A$49,VLOOKUP($A38,'PVC SCH80 Flange'!$A$8:$M$48,11,FALSE),
IF($A38&lt;'PVC SCH80 LD Flange'!$A$17,VLOOKUP($A38,'PVC SCH80 LD Flange'!$A$8:$M$16,11,FALSE),
IF($A38&lt;CPVC!$A$100,VLOOKUP($A38,CPVC!$A$8:$M$99,11,FALSE),
IF($A38&lt;InsertFittings!$A$237,VLOOKUP($A38,InsertFittings!$A$11:$M$236,11,FALSE),
IF($A38&lt;Valves!$A$132,VLOOKUP($A38,Valves!$A$8:$M$131,11,FALSE),
IF($A38&lt;SDR35SW!$A$124,VLOOKUP($A38,SDR35SW!$A$8:$M$123,11,FALSE),
IF($A38&lt;SDR35G!$A$143,VLOOKUP($A38, SDR35G!$A$8:$M$142,11,FALSE),
IF($A38&lt;SDR26G!$A$61,VLOOKUP($A38,SDR26G!$A$8:$N$60,12,FALSE),
IF($A38&lt;Cements!$A$100,VLOOKUP($A38,Cements!$A$8:$Q$99,15,FALSE),
IF($A38&lt;ValveBox!$A$143,VLOOKUP($A38,ValveBox!$A$10:$O$142,13,FALSE),
IF($A38&lt;'ValveBox Components'!$A$165,VLOOKUP($A38,'ValveBox Components'!$A$10:$O$164,13,FALSE),
IF($A38&lt;Drainage!$A$92,VLOOKUP($A38,Drainage!$A$8:$M$91,11,FALSE),
IF($A38&lt;Nipples!$A$82,VLOOKUP($A38,Nipples!$A$9:$Q$81,15,FALSE),
IF($A38&lt;Manifold!$A$33,VLOOKUP($A38,Manifold!$A$9:$M$32,11,FALSE),
IF($A38&lt;FlexibleRepairCouplings!$A$13,VLOOKUP($A38,FlexibleRepairCouplings!$A$10:$M$12,11,FALSE),
IF($A38&lt;DuraFix!$A$15,VLOOKUP($A38,DuraFix!$A$9:$M$14,11,FALSE),
IF($A38&lt;'Compression Fittings'!$A$16,VLOOKUP($A38,'Compression Fittings'!$A$8:$M$15,11,FALSE),
IF($A38&lt;'Hose Fittings'!$A$30,VLOOKUP($A38,'Hose Fittings'!$A$8:$M$29,11,FALSE),
IF($A38&lt;'Swing Joints'!$A$496,VLOOKUP($A38,'Swing Joints'!$A$9:$M$495,11,FALSE),
IF($A38&lt;'Swing Joints Components'!$A$135,VLOOKUP($A38,'Swing Joints Components'!$A$9:$M$134,11,FALSE),
IF($A38&lt;Nonstandard!$A$42,VLOOKUP($A38,Nonstandard!$A$31:$J$41,3,FALSE),"")))))))))))))))))))))))))))),"")</f>
        <v/>
      </c>
      <c r="H38" s="588" t="str">
        <f>IFERROR(IF($A38&lt;'DWV PVC'!$A$285,VLOOKUP($A38,'DWV PVC'!$A$8:$M$284,7,FALSE),
IF($A38&lt;'DWV ABS'!$A$117,VLOOKUP($A38,'DWV ABS'!$A$8:$M$116,7,FALSE),
IF($A38&lt;'PVC SCH40'!$A$376,VLOOKUP($A38,'PVC SCH40'!$A$8:$M$375,7,FALSE),
IF($A38&lt;'PVC SCH40 LD'!$A$22,VLOOKUP($A38,'PVC SCH40 LD'!$A$8:$M$21,7,FALSE),
IF($A38&lt;'Pool &amp; SPA Sweep Elbows'!$A$12,VLOOKUP($A38,'Pool &amp; SPA Sweep Elbows'!$A$8:$M$11,7,FALSE),
IF($A38&lt;'Pool &amp; SPA Pipe Extender'!$A$11,VLOOKUP($A38,'Pool &amp; SPA Pipe Extender'!$A$8:$M$10,7,FALSE),
IF($A38&lt;'PVC SCH80'!$A$250,VLOOKUP($A38,'PVC SCH80'!$A$8:$M$249,7,FALSE),
IF($A38&lt;'PVC SCH80 Flange'!$A$49,VLOOKUP($A38,'PVC SCH80 Flange'!$A$8:$M$48,7,FALSE),
IF($A38&lt;'PVC SCH80 LD Flange'!$A$17,VLOOKUP($A38,'PVC SCH80 LD Flange'!$A$8:$M$16,7,FALSE),
IF($A38&lt;CPVC!$A$100,VLOOKUP($A38,CPVC!$A$8:$M$99,7,FALSE),
IF($A38&lt;InsertFittings!$A$237,VLOOKUP($A38,InsertFittings!$A$11:$M$236,7,FALSE),
IF($A38&lt;Valves!$A$132,VLOOKUP($A38,Valves!$A$8:$M$131,7,FALSE),
IF($A38&lt;SDR35SW!$A$124,VLOOKUP($A38,SDR35SW!$A$8:$M$123,7,FALSE),
IF($A38&lt;SDR35G!$A$143,VLOOKUP($A38, SDR35G!$A$8:$M$142,7,FALSE),
IF($A38&lt;SDR26G!$A$61,VLOOKUP($A38,SDR26G!$A$8:$N$60,10,FALSE),
IF($A38&lt;Cements!$A$100,VLOOKUP($A38,Cements!$A$8:$Q$99,13,FALSE),
IF($A38&lt;ValveBox!$A$143,VLOOKUP($A38,ValveBox!$A$10:$O$142,11,FALSE),
IF($A38&lt;'ValveBox Components'!$A$165,VLOOKUP($A38,'ValveBox Components'!$A$10:$O$164,11,FALSE),
IF($A38&lt;Drainage!$A$92,VLOOKUP($A38,Drainage!$A$8:$M$91,7,FALSE),
IF($A38&lt;Nipples!$A$82,VLOOKUP($A38,Nipples!$A$9:$Q$81,13,FALSE),
IF($A38&lt;Manifold!$A$33,VLOOKUP($A38,Manifold!$A$9:$M$32,7,FALSE),
IF($A38&lt;FlexibleRepairCouplings!$A$13,VLOOKUP($A38,FlexibleRepairCouplings!$A$10:$M$12,7,FALSE),
IF($A38&lt;DuraFix!$A$15,VLOOKUP($A38,DuraFix!$A$9:$M$14,7,FALSE),
IF($A38&lt;'Compression Fittings'!$A$16,VLOOKUP($A38,'Compression Fittings'!$A$8:$M$15,7,FALSE),
IF($A38&lt;'Hose Fittings'!$A$30,VLOOKUP($A38,'Hose Fittings'!$A$8:$M$29,7,FALSE),
IF($A38&lt;'Swing Joints'!$A$496,VLOOKUP($A38,'Swing Joints'!$A$9:$M$495,7,FALSE),
IF($A38&lt;'Swing Joints Components'!$A$135,VLOOKUP($A38,'Swing Joints Components'!$A$9:$M$134,7,FALSE),
IF($A38&lt;Nonstandard!$A$42,VLOOKUP($A38,Nonstandard!$A$31:$J$41,3,FALSE),"")))))))))))))))))))))))))))),"")</f>
        <v/>
      </c>
      <c r="I38" s="589"/>
      <c r="J38" s="423" t="str">
        <f t="shared" si="1"/>
        <v/>
      </c>
      <c r="K38" s="424" t="str">
        <f>IFERROR(IF($A38&lt;'DWV PVC'!$A$285,VLOOKUP($A38,'DWV PVC'!$A$8:$M$284,10,FALSE),
IF($A38&lt;'DWV ABS'!$A$117,VLOOKUP($A38,'DWV ABS'!$A$8:$M$116,10,FALSE),
IF($A38&lt;'PVC SCH40'!$A$376,VLOOKUP($A38,'PVC SCH40'!$A$8:$M$375,10,FALSE),
IF($A38&lt;'PVC SCH40 LD'!$A$22,VLOOKUP($A38,'PVC SCH40 LD'!$A$8:$M$21,10,FALSE),
IF($A38&lt;'Pool &amp; SPA Sweep Elbows'!$A$12,VLOOKUP($A38,'Pool &amp; SPA Sweep Elbows'!$A$8:$M$11,10,FALSE),
IF($A38&lt;'Pool &amp; SPA Pipe Extender'!$A$11,VLOOKUP($A38,'Pool &amp; SPA Pipe Extender'!$A$8:$M$10,10,FALSE),
IF($A38&lt;'PVC SCH80'!$A$250,VLOOKUP($A38,'PVC SCH80'!$A$8:$M$249,10,FALSE),
IF($A38&lt;'PVC SCH80 Flange'!$A$49,VLOOKUP($A38,'PVC SCH80 Flange'!$A$8:$M$48,10,FALSE),
IF($A38&lt;'PVC SCH80 LD Flange'!$A$17,VLOOKUP($A38,'PVC SCH80 LD Flange'!$A$8:$M$16,10,FALSE),
IF($A38&lt;CPVC!$A$100,VLOOKUP($A38,CPVC!$A$8:$M$99,10,FALSE),
IF($A38&lt;InsertFittings!$A$237,VLOOKUP($A38,InsertFittings!$A$11:$M$236,10,FALSE),
IF($A38&lt;Valves!$A$132,VLOOKUP($A38,Valves!$A$8:$M$131,10,FALSE),
IF($A38&lt;SDR35SW!$A$124,VLOOKUP($A38,SDR35SW!$A$8:$M$123,10,FALSE),
IF($A38&lt;SDR35G!$A$143,VLOOKUP($A38, SDR35G!$A$8:$M$142,10,FALSE),
IF($A38&lt;SDR26G!$A$61,VLOOKUP($A38,SDR26G!$A$8:$N$60,11,FALSE),
IF($A38&lt;Cements!$A$100,VLOOKUP($A38,Cements!$A$8:$Q$99,14,FALSE),
IF($A38&lt;ValveBox!$A$143,VLOOKUP($A38,ValveBox!$A$10:$O$142,12,FALSE),
IF($A38&lt;'ValveBox Components'!$A$165,VLOOKUP($A38,'ValveBox Components'!$A$10:$O$164,12,FALSE),
IF($A38&lt;Drainage!$A$92,VLOOKUP($A38,Drainage!$A$8:$M$91,10,FALSE),
IF($A38&lt;Nipples!$A$82,VLOOKUP($A38,Nipples!$A$9:$Q$81,14,FALSE),
IF($A38&lt;Manifold!$A$33,VLOOKUP($A38,Manifold!$A$9:$M$32,10,FALSE),
IF($A38&lt;FlexibleRepairCouplings!$A$13,VLOOKUP($A38,FlexibleRepairCouplings!$A$10:$M$12,10,FALSE),
IF($A38&lt;DuraFix!$A$15,VLOOKUP($A38,DuraFix!$A$9:$M$14,10,FALSE),
IF($A38&lt;'Compression Fittings'!$A$16,VLOOKUP($A38,'Compression Fittings'!$A$8:$M$15,10,FALSE),
IF($A38&lt;'Hose Fittings'!$A$30,VLOOKUP($A38,'Hose Fittings'!$A$8:$M$29,10,FALSE),
IF($A38&lt;'Swing Joints'!$A$496,VLOOKUP($A38,'Swing Joints'!$A$9:$M$495,10,FALSE),
IF($A38&lt;'Swing Joints Components'!$A$135,VLOOKUP($A38,'Swing Joints Components'!$A$9:$M$134,10,FALSE),
IF($A38&lt;Nonstandard!$A$42,VLOOKUP($A38,Nonstandard!$A$31:$J$41,10,FALSE),"")))))))))))))))))))))))))))),"")</f>
        <v/>
      </c>
      <c r="L38" s="421" t="str">
        <f t="shared" si="0"/>
        <v>-</v>
      </c>
      <c r="M38" s="425"/>
    </row>
    <row r="39" spans="1:13" ht="15.75">
      <c r="A39" s="415">
        <v>7</v>
      </c>
      <c r="B39" s="415" t="str">
        <f>IFERROR(IF($A39&lt;'DWV PVC'!$A$285,VLOOKUP($A39,'DWV PVC'!$A$8:$M$284,4,FALSE),
IF($A39&lt;'DWV ABS'!$A$117,VLOOKUP($A39,'DWV ABS'!$A$8:$M$116,4,FALSE),
IF($A39&lt;'PVC SCH40'!$A$376,VLOOKUP($A39,'PVC SCH40'!$A$8:$M$375,4,FALSE),
IF($A39&lt;'PVC SCH40 LD'!$A$22,VLOOKUP($A39,'PVC SCH40 LD'!$A$8:$M$21,4,FALSE),
IF($A39&lt;'Pool &amp; SPA Sweep Elbows'!$A$12,VLOOKUP($A39,'Pool &amp; SPA Sweep Elbows'!$A$8:$M$11,4,FALSE),
IF($A39&lt;'Pool &amp; SPA Pipe Extender'!$A$11,VLOOKUP($A39,'Pool &amp; SPA Pipe Extender'!$A$8:$M$10,4,FALSE),
IF($A39&lt;'PVC SCH80'!$A$250,VLOOKUP($A39,'PVC SCH80'!$A$8:$M$249,4,FALSE),
IF($A39&lt;'PVC SCH80 Flange'!$A$49,VLOOKUP($A39,'PVC SCH80 Flange'!$A$8:$M$48,4,FALSE),
IF($A39&lt;'PVC SCH80 LD Flange'!$A$17,VLOOKUP($A39,'PVC SCH80 LD Flange'!$A$8:$M$16,4,FALSE),
IF($A39&lt;CPVC!$A$100,VLOOKUP($A39,CPVC!$A$8:$M$99,4,FALSE),
IF($A39&lt;InsertFittings!$A$237,VLOOKUP($A39,InsertFittings!$A$11:$M$236,4,FALSE),
IF($A39&lt;Valves!$A$132,VLOOKUP($A39,Valves!$A$8:$M$131,4,FALSE),
IF($A39&lt;SDR35SW!$A$124,VLOOKUP($A39,SDR35SW!$A$8:$M$123,4,FALSE),
IF($A39&lt;SDR35G!$A$143,VLOOKUP($A39, SDR35G!$A$8:$M$142,4,FALSE),
IF($A39&lt;SDR26G!$A$61,VLOOKUP($A39,SDR26G!$A$8:$N$60,4,FALSE),
IF($A39&lt;Cements!$A$100,VLOOKUP($A39,Cements!$A$8:$Q$99,4,FALSE),
IF($A39&lt;ValveBox!$A$143,VLOOKUP($A39,ValveBox!$A$10:$O$142,4,FALSE),
IF($A39&lt;'ValveBox Components'!$A$165,VLOOKUP($A39,'ValveBox Components'!$A$10:$O$164,4,FALSE),
IF($A39&lt;Drainage!$A$92,VLOOKUP($A39,Drainage!$A$8:$M$91,4,FALSE),
IF($A39&lt;Nipples!$A$82,VLOOKUP($A39,Nipples!$A$9:$Q$81,4,FALSE),
IF($A39&lt;Manifold!$A$33,VLOOKUP($A39,Manifold!$A$9:$M$32,4,FALSE),
IF($A39&lt;FlexibleRepairCouplings!$A$13,VLOOKUP($A39,FlexibleRepairCouplings!$A$10:$M$12,4,FALSE),
IF($A39&lt;DuraFix!$A$15,VLOOKUP($A39,DuraFix!$A$9:$M$14,4,FALSE),
IF($A39&lt;'Compression Fittings'!$A$16,VLOOKUP($A39,'Compression Fittings'!$A$8:$M$15,4,FALSE),
IF($A39&lt;'Hose Fittings'!$A$30,VLOOKUP($A39,'Hose Fittings'!$A$8:$M$29,4,FALSE),
IF($A39&lt;'Swing Joints'!$A$496,VLOOKUP($A39,'Swing Joints'!$A$9:$M$495,4,FALSE),
IF($A39&lt;'Swing Joints Components'!$A$135,VLOOKUP($A39,'Swing Joints Components'!$A$9:$M$134,4,FALSE),
IF($A39&lt;Nonstandard!$A$42,VLOOKUP($A39,Nonstandard!$A$31:$J$41,5,FALSE),"")))))))))))))))))))))))))))),"")</f>
        <v/>
      </c>
      <c r="C39" s="415" t="str">
        <f>IFERROR(IF($A39&lt;'DWV PVC'!$A$285,VLOOKUP($A39,'DWV PVC'!$A$8:$M$284,5,FALSE),
IF($A39&lt;'DWV ABS'!$A$117,VLOOKUP($A39,'DWV ABS'!$A$8:$M$116,5,FALSE),
IF($A39&lt;'PVC SCH40'!$A$376,VLOOKUP($A39,'PVC SCH40'!$A$8:$M$375,5,FALSE),
IF($A39&lt;'PVC SCH40 LD'!$A$22,VLOOKUP($A39,'PVC SCH40 LD'!$A$8:$M$21,5,FALSE),
IF($A39&lt;'Pool &amp; SPA Sweep Elbows'!$A$12,VLOOKUP($A39,'Pool &amp; SPA Sweep Elbows'!$A$8:$M$11,5,FALSE),
IF($A39&lt;'Pool &amp; SPA Pipe Extender'!$A$11,VLOOKUP($A39,'Pool &amp; SPA Pipe Extender'!$A$8:$M$10,5,FALSE),
IF($A39&lt;'PVC SCH80'!$A$250,VLOOKUP($A39,'PVC SCH80'!$A$8:$M$249,5,FALSE),
IF($A39&lt;'PVC SCH80 Flange'!$A$49,VLOOKUP($A39,'PVC SCH80 Flange'!$A$8:$M$48,5,FALSE),
IF($A39&lt;'PVC SCH80 LD Flange'!$A$17,VLOOKUP($A39,'PVC SCH80 LD Flange'!$A$8:$M$16,5,FALSE),
IF($A39&lt;CPVC!$A$100,VLOOKUP($A39,CPVC!$A$8:$M$99,5,FALSE),
IF($A39&lt;InsertFittings!$A$237,VLOOKUP($A39,InsertFittings!$A$11:$M$236,5,FALSE),
IF($A39&lt;Valves!$A$132,VLOOKUP($A39,Valves!$A$8:$M$131,5,FALSE),
IF($A39&lt;SDR35SW!$A$124,VLOOKUP($A39,SDR35SW!$A$8:$M$123,5,FALSE),
IF($A39&lt;SDR35G!$A$143,VLOOKUP($A39, SDR35G!$A$8:$M$142,5,FALSE),
IF($A39&lt;SDR26G!$A$61,VLOOKUP($A39,SDR26G!$A$8:$N$60,5,FALSE),
IF($A39&lt;Cements!$A$100,VLOOKUP($A39,Cements!$A$8:$Q$99,5,FALSE),
IF($A39&lt;ValveBox!$A$143,VLOOKUP($A39,ValveBox!$A$10:$O$142,5,FALSE),
IF($A39&lt;'ValveBox Components'!$A$165,VLOOKUP($A39,'ValveBox Components'!$A$10:$O$164,5,FALSE),
IF($A39&lt;Drainage!$A$92,VLOOKUP($A39,Drainage!$A$8:$M$91,5,FALSE),
IF($A39&lt;Nipples!$A$82,VLOOKUP($A39,Nipples!$A$9:$Q$81,5,FALSE),
IF($A39&lt;Manifold!$A$33,VLOOKUP($A39,Manifold!$A$9:$M$32,5,FALSE),
IF($A39&lt;FlexibleRepairCouplings!$A$13,VLOOKUP($A39,FlexibleRepairCouplings!$A$10:$M$12,5,FALSE),
IF($A39&lt;DuraFix!$A$15,VLOOKUP($A39,DuraFix!$A$9:$M$14,5,FALSE),
IF($A39&lt;'Compression Fittings'!$A$16,VLOOKUP($A39,'Compression Fittings'!$A$8:$M$15,5,FALSE),
IF($A39&lt;'Hose Fittings'!$A$30,VLOOKUP($A39,'Hose Fittings'!$A$8:$M$29,5,FALSE),
IF($A39&lt;'Swing Joints'!$A$496,VLOOKUP($A39,'Swing Joints'!$A$9:$M$495,5,FALSE),
IF($A39&lt;'Swing Joints Components'!$A$135,VLOOKUP($A39,'Swing Joints Components'!$A$9:$M$134,5,FALSE),
IF($A39&lt;Nonstandard!$A$42,VLOOKUP($A39,Nonstandard!$A$31:$J$41,6,FALSE),"")))))))))))))))))))))))))))),"")</f>
        <v/>
      </c>
      <c r="D39" s="426" t="str">
        <f>IFERROR(IF($A39&lt;'DWV PVC'!$A$285,VLOOKUP($A39,'DWV PVC'!$A$8:$M$284,6,FALSE),
IF($A39&lt;'DWV ABS'!$A$117,VLOOKUP($A39,'DWV ABS'!$A$8:$M$116,6,FALSE),
IF($A39&lt;'PVC SCH40'!$A$376,VLOOKUP($A39,'PVC SCH40'!$A$8:$M$375,6,FALSE),
IF($A39&lt;'PVC SCH40 LD'!$A$22,VLOOKUP($A39,'PVC SCH40 LD'!$A$8:$M$21,6,FALSE),
IF($A39&lt;'Pool &amp; SPA Sweep Elbows'!$A$12,VLOOKUP($A39,'Pool &amp; SPA Sweep Elbows'!$A$8:$M$11,6,FALSE),
IF($A39&lt;'Pool &amp; SPA Pipe Extender'!$A$11,VLOOKUP($A39,'Pool &amp; SPA Pipe Extender'!$A$8:$M$10,6,FALSE),
IF($A39&lt;'PVC SCH80'!$A$250,VLOOKUP($A39,'PVC SCH80'!$A$8:$M$249,6,FALSE),
IF($A39&lt;'PVC SCH80 Flange'!$A$49,VLOOKUP($A39,'PVC SCH80 Flange'!$A$8:$M$48,6,FALSE),
IF($A39&lt;'PVC SCH80 LD Flange'!$A$17,VLOOKUP($A39,'PVC SCH80 LD Flange'!$A$8:$M$16,6,FALSE),
IF($A39&lt;CPVC!$A$100,VLOOKUP($A39,CPVC!$A$8:$M$99,6,FALSE),
IF($A39&lt;InsertFittings!$A$237,VLOOKUP($A39,InsertFittings!$A$11:$M$236,6,FALSE),
IF($A39&lt;Valves!$A$132,VLOOKUP($A39,Valves!$A$8:$M$131,6,FALSE),
IF($A39&lt;SDR35SW!$A$124,VLOOKUP($A39,SDR35SW!$A$8:$M$123,6,FALSE),
IF($A39&lt;SDR35G!$A$143,VLOOKUP($A39, SDR35G!$A$8:$M$142,6,FALSE),
IF($A39&lt;SDR26G!$A$61,VLOOKUP($A39,SDR26G!$A$8:$N$60,6,FALSE),
IF($A39&lt;Cements!$A$100,VLOOKUP($A39,Cements!$A$8:$Q$99,6,FALSE),
IF($A39&lt;ValveBox!$A$143,VLOOKUP($A39,ValveBox!$A$10:$O$142,6,FALSE),
IF($A39&lt;'ValveBox Components'!$A$165,VLOOKUP($A39,'ValveBox Components'!$A$10:$O$164,6,FALSE),
IF($A39&lt;Drainage!$A$92,VLOOKUP($A39,Drainage!$A$8:$M$91,6,FALSE),
IF($A39&lt;Nipples!$A$82,VLOOKUP($A39,Nipples!$A$9:$Q$81,6,FALSE),
IF($A39&lt;Manifold!$A$33,VLOOKUP($A39,Manifold!$A$9:$M$32,6,FALSE),
IF($A39&lt;FlexibleRepairCouplings!$A$13,VLOOKUP($A39,FlexibleRepairCouplings!$A$10:$M$12,6,FALSE),
IF($A39&lt;DuraFix!$A$15,VLOOKUP($A39,DuraFix!$A$9:$M$14,6,FALSE),
IF($A39&lt;'Compression Fittings'!$A$16,VLOOKUP($A39,'Compression Fittings'!$A$8:$M$15,6,FALSE),
IF($A39&lt;'Hose Fittings'!$A$30,VLOOKUP($A39,'Hose Fittings'!$A$8:$M$29,6,FALSE),
IF($A39&lt;'Swing Joints'!$A$496,VLOOKUP($A39,'Swing Joints'!$A$9:$M$495,6,FALSE),
IF($A39&lt;'Swing Joints Components'!$A$135,VLOOKUP($A39,'Swing Joints Components'!$A$9:$M$134,6,FALSE),
IF($A39&lt;Nonstandard!$A$42,VLOOKUP($A39,Nonstandard!$A$31:$J$41,7,FALSE),"")))))))))))))))))))))))))))),"")</f>
        <v/>
      </c>
      <c r="E39" s="427"/>
      <c r="F39" s="418" t="str">
        <f>IFERROR(IF($A39&lt;'DWV PVC'!$A$285,VLOOKUP($A39,'DWV PVC'!$A$8:$M$284,9,FALSE),
IF($A39&lt;'DWV ABS'!$A$117,VLOOKUP($A39,'DWV ABS'!$A$8:$M$116,9,FALSE),
IF($A39&lt;'PVC SCH40'!$A$376,VLOOKUP($A39,'PVC SCH40'!$A$8:$M$375,9,FALSE),
IF($A39&lt;'PVC SCH40 LD'!$A$22,VLOOKUP($A39,'PVC SCH40 LD'!$A$8:$M$21,9,FALSE),
IF($A39&lt;'Pool &amp; SPA Sweep Elbows'!$A$12,VLOOKUP($A39,'Pool &amp; SPA Sweep Elbows'!$A$8:$M$11,9,FALSE),
IF($A39&lt;'Pool &amp; SPA Pipe Extender'!$A$11,VLOOKUP($A39,'Pool &amp; SPA Pipe Extender'!$A$8:$M$10,9,FALSE),
IF($A39&lt;'PVC SCH80'!$A$250,VLOOKUP($A39,'PVC SCH80'!$A$8:$M$249,9,FALSE),
IF($A39&lt;'PVC SCH80 Flange'!$A$49,VLOOKUP($A39,'PVC SCH80 Flange'!$A$8:$M$48,9,FALSE),
IF($A39&lt;'PVC SCH80 LD Flange'!$A$17,VLOOKUP($A39,'PVC SCH80 LD Flange'!$A$8:$M$16,9,FALSE),
IF($A39&lt;CPVC!$A$100,VLOOKUP($A39,CPVC!$A$8:$M$99,9,FALSE),
IF($A39&lt;InsertFittings!$A$237,VLOOKUP($A39,InsertFittings!$A$11:$M$236,9,FALSE),
IF($A39&lt;Valves!$A$132,VLOOKUP($A39,Valves!$A$8:$M$131,9,FALSE),
IF($A39&lt;SDR35SW!$A$124,VLOOKUP($A39,SDR35SW!$A$8:$M$123,9,FALSE),
IF($A39&lt;SDR35G!$A$143,VLOOKUP($A39, SDR35G!$A$8:$M$142,9,FALSE),
IF($A39&lt;SDR26G!$A$61,VLOOKUP($A39,SDR26G!$A$8:$N$60,10,FALSE),
IF($A39&lt;Cements!$A$100,VLOOKUP($A39,Cements!$A$8:$Q$99,13,FALSE),
IF($A39&lt;ValveBox!$A$143,VLOOKUP($A39,ValveBox!$A$10:$O$142,11,FALSE),
IF($A39&lt;'ValveBox Components'!$A$165,VLOOKUP($A39,'ValveBox Components'!$A$10:$O$164,11,FALSE),
IF($A39&lt;Drainage!$A$92,VLOOKUP($A39,Drainage!$A$8:$M$91,9,FALSE),
IF($A39&lt;Nipples!$A$82,VLOOKUP($A39,Nipples!$A$9:$Q$81,13,FALSE),
IF($A39&lt;Manifold!$A$33,VLOOKUP($A39,Manifold!$A$9:$M$32,9,FALSE),
IF($A39&lt;FlexibleRepairCouplings!$A$13,VLOOKUP($A39,FlexibleRepairCouplings!$A$10:$M$12,9,FALSE),
IF($A39&lt;DuraFix!$A$15,VLOOKUP($A39,DuraFix!$A$9:$M$14,9,FALSE),
IF($A39&lt;'Compression Fittings'!$A$16,VLOOKUP($A39,'Compression Fittings'!$A$8:$M$15,9,FALSE),
IF($A39&lt;'Hose Fittings'!$A$30,VLOOKUP($A39,'Hose Fittings'!$A$8:$M$29,9,FALSE),
IF($A39&lt;'Swing Joints'!$A$496,VLOOKUP($A39,'Swing Joints'!$A$9:$M$495,9,FALSE),
IF($A39&lt;'Swing Joints Components'!$A$135,VLOOKUP($A39,'Swing Joints Components'!$A$9:$M$134,9,FALSE),
IF($A39&lt;Nonstandard!$A$42,VLOOKUP($A39,Nonstandard!$A$31:$J$41,8,FALSE),"")))))))))))))))))))))))))))),"")</f>
        <v/>
      </c>
      <c r="G39" s="416" t="str">
        <f>IFERROR(IF($A39&lt;'DWV PVC'!$A$285,VLOOKUP($A39,'DWV PVC'!$A$8:$M$284,11,FALSE),
IF($A39&lt;'DWV ABS'!$A$117,VLOOKUP($A39,'DWV ABS'!$A$8:$M$116,11,FALSE),
IF($A39&lt;'PVC SCH40'!$A$376,VLOOKUP($A39,'PVC SCH40'!$A$8:$M$375,11,FALSE),
IF($A39&lt;'PVC SCH40 LD'!$A$22,VLOOKUP($A39,'PVC SCH40 LD'!$A$8:$M$21,11,FALSE),
IF($A39&lt;'Pool &amp; SPA Sweep Elbows'!$A$12,VLOOKUP($A39,'Pool &amp; SPA Sweep Elbows'!$A$8:$M$11,11,FALSE),
IF($A39&lt;'Pool &amp; SPA Pipe Extender'!$A$11,VLOOKUP($A39,'Pool &amp; SPA Pipe Extender'!$A$8:$M$10,11,FALSE),
IF($A39&lt;'PVC SCH80'!$A$250,VLOOKUP($A39,'PVC SCH80'!$A$8:$M$249,11,FALSE),
IF($A39&lt;'PVC SCH80 Flange'!$A$49,VLOOKUP($A39,'PVC SCH80 Flange'!$A$8:$M$48,11,FALSE),
IF($A39&lt;'PVC SCH80 LD Flange'!$A$17,VLOOKUP($A39,'PVC SCH80 LD Flange'!$A$8:$M$16,11,FALSE),
IF($A39&lt;CPVC!$A$100,VLOOKUP($A39,CPVC!$A$8:$M$99,11,FALSE),
IF($A39&lt;InsertFittings!$A$237,VLOOKUP($A39,InsertFittings!$A$11:$M$236,11,FALSE),
IF($A39&lt;Valves!$A$132,VLOOKUP($A39,Valves!$A$8:$M$131,11,FALSE),
IF($A39&lt;SDR35SW!$A$124,VLOOKUP($A39,SDR35SW!$A$8:$M$123,11,FALSE),
IF($A39&lt;SDR35G!$A$143,VLOOKUP($A39, SDR35G!$A$8:$M$142,11,FALSE),
IF($A39&lt;SDR26G!$A$61,VLOOKUP($A39,SDR26G!$A$8:$N$60,12,FALSE),
IF($A39&lt;Cements!$A$100,VLOOKUP($A39,Cements!$A$8:$Q$99,15,FALSE),
IF($A39&lt;ValveBox!$A$143,VLOOKUP($A39,ValveBox!$A$10:$O$142,13,FALSE),
IF($A39&lt;'ValveBox Components'!$A$165,VLOOKUP($A39,'ValveBox Components'!$A$10:$O$164,13,FALSE),
IF($A39&lt;Drainage!$A$92,VLOOKUP($A39,Drainage!$A$8:$M$91,11,FALSE),
IF($A39&lt;Nipples!$A$82,VLOOKUP($A39,Nipples!$A$9:$Q$81,15,FALSE),
IF($A39&lt;Manifold!$A$33,VLOOKUP($A39,Manifold!$A$9:$M$32,11,FALSE),
IF($A39&lt;FlexibleRepairCouplings!$A$13,VLOOKUP($A39,FlexibleRepairCouplings!$A$10:$M$12,11,FALSE),
IF($A39&lt;DuraFix!$A$15,VLOOKUP($A39,DuraFix!$A$9:$M$14,11,FALSE),
IF($A39&lt;'Compression Fittings'!$A$16,VLOOKUP($A39,'Compression Fittings'!$A$8:$M$15,11,FALSE),
IF($A39&lt;'Hose Fittings'!$A$30,VLOOKUP($A39,'Hose Fittings'!$A$8:$M$29,11,FALSE),
IF($A39&lt;'Swing Joints'!$A$496,VLOOKUP($A39,'Swing Joints'!$A$9:$M$495,11,FALSE),
IF($A39&lt;'Swing Joints Components'!$A$135,VLOOKUP($A39,'Swing Joints Components'!$A$9:$M$134,11,FALSE),
IF($A39&lt;Nonstandard!$A$42,VLOOKUP($A39,Nonstandard!$A$31:$J$41,3,FALSE),"")))))))))))))))))))))))))))),"")</f>
        <v/>
      </c>
      <c r="H39" s="586" t="str">
        <f>IFERROR(IF($A39&lt;'DWV PVC'!$A$285,VLOOKUP($A39,'DWV PVC'!$A$8:$M$284,7,FALSE),
IF($A39&lt;'DWV ABS'!$A$117,VLOOKUP($A39,'DWV ABS'!$A$8:$M$116,7,FALSE),
IF($A39&lt;'PVC SCH40'!$A$376,VLOOKUP($A39,'PVC SCH40'!$A$8:$M$375,7,FALSE),
IF($A39&lt;'PVC SCH40 LD'!$A$22,VLOOKUP($A39,'PVC SCH40 LD'!$A$8:$M$21,7,FALSE),
IF($A39&lt;'Pool &amp; SPA Sweep Elbows'!$A$12,VLOOKUP($A39,'Pool &amp; SPA Sweep Elbows'!$A$8:$M$11,7,FALSE),
IF($A39&lt;'Pool &amp; SPA Pipe Extender'!$A$11,VLOOKUP($A39,'Pool &amp; SPA Pipe Extender'!$A$8:$M$10,7,FALSE),
IF($A39&lt;'PVC SCH80'!$A$250,VLOOKUP($A39,'PVC SCH80'!$A$8:$M$249,7,FALSE),
IF($A39&lt;'PVC SCH80 Flange'!$A$49,VLOOKUP($A39,'PVC SCH80 Flange'!$A$8:$M$48,7,FALSE),
IF($A39&lt;'PVC SCH80 LD Flange'!$A$17,VLOOKUP($A39,'PVC SCH80 LD Flange'!$A$8:$M$16,7,FALSE),
IF($A39&lt;CPVC!$A$100,VLOOKUP($A39,CPVC!$A$8:$M$99,7,FALSE),
IF($A39&lt;InsertFittings!$A$237,VLOOKUP($A39,InsertFittings!$A$11:$M$236,7,FALSE),
IF($A39&lt;Valves!$A$132,VLOOKUP($A39,Valves!$A$8:$M$131,7,FALSE),
IF($A39&lt;SDR35SW!$A$124,VLOOKUP($A39,SDR35SW!$A$8:$M$123,7,FALSE),
IF($A39&lt;SDR35G!$A$143,VLOOKUP($A39, SDR35G!$A$8:$M$142,7,FALSE),
IF($A39&lt;SDR26G!$A$61,VLOOKUP($A39,SDR26G!$A$8:$N$60,10,FALSE),
IF($A39&lt;Cements!$A$100,VLOOKUP($A39,Cements!$A$8:$Q$99,13,FALSE),
IF($A39&lt;ValveBox!$A$143,VLOOKUP($A39,ValveBox!$A$10:$O$142,11,FALSE),
IF($A39&lt;'ValveBox Components'!$A$165,VLOOKUP($A39,'ValveBox Components'!$A$10:$O$164,11,FALSE),
IF($A39&lt;Drainage!$A$92,VLOOKUP($A39,Drainage!$A$8:$M$91,7,FALSE),
IF($A39&lt;Nipples!$A$82,VLOOKUP($A39,Nipples!$A$9:$Q$81,13,FALSE),
IF($A39&lt;Manifold!$A$33,VLOOKUP($A39,Manifold!$A$9:$M$32,7,FALSE),
IF($A39&lt;FlexibleRepairCouplings!$A$13,VLOOKUP($A39,FlexibleRepairCouplings!$A$10:$M$12,7,FALSE),
IF($A39&lt;DuraFix!$A$15,VLOOKUP($A39,DuraFix!$A$9:$M$14,7,FALSE),
IF($A39&lt;'Compression Fittings'!$A$16,VLOOKUP($A39,'Compression Fittings'!$A$8:$M$15,7,FALSE),
IF($A39&lt;'Hose Fittings'!$A$30,VLOOKUP($A39,'Hose Fittings'!$A$8:$M$29,7,FALSE),
IF($A39&lt;'Swing Joints'!$A$496,VLOOKUP($A39,'Swing Joints'!$A$9:$M$495,7,FALSE),
IF($A39&lt;'Swing Joints Components'!$A$135,VLOOKUP($A39,'Swing Joints Components'!$A$9:$M$134,7,FALSE),
IF($A39&lt;Nonstandard!$A$42,VLOOKUP($A39,Nonstandard!$A$31:$J$41,3,FALSE),"")))))))))))))))))))))))))))),"")</f>
        <v/>
      </c>
      <c r="I39" s="587"/>
      <c r="J39" s="383" t="str">
        <f t="shared" si="1"/>
        <v/>
      </c>
      <c r="K39" s="417" t="str">
        <f>IFERROR(IF($A39&lt;'DWV PVC'!$A$285,VLOOKUP($A39,'DWV PVC'!$A$8:$M$284,10,FALSE),
IF($A39&lt;'DWV ABS'!$A$117,VLOOKUP($A39,'DWV ABS'!$A$8:$M$116,10,FALSE),
IF($A39&lt;'PVC SCH40'!$A$376,VLOOKUP($A39,'PVC SCH40'!$A$8:$M$375,10,FALSE),
IF($A39&lt;'PVC SCH40 LD'!$A$22,VLOOKUP($A39,'PVC SCH40 LD'!$A$8:$M$21,10,FALSE),
IF($A39&lt;'Pool &amp; SPA Sweep Elbows'!$A$12,VLOOKUP($A39,'Pool &amp; SPA Sweep Elbows'!$A$8:$M$11,10,FALSE),
IF($A39&lt;'Pool &amp; SPA Pipe Extender'!$A$11,VLOOKUP($A39,'Pool &amp; SPA Pipe Extender'!$A$8:$M$10,10,FALSE),
IF($A39&lt;'PVC SCH80'!$A$250,VLOOKUP($A39,'PVC SCH80'!$A$8:$M$249,10,FALSE),
IF($A39&lt;'PVC SCH80 Flange'!$A$49,VLOOKUP($A39,'PVC SCH80 Flange'!$A$8:$M$48,10,FALSE),
IF($A39&lt;'PVC SCH80 LD Flange'!$A$17,VLOOKUP($A39,'PVC SCH80 LD Flange'!$A$8:$M$16,10,FALSE),
IF($A39&lt;CPVC!$A$100,VLOOKUP($A39,CPVC!$A$8:$M$99,10,FALSE),
IF($A39&lt;InsertFittings!$A$237,VLOOKUP($A39,InsertFittings!$A$11:$M$236,10,FALSE),
IF($A39&lt;Valves!$A$132,VLOOKUP($A39,Valves!$A$8:$M$131,10,FALSE),
IF($A39&lt;SDR35SW!$A$124,VLOOKUP($A39,SDR35SW!$A$8:$M$123,10,FALSE),
IF($A39&lt;SDR35G!$A$143,VLOOKUP($A39, SDR35G!$A$8:$M$142,10,FALSE),
IF($A39&lt;SDR26G!$A$61,VLOOKUP($A39,SDR26G!$A$8:$N$60,11,FALSE),
IF($A39&lt;Cements!$A$100,VLOOKUP($A39,Cements!$A$8:$Q$99,14,FALSE),
IF($A39&lt;ValveBox!$A$143,VLOOKUP($A39,ValveBox!$A$10:$O$142,12,FALSE),
IF($A39&lt;'ValveBox Components'!$A$165,VLOOKUP($A39,'ValveBox Components'!$A$10:$O$164,12,FALSE),
IF($A39&lt;Drainage!$A$92,VLOOKUP($A39,Drainage!$A$8:$M$91,10,FALSE),
IF($A39&lt;Nipples!$A$82,VLOOKUP($A39,Nipples!$A$9:$Q$81,14,FALSE),
IF($A39&lt;Manifold!$A$33,VLOOKUP($A39,Manifold!$A$9:$M$32,10,FALSE),
IF($A39&lt;FlexibleRepairCouplings!$A$13,VLOOKUP($A39,FlexibleRepairCouplings!$A$10:$M$12,10,FALSE),
IF($A39&lt;DuraFix!$A$15,VLOOKUP($A39,DuraFix!$A$9:$M$14,10,FALSE),
IF($A39&lt;'Compression Fittings'!$A$16,VLOOKUP($A39,'Compression Fittings'!$A$8:$M$15,10,FALSE),
IF($A39&lt;'Hose Fittings'!$A$30,VLOOKUP($A39,'Hose Fittings'!$A$8:$M$29,10,FALSE),
IF($A39&lt;'Swing Joints'!$A$496,VLOOKUP($A39,'Swing Joints'!$A$9:$M$495,10,FALSE),
IF($A39&lt;'Swing Joints Components'!$A$135,VLOOKUP($A39,'Swing Joints Components'!$A$9:$M$134,10,FALSE),
IF($A39&lt;Nonstandard!$A$42,VLOOKUP($A39,Nonstandard!$A$31:$J$41,10,FALSE),"")))))))))))))))))))))))))))),"")</f>
        <v/>
      </c>
      <c r="L39" s="418" t="str">
        <f t="shared" si="0"/>
        <v>-</v>
      </c>
      <c r="M39" s="419"/>
    </row>
    <row r="40" spans="1:13" ht="15.75">
      <c r="A40" s="420">
        <v>8</v>
      </c>
      <c r="B40" s="420" t="str">
        <f>IFERROR(IF($A40&lt;'DWV PVC'!$A$285,VLOOKUP($A40,'DWV PVC'!$A$8:$M$284,4,FALSE),
IF($A40&lt;'DWV ABS'!$A$117,VLOOKUP($A40,'DWV ABS'!$A$8:$M$116,4,FALSE),
IF($A40&lt;'PVC SCH40'!$A$376,VLOOKUP($A40,'PVC SCH40'!$A$8:$M$375,4,FALSE),
IF($A40&lt;'PVC SCH40 LD'!$A$22,VLOOKUP($A40,'PVC SCH40 LD'!$A$8:$M$21,4,FALSE),
IF($A40&lt;'Pool &amp; SPA Sweep Elbows'!$A$12,VLOOKUP($A40,'Pool &amp; SPA Sweep Elbows'!$A$8:$M$11,4,FALSE),
IF($A40&lt;'Pool &amp; SPA Pipe Extender'!$A$11,VLOOKUP($A40,'Pool &amp; SPA Pipe Extender'!$A$8:$M$10,4,FALSE),
IF($A40&lt;'PVC SCH80'!$A$250,VLOOKUP($A40,'PVC SCH80'!$A$8:$M$249,4,FALSE),
IF($A40&lt;'PVC SCH80 Flange'!$A$49,VLOOKUP($A40,'PVC SCH80 Flange'!$A$8:$M$48,4,FALSE),
IF($A40&lt;'PVC SCH80 LD Flange'!$A$17,VLOOKUP($A40,'PVC SCH80 LD Flange'!$A$8:$M$16,4,FALSE),
IF($A40&lt;CPVC!$A$100,VLOOKUP($A40,CPVC!$A$8:$M$99,4,FALSE),
IF($A40&lt;InsertFittings!$A$237,VLOOKUP($A40,InsertFittings!$A$11:$M$236,4,FALSE),
IF($A40&lt;Valves!$A$132,VLOOKUP($A40,Valves!$A$8:$M$131,4,FALSE),
IF($A40&lt;SDR35SW!$A$124,VLOOKUP($A40,SDR35SW!$A$8:$M$123,4,FALSE),
IF($A40&lt;SDR35G!$A$143,VLOOKUP($A40, SDR35G!$A$8:$M$142,4,FALSE),
IF($A40&lt;SDR26G!$A$61,VLOOKUP($A40,SDR26G!$A$8:$N$60,4,FALSE),
IF($A40&lt;Cements!$A$100,VLOOKUP($A40,Cements!$A$8:$Q$99,4,FALSE),
IF($A40&lt;ValveBox!$A$143,VLOOKUP($A40,ValveBox!$A$10:$O$142,4,FALSE),
IF($A40&lt;'ValveBox Components'!$A$165,VLOOKUP($A40,'ValveBox Components'!$A$10:$O$164,4,FALSE),
IF($A40&lt;Drainage!$A$92,VLOOKUP($A40,Drainage!$A$8:$M$91,4,FALSE),
IF($A40&lt;Nipples!$A$82,VLOOKUP($A40,Nipples!$A$9:$Q$81,4,FALSE),
IF($A40&lt;Manifold!$A$33,VLOOKUP($A40,Manifold!$A$9:$M$32,4,FALSE),
IF($A40&lt;FlexibleRepairCouplings!$A$13,VLOOKUP($A40,FlexibleRepairCouplings!$A$10:$M$12,4,FALSE),
IF($A40&lt;DuraFix!$A$15,VLOOKUP($A40,DuraFix!$A$9:$M$14,4,FALSE),
IF($A40&lt;'Compression Fittings'!$A$16,VLOOKUP($A40,'Compression Fittings'!$A$8:$M$15,4,FALSE),
IF($A40&lt;'Hose Fittings'!$A$30,VLOOKUP($A40,'Hose Fittings'!$A$8:$M$29,4,FALSE),
IF($A40&lt;'Swing Joints'!$A$496,VLOOKUP($A40,'Swing Joints'!$A$9:$M$495,4,FALSE),
IF($A40&lt;'Swing Joints Components'!$A$135,VLOOKUP($A40,'Swing Joints Components'!$A$9:$M$134,4,FALSE),
IF($A40&lt;Nonstandard!$A$42,VLOOKUP($A40,Nonstandard!$A$31:$J$41,5,FALSE),"")))))))))))))))))))))))))))),"")</f>
        <v/>
      </c>
      <c r="C40" s="420" t="str">
        <f>IFERROR(IF($A40&lt;'DWV PVC'!$A$285,VLOOKUP($A40,'DWV PVC'!$A$8:$M$284,5,FALSE),
IF($A40&lt;'DWV ABS'!$A$117,VLOOKUP($A40,'DWV ABS'!$A$8:$M$116,5,FALSE),
IF($A40&lt;'PVC SCH40'!$A$376,VLOOKUP($A40,'PVC SCH40'!$A$8:$M$375,5,FALSE),
IF($A40&lt;'PVC SCH40 LD'!$A$22,VLOOKUP($A40,'PVC SCH40 LD'!$A$8:$M$21,5,FALSE),
IF($A40&lt;'Pool &amp; SPA Sweep Elbows'!$A$12,VLOOKUP($A40,'Pool &amp; SPA Sweep Elbows'!$A$8:$M$11,5,FALSE),
IF($A40&lt;'Pool &amp; SPA Pipe Extender'!$A$11,VLOOKUP($A40,'Pool &amp; SPA Pipe Extender'!$A$8:$M$10,5,FALSE),
IF($A40&lt;'PVC SCH80'!$A$250,VLOOKUP($A40,'PVC SCH80'!$A$8:$M$249,5,FALSE),
IF($A40&lt;'PVC SCH80 Flange'!$A$49,VLOOKUP($A40,'PVC SCH80 Flange'!$A$8:$M$48,5,FALSE),
IF($A40&lt;'PVC SCH80 LD Flange'!$A$17,VLOOKUP($A40,'PVC SCH80 LD Flange'!$A$8:$M$16,5,FALSE),
IF($A40&lt;CPVC!$A$100,VLOOKUP($A40,CPVC!$A$8:$M$99,5,FALSE),
IF($A40&lt;InsertFittings!$A$237,VLOOKUP($A40,InsertFittings!$A$11:$M$236,5,FALSE),
IF($A40&lt;Valves!$A$132,VLOOKUP($A40,Valves!$A$8:$M$131,5,FALSE),
IF($A40&lt;SDR35SW!$A$124,VLOOKUP($A40,SDR35SW!$A$8:$M$123,5,FALSE),
IF($A40&lt;SDR35G!$A$143,VLOOKUP($A40, SDR35G!$A$8:$M$142,5,FALSE),
IF($A40&lt;SDR26G!$A$61,VLOOKUP($A40,SDR26G!$A$8:$N$60,5,FALSE),
IF($A40&lt;Cements!$A$100,VLOOKUP($A40,Cements!$A$8:$Q$99,5,FALSE),
IF($A40&lt;ValveBox!$A$143,VLOOKUP($A40,ValveBox!$A$10:$O$142,5,FALSE),
IF($A40&lt;'ValveBox Components'!$A$165,VLOOKUP($A40,'ValveBox Components'!$A$10:$O$164,5,FALSE),
IF($A40&lt;Drainage!$A$92,VLOOKUP($A40,Drainage!$A$8:$M$91,5,FALSE),
IF($A40&lt;Nipples!$A$82,VLOOKUP($A40,Nipples!$A$9:$Q$81,5,FALSE),
IF($A40&lt;Manifold!$A$33,VLOOKUP($A40,Manifold!$A$9:$M$32,5,FALSE),
IF($A40&lt;FlexibleRepairCouplings!$A$13,VLOOKUP($A40,FlexibleRepairCouplings!$A$10:$M$12,5,FALSE),
IF($A40&lt;DuraFix!$A$15,VLOOKUP($A40,DuraFix!$A$9:$M$14,5,FALSE),
IF($A40&lt;'Compression Fittings'!$A$16,VLOOKUP($A40,'Compression Fittings'!$A$8:$M$15,5,FALSE),
IF($A40&lt;'Hose Fittings'!$A$30,VLOOKUP($A40,'Hose Fittings'!$A$8:$M$29,5,FALSE),
IF($A40&lt;'Swing Joints'!$A$496,VLOOKUP($A40,'Swing Joints'!$A$9:$M$495,5,FALSE),
IF($A40&lt;'Swing Joints Components'!$A$135,VLOOKUP($A40,'Swing Joints Components'!$A$9:$M$134,5,FALSE),
IF($A40&lt;Nonstandard!$A$42,VLOOKUP($A40,Nonstandard!$A$31:$J$41,6,FALSE),"")))))))))))))))))))))))))))),"")</f>
        <v/>
      </c>
      <c r="D40" s="428" t="str">
        <f>IFERROR(IF($A40&lt;'DWV PVC'!$A$285,VLOOKUP($A40,'DWV PVC'!$A$8:$M$284,6,FALSE),
IF($A40&lt;'DWV ABS'!$A$117,VLOOKUP($A40,'DWV ABS'!$A$8:$M$116,6,FALSE),
IF($A40&lt;'PVC SCH40'!$A$376,VLOOKUP($A40,'PVC SCH40'!$A$8:$M$375,6,FALSE),
IF($A40&lt;'PVC SCH40 LD'!$A$22,VLOOKUP($A40,'PVC SCH40 LD'!$A$8:$M$21,6,FALSE),
IF($A40&lt;'Pool &amp; SPA Sweep Elbows'!$A$12,VLOOKUP($A40,'Pool &amp; SPA Sweep Elbows'!$A$8:$M$11,6,FALSE),
IF($A40&lt;'Pool &amp; SPA Pipe Extender'!$A$11,VLOOKUP($A40,'Pool &amp; SPA Pipe Extender'!$A$8:$M$10,6,FALSE),
IF($A40&lt;'PVC SCH80'!$A$250,VLOOKUP($A40,'PVC SCH80'!$A$8:$M$249,6,FALSE),
IF($A40&lt;'PVC SCH80 Flange'!$A$49,VLOOKUP($A40,'PVC SCH80 Flange'!$A$8:$M$48,6,FALSE),
IF($A40&lt;'PVC SCH80 LD Flange'!$A$17,VLOOKUP($A40,'PVC SCH80 LD Flange'!$A$8:$M$16,6,FALSE),
IF($A40&lt;CPVC!$A$100,VLOOKUP($A40,CPVC!$A$8:$M$99,6,FALSE),
IF($A40&lt;InsertFittings!$A$237,VLOOKUP($A40,InsertFittings!$A$11:$M$236,6,FALSE),
IF($A40&lt;Valves!$A$132,VLOOKUP($A40,Valves!$A$8:$M$131,6,FALSE),
IF($A40&lt;SDR35SW!$A$124,VLOOKUP($A40,SDR35SW!$A$8:$M$123,6,FALSE),
IF($A40&lt;SDR35G!$A$143,VLOOKUP($A40, SDR35G!$A$8:$M$142,6,FALSE),
IF($A40&lt;SDR26G!$A$61,VLOOKUP($A40,SDR26G!$A$8:$N$60,6,FALSE),
IF($A40&lt;Cements!$A$100,VLOOKUP($A40,Cements!$A$8:$Q$99,6,FALSE),
IF($A40&lt;ValveBox!$A$143,VLOOKUP($A40,ValveBox!$A$10:$O$142,6,FALSE),
IF($A40&lt;'ValveBox Components'!$A$165,VLOOKUP($A40,'ValveBox Components'!$A$10:$O$164,6,FALSE),
IF($A40&lt;Drainage!$A$92,VLOOKUP($A40,Drainage!$A$8:$M$91,6,FALSE),
IF($A40&lt;Nipples!$A$82,VLOOKUP($A40,Nipples!$A$9:$Q$81,6,FALSE),
IF($A40&lt;Manifold!$A$33,VLOOKUP($A40,Manifold!$A$9:$M$32,6,FALSE),
IF($A40&lt;FlexibleRepairCouplings!$A$13,VLOOKUP($A40,FlexibleRepairCouplings!$A$10:$M$12,6,FALSE),
IF($A40&lt;DuraFix!$A$15,VLOOKUP($A40,DuraFix!$A$9:$M$14,6,FALSE),
IF($A40&lt;'Compression Fittings'!$A$16,VLOOKUP($A40,'Compression Fittings'!$A$8:$M$15,6,FALSE),
IF($A40&lt;'Hose Fittings'!$A$30,VLOOKUP($A40,'Hose Fittings'!$A$8:$M$29,6,FALSE),
IF($A40&lt;'Swing Joints'!$A$496,VLOOKUP($A40,'Swing Joints'!$A$9:$M$495,6,FALSE),
IF($A40&lt;'Swing Joints Components'!$A$135,VLOOKUP($A40,'Swing Joints Components'!$A$9:$M$134,6,FALSE),
IF($A40&lt;Nonstandard!$A$42,VLOOKUP($A40,Nonstandard!$A$31:$J$41,7,FALSE),"")))))))))))))))))))))))))))),"")</f>
        <v/>
      </c>
      <c r="E40" s="429"/>
      <c r="F40" s="421" t="str">
        <f>IFERROR(IF($A40&lt;'DWV PVC'!$A$285,VLOOKUP($A40,'DWV PVC'!$A$8:$M$284,9,FALSE),
IF($A40&lt;'DWV ABS'!$A$117,VLOOKUP($A40,'DWV ABS'!$A$8:$M$116,9,FALSE),
IF($A40&lt;'PVC SCH40'!$A$376,VLOOKUP($A40,'PVC SCH40'!$A$8:$M$375,9,FALSE),
IF($A40&lt;'PVC SCH40 LD'!$A$22,VLOOKUP($A40,'PVC SCH40 LD'!$A$8:$M$21,9,FALSE),
IF($A40&lt;'Pool &amp; SPA Sweep Elbows'!$A$12,VLOOKUP($A40,'Pool &amp; SPA Sweep Elbows'!$A$8:$M$11,9,FALSE),
IF($A40&lt;'Pool &amp; SPA Pipe Extender'!$A$11,VLOOKUP($A40,'Pool &amp; SPA Pipe Extender'!$A$8:$M$10,9,FALSE),
IF($A40&lt;'PVC SCH80'!$A$250,VLOOKUP($A40,'PVC SCH80'!$A$8:$M$249,9,FALSE),
IF($A40&lt;'PVC SCH80 Flange'!$A$49,VLOOKUP($A40,'PVC SCH80 Flange'!$A$8:$M$48,9,FALSE),
IF($A40&lt;'PVC SCH80 LD Flange'!$A$17,VLOOKUP($A40,'PVC SCH80 LD Flange'!$A$8:$M$16,9,FALSE),
IF($A40&lt;CPVC!$A$100,VLOOKUP($A40,CPVC!$A$8:$M$99,9,FALSE),
IF($A40&lt;InsertFittings!$A$237,VLOOKUP($A40,InsertFittings!$A$11:$M$236,9,FALSE),
IF($A40&lt;Valves!$A$132,VLOOKUP($A40,Valves!$A$8:$M$131,9,FALSE),
IF($A40&lt;SDR35SW!$A$124,VLOOKUP($A40,SDR35SW!$A$8:$M$123,9,FALSE),
IF($A40&lt;SDR35G!$A$143,VLOOKUP($A40, SDR35G!$A$8:$M$142,9,FALSE),
IF($A40&lt;SDR26G!$A$61,VLOOKUP($A40,SDR26G!$A$8:$N$60,10,FALSE),
IF($A40&lt;Cements!$A$100,VLOOKUP($A40,Cements!$A$8:$Q$99,13,FALSE),
IF($A40&lt;ValveBox!$A$143,VLOOKUP($A40,ValveBox!$A$10:$O$142,11,FALSE),
IF($A40&lt;'ValveBox Components'!$A$165,VLOOKUP($A40,'ValveBox Components'!$A$10:$O$164,11,FALSE),
IF($A40&lt;Drainage!$A$92,VLOOKUP($A40,Drainage!$A$8:$M$91,9,FALSE),
IF($A40&lt;Nipples!$A$82,VLOOKUP($A40,Nipples!$A$9:$Q$81,13,FALSE),
IF($A40&lt;Manifold!$A$33,VLOOKUP($A40,Manifold!$A$9:$M$32,9,FALSE),
IF($A40&lt;FlexibleRepairCouplings!$A$13,VLOOKUP($A40,FlexibleRepairCouplings!$A$10:$M$12,9,FALSE),
IF($A40&lt;DuraFix!$A$15,VLOOKUP($A40,DuraFix!$A$9:$M$14,9,FALSE),
IF($A40&lt;'Compression Fittings'!$A$16,VLOOKUP($A40,'Compression Fittings'!$A$8:$M$15,9,FALSE),
IF($A40&lt;'Hose Fittings'!$A$30,VLOOKUP($A40,'Hose Fittings'!$A$8:$M$29,9,FALSE),
IF($A40&lt;'Swing Joints'!$A$496,VLOOKUP($A40,'Swing Joints'!$A$9:$M$495,9,FALSE),
IF($A40&lt;'Swing Joints Components'!$A$135,VLOOKUP($A40,'Swing Joints Components'!$A$9:$M$134,9,FALSE),
IF($A40&lt;Nonstandard!$A$42,VLOOKUP($A40,Nonstandard!$A$31:$J$41,8,FALSE),"")))))))))))))))))))))))))))),"")</f>
        <v/>
      </c>
      <c r="G40" s="422" t="str">
        <f>IFERROR(IF($A40&lt;'DWV PVC'!$A$285,VLOOKUP($A40,'DWV PVC'!$A$8:$M$284,11,FALSE),
IF($A40&lt;'DWV ABS'!$A$117,VLOOKUP($A40,'DWV ABS'!$A$8:$M$116,11,FALSE),
IF($A40&lt;'PVC SCH40'!$A$376,VLOOKUP($A40,'PVC SCH40'!$A$8:$M$375,11,FALSE),
IF($A40&lt;'PVC SCH40 LD'!$A$22,VLOOKUP($A40,'PVC SCH40 LD'!$A$8:$M$21,11,FALSE),
IF($A40&lt;'Pool &amp; SPA Sweep Elbows'!$A$12,VLOOKUP($A40,'Pool &amp; SPA Sweep Elbows'!$A$8:$M$11,11,FALSE),
IF($A40&lt;'Pool &amp; SPA Pipe Extender'!$A$11,VLOOKUP($A40,'Pool &amp; SPA Pipe Extender'!$A$8:$M$10,11,FALSE),
IF($A40&lt;'PVC SCH80'!$A$250,VLOOKUP($A40,'PVC SCH80'!$A$8:$M$249,11,FALSE),
IF($A40&lt;'PVC SCH80 Flange'!$A$49,VLOOKUP($A40,'PVC SCH80 Flange'!$A$8:$M$48,11,FALSE),
IF($A40&lt;'PVC SCH80 LD Flange'!$A$17,VLOOKUP($A40,'PVC SCH80 LD Flange'!$A$8:$M$16,11,FALSE),
IF($A40&lt;CPVC!$A$100,VLOOKUP($A40,CPVC!$A$8:$M$99,11,FALSE),
IF($A40&lt;InsertFittings!$A$237,VLOOKUP($A40,InsertFittings!$A$11:$M$236,11,FALSE),
IF($A40&lt;Valves!$A$132,VLOOKUP($A40,Valves!$A$8:$M$131,11,FALSE),
IF($A40&lt;SDR35SW!$A$124,VLOOKUP($A40,SDR35SW!$A$8:$M$123,11,FALSE),
IF($A40&lt;SDR35G!$A$143,VLOOKUP($A40, SDR35G!$A$8:$M$142,11,FALSE),
IF($A40&lt;SDR26G!$A$61,VLOOKUP($A40,SDR26G!$A$8:$N$60,12,FALSE),
IF($A40&lt;Cements!$A$100,VLOOKUP($A40,Cements!$A$8:$Q$99,15,FALSE),
IF($A40&lt;ValveBox!$A$143,VLOOKUP($A40,ValveBox!$A$10:$O$142,13,FALSE),
IF($A40&lt;'ValveBox Components'!$A$165,VLOOKUP($A40,'ValveBox Components'!$A$10:$O$164,13,FALSE),
IF($A40&lt;Drainage!$A$92,VLOOKUP($A40,Drainage!$A$8:$M$91,11,FALSE),
IF($A40&lt;Nipples!$A$82,VLOOKUP($A40,Nipples!$A$9:$Q$81,15,FALSE),
IF($A40&lt;Manifold!$A$33,VLOOKUP($A40,Manifold!$A$9:$M$32,11,FALSE),
IF($A40&lt;FlexibleRepairCouplings!$A$13,VLOOKUP($A40,FlexibleRepairCouplings!$A$10:$M$12,11,FALSE),
IF($A40&lt;DuraFix!$A$15,VLOOKUP($A40,DuraFix!$A$9:$M$14,11,FALSE),
IF($A40&lt;'Compression Fittings'!$A$16,VLOOKUP($A40,'Compression Fittings'!$A$8:$M$15,11,FALSE),
IF($A40&lt;'Hose Fittings'!$A$30,VLOOKUP($A40,'Hose Fittings'!$A$8:$M$29,11,FALSE),
IF($A40&lt;'Swing Joints'!$A$496,VLOOKUP($A40,'Swing Joints'!$A$9:$M$495,11,FALSE),
IF($A40&lt;'Swing Joints Components'!$A$135,VLOOKUP($A40,'Swing Joints Components'!$A$9:$M$134,11,FALSE),
IF($A40&lt;Nonstandard!$A$42,VLOOKUP($A40,Nonstandard!$A$31:$J$41,3,FALSE),"")))))))))))))))))))))))))))),"")</f>
        <v/>
      </c>
      <c r="H40" s="588" t="str">
        <f>IFERROR(IF($A40&lt;'DWV PVC'!$A$285,VLOOKUP($A40,'DWV PVC'!$A$8:$M$284,7,FALSE),
IF($A40&lt;'DWV ABS'!$A$117,VLOOKUP($A40,'DWV ABS'!$A$8:$M$116,7,FALSE),
IF($A40&lt;'PVC SCH40'!$A$376,VLOOKUP($A40,'PVC SCH40'!$A$8:$M$375,7,FALSE),
IF($A40&lt;'PVC SCH40 LD'!$A$22,VLOOKUP($A40,'PVC SCH40 LD'!$A$8:$M$21,7,FALSE),
IF($A40&lt;'Pool &amp; SPA Sweep Elbows'!$A$12,VLOOKUP($A40,'Pool &amp; SPA Sweep Elbows'!$A$8:$M$11,7,FALSE),
IF($A40&lt;'Pool &amp; SPA Pipe Extender'!$A$11,VLOOKUP($A40,'Pool &amp; SPA Pipe Extender'!$A$8:$M$10,7,FALSE),
IF($A40&lt;'PVC SCH80'!$A$250,VLOOKUP($A40,'PVC SCH80'!$A$8:$M$249,7,FALSE),
IF($A40&lt;'PVC SCH80 Flange'!$A$49,VLOOKUP($A40,'PVC SCH80 Flange'!$A$8:$M$48,7,FALSE),
IF($A40&lt;'PVC SCH80 LD Flange'!$A$17,VLOOKUP($A40,'PVC SCH80 LD Flange'!$A$8:$M$16,7,FALSE),
IF($A40&lt;CPVC!$A$100,VLOOKUP($A40,CPVC!$A$8:$M$99,7,FALSE),
IF($A40&lt;InsertFittings!$A$237,VLOOKUP($A40,InsertFittings!$A$11:$M$236,7,FALSE),
IF($A40&lt;Valves!$A$132,VLOOKUP($A40,Valves!$A$8:$M$131,7,FALSE),
IF($A40&lt;SDR35SW!$A$124,VLOOKUP($A40,SDR35SW!$A$8:$M$123,7,FALSE),
IF($A40&lt;SDR35G!$A$143,VLOOKUP($A40, SDR35G!$A$8:$M$142,7,FALSE),
IF($A40&lt;SDR26G!$A$61,VLOOKUP($A40,SDR26G!$A$8:$N$60,10,FALSE),
IF($A40&lt;Cements!$A$100,VLOOKUP($A40,Cements!$A$8:$Q$99,13,FALSE),
IF($A40&lt;ValveBox!$A$143,VLOOKUP($A40,ValveBox!$A$10:$O$142,11,FALSE),
IF($A40&lt;'ValveBox Components'!$A$165,VLOOKUP($A40,'ValveBox Components'!$A$10:$O$164,11,FALSE),
IF($A40&lt;Drainage!$A$92,VLOOKUP($A40,Drainage!$A$8:$M$91,7,FALSE),
IF($A40&lt;Nipples!$A$82,VLOOKUP($A40,Nipples!$A$9:$Q$81,13,FALSE),
IF($A40&lt;Manifold!$A$33,VLOOKUP($A40,Manifold!$A$9:$M$32,7,FALSE),
IF($A40&lt;FlexibleRepairCouplings!$A$13,VLOOKUP($A40,FlexibleRepairCouplings!$A$10:$M$12,7,FALSE),
IF($A40&lt;DuraFix!$A$15,VLOOKUP($A40,DuraFix!$A$9:$M$14,7,FALSE),
IF($A40&lt;'Compression Fittings'!$A$16,VLOOKUP($A40,'Compression Fittings'!$A$8:$M$15,7,FALSE),
IF($A40&lt;'Hose Fittings'!$A$30,VLOOKUP($A40,'Hose Fittings'!$A$8:$M$29,7,FALSE),
IF($A40&lt;'Swing Joints'!$A$496,VLOOKUP($A40,'Swing Joints'!$A$9:$M$495,7,FALSE),
IF($A40&lt;'Swing Joints Components'!$A$135,VLOOKUP($A40,'Swing Joints Components'!$A$9:$M$134,7,FALSE),
IF($A40&lt;Nonstandard!$A$42,VLOOKUP($A40,Nonstandard!$A$31:$J$41,3,FALSE),"")))))))))))))))))))))))))))),"")</f>
        <v/>
      </c>
      <c r="I40" s="589"/>
      <c r="J40" s="423" t="str">
        <f t="shared" si="1"/>
        <v/>
      </c>
      <c r="K40" s="424" t="str">
        <f>IFERROR(IF($A40&lt;'DWV PVC'!$A$285,VLOOKUP($A40,'DWV PVC'!$A$8:$M$284,10,FALSE),
IF($A40&lt;'DWV ABS'!$A$117,VLOOKUP($A40,'DWV ABS'!$A$8:$M$116,10,FALSE),
IF($A40&lt;'PVC SCH40'!$A$376,VLOOKUP($A40,'PVC SCH40'!$A$8:$M$375,10,FALSE),
IF($A40&lt;'PVC SCH40 LD'!$A$22,VLOOKUP($A40,'PVC SCH40 LD'!$A$8:$M$21,10,FALSE),
IF($A40&lt;'Pool &amp; SPA Sweep Elbows'!$A$12,VLOOKUP($A40,'Pool &amp; SPA Sweep Elbows'!$A$8:$M$11,10,FALSE),
IF($A40&lt;'Pool &amp; SPA Pipe Extender'!$A$11,VLOOKUP($A40,'Pool &amp; SPA Pipe Extender'!$A$8:$M$10,10,FALSE),
IF($A40&lt;'PVC SCH80'!$A$250,VLOOKUP($A40,'PVC SCH80'!$A$8:$M$249,10,FALSE),
IF($A40&lt;'PVC SCH80 Flange'!$A$49,VLOOKUP($A40,'PVC SCH80 Flange'!$A$8:$M$48,10,FALSE),
IF($A40&lt;'PVC SCH80 LD Flange'!$A$17,VLOOKUP($A40,'PVC SCH80 LD Flange'!$A$8:$M$16,10,FALSE),
IF($A40&lt;CPVC!$A$100,VLOOKUP($A40,CPVC!$A$8:$M$99,10,FALSE),
IF($A40&lt;InsertFittings!$A$237,VLOOKUP($A40,InsertFittings!$A$11:$M$236,10,FALSE),
IF($A40&lt;Valves!$A$132,VLOOKUP($A40,Valves!$A$8:$M$131,10,FALSE),
IF($A40&lt;SDR35SW!$A$124,VLOOKUP($A40,SDR35SW!$A$8:$M$123,10,FALSE),
IF($A40&lt;SDR35G!$A$143,VLOOKUP($A40, SDR35G!$A$8:$M$142,10,FALSE),
IF($A40&lt;SDR26G!$A$61,VLOOKUP($A40,SDR26G!$A$8:$N$60,11,FALSE),
IF($A40&lt;Cements!$A$100,VLOOKUP($A40,Cements!$A$8:$Q$99,14,FALSE),
IF($A40&lt;ValveBox!$A$143,VLOOKUP($A40,ValveBox!$A$10:$O$142,12,FALSE),
IF($A40&lt;'ValveBox Components'!$A$165,VLOOKUP($A40,'ValveBox Components'!$A$10:$O$164,12,FALSE),
IF($A40&lt;Drainage!$A$92,VLOOKUP($A40,Drainage!$A$8:$M$91,10,FALSE),
IF($A40&lt;Nipples!$A$82,VLOOKUP($A40,Nipples!$A$9:$Q$81,14,FALSE),
IF($A40&lt;Manifold!$A$33,VLOOKUP($A40,Manifold!$A$9:$M$32,10,FALSE),
IF($A40&lt;FlexibleRepairCouplings!$A$13,VLOOKUP($A40,FlexibleRepairCouplings!$A$10:$M$12,10,FALSE),
IF($A40&lt;DuraFix!$A$15,VLOOKUP($A40,DuraFix!$A$9:$M$14,10,FALSE),
IF($A40&lt;'Compression Fittings'!$A$16,VLOOKUP($A40,'Compression Fittings'!$A$8:$M$15,10,FALSE),
IF($A40&lt;'Hose Fittings'!$A$30,VLOOKUP($A40,'Hose Fittings'!$A$8:$M$29,10,FALSE),
IF($A40&lt;'Swing Joints'!$A$496,VLOOKUP($A40,'Swing Joints'!$A$9:$M$495,10,FALSE),
IF($A40&lt;'Swing Joints Components'!$A$135,VLOOKUP($A40,'Swing Joints Components'!$A$9:$M$134,10,FALSE),
IF($A40&lt;Nonstandard!$A$42,VLOOKUP($A40,Nonstandard!$A$31:$J$41,10,FALSE),"")))))))))))))))))))))))))))),"")</f>
        <v/>
      </c>
      <c r="L40" s="421" t="str">
        <f t="shared" si="0"/>
        <v>-</v>
      </c>
      <c r="M40" s="425"/>
    </row>
    <row r="41" spans="1:13" ht="15.75">
      <c r="A41" s="415">
        <v>9</v>
      </c>
      <c r="B41" s="415" t="str">
        <f>IFERROR(IF($A41&lt;'DWV PVC'!$A$285,VLOOKUP($A41,'DWV PVC'!$A$8:$M$284,4,FALSE),
IF($A41&lt;'DWV ABS'!$A$117,VLOOKUP($A41,'DWV ABS'!$A$8:$M$116,4,FALSE),
IF($A41&lt;'PVC SCH40'!$A$376,VLOOKUP($A41,'PVC SCH40'!$A$8:$M$375,4,FALSE),
IF($A41&lt;'PVC SCH40 LD'!$A$22,VLOOKUP($A41,'PVC SCH40 LD'!$A$8:$M$21,4,FALSE),
IF($A41&lt;'Pool &amp; SPA Sweep Elbows'!$A$12,VLOOKUP($A41,'Pool &amp; SPA Sweep Elbows'!$A$8:$M$11,4,FALSE),
IF($A41&lt;'Pool &amp; SPA Pipe Extender'!$A$11,VLOOKUP($A41,'Pool &amp; SPA Pipe Extender'!$A$8:$M$10,4,FALSE),
IF($A41&lt;'PVC SCH80'!$A$250,VLOOKUP($A41,'PVC SCH80'!$A$8:$M$249,4,FALSE),
IF($A41&lt;'PVC SCH80 Flange'!$A$49,VLOOKUP($A41,'PVC SCH80 Flange'!$A$8:$M$48,4,FALSE),
IF($A41&lt;'PVC SCH80 LD Flange'!$A$17,VLOOKUP($A41,'PVC SCH80 LD Flange'!$A$8:$M$16,4,FALSE),
IF($A41&lt;CPVC!$A$100,VLOOKUP($A41,CPVC!$A$8:$M$99,4,FALSE),
IF($A41&lt;InsertFittings!$A$237,VLOOKUP($A41,InsertFittings!$A$11:$M$236,4,FALSE),
IF($A41&lt;Valves!$A$132,VLOOKUP($A41,Valves!$A$8:$M$131,4,FALSE),
IF($A41&lt;SDR35SW!$A$124,VLOOKUP($A41,SDR35SW!$A$8:$M$123,4,FALSE),
IF($A41&lt;SDR35G!$A$143,VLOOKUP($A41, SDR35G!$A$8:$M$142,4,FALSE),
IF($A41&lt;SDR26G!$A$61,VLOOKUP($A41,SDR26G!$A$8:$N$60,4,FALSE),
IF($A41&lt;Cements!$A$100,VLOOKUP($A41,Cements!$A$8:$Q$99,4,FALSE),
IF($A41&lt;ValveBox!$A$143,VLOOKUP($A41,ValveBox!$A$10:$O$142,4,FALSE),
IF($A41&lt;'ValveBox Components'!$A$165,VLOOKUP($A41,'ValveBox Components'!$A$10:$O$164,4,FALSE),
IF($A41&lt;Drainage!$A$92,VLOOKUP($A41,Drainage!$A$8:$M$91,4,FALSE),
IF($A41&lt;Nipples!$A$82,VLOOKUP($A41,Nipples!$A$9:$Q$81,4,FALSE),
IF($A41&lt;Manifold!$A$33,VLOOKUP($A41,Manifold!$A$9:$M$32,4,FALSE),
IF($A41&lt;FlexibleRepairCouplings!$A$13,VLOOKUP($A41,FlexibleRepairCouplings!$A$10:$M$12,4,FALSE),
IF($A41&lt;DuraFix!$A$15,VLOOKUP($A41,DuraFix!$A$9:$M$14,4,FALSE),
IF($A41&lt;'Compression Fittings'!$A$16,VLOOKUP($A41,'Compression Fittings'!$A$8:$M$15,4,FALSE),
IF($A41&lt;'Hose Fittings'!$A$30,VLOOKUP($A41,'Hose Fittings'!$A$8:$M$29,4,FALSE),
IF($A41&lt;'Swing Joints'!$A$496,VLOOKUP($A41,'Swing Joints'!$A$9:$M$495,4,FALSE),
IF($A41&lt;'Swing Joints Components'!$A$135,VLOOKUP($A41,'Swing Joints Components'!$A$9:$M$134,4,FALSE),
IF($A41&lt;Nonstandard!$A$42,VLOOKUP($A41,Nonstandard!$A$31:$J$41,5,FALSE),"")))))))))))))))))))))))))))),"")</f>
        <v/>
      </c>
      <c r="C41" s="415" t="str">
        <f>IFERROR(IF($A41&lt;'DWV PVC'!$A$285,VLOOKUP($A41,'DWV PVC'!$A$8:$M$284,5,FALSE),
IF($A41&lt;'DWV ABS'!$A$117,VLOOKUP($A41,'DWV ABS'!$A$8:$M$116,5,FALSE),
IF($A41&lt;'PVC SCH40'!$A$376,VLOOKUP($A41,'PVC SCH40'!$A$8:$M$375,5,FALSE),
IF($A41&lt;'PVC SCH40 LD'!$A$22,VLOOKUP($A41,'PVC SCH40 LD'!$A$8:$M$21,5,FALSE),
IF($A41&lt;'Pool &amp; SPA Sweep Elbows'!$A$12,VLOOKUP($A41,'Pool &amp; SPA Sweep Elbows'!$A$8:$M$11,5,FALSE),
IF($A41&lt;'Pool &amp; SPA Pipe Extender'!$A$11,VLOOKUP($A41,'Pool &amp; SPA Pipe Extender'!$A$8:$M$10,5,FALSE),
IF($A41&lt;'PVC SCH80'!$A$250,VLOOKUP($A41,'PVC SCH80'!$A$8:$M$249,5,FALSE),
IF($A41&lt;'PVC SCH80 Flange'!$A$49,VLOOKUP($A41,'PVC SCH80 Flange'!$A$8:$M$48,5,FALSE),
IF($A41&lt;'PVC SCH80 LD Flange'!$A$17,VLOOKUP($A41,'PVC SCH80 LD Flange'!$A$8:$M$16,5,FALSE),
IF($A41&lt;CPVC!$A$100,VLOOKUP($A41,CPVC!$A$8:$M$99,5,FALSE),
IF($A41&lt;InsertFittings!$A$237,VLOOKUP($A41,InsertFittings!$A$11:$M$236,5,FALSE),
IF($A41&lt;Valves!$A$132,VLOOKUP($A41,Valves!$A$8:$M$131,5,FALSE),
IF($A41&lt;SDR35SW!$A$124,VLOOKUP($A41,SDR35SW!$A$8:$M$123,5,FALSE),
IF($A41&lt;SDR35G!$A$143,VLOOKUP($A41, SDR35G!$A$8:$M$142,5,FALSE),
IF($A41&lt;SDR26G!$A$61,VLOOKUP($A41,SDR26G!$A$8:$N$60,5,FALSE),
IF($A41&lt;Cements!$A$100,VLOOKUP($A41,Cements!$A$8:$Q$99,5,FALSE),
IF($A41&lt;ValveBox!$A$143,VLOOKUP($A41,ValveBox!$A$10:$O$142,5,FALSE),
IF($A41&lt;'ValveBox Components'!$A$165,VLOOKUP($A41,'ValveBox Components'!$A$10:$O$164,5,FALSE),
IF($A41&lt;Drainage!$A$92,VLOOKUP($A41,Drainage!$A$8:$M$91,5,FALSE),
IF($A41&lt;Nipples!$A$82,VLOOKUP($A41,Nipples!$A$9:$Q$81,5,FALSE),
IF($A41&lt;Manifold!$A$33,VLOOKUP($A41,Manifold!$A$9:$M$32,5,FALSE),
IF($A41&lt;FlexibleRepairCouplings!$A$13,VLOOKUP($A41,FlexibleRepairCouplings!$A$10:$M$12,5,FALSE),
IF($A41&lt;DuraFix!$A$15,VLOOKUP($A41,DuraFix!$A$9:$M$14,5,FALSE),
IF($A41&lt;'Compression Fittings'!$A$16,VLOOKUP($A41,'Compression Fittings'!$A$8:$M$15,5,FALSE),
IF($A41&lt;'Hose Fittings'!$A$30,VLOOKUP($A41,'Hose Fittings'!$A$8:$M$29,5,FALSE),
IF($A41&lt;'Swing Joints'!$A$496,VLOOKUP($A41,'Swing Joints'!$A$9:$M$495,5,FALSE),
IF($A41&lt;'Swing Joints Components'!$A$135,VLOOKUP($A41,'Swing Joints Components'!$A$9:$M$134,5,FALSE),
IF($A41&lt;Nonstandard!$A$42,VLOOKUP($A41,Nonstandard!$A$31:$J$41,6,FALSE),"")))))))))))))))))))))))))))),"")</f>
        <v/>
      </c>
      <c r="D41" s="426" t="str">
        <f>IFERROR(IF($A41&lt;'DWV PVC'!$A$285,VLOOKUP($A41,'DWV PVC'!$A$8:$M$284,6,FALSE),
IF($A41&lt;'DWV ABS'!$A$117,VLOOKUP($A41,'DWV ABS'!$A$8:$M$116,6,FALSE),
IF($A41&lt;'PVC SCH40'!$A$376,VLOOKUP($A41,'PVC SCH40'!$A$8:$M$375,6,FALSE),
IF($A41&lt;'PVC SCH40 LD'!$A$22,VLOOKUP($A41,'PVC SCH40 LD'!$A$8:$M$21,6,FALSE),
IF($A41&lt;'Pool &amp; SPA Sweep Elbows'!$A$12,VLOOKUP($A41,'Pool &amp; SPA Sweep Elbows'!$A$8:$M$11,6,FALSE),
IF($A41&lt;'Pool &amp; SPA Pipe Extender'!$A$11,VLOOKUP($A41,'Pool &amp; SPA Pipe Extender'!$A$8:$M$10,6,FALSE),
IF($A41&lt;'PVC SCH80'!$A$250,VLOOKUP($A41,'PVC SCH80'!$A$8:$M$249,6,FALSE),
IF($A41&lt;'PVC SCH80 Flange'!$A$49,VLOOKUP($A41,'PVC SCH80 Flange'!$A$8:$M$48,6,FALSE),
IF($A41&lt;'PVC SCH80 LD Flange'!$A$17,VLOOKUP($A41,'PVC SCH80 LD Flange'!$A$8:$M$16,6,FALSE),
IF($A41&lt;CPVC!$A$100,VLOOKUP($A41,CPVC!$A$8:$M$99,6,FALSE),
IF($A41&lt;InsertFittings!$A$237,VLOOKUP($A41,InsertFittings!$A$11:$M$236,6,FALSE),
IF($A41&lt;Valves!$A$132,VLOOKUP($A41,Valves!$A$8:$M$131,6,FALSE),
IF($A41&lt;SDR35SW!$A$124,VLOOKUP($A41,SDR35SW!$A$8:$M$123,6,FALSE),
IF($A41&lt;SDR35G!$A$143,VLOOKUP($A41, SDR35G!$A$8:$M$142,6,FALSE),
IF($A41&lt;SDR26G!$A$61,VLOOKUP($A41,SDR26G!$A$8:$N$60,6,FALSE),
IF($A41&lt;Cements!$A$100,VLOOKUP($A41,Cements!$A$8:$Q$99,6,FALSE),
IF($A41&lt;ValveBox!$A$143,VLOOKUP($A41,ValveBox!$A$10:$O$142,6,FALSE),
IF($A41&lt;'ValveBox Components'!$A$165,VLOOKUP($A41,'ValveBox Components'!$A$10:$O$164,6,FALSE),
IF($A41&lt;Drainage!$A$92,VLOOKUP($A41,Drainage!$A$8:$M$91,6,FALSE),
IF($A41&lt;Nipples!$A$82,VLOOKUP($A41,Nipples!$A$9:$Q$81,6,FALSE),
IF($A41&lt;Manifold!$A$33,VLOOKUP($A41,Manifold!$A$9:$M$32,6,FALSE),
IF($A41&lt;FlexibleRepairCouplings!$A$13,VLOOKUP($A41,FlexibleRepairCouplings!$A$10:$M$12,6,FALSE),
IF($A41&lt;DuraFix!$A$15,VLOOKUP($A41,DuraFix!$A$9:$M$14,6,FALSE),
IF($A41&lt;'Compression Fittings'!$A$16,VLOOKUP($A41,'Compression Fittings'!$A$8:$M$15,6,FALSE),
IF($A41&lt;'Hose Fittings'!$A$30,VLOOKUP($A41,'Hose Fittings'!$A$8:$M$29,6,FALSE),
IF($A41&lt;'Swing Joints'!$A$496,VLOOKUP($A41,'Swing Joints'!$A$9:$M$495,6,FALSE),
IF($A41&lt;'Swing Joints Components'!$A$135,VLOOKUP($A41,'Swing Joints Components'!$A$9:$M$134,6,FALSE),
IF($A41&lt;Nonstandard!$A$42,VLOOKUP($A41,Nonstandard!$A$31:$J$41,7,FALSE),"")))))))))))))))))))))))))))),"")</f>
        <v/>
      </c>
      <c r="E41" s="427"/>
      <c r="F41" s="418" t="str">
        <f>IFERROR(IF($A41&lt;'DWV PVC'!$A$285,VLOOKUP($A41,'DWV PVC'!$A$8:$M$284,9,FALSE),
IF($A41&lt;'DWV ABS'!$A$117,VLOOKUP($A41,'DWV ABS'!$A$8:$M$116,9,FALSE),
IF($A41&lt;'PVC SCH40'!$A$376,VLOOKUP($A41,'PVC SCH40'!$A$8:$M$375,9,FALSE),
IF($A41&lt;'PVC SCH40 LD'!$A$22,VLOOKUP($A41,'PVC SCH40 LD'!$A$8:$M$21,9,FALSE),
IF($A41&lt;'Pool &amp; SPA Sweep Elbows'!$A$12,VLOOKUP($A41,'Pool &amp; SPA Sweep Elbows'!$A$8:$M$11,9,FALSE),
IF($A41&lt;'Pool &amp; SPA Pipe Extender'!$A$11,VLOOKUP($A41,'Pool &amp; SPA Pipe Extender'!$A$8:$M$10,9,FALSE),
IF($A41&lt;'PVC SCH80'!$A$250,VLOOKUP($A41,'PVC SCH80'!$A$8:$M$249,9,FALSE),
IF($A41&lt;'PVC SCH80 Flange'!$A$49,VLOOKUP($A41,'PVC SCH80 Flange'!$A$8:$M$48,9,FALSE),
IF($A41&lt;'PVC SCH80 LD Flange'!$A$17,VLOOKUP($A41,'PVC SCH80 LD Flange'!$A$8:$M$16,9,FALSE),
IF($A41&lt;CPVC!$A$100,VLOOKUP($A41,CPVC!$A$8:$M$99,9,FALSE),
IF($A41&lt;InsertFittings!$A$237,VLOOKUP($A41,InsertFittings!$A$11:$M$236,9,FALSE),
IF($A41&lt;Valves!$A$132,VLOOKUP($A41,Valves!$A$8:$M$131,9,FALSE),
IF($A41&lt;SDR35SW!$A$124,VLOOKUP($A41,SDR35SW!$A$8:$M$123,9,FALSE),
IF($A41&lt;SDR35G!$A$143,VLOOKUP($A41, SDR35G!$A$8:$M$142,9,FALSE),
IF($A41&lt;SDR26G!$A$61,VLOOKUP($A41,SDR26G!$A$8:$N$60,10,FALSE),
IF($A41&lt;Cements!$A$100,VLOOKUP($A41,Cements!$A$8:$Q$99,13,FALSE),
IF($A41&lt;ValveBox!$A$143,VLOOKUP($A41,ValveBox!$A$10:$O$142,11,FALSE),
IF($A41&lt;'ValveBox Components'!$A$165,VLOOKUP($A41,'ValveBox Components'!$A$10:$O$164,11,FALSE),
IF($A41&lt;Drainage!$A$92,VLOOKUP($A41,Drainage!$A$8:$M$91,9,FALSE),
IF($A41&lt;Nipples!$A$82,VLOOKUP($A41,Nipples!$A$9:$Q$81,13,FALSE),
IF($A41&lt;Manifold!$A$33,VLOOKUP($A41,Manifold!$A$9:$M$32,9,FALSE),
IF($A41&lt;FlexibleRepairCouplings!$A$13,VLOOKUP($A41,FlexibleRepairCouplings!$A$10:$M$12,9,FALSE),
IF($A41&lt;DuraFix!$A$15,VLOOKUP($A41,DuraFix!$A$9:$M$14,9,FALSE),
IF($A41&lt;'Compression Fittings'!$A$16,VLOOKUP($A41,'Compression Fittings'!$A$8:$M$15,9,FALSE),
IF($A41&lt;'Hose Fittings'!$A$30,VLOOKUP($A41,'Hose Fittings'!$A$8:$M$29,9,FALSE),
IF($A41&lt;'Swing Joints'!$A$496,VLOOKUP($A41,'Swing Joints'!$A$9:$M$495,9,FALSE),
IF($A41&lt;'Swing Joints Components'!$A$135,VLOOKUP($A41,'Swing Joints Components'!$A$9:$M$134,9,FALSE),
IF($A41&lt;Nonstandard!$A$42,VLOOKUP($A41,Nonstandard!$A$31:$J$41,8,FALSE),"")))))))))))))))))))))))))))),"")</f>
        <v/>
      </c>
      <c r="G41" s="416" t="str">
        <f>IFERROR(IF($A41&lt;'DWV PVC'!$A$285,VLOOKUP($A41,'DWV PVC'!$A$8:$M$284,11,FALSE),
IF($A41&lt;'DWV ABS'!$A$117,VLOOKUP($A41,'DWV ABS'!$A$8:$M$116,11,FALSE),
IF($A41&lt;'PVC SCH40'!$A$376,VLOOKUP($A41,'PVC SCH40'!$A$8:$M$375,11,FALSE),
IF($A41&lt;'PVC SCH40 LD'!$A$22,VLOOKUP($A41,'PVC SCH40 LD'!$A$8:$M$21,11,FALSE),
IF($A41&lt;'Pool &amp; SPA Sweep Elbows'!$A$12,VLOOKUP($A41,'Pool &amp; SPA Sweep Elbows'!$A$8:$M$11,11,FALSE),
IF($A41&lt;'Pool &amp; SPA Pipe Extender'!$A$11,VLOOKUP($A41,'Pool &amp; SPA Pipe Extender'!$A$8:$M$10,11,FALSE),
IF($A41&lt;'PVC SCH80'!$A$250,VLOOKUP($A41,'PVC SCH80'!$A$8:$M$249,11,FALSE),
IF($A41&lt;'PVC SCH80 Flange'!$A$49,VLOOKUP($A41,'PVC SCH80 Flange'!$A$8:$M$48,11,FALSE),
IF($A41&lt;'PVC SCH80 LD Flange'!$A$17,VLOOKUP($A41,'PVC SCH80 LD Flange'!$A$8:$M$16,11,FALSE),
IF($A41&lt;CPVC!$A$100,VLOOKUP($A41,CPVC!$A$8:$M$99,11,FALSE),
IF($A41&lt;InsertFittings!$A$237,VLOOKUP($A41,InsertFittings!$A$11:$M$236,11,FALSE),
IF($A41&lt;Valves!$A$132,VLOOKUP($A41,Valves!$A$8:$M$131,11,FALSE),
IF($A41&lt;SDR35SW!$A$124,VLOOKUP($A41,SDR35SW!$A$8:$M$123,11,FALSE),
IF($A41&lt;SDR35G!$A$143,VLOOKUP($A41, SDR35G!$A$8:$M$142,11,FALSE),
IF($A41&lt;SDR26G!$A$61,VLOOKUP($A41,SDR26G!$A$8:$N$60,12,FALSE),
IF($A41&lt;Cements!$A$100,VLOOKUP($A41,Cements!$A$8:$Q$99,15,FALSE),
IF($A41&lt;ValveBox!$A$143,VLOOKUP($A41,ValveBox!$A$10:$O$142,13,FALSE),
IF($A41&lt;'ValveBox Components'!$A$165,VLOOKUP($A41,'ValveBox Components'!$A$10:$O$164,13,FALSE),
IF($A41&lt;Drainage!$A$92,VLOOKUP($A41,Drainage!$A$8:$M$91,11,FALSE),
IF($A41&lt;Nipples!$A$82,VLOOKUP($A41,Nipples!$A$9:$Q$81,15,FALSE),
IF($A41&lt;Manifold!$A$33,VLOOKUP($A41,Manifold!$A$9:$M$32,11,FALSE),
IF($A41&lt;FlexibleRepairCouplings!$A$13,VLOOKUP($A41,FlexibleRepairCouplings!$A$10:$M$12,11,FALSE),
IF($A41&lt;DuraFix!$A$15,VLOOKUP($A41,DuraFix!$A$9:$M$14,11,FALSE),
IF($A41&lt;'Compression Fittings'!$A$16,VLOOKUP($A41,'Compression Fittings'!$A$8:$M$15,11,FALSE),
IF($A41&lt;'Hose Fittings'!$A$30,VLOOKUP($A41,'Hose Fittings'!$A$8:$M$29,11,FALSE),
IF($A41&lt;'Swing Joints'!$A$496,VLOOKUP($A41,'Swing Joints'!$A$9:$M$495,11,FALSE),
IF($A41&lt;'Swing Joints Components'!$A$135,VLOOKUP($A41,'Swing Joints Components'!$A$9:$M$134,11,FALSE),
IF($A41&lt;Nonstandard!$A$42,VLOOKUP($A41,Nonstandard!$A$31:$J$41,3,FALSE),"")))))))))))))))))))))))))))),"")</f>
        <v/>
      </c>
      <c r="H41" s="586" t="str">
        <f>IFERROR(IF($A41&lt;'DWV PVC'!$A$285,VLOOKUP($A41,'DWV PVC'!$A$8:$M$284,7,FALSE),
IF($A41&lt;'DWV ABS'!$A$117,VLOOKUP($A41,'DWV ABS'!$A$8:$M$116,7,FALSE),
IF($A41&lt;'PVC SCH40'!$A$376,VLOOKUP($A41,'PVC SCH40'!$A$8:$M$375,7,FALSE),
IF($A41&lt;'PVC SCH40 LD'!$A$22,VLOOKUP($A41,'PVC SCH40 LD'!$A$8:$M$21,7,FALSE),
IF($A41&lt;'Pool &amp; SPA Sweep Elbows'!$A$12,VLOOKUP($A41,'Pool &amp; SPA Sweep Elbows'!$A$8:$M$11,7,FALSE),
IF($A41&lt;'Pool &amp; SPA Pipe Extender'!$A$11,VLOOKUP($A41,'Pool &amp; SPA Pipe Extender'!$A$8:$M$10,7,FALSE),
IF($A41&lt;'PVC SCH80'!$A$250,VLOOKUP($A41,'PVC SCH80'!$A$8:$M$249,7,FALSE),
IF($A41&lt;'PVC SCH80 Flange'!$A$49,VLOOKUP($A41,'PVC SCH80 Flange'!$A$8:$M$48,7,FALSE),
IF($A41&lt;'PVC SCH80 LD Flange'!$A$17,VLOOKUP($A41,'PVC SCH80 LD Flange'!$A$8:$M$16,7,FALSE),
IF($A41&lt;CPVC!$A$100,VLOOKUP($A41,CPVC!$A$8:$M$99,7,FALSE),
IF($A41&lt;InsertFittings!$A$237,VLOOKUP($A41,InsertFittings!$A$11:$M$236,7,FALSE),
IF($A41&lt;Valves!$A$132,VLOOKUP($A41,Valves!$A$8:$M$131,7,FALSE),
IF($A41&lt;SDR35SW!$A$124,VLOOKUP($A41,SDR35SW!$A$8:$M$123,7,FALSE),
IF($A41&lt;SDR35G!$A$143,VLOOKUP($A41, SDR35G!$A$8:$M$142,7,FALSE),
IF($A41&lt;SDR26G!$A$61,VLOOKUP($A41,SDR26G!$A$8:$N$60,10,FALSE),
IF($A41&lt;Cements!$A$100,VLOOKUP($A41,Cements!$A$8:$Q$99,13,FALSE),
IF($A41&lt;ValveBox!$A$143,VLOOKUP($A41,ValveBox!$A$10:$O$142,11,FALSE),
IF($A41&lt;'ValveBox Components'!$A$165,VLOOKUP($A41,'ValveBox Components'!$A$10:$O$164,11,FALSE),
IF($A41&lt;Drainage!$A$92,VLOOKUP($A41,Drainage!$A$8:$M$91,7,FALSE),
IF($A41&lt;Nipples!$A$82,VLOOKUP($A41,Nipples!$A$9:$Q$81,13,FALSE),
IF($A41&lt;Manifold!$A$33,VLOOKUP($A41,Manifold!$A$9:$M$32,7,FALSE),
IF($A41&lt;FlexibleRepairCouplings!$A$13,VLOOKUP($A41,FlexibleRepairCouplings!$A$10:$M$12,7,FALSE),
IF($A41&lt;DuraFix!$A$15,VLOOKUP($A41,DuraFix!$A$9:$M$14,7,FALSE),
IF($A41&lt;'Compression Fittings'!$A$16,VLOOKUP($A41,'Compression Fittings'!$A$8:$M$15,7,FALSE),
IF($A41&lt;'Hose Fittings'!$A$30,VLOOKUP($A41,'Hose Fittings'!$A$8:$M$29,7,FALSE),
IF($A41&lt;'Swing Joints'!$A$496,VLOOKUP($A41,'Swing Joints'!$A$9:$M$495,7,FALSE),
IF($A41&lt;'Swing Joints Components'!$A$135,VLOOKUP($A41,'Swing Joints Components'!$A$9:$M$134,7,FALSE),
IF($A41&lt;Nonstandard!$A$42,VLOOKUP($A41,Nonstandard!$A$31:$J$41,3,FALSE),"")))))))))))))))))))))))))))),"")</f>
        <v/>
      </c>
      <c r="I41" s="587"/>
      <c r="J41" s="383" t="str">
        <f t="shared" si="1"/>
        <v/>
      </c>
      <c r="K41" s="417" t="str">
        <f>IFERROR(IF($A41&lt;'DWV PVC'!$A$285,VLOOKUP($A41,'DWV PVC'!$A$8:$M$284,10,FALSE),
IF($A41&lt;'DWV ABS'!$A$117,VLOOKUP($A41,'DWV ABS'!$A$8:$M$116,10,FALSE),
IF($A41&lt;'PVC SCH40'!$A$376,VLOOKUP($A41,'PVC SCH40'!$A$8:$M$375,10,FALSE),
IF($A41&lt;'PVC SCH40 LD'!$A$22,VLOOKUP($A41,'PVC SCH40 LD'!$A$8:$M$21,10,FALSE),
IF($A41&lt;'Pool &amp; SPA Sweep Elbows'!$A$12,VLOOKUP($A41,'Pool &amp; SPA Sweep Elbows'!$A$8:$M$11,10,FALSE),
IF($A41&lt;'Pool &amp; SPA Pipe Extender'!$A$11,VLOOKUP($A41,'Pool &amp; SPA Pipe Extender'!$A$8:$M$10,10,FALSE),
IF($A41&lt;'PVC SCH80'!$A$250,VLOOKUP($A41,'PVC SCH80'!$A$8:$M$249,10,FALSE),
IF($A41&lt;'PVC SCH80 Flange'!$A$49,VLOOKUP($A41,'PVC SCH80 Flange'!$A$8:$M$48,10,FALSE),
IF($A41&lt;'PVC SCH80 LD Flange'!$A$17,VLOOKUP($A41,'PVC SCH80 LD Flange'!$A$8:$M$16,10,FALSE),
IF($A41&lt;CPVC!$A$100,VLOOKUP($A41,CPVC!$A$8:$M$99,10,FALSE),
IF($A41&lt;InsertFittings!$A$237,VLOOKUP($A41,InsertFittings!$A$11:$M$236,10,FALSE),
IF($A41&lt;Valves!$A$132,VLOOKUP($A41,Valves!$A$8:$M$131,10,FALSE),
IF($A41&lt;SDR35SW!$A$124,VLOOKUP($A41,SDR35SW!$A$8:$M$123,10,FALSE),
IF($A41&lt;SDR35G!$A$143,VLOOKUP($A41, SDR35G!$A$8:$M$142,10,FALSE),
IF($A41&lt;SDR26G!$A$61,VLOOKUP($A41,SDR26G!$A$8:$N$60,11,FALSE),
IF($A41&lt;Cements!$A$100,VLOOKUP($A41,Cements!$A$8:$Q$99,14,FALSE),
IF($A41&lt;ValveBox!$A$143,VLOOKUP($A41,ValveBox!$A$10:$O$142,12,FALSE),
IF($A41&lt;'ValveBox Components'!$A$165,VLOOKUP($A41,'ValveBox Components'!$A$10:$O$164,12,FALSE),
IF($A41&lt;Drainage!$A$92,VLOOKUP($A41,Drainage!$A$8:$M$91,10,FALSE),
IF($A41&lt;Nipples!$A$82,VLOOKUP($A41,Nipples!$A$9:$Q$81,14,FALSE),
IF($A41&lt;Manifold!$A$33,VLOOKUP($A41,Manifold!$A$9:$M$32,10,FALSE),
IF($A41&lt;FlexibleRepairCouplings!$A$13,VLOOKUP($A41,FlexibleRepairCouplings!$A$10:$M$12,10,FALSE),
IF($A41&lt;DuraFix!$A$15,VLOOKUP($A41,DuraFix!$A$9:$M$14,10,FALSE),
IF($A41&lt;'Compression Fittings'!$A$16,VLOOKUP($A41,'Compression Fittings'!$A$8:$M$15,10,FALSE),
IF($A41&lt;'Hose Fittings'!$A$30,VLOOKUP($A41,'Hose Fittings'!$A$8:$M$29,10,FALSE),
IF($A41&lt;'Swing Joints'!$A$496,VLOOKUP($A41,'Swing Joints'!$A$9:$M$495,10,FALSE),
IF($A41&lt;'Swing Joints Components'!$A$135,VLOOKUP($A41,'Swing Joints Components'!$A$9:$M$134,10,FALSE),
IF($A41&lt;Nonstandard!$A$42,VLOOKUP($A41,Nonstandard!$A$31:$J$41,10,FALSE),"")))))))))))))))))))))))))))),"")</f>
        <v/>
      </c>
      <c r="L41" s="418" t="str">
        <f t="shared" si="0"/>
        <v>-</v>
      </c>
      <c r="M41" s="419"/>
    </row>
    <row r="42" spans="1:13" ht="15.75">
      <c r="A42" s="420">
        <v>10</v>
      </c>
      <c r="B42" s="420" t="str">
        <f>IFERROR(IF($A42&lt;'DWV PVC'!$A$285,VLOOKUP($A42,'DWV PVC'!$A$8:$M$284,4,FALSE),
IF($A42&lt;'DWV ABS'!$A$117,VLOOKUP($A42,'DWV ABS'!$A$8:$M$116,4,FALSE),
IF($A42&lt;'PVC SCH40'!$A$376,VLOOKUP($A42,'PVC SCH40'!$A$8:$M$375,4,FALSE),
IF($A42&lt;'PVC SCH40 LD'!$A$22,VLOOKUP($A42,'PVC SCH40 LD'!$A$8:$M$21,4,FALSE),
IF($A42&lt;'Pool &amp; SPA Sweep Elbows'!$A$12,VLOOKUP($A42,'Pool &amp; SPA Sweep Elbows'!$A$8:$M$11,4,FALSE),
IF($A42&lt;'Pool &amp; SPA Pipe Extender'!$A$11,VLOOKUP($A42,'Pool &amp; SPA Pipe Extender'!$A$8:$M$10,4,FALSE),
IF($A42&lt;'PVC SCH80'!$A$250,VLOOKUP($A42,'PVC SCH80'!$A$8:$M$249,4,FALSE),
IF($A42&lt;'PVC SCH80 Flange'!$A$49,VLOOKUP($A42,'PVC SCH80 Flange'!$A$8:$M$48,4,FALSE),
IF($A42&lt;'PVC SCH80 LD Flange'!$A$17,VLOOKUP($A42,'PVC SCH80 LD Flange'!$A$8:$M$16,4,FALSE),
IF($A42&lt;CPVC!$A$100,VLOOKUP($A42,CPVC!$A$8:$M$99,4,FALSE),
IF($A42&lt;InsertFittings!$A$237,VLOOKUP($A42,InsertFittings!$A$11:$M$236,4,FALSE),
IF($A42&lt;Valves!$A$132,VLOOKUP($A42,Valves!$A$8:$M$131,4,FALSE),
IF($A42&lt;SDR35SW!$A$124,VLOOKUP($A42,SDR35SW!$A$8:$M$123,4,FALSE),
IF($A42&lt;SDR35G!$A$143,VLOOKUP($A42, SDR35G!$A$8:$M$142,4,FALSE),
IF($A42&lt;SDR26G!$A$61,VLOOKUP($A42,SDR26G!$A$8:$N$60,4,FALSE),
IF($A42&lt;Cements!$A$100,VLOOKUP($A42,Cements!$A$8:$Q$99,4,FALSE),
IF($A42&lt;ValveBox!$A$143,VLOOKUP($A42,ValveBox!$A$10:$O$142,4,FALSE),
IF($A42&lt;'ValveBox Components'!$A$165,VLOOKUP($A42,'ValveBox Components'!$A$10:$O$164,4,FALSE),
IF($A42&lt;Drainage!$A$92,VLOOKUP($A42,Drainage!$A$8:$M$91,4,FALSE),
IF($A42&lt;Nipples!$A$82,VLOOKUP($A42,Nipples!$A$9:$Q$81,4,FALSE),
IF($A42&lt;Manifold!$A$33,VLOOKUP($A42,Manifold!$A$9:$M$32,4,FALSE),
IF($A42&lt;FlexibleRepairCouplings!$A$13,VLOOKUP($A42,FlexibleRepairCouplings!$A$10:$M$12,4,FALSE),
IF($A42&lt;DuraFix!$A$15,VLOOKUP($A42,DuraFix!$A$9:$M$14,4,FALSE),
IF($A42&lt;'Compression Fittings'!$A$16,VLOOKUP($A42,'Compression Fittings'!$A$8:$M$15,4,FALSE),
IF($A42&lt;'Hose Fittings'!$A$30,VLOOKUP($A42,'Hose Fittings'!$A$8:$M$29,4,FALSE),
IF($A42&lt;'Swing Joints'!$A$496,VLOOKUP($A42,'Swing Joints'!$A$9:$M$495,4,FALSE),
IF($A42&lt;'Swing Joints Components'!$A$135,VLOOKUP($A42,'Swing Joints Components'!$A$9:$M$134,4,FALSE),
IF($A42&lt;Nonstandard!$A$42,VLOOKUP($A42,Nonstandard!$A$31:$J$41,5,FALSE),"")))))))))))))))))))))))))))),"")</f>
        <v/>
      </c>
      <c r="C42" s="420" t="str">
        <f>IFERROR(IF($A42&lt;'DWV PVC'!$A$285,VLOOKUP($A42,'DWV PVC'!$A$8:$M$284,5,FALSE),
IF($A42&lt;'DWV ABS'!$A$117,VLOOKUP($A42,'DWV ABS'!$A$8:$M$116,5,FALSE),
IF($A42&lt;'PVC SCH40'!$A$376,VLOOKUP($A42,'PVC SCH40'!$A$8:$M$375,5,FALSE),
IF($A42&lt;'PVC SCH40 LD'!$A$22,VLOOKUP($A42,'PVC SCH40 LD'!$A$8:$M$21,5,FALSE),
IF($A42&lt;'Pool &amp; SPA Sweep Elbows'!$A$12,VLOOKUP($A42,'Pool &amp; SPA Sweep Elbows'!$A$8:$M$11,5,FALSE),
IF($A42&lt;'Pool &amp; SPA Pipe Extender'!$A$11,VLOOKUP($A42,'Pool &amp; SPA Pipe Extender'!$A$8:$M$10,5,FALSE),
IF($A42&lt;'PVC SCH80'!$A$250,VLOOKUP($A42,'PVC SCH80'!$A$8:$M$249,5,FALSE),
IF($A42&lt;'PVC SCH80 Flange'!$A$49,VLOOKUP($A42,'PVC SCH80 Flange'!$A$8:$M$48,5,FALSE),
IF($A42&lt;'PVC SCH80 LD Flange'!$A$17,VLOOKUP($A42,'PVC SCH80 LD Flange'!$A$8:$M$16,5,FALSE),
IF($A42&lt;CPVC!$A$100,VLOOKUP($A42,CPVC!$A$8:$M$99,5,FALSE),
IF($A42&lt;InsertFittings!$A$237,VLOOKUP($A42,InsertFittings!$A$11:$M$236,5,FALSE),
IF($A42&lt;Valves!$A$132,VLOOKUP($A42,Valves!$A$8:$M$131,5,FALSE),
IF($A42&lt;SDR35SW!$A$124,VLOOKUP($A42,SDR35SW!$A$8:$M$123,5,FALSE),
IF($A42&lt;SDR35G!$A$143,VLOOKUP($A42, SDR35G!$A$8:$M$142,5,FALSE),
IF($A42&lt;SDR26G!$A$61,VLOOKUP($A42,SDR26G!$A$8:$N$60,5,FALSE),
IF($A42&lt;Cements!$A$100,VLOOKUP($A42,Cements!$A$8:$Q$99,5,FALSE),
IF($A42&lt;ValveBox!$A$143,VLOOKUP($A42,ValveBox!$A$10:$O$142,5,FALSE),
IF($A42&lt;'ValveBox Components'!$A$165,VLOOKUP($A42,'ValveBox Components'!$A$10:$O$164,5,FALSE),
IF($A42&lt;Drainage!$A$92,VLOOKUP($A42,Drainage!$A$8:$M$91,5,FALSE),
IF($A42&lt;Nipples!$A$82,VLOOKUP($A42,Nipples!$A$9:$Q$81,5,FALSE),
IF($A42&lt;Manifold!$A$33,VLOOKUP($A42,Manifold!$A$9:$M$32,5,FALSE),
IF($A42&lt;FlexibleRepairCouplings!$A$13,VLOOKUP($A42,FlexibleRepairCouplings!$A$10:$M$12,5,FALSE),
IF($A42&lt;DuraFix!$A$15,VLOOKUP($A42,DuraFix!$A$9:$M$14,5,FALSE),
IF($A42&lt;'Compression Fittings'!$A$16,VLOOKUP($A42,'Compression Fittings'!$A$8:$M$15,5,FALSE),
IF($A42&lt;'Hose Fittings'!$A$30,VLOOKUP($A42,'Hose Fittings'!$A$8:$M$29,5,FALSE),
IF($A42&lt;'Swing Joints'!$A$496,VLOOKUP($A42,'Swing Joints'!$A$9:$M$495,5,FALSE),
IF($A42&lt;'Swing Joints Components'!$A$135,VLOOKUP($A42,'Swing Joints Components'!$A$9:$M$134,5,FALSE),
IF($A42&lt;Nonstandard!$A$42,VLOOKUP($A42,Nonstandard!$A$31:$J$41,6,FALSE),"")))))))))))))))))))))))))))),"")</f>
        <v/>
      </c>
      <c r="D42" s="428" t="str">
        <f>IFERROR(IF($A42&lt;'DWV PVC'!$A$285,VLOOKUP($A42,'DWV PVC'!$A$8:$M$284,6,FALSE),
IF($A42&lt;'DWV ABS'!$A$117,VLOOKUP($A42,'DWV ABS'!$A$8:$M$116,6,FALSE),
IF($A42&lt;'PVC SCH40'!$A$376,VLOOKUP($A42,'PVC SCH40'!$A$8:$M$375,6,FALSE),
IF($A42&lt;'PVC SCH40 LD'!$A$22,VLOOKUP($A42,'PVC SCH40 LD'!$A$8:$M$21,6,FALSE),
IF($A42&lt;'Pool &amp; SPA Sweep Elbows'!$A$12,VLOOKUP($A42,'Pool &amp; SPA Sweep Elbows'!$A$8:$M$11,6,FALSE),
IF($A42&lt;'Pool &amp; SPA Pipe Extender'!$A$11,VLOOKUP($A42,'Pool &amp; SPA Pipe Extender'!$A$8:$M$10,6,FALSE),
IF($A42&lt;'PVC SCH80'!$A$250,VLOOKUP($A42,'PVC SCH80'!$A$8:$M$249,6,FALSE),
IF($A42&lt;'PVC SCH80 Flange'!$A$49,VLOOKUP($A42,'PVC SCH80 Flange'!$A$8:$M$48,6,FALSE),
IF($A42&lt;'PVC SCH80 LD Flange'!$A$17,VLOOKUP($A42,'PVC SCH80 LD Flange'!$A$8:$M$16,6,FALSE),
IF($A42&lt;CPVC!$A$100,VLOOKUP($A42,CPVC!$A$8:$M$99,6,FALSE),
IF($A42&lt;InsertFittings!$A$237,VLOOKUP($A42,InsertFittings!$A$11:$M$236,6,FALSE),
IF($A42&lt;Valves!$A$132,VLOOKUP($A42,Valves!$A$8:$M$131,6,FALSE),
IF($A42&lt;SDR35SW!$A$124,VLOOKUP($A42,SDR35SW!$A$8:$M$123,6,FALSE),
IF($A42&lt;SDR35G!$A$143,VLOOKUP($A42, SDR35G!$A$8:$M$142,6,FALSE),
IF($A42&lt;SDR26G!$A$61,VLOOKUP($A42,SDR26G!$A$8:$N$60,6,FALSE),
IF($A42&lt;Cements!$A$100,VLOOKUP($A42,Cements!$A$8:$Q$99,6,FALSE),
IF($A42&lt;ValveBox!$A$143,VLOOKUP($A42,ValveBox!$A$10:$O$142,6,FALSE),
IF($A42&lt;'ValveBox Components'!$A$165,VLOOKUP($A42,'ValveBox Components'!$A$10:$O$164,6,FALSE),
IF($A42&lt;Drainage!$A$92,VLOOKUP($A42,Drainage!$A$8:$M$91,6,FALSE),
IF($A42&lt;Nipples!$A$82,VLOOKUP($A42,Nipples!$A$9:$Q$81,6,FALSE),
IF($A42&lt;Manifold!$A$33,VLOOKUP($A42,Manifold!$A$9:$M$32,6,FALSE),
IF($A42&lt;FlexibleRepairCouplings!$A$13,VLOOKUP($A42,FlexibleRepairCouplings!$A$10:$M$12,6,FALSE),
IF($A42&lt;DuraFix!$A$15,VLOOKUP($A42,DuraFix!$A$9:$M$14,6,FALSE),
IF($A42&lt;'Compression Fittings'!$A$16,VLOOKUP($A42,'Compression Fittings'!$A$8:$M$15,6,FALSE),
IF($A42&lt;'Hose Fittings'!$A$30,VLOOKUP($A42,'Hose Fittings'!$A$8:$M$29,6,FALSE),
IF($A42&lt;'Swing Joints'!$A$496,VLOOKUP($A42,'Swing Joints'!$A$9:$M$495,6,FALSE),
IF($A42&lt;'Swing Joints Components'!$A$135,VLOOKUP($A42,'Swing Joints Components'!$A$9:$M$134,6,FALSE),
IF($A42&lt;Nonstandard!$A$42,VLOOKUP($A42,Nonstandard!$A$31:$J$41,7,FALSE),"")))))))))))))))))))))))))))),"")</f>
        <v/>
      </c>
      <c r="E42" s="429"/>
      <c r="F42" s="421" t="str">
        <f>IFERROR(IF($A42&lt;'DWV PVC'!$A$285,VLOOKUP($A42,'DWV PVC'!$A$8:$M$284,9,FALSE),
IF($A42&lt;'DWV ABS'!$A$117,VLOOKUP($A42,'DWV ABS'!$A$8:$M$116,9,FALSE),
IF($A42&lt;'PVC SCH40'!$A$376,VLOOKUP($A42,'PVC SCH40'!$A$8:$M$375,9,FALSE),
IF($A42&lt;'PVC SCH40 LD'!$A$22,VLOOKUP($A42,'PVC SCH40 LD'!$A$8:$M$21,9,FALSE),
IF($A42&lt;'Pool &amp; SPA Sweep Elbows'!$A$12,VLOOKUP($A42,'Pool &amp; SPA Sweep Elbows'!$A$8:$M$11,9,FALSE),
IF($A42&lt;'Pool &amp; SPA Pipe Extender'!$A$11,VLOOKUP($A42,'Pool &amp; SPA Pipe Extender'!$A$8:$M$10,9,FALSE),
IF($A42&lt;'PVC SCH80'!$A$250,VLOOKUP($A42,'PVC SCH80'!$A$8:$M$249,9,FALSE),
IF($A42&lt;'PVC SCH80 Flange'!$A$49,VLOOKUP($A42,'PVC SCH80 Flange'!$A$8:$M$48,9,FALSE),
IF($A42&lt;'PVC SCH80 LD Flange'!$A$17,VLOOKUP($A42,'PVC SCH80 LD Flange'!$A$8:$M$16,9,FALSE),
IF($A42&lt;CPVC!$A$100,VLOOKUP($A42,CPVC!$A$8:$M$99,9,FALSE),
IF($A42&lt;InsertFittings!$A$237,VLOOKUP($A42,InsertFittings!$A$11:$M$236,9,FALSE),
IF($A42&lt;Valves!$A$132,VLOOKUP($A42,Valves!$A$8:$M$131,9,FALSE),
IF($A42&lt;SDR35SW!$A$124,VLOOKUP($A42,SDR35SW!$A$8:$M$123,9,FALSE),
IF($A42&lt;SDR35G!$A$143,VLOOKUP($A42, SDR35G!$A$8:$M$142,9,FALSE),
IF($A42&lt;SDR26G!$A$61,VLOOKUP($A42,SDR26G!$A$8:$N$60,10,FALSE),
IF($A42&lt;Cements!$A$100,VLOOKUP($A42,Cements!$A$8:$Q$99,13,FALSE),
IF($A42&lt;ValveBox!$A$143,VLOOKUP($A42,ValveBox!$A$10:$O$142,11,FALSE),
IF($A42&lt;'ValveBox Components'!$A$165,VLOOKUP($A42,'ValveBox Components'!$A$10:$O$164,11,FALSE),
IF($A42&lt;Drainage!$A$92,VLOOKUP($A42,Drainage!$A$8:$M$91,9,FALSE),
IF($A42&lt;Nipples!$A$82,VLOOKUP($A42,Nipples!$A$9:$Q$81,13,FALSE),
IF($A42&lt;Manifold!$A$33,VLOOKUP($A42,Manifold!$A$9:$M$32,9,FALSE),
IF($A42&lt;FlexibleRepairCouplings!$A$13,VLOOKUP($A42,FlexibleRepairCouplings!$A$10:$M$12,9,FALSE),
IF($A42&lt;DuraFix!$A$15,VLOOKUP($A42,DuraFix!$A$9:$M$14,9,FALSE),
IF($A42&lt;'Compression Fittings'!$A$16,VLOOKUP($A42,'Compression Fittings'!$A$8:$M$15,9,FALSE),
IF($A42&lt;'Hose Fittings'!$A$30,VLOOKUP($A42,'Hose Fittings'!$A$8:$M$29,9,FALSE),
IF($A42&lt;'Swing Joints'!$A$496,VLOOKUP($A42,'Swing Joints'!$A$9:$M$495,9,FALSE),
IF($A42&lt;'Swing Joints Components'!$A$135,VLOOKUP($A42,'Swing Joints Components'!$A$9:$M$134,9,FALSE),
IF($A42&lt;Nonstandard!$A$42,VLOOKUP($A42,Nonstandard!$A$31:$J$41,8,FALSE),"")))))))))))))))))))))))))))),"")</f>
        <v/>
      </c>
      <c r="G42" s="422" t="str">
        <f>IFERROR(IF($A42&lt;'DWV PVC'!$A$285,VLOOKUP($A42,'DWV PVC'!$A$8:$M$284,11,FALSE),
IF($A42&lt;'DWV ABS'!$A$117,VLOOKUP($A42,'DWV ABS'!$A$8:$M$116,11,FALSE),
IF($A42&lt;'PVC SCH40'!$A$376,VLOOKUP($A42,'PVC SCH40'!$A$8:$M$375,11,FALSE),
IF($A42&lt;'PVC SCH40 LD'!$A$22,VLOOKUP($A42,'PVC SCH40 LD'!$A$8:$M$21,11,FALSE),
IF($A42&lt;'Pool &amp; SPA Sweep Elbows'!$A$12,VLOOKUP($A42,'Pool &amp; SPA Sweep Elbows'!$A$8:$M$11,11,FALSE),
IF($A42&lt;'Pool &amp; SPA Pipe Extender'!$A$11,VLOOKUP($A42,'Pool &amp; SPA Pipe Extender'!$A$8:$M$10,11,FALSE),
IF($A42&lt;'PVC SCH80'!$A$250,VLOOKUP($A42,'PVC SCH80'!$A$8:$M$249,11,FALSE),
IF($A42&lt;'PVC SCH80 Flange'!$A$49,VLOOKUP($A42,'PVC SCH80 Flange'!$A$8:$M$48,11,FALSE),
IF($A42&lt;'PVC SCH80 LD Flange'!$A$17,VLOOKUP($A42,'PVC SCH80 LD Flange'!$A$8:$M$16,11,FALSE),
IF($A42&lt;CPVC!$A$100,VLOOKUP($A42,CPVC!$A$8:$M$99,11,FALSE),
IF($A42&lt;InsertFittings!$A$237,VLOOKUP($A42,InsertFittings!$A$11:$M$236,11,FALSE),
IF($A42&lt;Valves!$A$132,VLOOKUP($A42,Valves!$A$8:$M$131,11,FALSE),
IF($A42&lt;SDR35SW!$A$124,VLOOKUP($A42,SDR35SW!$A$8:$M$123,11,FALSE),
IF($A42&lt;SDR35G!$A$143,VLOOKUP($A42, SDR35G!$A$8:$M$142,11,FALSE),
IF($A42&lt;SDR26G!$A$61,VLOOKUP($A42,SDR26G!$A$8:$N$60,12,FALSE),
IF($A42&lt;Cements!$A$100,VLOOKUP($A42,Cements!$A$8:$Q$99,15,FALSE),
IF($A42&lt;ValveBox!$A$143,VLOOKUP($A42,ValveBox!$A$10:$O$142,13,FALSE),
IF($A42&lt;'ValveBox Components'!$A$165,VLOOKUP($A42,'ValveBox Components'!$A$10:$O$164,13,FALSE),
IF($A42&lt;Drainage!$A$92,VLOOKUP($A42,Drainage!$A$8:$M$91,11,FALSE),
IF($A42&lt;Nipples!$A$82,VLOOKUP($A42,Nipples!$A$9:$Q$81,15,FALSE),
IF($A42&lt;Manifold!$A$33,VLOOKUP($A42,Manifold!$A$9:$M$32,11,FALSE),
IF($A42&lt;FlexibleRepairCouplings!$A$13,VLOOKUP($A42,FlexibleRepairCouplings!$A$10:$M$12,11,FALSE),
IF($A42&lt;DuraFix!$A$15,VLOOKUP($A42,DuraFix!$A$9:$M$14,11,FALSE),
IF($A42&lt;'Compression Fittings'!$A$16,VLOOKUP($A42,'Compression Fittings'!$A$8:$M$15,11,FALSE),
IF($A42&lt;'Hose Fittings'!$A$30,VLOOKUP($A42,'Hose Fittings'!$A$8:$M$29,11,FALSE),
IF($A42&lt;'Swing Joints'!$A$496,VLOOKUP($A42,'Swing Joints'!$A$9:$M$495,11,FALSE),
IF($A42&lt;'Swing Joints Components'!$A$135,VLOOKUP($A42,'Swing Joints Components'!$A$9:$M$134,11,FALSE),
IF($A42&lt;Nonstandard!$A$42,VLOOKUP($A42,Nonstandard!$A$31:$J$41,3,FALSE),"")))))))))))))))))))))))))))),"")</f>
        <v/>
      </c>
      <c r="H42" s="588" t="str">
        <f>IFERROR(IF($A42&lt;'DWV PVC'!$A$285,VLOOKUP($A42,'DWV PVC'!$A$8:$M$284,7,FALSE),
IF($A42&lt;'DWV ABS'!$A$117,VLOOKUP($A42,'DWV ABS'!$A$8:$M$116,7,FALSE),
IF($A42&lt;'PVC SCH40'!$A$376,VLOOKUP($A42,'PVC SCH40'!$A$8:$M$375,7,FALSE),
IF($A42&lt;'PVC SCH40 LD'!$A$22,VLOOKUP($A42,'PVC SCH40 LD'!$A$8:$M$21,7,FALSE),
IF($A42&lt;'Pool &amp; SPA Sweep Elbows'!$A$12,VLOOKUP($A42,'Pool &amp; SPA Sweep Elbows'!$A$8:$M$11,7,FALSE),
IF($A42&lt;'Pool &amp; SPA Pipe Extender'!$A$11,VLOOKUP($A42,'Pool &amp; SPA Pipe Extender'!$A$8:$M$10,7,FALSE),
IF($A42&lt;'PVC SCH80'!$A$250,VLOOKUP($A42,'PVC SCH80'!$A$8:$M$249,7,FALSE),
IF($A42&lt;'PVC SCH80 Flange'!$A$49,VLOOKUP($A42,'PVC SCH80 Flange'!$A$8:$M$48,7,FALSE),
IF($A42&lt;'PVC SCH80 LD Flange'!$A$17,VLOOKUP($A42,'PVC SCH80 LD Flange'!$A$8:$M$16,7,FALSE),
IF($A42&lt;CPVC!$A$100,VLOOKUP($A42,CPVC!$A$8:$M$99,7,FALSE),
IF($A42&lt;InsertFittings!$A$237,VLOOKUP($A42,InsertFittings!$A$11:$M$236,7,FALSE),
IF($A42&lt;Valves!$A$132,VLOOKUP($A42,Valves!$A$8:$M$131,7,FALSE),
IF($A42&lt;SDR35SW!$A$124,VLOOKUP($A42,SDR35SW!$A$8:$M$123,7,FALSE),
IF($A42&lt;SDR35G!$A$143,VLOOKUP($A42, SDR35G!$A$8:$M$142,7,FALSE),
IF($A42&lt;SDR26G!$A$61,VLOOKUP($A42,SDR26G!$A$8:$N$60,10,FALSE),
IF($A42&lt;Cements!$A$100,VLOOKUP($A42,Cements!$A$8:$Q$99,13,FALSE),
IF($A42&lt;ValveBox!$A$143,VLOOKUP($A42,ValveBox!$A$10:$O$142,11,FALSE),
IF($A42&lt;'ValveBox Components'!$A$165,VLOOKUP($A42,'ValveBox Components'!$A$10:$O$164,11,FALSE),
IF($A42&lt;Drainage!$A$92,VLOOKUP($A42,Drainage!$A$8:$M$91,7,FALSE),
IF($A42&lt;Nipples!$A$82,VLOOKUP($A42,Nipples!$A$9:$Q$81,13,FALSE),
IF($A42&lt;Manifold!$A$33,VLOOKUP($A42,Manifold!$A$9:$M$32,7,FALSE),
IF($A42&lt;FlexibleRepairCouplings!$A$13,VLOOKUP($A42,FlexibleRepairCouplings!$A$10:$M$12,7,FALSE),
IF($A42&lt;DuraFix!$A$15,VLOOKUP($A42,DuraFix!$A$9:$M$14,7,FALSE),
IF($A42&lt;'Compression Fittings'!$A$16,VLOOKUP($A42,'Compression Fittings'!$A$8:$M$15,7,FALSE),
IF($A42&lt;'Hose Fittings'!$A$30,VLOOKUP($A42,'Hose Fittings'!$A$8:$M$29,7,FALSE),
IF($A42&lt;'Swing Joints'!$A$496,VLOOKUP($A42,'Swing Joints'!$A$9:$M$495,7,FALSE),
IF($A42&lt;'Swing Joints Components'!$A$135,VLOOKUP($A42,'Swing Joints Components'!$A$9:$M$134,7,FALSE),
IF($A42&lt;Nonstandard!$A$42,VLOOKUP($A42,Nonstandard!$A$31:$J$41,3,FALSE),"")))))))))))))))))))))))))))),"")</f>
        <v/>
      </c>
      <c r="I42" s="589"/>
      <c r="J42" s="423" t="str">
        <f t="shared" si="1"/>
        <v/>
      </c>
      <c r="K42" s="424" t="str">
        <f>IFERROR(IF($A42&lt;'DWV PVC'!$A$285,VLOOKUP($A42,'DWV PVC'!$A$8:$M$284,10,FALSE),
IF($A42&lt;'DWV ABS'!$A$117,VLOOKUP($A42,'DWV ABS'!$A$8:$M$116,10,FALSE),
IF($A42&lt;'PVC SCH40'!$A$376,VLOOKUP($A42,'PVC SCH40'!$A$8:$M$375,10,FALSE),
IF($A42&lt;'PVC SCH40 LD'!$A$22,VLOOKUP($A42,'PVC SCH40 LD'!$A$8:$M$21,10,FALSE),
IF($A42&lt;'Pool &amp; SPA Sweep Elbows'!$A$12,VLOOKUP($A42,'Pool &amp; SPA Sweep Elbows'!$A$8:$M$11,10,FALSE),
IF($A42&lt;'Pool &amp; SPA Pipe Extender'!$A$11,VLOOKUP($A42,'Pool &amp; SPA Pipe Extender'!$A$8:$M$10,10,FALSE),
IF($A42&lt;'PVC SCH80'!$A$250,VLOOKUP($A42,'PVC SCH80'!$A$8:$M$249,10,FALSE),
IF($A42&lt;'PVC SCH80 Flange'!$A$49,VLOOKUP($A42,'PVC SCH80 Flange'!$A$8:$M$48,10,FALSE),
IF($A42&lt;'PVC SCH80 LD Flange'!$A$17,VLOOKUP($A42,'PVC SCH80 LD Flange'!$A$8:$M$16,10,FALSE),
IF($A42&lt;CPVC!$A$100,VLOOKUP($A42,CPVC!$A$8:$M$99,10,FALSE),
IF($A42&lt;InsertFittings!$A$237,VLOOKUP($A42,InsertFittings!$A$11:$M$236,10,FALSE),
IF($A42&lt;Valves!$A$132,VLOOKUP($A42,Valves!$A$8:$M$131,10,FALSE),
IF($A42&lt;SDR35SW!$A$124,VLOOKUP($A42,SDR35SW!$A$8:$M$123,10,FALSE),
IF($A42&lt;SDR35G!$A$143,VLOOKUP($A42, SDR35G!$A$8:$M$142,10,FALSE),
IF($A42&lt;SDR26G!$A$61,VLOOKUP($A42,SDR26G!$A$8:$N$60,11,FALSE),
IF($A42&lt;Cements!$A$100,VLOOKUP($A42,Cements!$A$8:$Q$99,14,FALSE),
IF($A42&lt;ValveBox!$A$143,VLOOKUP($A42,ValveBox!$A$10:$O$142,12,FALSE),
IF($A42&lt;'ValveBox Components'!$A$165,VLOOKUP($A42,'ValveBox Components'!$A$10:$O$164,12,FALSE),
IF($A42&lt;Drainage!$A$92,VLOOKUP($A42,Drainage!$A$8:$M$91,10,FALSE),
IF($A42&lt;Nipples!$A$82,VLOOKUP($A42,Nipples!$A$9:$Q$81,14,FALSE),
IF($A42&lt;Manifold!$A$33,VLOOKUP($A42,Manifold!$A$9:$M$32,10,FALSE),
IF($A42&lt;FlexibleRepairCouplings!$A$13,VLOOKUP($A42,FlexibleRepairCouplings!$A$10:$M$12,10,FALSE),
IF($A42&lt;DuraFix!$A$15,VLOOKUP($A42,DuraFix!$A$9:$M$14,10,FALSE),
IF($A42&lt;'Compression Fittings'!$A$16,VLOOKUP($A42,'Compression Fittings'!$A$8:$M$15,10,FALSE),
IF($A42&lt;'Hose Fittings'!$A$30,VLOOKUP($A42,'Hose Fittings'!$A$8:$M$29,10,FALSE),
IF($A42&lt;'Swing Joints'!$A$496,VLOOKUP($A42,'Swing Joints'!$A$9:$M$495,10,FALSE),
IF($A42&lt;'Swing Joints Components'!$A$135,VLOOKUP($A42,'Swing Joints Components'!$A$9:$M$134,10,FALSE),
IF($A42&lt;Nonstandard!$A$42,VLOOKUP($A42,Nonstandard!$A$31:$J$41,10,FALSE),"")))))))))))))))))))))))))))),"")</f>
        <v/>
      </c>
      <c r="L42" s="421" t="str">
        <f t="shared" si="0"/>
        <v>-</v>
      </c>
      <c r="M42" s="425"/>
    </row>
    <row r="43" spans="1:13" ht="15.75">
      <c r="A43" s="415">
        <v>11</v>
      </c>
      <c r="B43" s="415" t="str">
        <f>IFERROR(IF($A43&lt;'DWV PVC'!$A$285,VLOOKUP($A43,'DWV PVC'!$A$8:$M$284,4,FALSE),
IF($A43&lt;'DWV ABS'!$A$117,VLOOKUP($A43,'DWV ABS'!$A$8:$M$116,4,FALSE),
IF($A43&lt;'PVC SCH40'!$A$376,VLOOKUP($A43,'PVC SCH40'!$A$8:$M$375,4,FALSE),
IF($A43&lt;'PVC SCH40 LD'!$A$22,VLOOKUP($A43,'PVC SCH40 LD'!$A$8:$M$21,4,FALSE),
IF($A43&lt;'Pool &amp; SPA Sweep Elbows'!$A$12,VLOOKUP($A43,'Pool &amp; SPA Sweep Elbows'!$A$8:$M$11,4,FALSE),
IF($A43&lt;'Pool &amp; SPA Pipe Extender'!$A$11,VLOOKUP($A43,'Pool &amp; SPA Pipe Extender'!$A$8:$M$10,4,FALSE),
IF($A43&lt;'PVC SCH80'!$A$250,VLOOKUP($A43,'PVC SCH80'!$A$8:$M$249,4,FALSE),
IF($A43&lt;'PVC SCH80 Flange'!$A$49,VLOOKUP($A43,'PVC SCH80 Flange'!$A$8:$M$48,4,FALSE),
IF($A43&lt;'PVC SCH80 LD Flange'!$A$17,VLOOKUP($A43,'PVC SCH80 LD Flange'!$A$8:$M$16,4,FALSE),
IF($A43&lt;CPVC!$A$100,VLOOKUP($A43,CPVC!$A$8:$M$99,4,FALSE),
IF($A43&lt;InsertFittings!$A$237,VLOOKUP($A43,InsertFittings!$A$11:$M$236,4,FALSE),
IF($A43&lt;Valves!$A$132,VLOOKUP($A43,Valves!$A$8:$M$131,4,FALSE),
IF($A43&lt;SDR35SW!$A$124,VLOOKUP($A43,SDR35SW!$A$8:$M$123,4,FALSE),
IF($A43&lt;SDR35G!$A$143,VLOOKUP($A43, SDR35G!$A$8:$M$142,4,FALSE),
IF($A43&lt;SDR26G!$A$61,VLOOKUP($A43,SDR26G!$A$8:$N$60,4,FALSE),
IF($A43&lt;Cements!$A$100,VLOOKUP($A43,Cements!$A$8:$Q$99,4,FALSE),
IF($A43&lt;ValveBox!$A$143,VLOOKUP($A43,ValveBox!$A$10:$O$142,4,FALSE),
IF($A43&lt;'ValveBox Components'!$A$165,VLOOKUP($A43,'ValveBox Components'!$A$10:$O$164,4,FALSE),
IF($A43&lt;Drainage!$A$92,VLOOKUP($A43,Drainage!$A$8:$M$91,4,FALSE),
IF($A43&lt;Nipples!$A$82,VLOOKUP($A43,Nipples!$A$9:$Q$81,4,FALSE),
IF($A43&lt;Manifold!$A$33,VLOOKUP($A43,Manifold!$A$9:$M$32,4,FALSE),
IF($A43&lt;FlexibleRepairCouplings!$A$13,VLOOKUP($A43,FlexibleRepairCouplings!$A$10:$M$12,4,FALSE),
IF($A43&lt;DuraFix!$A$15,VLOOKUP($A43,DuraFix!$A$9:$M$14,4,FALSE),
IF($A43&lt;'Compression Fittings'!$A$16,VLOOKUP($A43,'Compression Fittings'!$A$8:$M$15,4,FALSE),
IF($A43&lt;'Hose Fittings'!$A$30,VLOOKUP($A43,'Hose Fittings'!$A$8:$M$29,4,FALSE),
IF($A43&lt;'Swing Joints'!$A$496,VLOOKUP($A43,'Swing Joints'!$A$9:$M$495,4,FALSE),
IF($A43&lt;'Swing Joints Components'!$A$135,VLOOKUP($A43,'Swing Joints Components'!$A$9:$M$134,4,FALSE),
IF($A43&lt;Nonstandard!$A$42,VLOOKUP($A43,Nonstandard!$A$31:$J$41,5,FALSE),"")))))))))))))))))))))))))))),"")</f>
        <v/>
      </c>
      <c r="C43" s="415" t="str">
        <f>IFERROR(IF($A43&lt;'DWV PVC'!$A$285,VLOOKUP($A43,'DWV PVC'!$A$8:$M$284,5,FALSE),
IF($A43&lt;'DWV ABS'!$A$117,VLOOKUP($A43,'DWV ABS'!$A$8:$M$116,5,FALSE),
IF($A43&lt;'PVC SCH40'!$A$376,VLOOKUP($A43,'PVC SCH40'!$A$8:$M$375,5,FALSE),
IF($A43&lt;'PVC SCH40 LD'!$A$22,VLOOKUP($A43,'PVC SCH40 LD'!$A$8:$M$21,5,FALSE),
IF($A43&lt;'Pool &amp; SPA Sweep Elbows'!$A$12,VLOOKUP($A43,'Pool &amp; SPA Sweep Elbows'!$A$8:$M$11,5,FALSE),
IF($A43&lt;'Pool &amp; SPA Pipe Extender'!$A$11,VLOOKUP($A43,'Pool &amp; SPA Pipe Extender'!$A$8:$M$10,5,FALSE),
IF($A43&lt;'PVC SCH80'!$A$250,VLOOKUP($A43,'PVC SCH80'!$A$8:$M$249,5,FALSE),
IF($A43&lt;'PVC SCH80 Flange'!$A$49,VLOOKUP($A43,'PVC SCH80 Flange'!$A$8:$M$48,5,FALSE),
IF($A43&lt;'PVC SCH80 LD Flange'!$A$17,VLOOKUP($A43,'PVC SCH80 LD Flange'!$A$8:$M$16,5,FALSE),
IF($A43&lt;CPVC!$A$100,VLOOKUP($A43,CPVC!$A$8:$M$99,5,FALSE),
IF($A43&lt;InsertFittings!$A$237,VLOOKUP($A43,InsertFittings!$A$11:$M$236,5,FALSE),
IF($A43&lt;Valves!$A$132,VLOOKUP($A43,Valves!$A$8:$M$131,5,FALSE),
IF($A43&lt;SDR35SW!$A$124,VLOOKUP($A43,SDR35SW!$A$8:$M$123,5,FALSE),
IF($A43&lt;SDR35G!$A$143,VLOOKUP($A43, SDR35G!$A$8:$M$142,5,FALSE),
IF($A43&lt;SDR26G!$A$61,VLOOKUP($A43,SDR26G!$A$8:$N$60,5,FALSE),
IF($A43&lt;Cements!$A$100,VLOOKUP($A43,Cements!$A$8:$Q$99,5,FALSE),
IF($A43&lt;ValveBox!$A$143,VLOOKUP($A43,ValveBox!$A$10:$O$142,5,FALSE),
IF($A43&lt;'ValveBox Components'!$A$165,VLOOKUP($A43,'ValveBox Components'!$A$10:$O$164,5,FALSE),
IF($A43&lt;Drainage!$A$92,VLOOKUP($A43,Drainage!$A$8:$M$91,5,FALSE),
IF($A43&lt;Nipples!$A$82,VLOOKUP($A43,Nipples!$A$9:$Q$81,5,FALSE),
IF($A43&lt;Manifold!$A$33,VLOOKUP($A43,Manifold!$A$9:$M$32,5,FALSE),
IF($A43&lt;FlexibleRepairCouplings!$A$13,VLOOKUP($A43,FlexibleRepairCouplings!$A$10:$M$12,5,FALSE),
IF($A43&lt;DuraFix!$A$15,VLOOKUP($A43,DuraFix!$A$9:$M$14,5,FALSE),
IF($A43&lt;'Compression Fittings'!$A$16,VLOOKUP($A43,'Compression Fittings'!$A$8:$M$15,5,FALSE),
IF($A43&lt;'Hose Fittings'!$A$30,VLOOKUP($A43,'Hose Fittings'!$A$8:$M$29,5,FALSE),
IF($A43&lt;'Swing Joints'!$A$496,VLOOKUP($A43,'Swing Joints'!$A$9:$M$495,5,FALSE),
IF($A43&lt;'Swing Joints Components'!$A$135,VLOOKUP($A43,'Swing Joints Components'!$A$9:$M$134,5,FALSE),
IF($A43&lt;Nonstandard!$A$42,VLOOKUP($A43,Nonstandard!$A$31:$J$41,6,FALSE),"")))))))))))))))))))))))))))),"")</f>
        <v/>
      </c>
      <c r="D43" s="426" t="str">
        <f>IFERROR(IF($A43&lt;'DWV PVC'!$A$285,VLOOKUP($A43,'DWV PVC'!$A$8:$M$284,6,FALSE),
IF($A43&lt;'DWV ABS'!$A$117,VLOOKUP($A43,'DWV ABS'!$A$8:$M$116,6,FALSE),
IF($A43&lt;'PVC SCH40'!$A$376,VLOOKUP($A43,'PVC SCH40'!$A$8:$M$375,6,FALSE),
IF($A43&lt;'PVC SCH40 LD'!$A$22,VLOOKUP($A43,'PVC SCH40 LD'!$A$8:$M$21,6,FALSE),
IF($A43&lt;'Pool &amp; SPA Sweep Elbows'!$A$12,VLOOKUP($A43,'Pool &amp; SPA Sweep Elbows'!$A$8:$M$11,6,FALSE),
IF($A43&lt;'Pool &amp; SPA Pipe Extender'!$A$11,VLOOKUP($A43,'Pool &amp; SPA Pipe Extender'!$A$8:$M$10,6,FALSE),
IF($A43&lt;'PVC SCH80'!$A$250,VLOOKUP($A43,'PVC SCH80'!$A$8:$M$249,6,FALSE),
IF($A43&lt;'PVC SCH80 Flange'!$A$49,VLOOKUP($A43,'PVC SCH80 Flange'!$A$8:$M$48,6,FALSE),
IF($A43&lt;'PVC SCH80 LD Flange'!$A$17,VLOOKUP($A43,'PVC SCH80 LD Flange'!$A$8:$M$16,6,FALSE),
IF($A43&lt;CPVC!$A$100,VLOOKUP($A43,CPVC!$A$8:$M$99,6,FALSE),
IF($A43&lt;InsertFittings!$A$237,VLOOKUP($A43,InsertFittings!$A$11:$M$236,6,FALSE),
IF($A43&lt;Valves!$A$132,VLOOKUP($A43,Valves!$A$8:$M$131,6,FALSE),
IF($A43&lt;SDR35SW!$A$124,VLOOKUP($A43,SDR35SW!$A$8:$M$123,6,FALSE),
IF($A43&lt;SDR35G!$A$143,VLOOKUP($A43, SDR35G!$A$8:$M$142,6,FALSE),
IF($A43&lt;SDR26G!$A$61,VLOOKUP($A43,SDR26G!$A$8:$N$60,6,FALSE),
IF($A43&lt;Cements!$A$100,VLOOKUP($A43,Cements!$A$8:$Q$99,6,FALSE),
IF($A43&lt;ValveBox!$A$143,VLOOKUP($A43,ValveBox!$A$10:$O$142,6,FALSE),
IF($A43&lt;'ValveBox Components'!$A$165,VLOOKUP($A43,'ValveBox Components'!$A$10:$O$164,6,FALSE),
IF($A43&lt;Drainage!$A$92,VLOOKUP($A43,Drainage!$A$8:$M$91,6,FALSE),
IF($A43&lt;Nipples!$A$82,VLOOKUP($A43,Nipples!$A$9:$Q$81,6,FALSE),
IF($A43&lt;Manifold!$A$33,VLOOKUP($A43,Manifold!$A$9:$M$32,6,FALSE),
IF($A43&lt;FlexibleRepairCouplings!$A$13,VLOOKUP($A43,FlexibleRepairCouplings!$A$10:$M$12,6,FALSE),
IF($A43&lt;DuraFix!$A$15,VLOOKUP($A43,DuraFix!$A$9:$M$14,6,FALSE),
IF($A43&lt;'Compression Fittings'!$A$16,VLOOKUP($A43,'Compression Fittings'!$A$8:$M$15,6,FALSE),
IF($A43&lt;'Hose Fittings'!$A$30,VLOOKUP($A43,'Hose Fittings'!$A$8:$M$29,6,FALSE),
IF($A43&lt;'Swing Joints'!$A$496,VLOOKUP($A43,'Swing Joints'!$A$9:$M$495,6,FALSE),
IF($A43&lt;'Swing Joints Components'!$A$135,VLOOKUP($A43,'Swing Joints Components'!$A$9:$M$134,6,FALSE),
IF($A43&lt;Nonstandard!$A$42,VLOOKUP($A43,Nonstandard!$A$31:$J$41,7,FALSE),"")))))))))))))))))))))))))))),"")</f>
        <v/>
      </c>
      <c r="E43" s="427"/>
      <c r="F43" s="418" t="str">
        <f>IFERROR(IF($A43&lt;'DWV PVC'!$A$285,VLOOKUP($A43,'DWV PVC'!$A$8:$M$284,9,FALSE),
IF($A43&lt;'DWV ABS'!$A$117,VLOOKUP($A43,'DWV ABS'!$A$8:$M$116,9,FALSE),
IF($A43&lt;'PVC SCH40'!$A$376,VLOOKUP($A43,'PVC SCH40'!$A$8:$M$375,9,FALSE),
IF($A43&lt;'PVC SCH40 LD'!$A$22,VLOOKUP($A43,'PVC SCH40 LD'!$A$8:$M$21,9,FALSE),
IF($A43&lt;'Pool &amp; SPA Sweep Elbows'!$A$12,VLOOKUP($A43,'Pool &amp; SPA Sweep Elbows'!$A$8:$M$11,9,FALSE),
IF($A43&lt;'Pool &amp; SPA Pipe Extender'!$A$11,VLOOKUP($A43,'Pool &amp; SPA Pipe Extender'!$A$8:$M$10,9,FALSE),
IF($A43&lt;'PVC SCH80'!$A$250,VLOOKUP($A43,'PVC SCH80'!$A$8:$M$249,9,FALSE),
IF($A43&lt;'PVC SCH80 Flange'!$A$49,VLOOKUP($A43,'PVC SCH80 Flange'!$A$8:$M$48,9,FALSE),
IF($A43&lt;'PVC SCH80 LD Flange'!$A$17,VLOOKUP($A43,'PVC SCH80 LD Flange'!$A$8:$M$16,9,FALSE),
IF($A43&lt;CPVC!$A$100,VLOOKUP($A43,CPVC!$A$8:$M$99,9,FALSE),
IF($A43&lt;InsertFittings!$A$237,VLOOKUP($A43,InsertFittings!$A$11:$M$236,9,FALSE),
IF($A43&lt;Valves!$A$132,VLOOKUP($A43,Valves!$A$8:$M$131,9,FALSE),
IF($A43&lt;SDR35SW!$A$124,VLOOKUP($A43,SDR35SW!$A$8:$M$123,9,FALSE),
IF($A43&lt;SDR35G!$A$143,VLOOKUP($A43, SDR35G!$A$8:$M$142,9,FALSE),
IF($A43&lt;SDR26G!$A$61,VLOOKUP($A43,SDR26G!$A$8:$N$60,10,FALSE),
IF($A43&lt;Cements!$A$100,VLOOKUP($A43,Cements!$A$8:$Q$99,13,FALSE),
IF($A43&lt;ValveBox!$A$143,VLOOKUP($A43,ValveBox!$A$10:$O$142,11,FALSE),
IF($A43&lt;'ValveBox Components'!$A$165,VLOOKUP($A43,'ValveBox Components'!$A$10:$O$164,11,FALSE),
IF($A43&lt;Drainage!$A$92,VLOOKUP($A43,Drainage!$A$8:$M$91,9,FALSE),
IF($A43&lt;Nipples!$A$82,VLOOKUP($A43,Nipples!$A$9:$Q$81,13,FALSE),
IF($A43&lt;Manifold!$A$33,VLOOKUP($A43,Manifold!$A$9:$M$32,9,FALSE),
IF($A43&lt;FlexibleRepairCouplings!$A$13,VLOOKUP($A43,FlexibleRepairCouplings!$A$10:$M$12,9,FALSE),
IF($A43&lt;DuraFix!$A$15,VLOOKUP($A43,DuraFix!$A$9:$M$14,9,FALSE),
IF($A43&lt;'Compression Fittings'!$A$16,VLOOKUP($A43,'Compression Fittings'!$A$8:$M$15,9,FALSE),
IF($A43&lt;'Hose Fittings'!$A$30,VLOOKUP($A43,'Hose Fittings'!$A$8:$M$29,9,FALSE),
IF($A43&lt;'Swing Joints'!$A$496,VLOOKUP($A43,'Swing Joints'!$A$9:$M$495,9,FALSE),
IF($A43&lt;'Swing Joints Components'!$A$135,VLOOKUP($A43,'Swing Joints Components'!$A$9:$M$134,9,FALSE),
IF($A43&lt;Nonstandard!$A$42,VLOOKUP($A43,Nonstandard!$A$31:$J$41,8,FALSE),"")))))))))))))))))))))))))))),"")</f>
        <v/>
      </c>
      <c r="G43" s="416" t="str">
        <f>IFERROR(IF($A43&lt;'DWV PVC'!$A$285,VLOOKUP($A43,'DWV PVC'!$A$8:$M$284,11,FALSE),
IF($A43&lt;'DWV ABS'!$A$117,VLOOKUP($A43,'DWV ABS'!$A$8:$M$116,11,FALSE),
IF($A43&lt;'PVC SCH40'!$A$376,VLOOKUP($A43,'PVC SCH40'!$A$8:$M$375,11,FALSE),
IF($A43&lt;'PVC SCH40 LD'!$A$22,VLOOKUP($A43,'PVC SCH40 LD'!$A$8:$M$21,11,FALSE),
IF($A43&lt;'Pool &amp; SPA Sweep Elbows'!$A$12,VLOOKUP($A43,'Pool &amp; SPA Sweep Elbows'!$A$8:$M$11,11,FALSE),
IF($A43&lt;'Pool &amp; SPA Pipe Extender'!$A$11,VLOOKUP($A43,'Pool &amp; SPA Pipe Extender'!$A$8:$M$10,11,FALSE),
IF($A43&lt;'PVC SCH80'!$A$250,VLOOKUP($A43,'PVC SCH80'!$A$8:$M$249,11,FALSE),
IF($A43&lt;'PVC SCH80 Flange'!$A$49,VLOOKUP($A43,'PVC SCH80 Flange'!$A$8:$M$48,11,FALSE),
IF($A43&lt;'PVC SCH80 LD Flange'!$A$17,VLOOKUP($A43,'PVC SCH80 LD Flange'!$A$8:$M$16,11,FALSE),
IF($A43&lt;CPVC!$A$100,VLOOKUP($A43,CPVC!$A$8:$M$99,11,FALSE),
IF($A43&lt;InsertFittings!$A$237,VLOOKUP($A43,InsertFittings!$A$11:$M$236,11,FALSE),
IF($A43&lt;Valves!$A$132,VLOOKUP($A43,Valves!$A$8:$M$131,11,FALSE),
IF($A43&lt;SDR35SW!$A$124,VLOOKUP($A43,SDR35SW!$A$8:$M$123,11,FALSE),
IF($A43&lt;SDR35G!$A$143,VLOOKUP($A43, SDR35G!$A$8:$M$142,11,FALSE),
IF($A43&lt;SDR26G!$A$61,VLOOKUP($A43,SDR26G!$A$8:$N$60,12,FALSE),
IF($A43&lt;Cements!$A$100,VLOOKUP($A43,Cements!$A$8:$Q$99,15,FALSE),
IF($A43&lt;ValveBox!$A$143,VLOOKUP($A43,ValveBox!$A$10:$O$142,13,FALSE),
IF($A43&lt;'ValveBox Components'!$A$165,VLOOKUP($A43,'ValveBox Components'!$A$10:$O$164,13,FALSE),
IF($A43&lt;Drainage!$A$92,VLOOKUP($A43,Drainage!$A$8:$M$91,11,FALSE),
IF($A43&lt;Nipples!$A$82,VLOOKUP($A43,Nipples!$A$9:$Q$81,15,FALSE),
IF($A43&lt;Manifold!$A$33,VLOOKUP($A43,Manifold!$A$9:$M$32,11,FALSE),
IF($A43&lt;FlexibleRepairCouplings!$A$13,VLOOKUP($A43,FlexibleRepairCouplings!$A$10:$M$12,11,FALSE),
IF($A43&lt;DuraFix!$A$15,VLOOKUP($A43,DuraFix!$A$9:$M$14,11,FALSE),
IF($A43&lt;'Compression Fittings'!$A$16,VLOOKUP($A43,'Compression Fittings'!$A$8:$M$15,11,FALSE),
IF($A43&lt;'Hose Fittings'!$A$30,VLOOKUP($A43,'Hose Fittings'!$A$8:$M$29,11,FALSE),
IF($A43&lt;'Swing Joints'!$A$496,VLOOKUP($A43,'Swing Joints'!$A$9:$M$495,11,FALSE),
IF($A43&lt;'Swing Joints Components'!$A$135,VLOOKUP($A43,'Swing Joints Components'!$A$9:$M$134,11,FALSE),
IF($A43&lt;Nonstandard!$A$42,VLOOKUP($A43,Nonstandard!$A$31:$J$41,3,FALSE),"")))))))))))))))))))))))))))),"")</f>
        <v/>
      </c>
      <c r="H43" s="586" t="str">
        <f>IFERROR(IF($A43&lt;'DWV PVC'!$A$285,VLOOKUP($A43,'DWV PVC'!$A$8:$M$284,7,FALSE),
IF($A43&lt;'DWV ABS'!$A$117,VLOOKUP($A43,'DWV ABS'!$A$8:$M$116,7,FALSE),
IF($A43&lt;'PVC SCH40'!$A$376,VLOOKUP($A43,'PVC SCH40'!$A$8:$M$375,7,FALSE),
IF($A43&lt;'PVC SCH40 LD'!$A$22,VLOOKUP($A43,'PVC SCH40 LD'!$A$8:$M$21,7,FALSE),
IF($A43&lt;'Pool &amp; SPA Sweep Elbows'!$A$12,VLOOKUP($A43,'Pool &amp; SPA Sweep Elbows'!$A$8:$M$11,7,FALSE),
IF($A43&lt;'Pool &amp; SPA Pipe Extender'!$A$11,VLOOKUP($A43,'Pool &amp; SPA Pipe Extender'!$A$8:$M$10,7,FALSE),
IF($A43&lt;'PVC SCH80'!$A$250,VLOOKUP($A43,'PVC SCH80'!$A$8:$M$249,7,FALSE),
IF($A43&lt;'PVC SCH80 Flange'!$A$49,VLOOKUP($A43,'PVC SCH80 Flange'!$A$8:$M$48,7,FALSE),
IF($A43&lt;'PVC SCH80 LD Flange'!$A$17,VLOOKUP($A43,'PVC SCH80 LD Flange'!$A$8:$M$16,7,FALSE),
IF($A43&lt;CPVC!$A$100,VLOOKUP($A43,CPVC!$A$8:$M$99,7,FALSE),
IF($A43&lt;InsertFittings!$A$237,VLOOKUP($A43,InsertFittings!$A$11:$M$236,7,FALSE),
IF($A43&lt;Valves!$A$132,VLOOKUP($A43,Valves!$A$8:$M$131,7,FALSE),
IF($A43&lt;SDR35SW!$A$124,VLOOKUP($A43,SDR35SW!$A$8:$M$123,7,FALSE),
IF($A43&lt;SDR35G!$A$143,VLOOKUP($A43, SDR35G!$A$8:$M$142,7,FALSE),
IF($A43&lt;SDR26G!$A$61,VLOOKUP($A43,SDR26G!$A$8:$N$60,10,FALSE),
IF($A43&lt;Cements!$A$100,VLOOKUP($A43,Cements!$A$8:$Q$99,13,FALSE),
IF($A43&lt;ValveBox!$A$143,VLOOKUP($A43,ValveBox!$A$10:$O$142,11,FALSE),
IF($A43&lt;'ValveBox Components'!$A$165,VLOOKUP($A43,'ValveBox Components'!$A$10:$O$164,11,FALSE),
IF($A43&lt;Drainage!$A$92,VLOOKUP($A43,Drainage!$A$8:$M$91,7,FALSE),
IF($A43&lt;Nipples!$A$82,VLOOKUP($A43,Nipples!$A$9:$Q$81,13,FALSE),
IF($A43&lt;Manifold!$A$33,VLOOKUP($A43,Manifold!$A$9:$M$32,7,FALSE),
IF($A43&lt;FlexibleRepairCouplings!$A$13,VLOOKUP($A43,FlexibleRepairCouplings!$A$10:$M$12,7,FALSE),
IF($A43&lt;DuraFix!$A$15,VLOOKUP($A43,DuraFix!$A$9:$M$14,7,FALSE),
IF($A43&lt;'Compression Fittings'!$A$16,VLOOKUP($A43,'Compression Fittings'!$A$8:$M$15,7,FALSE),
IF($A43&lt;'Hose Fittings'!$A$30,VLOOKUP($A43,'Hose Fittings'!$A$8:$M$29,7,FALSE),
IF($A43&lt;'Swing Joints'!$A$496,VLOOKUP($A43,'Swing Joints'!$A$9:$M$495,7,FALSE),
IF($A43&lt;'Swing Joints Components'!$A$135,VLOOKUP($A43,'Swing Joints Components'!$A$9:$M$134,7,FALSE),
IF($A43&lt;Nonstandard!$A$42,VLOOKUP($A43,Nonstandard!$A$31:$J$41,3,FALSE),"")))))))))))))))))))))))))))),"")</f>
        <v/>
      </c>
      <c r="I43" s="587"/>
      <c r="J43" s="383" t="str">
        <f t="shared" si="1"/>
        <v/>
      </c>
      <c r="K43" s="417" t="str">
        <f>IFERROR(IF($A43&lt;'DWV PVC'!$A$285,VLOOKUP($A43,'DWV PVC'!$A$8:$M$284,10,FALSE),
IF($A43&lt;'DWV ABS'!$A$117,VLOOKUP($A43,'DWV ABS'!$A$8:$M$116,10,FALSE),
IF($A43&lt;'PVC SCH40'!$A$376,VLOOKUP($A43,'PVC SCH40'!$A$8:$M$375,10,FALSE),
IF($A43&lt;'PVC SCH40 LD'!$A$22,VLOOKUP($A43,'PVC SCH40 LD'!$A$8:$M$21,10,FALSE),
IF($A43&lt;'Pool &amp; SPA Sweep Elbows'!$A$12,VLOOKUP($A43,'Pool &amp; SPA Sweep Elbows'!$A$8:$M$11,10,FALSE),
IF($A43&lt;'Pool &amp; SPA Pipe Extender'!$A$11,VLOOKUP($A43,'Pool &amp; SPA Pipe Extender'!$A$8:$M$10,10,FALSE),
IF($A43&lt;'PVC SCH80'!$A$250,VLOOKUP($A43,'PVC SCH80'!$A$8:$M$249,10,FALSE),
IF($A43&lt;'PVC SCH80 Flange'!$A$49,VLOOKUP($A43,'PVC SCH80 Flange'!$A$8:$M$48,10,FALSE),
IF($A43&lt;'PVC SCH80 LD Flange'!$A$17,VLOOKUP($A43,'PVC SCH80 LD Flange'!$A$8:$M$16,10,FALSE),
IF($A43&lt;CPVC!$A$100,VLOOKUP($A43,CPVC!$A$8:$M$99,10,FALSE),
IF($A43&lt;InsertFittings!$A$237,VLOOKUP($A43,InsertFittings!$A$11:$M$236,10,FALSE),
IF($A43&lt;Valves!$A$132,VLOOKUP($A43,Valves!$A$8:$M$131,10,FALSE),
IF($A43&lt;SDR35SW!$A$124,VLOOKUP($A43,SDR35SW!$A$8:$M$123,10,FALSE),
IF($A43&lt;SDR35G!$A$143,VLOOKUP($A43, SDR35G!$A$8:$M$142,10,FALSE),
IF($A43&lt;SDR26G!$A$61,VLOOKUP($A43,SDR26G!$A$8:$N$60,11,FALSE),
IF($A43&lt;Cements!$A$100,VLOOKUP($A43,Cements!$A$8:$Q$99,14,FALSE),
IF($A43&lt;ValveBox!$A$143,VLOOKUP($A43,ValveBox!$A$10:$O$142,12,FALSE),
IF($A43&lt;'ValveBox Components'!$A$165,VLOOKUP($A43,'ValveBox Components'!$A$10:$O$164,12,FALSE),
IF($A43&lt;Drainage!$A$92,VLOOKUP($A43,Drainage!$A$8:$M$91,10,FALSE),
IF($A43&lt;Nipples!$A$82,VLOOKUP($A43,Nipples!$A$9:$Q$81,14,FALSE),
IF($A43&lt;Manifold!$A$33,VLOOKUP($A43,Manifold!$A$9:$M$32,10,FALSE),
IF($A43&lt;FlexibleRepairCouplings!$A$13,VLOOKUP($A43,FlexibleRepairCouplings!$A$10:$M$12,10,FALSE),
IF($A43&lt;DuraFix!$A$15,VLOOKUP($A43,DuraFix!$A$9:$M$14,10,FALSE),
IF($A43&lt;'Compression Fittings'!$A$16,VLOOKUP($A43,'Compression Fittings'!$A$8:$M$15,10,FALSE),
IF($A43&lt;'Hose Fittings'!$A$30,VLOOKUP($A43,'Hose Fittings'!$A$8:$M$29,10,FALSE),
IF($A43&lt;'Swing Joints'!$A$496,VLOOKUP($A43,'Swing Joints'!$A$9:$M$495,10,FALSE),
IF($A43&lt;'Swing Joints Components'!$A$135,VLOOKUP($A43,'Swing Joints Components'!$A$9:$M$134,10,FALSE),
IF($A43&lt;Nonstandard!$A$42,VLOOKUP($A43,Nonstandard!$A$31:$J$41,10,FALSE),"")))))))))))))))))))))))))))),"")</f>
        <v/>
      </c>
      <c r="L43" s="418" t="str">
        <f t="shared" si="0"/>
        <v>-</v>
      </c>
      <c r="M43" s="419"/>
    </row>
    <row r="44" spans="1:13" ht="15.75">
      <c r="A44" s="420">
        <v>12</v>
      </c>
      <c r="B44" s="420" t="str">
        <f>IFERROR(IF($A44&lt;'DWV PVC'!$A$285,VLOOKUP($A44,'DWV PVC'!$A$8:$M$284,4,FALSE),
IF($A44&lt;'DWV ABS'!$A$117,VLOOKUP($A44,'DWV ABS'!$A$8:$M$116,4,FALSE),
IF($A44&lt;'PVC SCH40'!$A$376,VLOOKUP($A44,'PVC SCH40'!$A$8:$M$375,4,FALSE),
IF($A44&lt;'PVC SCH40 LD'!$A$22,VLOOKUP($A44,'PVC SCH40 LD'!$A$8:$M$21,4,FALSE),
IF($A44&lt;'Pool &amp; SPA Sweep Elbows'!$A$12,VLOOKUP($A44,'Pool &amp; SPA Sweep Elbows'!$A$8:$M$11,4,FALSE),
IF($A44&lt;'Pool &amp; SPA Pipe Extender'!$A$11,VLOOKUP($A44,'Pool &amp; SPA Pipe Extender'!$A$8:$M$10,4,FALSE),
IF($A44&lt;'PVC SCH80'!$A$250,VLOOKUP($A44,'PVC SCH80'!$A$8:$M$249,4,FALSE),
IF($A44&lt;'PVC SCH80 Flange'!$A$49,VLOOKUP($A44,'PVC SCH80 Flange'!$A$8:$M$48,4,FALSE),
IF($A44&lt;'PVC SCH80 LD Flange'!$A$17,VLOOKUP($A44,'PVC SCH80 LD Flange'!$A$8:$M$16,4,FALSE),
IF($A44&lt;CPVC!$A$100,VLOOKUP($A44,CPVC!$A$8:$M$99,4,FALSE),
IF($A44&lt;InsertFittings!$A$237,VLOOKUP($A44,InsertFittings!$A$11:$M$236,4,FALSE),
IF($A44&lt;Valves!$A$132,VLOOKUP($A44,Valves!$A$8:$M$131,4,FALSE),
IF($A44&lt;SDR35SW!$A$124,VLOOKUP($A44,SDR35SW!$A$8:$M$123,4,FALSE),
IF($A44&lt;SDR35G!$A$143,VLOOKUP($A44, SDR35G!$A$8:$M$142,4,FALSE),
IF($A44&lt;SDR26G!$A$61,VLOOKUP($A44,SDR26G!$A$8:$N$60,4,FALSE),
IF($A44&lt;Cements!$A$100,VLOOKUP($A44,Cements!$A$8:$Q$99,4,FALSE),
IF($A44&lt;ValveBox!$A$143,VLOOKUP($A44,ValveBox!$A$10:$O$142,4,FALSE),
IF($A44&lt;'ValveBox Components'!$A$165,VLOOKUP($A44,'ValveBox Components'!$A$10:$O$164,4,FALSE),
IF($A44&lt;Drainage!$A$92,VLOOKUP($A44,Drainage!$A$8:$M$91,4,FALSE),
IF($A44&lt;Nipples!$A$82,VLOOKUP($A44,Nipples!$A$9:$Q$81,4,FALSE),
IF($A44&lt;Manifold!$A$33,VLOOKUP($A44,Manifold!$A$9:$M$32,4,FALSE),
IF($A44&lt;FlexibleRepairCouplings!$A$13,VLOOKUP($A44,FlexibleRepairCouplings!$A$10:$M$12,4,FALSE),
IF($A44&lt;DuraFix!$A$15,VLOOKUP($A44,DuraFix!$A$9:$M$14,4,FALSE),
IF($A44&lt;'Compression Fittings'!$A$16,VLOOKUP($A44,'Compression Fittings'!$A$8:$M$15,4,FALSE),
IF($A44&lt;'Hose Fittings'!$A$30,VLOOKUP($A44,'Hose Fittings'!$A$8:$M$29,4,FALSE),
IF($A44&lt;'Swing Joints'!$A$496,VLOOKUP($A44,'Swing Joints'!$A$9:$M$495,4,FALSE),
IF($A44&lt;'Swing Joints Components'!$A$135,VLOOKUP($A44,'Swing Joints Components'!$A$9:$M$134,4,FALSE),
IF($A44&lt;Nonstandard!$A$42,VLOOKUP($A44,Nonstandard!$A$31:$J$41,5,FALSE),"")))))))))))))))))))))))))))),"")</f>
        <v/>
      </c>
      <c r="C44" s="420" t="str">
        <f>IFERROR(IF($A44&lt;'DWV PVC'!$A$285,VLOOKUP($A44,'DWV PVC'!$A$8:$M$284,5,FALSE),
IF($A44&lt;'DWV ABS'!$A$117,VLOOKUP($A44,'DWV ABS'!$A$8:$M$116,5,FALSE),
IF($A44&lt;'PVC SCH40'!$A$376,VLOOKUP($A44,'PVC SCH40'!$A$8:$M$375,5,FALSE),
IF($A44&lt;'PVC SCH40 LD'!$A$22,VLOOKUP($A44,'PVC SCH40 LD'!$A$8:$M$21,5,FALSE),
IF($A44&lt;'Pool &amp; SPA Sweep Elbows'!$A$12,VLOOKUP($A44,'Pool &amp; SPA Sweep Elbows'!$A$8:$M$11,5,FALSE),
IF($A44&lt;'Pool &amp; SPA Pipe Extender'!$A$11,VLOOKUP($A44,'Pool &amp; SPA Pipe Extender'!$A$8:$M$10,5,FALSE),
IF($A44&lt;'PVC SCH80'!$A$250,VLOOKUP($A44,'PVC SCH80'!$A$8:$M$249,5,FALSE),
IF($A44&lt;'PVC SCH80 Flange'!$A$49,VLOOKUP($A44,'PVC SCH80 Flange'!$A$8:$M$48,5,FALSE),
IF($A44&lt;'PVC SCH80 LD Flange'!$A$17,VLOOKUP($A44,'PVC SCH80 LD Flange'!$A$8:$M$16,5,FALSE),
IF($A44&lt;CPVC!$A$100,VLOOKUP($A44,CPVC!$A$8:$M$99,5,FALSE),
IF($A44&lt;InsertFittings!$A$237,VLOOKUP($A44,InsertFittings!$A$11:$M$236,5,FALSE),
IF($A44&lt;Valves!$A$132,VLOOKUP($A44,Valves!$A$8:$M$131,5,FALSE),
IF($A44&lt;SDR35SW!$A$124,VLOOKUP($A44,SDR35SW!$A$8:$M$123,5,FALSE),
IF($A44&lt;SDR35G!$A$143,VLOOKUP($A44, SDR35G!$A$8:$M$142,5,FALSE),
IF($A44&lt;SDR26G!$A$61,VLOOKUP($A44,SDR26G!$A$8:$N$60,5,FALSE),
IF($A44&lt;Cements!$A$100,VLOOKUP($A44,Cements!$A$8:$Q$99,5,FALSE),
IF($A44&lt;ValveBox!$A$143,VLOOKUP($A44,ValveBox!$A$10:$O$142,5,FALSE),
IF($A44&lt;'ValveBox Components'!$A$165,VLOOKUP($A44,'ValveBox Components'!$A$10:$O$164,5,FALSE),
IF($A44&lt;Drainage!$A$92,VLOOKUP($A44,Drainage!$A$8:$M$91,5,FALSE),
IF($A44&lt;Nipples!$A$82,VLOOKUP($A44,Nipples!$A$9:$Q$81,5,FALSE),
IF($A44&lt;Manifold!$A$33,VLOOKUP($A44,Manifold!$A$9:$M$32,5,FALSE),
IF($A44&lt;FlexibleRepairCouplings!$A$13,VLOOKUP($A44,FlexibleRepairCouplings!$A$10:$M$12,5,FALSE),
IF($A44&lt;DuraFix!$A$15,VLOOKUP($A44,DuraFix!$A$9:$M$14,5,FALSE),
IF($A44&lt;'Compression Fittings'!$A$16,VLOOKUP($A44,'Compression Fittings'!$A$8:$M$15,5,FALSE),
IF($A44&lt;'Hose Fittings'!$A$30,VLOOKUP($A44,'Hose Fittings'!$A$8:$M$29,5,FALSE),
IF($A44&lt;'Swing Joints'!$A$496,VLOOKUP($A44,'Swing Joints'!$A$9:$M$495,5,FALSE),
IF($A44&lt;'Swing Joints Components'!$A$135,VLOOKUP($A44,'Swing Joints Components'!$A$9:$M$134,5,FALSE),
IF($A44&lt;Nonstandard!$A$42,VLOOKUP($A44,Nonstandard!$A$31:$J$41,6,FALSE),"")))))))))))))))))))))))))))),"")</f>
        <v/>
      </c>
      <c r="D44" s="428" t="str">
        <f>IFERROR(IF($A44&lt;'DWV PVC'!$A$285,VLOOKUP($A44,'DWV PVC'!$A$8:$M$284,6,FALSE),
IF($A44&lt;'DWV ABS'!$A$117,VLOOKUP($A44,'DWV ABS'!$A$8:$M$116,6,FALSE),
IF($A44&lt;'PVC SCH40'!$A$376,VLOOKUP($A44,'PVC SCH40'!$A$8:$M$375,6,FALSE),
IF($A44&lt;'PVC SCH40 LD'!$A$22,VLOOKUP($A44,'PVC SCH40 LD'!$A$8:$M$21,6,FALSE),
IF($A44&lt;'Pool &amp; SPA Sweep Elbows'!$A$12,VLOOKUP($A44,'Pool &amp; SPA Sweep Elbows'!$A$8:$M$11,6,FALSE),
IF($A44&lt;'Pool &amp; SPA Pipe Extender'!$A$11,VLOOKUP($A44,'Pool &amp; SPA Pipe Extender'!$A$8:$M$10,6,FALSE),
IF($A44&lt;'PVC SCH80'!$A$250,VLOOKUP($A44,'PVC SCH80'!$A$8:$M$249,6,FALSE),
IF($A44&lt;'PVC SCH80 Flange'!$A$49,VLOOKUP($A44,'PVC SCH80 Flange'!$A$8:$M$48,6,FALSE),
IF($A44&lt;'PVC SCH80 LD Flange'!$A$17,VLOOKUP($A44,'PVC SCH80 LD Flange'!$A$8:$M$16,6,FALSE),
IF($A44&lt;CPVC!$A$100,VLOOKUP($A44,CPVC!$A$8:$M$99,6,FALSE),
IF($A44&lt;InsertFittings!$A$237,VLOOKUP($A44,InsertFittings!$A$11:$M$236,6,FALSE),
IF($A44&lt;Valves!$A$132,VLOOKUP($A44,Valves!$A$8:$M$131,6,FALSE),
IF($A44&lt;SDR35SW!$A$124,VLOOKUP($A44,SDR35SW!$A$8:$M$123,6,FALSE),
IF($A44&lt;SDR35G!$A$143,VLOOKUP($A44, SDR35G!$A$8:$M$142,6,FALSE),
IF($A44&lt;SDR26G!$A$61,VLOOKUP($A44,SDR26G!$A$8:$N$60,6,FALSE),
IF($A44&lt;Cements!$A$100,VLOOKUP($A44,Cements!$A$8:$Q$99,6,FALSE),
IF($A44&lt;ValveBox!$A$143,VLOOKUP($A44,ValveBox!$A$10:$O$142,6,FALSE),
IF($A44&lt;'ValveBox Components'!$A$165,VLOOKUP($A44,'ValveBox Components'!$A$10:$O$164,6,FALSE),
IF($A44&lt;Drainage!$A$92,VLOOKUP($A44,Drainage!$A$8:$M$91,6,FALSE),
IF($A44&lt;Nipples!$A$82,VLOOKUP($A44,Nipples!$A$9:$Q$81,6,FALSE),
IF($A44&lt;Manifold!$A$33,VLOOKUP($A44,Manifold!$A$9:$M$32,6,FALSE),
IF($A44&lt;FlexibleRepairCouplings!$A$13,VLOOKUP($A44,FlexibleRepairCouplings!$A$10:$M$12,6,FALSE),
IF($A44&lt;DuraFix!$A$15,VLOOKUP($A44,DuraFix!$A$9:$M$14,6,FALSE),
IF($A44&lt;'Compression Fittings'!$A$16,VLOOKUP($A44,'Compression Fittings'!$A$8:$M$15,6,FALSE),
IF($A44&lt;'Hose Fittings'!$A$30,VLOOKUP($A44,'Hose Fittings'!$A$8:$M$29,6,FALSE),
IF($A44&lt;'Swing Joints'!$A$496,VLOOKUP($A44,'Swing Joints'!$A$9:$M$495,6,FALSE),
IF($A44&lt;'Swing Joints Components'!$A$135,VLOOKUP($A44,'Swing Joints Components'!$A$9:$M$134,6,FALSE),
IF($A44&lt;Nonstandard!$A$42,VLOOKUP($A44,Nonstandard!$A$31:$J$41,7,FALSE),"")))))))))))))))))))))))))))),"")</f>
        <v/>
      </c>
      <c r="E44" s="429"/>
      <c r="F44" s="421" t="str">
        <f>IFERROR(IF($A44&lt;'DWV PVC'!$A$285,VLOOKUP($A44,'DWV PVC'!$A$8:$M$284,9,FALSE),
IF($A44&lt;'DWV ABS'!$A$117,VLOOKUP($A44,'DWV ABS'!$A$8:$M$116,9,FALSE),
IF($A44&lt;'PVC SCH40'!$A$376,VLOOKUP($A44,'PVC SCH40'!$A$8:$M$375,9,FALSE),
IF($A44&lt;'PVC SCH40 LD'!$A$22,VLOOKUP($A44,'PVC SCH40 LD'!$A$8:$M$21,9,FALSE),
IF($A44&lt;'Pool &amp; SPA Sweep Elbows'!$A$12,VLOOKUP($A44,'Pool &amp; SPA Sweep Elbows'!$A$8:$M$11,9,FALSE),
IF($A44&lt;'Pool &amp; SPA Pipe Extender'!$A$11,VLOOKUP($A44,'Pool &amp; SPA Pipe Extender'!$A$8:$M$10,9,FALSE),
IF($A44&lt;'PVC SCH80'!$A$250,VLOOKUP($A44,'PVC SCH80'!$A$8:$M$249,9,FALSE),
IF($A44&lt;'PVC SCH80 Flange'!$A$49,VLOOKUP($A44,'PVC SCH80 Flange'!$A$8:$M$48,9,FALSE),
IF($A44&lt;'PVC SCH80 LD Flange'!$A$17,VLOOKUP($A44,'PVC SCH80 LD Flange'!$A$8:$M$16,9,FALSE),
IF($A44&lt;CPVC!$A$100,VLOOKUP($A44,CPVC!$A$8:$M$99,9,FALSE),
IF($A44&lt;InsertFittings!$A$237,VLOOKUP($A44,InsertFittings!$A$11:$M$236,9,FALSE),
IF($A44&lt;Valves!$A$132,VLOOKUP($A44,Valves!$A$8:$M$131,9,FALSE),
IF($A44&lt;SDR35SW!$A$124,VLOOKUP($A44,SDR35SW!$A$8:$M$123,9,FALSE),
IF($A44&lt;SDR35G!$A$143,VLOOKUP($A44, SDR35G!$A$8:$M$142,9,FALSE),
IF($A44&lt;SDR26G!$A$61,VLOOKUP($A44,SDR26G!$A$8:$N$60,10,FALSE),
IF($A44&lt;Cements!$A$100,VLOOKUP($A44,Cements!$A$8:$Q$99,13,FALSE),
IF($A44&lt;ValveBox!$A$143,VLOOKUP($A44,ValveBox!$A$10:$O$142,11,FALSE),
IF($A44&lt;'ValveBox Components'!$A$165,VLOOKUP($A44,'ValveBox Components'!$A$10:$O$164,11,FALSE),
IF($A44&lt;Drainage!$A$92,VLOOKUP($A44,Drainage!$A$8:$M$91,9,FALSE),
IF($A44&lt;Nipples!$A$82,VLOOKUP($A44,Nipples!$A$9:$Q$81,13,FALSE),
IF($A44&lt;Manifold!$A$33,VLOOKUP($A44,Manifold!$A$9:$M$32,9,FALSE),
IF($A44&lt;FlexibleRepairCouplings!$A$13,VLOOKUP($A44,FlexibleRepairCouplings!$A$10:$M$12,9,FALSE),
IF($A44&lt;DuraFix!$A$15,VLOOKUP($A44,DuraFix!$A$9:$M$14,9,FALSE),
IF($A44&lt;'Compression Fittings'!$A$16,VLOOKUP($A44,'Compression Fittings'!$A$8:$M$15,9,FALSE),
IF($A44&lt;'Hose Fittings'!$A$30,VLOOKUP($A44,'Hose Fittings'!$A$8:$M$29,9,FALSE),
IF($A44&lt;'Swing Joints'!$A$496,VLOOKUP($A44,'Swing Joints'!$A$9:$M$495,9,FALSE),
IF($A44&lt;'Swing Joints Components'!$A$135,VLOOKUP($A44,'Swing Joints Components'!$A$9:$M$134,9,FALSE),
IF($A44&lt;Nonstandard!$A$42,VLOOKUP($A44,Nonstandard!$A$31:$J$41,8,FALSE),"")))))))))))))))))))))))))))),"")</f>
        <v/>
      </c>
      <c r="G44" s="422" t="str">
        <f>IFERROR(IF($A44&lt;'DWV PVC'!$A$285,VLOOKUP($A44,'DWV PVC'!$A$8:$M$284,11,FALSE),
IF($A44&lt;'DWV ABS'!$A$117,VLOOKUP($A44,'DWV ABS'!$A$8:$M$116,11,FALSE),
IF($A44&lt;'PVC SCH40'!$A$376,VLOOKUP($A44,'PVC SCH40'!$A$8:$M$375,11,FALSE),
IF($A44&lt;'PVC SCH40 LD'!$A$22,VLOOKUP($A44,'PVC SCH40 LD'!$A$8:$M$21,11,FALSE),
IF($A44&lt;'Pool &amp; SPA Sweep Elbows'!$A$12,VLOOKUP($A44,'Pool &amp; SPA Sweep Elbows'!$A$8:$M$11,11,FALSE),
IF($A44&lt;'Pool &amp; SPA Pipe Extender'!$A$11,VLOOKUP($A44,'Pool &amp; SPA Pipe Extender'!$A$8:$M$10,11,FALSE),
IF($A44&lt;'PVC SCH80'!$A$250,VLOOKUP($A44,'PVC SCH80'!$A$8:$M$249,11,FALSE),
IF($A44&lt;'PVC SCH80 Flange'!$A$49,VLOOKUP($A44,'PVC SCH80 Flange'!$A$8:$M$48,11,FALSE),
IF($A44&lt;'PVC SCH80 LD Flange'!$A$17,VLOOKUP($A44,'PVC SCH80 LD Flange'!$A$8:$M$16,11,FALSE),
IF($A44&lt;CPVC!$A$100,VLOOKUP($A44,CPVC!$A$8:$M$99,11,FALSE),
IF($A44&lt;InsertFittings!$A$237,VLOOKUP($A44,InsertFittings!$A$11:$M$236,11,FALSE),
IF($A44&lt;Valves!$A$132,VLOOKUP($A44,Valves!$A$8:$M$131,11,FALSE),
IF($A44&lt;SDR35SW!$A$124,VLOOKUP($A44,SDR35SW!$A$8:$M$123,11,FALSE),
IF($A44&lt;SDR35G!$A$143,VLOOKUP($A44, SDR35G!$A$8:$M$142,11,FALSE),
IF($A44&lt;SDR26G!$A$61,VLOOKUP($A44,SDR26G!$A$8:$N$60,12,FALSE),
IF($A44&lt;Cements!$A$100,VLOOKUP($A44,Cements!$A$8:$Q$99,15,FALSE),
IF($A44&lt;ValveBox!$A$143,VLOOKUP($A44,ValveBox!$A$10:$O$142,13,FALSE),
IF($A44&lt;'ValveBox Components'!$A$165,VLOOKUP($A44,'ValveBox Components'!$A$10:$O$164,13,FALSE),
IF($A44&lt;Drainage!$A$92,VLOOKUP($A44,Drainage!$A$8:$M$91,11,FALSE),
IF($A44&lt;Nipples!$A$82,VLOOKUP($A44,Nipples!$A$9:$Q$81,15,FALSE),
IF($A44&lt;Manifold!$A$33,VLOOKUP($A44,Manifold!$A$9:$M$32,11,FALSE),
IF($A44&lt;FlexibleRepairCouplings!$A$13,VLOOKUP($A44,FlexibleRepairCouplings!$A$10:$M$12,11,FALSE),
IF($A44&lt;DuraFix!$A$15,VLOOKUP($A44,DuraFix!$A$9:$M$14,11,FALSE),
IF($A44&lt;'Compression Fittings'!$A$16,VLOOKUP($A44,'Compression Fittings'!$A$8:$M$15,11,FALSE),
IF($A44&lt;'Hose Fittings'!$A$30,VLOOKUP($A44,'Hose Fittings'!$A$8:$M$29,11,FALSE),
IF($A44&lt;'Swing Joints'!$A$496,VLOOKUP($A44,'Swing Joints'!$A$9:$M$495,11,FALSE),
IF($A44&lt;'Swing Joints Components'!$A$135,VLOOKUP($A44,'Swing Joints Components'!$A$9:$M$134,11,FALSE),
IF($A44&lt;Nonstandard!$A$42,VLOOKUP($A44,Nonstandard!$A$31:$J$41,3,FALSE),"")))))))))))))))))))))))))))),"")</f>
        <v/>
      </c>
      <c r="H44" s="588" t="str">
        <f>IFERROR(IF($A44&lt;'DWV PVC'!$A$285,VLOOKUP($A44,'DWV PVC'!$A$8:$M$284,7,FALSE),
IF($A44&lt;'DWV ABS'!$A$117,VLOOKUP($A44,'DWV ABS'!$A$8:$M$116,7,FALSE),
IF($A44&lt;'PVC SCH40'!$A$376,VLOOKUP($A44,'PVC SCH40'!$A$8:$M$375,7,FALSE),
IF($A44&lt;'PVC SCH40 LD'!$A$22,VLOOKUP($A44,'PVC SCH40 LD'!$A$8:$M$21,7,FALSE),
IF($A44&lt;'Pool &amp; SPA Sweep Elbows'!$A$12,VLOOKUP($A44,'Pool &amp; SPA Sweep Elbows'!$A$8:$M$11,7,FALSE),
IF($A44&lt;'Pool &amp; SPA Pipe Extender'!$A$11,VLOOKUP($A44,'Pool &amp; SPA Pipe Extender'!$A$8:$M$10,7,FALSE),
IF($A44&lt;'PVC SCH80'!$A$250,VLOOKUP($A44,'PVC SCH80'!$A$8:$M$249,7,FALSE),
IF($A44&lt;'PVC SCH80 Flange'!$A$49,VLOOKUP($A44,'PVC SCH80 Flange'!$A$8:$M$48,7,FALSE),
IF($A44&lt;'PVC SCH80 LD Flange'!$A$17,VLOOKUP($A44,'PVC SCH80 LD Flange'!$A$8:$M$16,7,FALSE),
IF($A44&lt;CPVC!$A$100,VLOOKUP($A44,CPVC!$A$8:$M$99,7,FALSE),
IF($A44&lt;InsertFittings!$A$237,VLOOKUP($A44,InsertFittings!$A$11:$M$236,7,FALSE),
IF($A44&lt;Valves!$A$132,VLOOKUP($A44,Valves!$A$8:$M$131,7,FALSE),
IF($A44&lt;SDR35SW!$A$124,VLOOKUP($A44,SDR35SW!$A$8:$M$123,7,FALSE),
IF($A44&lt;SDR35G!$A$143,VLOOKUP($A44, SDR35G!$A$8:$M$142,7,FALSE),
IF($A44&lt;SDR26G!$A$61,VLOOKUP($A44,SDR26G!$A$8:$N$60,10,FALSE),
IF($A44&lt;Cements!$A$100,VLOOKUP($A44,Cements!$A$8:$Q$99,13,FALSE),
IF($A44&lt;ValveBox!$A$143,VLOOKUP($A44,ValveBox!$A$10:$O$142,11,FALSE),
IF($A44&lt;'ValveBox Components'!$A$165,VLOOKUP($A44,'ValveBox Components'!$A$10:$O$164,11,FALSE),
IF($A44&lt;Drainage!$A$92,VLOOKUP($A44,Drainage!$A$8:$M$91,7,FALSE),
IF($A44&lt;Nipples!$A$82,VLOOKUP($A44,Nipples!$A$9:$Q$81,13,FALSE),
IF($A44&lt;Manifold!$A$33,VLOOKUP($A44,Manifold!$A$9:$M$32,7,FALSE),
IF($A44&lt;FlexibleRepairCouplings!$A$13,VLOOKUP($A44,FlexibleRepairCouplings!$A$10:$M$12,7,FALSE),
IF($A44&lt;DuraFix!$A$15,VLOOKUP($A44,DuraFix!$A$9:$M$14,7,FALSE),
IF($A44&lt;'Compression Fittings'!$A$16,VLOOKUP($A44,'Compression Fittings'!$A$8:$M$15,7,FALSE),
IF($A44&lt;'Hose Fittings'!$A$30,VLOOKUP($A44,'Hose Fittings'!$A$8:$M$29,7,FALSE),
IF($A44&lt;'Swing Joints'!$A$496,VLOOKUP($A44,'Swing Joints'!$A$9:$M$495,7,FALSE),
IF($A44&lt;'Swing Joints Components'!$A$135,VLOOKUP($A44,'Swing Joints Components'!$A$9:$M$134,7,FALSE),
IF($A44&lt;Nonstandard!$A$42,VLOOKUP($A44,Nonstandard!$A$31:$J$41,3,FALSE),"")))))))))))))))))))))))))))),"")</f>
        <v/>
      </c>
      <c r="I44" s="589"/>
      <c r="J44" s="423" t="str">
        <f t="shared" si="1"/>
        <v/>
      </c>
      <c r="K44" s="424" t="str">
        <f>IFERROR(IF($A44&lt;'DWV PVC'!$A$285,VLOOKUP($A44,'DWV PVC'!$A$8:$M$284,10,FALSE),
IF($A44&lt;'DWV ABS'!$A$117,VLOOKUP($A44,'DWV ABS'!$A$8:$M$116,10,FALSE),
IF($A44&lt;'PVC SCH40'!$A$376,VLOOKUP($A44,'PVC SCH40'!$A$8:$M$375,10,FALSE),
IF($A44&lt;'PVC SCH40 LD'!$A$22,VLOOKUP($A44,'PVC SCH40 LD'!$A$8:$M$21,10,FALSE),
IF($A44&lt;'Pool &amp; SPA Sweep Elbows'!$A$12,VLOOKUP($A44,'Pool &amp; SPA Sweep Elbows'!$A$8:$M$11,10,FALSE),
IF($A44&lt;'Pool &amp; SPA Pipe Extender'!$A$11,VLOOKUP($A44,'Pool &amp; SPA Pipe Extender'!$A$8:$M$10,10,FALSE),
IF($A44&lt;'PVC SCH80'!$A$250,VLOOKUP($A44,'PVC SCH80'!$A$8:$M$249,10,FALSE),
IF($A44&lt;'PVC SCH80 Flange'!$A$49,VLOOKUP($A44,'PVC SCH80 Flange'!$A$8:$M$48,10,FALSE),
IF($A44&lt;'PVC SCH80 LD Flange'!$A$17,VLOOKUP($A44,'PVC SCH80 LD Flange'!$A$8:$M$16,10,FALSE),
IF($A44&lt;CPVC!$A$100,VLOOKUP($A44,CPVC!$A$8:$M$99,10,FALSE),
IF($A44&lt;InsertFittings!$A$237,VLOOKUP($A44,InsertFittings!$A$11:$M$236,10,FALSE),
IF($A44&lt;Valves!$A$132,VLOOKUP($A44,Valves!$A$8:$M$131,10,FALSE),
IF($A44&lt;SDR35SW!$A$124,VLOOKUP($A44,SDR35SW!$A$8:$M$123,10,FALSE),
IF($A44&lt;SDR35G!$A$143,VLOOKUP($A44, SDR35G!$A$8:$M$142,10,FALSE),
IF($A44&lt;SDR26G!$A$61,VLOOKUP($A44,SDR26G!$A$8:$N$60,11,FALSE),
IF($A44&lt;Cements!$A$100,VLOOKUP($A44,Cements!$A$8:$Q$99,14,FALSE),
IF($A44&lt;ValveBox!$A$143,VLOOKUP($A44,ValveBox!$A$10:$O$142,12,FALSE),
IF($A44&lt;'ValveBox Components'!$A$165,VLOOKUP($A44,'ValveBox Components'!$A$10:$O$164,12,FALSE),
IF($A44&lt;Drainage!$A$92,VLOOKUP($A44,Drainage!$A$8:$M$91,10,FALSE),
IF($A44&lt;Nipples!$A$82,VLOOKUP($A44,Nipples!$A$9:$Q$81,14,FALSE),
IF($A44&lt;Manifold!$A$33,VLOOKUP($A44,Manifold!$A$9:$M$32,10,FALSE),
IF($A44&lt;FlexibleRepairCouplings!$A$13,VLOOKUP($A44,FlexibleRepairCouplings!$A$10:$M$12,10,FALSE),
IF($A44&lt;DuraFix!$A$15,VLOOKUP($A44,DuraFix!$A$9:$M$14,10,FALSE),
IF($A44&lt;'Compression Fittings'!$A$16,VLOOKUP($A44,'Compression Fittings'!$A$8:$M$15,10,FALSE),
IF($A44&lt;'Hose Fittings'!$A$30,VLOOKUP($A44,'Hose Fittings'!$A$8:$M$29,10,FALSE),
IF($A44&lt;'Swing Joints'!$A$496,VLOOKUP($A44,'Swing Joints'!$A$9:$M$495,10,FALSE),
IF($A44&lt;'Swing Joints Components'!$A$135,VLOOKUP($A44,'Swing Joints Components'!$A$9:$M$134,10,FALSE),
IF($A44&lt;Nonstandard!$A$42,VLOOKUP($A44,Nonstandard!$A$31:$J$41,10,FALSE),"")))))))))))))))))))))))))))),"")</f>
        <v/>
      </c>
      <c r="L44" s="421" t="str">
        <f t="shared" si="0"/>
        <v>-</v>
      </c>
      <c r="M44" s="425"/>
    </row>
    <row r="45" spans="1:13" ht="15.75">
      <c r="A45" s="415">
        <v>13</v>
      </c>
      <c r="B45" s="415" t="str">
        <f>IFERROR(IF($A45&lt;'DWV PVC'!$A$285,VLOOKUP($A45,'DWV PVC'!$A$8:$M$284,4,FALSE),
IF($A45&lt;'DWV ABS'!$A$117,VLOOKUP($A45,'DWV ABS'!$A$8:$M$116,4,FALSE),
IF($A45&lt;'PVC SCH40'!$A$376,VLOOKUP($A45,'PVC SCH40'!$A$8:$M$375,4,FALSE),
IF($A45&lt;'PVC SCH40 LD'!$A$22,VLOOKUP($A45,'PVC SCH40 LD'!$A$8:$M$21,4,FALSE),
IF($A45&lt;'Pool &amp; SPA Sweep Elbows'!$A$12,VLOOKUP($A45,'Pool &amp; SPA Sweep Elbows'!$A$8:$M$11,4,FALSE),
IF($A45&lt;'Pool &amp; SPA Pipe Extender'!$A$11,VLOOKUP($A45,'Pool &amp; SPA Pipe Extender'!$A$8:$M$10,4,FALSE),
IF($A45&lt;'PVC SCH80'!$A$250,VLOOKUP($A45,'PVC SCH80'!$A$8:$M$249,4,FALSE),
IF($A45&lt;'PVC SCH80 Flange'!$A$49,VLOOKUP($A45,'PVC SCH80 Flange'!$A$8:$M$48,4,FALSE),
IF($A45&lt;'PVC SCH80 LD Flange'!$A$17,VLOOKUP($A45,'PVC SCH80 LD Flange'!$A$8:$M$16,4,FALSE),
IF($A45&lt;CPVC!$A$100,VLOOKUP($A45,CPVC!$A$8:$M$99,4,FALSE),
IF($A45&lt;InsertFittings!$A$237,VLOOKUP($A45,InsertFittings!$A$11:$M$236,4,FALSE),
IF($A45&lt;Valves!$A$132,VLOOKUP($A45,Valves!$A$8:$M$131,4,FALSE),
IF($A45&lt;SDR35SW!$A$124,VLOOKUP($A45,SDR35SW!$A$8:$M$123,4,FALSE),
IF($A45&lt;SDR35G!$A$143,VLOOKUP($A45, SDR35G!$A$8:$M$142,4,FALSE),
IF($A45&lt;SDR26G!$A$61,VLOOKUP($A45,SDR26G!$A$8:$N$60,4,FALSE),
IF($A45&lt;Cements!$A$100,VLOOKUP($A45,Cements!$A$8:$Q$99,4,FALSE),
IF($A45&lt;ValveBox!$A$143,VLOOKUP($A45,ValveBox!$A$10:$O$142,4,FALSE),
IF($A45&lt;'ValveBox Components'!$A$165,VLOOKUP($A45,'ValveBox Components'!$A$10:$O$164,4,FALSE),
IF($A45&lt;Drainage!$A$92,VLOOKUP($A45,Drainage!$A$8:$M$91,4,FALSE),
IF($A45&lt;Nipples!$A$82,VLOOKUP($A45,Nipples!$A$9:$Q$81,4,FALSE),
IF($A45&lt;Manifold!$A$33,VLOOKUP($A45,Manifold!$A$9:$M$32,4,FALSE),
IF($A45&lt;FlexibleRepairCouplings!$A$13,VLOOKUP($A45,FlexibleRepairCouplings!$A$10:$M$12,4,FALSE),
IF($A45&lt;DuraFix!$A$15,VLOOKUP($A45,DuraFix!$A$9:$M$14,4,FALSE),
IF($A45&lt;'Compression Fittings'!$A$16,VLOOKUP($A45,'Compression Fittings'!$A$8:$M$15,4,FALSE),
IF($A45&lt;'Hose Fittings'!$A$30,VLOOKUP($A45,'Hose Fittings'!$A$8:$M$29,4,FALSE),
IF($A45&lt;'Swing Joints'!$A$496,VLOOKUP($A45,'Swing Joints'!$A$9:$M$495,4,FALSE),
IF($A45&lt;'Swing Joints Components'!$A$135,VLOOKUP($A45,'Swing Joints Components'!$A$9:$M$134,4,FALSE),
IF($A45&lt;Nonstandard!$A$42,VLOOKUP($A45,Nonstandard!$A$31:$J$41,5,FALSE),"")))))))))))))))))))))))))))),"")</f>
        <v/>
      </c>
      <c r="C45" s="415" t="str">
        <f>IFERROR(IF($A45&lt;'DWV PVC'!$A$285,VLOOKUP($A45,'DWV PVC'!$A$8:$M$284,5,FALSE),
IF($A45&lt;'DWV ABS'!$A$117,VLOOKUP($A45,'DWV ABS'!$A$8:$M$116,5,FALSE),
IF($A45&lt;'PVC SCH40'!$A$376,VLOOKUP($A45,'PVC SCH40'!$A$8:$M$375,5,FALSE),
IF($A45&lt;'PVC SCH40 LD'!$A$22,VLOOKUP($A45,'PVC SCH40 LD'!$A$8:$M$21,5,FALSE),
IF($A45&lt;'Pool &amp; SPA Sweep Elbows'!$A$12,VLOOKUP($A45,'Pool &amp; SPA Sweep Elbows'!$A$8:$M$11,5,FALSE),
IF($A45&lt;'Pool &amp; SPA Pipe Extender'!$A$11,VLOOKUP($A45,'Pool &amp; SPA Pipe Extender'!$A$8:$M$10,5,FALSE),
IF($A45&lt;'PVC SCH80'!$A$250,VLOOKUP($A45,'PVC SCH80'!$A$8:$M$249,5,FALSE),
IF($A45&lt;'PVC SCH80 Flange'!$A$49,VLOOKUP($A45,'PVC SCH80 Flange'!$A$8:$M$48,5,FALSE),
IF($A45&lt;'PVC SCH80 LD Flange'!$A$17,VLOOKUP($A45,'PVC SCH80 LD Flange'!$A$8:$M$16,5,FALSE),
IF($A45&lt;CPVC!$A$100,VLOOKUP($A45,CPVC!$A$8:$M$99,5,FALSE),
IF($A45&lt;InsertFittings!$A$237,VLOOKUP($A45,InsertFittings!$A$11:$M$236,5,FALSE),
IF($A45&lt;Valves!$A$132,VLOOKUP($A45,Valves!$A$8:$M$131,5,FALSE),
IF($A45&lt;SDR35SW!$A$124,VLOOKUP($A45,SDR35SW!$A$8:$M$123,5,FALSE),
IF($A45&lt;SDR35G!$A$143,VLOOKUP($A45, SDR35G!$A$8:$M$142,5,FALSE),
IF($A45&lt;SDR26G!$A$61,VLOOKUP($A45,SDR26G!$A$8:$N$60,5,FALSE),
IF($A45&lt;Cements!$A$100,VLOOKUP($A45,Cements!$A$8:$Q$99,5,FALSE),
IF($A45&lt;ValveBox!$A$143,VLOOKUP($A45,ValveBox!$A$10:$O$142,5,FALSE),
IF($A45&lt;'ValveBox Components'!$A$165,VLOOKUP($A45,'ValveBox Components'!$A$10:$O$164,5,FALSE),
IF($A45&lt;Drainage!$A$92,VLOOKUP($A45,Drainage!$A$8:$M$91,5,FALSE),
IF($A45&lt;Nipples!$A$82,VLOOKUP($A45,Nipples!$A$9:$Q$81,5,FALSE),
IF($A45&lt;Manifold!$A$33,VLOOKUP($A45,Manifold!$A$9:$M$32,5,FALSE),
IF($A45&lt;FlexibleRepairCouplings!$A$13,VLOOKUP($A45,FlexibleRepairCouplings!$A$10:$M$12,5,FALSE),
IF($A45&lt;DuraFix!$A$15,VLOOKUP($A45,DuraFix!$A$9:$M$14,5,FALSE),
IF($A45&lt;'Compression Fittings'!$A$16,VLOOKUP($A45,'Compression Fittings'!$A$8:$M$15,5,FALSE),
IF($A45&lt;'Hose Fittings'!$A$30,VLOOKUP($A45,'Hose Fittings'!$A$8:$M$29,5,FALSE),
IF($A45&lt;'Swing Joints'!$A$496,VLOOKUP($A45,'Swing Joints'!$A$9:$M$495,5,FALSE),
IF($A45&lt;'Swing Joints Components'!$A$135,VLOOKUP($A45,'Swing Joints Components'!$A$9:$M$134,5,FALSE),
IF($A45&lt;Nonstandard!$A$42,VLOOKUP($A45,Nonstandard!$A$31:$J$41,6,FALSE),"")))))))))))))))))))))))))))),"")</f>
        <v/>
      </c>
      <c r="D45" s="426" t="str">
        <f>IFERROR(IF($A45&lt;'DWV PVC'!$A$285,VLOOKUP($A45,'DWV PVC'!$A$8:$M$284,6,FALSE),
IF($A45&lt;'DWV ABS'!$A$117,VLOOKUP($A45,'DWV ABS'!$A$8:$M$116,6,FALSE),
IF($A45&lt;'PVC SCH40'!$A$376,VLOOKUP($A45,'PVC SCH40'!$A$8:$M$375,6,FALSE),
IF($A45&lt;'PVC SCH40 LD'!$A$22,VLOOKUP($A45,'PVC SCH40 LD'!$A$8:$M$21,6,FALSE),
IF($A45&lt;'Pool &amp; SPA Sweep Elbows'!$A$12,VLOOKUP($A45,'Pool &amp; SPA Sweep Elbows'!$A$8:$M$11,6,FALSE),
IF($A45&lt;'Pool &amp; SPA Pipe Extender'!$A$11,VLOOKUP($A45,'Pool &amp; SPA Pipe Extender'!$A$8:$M$10,6,FALSE),
IF($A45&lt;'PVC SCH80'!$A$250,VLOOKUP($A45,'PVC SCH80'!$A$8:$M$249,6,FALSE),
IF($A45&lt;'PVC SCH80 Flange'!$A$49,VLOOKUP($A45,'PVC SCH80 Flange'!$A$8:$M$48,6,FALSE),
IF($A45&lt;'PVC SCH80 LD Flange'!$A$17,VLOOKUP($A45,'PVC SCH80 LD Flange'!$A$8:$M$16,6,FALSE),
IF($A45&lt;CPVC!$A$100,VLOOKUP($A45,CPVC!$A$8:$M$99,6,FALSE),
IF($A45&lt;InsertFittings!$A$237,VLOOKUP($A45,InsertFittings!$A$11:$M$236,6,FALSE),
IF($A45&lt;Valves!$A$132,VLOOKUP($A45,Valves!$A$8:$M$131,6,FALSE),
IF($A45&lt;SDR35SW!$A$124,VLOOKUP($A45,SDR35SW!$A$8:$M$123,6,FALSE),
IF($A45&lt;SDR35G!$A$143,VLOOKUP($A45, SDR35G!$A$8:$M$142,6,FALSE),
IF($A45&lt;SDR26G!$A$61,VLOOKUP($A45,SDR26G!$A$8:$N$60,6,FALSE),
IF($A45&lt;Cements!$A$100,VLOOKUP($A45,Cements!$A$8:$Q$99,6,FALSE),
IF($A45&lt;ValveBox!$A$143,VLOOKUP($A45,ValveBox!$A$10:$O$142,6,FALSE),
IF($A45&lt;'ValveBox Components'!$A$165,VLOOKUP($A45,'ValveBox Components'!$A$10:$O$164,6,FALSE),
IF($A45&lt;Drainage!$A$92,VLOOKUP($A45,Drainage!$A$8:$M$91,6,FALSE),
IF($A45&lt;Nipples!$A$82,VLOOKUP($A45,Nipples!$A$9:$Q$81,6,FALSE),
IF($A45&lt;Manifold!$A$33,VLOOKUP($A45,Manifold!$A$9:$M$32,6,FALSE),
IF($A45&lt;FlexibleRepairCouplings!$A$13,VLOOKUP($A45,FlexibleRepairCouplings!$A$10:$M$12,6,FALSE),
IF($A45&lt;DuraFix!$A$15,VLOOKUP($A45,DuraFix!$A$9:$M$14,6,FALSE),
IF($A45&lt;'Compression Fittings'!$A$16,VLOOKUP($A45,'Compression Fittings'!$A$8:$M$15,6,FALSE),
IF($A45&lt;'Hose Fittings'!$A$30,VLOOKUP($A45,'Hose Fittings'!$A$8:$M$29,6,FALSE),
IF($A45&lt;'Swing Joints'!$A$496,VLOOKUP($A45,'Swing Joints'!$A$9:$M$495,6,FALSE),
IF($A45&lt;'Swing Joints Components'!$A$135,VLOOKUP($A45,'Swing Joints Components'!$A$9:$M$134,6,FALSE),
IF($A45&lt;Nonstandard!$A$42,VLOOKUP($A45,Nonstandard!$A$31:$J$41,7,FALSE),"")))))))))))))))))))))))))))),"")</f>
        <v/>
      </c>
      <c r="E45" s="427"/>
      <c r="F45" s="418" t="str">
        <f>IFERROR(IF($A45&lt;'DWV PVC'!$A$285,VLOOKUP($A45,'DWV PVC'!$A$8:$M$284,9,FALSE),
IF($A45&lt;'DWV ABS'!$A$117,VLOOKUP($A45,'DWV ABS'!$A$8:$M$116,9,FALSE),
IF($A45&lt;'PVC SCH40'!$A$376,VLOOKUP($A45,'PVC SCH40'!$A$8:$M$375,9,FALSE),
IF($A45&lt;'PVC SCH40 LD'!$A$22,VLOOKUP($A45,'PVC SCH40 LD'!$A$8:$M$21,9,FALSE),
IF($A45&lt;'Pool &amp; SPA Sweep Elbows'!$A$12,VLOOKUP($A45,'Pool &amp; SPA Sweep Elbows'!$A$8:$M$11,9,FALSE),
IF($A45&lt;'Pool &amp; SPA Pipe Extender'!$A$11,VLOOKUP($A45,'Pool &amp; SPA Pipe Extender'!$A$8:$M$10,9,FALSE),
IF($A45&lt;'PVC SCH80'!$A$250,VLOOKUP($A45,'PVC SCH80'!$A$8:$M$249,9,FALSE),
IF($A45&lt;'PVC SCH80 Flange'!$A$49,VLOOKUP($A45,'PVC SCH80 Flange'!$A$8:$M$48,9,FALSE),
IF($A45&lt;'PVC SCH80 LD Flange'!$A$17,VLOOKUP($A45,'PVC SCH80 LD Flange'!$A$8:$M$16,9,FALSE),
IF($A45&lt;CPVC!$A$100,VLOOKUP($A45,CPVC!$A$8:$M$99,9,FALSE),
IF($A45&lt;InsertFittings!$A$237,VLOOKUP($A45,InsertFittings!$A$11:$M$236,9,FALSE),
IF($A45&lt;Valves!$A$132,VLOOKUP($A45,Valves!$A$8:$M$131,9,FALSE),
IF($A45&lt;SDR35SW!$A$124,VLOOKUP($A45,SDR35SW!$A$8:$M$123,9,FALSE),
IF($A45&lt;SDR35G!$A$143,VLOOKUP($A45, SDR35G!$A$8:$M$142,9,FALSE),
IF($A45&lt;SDR26G!$A$61,VLOOKUP($A45,SDR26G!$A$8:$N$60,10,FALSE),
IF($A45&lt;Cements!$A$100,VLOOKUP($A45,Cements!$A$8:$Q$99,13,FALSE),
IF($A45&lt;ValveBox!$A$143,VLOOKUP($A45,ValveBox!$A$10:$O$142,11,FALSE),
IF($A45&lt;'ValveBox Components'!$A$165,VLOOKUP($A45,'ValveBox Components'!$A$10:$O$164,11,FALSE),
IF($A45&lt;Drainage!$A$92,VLOOKUP($A45,Drainage!$A$8:$M$91,9,FALSE),
IF($A45&lt;Nipples!$A$82,VLOOKUP($A45,Nipples!$A$9:$Q$81,13,FALSE),
IF($A45&lt;Manifold!$A$33,VLOOKUP($A45,Manifold!$A$9:$M$32,9,FALSE),
IF($A45&lt;FlexibleRepairCouplings!$A$13,VLOOKUP($A45,FlexibleRepairCouplings!$A$10:$M$12,9,FALSE),
IF($A45&lt;DuraFix!$A$15,VLOOKUP($A45,DuraFix!$A$9:$M$14,9,FALSE),
IF($A45&lt;'Compression Fittings'!$A$16,VLOOKUP($A45,'Compression Fittings'!$A$8:$M$15,9,FALSE),
IF($A45&lt;'Hose Fittings'!$A$30,VLOOKUP($A45,'Hose Fittings'!$A$8:$M$29,9,FALSE),
IF($A45&lt;'Swing Joints'!$A$496,VLOOKUP($A45,'Swing Joints'!$A$9:$M$495,9,FALSE),
IF($A45&lt;'Swing Joints Components'!$A$135,VLOOKUP($A45,'Swing Joints Components'!$A$9:$M$134,9,FALSE),
IF($A45&lt;Nonstandard!$A$42,VLOOKUP($A45,Nonstandard!$A$31:$J$41,8,FALSE),"")))))))))))))))))))))))))))),"")</f>
        <v/>
      </c>
      <c r="G45" s="416" t="str">
        <f>IFERROR(IF($A45&lt;'DWV PVC'!$A$285,VLOOKUP($A45,'DWV PVC'!$A$8:$M$284,11,FALSE),
IF($A45&lt;'DWV ABS'!$A$117,VLOOKUP($A45,'DWV ABS'!$A$8:$M$116,11,FALSE),
IF($A45&lt;'PVC SCH40'!$A$376,VLOOKUP($A45,'PVC SCH40'!$A$8:$M$375,11,FALSE),
IF($A45&lt;'PVC SCH40 LD'!$A$22,VLOOKUP($A45,'PVC SCH40 LD'!$A$8:$M$21,11,FALSE),
IF($A45&lt;'Pool &amp; SPA Sweep Elbows'!$A$12,VLOOKUP($A45,'Pool &amp; SPA Sweep Elbows'!$A$8:$M$11,11,FALSE),
IF($A45&lt;'Pool &amp; SPA Pipe Extender'!$A$11,VLOOKUP($A45,'Pool &amp; SPA Pipe Extender'!$A$8:$M$10,11,FALSE),
IF($A45&lt;'PVC SCH80'!$A$250,VLOOKUP($A45,'PVC SCH80'!$A$8:$M$249,11,FALSE),
IF($A45&lt;'PVC SCH80 Flange'!$A$49,VLOOKUP($A45,'PVC SCH80 Flange'!$A$8:$M$48,11,FALSE),
IF($A45&lt;'PVC SCH80 LD Flange'!$A$17,VLOOKUP($A45,'PVC SCH80 LD Flange'!$A$8:$M$16,11,FALSE),
IF($A45&lt;CPVC!$A$100,VLOOKUP($A45,CPVC!$A$8:$M$99,11,FALSE),
IF($A45&lt;InsertFittings!$A$237,VLOOKUP($A45,InsertFittings!$A$11:$M$236,11,FALSE),
IF($A45&lt;Valves!$A$132,VLOOKUP($A45,Valves!$A$8:$M$131,11,FALSE),
IF($A45&lt;SDR35SW!$A$124,VLOOKUP($A45,SDR35SW!$A$8:$M$123,11,FALSE),
IF($A45&lt;SDR35G!$A$143,VLOOKUP($A45, SDR35G!$A$8:$M$142,11,FALSE),
IF($A45&lt;SDR26G!$A$61,VLOOKUP($A45,SDR26G!$A$8:$N$60,12,FALSE),
IF($A45&lt;Cements!$A$100,VLOOKUP($A45,Cements!$A$8:$Q$99,15,FALSE),
IF($A45&lt;ValveBox!$A$143,VLOOKUP($A45,ValveBox!$A$10:$O$142,13,FALSE),
IF($A45&lt;'ValveBox Components'!$A$165,VLOOKUP($A45,'ValveBox Components'!$A$10:$O$164,13,FALSE),
IF($A45&lt;Drainage!$A$92,VLOOKUP($A45,Drainage!$A$8:$M$91,11,FALSE),
IF($A45&lt;Nipples!$A$82,VLOOKUP($A45,Nipples!$A$9:$Q$81,15,FALSE),
IF($A45&lt;Manifold!$A$33,VLOOKUP($A45,Manifold!$A$9:$M$32,11,FALSE),
IF($A45&lt;FlexibleRepairCouplings!$A$13,VLOOKUP($A45,FlexibleRepairCouplings!$A$10:$M$12,11,FALSE),
IF($A45&lt;DuraFix!$A$15,VLOOKUP($A45,DuraFix!$A$9:$M$14,11,FALSE),
IF($A45&lt;'Compression Fittings'!$A$16,VLOOKUP($A45,'Compression Fittings'!$A$8:$M$15,11,FALSE),
IF($A45&lt;'Hose Fittings'!$A$30,VLOOKUP($A45,'Hose Fittings'!$A$8:$M$29,11,FALSE),
IF($A45&lt;'Swing Joints'!$A$496,VLOOKUP($A45,'Swing Joints'!$A$9:$M$495,11,FALSE),
IF($A45&lt;'Swing Joints Components'!$A$135,VLOOKUP($A45,'Swing Joints Components'!$A$9:$M$134,11,FALSE),
IF($A45&lt;Nonstandard!$A$42,VLOOKUP($A45,Nonstandard!$A$31:$J$41,3,FALSE),"")))))))))))))))))))))))))))),"")</f>
        <v/>
      </c>
      <c r="H45" s="586" t="str">
        <f>IFERROR(IF($A45&lt;'DWV PVC'!$A$285,VLOOKUP($A45,'DWV PVC'!$A$8:$M$284,7,FALSE),
IF($A45&lt;'DWV ABS'!$A$117,VLOOKUP($A45,'DWV ABS'!$A$8:$M$116,7,FALSE),
IF($A45&lt;'PVC SCH40'!$A$376,VLOOKUP($A45,'PVC SCH40'!$A$8:$M$375,7,FALSE),
IF($A45&lt;'PVC SCH40 LD'!$A$22,VLOOKUP($A45,'PVC SCH40 LD'!$A$8:$M$21,7,FALSE),
IF($A45&lt;'Pool &amp; SPA Sweep Elbows'!$A$12,VLOOKUP($A45,'Pool &amp; SPA Sweep Elbows'!$A$8:$M$11,7,FALSE),
IF($A45&lt;'Pool &amp; SPA Pipe Extender'!$A$11,VLOOKUP($A45,'Pool &amp; SPA Pipe Extender'!$A$8:$M$10,7,FALSE),
IF($A45&lt;'PVC SCH80'!$A$250,VLOOKUP($A45,'PVC SCH80'!$A$8:$M$249,7,FALSE),
IF($A45&lt;'PVC SCH80 Flange'!$A$49,VLOOKUP($A45,'PVC SCH80 Flange'!$A$8:$M$48,7,FALSE),
IF($A45&lt;'PVC SCH80 LD Flange'!$A$17,VLOOKUP($A45,'PVC SCH80 LD Flange'!$A$8:$M$16,7,FALSE),
IF($A45&lt;CPVC!$A$100,VLOOKUP($A45,CPVC!$A$8:$M$99,7,FALSE),
IF($A45&lt;InsertFittings!$A$237,VLOOKUP($A45,InsertFittings!$A$11:$M$236,7,FALSE),
IF($A45&lt;Valves!$A$132,VLOOKUP($A45,Valves!$A$8:$M$131,7,FALSE),
IF($A45&lt;SDR35SW!$A$124,VLOOKUP($A45,SDR35SW!$A$8:$M$123,7,FALSE),
IF($A45&lt;SDR35G!$A$143,VLOOKUP($A45, SDR35G!$A$8:$M$142,7,FALSE),
IF($A45&lt;SDR26G!$A$61,VLOOKUP($A45,SDR26G!$A$8:$N$60,10,FALSE),
IF($A45&lt;Cements!$A$100,VLOOKUP($A45,Cements!$A$8:$Q$99,13,FALSE),
IF($A45&lt;ValveBox!$A$143,VLOOKUP($A45,ValveBox!$A$10:$O$142,11,FALSE),
IF($A45&lt;'ValveBox Components'!$A$165,VLOOKUP($A45,'ValveBox Components'!$A$10:$O$164,11,FALSE),
IF($A45&lt;Drainage!$A$92,VLOOKUP($A45,Drainage!$A$8:$M$91,7,FALSE),
IF($A45&lt;Nipples!$A$82,VLOOKUP($A45,Nipples!$A$9:$Q$81,13,FALSE),
IF($A45&lt;Manifold!$A$33,VLOOKUP($A45,Manifold!$A$9:$M$32,7,FALSE),
IF($A45&lt;FlexibleRepairCouplings!$A$13,VLOOKUP($A45,FlexibleRepairCouplings!$A$10:$M$12,7,FALSE),
IF($A45&lt;DuraFix!$A$15,VLOOKUP($A45,DuraFix!$A$9:$M$14,7,FALSE),
IF($A45&lt;'Compression Fittings'!$A$16,VLOOKUP($A45,'Compression Fittings'!$A$8:$M$15,7,FALSE),
IF($A45&lt;'Hose Fittings'!$A$30,VLOOKUP($A45,'Hose Fittings'!$A$8:$M$29,7,FALSE),
IF($A45&lt;'Swing Joints'!$A$496,VLOOKUP($A45,'Swing Joints'!$A$9:$M$495,7,FALSE),
IF($A45&lt;'Swing Joints Components'!$A$135,VLOOKUP($A45,'Swing Joints Components'!$A$9:$M$134,7,FALSE),
IF($A45&lt;Nonstandard!$A$42,VLOOKUP($A45,Nonstandard!$A$31:$J$41,3,FALSE),"")))))))))))))))))))))))))))),"")</f>
        <v/>
      </c>
      <c r="I45" s="587"/>
      <c r="J45" s="383" t="str">
        <f t="shared" si="1"/>
        <v/>
      </c>
      <c r="K45" s="417" t="str">
        <f>IFERROR(IF($A45&lt;'DWV PVC'!$A$285,VLOOKUP($A45,'DWV PVC'!$A$8:$M$284,10,FALSE),
IF($A45&lt;'DWV ABS'!$A$117,VLOOKUP($A45,'DWV ABS'!$A$8:$M$116,10,FALSE),
IF($A45&lt;'PVC SCH40'!$A$376,VLOOKUP($A45,'PVC SCH40'!$A$8:$M$375,10,FALSE),
IF($A45&lt;'PVC SCH40 LD'!$A$22,VLOOKUP($A45,'PVC SCH40 LD'!$A$8:$M$21,10,FALSE),
IF($A45&lt;'Pool &amp; SPA Sweep Elbows'!$A$12,VLOOKUP($A45,'Pool &amp; SPA Sweep Elbows'!$A$8:$M$11,10,FALSE),
IF($A45&lt;'Pool &amp; SPA Pipe Extender'!$A$11,VLOOKUP($A45,'Pool &amp; SPA Pipe Extender'!$A$8:$M$10,10,FALSE),
IF($A45&lt;'PVC SCH80'!$A$250,VLOOKUP($A45,'PVC SCH80'!$A$8:$M$249,10,FALSE),
IF($A45&lt;'PVC SCH80 Flange'!$A$49,VLOOKUP($A45,'PVC SCH80 Flange'!$A$8:$M$48,10,FALSE),
IF($A45&lt;'PVC SCH80 LD Flange'!$A$17,VLOOKUP($A45,'PVC SCH80 LD Flange'!$A$8:$M$16,10,FALSE),
IF($A45&lt;CPVC!$A$100,VLOOKUP($A45,CPVC!$A$8:$M$99,10,FALSE),
IF($A45&lt;InsertFittings!$A$237,VLOOKUP($A45,InsertFittings!$A$11:$M$236,10,FALSE),
IF($A45&lt;Valves!$A$132,VLOOKUP($A45,Valves!$A$8:$M$131,10,FALSE),
IF($A45&lt;SDR35SW!$A$124,VLOOKUP($A45,SDR35SW!$A$8:$M$123,10,FALSE),
IF($A45&lt;SDR35G!$A$143,VLOOKUP($A45, SDR35G!$A$8:$M$142,10,FALSE),
IF($A45&lt;SDR26G!$A$61,VLOOKUP($A45,SDR26G!$A$8:$N$60,11,FALSE),
IF($A45&lt;Cements!$A$100,VLOOKUP($A45,Cements!$A$8:$Q$99,14,FALSE),
IF($A45&lt;ValveBox!$A$143,VLOOKUP($A45,ValveBox!$A$10:$O$142,12,FALSE),
IF($A45&lt;'ValveBox Components'!$A$165,VLOOKUP($A45,'ValveBox Components'!$A$10:$O$164,12,FALSE),
IF($A45&lt;Drainage!$A$92,VLOOKUP($A45,Drainage!$A$8:$M$91,10,FALSE),
IF($A45&lt;Nipples!$A$82,VLOOKUP($A45,Nipples!$A$9:$Q$81,14,FALSE),
IF($A45&lt;Manifold!$A$33,VLOOKUP($A45,Manifold!$A$9:$M$32,10,FALSE),
IF($A45&lt;FlexibleRepairCouplings!$A$13,VLOOKUP($A45,FlexibleRepairCouplings!$A$10:$M$12,10,FALSE),
IF($A45&lt;DuraFix!$A$15,VLOOKUP($A45,DuraFix!$A$9:$M$14,10,FALSE),
IF($A45&lt;'Compression Fittings'!$A$16,VLOOKUP($A45,'Compression Fittings'!$A$8:$M$15,10,FALSE),
IF($A45&lt;'Hose Fittings'!$A$30,VLOOKUP($A45,'Hose Fittings'!$A$8:$M$29,10,FALSE),
IF($A45&lt;'Swing Joints'!$A$496,VLOOKUP($A45,'Swing Joints'!$A$9:$M$495,10,FALSE),
IF($A45&lt;'Swing Joints Components'!$A$135,VLOOKUP($A45,'Swing Joints Components'!$A$9:$M$134,10,FALSE),
IF($A45&lt;Nonstandard!$A$42,VLOOKUP($A45,Nonstandard!$A$31:$J$41,10,FALSE),"")))))))))))))))))))))))))))),"")</f>
        <v/>
      </c>
      <c r="L45" s="418" t="str">
        <f t="shared" si="0"/>
        <v>-</v>
      </c>
      <c r="M45" s="419"/>
    </row>
    <row r="46" spans="1:13" ht="15.75">
      <c r="A46" s="420">
        <v>14</v>
      </c>
      <c r="B46" s="420" t="str">
        <f>IFERROR(IF($A46&lt;'DWV PVC'!$A$285,VLOOKUP($A46,'DWV PVC'!$A$8:$M$284,4,FALSE),
IF($A46&lt;'DWV ABS'!$A$117,VLOOKUP($A46,'DWV ABS'!$A$8:$M$116,4,FALSE),
IF($A46&lt;'PVC SCH40'!$A$376,VLOOKUP($A46,'PVC SCH40'!$A$8:$M$375,4,FALSE),
IF($A46&lt;'PVC SCH40 LD'!$A$22,VLOOKUP($A46,'PVC SCH40 LD'!$A$8:$M$21,4,FALSE),
IF($A46&lt;'Pool &amp; SPA Sweep Elbows'!$A$12,VLOOKUP($A46,'Pool &amp; SPA Sweep Elbows'!$A$8:$M$11,4,FALSE),
IF($A46&lt;'Pool &amp; SPA Pipe Extender'!$A$11,VLOOKUP($A46,'Pool &amp; SPA Pipe Extender'!$A$8:$M$10,4,FALSE),
IF($A46&lt;'PVC SCH80'!$A$250,VLOOKUP($A46,'PVC SCH80'!$A$8:$M$249,4,FALSE),
IF($A46&lt;'PVC SCH80 Flange'!$A$49,VLOOKUP($A46,'PVC SCH80 Flange'!$A$8:$M$48,4,FALSE),
IF($A46&lt;'PVC SCH80 LD Flange'!$A$17,VLOOKUP($A46,'PVC SCH80 LD Flange'!$A$8:$M$16,4,FALSE),
IF($A46&lt;CPVC!$A$100,VLOOKUP($A46,CPVC!$A$8:$M$99,4,FALSE),
IF($A46&lt;InsertFittings!$A$237,VLOOKUP($A46,InsertFittings!$A$11:$M$236,4,FALSE),
IF($A46&lt;Valves!$A$132,VLOOKUP($A46,Valves!$A$8:$M$131,4,FALSE),
IF($A46&lt;SDR35SW!$A$124,VLOOKUP($A46,SDR35SW!$A$8:$M$123,4,FALSE),
IF($A46&lt;SDR35G!$A$143,VLOOKUP($A46, SDR35G!$A$8:$M$142,4,FALSE),
IF($A46&lt;SDR26G!$A$61,VLOOKUP($A46,SDR26G!$A$8:$N$60,4,FALSE),
IF($A46&lt;Cements!$A$100,VLOOKUP($A46,Cements!$A$8:$Q$99,4,FALSE),
IF($A46&lt;ValveBox!$A$143,VLOOKUP($A46,ValveBox!$A$10:$O$142,4,FALSE),
IF($A46&lt;'ValveBox Components'!$A$165,VLOOKUP($A46,'ValveBox Components'!$A$10:$O$164,4,FALSE),
IF($A46&lt;Drainage!$A$92,VLOOKUP($A46,Drainage!$A$8:$M$91,4,FALSE),
IF($A46&lt;Nipples!$A$82,VLOOKUP($A46,Nipples!$A$9:$Q$81,4,FALSE),
IF($A46&lt;Manifold!$A$33,VLOOKUP($A46,Manifold!$A$9:$M$32,4,FALSE),
IF($A46&lt;FlexibleRepairCouplings!$A$13,VLOOKUP($A46,FlexibleRepairCouplings!$A$10:$M$12,4,FALSE),
IF($A46&lt;DuraFix!$A$15,VLOOKUP($A46,DuraFix!$A$9:$M$14,4,FALSE),
IF($A46&lt;'Compression Fittings'!$A$16,VLOOKUP($A46,'Compression Fittings'!$A$8:$M$15,4,FALSE),
IF($A46&lt;'Hose Fittings'!$A$30,VLOOKUP($A46,'Hose Fittings'!$A$8:$M$29,4,FALSE),
IF($A46&lt;'Swing Joints'!$A$496,VLOOKUP($A46,'Swing Joints'!$A$9:$M$495,4,FALSE),
IF($A46&lt;'Swing Joints Components'!$A$135,VLOOKUP($A46,'Swing Joints Components'!$A$9:$M$134,4,FALSE),
IF($A46&lt;Nonstandard!$A$42,VLOOKUP($A46,Nonstandard!$A$31:$J$41,5,FALSE),"")))))))))))))))))))))))))))),"")</f>
        <v/>
      </c>
      <c r="C46" s="420" t="str">
        <f>IFERROR(IF($A46&lt;'DWV PVC'!$A$285,VLOOKUP($A46,'DWV PVC'!$A$8:$M$284,5,FALSE),
IF($A46&lt;'DWV ABS'!$A$117,VLOOKUP($A46,'DWV ABS'!$A$8:$M$116,5,FALSE),
IF($A46&lt;'PVC SCH40'!$A$376,VLOOKUP($A46,'PVC SCH40'!$A$8:$M$375,5,FALSE),
IF($A46&lt;'PVC SCH40 LD'!$A$22,VLOOKUP($A46,'PVC SCH40 LD'!$A$8:$M$21,5,FALSE),
IF($A46&lt;'Pool &amp; SPA Sweep Elbows'!$A$12,VLOOKUP($A46,'Pool &amp; SPA Sweep Elbows'!$A$8:$M$11,5,FALSE),
IF($A46&lt;'Pool &amp; SPA Pipe Extender'!$A$11,VLOOKUP($A46,'Pool &amp; SPA Pipe Extender'!$A$8:$M$10,5,FALSE),
IF($A46&lt;'PVC SCH80'!$A$250,VLOOKUP($A46,'PVC SCH80'!$A$8:$M$249,5,FALSE),
IF($A46&lt;'PVC SCH80 Flange'!$A$49,VLOOKUP($A46,'PVC SCH80 Flange'!$A$8:$M$48,5,FALSE),
IF($A46&lt;'PVC SCH80 LD Flange'!$A$17,VLOOKUP($A46,'PVC SCH80 LD Flange'!$A$8:$M$16,5,FALSE),
IF($A46&lt;CPVC!$A$100,VLOOKUP($A46,CPVC!$A$8:$M$99,5,FALSE),
IF($A46&lt;InsertFittings!$A$237,VLOOKUP($A46,InsertFittings!$A$11:$M$236,5,FALSE),
IF($A46&lt;Valves!$A$132,VLOOKUP($A46,Valves!$A$8:$M$131,5,FALSE),
IF($A46&lt;SDR35SW!$A$124,VLOOKUP($A46,SDR35SW!$A$8:$M$123,5,FALSE),
IF($A46&lt;SDR35G!$A$143,VLOOKUP($A46, SDR35G!$A$8:$M$142,5,FALSE),
IF($A46&lt;SDR26G!$A$61,VLOOKUP($A46,SDR26G!$A$8:$N$60,5,FALSE),
IF($A46&lt;Cements!$A$100,VLOOKUP($A46,Cements!$A$8:$Q$99,5,FALSE),
IF($A46&lt;ValveBox!$A$143,VLOOKUP($A46,ValveBox!$A$10:$O$142,5,FALSE),
IF($A46&lt;'ValveBox Components'!$A$165,VLOOKUP($A46,'ValveBox Components'!$A$10:$O$164,5,FALSE),
IF($A46&lt;Drainage!$A$92,VLOOKUP($A46,Drainage!$A$8:$M$91,5,FALSE),
IF($A46&lt;Nipples!$A$82,VLOOKUP($A46,Nipples!$A$9:$Q$81,5,FALSE),
IF($A46&lt;Manifold!$A$33,VLOOKUP($A46,Manifold!$A$9:$M$32,5,FALSE),
IF($A46&lt;FlexibleRepairCouplings!$A$13,VLOOKUP($A46,FlexibleRepairCouplings!$A$10:$M$12,5,FALSE),
IF($A46&lt;DuraFix!$A$15,VLOOKUP($A46,DuraFix!$A$9:$M$14,5,FALSE),
IF($A46&lt;'Compression Fittings'!$A$16,VLOOKUP($A46,'Compression Fittings'!$A$8:$M$15,5,FALSE),
IF($A46&lt;'Hose Fittings'!$A$30,VLOOKUP($A46,'Hose Fittings'!$A$8:$M$29,5,FALSE),
IF($A46&lt;'Swing Joints'!$A$496,VLOOKUP($A46,'Swing Joints'!$A$9:$M$495,5,FALSE),
IF($A46&lt;'Swing Joints Components'!$A$135,VLOOKUP($A46,'Swing Joints Components'!$A$9:$M$134,5,FALSE),
IF($A46&lt;Nonstandard!$A$42,VLOOKUP($A46,Nonstandard!$A$31:$J$41,6,FALSE),"")))))))))))))))))))))))))))),"")</f>
        <v/>
      </c>
      <c r="D46" s="428" t="str">
        <f>IFERROR(IF($A46&lt;'DWV PVC'!$A$285,VLOOKUP($A46,'DWV PVC'!$A$8:$M$284,6,FALSE),
IF($A46&lt;'DWV ABS'!$A$117,VLOOKUP($A46,'DWV ABS'!$A$8:$M$116,6,FALSE),
IF($A46&lt;'PVC SCH40'!$A$376,VLOOKUP($A46,'PVC SCH40'!$A$8:$M$375,6,FALSE),
IF($A46&lt;'PVC SCH40 LD'!$A$22,VLOOKUP($A46,'PVC SCH40 LD'!$A$8:$M$21,6,FALSE),
IF($A46&lt;'Pool &amp; SPA Sweep Elbows'!$A$12,VLOOKUP($A46,'Pool &amp; SPA Sweep Elbows'!$A$8:$M$11,6,FALSE),
IF($A46&lt;'Pool &amp; SPA Pipe Extender'!$A$11,VLOOKUP($A46,'Pool &amp; SPA Pipe Extender'!$A$8:$M$10,6,FALSE),
IF($A46&lt;'PVC SCH80'!$A$250,VLOOKUP($A46,'PVC SCH80'!$A$8:$M$249,6,FALSE),
IF($A46&lt;'PVC SCH80 Flange'!$A$49,VLOOKUP($A46,'PVC SCH80 Flange'!$A$8:$M$48,6,FALSE),
IF($A46&lt;'PVC SCH80 LD Flange'!$A$17,VLOOKUP($A46,'PVC SCH80 LD Flange'!$A$8:$M$16,6,FALSE),
IF($A46&lt;CPVC!$A$100,VLOOKUP($A46,CPVC!$A$8:$M$99,6,FALSE),
IF($A46&lt;InsertFittings!$A$237,VLOOKUP($A46,InsertFittings!$A$11:$M$236,6,FALSE),
IF($A46&lt;Valves!$A$132,VLOOKUP($A46,Valves!$A$8:$M$131,6,FALSE),
IF($A46&lt;SDR35SW!$A$124,VLOOKUP($A46,SDR35SW!$A$8:$M$123,6,FALSE),
IF($A46&lt;SDR35G!$A$143,VLOOKUP($A46, SDR35G!$A$8:$M$142,6,FALSE),
IF($A46&lt;SDR26G!$A$61,VLOOKUP($A46,SDR26G!$A$8:$N$60,6,FALSE),
IF($A46&lt;Cements!$A$100,VLOOKUP($A46,Cements!$A$8:$Q$99,6,FALSE),
IF($A46&lt;ValveBox!$A$143,VLOOKUP($A46,ValveBox!$A$10:$O$142,6,FALSE),
IF($A46&lt;'ValveBox Components'!$A$165,VLOOKUP($A46,'ValveBox Components'!$A$10:$O$164,6,FALSE),
IF($A46&lt;Drainage!$A$92,VLOOKUP($A46,Drainage!$A$8:$M$91,6,FALSE),
IF($A46&lt;Nipples!$A$82,VLOOKUP($A46,Nipples!$A$9:$Q$81,6,FALSE),
IF($A46&lt;Manifold!$A$33,VLOOKUP($A46,Manifold!$A$9:$M$32,6,FALSE),
IF($A46&lt;FlexibleRepairCouplings!$A$13,VLOOKUP($A46,FlexibleRepairCouplings!$A$10:$M$12,6,FALSE),
IF($A46&lt;DuraFix!$A$15,VLOOKUP($A46,DuraFix!$A$9:$M$14,6,FALSE),
IF($A46&lt;'Compression Fittings'!$A$16,VLOOKUP($A46,'Compression Fittings'!$A$8:$M$15,6,FALSE),
IF($A46&lt;'Hose Fittings'!$A$30,VLOOKUP($A46,'Hose Fittings'!$A$8:$M$29,6,FALSE),
IF($A46&lt;'Swing Joints'!$A$496,VLOOKUP($A46,'Swing Joints'!$A$9:$M$495,6,FALSE),
IF($A46&lt;'Swing Joints Components'!$A$135,VLOOKUP($A46,'Swing Joints Components'!$A$9:$M$134,6,FALSE),
IF($A46&lt;Nonstandard!$A$42,VLOOKUP($A46,Nonstandard!$A$31:$J$41,7,FALSE),"")))))))))))))))))))))))))))),"")</f>
        <v/>
      </c>
      <c r="E46" s="429"/>
      <c r="F46" s="421" t="str">
        <f>IFERROR(IF($A46&lt;'DWV PVC'!$A$285,VLOOKUP($A46,'DWV PVC'!$A$8:$M$284,9,FALSE),
IF($A46&lt;'DWV ABS'!$A$117,VLOOKUP($A46,'DWV ABS'!$A$8:$M$116,9,FALSE),
IF($A46&lt;'PVC SCH40'!$A$376,VLOOKUP($A46,'PVC SCH40'!$A$8:$M$375,9,FALSE),
IF($A46&lt;'PVC SCH40 LD'!$A$22,VLOOKUP($A46,'PVC SCH40 LD'!$A$8:$M$21,9,FALSE),
IF($A46&lt;'Pool &amp; SPA Sweep Elbows'!$A$12,VLOOKUP($A46,'Pool &amp; SPA Sweep Elbows'!$A$8:$M$11,9,FALSE),
IF($A46&lt;'Pool &amp; SPA Pipe Extender'!$A$11,VLOOKUP($A46,'Pool &amp; SPA Pipe Extender'!$A$8:$M$10,9,FALSE),
IF($A46&lt;'PVC SCH80'!$A$250,VLOOKUP($A46,'PVC SCH80'!$A$8:$M$249,9,FALSE),
IF($A46&lt;'PVC SCH80 Flange'!$A$49,VLOOKUP($A46,'PVC SCH80 Flange'!$A$8:$M$48,9,FALSE),
IF($A46&lt;'PVC SCH80 LD Flange'!$A$17,VLOOKUP($A46,'PVC SCH80 LD Flange'!$A$8:$M$16,9,FALSE),
IF($A46&lt;CPVC!$A$100,VLOOKUP($A46,CPVC!$A$8:$M$99,9,FALSE),
IF($A46&lt;InsertFittings!$A$237,VLOOKUP($A46,InsertFittings!$A$11:$M$236,9,FALSE),
IF($A46&lt;Valves!$A$132,VLOOKUP($A46,Valves!$A$8:$M$131,9,FALSE),
IF($A46&lt;SDR35SW!$A$124,VLOOKUP($A46,SDR35SW!$A$8:$M$123,9,FALSE),
IF($A46&lt;SDR35G!$A$143,VLOOKUP($A46, SDR35G!$A$8:$M$142,9,FALSE),
IF($A46&lt;SDR26G!$A$61,VLOOKUP($A46,SDR26G!$A$8:$N$60,10,FALSE),
IF($A46&lt;Cements!$A$100,VLOOKUP($A46,Cements!$A$8:$Q$99,13,FALSE),
IF($A46&lt;ValveBox!$A$143,VLOOKUP($A46,ValveBox!$A$10:$O$142,11,FALSE),
IF($A46&lt;'ValveBox Components'!$A$165,VLOOKUP($A46,'ValveBox Components'!$A$10:$O$164,11,FALSE),
IF($A46&lt;Drainage!$A$92,VLOOKUP($A46,Drainage!$A$8:$M$91,9,FALSE),
IF($A46&lt;Nipples!$A$82,VLOOKUP($A46,Nipples!$A$9:$Q$81,13,FALSE),
IF($A46&lt;Manifold!$A$33,VLOOKUP($A46,Manifold!$A$9:$M$32,9,FALSE),
IF($A46&lt;FlexibleRepairCouplings!$A$13,VLOOKUP($A46,FlexibleRepairCouplings!$A$10:$M$12,9,FALSE),
IF($A46&lt;DuraFix!$A$15,VLOOKUP($A46,DuraFix!$A$9:$M$14,9,FALSE),
IF($A46&lt;'Compression Fittings'!$A$16,VLOOKUP($A46,'Compression Fittings'!$A$8:$M$15,9,FALSE),
IF($A46&lt;'Hose Fittings'!$A$30,VLOOKUP($A46,'Hose Fittings'!$A$8:$M$29,9,FALSE),
IF($A46&lt;'Swing Joints'!$A$496,VLOOKUP($A46,'Swing Joints'!$A$9:$M$495,9,FALSE),
IF($A46&lt;'Swing Joints Components'!$A$135,VLOOKUP($A46,'Swing Joints Components'!$A$9:$M$134,9,FALSE),
IF($A46&lt;Nonstandard!$A$42,VLOOKUP($A46,Nonstandard!$A$31:$J$41,8,FALSE),"")))))))))))))))))))))))))))),"")</f>
        <v/>
      </c>
      <c r="G46" s="422" t="str">
        <f>IFERROR(IF($A46&lt;'DWV PVC'!$A$285,VLOOKUP($A46,'DWV PVC'!$A$8:$M$284,11,FALSE),
IF($A46&lt;'DWV ABS'!$A$117,VLOOKUP($A46,'DWV ABS'!$A$8:$M$116,11,FALSE),
IF($A46&lt;'PVC SCH40'!$A$376,VLOOKUP($A46,'PVC SCH40'!$A$8:$M$375,11,FALSE),
IF($A46&lt;'PVC SCH40 LD'!$A$22,VLOOKUP($A46,'PVC SCH40 LD'!$A$8:$M$21,11,FALSE),
IF($A46&lt;'Pool &amp; SPA Sweep Elbows'!$A$12,VLOOKUP($A46,'Pool &amp; SPA Sweep Elbows'!$A$8:$M$11,11,FALSE),
IF($A46&lt;'Pool &amp; SPA Pipe Extender'!$A$11,VLOOKUP($A46,'Pool &amp; SPA Pipe Extender'!$A$8:$M$10,11,FALSE),
IF($A46&lt;'PVC SCH80'!$A$250,VLOOKUP($A46,'PVC SCH80'!$A$8:$M$249,11,FALSE),
IF($A46&lt;'PVC SCH80 Flange'!$A$49,VLOOKUP($A46,'PVC SCH80 Flange'!$A$8:$M$48,11,FALSE),
IF($A46&lt;'PVC SCH80 LD Flange'!$A$17,VLOOKUP($A46,'PVC SCH80 LD Flange'!$A$8:$M$16,11,FALSE),
IF($A46&lt;CPVC!$A$100,VLOOKUP($A46,CPVC!$A$8:$M$99,11,FALSE),
IF($A46&lt;InsertFittings!$A$237,VLOOKUP($A46,InsertFittings!$A$11:$M$236,11,FALSE),
IF($A46&lt;Valves!$A$132,VLOOKUP($A46,Valves!$A$8:$M$131,11,FALSE),
IF($A46&lt;SDR35SW!$A$124,VLOOKUP($A46,SDR35SW!$A$8:$M$123,11,FALSE),
IF($A46&lt;SDR35G!$A$143,VLOOKUP($A46, SDR35G!$A$8:$M$142,11,FALSE),
IF($A46&lt;SDR26G!$A$61,VLOOKUP($A46,SDR26G!$A$8:$N$60,12,FALSE),
IF($A46&lt;Cements!$A$100,VLOOKUP($A46,Cements!$A$8:$Q$99,15,FALSE),
IF($A46&lt;ValveBox!$A$143,VLOOKUP($A46,ValveBox!$A$10:$O$142,13,FALSE),
IF($A46&lt;'ValveBox Components'!$A$165,VLOOKUP($A46,'ValveBox Components'!$A$10:$O$164,13,FALSE),
IF($A46&lt;Drainage!$A$92,VLOOKUP($A46,Drainage!$A$8:$M$91,11,FALSE),
IF($A46&lt;Nipples!$A$82,VLOOKUP($A46,Nipples!$A$9:$Q$81,15,FALSE),
IF($A46&lt;Manifold!$A$33,VLOOKUP($A46,Manifold!$A$9:$M$32,11,FALSE),
IF($A46&lt;FlexibleRepairCouplings!$A$13,VLOOKUP($A46,FlexibleRepairCouplings!$A$10:$M$12,11,FALSE),
IF($A46&lt;DuraFix!$A$15,VLOOKUP($A46,DuraFix!$A$9:$M$14,11,FALSE),
IF($A46&lt;'Compression Fittings'!$A$16,VLOOKUP($A46,'Compression Fittings'!$A$8:$M$15,11,FALSE),
IF($A46&lt;'Hose Fittings'!$A$30,VLOOKUP($A46,'Hose Fittings'!$A$8:$M$29,11,FALSE),
IF($A46&lt;'Swing Joints'!$A$496,VLOOKUP($A46,'Swing Joints'!$A$9:$M$495,11,FALSE),
IF($A46&lt;'Swing Joints Components'!$A$135,VLOOKUP($A46,'Swing Joints Components'!$A$9:$M$134,11,FALSE),
IF($A46&lt;Nonstandard!$A$42,VLOOKUP($A46,Nonstandard!$A$31:$J$41,3,FALSE),"")))))))))))))))))))))))))))),"")</f>
        <v/>
      </c>
      <c r="H46" s="588" t="str">
        <f>IFERROR(IF($A46&lt;'DWV PVC'!$A$285,VLOOKUP($A46,'DWV PVC'!$A$8:$M$284,7,FALSE),
IF($A46&lt;'DWV ABS'!$A$117,VLOOKUP($A46,'DWV ABS'!$A$8:$M$116,7,FALSE),
IF($A46&lt;'PVC SCH40'!$A$376,VLOOKUP($A46,'PVC SCH40'!$A$8:$M$375,7,FALSE),
IF($A46&lt;'PVC SCH40 LD'!$A$22,VLOOKUP($A46,'PVC SCH40 LD'!$A$8:$M$21,7,FALSE),
IF($A46&lt;'Pool &amp; SPA Sweep Elbows'!$A$12,VLOOKUP($A46,'Pool &amp; SPA Sweep Elbows'!$A$8:$M$11,7,FALSE),
IF($A46&lt;'Pool &amp; SPA Pipe Extender'!$A$11,VLOOKUP($A46,'Pool &amp; SPA Pipe Extender'!$A$8:$M$10,7,FALSE),
IF($A46&lt;'PVC SCH80'!$A$250,VLOOKUP($A46,'PVC SCH80'!$A$8:$M$249,7,FALSE),
IF($A46&lt;'PVC SCH80 Flange'!$A$49,VLOOKUP($A46,'PVC SCH80 Flange'!$A$8:$M$48,7,FALSE),
IF($A46&lt;'PVC SCH80 LD Flange'!$A$17,VLOOKUP($A46,'PVC SCH80 LD Flange'!$A$8:$M$16,7,FALSE),
IF($A46&lt;CPVC!$A$100,VLOOKUP($A46,CPVC!$A$8:$M$99,7,FALSE),
IF($A46&lt;InsertFittings!$A$237,VLOOKUP($A46,InsertFittings!$A$11:$M$236,7,FALSE),
IF($A46&lt;Valves!$A$132,VLOOKUP($A46,Valves!$A$8:$M$131,7,FALSE),
IF($A46&lt;SDR35SW!$A$124,VLOOKUP($A46,SDR35SW!$A$8:$M$123,7,FALSE),
IF($A46&lt;SDR35G!$A$143,VLOOKUP($A46, SDR35G!$A$8:$M$142,7,FALSE),
IF($A46&lt;SDR26G!$A$61,VLOOKUP($A46,SDR26G!$A$8:$N$60,10,FALSE),
IF($A46&lt;Cements!$A$100,VLOOKUP($A46,Cements!$A$8:$Q$99,13,FALSE),
IF($A46&lt;ValveBox!$A$143,VLOOKUP($A46,ValveBox!$A$10:$O$142,11,FALSE),
IF($A46&lt;'ValveBox Components'!$A$165,VLOOKUP($A46,'ValveBox Components'!$A$10:$O$164,11,FALSE),
IF($A46&lt;Drainage!$A$92,VLOOKUP($A46,Drainage!$A$8:$M$91,7,FALSE),
IF($A46&lt;Nipples!$A$82,VLOOKUP($A46,Nipples!$A$9:$Q$81,13,FALSE),
IF($A46&lt;Manifold!$A$33,VLOOKUP($A46,Manifold!$A$9:$M$32,7,FALSE),
IF($A46&lt;FlexibleRepairCouplings!$A$13,VLOOKUP($A46,FlexibleRepairCouplings!$A$10:$M$12,7,FALSE),
IF($A46&lt;DuraFix!$A$15,VLOOKUP($A46,DuraFix!$A$9:$M$14,7,FALSE),
IF($A46&lt;'Compression Fittings'!$A$16,VLOOKUP($A46,'Compression Fittings'!$A$8:$M$15,7,FALSE),
IF($A46&lt;'Hose Fittings'!$A$30,VLOOKUP($A46,'Hose Fittings'!$A$8:$M$29,7,FALSE),
IF($A46&lt;'Swing Joints'!$A$496,VLOOKUP($A46,'Swing Joints'!$A$9:$M$495,7,FALSE),
IF($A46&lt;'Swing Joints Components'!$A$135,VLOOKUP($A46,'Swing Joints Components'!$A$9:$M$134,7,FALSE),
IF($A46&lt;Nonstandard!$A$42,VLOOKUP($A46,Nonstandard!$A$31:$J$41,3,FALSE),"")))))))))))))))))))))))))))),"")</f>
        <v/>
      </c>
      <c r="I46" s="589"/>
      <c r="J46" s="423" t="str">
        <f t="shared" si="1"/>
        <v/>
      </c>
      <c r="K46" s="424" t="str">
        <f>IFERROR(IF($A46&lt;'DWV PVC'!$A$285,VLOOKUP($A46,'DWV PVC'!$A$8:$M$284,10,FALSE),
IF($A46&lt;'DWV ABS'!$A$117,VLOOKUP($A46,'DWV ABS'!$A$8:$M$116,10,FALSE),
IF($A46&lt;'PVC SCH40'!$A$376,VLOOKUP($A46,'PVC SCH40'!$A$8:$M$375,10,FALSE),
IF($A46&lt;'PVC SCH40 LD'!$A$22,VLOOKUP($A46,'PVC SCH40 LD'!$A$8:$M$21,10,FALSE),
IF($A46&lt;'Pool &amp; SPA Sweep Elbows'!$A$12,VLOOKUP($A46,'Pool &amp; SPA Sweep Elbows'!$A$8:$M$11,10,FALSE),
IF($A46&lt;'Pool &amp; SPA Pipe Extender'!$A$11,VLOOKUP($A46,'Pool &amp; SPA Pipe Extender'!$A$8:$M$10,10,FALSE),
IF($A46&lt;'PVC SCH80'!$A$250,VLOOKUP($A46,'PVC SCH80'!$A$8:$M$249,10,FALSE),
IF($A46&lt;'PVC SCH80 Flange'!$A$49,VLOOKUP($A46,'PVC SCH80 Flange'!$A$8:$M$48,10,FALSE),
IF($A46&lt;'PVC SCH80 LD Flange'!$A$17,VLOOKUP($A46,'PVC SCH80 LD Flange'!$A$8:$M$16,10,FALSE),
IF($A46&lt;CPVC!$A$100,VLOOKUP($A46,CPVC!$A$8:$M$99,10,FALSE),
IF($A46&lt;InsertFittings!$A$237,VLOOKUP($A46,InsertFittings!$A$11:$M$236,10,FALSE),
IF($A46&lt;Valves!$A$132,VLOOKUP($A46,Valves!$A$8:$M$131,10,FALSE),
IF($A46&lt;SDR35SW!$A$124,VLOOKUP($A46,SDR35SW!$A$8:$M$123,10,FALSE),
IF($A46&lt;SDR35G!$A$143,VLOOKUP($A46, SDR35G!$A$8:$M$142,10,FALSE),
IF($A46&lt;SDR26G!$A$61,VLOOKUP($A46,SDR26G!$A$8:$N$60,11,FALSE),
IF($A46&lt;Cements!$A$100,VLOOKUP($A46,Cements!$A$8:$Q$99,14,FALSE),
IF($A46&lt;ValveBox!$A$143,VLOOKUP($A46,ValveBox!$A$10:$O$142,12,FALSE),
IF($A46&lt;'ValveBox Components'!$A$165,VLOOKUP($A46,'ValveBox Components'!$A$10:$O$164,12,FALSE),
IF($A46&lt;Drainage!$A$92,VLOOKUP($A46,Drainage!$A$8:$M$91,10,FALSE),
IF($A46&lt;Nipples!$A$82,VLOOKUP($A46,Nipples!$A$9:$Q$81,14,FALSE),
IF($A46&lt;Manifold!$A$33,VLOOKUP($A46,Manifold!$A$9:$M$32,10,FALSE),
IF($A46&lt;FlexibleRepairCouplings!$A$13,VLOOKUP($A46,FlexibleRepairCouplings!$A$10:$M$12,10,FALSE),
IF($A46&lt;DuraFix!$A$15,VLOOKUP($A46,DuraFix!$A$9:$M$14,10,FALSE),
IF($A46&lt;'Compression Fittings'!$A$16,VLOOKUP($A46,'Compression Fittings'!$A$8:$M$15,10,FALSE),
IF($A46&lt;'Hose Fittings'!$A$30,VLOOKUP($A46,'Hose Fittings'!$A$8:$M$29,10,FALSE),
IF($A46&lt;'Swing Joints'!$A$496,VLOOKUP($A46,'Swing Joints'!$A$9:$M$495,10,FALSE),
IF($A46&lt;'Swing Joints Components'!$A$135,VLOOKUP($A46,'Swing Joints Components'!$A$9:$M$134,10,FALSE),
IF($A46&lt;Nonstandard!$A$42,VLOOKUP($A46,Nonstandard!$A$31:$J$41,10,FALSE),"")))))))))))))))))))))))))))),"")</f>
        <v/>
      </c>
      <c r="L46" s="421" t="str">
        <f t="shared" si="0"/>
        <v>-</v>
      </c>
      <c r="M46" s="425"/>
    </row>
    <row r="47" spans="1:13" ht="15.75">
      <c r="A47" s="415">
        <v>15</v>
      </c>
      <c r="B47" s="415" t="str">
        <f>IFERROR(IF($A47&lt;'DWV PVC'!$A$285,VLOOKUP($A47,'DWV PVC'!$A$8:$M$284,4,FALSE),
IF($A47&lt;'DWV ABS'!$A$117,VLOOKUP($A47,'DWV ABS'!$A$8:$M$116,4,FALSE),
IF($A47&lt;'PVC SCH40'!$A$376,VLOOKUP($A47,'PVC SCH40'!$A$8:$M$375,4,FALSE),
IF($A47&lt;'PVC SCH40 LD'!$A$22,VLOOKUP($A47,'PVC SCH40 LD'!$A$8:$M$21,4,FALSE),
IF($A47&lt;'Pool &amp; SPA Sweep Elbows'!$A$12,VLOOKUP($A47,'Pool &amp; SPA Sweep Elbows'!$A$8:$M$11,4,FALSE),
IF($A47&lt;'Pool &amp; SPA Pipe Extender'!$A$11,VLOOKUP($A47,'Pool &amp; SPA Pipe Extender'!$A$8:$M$10,4,FALSE),
IF($A47&lt;'PVC SCH80'!$A$250,VLOOKUP($A47,'PVC SCH80'!$A$8:$M$249,4,FALSE),
IF($A47&lt;'PVC SCH80 Flange'!$A$49,VLOOKUP($A47,'PVC SCH80 Flange'!$A$8:$M$48,4,FALSE),
IF($A47&lt;'PVC SCH80 LD Flange'!$A$17,VLOOKUP($A47,'PVC SCH80 LD Flange'!$A$8:$M$16,4,FALSE),
IF($A47&lt;CPVC!$A$100,VLOOKUP($A47,CPVC!$A$8:$M$99,4,FALSE),
IF($A47&lt;InsertFittings!$A$237,VLOOKUP($A47,InsertFittings!$A$11:$M$236,4,FALSE),
IF($A47&lt;Valves!$A$132,VLOOKUP($A47,Valves!$A$8:$M$131,4,FALSE),
IF($A47&lt;SDR35SW!$A$124,VLOOKUP($A47,SDR35SW!$A$8:$M$123,4,FALSE),
IF($A47&lt;SDR35G!$A$143,VLOOKUP($A47, SDR35G!$A$8:$M$142,4,FALSE),
IF($A47&lt;SDR26G!$A$61,VLOOKUP($A47,SDR26G!$A$8:$N$60,4,FALSE),
IF($A47&lt;Cements!$A$100,VLOOKUP($A47,Cements!$A$8:$Q$99,4,FALSE),
IF($A47&lt;ValveBox!$A$143,VLOOKUP($A47,ValveBox!$A$10:$O$142,4,FALSE),
IF($A47&lt;'ValveBox Components'!$A$165,VLOOKUP($A47,'ValveBox Components'!$A$10:$O$164,4,FALSE),
IF($A47&lt;Drainage!$A$92,VLOOKUP($A47,Drainage!$A$8:$M$91,4,FALSE),
IF($A47&lt;Nipples!$A$82,VLOOKUP($A47,Nipples!$A$9:$Q$81,4,FALSE),
IF($A47&lt;Manifold!$A$33,VLOOKUP($A47,Manifold!$A$9:$M$32,4,FALSE),
IF($A47&lt;FlexibleRepairCouplings!$A$13,VLOOKUP($A47,FlexibleRepairCouplings!$A$10:$M$12,4,FALSE),
IF($A47&lt;DuraFix!$A$15,VLOOKUP($A47,DuraFix!$A$9:$M$14,4,FALSE),
IF($A47&lt;'Compression Fittings'!$A$16,VLOOKUP($A47,'Compression Fittings'!$A$8:$M$15,4,FALSE),
IF($A47&lt;'Hose Fittings'!$A$30,VLOOKUP($A47,'Hose Fittings'!$A$8:$M$29,4,FALSE),
IF($A47&lt;'Swing Joints'!$A$496,VLOOKUP($A47,'Swing Joints'!$A$9:$M$495,4,FALSE),
IF($A47&lt;'Swing Joints Components'!$A$135,VLOOKUP($A47,'Swing Joints Components'!$A$9:$M$134,4,FALSE),
IF($A47&lt;Nonstandard!$A$42,VLOOKUP($A47,Nonstandard!$A$31:$J$41,5,FALSE),"")))))))))))))))))))))))))))),"")</f>
        <v/>
      </c>
      <c r="C47" s="415" t="str">
        <f>IFERROR(IF($A47&lt;'DWV PVC'!$A$285,VLOOKUP($A47,'DWV PVC'!$A$8:$M$284,5,FALSE),
IF($A47&lt;'DWV ABS'!$A$117,VLOOKUP($A47,'DWV ABS'!$A$8:$M$116,5,FALSE),
IF($A47&lt;'PVC SCH40'!$A$376,VLOOKUP($A47,'PVC SCH40'!$A$8:$M$375,5,FALSE),
IF($A47&lt;'PVC SCH40 LD'!$A$22,VLOOKUP($A47,'PVC SCH40 LD'!$A$8:$M$21,5,FALSE),
IF($A47&lt;'Pool &amp; SPA Sweep Elbows'!$A$12,VLOOKUP($A47,'Pool &amp; SPA Sweep Elbows'!$A$8:$M$11,5,FALSE),
IF($A47&lt;'Pool &amp; SPA Pipe Extender'!$A$11,VLOOKUP($A47,'Pool &amp; SPA Pipe Extender'!$A$8:$M$10,5,FALSE),
IF($A47&lt;'PVC SCH80'!$A$250,VLOOKUP($A47,'PVC SCH80'!$A$8:$M$249,5,FALSE),
IF($A47&lt;'PVC SCH80 Flange'!$A$49,VLOOKUP($A47,'PVC SCH80 Flange'!$A$8:$M$48,5,FALSE),
IF($A47&lt;'PVC SCH80 LD Flange'!$A$17,VLOOKUP($A47,'PVC SCH80 LD Flange'!$A$8:$M$16,5,FALSE),
IF($A47&lt;CPVC!$A$100,VLOOKUP($A47,CPVC!$A$8:$M$99,5,FALSE),
IF($A47&lt;InsertFittings!$A$237,VLOOKUP($A47,InsertFittings!$A$11:$M$236,5,FALSE),
IF($A47&lt;Valves!$A$132,VLOOKUP($A47,Valves!$A$8:$M$131,5,FALSE),
IF($A47&lt;SDR35SW!$A$124,VLOOKUP($A47,SDR35SW!$A$8:$M$123,5,FALSE),
IF($A47&lt;SDR35G!$A$143,VLOOKUP($A47, SDR35G!$A$8:$M$142,5,FALSE),
IF($A47&lt;SDR26G!$A$61,VLOOKUP($A47,SDR26G!$A$8:$N$60,5,FALSE),
IF($A47&lt;Cements!$A$100,VLOOKUP($A47,Cements!$A$8:$Q$99,5,FALSE),
IF($A47&lt;ValveBox!$A$143,VLOOKUP($A47,ValveBox!$A$10:$O$142,5,FALSE),
IF($A47&lt;'ValveBox Components'!$A$165,VLOOKUP($A47,'ValveBox Components'!$A$10:$O$164,5,FALSE),
IF($A47&lt;Drainage!$A$92,VLOOKUP($A47,Drainage!$A$8:$M$91,5,FALSE),
IF($A47&lt;Nipples!$A$82,VLOOKUP($A47,Nipples!$A$9:$Q$81,5,FALSE),
IF($A47&lt;Manifold!$A$33,VLOOKUP($A47,Manifold!$A$9:$M$32,5,FALSE),
IF($A47&lt;FlexibleRepairCouplings!$A$13,VLOOKUP($A47,FlexibleRepairCouplings!$A$10:$M$12,5,FALSE),
IF($A47&lt;DuraFix!$A$15,VLOOKUP($A47,DuraFix!$A$9:$M$14,5,FALSE),
IF($A47&lt;'Compression Fittings'!$A$16,VLOOKUP($A47,'Compression Fittings'!$A$8:$M$15,5,FALSE),
IF($A47&lt;'Hose Fittings'!$A$30,VLOOKUP($A47,'Hose Fittings'!$A$8:$M$29,5,FALSE),
IF($A47&lt;'Swing Joints'!$A$496,VLOOKUP($A47,'Swing Joints'!$A$9:$M$495,5,FALSE),
IF($A47&lt;'Swing Joints Components'!$A$135,VLOOKUP($A47,'Swing Joints Components'!$A$9:$M$134,5,FALSE),
IF($A47&lt;Nonstandard!$A$42,VLOOKUP($A47,Nonstandard!$A$31:$J$41,6,FALSE),"")))))))))))))))))))))))))))),"")</f>
        <v/>
      </c>
      <c r="D47" s="426" t="str">
        <f>IFERROR(IF($A47&lt;'DWV PVC'!$A$285,VLOOKUP($A47,'DWV PVC'!$A$8:$M$284,6,FALSE),
IF($A47&lt;'DWV ABS'!$A$117,VLOOKUP($A47,'DWV ABS'!$A$8:$M$116,6,FALSE),
IF($A47&lt;'PVC SCH40'!$A$376,VLOOKUP($A47,'PVC SCH40'!$A$8:$M$375,6,FALSE),
IF($A47&lt;'PVC SCH40 LD'!$A$22,VLOOKUP($A47,'PVC SCH40 LD'!$A$8:$M$21,6,FALSE),
IF($A47&lt;'Pool &amp; SPA Sweep Elbows'!$A$12,VLOOKUP($A47,'Pool &amp; SPA Sweep Elbows'!$A$8:$M$11,6,FALSE),
IF($A47&lt;'Pool &amp; SPA Pipe Extender'!$A$11,VLOOKUP($A47,'Pool &amp; SPA Pipe Extender'!$A$8:$M$10,6,FALSE),
IF($A47&lt;'PVC SCH80'!$A$250,VLOOKUP($A47,'PVC SCH80'!$A$8:$M$249,6,FALSE),
IF($A47&lt;'PVC SCH80 Flange'!$A$49,VLOOKUP($A47,'PVC SCH80 Flange'!$A$8:$M$48,6,FALSE),
IF($A47&lt;'PVC SCH80 LD Flange'!$A$17,VLOOKUP($A47,'PVC SCH80 LD Flange'!$A$8:$M$16,6,FALSE),
IF($A47&lt;CPVC!$A$100,VLOOKUP($A47,CPVC!$A$8:$M$99,6,FALSE),
IF($A47&lt;InsertFittings!$A$237,VLOOKUP($A47,InsertFittings!$A$11:$M$236,6,FALSE),
IF($A47&lt;Valves!$A$132,VLOOKUP($A47,Valves!$A$8:$M$131,6,FALSE),
IF($A47&lt;SDR35SW!$A$124,VLOOKUP($A47,SDR35SW!$A$8:$M$123,6,FALSE),
IF($A47&lt;SDR35G!$A$143,VLOOKUP($A47, SDR35G!$A$8:$M$142,6,FALSE),
IF($A47&lt;SDR26G!$A$61,VLOOKUP($A47,SDR26G!$A$8:$N$60,6,FALSE),
IF($A47&lt;Cements!$A$100,VLOOKUP($A47,Cements!$A$8:$Q$99,6,FALSE),
IF($A47&lt;ValveBox!$A$143,VLOOKUP($A47,ValveBox!$A$10:$O$142,6,FALSE),
IF($A47&lt;'ValveBox Components'!$A$165,VLOOKUP($A47,'ValveBox Components'!$A$10:$O$164,6,FALSE),
IF($A47&lt;Drainage!$A$92,VLOOKUP($A47,Drainage!$A$8:$M$91,6,FALSE),
IF($A47&lt;Nipples!$A$82,VLOOKUP($A47,Nipples!$A$9:$Q$81,6,FALSE),
IF($A47&lt;Manifold!$A$33,VLOOKUP($A47,Manifold!$A$9:$M$32,6,FALSE),
IF($A47&lt;FlexibleRepairCouplings!$A$13,VLOOKUP($A47,FlexibleRepairCouplings!$A$10:$M$12,6,FALSE),
IF($A47&lt;DuraFix!$A$15,VLOOKUP($A47,DuraFix!$A$9:$M$14,6,FALSE),
IF($A47&lt;'Compression Fittings'!$A$16,VLOOKUP($A47,'Compression Fittings'!$A$8:$M$15,6,FALSE),
IF($A47&lt;'Hose Fittings'!$A$30,VLOOKUP($A47,'Hose Fittings'!$A$8:$M$29,6,FALSE),
IF($A47&lt;'Swing Joints'!$A$496,VLOOKUP($A47,'Swing Joints'!$A$9:$M$495,6,FALSE),
IF($A47&lt;'Swing Joints Components'!$A$135,VLOOKUP($A47,'Swing Joints Components'!$A$9:$M$134,6,FALSE),
IF($A47&lt;Nonstandard!$A$42,VLOOKUP($A47,Nonstandard!$A$31:$J$41,7,FALSE),"")))))))))))))))))))))))))))),"")</f>
        <v/>
      </c>
      <c r="E47" s="427"/>
      <c r="F47" s="418" t="str">
        <f>IFERROR(IF($A47&lt;'DWV PVC'!$A$285,VLOOKUP($A47,'DWV PVC'!$A$8:$M$284,9,FALSE),
IF($A47&lt;'DWV ABS'!$A$117,VLOOKUP($A47,'DWV ABS'!$A$8:$M$116,9,FALSE),
IF($A47&lt;'PVC SCH40'!$A$376,VLOOKUP($A47,'PVC SCH40'!$A$8:$M$375,9,FALSE),
IF($A47&lt;'PVC SCH40 LD'!$A$22,VLOOKUP($A47,'PVC SCH40 LD'!$A$8:$M$21,9,FALSE),
IF($A47&lt;'Pool &amp; SPA Sweep Elbows'!$A$12,VLOOKUP($A47,'Pool &amp; SPA Sweep Elbows'!$A$8:$M$11,9,FALSE),
IF($A47&lt;'Pool &amp; SPA Pipe Extender'!$A$11,VLOOKUP($A47,'Pool &amp; SPA Pipe Extender'!$A$8:$M$10,9,FALSE),
IF($A47&lt;'PVC SCH80'!$A$250,VLOOKUP($A47,'PVC SCH80'!$A$8:$M$249,9,FALSE),
IF($A47&lt;'PVC SCH80 Flange'!$A$49,VLOOKUP($A47,'PVC SCH80 Flange'!$A$8:$M$48,9,FALSE),
IF($A47&lt;'PVC SCH80 LD Flange'!$A$17,VLOOKUP($A47,'PVC SCH80 LD Flange'!$A$8:$M$16,9,FALSE),
IF($A47&lt;CPVC!$A$100,VLOOKUP($A47,CPVC!$A$8:$M$99,9,FALSE),
IF($A47&lt;InsertFittings!$A$237,VLOOKUP($A47,InsertFittings!$A$11:$M$236,9,FALSE),
IF($A47&lt;Valves!$A$132,VLOOKUP($A47,Valves!$A$8:$M$131,9,FALSE),
IF($A47&lt;SDR35SW!$A$124,VLOOKUP($A47,SDR35SW!$A$8:$M$123,9,FALSE),
IF($A47&lt;SDR35G!$A$143,VLOOKUP($A47, SDR35G!$A$8:$M$142,9,FALSE),
IF($A47&lt;SDR26G!$A$61,VLOOKUP($A47,SDR26G!$A$8:$N$60,10,FALSE),
IF($A47&lt;Cements!$A$100,VLOOKUP($A47,Cements!$A$8:$Q$99,13,FALSE),
IF($A47&lt;ValveBox!$A$143,VLOOKUP($A47,ValveBox!$A$10:$O$142,11,FALSE),
IF($A47&lt;'ValveBox Components'!$A$165,VLOOKUP($A47,'ValveBox Components'!$A$10:$O$164,11,FALSE),
IF($A47&lt;Drainage!$A$92,VLOOKUP($A47,Drainage!$A$8:$M$91,9,FALSE),
IF($A47&lt;Nipples!$A$82,VLOOKUP($A47,Nipples!$A$9:$Q$81,13,FALSE),
IF($A47&lt;Manifold!$A$33,VLOOKUP($A47,Manifold!$A$9:$M$32,9,FALSE),
IF($A47&lt;FlexibleRepairCouplings!$A$13,VLOOKUP($A47,FlexibleRepairCouplings!$A$10:$M$12,9,FALSE),
IF($A47&lt;DuraFix!$A$15,VLOOKUP($A47,DuraFix!$A$9:$M$14,9,FALSE),
IF($A47&lt;'Compression Fittings'!$A$16,VLOOKUP($A47,'Compression Fittings'!$A$8:$M$15,9,FALSE),
IF($A47&lt;'Hose Fittings'!$A$30,VLOOKUP($A47,'Hose Fittings'!$A$8:$M$29,9,FALSE),
IF($A47&lt;'Swing Joints'!$A$496,VLOOKUP($A47,'Swing Joints'!$A$9:$M$495,9,FALSE),
IF($A47&lt;'Swing Joints Components'!$A$135,VLOOKUP($A47,'Swing Joints Components'!$A$9:$M$134,9,FALSE),
IF($A47&lt;Nonstandard!$A$42,VLOOKUP($A47,Nonstandard!$A$31:$J$41,8,FALSE),"")))))))))))))))))))))))))))),"")</f>
        <v/>
      </c>
      <c r="G47" s="416" t="str">
        <f>IFERROR(IF($A47&lt;'DWV PVC'!$A$285,VLOOKUP($A47,'DWV PVC'!$A$8:$M$284,11,FALSE),
IF($A47&lt;'DWV ABS'!$A$117,VLOOKUP($A47,'DWV ABS'!$A$8:$M$116,11,FALSE),
IF($A47&lt;'PVC SCH40'!$A$376,VLOOKUP($A47,'PVC SCH40'!$A$8:$M$375,11,FALSE),
IF($A47&lt;'PVC SCH40 LD'!$A$22,VLOOKUP($A47,'PVC SCH40 LD'!$A$8:$M$21,11,FALSE),
IF($A47&lt;'Pool &amp; SPA Sweep Elbows'!$A$12,VLOOKUP($A47,'Pool &amp; SPA Sweep Elbows'!$A$8:$M$11,11,FALSE),
IF($A47&lt;'Pool &amp; SPA Pipe Extender'!$A$11,VLOOKUP($A47,'Pool &amp; SPA Pipe Extender'!$A$8:$M$10,11,FALSE),
IF($A47&lt;'PVC SCH80'!$A$250,VLOOKUP($A47,'PVC SCH80'!$A$8:$M$249,11,FALSE),
IF($A47&lt;'PVC SCH80 Flange'!$A$49,VLOOKUP($A47,'PVC SCH80 Flange'!$A$8:$M$48,11,FALSE),
IF($A47&lt;'PVC SCH80 LD Flange'!$A$17,VLOOKUP($A47,'PVC SCH80 LD Flange'!$A$8:$M$16,11,FALSE),
IF($A47&lt;CPVC!$A$100,VLOOKUP($A47,CPVC!$A$8:$M$99,11,FALSE),
IF($A47&lt;InsertFittings!$A$237,VLOOKUP($A47,InsertFittings!$A$11:$M$236,11,FALSE),
IF($A47&lt;Valves!$A$132,VLOOKUP($A47,Valves!$A$8:$M$131,11,FALSE),
IF($A47&lt;SDR35SW!$A$124,VLOOKUP($A47,SDR35SW!$A$8:$M$123,11,FALSE),
IF($A47&lt;SDR35G!$A$143,VLOOKUP($A47, SDR35G!$A$8:$M$142,11,FALSE),
IF($A47&lt;SDR26G!$A$61,VLOOKUP($A47,SDR26G!$A$8:$N$60,12,FALSE),
IF($A47&lt;Cements!$A$100,VLOOKUP($A47,Cements!$A$8:$Q$99,15,FALSE),
IF($A47&lt;ValveBox!$A$143,VLOOKUP($A47,ValveBox!$A$10:$O$142,13,FALSE),
IF($A47&lt;'ValveBox Components'!$A$165,VLOOKUP($A47,'ValveBox Components'!$A$10:$O$164,13,FALSE),
IF($A47&lt;Drainage!$A$92,VLOOKUP($A47,Drainage!$A$8:$M$91,11,FALSE),
IF($A47&lt;Nipples!$A$82,VLOOKUP($A47,Nipples!$A$9:$Q$81,15,FALSE),
IF($A47&lt;Manifold!$A$33,VLOOKUP($A47,Manifold!$A$9:$M$32,11,FALSE),
IF($A47&lt;FlexibleRepairCouplings!$A$13,VLOOKUP($A47,FlexibleRepairCouplings!$A$10:$M$12,11,FALSE),
IF($A47&lt;DuraFix!$A$15,VLOOKUP($A47,DuraFix!$A$9:$M$14,11,FALSE),
IF($A47&lt;'Compression Fittings'!$A$16,VLOOKUP($A47,'Compression Fittings'!$A$8:$M$15,11,FALSE),
IF($A47&lt;'Hose Fittings'!$A$30,VLOOKUP($A47,'Hose Fittings'!$A$8:$M$29,11,FALSE),
IF($A47&lt;'Swing Joints'!$A$496,VLOOKUP($A47,'Swing Joints'!$A$9:$M$495,11,FALSE),
IF($A47&lt;'Swing Joints Components'!$A$135,VLOOKUP($A47,'Swing Joints Components'!$A$9:$M$134,11,FALSE),
IF($A47&lt;Nonstandard!$A$42,VLOOKUP($A47,Nonstandard!$A$31:$J$41,3,FALSE),"")))))))))))))))))))))))))))),"")</f>
        <v/>
      </c>
      <c r="H47" s="586" t="str">
        <f>IFERROR(IF($A47&lt;'DWV PVC'!$A$285,VLOOKUP($A47,'DWV PVC'!$A$8:$M$284,7,FALSE),
IF($A47&lt;'DWV ABS'!$A$117,VLOOKUP($A47,'DWV ABS'!$A$8:$M$116,7,FALSE),
IF($A47&lt;'PVC SCH40'!$A$376,VLOOKUP($A47,'PVC SCH40'!$A$8:$M$375,7,FALSE),
IF($A47&lt;'PVC SCH40 LD'!$A$22,VLOOKUP($A47,'PVC SCH40 LD'!$A$8:$M$21,7,FALSE),
IF($A47&lt;'Pool &amp; SPA Sweep Elbows'!$A$12,VLOOKUP($A47,'Pool &amp; SPA Sweep Elbows'!$A$8:$M$11,7,FALSE),
IF($A47&lt;'Pool &amp; SPA Pipe Extender'!$A$11,VLOOKUP($A47,'Pool &amp; SPA Pipe Extender'!$A$8:$M$10,7,FALSE),
IF($A47&lt;'PVC SCH80'!$A$250,VLOOKUP($A47,'PVC SCH80'!$A$8:$M$249,7,FALSE),
IF($A47&lt;'PVC SCH80 Flange'!$A$49,VLOOKUP($A47,'PVC SCH80 Flange'!$A$8:$M$48,7,FALSE),
IF($A47&lt;'PVC SCH80 LD Flange'!$A$17,VLOOKUP($A47,'PVC SCH80 LD Flange'!$A$8:$M$16,7,FALSE),
IF($A47&lt;CPVC!$A$100,VLOOKUP($A47,CPVC!$A$8:$M$99,7,FALSE),
IF($A47&lt;InsertFittings!$A$237,VLOOKUP($A47,InsertFittings!$A$11:$M$236,7,FALSE),
IF($A47&lt;Valves!$A$132,VLOOKUP($A47,Valves!$A$8:$M$131,7,FALSE),
IF($A47&lt;SDR35SW!$A$124,VLOOKUP($A47,SDR35SW!$A$8:$M$123,7,FALSE),
IF($A47&lt;SDR35G!$A$143,VLOOKUP($A47, SDR35G!$A$8:$M$142,7,FALSE),
IF($A47&lt;SDR26G!$A$61,VLOOKUP($A47,SDR26G!$A$8:$N$60,10,FALSE),
IF($A47&lt;Cements!$A$100,VLOOKUP($A47,Cements!$A$8:$Q$99,13,FALSE),
IF($A47&lt;ValveBox!$A$143,VLOOKUP($A47,ValveBox!$A$10:$O$142,11,FALSE),
IF($A47&lt;'ValveBox Components'!$A$165,VLOOKUP($A47,'ValveBox Components'!$A$10:$O$164,11,FALSE),
IF($A47&lt;Drainage!$A$92,VLOOKUP($A47,Drainage!$A$8:$M$91,7,FALSE),
IF($A47&lt;Nipples!$A$82,VLOOKUP($A47,Nipples!$A$9:$Q$81,13,FALSE),
IF($A47&lt;Manifold!$A$33,VLOOKUP($A47,Manifold!$A$9:$M$32,7,FALSE),
IF($A47&lt;FlexibleRepairCouplings!$A$13,VLOOKUP($A47,FlexibleRepairCouplings!$A$10:$M$12,7,FALSE),
IF($A47&lt;DuraFix!$A$15,VLOOKUP($A47,DuraFix!$A$9:$M$14,7,FALSE),
IF($A47&lt;'Compression Fittings'!$A$16,VLOOKUP($A47,'Compression Fittings'!$A$8:$M$15,7,FALSE),
IF($A47&lt;'Hose Fittings'!$A$30,VLOOKUP($A47,'Hose Fittings'!$A$8:$M$29,7,FALSE),
IF($A47&lt;'Swing Joints'!$A$496,VLOOKUP($A47,'Swing Joints'!$A$9:$M$495,7,FALSE),
IF($A47&lt;'Swing Joints Components'!$A$135,VLOOKUP($A47,'Swing Joints Components'!$A$9:$M$134,7,FALSE),
IF($A47&lt;Nonstandard!$A$42,VLOOKUP($A47,Nonstandard!$A$31:$J$41,3,FALSE),"")))))))))))))))))))))))))))),"")</f>
        <v/>
      </c>
      <c r="I47" s="587"/>
      <c r="J47" s="383" t="str">
        <f t="shared" si="1"/>
        <v/>
      </c>
      <c r="K47" s="417" t="str">
        <f>IFERROR(IF($A47&lt;'DWV PVC'!$A$285,VLOOKUP($A47,'DWV PVC'!$A$8:$M$284,10,FALSE),
IF($A47&lt;'DWV ABS'!$A$117,VLOOKUP($A47,'DWV ABS'!$A$8:$M$116,10,FALSE),
IF($A47&lt;'PVC SCH40'!$A$376,VLOOKUP($A47,'PVC SCH40'!$A$8:$M$375,10,FALSE),
IF($A47&lt;'PVC SCH40 LD'!$A$22,VLOOKUP($A47,'PVC SCH40 LD'!$A$8:$M$21,10,FALSE),
IF($A47&lt;'Pool &amp; SPA Sweep Elbows'!$A$12,VLOOKUP($A47,'Pool &amp; SPA Sweep Elbows'!$A$8:$M$11,10,FALSE),
IF($A47&lt;'Pool &amp; SPA Pipe Extender'!$A$11,VLOOKUP($A47,'Pool &amp; SPA Pipe Extender'!$A$8:$M$10,10,FALSE),
IF($A47&lt;'PVC SCH80'!$A$250,VLOOKUP($A47,'PVC SCH80'!$A$8:$M$249,10,FALSE),
IF($A47&lt;'PVC SCH80 Flange'!$A$49,VLOOKUP($A47,'PVC SCH80 Flange'!$A$8:$M$48,10,FALSE),
IF($A47&lt;'PVC SCH80 LD Flange'!$A$17,VLOOKUP($A47,'PVC SCH80 LD Flange'!$A$8:$M$16,10,FALSE),
IF($A47&lt;CPVC!$A$100,VLOOKUP($A47,CPVC!$A$8:$M$99,10,FALSE),
IF($A47&lt;InsertFittings!$A$237,VLOOKUP($A47,InsertFittings!$A$11:$M$236,10,FALSE),
IF($A47&lt;Valves!$A$132,VLOOKUP($A47,Valves!$A$8:$M$131,10,FALSE),
IF($A47&lt;SDR35SW!$A$124,VLOOKUP($A47,SDR35SW!$A$8:$M$123,10,FALSE),
IF($A47&lt;SDR35G!$A$143,VLOOKUP($A47, SDR35G!$A$8:$M$142,10,FALSE),
IF($A47&lt;SDR26G!$A$61,VLOOKUP($A47,SDR26G!$A$8:$N$60,11,FALSE),
IF($A47&lt;Cements!$A$100,VLOOKUP($A47,Cements!$A$8:$Q$99,14,FALSE),
IF($A47&lt;ValveBox!$A$143,VLOOKUP($A47,ValveBox!$A$10:$O$142,12,FALSE),
IF($A47&lt;'ValveBox Components'!$A$165,VLOOKUP($A47,'ValveBox Components'!$A$10:$O$164,12,FALSE),
IF($A47&lt;Drainage!$A$92,VLOOKUP($A47,Drainage!$A$8:$M$91,10,FALSE),
IF($A47&lt;Nipples!$A$82,VLOOKUP($A47,Nipples!$A$9:$Q$81,14,FALSE),
IF($A47&lt;Manifold!$A$33,VLOOKUP($A47,Manifold!$A$9:$M$32,10,FALSE),
IF($A47&lt;FlexibleRepairCouplings!$A$13,VLOOKUP($A47,FlexibleRepairCouplings!$A$10:$M$12,10,FALSE),
IF($A47&lt;DuraFix!$A$15,VLOOKUP($A47,DuraFix!$A$9:$M$14,10,FALSE),
IF($A47&lt;'Compression Fittings'!$A$16,VLOOKUP($A47,'Compression Fittings'!$A$8:$M$15,10,FALSE),
IF($A47&lt;'Hose Fittings'!$A$30,VLOOKUP($A47,'Hose Fittings'!$A$8:$M$29,10,FALSE),
IF($A47&lt;'Swing Joints'!$A$496,VLOOKUP($A47,'Swing Joints'!$A$9:$M$495,10,FALSE),
IF($A47&lt;'Swing Joints Components'!$A$135,VLOOKUP($A47,'Swing Joints Components'!$A$9:$M$134,10,FALSE),
IF($A47&lt;Nonstandard!$A$42,VLOOKUP($A47,Nonstandard!$A$31:$J$41,10,FALSE),"")))))))))))))))))))))))))))),"")</f>
        <v/>
      </c>
      <c r="L47" s="418" t="str">
        <f t="shared" si="0"/>
        <v>-</v>
      </c>
      <c r="M47" s="419"/>
    </row>
    <row r="48" spans="1:13" ht="15.75">
      <c r="A48" s="420">
        <v>16</v>
      </c>
      <c r="B48" s="420" t="str">
        <f>IFERROR(IF($A48&lt;'DWV PVC'!$A$285,VLOOKUP($A48,'DWV PVC'!$A$8:$M$284,4,FALSE),
IF($A48&lt;'DWV ABS'!$A$117,VLOOKUP($A48,'DWV ABS'!$A$8:$M$116,4,FALSE),
IF($A48&lt;'PVC SCH40'!$A$376,VLOOKUP($A48,'PVC SCH40'!$A$8:$M$375,4,FALSE),
IF($A48&lt;'PVC SCH40 LD'!$A$22,VLOOKUP($A48,'PVC SCH40 LD'!$A$8:$M$21,4,FALSE),
IF($A48&lt;'Pool &amp; SPA Sweep Elbows'!$A$12,VLOOKUP($A48,'Pool &amp; SPA Sweep Elbows'!$A$8:$M$11,4,FALSE),
IF($A48&lt;'Pool &amp; SPA Pipe Extender'!$A$11,VLOOKUP($A48,'Pool &amp; SPA Pipe Extender'!$A$8:$M$10,4,FALSE),
IF($A48&lt;'PVC SCH80'!$A$250,VLOOKUP($A48,'PVC SCH80'!$A$8:$M$249,4,FALSE),
IF($A48&lt;'PVC SCH80 Flange'!$A$49,VLOOKUP($A48,'PVC SCH80 Flange'!$A$8:$M$48,4,FALSE),
IF($A48&lt;'PVC SCH80 LD Flange'!$A$17,VLOOKUP($A48,'PVC SCH80 LD Flange'!$A$8:$M$16,4,FALSE),
IF($A48&lt;CPVC!$A$100,VLOOKUP($A48,CPVC!$A$8:$M$99,4,FALSE),
IF($A48&lt;InsertFittings!$A$237,VLOOKUP($A48,InsertFittings!$A$11:$M$236,4,FALSE),
IF($A48&lt;Valves!$A$132,VLOOKUP($A48,Valves!$A$8:$M$131,4,FALSE),
IF($A48&lt;SDR35SW!$A$124,VLOOKUP($A48,SDR35SW!$A$8:$M$123,4,FALSE),
IF($A48&lt;SDR35G!$A$143,VLOOKUP($A48, SDR35G!$A$8:$M$142,4,FALSE),
IF($A48&lt;SDR26G!$A$61,VLOOKUP($A48,SDR26G!$A$8:$N$60,4,FALSE),
IF($A48&lt;Cements!$A$100,VLOOKUP($A48,Cements!$A$8:$Q$99,4,FALSE),
IF($A48&lt;ValveBox!$A$143,VLOOKUP($A48,ValveBox!$A$10:$O$142,4,FALSE),
IF($A48&lt;'ValveBox Components'!$A$165,VLOOKUP($A48,'ValveBox Components'!$A$10:$O$164,4,FALSE),
IF($A48&lt;Drainage!$A$92,VLOOKUP($A48,Drainage!$A$8:$M$91,4,FALSE),
IF($A48&lt;Nipples!$A$82,VLOOKUP($A48,Nipples!$A$9:$Q$81,4,FALSE),
IF($A48&lt;Manifold!$A$33,VLOOKUP($A48,Manifold!$A$9:$M$32,4,FALSE),
IF($A48&lt;FlexibleRepairCouplings!$A$13,VLOOKUP($A48,FlexibleRepairCouplings!$A$10:$M$12,4,FALSE),
IF($A48&lt;DuraFix!$A$15,VLOOKUP($A48,DuraFix!$A$9:$M$14,4,FALSE),
IF($A48&lt;'Compression Fittings'!$A$16,VLOOKUP($A48,'Compression Fittings'!$A$8:$M$15,4,FALSE),
IF($A48&lt;'Hose Fittings'!$A$30,VLOOKUP($A48,'Hose Fittings'!$A$8:$M$29,4,FALSE),
IF($A48&lt;'Swing Joints'!$A$496,VLOOKUP($A48,'Swing Joints'!$A$9:$M$495,4,FALSE),
IF($A48&lt;'Swing Joints Components'!$A$135,VLOOKUP($A48,'Swing Joints Components'!$A$9:$M$134,4,FALSE),
IF($A48&lt;Nonstandard!$A$42,VLOOKUP($A48,Nonstandard!$A$31:$J$41,5,FALSE),"")))))))))))))))))))))))))))),"")</f>
        <v/>
      </c>
      <c r="C48" s="420" t="str">
        <f>IFERROR(IF($A48&lt;'DWV PVC'!$A$285,VLOOKUP($A48,'DWV PVC'!$A$8:$M$284,5,FALSE),
IF($A48&lt;'DWV ABS'!$A$117,VLOOKUP($A48,'DWV ABS'!$A$8:$M$116,5,FALSE),
IF($A48&lt;'PVC SCH40'!$A$376,VLOOKUP($A48,'PVC SCH40'!$A$8:$M$375,5,FALSE),
IF($A48&lt;'PVC SCH40 LD'!$A$22,VLOOKUP($A48,'PVC SCH40 LD'!$A$8:$M$21,5,FALSE),
IF($A48&lt;'Pool &amp; SPA Sweep Elbows'!$A$12,VLOOKUP($A48,'Pool &amp; SPA Sweep Elbows'!$A$8:$M$11,5,FALSE),
IF($A48&lt;'Pool &amp; SPA Pipe Extender'!$A$11,VLOOKUP($A48,'Pool &amp; SPA Pipe Extender'!$A$8:$M$10,5,FALSE),
IF($A48&lt;'PVC SCH80'!$A$250,VLOOKUP($A48,'PVC SCH80'!$A$8:$M$249,5,FALSE),
IF($A48&lt;'PVC SCH80 Flange'!$A$49,VLOOKUP($A48,'PVC SCH80 Flange'!$A$8:$M$48,5,FALSE),
IF($A48&lt;'PVC SCH80 LD Flange'!$A$17,VLOOKUP($A48,'PVC SCH80 LD Flange'!$A$8:$M$16,5,FALSE),
IF($A48&lt;CPVC!$A$100,VLOOKUP($A48,CPVC!$A$8:$M$99,5,FALSE),
IF($A48&lt;InsertFittings!$A$237,VLOOKUP($A48,InsertFittings!$A$11:$M$236,5,FALSE),
IF($A48&lt;Valves!$A$132,VLOOKUP($A48,Valves!$A$8:$M$131,5,FALSE),
IF($A48&lt;SDR35SW!$A$124,VLOOKUP($A48,SDR35SW!$A$8:$M$123,5,FALSE),
IF($A48&lt;SDR35G!$A$143,VLOOKUP($A48, SDR35G!$A$8:$M$142,5,FALSE),
IF($A48&lt;SDR26G!$A$61,VLOOKUP($A48,SDR26G!$A$8:$N$60,5,FALSE),
IF($A48&lt;Cements!$A$100,VLOOKUP($A48,Cements!$A$8:$Q$99,5,FALSE),
IF($A48&lt;ValveBox!$A$143,VLOOKUP($A48,ValveBox!$A$10:$O$142,5,FALSE),
IF($A48&lt;'ValveBox Components'!$A$165,VLOOKUP($A48,'ValveBox Components'!$A$10:$O$164,5,FALSE),
IF($A48&lt;Drainage!$A$92,VLOOKUP($A48,Drainage!$A$8:$M$91,5,FALSE),
IF($A48&lt;Nipples!$A$82,VLOOKUP($A48,Nipples!$A$9:$Q$81,5,FALSE),
IF($A48&lt;Manifold!$A$33,VLOOKUP($A48,Manifold!$A$9:$M$32,5,FALSE),
IF($A48&lt;FlexibleRepairCouplings!$A$13,VLOOKUP($A48,FlexibleRepairCouplings!$A$10:$M$12,5,FALSE),
IF($A48&lt;DuraFix!$A$15,VLOOKUP($A48,DuraFix!$A$9:$M$14,5,FALSE),
IF($A48&lt;'Compression Fittings'!$A$16,VLOOKUP($A48,'Compression Fittings'!$A$8:$M$15,5,FALSE),
IF($A48&lt;'Hose Fittings'!$A$30,VLOOKUP($A48,'Hose Fittings'!$A$8:$M$29,5,FALSE),
IF($A48&lt;'Swing Joints'!$A$496,VLOOKUP($A48,'Swing Joints'!$A$9:$M$495,5,FALSE),
IF($A48&lt;'Swing Joints Components'!$A$135,VLOOKUP($A48,'Swing Joints Components'!$A$9:$M$134,5,FALSE),
IF($A48&lt;Nonstandard!$A$42,VLOOKUP($A48,Nonstandard!$A$31:$J$41,6,FALSE),"")))))))))))))))))))))))))))),"")</f>
        <v/>
      </c>
      <c r="D48" s="428" t="str">
        <f>IFERROR(IF($A48&lt;'DWV PVC'!$A$285,VLOOKUP($A48,'DWV PVC'!$A$8:$M$284,6,FALSE),
IF($A48&lt;'DWV ABS'!$A$117,VLOOKUP($A48,'DWV ABS'!$A$8:$M$116,6,FALSE),
IF($A48&lt;'PVC SCH40'!$A$376,VLOOKUP($A48,'PVC SCH40'!$A$8:$M$375,6,FALSE),
IF($A48&lt;'PVC SCH40 LD'!$A$22,VLOOKUP($A48,'PVC SCH40 LD'!$A$8:$M$21,6,FALSE),
IF($A48&lt;'Pool &amp; SPA Sweep Elbows'!$A$12,VLOOKUP($A48,'Pool &amp; SPA Sweep Elbows'!$A$8:$M$11,6,FALSE),
IF($A48&lt;'Pool &amp; SPA Pipe Extender'!$A$11,VLOOKUP($A48,'Pool &amp; SPA Pipe Extender'!$A$8:$M$10,6,FALSE),
IF($A48&lt;'PVC SCH80'!$A$250,VLOOKUP($A48,'PVC SCH80'!$A$8:$M$249,6,FALSE),
IF($A48&lt;'PVC SCH80 Flange'!$A$49,VLOOKUP($A48,'PVC SCH80 Flange'!$A$8:$M$48,6,FALSE),
IF($A48&lt;'PVC SCH80 LD Flange'!$A$17,VLOOKUP($A48,'PVC SCH80 LD Flange'!$A$8:$M$16,6,FALSE),
IF($A48&lt;CPVC!$A$100,VLOOKUP($A48,CPVC!$A$8:$M$99,6,FALSE),
IF($A48&lt;InsertFittings!$A$237,VLOOKUP($A48,InsertFittings!$A$11:$M$236,6,FALSE),
IF($A48&lt;Valves!$A$132,VLOOKUP($A48,Valves!$A$8:$M$131,6,FALSE),
IF($A48&lt;SDR35SW!$A$124,VLOOKUP($A48,SDR35SW!$A$8:$M$123,6,FALSE),
IF($A48&lt;SDR35G!$A$143,VLOOKUP($A48, SDR35G!$A$8:$M$142,6,FALSE),
IF($A48&lt;SDR26G!$A$61,VLOOKUP($A48,SDR26G!$A$8:$N$60,6,FALSE),
IF($A48&lt;Cements!$A$100,VLOOKUP($A48,Cements!$A$8:$Q$99,6,FALSE),
IF($A48&lt;ValveBox!$A$143,VLOOKUP($A48,ValveBox!$A$10:$O$142,6,FALSE),
IF($A48&lt;'ValveBox Components'!$A$165,VLOOKUP($A48,'ValveBox Components'!$A$10:$O$164,6,FALSE),
IF($A48&lt;Drainage!$A$92,VLOOKUP($A48,Drainage!$A$8:$M$91,6,FALSE),
IF($A48&lt;Nipples!$A$82,VLOOKUP($A48,Nipples!$A$9:$Q$81,6,FALSE),
IF($A48&lt;Manifold!$A$33,VLOOKUP($A48,Manifold!$A$9:$M$32,6,FALSE),
IF($A48&lt;FlexibleRepairCouplings!$A$13,VLOOKUP($A48,FlexibleRepairCouplings!$A$10:$M$12,6,FALSE),
IF($A48&lt;DuraFix!$A$15,VLOOKUP($A48,DuraFix!$A$9:$M$14,6,FALSE),
IF($A48&lt;'Compression Fittings'!$A$16,VLOOKUP($A48,'Compression Fittings'!$A$8:$M$15,6,FALSE),
IF($A48&lt;'Hose Fittings'!$A$30,VLOOKUP($A48,'Hose Fittings'!$A$8:$M$29,6,FALSE),
IF($A48&lt;'Swing Joints'!$A$496,VLOOKUP($A48,'Swing Joints'!$A$9:$M$495,6,FALSE),
IF($A48&lt;'Swing Joints Components'!$A$135,VLOOKUP($A48,'Swing Joints Components'!$A$9:$M$134,6,FALSE),
IF($A48&lt;Nonstandard!$A$42,VLOOKUP($A48,Nonstandard!$A$31:$J$41,7,FALSE),"")))))))))))))))))))))))))))),"")</f>
        <v/>
      </c>
      <c r="E48" s="429"/>
      <c r="F48" s="421" t="str">
        <f>IFERROR(IF($A48&lt;'DWV PVC'!$A$285,VLOOKUP($A48,'DWV PVC'!$A$8:$M$284,9,FALSE),
IF($A48&lt;'DWV ABS'!$A$117,VLOOKUP($A48,'DWV ABS'!$A$8:$M$116,9,FALSE),
IF($A48&lt;'PVC SCH40'!$A$376,VLOOKUP($A48,'PVC SCH40'!$A$8:$M$375,9,FALSE),
IF($A48&lt;'PVC SCH40 LD'!$A$22,VLOOKUP($A48,'PVC SCH40 LD'!$A$8:$M$21,9,FALSE),
IF($A48&lt;'Pool &amp; SPA Sweep Elbows'!$A$12,VLOOKUP($A48,'Pool &amp; SPA Sweep Elbows'!$A$8:$M$11,9,FALSE),
IF($A48&lt;'Pool &amp; SPA Pipe Extender'!$A$11,VLOOKUP($A48,'Pool &amp; SPA Pipe Extender'!$A$8:$M$10,9,FALSE),
IF($A48&lt;'PVC SCH80'!$A$250,VLOOKUP($A48,'PVC SCH80'!$A$8:$M$249,9,FALSE),
IF($A48&lt;'PVC SCH80 Flange'!$A$49,VLOOKUP($A48,'PVC SCH80 Flange'!$A$8:$M$48,9,FALSE),
IF($A48&lt;'PVC SCH80 LD Flange'!$A$17,VLOOKUP($A48,'PVC SCH80 LD Flange'!$A$8:$M$16,9,FALSE),
IF($A48&lt;CPVC!$A$100,VLOOKUP($A48,CPVC!$A$8:$M$99,9,FALSE),
IF($A48&lt;InsertFittings!$A$237,VLOOKUP($A48,InsertFittings!$A$11:$M$236,9,FALSE),
IF($A48&lt;Valves!$A$132,VLOOKUP($A48,Valves!$A$8:$M$131,9,FALSE),
IF($A48&lt;SDR35SW!$A$124,VLOOKUP($A48,SDR35SW!$A$8:$M$123,9,FALSE),
IF($A48&lt;SDR35G!$A$143,VLOOKUP($A48, SDR35G!$A$8:$M$142,9,FALSE),
IF($A48&lt;SDR26G!$A$61,VLOOKUP($A48,SDR26G!$A$8:$N$60,10,FALSE),
IF($A48&lt;Cements!$A$100,VLOOKUP($A48,Cements!$A$8:$Q$99,13,FALSE),
IF($A48&lt;ValveBox!$A$143,VLOOKUP($A48,ValveBox!$A$10:$O$142,11,FALSE),
IF($A48&lt;'ValveBox Components'!$A$165,VLOOKUP($A48,'ValveBox Components'!$A$10:$O$164,11,FALSE),
IF($A48&lt;Drainage!$A$92,VLOOKUP($A48,Drainage!$A$8:$M$91,9,FALSE),
IF($A48&lt;Nipples!$A$82,VLOOKUP($A48,Nipples!$A$9:$Q$81,13,FALSE),
IF($A48&lt;Manifold!$A$33,VLOOKUP($A48,Manifold!$A$9:$M$32,9,FALSE),
IF($A48&lt;FlexibleRepairCouplings!$A$13,VLOOKUP($A48,FlexibleRepairCouplings!$A$10:$M$12,9,FALSE),
IF($A48&lt;DuraFix!$A$15,VLOOKUP($A48,DuraFix!$A$9:$M$14,9,FALSE),
IF($A48&lt;'Compression Fittings'!$A$16,VLOOKUP($A48,'Compression Fittings'!$A$8:$M$15,9,FALSE),
IF($A48&lt;'Hose Fittings'!$A$30,VLOOKUP($A48,'Hose Fittings'!$A$8:$M$29,9,FALSE),
IF($A48&lt;'Swing Joints'!$A$496,VLOOKUP($A48,'Swing Joints'!$A$9:$M$495,9,FALSE),
IF($A48&lt;'Swing Joints Components'!$A$135,VLOOKUP($A48,'Swing Joints Components'!$A$9:$M$134,9,FALSE),
IF($A48&lt;Nonstandard!$A$42,VLOOKUP($A48,Nonstandard!$A$31:$J$41,8,FALSE),"")))))))))))))))))))))))))))),"")</f>
        <v/>
      </c>
      <c r="G48" s="422" t="str">
        <f>IFERROR(IF($A48&lt;'DWV PVC'!$A$285,VLOOKUP($A48,'DWV PVC'!$A$8:$M$284,11,FALSE),
IF($A48&lt;'DWV ABS'!$A$117,VLOOKUP($A48,'DWV ABS'!$A$8:$M$116,11,FALSE),
IF($A48&lt;'PVC SCH40'!$A$376,VLOOKUP($A48,'PVC SCH40'!$A$8:$M$375,11,FALSE),
IF($A48&lt;'PVC SCH40 LD'!$A$22,VLOOKUP($A48,'PVC SCH40 LD'!$A$8:$M$21,11,FALSE),
IF($A48&lt;'Pool &amp; SPA Sweep Elbows'!$A$12,VLOOKUP($A48,'Pool &amp; SPA Sweep Elbows'!$A$8:$M$11,11,FALSE),
IF($A48&lt;'Pool &amp; SPA Pipe Extender'!$A$11,VLOOKUP($A48,'Pool &amp; SPA Pipe Extender'!$A$8:$M$10,11,FALSE),
IF($A48&lt;'PVC SCH80'!$A$250,VLOOKUP($A48,'PVC SCH80'!$A$8:$M$249,11,FALSE),
IF($A48&lt;'PVC SCH80 Flange'!$A$49,VLOOKUP($A48,'PVC SCH80 Flange'!$A$8:$M$48,11,FALSE),
IF($A48&lt;'PVC SCH80 LD Flange'!$A$17,VLOOKUP($A48,'PVC SCH80 LD Flange'!$A$8:$M$16,11,FALSE),
IF($A48&lt;CPVC!$A$100,VLOOKUP($A48,CPVC!$A$8:$M$99,11,FALSE),
IF($A48&lt;InsertFittings!$A$237,VLOOKUP($A48,InsertFittings!$A$11:$M$236,11,FALSE),
IF($A48&lt;Valves!$A$132,VLOOKUP($A48,Valves!$A$8:$M$131,11,FALSE),
IF($A48&lt;SDR35SW!$A$124,VLOOKUP($A48,SDR35SW!$A$8:$M$123,11,FALSE),
IF($A48&lt;SDR35G!$A$143,VLOOKUP($A48, SDR35G!$A$8:$M$142,11,FALSE),
IF($A48&lt;SDR26G!$A$61,VLOOKUP($A48,SDR26G!$A$8:$N$60,12,FALSE),
IF($A48&lt;Cements!$A$100,VLOOKUP($A48,Cements!$A$8:$Q$99,15,FALSE),
IF($A48&lt;ValveBox!$A$143,VLOOKUP($A48,ValveBox!$A$10:$O$142,13,FALSE),
IF($A48&lt;'ValveBox Components'!$A$165,VLOOKUP($A48,'ValveBox Components'!$A$10:$O$164,13,FALSE),
IF($A48&lt;Drainage!$A$92,VLOOKUP($A48,Drainage!$A$8:$M$91,11,FALSE),
IF($A48&lt;Nipples!$A$82,VLOOKUP($A48,Nipples!$A$9:$Q$81,15,FALSE),
IF($A48&lt;Manifold!$A$33,VLOOKUP($A48,Manifold!$A$9:$M$32,11,FALSE),
IF($A48&lt;FlexibleRepairCouplings!$A$13,VLOOKUP($A48,FlexibleRepairCouplings!$A$10:$M$12,11,FALSE),
IF($A48&lt;DuraFix!$A$15,VLOOKUP($A48,DuraFix!$A$9:$M$14,11,FALSE),
IF($A48&lt;'Compression Fittings'!$A$16,VLOOKUP($A48,'Compression Fittings'!$A$8:$M$15,11,FALSE),
IF($A48&lt;'Hose Fittings'!$A$30,VLOOKUP($A48,'Hose Fittings'!$A$8:$M$29,11,FALSE),
IF($A48&lt;'Swing Joints'!$A$496,VLOOKUP($A48,'Swing Joints'!$A$9:$M$495,11,FALSE),
IF($A48&lt;'Swing Joints Components'!$A$135,VLOOKUP($A48,'Swing Joints Components'!$A$9:$M$134,11,FALSE),
IF($A48&lt;Nonstandard!$A$42,VLOOKUP($A48,Nonstandard!$A$31:$J$41,3,FALSE),"")))))))))))))))))))))))))))),"")</f>
        <v/>
      </c>
      <c r="H48" s="588" t="str">
        <f>IFERROR(IF($A48&lt;'DWV PVC'!$A$285,VLOOKUP($A48,'DWV PVC'!$A$8:$M$284,7,FALSE),
IF($A48&lt;'DWV ABS'!$A$117,VLOOKUP($A48,'DWV ABS'!$A$8:$M$116,7,FALSE),
IF($A48&lt;'PVC SCH40'!$A$376,VLOOKUP($A48,'PVC SCH40'!$A$8:$M$375,7,FALSE),
IF($A48&lt;'PVC SCH40 LD'!$A$22,VLOOKUP($A48,'PVC SCH40 LD'!$A$8:$M$21,7,FALSE),
IF($A48&lt;'Pool &amp; SPA Sweep Elbows'!$A$12,VLOOKUP($A48,'Pool &amp; SPA Sweep Elbows'!$A$8:$M$11,7,FALSE),
IF($A48&lt;'Pool &amp; SPA Pipe Extender'!$A$11,VLOOKUP($A48,'Pool &amp; SPA Pipe Extender'!$A$8:$M$10,7,FALSE),
IF($A48&lt;'PVC SCH80'!$A$250,VLOOKUP($A48,'PVC SCH80'!$A$8:$M$249,7,FALSE),
IF($A48&lt;'PVC SCH80 Flange'!$A$49,VLOOKUP($A48,'PVC SCH80 Flange'!$A$8:$M$48,7,FALSE),
IF($A48&lt;'PVC SCH80 LD Flange'!$A$17,VLOOKUP($A48,'PVC SCH80 LD Flange'!$A$8:$M$16,7,FALSE),
IF($A48&lt;CPVC!$A$100,VLOOKUP($A48,CPVC!$A$8:$M$99,7,FALSE),
IF($A48&lt;InsertFittings!$A$237,VLOOKUP($A48,InsertFittings!$A$11:$M$236,7,FALSE),
IF($A48&lt;Valves!$A$132,VLOOKUP($A48,Valves!$A$8:$M$131,7,FALSE),
IF($A48&lt;SDR35SW!$A$124,VLOOKUP($A48,SDR35SW!$A$8:$M$123,7,FALSE),
IF($A48&lt;SDR35G!$A$143,VLOOKUP($A48, SDR35G!$A$8:$M$142,7,FALSE),
IF($A48&lt;SDR26G!$A$61,VLOOKUP($A48,SDR26G!$A$8:$N$60,10,FALSE),
IF($A48&lt;Cements!$A$100,VLOOKUP($A48,Cements!$A$8:$Q$99,13,FALSE),
IF($A48&lt;ValveBox!$A$143,VLOOKUP($A48,ValveBox!$A$10:$O$142,11,FALSE),
IF($A48&lt;'ValveBox Components'!$A$165,VLOOKUP($A48,'ValveBox Components'!$A$10:$O$164,11,FALSE),
IF($A48&lt;Drainage!$A$92,VLOOKUP($A48,Drainage!$A$8:$M$91,7,FALSE),
IF($A48&lt;Nipples!$A$82,VLOOKUP($A48,Nipples!$A$9:$Q$81,13,FALSE),
IF($A48&lt;Manifold!$A$33,VLOOKUP($A48,Manifold!$A$9:$M$32,7,FALSE),
IF($A48&lt;FlexibleRepairCouplings!$A$13,VLOOKUP($A48,FlexibleRepairCouplings!$A$10:$M$12,7,FALSE),
IF($A48&lt;DuraFix!$A$15,VLOOKUP($A48,DuraFix!$A$9:$M$14,7,FALSE),
IF($A48&lt;'Compression Fittings'!$A$16,VLOOKUP($A48,'Compression Fittings'!$A$8:$M$15,7,FALSE),
IF($A48&lt;'Hose Fittings'!$A$30,VLOOKUP($A48,'Hose Fittings'!$A$8:$M$29,7,FALSE),
IF($A48&lt;'Swing Joints'!$A$496,VLOOKUP($A48,'Swing Joints'!$A$9:$M$495,7,FALSE),
IF($A48&lt;'Swing Joints Components'!$A$135,VLOOKUP($A48,'Swing Joints Components'!$A$9:$M$134,7,FALSE),
IF($A48&lt;Nonstandard!$A$42,VLOOKUP($A48,Nonstandard!$A$31:$J$41,3,FALSE),"")))))))))))))))))))))))))))),"")</f>
        <v/>
      </c>
      <c r="I48" s="589"/>
      <c r="J48" s="423" t="str">
        <f t="shared" si="1"/>
        <v/>
      </c>
      <c r="K48" s="424" t="str">
        <f>IFERROR(IF($A48&lt;'DWV PVC'!$A$285,VLOOKUP($A48,'DWV PVC'!$A$8:$M$284,10,FALSE),
IF($A48&lt;'DWV ABS'!$A$117,VLOOKUP($A48,'DWV ABS'!$A$8:$M$116,10,FALSE),
IF($A48&lt;'PVC SCH40'!$A$376,VLOOKUP($A48,'PVC SCH40'!$A$8:$M$375,10,FALSE),
IF($A48&lt;'PVC SCH40 LD'!$A$22,VLOOKUP($A48,'PVC SCH40 LD'!$A$8:$M$21,10,FALSE),
IF($A48&lt;'Pool &amp; SPA Sweep Elbows'!$A$12,VLOOKUP($A48,'Pool &amp; SPA Sweep Elbows'!$A$8:$M$11,10,FALSE),
IF($A48&lt;'Pool &amp; SPA Pipe Extender'!$A$11,VLOOKUP($A48,'Pool &amp; SPA Pipe Extender'!$A$8:$M$10,10,FALSE),
IF($A48&lt;'PVC SCH80'!$A$250,VLOOKUP($A48,'PVC SCH80'!$A$8:$M$249,10,FALSE),
IF($A48&lt;'PVC SCH80 Flange'!$A$49,VLOOKUP($A48,'PVC SCH80 Flange'!$A$8:$M$48,10,FALSE),
IF($A48&lt;'PVC SCH80 LD Flange'!$A$17,VLOOKUP($A48,'PVC SCH80 LD Flange'!$A$8:$M$16,10,FALSE),
IF($A48&lt;CPVC!$A$100,VLOOKUP($A48,CPVC!$A$8:$M$99,10,FALSE),
IF($A48&lt;InsertFittings!$A$237,VLOOKUP($A48,InsertFittings!$A$11:$M$236,10,FALSE),
IF($A48&lt;Valves!$A$132,VLOOKUP($A48,Valves!$A$8:$M$131,10,FALSE),
IF($A48&lt;SDR35SW!$A$124,VLOOKUP($A48,SDR35SW!$A$8:$M$123,10,FALSE),
IF($A48&lt;SDR35G!$A$143,VLOOKUP($A48, SDR35G!$A$8:$M$142,10,FALSE),
IF($A48&lt;SDR26G!$A$61,VLOOKUP($A48,SDR26G!$A$8:$N$60,11,FALSE),
IF($A48&lt;Cements!$A$100,VLOOKUP($A48,Cements!$A$8:$Q$99,14,FALSE),
IF($A48&lt;ValveBox!$A$143,VLOOKUP($A48,ValveBox!$A$10:$O$142,12,FALSE),
IF($A48&lt;'ValveBox Components'!$A$165,VLOOKUP($A48,'ValveBox Components'!$A$10:$O$164,12,FALSE),
IF($A48&lt;Drainage!$A$92,VLOOKUP($A48,Drainage!$A$8:$M$91,10,FALSE),
IF($A48&lt;Nipples!$A$82,VLOOKUP($A48,Nipples!$A$9:$Q$81,14,FALSE),
IF($A48&lt;Manifold!$A$33,VLOOKUP($A48,Manifold!$A$9:$M$32,10,FALSE),
IF($A48&lt;FlexibleRepairCouplings!$A$13,VLOOKUP($A48,FlexibleRepairCouplings!$A$10:$M$12,10,FALSE),
IF($A48&lt;DuraFix!$A$15,VLOOKUP($A48,DuraFix!$A$9:$M$14,10,FALSE),
IF($A48&lt;'Compression Fittings'!$A$16,VLOOKUP($A48,'Compression Fittings'!$A$8:$M$15,10,FALSE),
IF($A48&lt;'Hose Fittings'!$A$30,VLOOKUP($A48,'Hose Fittings'!$A$8:$M$29,10,FALSE),
IF($A48&lt;'Swing Joints'!$A$496,VLOOKUP($A48,'Swing Joints'!$A$9:$M$495,10,FALSE),
IF($A48&lt;'Swing Joints Components'!$A$135,VLOOKUP($A48,'Swing Joints Components'!$A$9:$M$134,10,FALSE),
IF($A48&lt;Nonstandard!$A$42,VLOOKUP($A48,Nonstandard!$A$31:$J$41,10,FALSE),"")))))))))))))))))))))))))))),"")</f>
        <v/>
      </c>
      <c r="L48" s="421" t="str">
        <f t="shared" si="0"/>
        <v>-</v>
      </c>
      <c r="M48" s="425"/>
    </row>
    <row r="49" spans="1:13" ht="15.75">
      <c r="A49" s="415">
        <v>17</v>
      </c>
      <c r="B49" s="415" t="str">
        <f>IFERROR(IF($A49&lt;'DWV PVC'!$A$285,VLOOKUP($A49,'DWV PVC'!$A$8:$M$284,4,FALSE),
IF($A49&lt;'DWV ABS'!$A$117,VLOOKUP($A49,'DWV ABS'!$A$8:$M$116,4,FALSE),
IF($A49&lt;'PVC SCH40'!$A$376,VLOOKUP($A49,'PVC SCH40'!$A$8:$M$375,4,FALSE),
IF($A49&lt;'PVC SCH40 LD'!$A$22,VLOOKUP($A49,'PVC SCH40 LD'!$A$8:$M$21,4,FALSE),
IF($A49&lt;'Pool &amp; SPA Sweep Elbows'!$A$12,VLOOKUP($A49,'Pool &amp; SPA Sweep Elbows'!$A$8:$M$11,4,FALSE),
IF($A49&lt;'Pool &amp; SPA Pipe Extender'!$A$11,VLOOKUP($A49,'Pool &amp; SPA Pipe Extender'!$A$8:$M$10,4,FALSE),
IF($A49&lt;'PVC SCH80'!$A$250,VLOOKUP($A49,'PVC SCH80'!$A$8:$M$249,4,FALSE),
IF($A49&lt;'PVC SCH80 Flange'!$A$49,VLOOKUP($A49,'PVC SCH80 Flange'!$A$8:$M$48,4,FALSE),
IF($A49&lt;'PVC SCH80 LD Flange'!$A$17,VLOOKUP($A49,'PVC SCH80 LD Flange'!$A$8:$M$16,4,FALSE),
IF($A49&lt;CPVC!$A$100,VLOOKUP($A49,CPVC!$A$8:$M$99,4,FALSE),
IF($A49&lt;InsertFittings!$A$237,VLOOKUP($A49,InsertFittings!$A$11:$M$236,4,FALSE),
IF($A49&lt;Valves!$A$132,VLOOKUP($A49,Valves!$A$8:$M$131,4,FALSE),
IF($A49&lt;SDR35SW!$A$124,VLOOKUP($A49,SDR35SW!$A$8:$M$123,4,FALSE),
IF($A49&lt;SDR35G!$A$143,VLOOKUP($A49, SDR35G!$A$8:$M$142,4,FALSE),
IF($A49&lt;SDR26G!$A$61,VLOOKUP($A49,SDR26G!$A$8:$N$60,4,FALSE),
IF($A49&lt;Cements!$A$100,VLOOKUP($A49,Cements!$A$8:$Q$99,4,FALSE),
IF($A49&lt;ValveBox!$A$143,VLOOKUP($A49,ValveBox!$A$10:$O$142,4,FALSE),
IF($A49&lt;'ValveBox Components'!$A$165,VLOOKUP($A49,'ValveBox Components'!$A$10:$O$164,4,FALSE),
IF($A49&lt;Drainage!$A$92,VLOOKUP($A49,Drainage!$A$8:$M$91,4,FALSE),
IF($A49&lt;Nipples!$A$82,VLOOKUP($A49,Nipples!$A$9:$Q$81,4,FALSE),
IF($A49&lt;Manifold!$A$33,VLOOKUP($A49,Manifold!$A$9:$M$32,4,FALSE),
IF($A49&lt;FlexibleRepairCouplings!$A$13,VLOOKUP($A49,FlexibleRepairCouplings!$A$10:$M$12,4,FALSE),
IF($A49&lt;DuraFix!$A$15,VLOOKUP($A49,DuraFix!$A$9:$M$14,4,FALSE),
IF($A49&lt;'Compression Fittings'!$A$16,VLOOKUP($A49,'Compression Fittings'!$A$8:$M$15,4,FALSE),
IF($A49&lt;'Hose Fittings'!$A$30,VLOOKUP($A49,'Hose Fittings'!$A$8:$M$29,4,FALSE),
IF($A49&lt;'Swing Joints'!$A$496,VLOOKUP($A49,'Swing Joints'!$A$9:$M$495,4,FALSE),
IF($A49&lt;'Swing Joints Components'!$A$135,VLOOKUP($A49,'Swing Joints Components'!$A$9:$M$134,4,FALSE),
IF($A49&lt;Nonstandard!$A$42,VLOOKUP($A49,Nonstandard!$A$31:$J$41,5,FALSE),"")))))))))))))))))))))))))))),"")</f>
        <v/>
      </c>
      <c r="C49" s="415" t="str">
        <f>IFERROR(IF($A49&lt;'DWV PVC'!$A$285,VLOOKUP($A49,'DWV PVC'!$A$8:$M$284,5,FALSE),
IF($A49&lt;'DWV ABS'!$A$117,VLOOKUP($A49,'DWV ABS'!$A$8:$M$116,5,FALSE),
IF($A49&lt;'PVC SCH40'!$A$376,VLOOKUP($A49,'PVC SCH40'!$A$8:$M$375,5,FALSE),
IF($A49&lt;'PVC SCH40 LD'!$A$22,VLOOKUP($A49,'PVC SCH40 LD'!$A$8:$M$21,5,FALSE),
IF($A49&lt;'Pool &amp; SPA Sweep Elbows'!$A$12,VLOOKUP($A49,'Pool &amp; SPA Sweep Elbows'!$A$8:$M$11,5,FALSE),
IF($A49&lt;'Pool &amp; SPA Pipe Extender'!$A$11,VLOOKUP($A49,'Pool &amp; SPA Pipe Extender'!$A$8:$M$10,5,FALSE),
IF($A49&lt;'PVC SCH80'!$A$250,VLOOKUP($A49,'PVC SCH80'!$A$8:$M$249,5,FALSE),
IF($A49&lt;'PVC SCH80 Flange'!$A$49,VLOOKUP($A49,'PVC SCH80 Flange'!$A$8:$M$48,5,FALSE),
IF($A49&lt;'PVC SCH80 LD Flange'!$A$17,VLOOKUP($A49,'PVC SCH80 LD Flange'!$A$8:$M$16,5,FALSE),
IF($A49&lt;CPVC!$A$100,VLOOKUP($A49,CPVC!$A$8:$M$99,5,FALSE),
IF($A49&lt;InsertFittings!$A$237,VLOOKUP($A49,InsertFittings!$A$11:$M$236,5,FALSE),
IF($A49&lt;Valves!$A$132,VLOOKUP($A49,Valves!$A$8:$M$131,5,FALSE),
IF($A49&lt;SDR35SW!$A$124,VLOOKUP($A49,SDR35SW!$A$8:$M$123,5,FALSE),
IF($A49&lt;SDR35G!$A$143,VLOOKUP($A49, SDR35G!$A$8:$M$142,5,FALSE),
IF($A49&lt;SDR26G!$A$61,VLOOKUP($A49,SDR26G!$A$8:$N$60,5,FALSE),
IF($A49&lt;Cements!$A$100,VLOOKUP($A49,Cements!$A$8:$Q$99,5,FALSE),
IF($A49&lt;ValveBox!$A$143,VLOOKUP($A49,ValveBox!$A$10:$O$142,5,FALSE),
IF($A49&lt;'ValveBox Components'!$A$165,VLOOKUP($A49,'ValveBox Components'!$A$10:$O$164,5,FALSE),
IF($A49&lt;Drainage!$A$92,VLOOKUP($A49,Drainage!$A$8:$M$91,5,FALSE),
IF($A49&lt;Nipples!$A$82,VLOOKUP($A49,Nipples!$A$9:$Q$81,5,FALSE),
IF($A49&lt;Manifold!$A$33,VLOOKUP($A49,Manifold!$A$9:$M$32,5,FALSE),
IF($A49&lt;FlexibleRepairCouplings!$A$13,VLOOKUP($A49,FlexibleRepairCouplings!$A$10:$M$12,5,FALSE),
IF($A49&lt;DuraFix!$A$15,VLOOKUP($A49,DuraFix!$A$9:$M$14,5,FALSE),
IF($A49&lt;'Compression Fittings'!$A$16,VLOOKUP($A49,'Compression Fittings'!$A$8:$M$15,5,FALSE),
IF($A49&lt;'Hose Fittings'!$A$30,VLOOKUP($A49,'Hose Fittings'!$A$8:$M$29,5,FALSE),
IF($A49&lt;'Swing Joints'!$A$496,VLOOKUP($A49,'Swing Joints'!$A$9:$M$495,5,FALSE),
IF($A49&lt;'Swing Joints Components'!$A$135,VLOOKUP($A49,'Swing Joints Components'!$A$9:$M$134,5,FALSE),
IF($A49&lt;Nonstandard!$A$42,VLOOKUP($A49,Nonstandard!$A$31:$J$41,6,FALSE),"")))))))))))))))))))))))))))),"")</f>
        <v/>
      </c>
      <c r="D49" s="426" t="str">
        <f>IFERROR(IF($A49&lt;'DWV PVC'!$A$285,VLOOKUP($A49,'DWV PVC'!$A$8:$M$284,6,FALSE),
IF($A49&lt;'DWV ABS'!$A$117,VLOOKUP($A49,'DWV ABS'!$A$8:$M$116,6,FALSE),
IF($A49&lt;'PVC SCH40'!$A$376,VLOOKUP($A49,'PVC SCH40'!$A$8:$M$375,6,FALSE),
IF($A49&lt;'PVC SCH40 LD'!$A$22,VLOOKUP($A49,'PVC SCH40 LD'!$A$8:$M$21,6,FALSE),
IF($A49&lt;'Pool &amp; SPA Sweep Elbows'!$A$12,VLOOKUP($A49,'Pool &amp; SPA Sweep Elbows'!$A$8:$M$11,6,FALSE),
IF($A49&lt;'Pool &amp; SPA Pipe Extender'!$A$11,VLOOKUP($A49,'Pool &amp; SPA Pipe Extender'!$A$8:$M$10,6,FALSE),
IF($A49&lt;'PVC SCH80'!$A$250,VLOOKUP($A49,'PVC SCH80'!$A$8:$M$249,6,FALSE),
IF($A49&lt;'PVC SCH80 Flange'!$A$49,VLOOKUP($A49,'PVC SCH80 Flange'!$A$8:$M$48,6,FALSE),
IF($A49&lt;'PVC SCH80 LD Flange'!$A$17,VLOOKUP($A49,'PVC SCH80 LD Flange'!$A$8:$M$16,6,FALSE),
IF($A49&lt;CPVC!$A$100,VLOOKUP($A49,CPVC!$A$8:$M$99,6,FALSE),
IF($A49&lt;InsertFittings!$A$237,VLOOKUP($A49,InsertFittings!$A$11:$M$236,6,FALSE),
IF($A49&lt;Valves!$A$132,VLOOKUP($A49,Valves!$A$8:$M$131,6,FALSE),
IF($A49&lt;SDR35SW!$A$124,VLOOKUP($A49,SDR35SW!$A$8:$M$123,6,FALSE),
IF($A49&lt;SDR35G!$A$143,VLOOKUP($A49, SDR35G!$A$8:$M$142,6,FALSE),
IF($A49&lt;SDR26G!$A$61,VLOOKUP($A49,SDR26G!$A$8:$N$60,6,FALSE),
IF($A49&lt;Cements!$A$100,VLOOKUP($A49,Cements!$A$8:$Q$99,6,FALSE),
IF($A49&lt;ValveBox!$A$143,VLOOKUP($A49,ValveBox!$A$10:$O$142,6,FALSE),
IF($A49&lt;'ValveBox Components'!$A$165,VLOOKUP($A49,'ValveBox Components'!$A$10:$O$164,6,FALSE),
IF($A49&lt;Drainage!$A$92,VLOOKUP($A49,Drainage!$A$8:$M$91,6,FALSE),
IF($A49&lt;Nipples!$A$82,VLOOKUP($A49,Nipples!$A$9:$Q$81,6,FALSE),
IF($A49&lt;Manifold!$A$33,VLOOKUP($A49,Manifold!$A$9:$M$32,6,FALSE),
IF($A49&lt;FlexibleRepairCouplings!$A$13,VLOOKUP($A49,FlexibleRepairCouplings!$A$10:$M$12,6,FALSE),
IF($A49&lt;DuraFix!$A$15,VLOOKUP($A49,DuraFix!$A$9:$M$14,6,FALSE),
IF($A49&lt;'Compression Fittings'!$A$16,VLOOKUP($A49,'Compression Fittings'!$A$8:$M$15,6,FALSE),
IF($A49&lt;'Hose Fittings'!$A$30,VLOOKUP($A49,'Hose Fittings'!$A$8:$M$29,6,FALSE),
IF($A49&lt;'Swing Joints'!$A$496,VLOOKUP($A49,'Swing Joints'!$A$9:$M$495,6,FALSE),
IF($A49&lt;'Swing Joints Components'!$A$135,VLOOKUP($A49,'Swing Joints Components'!$A$9:$M$134,6,FALSE),
IF($A49&lt;Nonstandard!$A$42,VLOOKUP($A49,Nonstandard!$A$31:$J$41,7,FALSE),"")))))))))))))))))))))))))))),"")</f>
        <v/>
      </c>
      <c r="E49" s="427"/>
      <c r="F49" s="418" t="str">
        <f>IFERROR(IF($A49&lt;'DWV PVC'!$A$285,VLOOKUP($A49,'DWV PVC'!$A$8:$M$284,9,FALSE),
IF($A49&lt;'DWV ABS'!$A$117,VLOOKUP($A49,'DWV ABS'!$A$8:$M$116,9,FALSE),
IF($A49&lt;'PVC SCH40'!$A$376,VLOOKUP($A49,'PVC SCH40'!$A$8:$M$375,9,FALSE),
IF($A49&lt;'PVC SCH40 LD'!$A$22,VLOOKUP($A49,'PVC SCH40 LD'!$A$8:$M$21,9,FALSE),
IF($A49&lt;'Pool &amp; SPA Sweep Elbows'!$A$12,VLOOKUP($A49,'Pool &amp; SPA Sweep Elbows'!$A$8:$M$11,9,FALSE),
IF($A49&lt;'Pool &amp; SPA Pipe Extender'!$A$11,VLOOKUP($A49,'Pool &amp; SPA Pipe Extender'!$A$8:$M$10,9,FALSE),
IF($A49&lt;'PVC SCH80'!$A$250,VLOOKUP($A49,'PVC SCH80'!$A$8:$M$249,9,FALSE),
IF($A49&lt;'PVC SCH80 Flange'!$A$49,VLOOKUP($A49,'PVC SCH80 Flange'!$A$8:$M$48,9,FALSE),
IF($A49&lt;'PVC SCH80 LD Flange'!$A$17,VLOOKUP($A49,'PVC SCH80 LD Flange'!$A$8:$M$16,9,FALSE),
IF($A49&lt;CPVC!$A$100,VLOOKUP($A49,CPVC!$A$8:$M$99,9,FALSE),
IF($A49&lt;InsertFittings!$A$237,VLOOKUP($A49,InsertFittings!$A$11:$M$236,9,FALSE),
IF($A49&lt;Valves!$A$132,VLOOKUP($A49,Valves!$A$8:$M$131,9,FALSE),
IF($A49&lt;SDR35SW!$A$124,VLOOKUP($A49,SDR35SW!$A$8:$M$123,9,FALSE),
IF($A49&lt;SDR35G!$A$143,VLOOKUP($A49, SDR35G!$A$8:$M$142,9,FALSE),
IF($A49&lt;SDR26G!$A$61,VLOOKUP($A49,SDR26G!$A$8:$N$60,10,FALSE),
IF($A49&lt;Cements!$A$100,VLOOKUP($A49,Cements!$A$8:$Q$99,13,FALSE),
IF($A49&lt;ValveBox!$A$143,VLOOKUP($A49,ValveBox!$A$10:$O$142,11,FALSE),
IF($A49&lt;'ValveBox Components'!$A$165,VLOOKUP($A49,'ValveBox Components'!$A$10:$O$164,11,FALSE),
IF($A49&lt;Drainage!$A$92,VLOOKUP($A49,Drainage!$A$8:$M$91,9,FALSE),
IF($A49&lt;Nipples!$A$82,VLOOKUP($A49,Nipples!$A$9:$Q$81,13,FALSE),
IF($A49&lt;Manifold!$A$33,VLOOKUP($A49,Manifold!$A$9:$M$32,9,FALSE),
IF($A49&lt;FlexibleRepairCouplings!$A$13,VLOOKUP($A49,FlexibleRepairCouplings!$A$10:$M$12,9,FALSE),
IF($A49&lt;DuraFix!$A$15,VLOOKUP($A49,DuraFix!$A$9:$M$14,9,FALSE),
IF($A49&lt;'Compression Fittings'!$A$16,VLOOKUP($A49,'Compression Fittings'!$A$8:$M$15,9,FALSE),
IF($A49&lt;'Hose Fittings'!$A$30,VLOOKUP($A49,'Hose Fittings'!$A$8:$M$29,9,FALSE),
IF($A49&lt;'Swing Joints'!$A$496,VLOOKUP($A49,'Swing Joints'!$A$9:$M$495,9,FALSE),
IF($A49&lt;'Swing Joints Components'!$A$135,VLOOKUP($A49,'Swing Joints Components'!$A$9:$M$134,9,FALSE),
IF($A49&lt;Nonstandard!$A$42,VLOOKUP($A49,Nonstandard!$A$31:$J$41,8,FALSE),"")))))))))))))))))))))))))))),"")</f>
        <v/>
      </c>
      <c r="G49" s="416" t="str">
        <f>IFERROR(IF($A49&lt;'DWV PVC'!$A$285,VLOOKUP($A49,'DWV PVC'!$A$8:$M$284,11,FALSE),
IF($A49&lt;'DWV ABS'!$A$117,VLOOKUP($A49,'DWV ABS'!$A$8:$M$116,11,FALSE),
IF($A49&lt;'PVC SCH40'!$A$376,VLOOKUP($A49,'PVC SCH40'!$A$8:$M$375,11,FALSE),
IF($A49&lt;'PVC SCH40 LD'!$A$22,VLOOKUP($A49,'PVC SCH40 LD'!$A$8:$M$21,11,FALSE),
IF($A49&lt;'Pool &amp; SPA Sweep Elbows'!$A$12,VLOOKUP($A49,'Pool &amp; SPA Sweep Elbows'!$A$8:$M$11,11,FALSE),
IF($A49&lt;'Pool &amp; SPA Pipe Extender'!$A$11,VLOOKUP($A49,'Pool &amp; SPA Pipe Extender'!$A$8:$M$10,11,FALSE),
IF($A49&lt;'PVC SCH80'!$A$250,VLOOKUP($A49,'PVC SCH80'!$A$8:$M$249,11,FALSE),
IF($A49&lt;'PVC SCH80 Flange'!$A$49,VLOOKUP($A49,'PVC SCH80 Flange'!$A$8:$M$48,11,FALSE),
IF($A49&lt;'PVC SCH80 LD Flange'!$A$17,VLOOKUP($A49,'PVC SCH80 LD Flange'!$A$8:$M$16,11,FALSE),
IF($A49&lt;CPVC!$A$100,VLOOKUP($A49,CPVC!$A$8:$M$99,11,FALSE),
IF($A49&lt;InsertFittings!$A$237,VLOOKUP($A49,InsertFittings!$A$11:$M$236,11,FALSE),
IF($A49&lt;Valves!$A$132,VLOOKUP($A49,Valves!$A$8:$M$131,11,FALSE),
IF($A49&lt;SDR35SW!$A$124,VLOOKUP($A49,SDR35SW!$A$8:$M$123,11,FALSE),
IF($A49&lt;SDR35G!$A$143,VLOOKUP($A49, SDR35G!$A$8:$M$142,11,FALSE),
IF($A49&lt;SDR26G!$A$61,VLOOKUP($A49,SDR26G!$A$8:$N$60,12,FALSE),
IF($A49&lt;Cements!$A$100,VLOOKUP($A49,Cements!$A$8:$Q$99,15,FALSE),
IF($A49&lt;ValveBox!$A$143,VLOOKUP($A49,ValveBox!$A$10:$O$142,13,FALSE),
IF($A49&lt;'ValveBox Components'!$A$165,VLOOKUP($A49,'ValveBox Components'!$A$10:$O$164,13,FALSE),
IF($A49&lt;Drainage!$A$92,VLOOKUP($A49,Drainage!$A$8:$M$91,11,FALSE),
IF($A49&lt;Nipples!$A$82,VLOOKUP($A49,Nipples!$A$9:$Q$81,15,FALSE),
IF($A49&lt;Manifold!$A$33,VLOOKUP($A49,Manifold!$A$9:$M$32,11,FALSE),
IF($A49&lt;FlexibleRepairCouplings!$A$13,VLOOKUP($A49,FlexibleRepairCouplings!$A$10:$M$12,11,FALSE),
IF($A49&lt;DuraFix!$A$15,VLOOKUP($A49,DuraFix!$A$9:$M$14,11,FALSE),
IF($A49&lt;'Compression Fittings'!$A$16,VLOOKUP($A49,'Compression Fittings'!$A$8:$M$15,11,FALSE),
IF($A49&lt;'Hose Fittings'!$A$30,VLOOKUP($A49,'Hose Fittings'!$A$8:$M$29,11,FALSE),
IF($A49&lt;'Swing Joints'!$A$496,VLOOKUP($A49,'Swing Joints'!$A$9:$M$495,11,FALSE),
IF($A49&lt;'Swing Joints Components'!$A$135,VLOOKUP($A49,'Swing Joints Components'!$A$9:$M$134,11,FALSE),
IF($A49&lt;Nonstandard!$A$42,VLOOKUP($A49,Nonstandard!$A$31:$J$41,3,FALSE),"")))))))))))))))))))))))))))),"")</f>
        <v/>
      </c>
      <c r="H49" s="586" t="str">
        <f>IFERROR(IF($A49&lt;'DWV PVC'!$A$285,VLOOKUP($A49,'DWV PVC'!$A$8:$M$284,7,FALSE),
IF($A49&lt;'DWV ABS'!$A$117,VLOOKUP($A49,'DWV ABS'!$A$8:$M$116,7,FALSE),
IF($A49&lt;'PVC SCH40'!$A$376,VLOOKUP($A49,'PVC SCH40'!$A$8:$M$375,7,FALSE),
IF($A49&lt;'PVC SCH40 LD'!$A$22,VLOOKUP($A49,'PVC SCH40 LD'!$A$8:$M$21,7,FALSE),
IF($A49&lt;'Pool &amp; SPA Sweep Elbows'!$A$12,VLOOKUP($A49,'Pool &amp; SPA Sweep Elbows'!$A$8:$M$11,7,FALSE),
IF($A49&lt;'Pool &amp; SPA Pipe Extender'!$A$11,VLOOKUP($A49,'Pool &amp; SPA Pipe Extender'!$A$8:$M$10,7,FALSE),
IF($A49&lt;'PVC SCH80'!$A$250,VLOOKUP($A49,'PVC SCH80'!$A$8:$M$249,7,FALSE),
IF($A49&lt;'PVC SCH80 Flange'!$A$49,VLOOKUP($A49,'PVC SCH80 Flange'!$A$8:$M$48,7,FALSE),
IF($A49&lt;'PVC SCH80 LD Flange'!$A$17,VLOOKUP($A49,'PVC SCH80 LD Flange'!$A$8:$M$16,7,FALSE),
IF($A49&lt;CPVC!$A$100,VLOOKUP($A49,CPVC!$A$8:$M$99,7,FALSE),
IF($A49&lt;InsertFittings!$A$237,VLOOKUP($A49,InsertFittings!$A$11:$M$236,7,FALSE),
IF($A49&lt;Valves!$A$132,VLOOKUP($A49,Valves!$A$8:$M$131,7,FALSE),
IF($A49&lt;SDR35SW!$A$124,VLOOKUP($A49,SDR35SW!$A$8:$M$123,7,FALSE),
IF($A49&lt;SDR35G!$A$143,VLOOKUP($A49, SDR35G!$A$8:$M$142,7,FALSE),
IF($A49&lt;SDR26G!$A$61,VLOOKUP($A49,SDR26G!$A$8:$N$60,10,FALSE),
IF($A49&lt;Cements!$A$100,VLOOKUP($A49,Cements!$A$8:$Q$99,13,FALSE),
IF($A49&lt;ValveBox!$A$143,VLOOKUP($A49,ValveBox!$A$10:$O$142,11,FALSE),
IF($A49&lt;'ValveBox Components'!$A$165,VLOOKUP($A49,'ValveBox Components'!$A$10:$O$164,11,FALSE),
IF($A49&lt;Drainage!$A$92,VLOOKUP($A49,Drainage!$A$8:$M$91,7,FALSE),
IF($A49&lt;Nipples!$A$82,VLOOKUP($A49,Nipples!$A$9:$Q$81,13,FALSE),
IF($A49&lt;Manifold!$A$33,VLOOKUP($A49,Manifold!$A$9:$M$32,7,FALSE),
IF($A49&lt;FlexibleRepairCouplings!$A$13,VLOOKUP($A49,FlexibleRepairCouplings!$A$10:$M$12,7,FALSE),
IF($A49&lt;DuraFix!$A$15,VLOOKUP($A49,DuraFix!$A$9:$M$14,7,FALSE),
IF($A49&lt;'Compression Fittings'!$A$16,VLOOKUP($A49,'Compression Fittings'!$A$8:$M$15,7,FALSE),
IF($A49&lt;'Hose Fittings'!$A$30,VLOOKUP($A49,'Hose Fittings'!$A$8:$M$29,7,FALSE),
IF($A49&lt;'Swing Joints'!$A$496,VLOOKUP($A49,'Swing Joints'!$A$9:$M$495,7,FALSE),
IF($A49&lt;'Swing Joints Components'!$A$135,VLOOKUP($A49,'Swing Joints Components'!$A$9:$M$134,7,FALSE),
IF($A49&lt;Nonstandard!$A$42,VLOOKUP($A49,Nonstandard!$A$31:$J$41,3,FALSE),"")))))))))))))))))))))))))))),"")</f>
        <v/>
      </c>
      <c r="I49" s="587"/>
      <c r="J49" s="383" t="str">
        <f t="shared" si="1"/>
        <v/>
      </c>
      <c r="K49" s="417" t="str">
        <f>IFERROR(IF($A49&lt;'DWV PVC'!$A$285,VLOOKUP($A49,'DWV PVC'!$A$8:$M$284,10,FALSE),
IF($A49&lt;'DWV ABS'!$A$117,VLOOKUP($A49,'DWV ABS'!$A$8:$M$116,10,FALSE),
IF($A49&lt;'PVC SCH40'!$A$376,VLOOKUP($A49,'PVC SCH40'!$A$8:$M$375,10,FALSE),
IF($A49&lt;'PVC SCH40 LD'!$A$22,VLOOKUP($A49,'PVC SCH40 LD'!$A$8:$M$21,10,FALSE),
IF($A49&lt;'Pool &amp; SPA Sweep Elbows'!$A$12,VLOOKUP($A49,'Pool &amp; SPA Sweep Elbows'!$A$8:$M$11,10,FALSE),
IF($A49&lt;'Pool &amp; SPA Pipe Extender'!$A$11,VLOOKUP($A49,'Pool &amp; SPA Pipe Extender'!$A$8:$M$10,10,FALSE),
IF($A49&lt;'PVC SCH80'!$A$250,VLOOKUP($A49,'PVC SCH80'!$A$8:$M$249,10,FALSE),
IF($A49&lt;'PVC SCH80 Flange'!$A$49,VLOOKUP($A49,'PVC SCH80 Flange'!$A$8:$M$48,10,FALSE),
IF($A49&lt;'PVC SCH80 LD Flange'!$A$17,VLOOKUP($A49,'PVC SCH80 LD Flange'!$A$8:$M$16,10,FALSE),
IF($A49&lt;CPVC!$A$100,VLOOKUP($A49,CPVC!$A$8:$M$99,10,FALSE),
IF($A49&lt;InsertFittings!$A$237,VLOOKUP($A49,InsertFittings!$A$11:$M$236,10,FALSE),
IF($A49&lt;Valves!$A$132,VLOOKUP($A49,Valves!$A$8:$M$131,10,FALSE),
IF($A49&lt;SDR35SW!$A$124,VLOOKUP($A49,SDR35SW!$A$8:$M$123,10,FALSE),
IF($A49&lt;SDR35G!$A$143,VLOOKUP($A49, SDR35G!$A$8:$M$142,10,FALSE),
IF($A49&lt;SDR26G!$A$61,VLOOKUP($A49,SDR26G!$A$8:$N$60,11,FALSE),
IF($A49&lt;Cements!$A$100,VLOOKUP($A49,Cements!$A$8:$Q$99,14,FALSE),
IF($A49&lt;ValveBox!$A$143,VLOOKUP($A49,ValveBox!$A$10:$O$142,12,FALSE),
IF($A49&lt;'ValveBox Components'!$A$165,VLOOKUP($A49,'ValveBox Components'!$A$10:$O$164,12,FALSE),
IF($A49&lt;Drainage!$A$92,VLOOKUP($A49,Drainage!$A$8:$M$91,10,FALSE),
IF($A49&lt;Nipples!$A$82,VLOOKUP($A49,Nipples!$A$9:$Q$81,14,FALSE),
IF($A49&lt;Manifold!$A$33,VLOOKUP($A49,Manifold!$A$9:$M$32,10,FALSE),
IF($A49&lt;FlexibleRepairCouplings!$A$13,VLOOKUP($A49,FlexibleRepairCouplings!$A$10:$M$12,10,FALSE),
IF($A49&lt;DuraFix!$A$15,VLOOKUP($A49,DuraFix!$A$9:$M$14,10,FALSE),
IF($A49&lt;'Compression Fittings'!$A$16,VLOOKUP($A49,'Compression Fittings'!$A$8:$M$15,10,FALSE),
IF($A49&lt;'Hose Fittings'!$A$30,VLOOKUP($A49,'Hose Fittings'!$A$8:$M$29,10,FALSE),
IF($A49&lt;'Swing Joints'!$A$496,VLOOKUP($A49,'Swing Joints'!$A$9:$M$495,10,FALSE),
IF($A49&lt;'Swing Joints Components'!$A$135,VLOOKUP($A49,'Swing Joints Components'!$A$9:$M$134,10,FALSE),
IF($A49&lt;Nonstandard!$A$42,VLOOKUP($A49,Nonstandard!$A$31:$J$41,10,FALSE),"")))))))))))))))))))))))))))),"")</f>
        <v/>
      </c>
      <c r="L49" s="418" t="str">
        <f t="shared" si="0"/>
        <v>-</v>
      </c>
      <c r="M49" s="419"/>
    </row>
    <row r="50" spans="1:13" ht="15.75">
      <c r="A50" s="420">
        <v>18</v>
      </c>
      <c r="B50" s="420" t="str">
        <f>IFERROR(IF($A50&lt;'DWV PVC'!$A$285,VLOOKUP($A50,'DWV PVC'!$A$8:$M$284,4,FALSE),
IF($A50&lt;'DWV ABS'!$A$117,VLOOKUP($A50,'DWV ABS'!$A$8:$M$116,4,FALSE),
IF($A50&lt;'PVC SCH40'!$A$376,VLOOKUP($A50,'PVC SCH40'!$A$8:$M$375,4,FALSE),
IF($A50&lt;'PVC SCH40 LD'!$A$22,VLOOKUP($A50,'PVC SCH40 LD'!$A$8:$M$21,4,FALSE),
IF($A50&lt;'Pool &amp; SPA Sweep Elbows'!$A$12,VLOOKUP($A50,'Pool &amp; SPA Sweep Elbows'!$A$8:$M$11,4,FALSE),
IF($A50&lt;'Pool &amp; SPA Pipe Extender'!$A$11,VLOOKUP($A50,'Pool &amp; SPA Pipe Extender'!$A$8:$M$10,4,FALSE),
IF($A50&lt;'PVC SCH80'!$A$250,VLOOKUP($A50,'PVC SCH80'!$A$8:$M$249,4,FALSE),
IF($A50&lt;'PVC SCH80 Flange'!$A$49,VLOOKUP($A50,'PVC SCH80 Flange'!$A$8:$M$48,4,FALSE),
IF($A50&lt;'PVC SCH80 LD Flange'!$A$17,VLOOKUP($A50,'PVC SCH80 LD Flange'!$A$8:$M$16,4,FALSE),
IF($A50&lt;CPVC!$A$100,VLOOKUP($A50,CPVC!$A$8:$M$99,4,FALSE),
IF($A50&lt;InsertFittings!$A$237,VLOOKUP($A50,InsertFittings!$A$11:$M$236,4,FALSE),
IF($A50&lt;Valves!$A$132,VLOOKUP($A50,Valves!$A$8:$M$131,4,FALSE),
IF($A50&lt;SDR35SW!$A$124,VLOOKUP($A50,SDR35SW!$A$8:$M$123,4,FALSE),
IF($A50&lt;SDR35G!$A$143,VLOOKUP($A50, SDR35G!$A$8:$M$142,4,FALSE),
IF($A50&lt;SDR26G!$A$61,VLOOKUP($A50,SDR26G!$A$8:$N$60,4,FALSE),
IF($A50&lt;Cements!$A$100,VLOOKUP($A50,Cements!$A$8:$Q$99,4,FALSE),
IF($A50&lt;ValveBox!$A$143,VLOOKUP($A50,ValveBox!$A$10:$O$142,4,FALSE),
IF($A50&lt;'ValveBox Components'!$A$165,VLOOKUP($A50,'ValveBox Components'!$A$10:$O$164,4,FALSE),
IF($A50&lt;Drainage!$A$92,VLOOKUP($A50,Drainage!$A$8:$M$91,4,FALSE),
IF($A50&lt;Nipples!$A$82,VLOOKUP($A50,Nipples!$A$9:$Q$81,4,FALSE),
IF($A50&lt;Manifold!$A$33,VLOOKUP($A50,Manifold!$A$9:$M$32,4,FALSE),
IF($A50&lt;FlexibleRepairCouplings!$A$13,VLOOKUP($A50,FlexibleRepairCouplings!$A$10:$M$12,4,FALSE),
IF($A50&lt;DuraFix!$A$15,VLOOKUP($A50,DuraFix!$A$9:$M$14,4,FALSE),
IF($A50&lt;'Compression Fittings'!$A$16,VLOOKUP($A50,'Compression Fittings'!$A$8:$M$15,4,FALSE),
IF($A50&lt;'Hose Fittings'!$A$30,VLOOKUP($A50,'Hose Fittings'!$A$8:$M$29,4,FALSE),
IF($A50&lt;'Swing Joints'!$A$496,VLOOKUP($A50,'Swing Joints'!$A$9:$M$495,4,FALSE),
IF($A50&lt;'Swing Joints Components'!$A$135,VLOOKUP($A50,'Swing Joints Components'!$A$9:$M$134,4,FALSE),
IF($A50&lt;Nonstandard!$A$42,VLOOKUP($A50,Nonstandard!$A$31:$J$41,5,FALSE),"")))))))))))))))))))))))))))),"")</f>
        <v/>
      </c>
      <c r="C50" s="420" t="str">
        <f>IFERROR(IF($A50&lt;'DWV PVC'!$A$285,VLOOKUP($A50,'DWV PVC'!$A$8:$M$284,5,FALSE),
IF($A50&lt;'DWV ABS'!$A$117,VLOOKUP($A50,'DWV ABS'!$A$8:$M$116,5,FALSE),
IF($A50&lt;'PVC SCH40'!$A$376,VLOOKUP($A50,'PVC SCH40'!$A$8:$M$375,5,FALSE),
IF($A50&lt;'PVC SCH40 LD'!$A$22,VLOOKUP($A50,'PVC SCH40 LD'!$A$8:$M$21,5,FALSE),
IF($A50&lt;'Pool &amp; SPA Sweep Elbows'!$A$12,VLOOKUP($A50,'Pool &amp; SPA Sweep Elbows'!$A$8:$M$11,5,FALSE),
IF($A50&lt;'Pool &amp; SPA Pipe Extender'!$A$11,VLOOKUP($A50,'Pool &amp; SPA Pipe Extender'!$A$8:$M$10,5,FALSE),
IF($A50&lt;'PVC SCH80'!$A$250,VLOOKUP($A50,'PVC SCH80'!$A$8:$M$249,5,FALSE),
IF($A50&lt;'PVC SCH80 Flange'!$A$49,VLOOKUP($A50,'PVC SCH80 Flange'!$A$8:$M$48,5,FALSE),
IF($A50&lt;'PVC SCH80 LD Flange'!$A$17,VLOOKUP($A50,'PVC SCH80 LD Flange'!$A$8:$M$16,5,FALSE),
IF($A50&lt;CPVC!$A$100,VLOOKUP($A50,CPVC!$A$8:$M$99,5,FALSE),
IF($A50&lt;InsertFittings!$A$237,VLOOKUP($A50,InsertFittings!$A$11:$M$236,5,FALSE),
IF($A50&lt;Valves!$A$132,VLOOKUP($A50,Valves!$A$8:$M$131,5,FALSE),
IF($A50&lt;SDR35SW!$A$124,VLOOKUP($A50,SDR35SW!$A$8:$M$123,5,FALSE),
IF($A50&lt;SDR35G!$A$143,VLOOKUP($A50, SDR35G!$A$8:$M$142,5,FALSE),
IF($A50&lt;SDR26G!$A$61,VLOOKUP($A50,SDR26G!$A$8:$N$60,5,FALSE),
IF($A50&lt;Cements!$A$100,VLOOKUP($A50,Cements!$A$8:$Q$99,5,FALSE),
IF($A50&lt;ValveBox!$A$143,VLOOKUP($A50,ValveBox!$A$10:$O$142,5,FALSE),
IF($A50&lt;'ValveBox Components'!$A$165,VLOOKUP($A50,'ValveBox Components'!$A$10:$O$164,5,FALSE),
IF($A50&lt;Drainage!$A$92,VLOOKUP($A50,Drainage!$A$8:$M$91,5,FALSE),
IF($A50&lt;Nipples!$A$82,VLOOKUP($A50,Nipples!$A$9:$Q$81,5,FALSE),
IF($A50&lt;Manifold!$A$33,VLOOKUP($A50,Manifold!$A$9:$M$32,5,FALSE),
IF($A50&lt;FlexibleRepairCouplings!$A$13,VLOOKUP($A50,FlexibleRepairCouplings!$A$10:$M$12,5,FALSE),
IF($A50&lt;DuraFix!$A$15,VLOOKUP($A50,DuraFix!$A$9:$M$14,5,FALSE),
IF($A50&lt;'Compression Fittings'!$A$16,VLOOKUP($A50,'Compression Fittings'!$A$8:$M$15,5,FALSE),
IF($A50&lt;'Hose Fittings'!$A$30,VLOOKUP($A50,'Hose Fittings'!$A$8:$M$29,5,FALSE),
IF($A50&lt;'Swing Joints'!$A$496,VLOOKUP($A50,'Swing Joints'!$A$9:$M$495,5,FALSE),
IF($A50&lt;'Swing Joints Components'!$A$135,VLOOKUP($A50,'Swing Joints Components'!$A$9:$M$134,5,FALSE),
IF($A50&lt;Nonstandard!$A$42,VLOOKUP($A50,Nonstandard!$A$31:$J$41,6,FALSE),"")))))))))))))))))))))))))))),"")</f>
        <v/>
      </c>
      <c r="D50" s="428" t="str">
        <f>IFERROR(IF($A50&lt;'DWV PVC'!$A$285,VLOOKUP($A50,'DWV PVC'!$A$8:$M$284,6,FALSE),
IF($A50&lt;'DWV ABS'!$A$117,VLOOKUP($A50,'DWV ABS'!$A$8:$M$116,6,FALSE),
IF($A50&lt;'PVC SCH40'!$A$376,VLOOKUP($A50,'PVC SCH40'!$A$8:$M$375,6,FALSE),
IF($A50&lt;'PVC SCH40 LD'!$A$22,VLOOKUP($A50,'PVC SCH40 LD'!$A$8:$M$21,6,FALSE),
IF($A50&lt;'Pool &amp; SPA Sweep Elbows'!$A$12,VLOOKUP($A50,'Pool &amp; SPA Sweep Elbows'!$A$8:$M$11,6,FALSE),
IF($A50&lt;'Pool &amp; SPA Pipe Extender'!$A$11,VLOOKUP($A50,'Pool &amp; SPA Pipe Extender'!$A$8:$M$10,6,FALSE),
IF($A50&lt;'PVC SCH80'!$A$250,VLOOKUP($A50,'PVC SCH80'!$A$8:$M$249,6,FALSE),
IF($A50&lt;'PVC SCH80 Flange'!$A$49,VLOOKUP($A50,'PVC SCH80 Flange'!$A$8:$M$48,6,FALSE),
IF($A50&lt;'PVC SCH80 LD Flange'!$A$17,VLOOKUP($A50,'PVC SCH80 LD Flange'!$A$8:$M$16,6,FALSE),
IF($A50&lt;CPVC!$A$100,VLOOKUP($A50,CPVC!$A$8:$M$99,6,FALSE),
IF($A50&lt;InsertFittings!$A$237,VLOOKUP($A50,InsertFittings!$A$11:$M$236,6,FALSE),
IF($A50&lt;Valves!$A$132,VLOOKUP($A50,Valves!$A$8:$M$131,6,FALSE),
IF($A50&lt;SDR35SW!$A$124,VLOOKUP($A50,SDR35SW!$A$8:$M$123,6,FALSE),
IF($A50&lt;SDR35G!$A$143,VLOOKUP($A50, SDR35G!$A$8:$M$142,6,FALSE),
IF($A50&lt;SDR26G!$A$61,VLOOKUP($A50,SDR26G!$A$8:$N$60,6,FALSE),
IF($A50&lt;Cements!$A$100,VLOOKUP($A50,Cements!$A$8:$Q$99,6,FALSE),
IF($A50&lt;ValveBox!$A$143,VLOOKUP($A50,ValveBox!$A$10:$O$142,6,FALSE),
IF($A50&lt;'ValveBox Components'!$A$165,VLOOKUP($A50,'ValveBox Components'!$A$10:$O$164,6,FALSE),
IF($A50&lt;Drainage!$A$92,VLOOKUP($A50,Drainage!$A$8:$M$91,6,FALSE),
IF($A50&lt;Nipples!$A$82,VLOOKUP($A50,Nipples!$A$9:$Q$81,6,FALSE),
IF($A50&lt;Manifold!$A$33,VLOOKUP($A50,Manifold!$A$9:$M$32,6,FALSE),
IF($A50&lt;FlexibleRepairCouplings!$A$13,VLOOKUP($A50,FlexibleRepairCouplings!$A$10:$M$12,6,FALSE),
IF($A50&lt;DuraFix!$A$15,VLOOKUP($A50,DuraFix!$A$9:$M$14,6,FALSE),
IF($A50&lt;'Compression Fittings'!$A$16,VLOOKUP($A50,'Compression Fittings'!$A$8:$M$15,6,FALSE),
IF($A50&lt;'Hose Fittings'!$A$30,VLOOKUP($A50,'Hose Fittings'!$A$8:$M$29,6,FALSE),
IF($A50&lt;'Swing Joints'!$A$496,VLOOKUP($A50,'Swing Joints'!$A$9:$M$495,6,FALSE),
IF($A50&lt;'Swing Joints Components'!$A$135,VLOOKUP($A50,'Swing Joints Components'!$A$9:$M$134,6,FALSE),
IF($A50&lt;Nonstandard!$A$42,VLOOKUP($A50,Nonstandard!$A$31:$J$41,7,FALSE),"")))))))))))))))))))))))))))),"")</f>
        <v/>
      </c>
      <c r="E50" s="429"/>
      <c r="F50" s="421" t="str">
        <f>IFERROR(IF($A50&lt;'DWV PVC'!$A$285,VLOOKUP($A50,'DWV PVC'!$A$8:$M$284,9,FALSE),
IF($A50&lt;'DWV ABS'!$A$117,VLOOKUP($A50,'DWV ABS'!$A$8:$M$116,9,FALSE),
IF($A50&lt;'PVC SCH40'!$A$376,VLOOKUP($A50,'PVC SCH40'!$A$8:$M$375,9,FALSE),
IF($A50&lt;'PVC SCH40 LD'!$A$22,VLOOKUP($A50,'PVC SCH40 LD'!$A$8:$M$21,9,FALSE),
IF($A50&lt;'Pool &amp; SPA Sweep Elbows'!$A$12,VLOOKUP($A50,'Pool &amp; SPA Sweep Elbows'!$A$8:$M$11,9,FALSE),
IF($A50&lt;'Pool &amp; SPA Pipe Extender'!$A$11,VLOOKUP($A50,'Pool &amp; SPA Pipe Extender'!$A$8:$M$10,9,FALSE),
IF($A50&lt;'PVC SCH80'!$A$250,VLOOKUP($A50,'PVC SCH80'!$A$8:$M$249,9,FALSE),
IF($A50&lt;'PVC SCH80 Flange'!$A$49,VLOOKUP($A50,'PVC SCH80 Flange'!$A$8:$M$48,9,FALSE),
IF($A50&lt;'PVC SCH80 LD Flange'!$A$17,VLOOKUP($A50,'PVC SCH80 LD Flange'!$A$8:$M$16,9,FALSE),
IF($A50&lt;CPVC!$A$100,VLOOKUP($A50,CPVC!$A$8:$M$99,9,FALSE),
IF($A50&lt;InsertFittings!$A$237,VLOOKUP($A50,InsertFittings!$A$11:$M$236,9,FALSE),
IF($A50&lt;Valves!$A$132,VLOOKUP($A50,Valves!$A$8:$M$131,9,FALSE),
IF($A50&lt;SDR35SW!$A$124,VLOOKUP($A50,SDR35SW!$A$8:$M$123,9,FALSE),
IF($A50&lt;SDR35G!$A$143,VLOOKUP($A50, SDR35G!$A$8:$M$142,9,FALSE),
IF($A50&lt;SDR26G!$A$61,VLOOKUP($A50,SDR26G!$A$8:$N$60,10,FALSE),
IF($A50&lt;Cements!$A$100,VLOOKUP($A50,Cements!$A$8:$Q$99,13,FALSE),
IF($A50&lt;ValveBox!$A$143,VLOOKUP($A50,ValveBox!$A$10:$O$142,11,FALSE),
IF($A50&lt;'ValveBox Components'!$A$165,VLOOKUP($A50,'ValveBox Components'!$A$10:$O$164,11,FALSE),
IF($A50&lt;Drainage!$A$92,VLOOKUP($A50,Drainage!$A$8:$M$91,9,FALSE),
IF($A50&lt;Nipples!$A$82,VLOOKUP($A50,Nipples!$A$9:$Q$81,13,FALSE),
IF($A50&lt;Manifold!$A$33,VLOOKUP($A50,Manifold!$A$9:$M$32,9,FALSE),
IF($A50&lt;FlexibleRepairCouplings!$A$13,VLOOKUP($A50,FlexibleRepairCouplings!$A$10:$M$12,9,FALSE),
IF($A50&lt;DuraFix!$A$15,VLOOKUP($A50,DuraFix!$A$9:$M$14,9,FALSE),
IF($A50&lt;'Compression Fittings'!$A$16,VLOOKUP($A50,'Compression Fittings'!$A$8:$M$15,9,FALSE),
IF($A50&lt;'Hose Fittings'!$A$30,VLOOKUP($A50,'Hose Fittings'!$A$8:$M$29,9,FALSE),
IF($A50&lt;'Swing Joints'!$A$496,VLOOKUP($A50,'Swing Joints'!$A$9:$M$495,9,FALSE),
IF($A50&lt;'Swing Joints Components'!$A$135,VLOOKUP($A50,'Swing Joints Components'!$A$9:$M$134,9,FALSE),
IF($A50&lt;Nonstandard!$A$42,VLOOKUP($A50,Nonstandard!$A$31:$J$41,8,FALSE),"")))))))))))))))))))))))))))),"")</f>
        <v/>
      </c>
      <c r="G50" s="422" t="str">
        <f>IFERROR(IF($A50&lt;'DWV PVC'!$A$285,VLOOKUP($A50,'DWV PVC'!$A$8:$M$284,11,FALSE),
IF($A50&lt;'DWV ABS'!$A$117,VLOOKUP($A50,'DWV ABS'!$A$8:$M$116,11,FALSE),
IF($A50&lt;'PVC SCH40'!$A$376,VLOOKUP($A50,'PVC SCH40'!$A$8:$M$375,11,FALSE),
IF($A50&lt;'PVC SCH40 LD'!$A$22,VLOOKUP($A50,'PVC SCH40 LD'!$A$8:$M$21,11,FALSE),
IF($A50&lt;'Pool &amp; SPA Sweep Elbows'!$A$12,VLOOKUP($A50,'Pool &amp; SPA Sweep Elbows'!$A$8:$M$11,11,FALSE),
IF($A50&lt;'Pool &amp; SPA Pipe Extender'!$A$11,VLOOKUP($A50,'Pool &amp; SPA Pipe Extender'!$A$8:$M$10,11,FALSE),
IF($A50&lt;'PVC SCH80'!$A$250,VLOOKUP($A50,'PVC SCH80'!$A$8:$M$249,11,FALSE),
IF($A50&lt;'PVC SCH80 Flange'!$A$49,VLOOKUP($A50,'PVC SCH80 Flange'!$A$8:$M$48,11,FALSE),
IF($A50&lt;'PVC SCH80 LD Flange'!$A$17,VLOOKUP($A50,'PVC SCH80 LD Flange'!$A$8:$M$16,11,FALSE),
IF($A50&lt;CPVC!$A$100,VLOOKUP($A50,CPVC!$A$8:$M$99,11,FALSE),
IF($A50&lt;InsertFittings!$A$237,VLOOKUP($A50,InsertFittings!$A$11:$M$236,11,FALSE),
IF($A50&lt;Valves!$A$132,VLOOKUP($A50,Valves!$A$8:$M$131,11,FALSE),
IF($A50&lt;SDR35SW!$A$124,VLOOKUP($A50,SDR35SW!$A$8:$M$123,11,FALSE),
IF($A50&lt;SDR35G!$A$143,VLOOKUP($A50, SDR35G!$A$8:$M$142,11,FALSE),
IF($A50&lt;SDR26G!$A$61,VLOOKUP($A50,SDR26G!$A$8:$N$60,12,FALSE),
IF($A50&lt;Cements!$A$100,VLOOKUP($A50,Cements!$A$8:$Q$99,15,FALSE),
IF($A50&lt;ValveBox!$A$143,VLOOKUP($A50,ValveBox!$A$10:$O$142,13,FALSE),
IF($A50&lt;'ValveBox Components'!$A$165,VLOOKUP($A50,'ValveBox Components'!$A$10:$O$164,13,FALSE),
IF($A50&lt;Drainage!$A$92,VLOOKUP($A50,Drainage!$A$8:$M$91,11,FALSE),
IF($A50&lt;Nipples!$A$82,VLOOKUP($A50,Nipples!$A$9:$Q$81,15,FALSE),
IF($A50&lt;Manifold!$A$33,VLOOKUP($A50,Manifold!$A$9:$M$32,11,FALSE),
IF($A50&lt;FlexibleRepairCouplings!$A$13,VLOOKUP($A50,FlexibleRepairCouplings!$A$10:$M$12,11,FALSE),
IF($A50&lt;DuraFix!$A$15,VLOOKUP($A50,DuraFix!$A$9:$M$14,11,FALSE),
IF($A50&lt;'Compression Fittings'!$A$16,VLOOKUP($A50,'Compression Fittings'!$A$8:$M$15,11,FALSE),
IF($A50&lt;'Hose Fittings'!$A$30,VLOOKUP($A50,'Hose Fittings'!$A$8:$M$29,11,FALSE),
IF($A50&lt;'Swing Joints'!$A$496,VLOOKUP($A50,'Swing Joints'!$A$9:$M$495,11,FALSE),
IF($A50&lt;'Swing Joints Components'!$A$135,VLOOKUP($A50,'Swing Joints Components'!$A$9:$M$134,11,FALSE),
IF($A50&lt;Nonstandard!$A$42,VLOOKUP($A50,Nonstandard!$A$31:$J$41,3,FALSE),"")))))))))))))))))))))))))))),"")</f>
        <v/>
      </c>
      <c r="H50" s="588" t="str">
        <f>IFERROR(IF($A50&lt;'DWV PVC'!$A$285,VLOOKUP($A50,'DWV PVC'!$A$8:$M$284,7,FALSE),
IF($A50&lt;'DWV ABS'!$A$117,VLOOKUP($A50,'DWV ABS'!$A$8:$M$116,7,FALSE),
IF($A50&lt;'PVC SCH40'!$A$376,VLOOKUP($A50,'PVC SCH40'!$A$8:$M$375,7,FALSE),
IF($A50&lt;'PVC SCH40 LD'!$A$22,VLOOKUP($A50,'PVC SCH40 LD'!$A$8:$M$21,7,FALSE),
IF($A50&lt;'Pool &amp; SPA Sweep Elbows'!$A$12,VLOOKUP($A50,'Pool &amp; SPA Sweep Elbows'!$A$8:$M$11,7,FALSE),
IF($A50&lt;'Pool &amp; SPA Pipe Extender'!$A$11,VLOOKUP($A50,'Pool &amp; SPA Pipe Extender'!$A$8:$M$10,7,FALSE),
IF($A50&lt;'PVC SCH80'!$A$250,VLOOKUP($A50,'PVC SCH80'!$A$8:$M$249,7,FALSE),
IF($A50&lt;'PVC SCH80 Flange'!$A$49,VLOOKUP($A50,'PVC SCH80 Flange'!$A$8:$M$48,7,FALSE),
IF($A50&lt;'PVC SCH80 LD Flange'!$A$17,VLOOKUP($A50,'PVC SCH80 LD Flange'!$A$8:$M$16,7,FALSE),
IF($A50&lt;CPVC!$A$100,VLOOKUP($A50,CPVC!$A$8:$M$99,7,FALSE),
IF($A50&lt;InsertFittings!$A$237,VLOOKUP($A50,InsertFittings!$A$11:$M$236,7,FALSE),
IF($A50&lt;Valves!$A$132,VLOOKUP($A50,Valves!$A$8:$M$131,7,FALSE),
IF($A50&lt;SDR35SW!$A$124,VLOOKUP($A50,SDR35SW!$A$8:$M$123,7,FALSE),
IF($A50&lt;SDR35G!$A$143,VLOOKUP($A50, SDR35G!$A$8:$M$142,7,FALSE),
IF($A50&lt;SDR26G!$A$61,VLOOKUP($A50,SDR26G!$A$8:$N$60,10,FALSE),
IF($A50&lt;Cements!$A$100,VLOOKUP($A50,Cements!$A$8:$Q$99,13,FALSE),
IF($A50&lt;ValveBox!$A$143,VLOOKUP($A50,ValveBox!$A$10:$O$142,11,FALSE),
IF($A50&lt;'ValveBox Components'!$A$165,VLOOKUP($A50,'ValveBox Components'!$A$10:$O$164,11,FALSE),
IF($A50&lt;Drainage!$A$92,VLOOKUP($A50,Drainage!$A$8:$M$91,7,FALSE),
IF($A50&lt;Nipples!$A$82,VLOOKUP($A50,Nipples!$A$9:$Q$81,13,FALSE),
IF($A50&lt;Manifold!$A$33,VLOOKUP($A50,Manifold!$A$9:$M$32,7,FALSE),
IF($A50&lt;FlexibleRepairCouplings!$A$13,VLOOKUP($A50,FlexibleRepairCouplings!$A$10:$M$12,7,FALSE),
IF($A50&lt;DuraFix!$A$15,VLOOKUP($A50,DuraFix!$A$9:$M$14,7,FALSE),
IF($A50&lt;'Compression Fittings'!$A$16,VLOOKUP($A50,'Compression Fittings'!$A$8:$M$15,7,FALSE),
IF($A50&lt;'Hose Fittings'!$A$30,VLOOKUP($A50,'Hose Fittings'!$A$8:$M$29,7,FALSE),
IF($A50&lt;'Swing Joints'!$A$496,VLOOKUP($A50,'Swing Joints'!$A$9:$M$495,7,FALSE),
IF($A50&lt;'Swing Joints Components'!$A$135,VLOOKUP($A50,'Swing Joints Components'!$A$9:$M$134,7,FALSE),
IF($A50&lt;Nonstandard!$A$42,VLOOKUP($A50,Nonstandard!$A$31:$J$41,3,FALSE),"")))))))))))))))))))))))))))),"")</f>
        <v/>
      </c>
      <c r="I50" s="589"/>
      <c r="J50" s="423" t="str">
        <f t="shared" si="1"/>
        <v/>
      </c>
      <c r="K50" s="424" t="str">
        <f>IFERROR(IF($A50&lt;'DWV PVC'!$A$285,VLOOKUP($A50,'DWV PVC'!$A$8:$M$284,10,FALSE),
IF($A50&lt;'DWV ABS'!$A$117,VLOOKUP($A50,'DWV ABS'!$A$8:$M$116,10,FALSE),
IF($A50&lt;'PVC SCH40'!$A$376,VLOOKUP($A50,'PVC SCH40'!$A$8:$M$375,10,FALSE),
IF($A50&lt;'PVC SCH40 LD'!$A$22,VLOOKUP($A50,'PVC SCH40 LD'!$A$8:$M$21,10,FALSE),
IF($A50&lt;'Pool &amp; SPA Sweep Elbows'!$A$12,VLOOKUP($A50,'Pool &amp; SPA Sweep Elbows'!$A$8:$M$11,10,FALSE),
IF($A50&lt;'Pool &amp; SPA Pipe Extender'!$A$11,VLOOKUP($A50,'Pool &amp; SPA Pipe Extender'!$A$8:$M$10,10,FALSE),
IF($A50&lt;'PVC SCH80'!$A$250,VLOOKUP($A50,'PVC SCH80'!$A$8:$M$249,10,FALSE),
IF($A50&lt;'PVC SCH80 Flange'!$A$49,VLOOKUP($A50,'PVC SCH80 Flange'!$A$8:$M$48,10,FALSE),
IF($A50&lt;'PVC SCH80 LD Flange'!$A$17,VLOOKUP($A50,'PVC SCH80 LD Flange'!$A$8:$M$16,10,FALSE),
IF($A50&lt;CPVC!$A$100,VLOOKUP($A50,CPVC!$A$8:$M$99,10,FALSE),
IF($A50&lt;InsertFittings!$A$237,VLOOKUP($A50,InsertFittings!$A$11:$M$236,10,FALSE),
IF($A50&lt;Valves!$A$132,VLOOKUP($A50,Valves!$A$8:$M$131,10,FALSE),
IF($A50&lt;SDR35SW!$A$124,VLOOKUP($A50,SDR35SW!$A$8:$M$123,10,FALSE),
IF($A50&lt;SDR35G!$A$143,VLOOKUP($A50, SDR35G!$A$8:$M$142,10,FALSE),
IF($A50&lt;SDR26G!$A$61,VLOOKUP($A50,SDR26G!$A$8:$N$60,11,FALSE),
IF($A50&lt;Cements!$A$100,VLOOKUP($A50,Cements!$A$8:$Q$99,14,FALSE),
IF($A50&lt;ValveBox!$A$143,VLOOKUP($A50,ValveBox!$A$10:$O$142,12,FALSE),
IF($A50&lt;'ValveBox Components'!$A$165,VLOOKUP($A50,'ValveBox Components'!$A$10:$O$164,12,FALSE),
IF($A50&lt;Drainage!$A$92,VLOOKUP($A50,Drainage!$A$8:$M$91,10,FALSE),
IF($A50&lt;Nipples!$A$82,VLOOKUP($A50,Nipples!$A$9:$Q$81,14,FALSE),
IF($A50&lt;Manifold!$A$33,VLOOKUP($A50,Manifold!$A$9:$M$32,10,FALSE),
IF($A50&lt;FlexibleRepairCouplings!$A$13,VLOOKUP($A50,FlexibleRepairCouplings!$A$10:$M$12,10,FALSE),
IF($A50&lt;DuraFix!$A$15,VLOOKUP($A50,DuraFix!$A$9:$M$14,10,FALSE),
IF($A50&lt;'Compression Fittings'!$A$16,VLOOKUP($A50,'Compression Fittings'!$A$8:$M$15,10,FALSE),
IF($A50&lt;'Hose Fittings'!$A$30,VLOOKUP($A50,'Hose Fittings'!$A$8:$M$29,10,FALSE),
IF($A50&lt;'Swing Joints'!$A$496,VLOOKUP($A50,'Swing Joints'!$A$9:$M$495,10,FALSE),
IF($A50&lt;'Swing Joints Components'!$A$135,VLOOKUP($A50,'Swing Joints Components'!$A$9:$M$134,10,FALSE),
IF($A50&lt;Nonstandard!$A$42,VLOOKUP($A50,Nonstandard!$A$31:$J$41,10,FALSE),"")))))))))))))))))))))))))))),"")</f>
        <v/>
      </c>
      <c r="L50" s="421" t="str">
        <f t="shared" si="0"/>
        <v>-</v>
      </c>
      <c r="M50" s="425"/>
    </row>
    <row r="51" spans="1:13" ht="15.75">
      <c r="A51" s="415">
        <v>19</v>
      </c>
      <c r="B51" s="415" t="str">
        <f>IFERROR(IF($A51&lt;'DWV PVC'!$A$285,VLOOKUP($A51,'DWV PVC'!$A$8:$M$284,4,FALSE),
IF($A51&lt;'DWV ABS'!$A$117,VLOOKUP($A51,'DWV ABS'!$A$8:$M$116,4,FALSE),
IF($A51&lt;'PVC SCH40'!$A$376,VLOOKUP($A51,'PVC SCH40'!$A$8:$M$375,4,FALSE),
IF($A51&lt;'PVC SCH40 LD'!$A$22,VLOOKUP($A51,'PVC SCH40 LD'!$A$8:$M$21,4,FALSE),
IF($A51&lt;'Pool &amp; SPA Sweep Elbows'!$A$12,VLOOKUP($A51,'Pool &amp; SPA Sweep Elbows'!$A$8:$M$11,4,FALSE),
IF($A51&lt;'Pool &amp; SPA Pipe Extender'!$A$11,VLOOKUP($A51,'Pool &amp; SPA Pipe Extender'!$A$8:$M$10,4,FALSE),
IF($A51&lt;'PVC SCH80'!$A$250,VLOOKUP($A51,'PVC SCH80'!$A$8:$M$249,4,FALSE),
IF($A51&lt;'PVC SCH80 Flange'!$A$49,VLOOKUP($A51,'PVC SCH80 Flange'!$A$8:$M$48,4,FALSE),
IF($A51&lt;'PVC SCH80 LD Flange'!$A$17,VLOOKUP($A51,'PVC SCH80 LD Flange'!$A$8:$M$16,4,FALSE),
IF($A51&lt;CPVC!$A$100,VLOOKUP($A51,CPVC!$A$8:$M$99,4,FALSE),
IF($A51&lt;InsertFittings!$A$237,VLOOKUP($A51,InsertFittings!$A$11:$M$236,4,FALSE),
IF($A51&lt;Valves!$A$132,VLOOKUP($A51,Valves!$A$8:$M$131,4,FALSE),
IF($A51&lt;SDR35SW!$A$124,VLOOKUP($A51,SDR35SW!$A$8:$M$123,4,FALSE),
IF($A51&lt;SDR35G!$A$143,VLOOKUP($A51, SDR35G!$A$8:$M$142,4,FALSE),
IF($A51&lt;SDR26G!$A$61,VLOOKUP($A51,SDR26G!$A$8:$N$60,4,FALSE),
IF($A51&lt;Cements!$A$100,VLOOKUP($A51,Cements!$A$8:$Q$99,4,FALSE),
IF($A51&lt;ValveBox!$A$143,VLOOKUP($A51,ValveBox!$A$10:$O$142,4,FALSE),
IF($A51&lt;'ValveBox Components'!$A$165,VLOOKUP($A51,'ValveBox Components'!$A$10:$O$164,4,FALSE),
IF($A51&lt;Drainage!$A$92,VLOOKUP($A51,Drainage!$A$8:$M$91,4,FALSE),
IF($A51&lt;Nipples!$A$82,VLOOKUP($A51,Nipples!$A$9:$Q$81,4,FALSE),
IF($A51&lt;Manifold!$A$33,VLOOKUP($A51,Manifold!$A$9:$M$32,4,FALSE),
IF($A51&lt;FlexibleRepairCouplings!$A$13,VLOOKUP($A51,FlexibleRepairCouplings!$A$10:$M$12,4,FALSE),
IF($A51&lt;DuraFix!$A$15,VLOOKUP($A51,DuraFix!$A$9:$M$14,4,FALSE),
IF($A51&lt;'Compression Fittings'!$A$16,VLOOKUP($A51,'Compression Fittings'!$A$8:$M$15,4,FALSE),
IF($A51&lt;'Hose Fittings'!$A$30,VLOOKUP($A51,'Hose Fittings'!$A$8:$M$29,4,FALSE),
IF($A51&lt;'Swing Joints'!$A$496,VLOOKUP($A51,'Swing Joints'!$A$9:$M$495,4,FALSE),
IF($A51&lt;'Swing Joints Components'!$A$135,VLOOKUP($A51,'Swing Joints Components'!$A$9:$M$134,4,FALSE),
IF($A51&lt;Nonstandard!$A$42,VLOOKUP($A51,Nonstandard!$A$31:$J$41,5,FALSE),"")))))))))))))))))))))))))))),"")</f>
        <v/>
      </c>
      <c r="C51" s="415" t="str">
        <f>IFERROR(IF($A51&lt;'DWV PVC'!$A$285,VLOOKUP($A51,'DWV PVC'!$A$8:$M$284,5,FALSE),
IF($A51&lt;'DWV ABS'!$A$117,VLOOKUP($A51,'DWV ABS'!$A$8:$M$116,5,FALSE),
IF($A51&lt;'PVC SCH40'!$A$376,VLOOKUP($A51,'PVC SCH40'!$A$8:$M$375,5,FALSE),
IF($A51&lt;'PVC SCH40 LD'!$A$22,VLOOKUP($A51,'PVC SCH40 LD'!$A$8:$M$21,5,FALSE),
IF($A51&lt;'Pool &amp; SPA Sweep Elbows'!$A$12,VLOOKUP($A51,'Pool &amp; SPA Sweep Elbows'!$A$8:$M$11,5,FALSE),
IF($A51&lt;'Pool &amp; SPA Pipe Extender'!$A$11,VLOOKUP($A51,'Pool &amp; SPA Pipe Extender'!$A$8:$M$10,5,FALSE),
IF($A51&lt;'PVC SCH80'!$A$250,VLOOKUP($A51,'PVC SCH80'!$A$8:$M$249,5,FALSE),
IF($A51&lt;'PVC SCH80 Flange'!$A$49,VLOOKUP($A51,'PVC SCH80 Flange'!$A$8:$M$48,5,FALSE),
IF($A51&lt;'PVC SCH80 LD Flange'!$A$17,VLOOKUP($A51,'PVC SCH80 LD Flange'!$A$8:$M$16,5,FALSE),
IF($A51&lt;CPVC!$A$100,VLOOKUP($A51,CPVC!$A$8:$M$99,5,FALSE),
IF($A51&lt;InsertFittings!$A$237,VLOOKUP($A51,InsertFittings!$A$11:$M$236,5,FALSE),
IF($A51&lt;Valves!$A$132,VLOOKUP($A51,Valves!$A$8:$M$131,5,FALSE),
IF($A51&lt;SDR35SW!$A$124,VLOOKUP($A51,SDR35SW!$A$8:$M$123,5,FALSE),
IF($A51&lt;SDR35G!$A$143,VLOOKUP($A51, SDR35G!$A$8:$M$142,5,FALSE),
IF($A51&lt;SDR26G!$A$61,VLOOKUP($A51,SDR26G!$A$8:$N$60,5,FALSE),
IF($A51&lt;Cements!$A$100,VLOOKUP($A51,Cements!$A$8:$Q$99,5,FALSE),
IF($A51&lt;ValveBox!$A$143,VLOOKUP($A51,ValveBox!$A$10:$O$142,5,FALSE),
IF($A51&lt;'ValveBox Components'!$A$165,VLOOKUP($A51,'ValveBox Components'!$A$10:$O$164,5,FALSE),
IF($A51&lt;Drainage!$A$92,VLOOKUP($A51,Drainage!$A$8:$M$91,5,FALSE),
IF($A51&lt;Nipples!$A$82,VLOOKUP($A51,Nipples!$A$9:$Q$81,5,FALSE),
IF($A51&lt;Manifold!$A$33,VLOOKUP($A51,Manifold!$A$9:$M$32,5,FALSE),
IF($A51&lt;FlexibleRepairCouplings!$A$13,VLOOKUP($A51,FlexibleRepairCouplings!$A$10:$M$12,5,FALSE),
IF($A51&lt;DuraFix!$A$15,VLOOKUP($A51,DuraFix!$A$9:$M$14,5,FALSE),
IF($A51&lt;'Compression Fittings'!$A$16,VLOOKUP($A51,'Compression Fittings'!$A$8:$M$15,5,FALSE),
IF($A51&lt;'Hose Fittings'!$A$30,VLOOKUP($A51,'Hose Fittings'!$A$8:$M$29,5,FALSE),
IF($A51&lt;'Swing Joints'!$A$496,VLOOKUP($A51,'Swing Joints'!$A$9:$M$495,5,FALSE),
IF($A51&lt;'Swing Joints Components'!$A$135,VLOOKUP($A51,'Swing Joints Components'!$A$9:$M$134,5,FALSE),
IF($A51&lt;Nonstandard!$A$42,VLOOKUP($A51,Nonstandard!$A$31:$J$41,6,FALSE),"")))))))))))))))))))))))))))),"")</f>
        <v/>
      </c>
      <c r="D51" s="426" t="str">
        <f>IFERROR(IF($A51&lt;'DWV PVC'!$A$285,VLOOKUP($A51,'DWV PVC'!$A$8:$M$284,6,FALSE),
IF($A51&lt;'DWV ABS'!$A$117,VLOOKUP($A51,'DWV ABS'!$A$8:$M$116,6,FALSE),
IF($A51&lt;'PVC SCH40'!$A$376,VLOOKUP($A51,'PVC SCH40'!$A$8:$M$375,6,FALSE),
IF($A51&lt;'PVC SCH40 LD'!$A$22,VLOOKUP($A51,'PVC SCH40 LD'!$A$8:$M$21,6,FALSE),
IF($A51&lt;'Pool &amp; SPA Sweep Elbows'!$A$12,VLOOKUP($A51,'Pool &amp; SPA Sweep Elbows'!$A$8:$M$11,6,FALSE),
IF($A51&lt;'Pool &amp; SPA Pipe Extender'!$A$11,VLOOKUP($A51,'Pool &amp; SPA Pipe Extender'!$A$8:$M$10,6,FALSE),
IF($A51&lt;'PVC SCH80'!$A$250,VLOOKUP($A51,'PVC SCH80'!$A$8:$M$249,6,FALSE),
IF($A51&lt;'PVC SCH80 Flange'!$A$49,VLOOKUP($A51,'PVC SCH80 Flange'!$A$8:$M$48,6,FALSE),
IF($A51&lt;'PVC SCH80 LD Flange'!$A$17,VLOOKUP($A51,'PVC SCH80 LD Flange'!$A$8:$M$16,6,FALSE),
IF($A51&lt;CPVC!$A$100,VLOOKUP($A51,CPVC!$A$8:$M$99,6,FALSE),
IF($A51&lt;InsertFittings!$A$237,VLOOKUP($A51,InsertFittings!$A$11:$M$236,6,FALSE),
IF($A51&lt;Valves!$A$132,VLOOKUP($A51,Valves!$A$8:$M$131,6,FALSE),
IF($A51&lt;SDR35SW!$A$124,VLOOKUP($A51,SDR35SW!$A$8:$M$123,6,FALSE),
IF($A51&lt;SDR35G!$A$143,VLOOKUP($A51, SDR35G!$A$8:$M$142,6,FALSE),
IF($A51&lt;SDR26G!$A$61,VLOOKUP($A51,SDR26G!$A$8:$N$60,6,FALSE),
IF($A51&lt;Cements!$A$100,VLOOKUP($A51,Cements!$A$8:$Q$99,6,FALSE),
IF($A51&lt;ValveBox!$A$143,VLOOKUP($A51,ValveBox!$A$10:$O$142,6,FALSE),
IF($A51&lt;'ValveBox Components'!$A$165,VLOOKUP($A51,'ValveBox Components'!$A$10:$O$164,6,FALSE),
IF($A51&lt;Drainage!$A$92,VLOOKUP($A51,Drainage!$A$8:$M$91,6,FALSE),
IF($A51&lt;Nipples!$A$82,VLOOKUP($A51,Nipples!$A$9:$Q$81,6,FALSE),
IF($A51&lt;Manifold!$A$33,VLOOKUP($A51,Manifold!$A$9:$M$32,6,FALSE),
IF($A51&lt;FlexibleRepairCouplings!$A$13,VLOOKUP($A51,FlexibleRepairCouplings!$A$10:$M$12,6,FALSE),
IF($A51&lt;DuraFix!$A$15,VLOOKUP($A51,DuraFix!$A$9:$M$14,6,FALSE),
IF($A51&lt;'Compression Fittings'!$A$16,VLOOKUP($A51,'Compression Fittings'!$A$8:$M$15,6,FALSE),
IF($A51&lt;'Hose Fittings'!$A$30,VLOOKUP($A51,'Hose Fittings'!$A$8:$M$29,6,FALSE),
IF($A51&lt;'Swing Joints'!$A$496,VLOOKUP($A51,'Swing Joints'!$A$9:$M$495,6,FALSE),
IF($A51&lt;'Swing Joints Components'!$A$135,VLOOKUP($A51,'Swing Joints Components'!$A$9:$M$134,6,FALSE),
IF($A51&lt;Nonstandard!$A$42,VLOOKUP($A51,Nonstandard!$A$31:$J$41,7,FALSE),"")))))))))))))))))))))))))))),"")</f>
        <v/>
      </c>
      <c r="E51" s="427"/>
      <c r="F51" s="418" t="str">
        <f>IFERROR(IF($A51&lt;'DWV PVC'!$A$285,VLOOKUP($A51,'DWV PVC'!$A$8:$M$284,9,FALSE),
IF($A51&lt;'DWV ABS'!$A$117,VLOOKUP($A51,'DWV ABS'!$A$8:$M$116,9,FALSE),
IF($A51&lt;'PVC SCH40'!$A$376,VLOOKUP($A51,'PVC SCH40'!$A$8:$M$375,9,FALSE),
IF($A51&lt;'PVC SCH40 LD'!$A$22,VLOOKUP($A51,'PVC SCH40 LD'!$A$8:$M$21,9,FALSE),
IF($A51&lt;'Pool &amp; SPA Sweep Elbows'!$A$12,VLOOKUP($A51,'Pool &amp; SPA Sweep Elbows'!$A$8:$M$11,9,FALSE),
IF($A51&lt;'Pool &amp; SPA Pipe Extender'!$A$11,VLOOKUP($A51,'Pool &amp; SPA Pipe Extender'!$A$8:$M$10,9,FALSE),
IF($A51&lt;'PVC SCH80'!$A$250,VLOOKUP($A51,'PVC SCH80'!$A$8:$M$249,9,FALSE),
IF($A51&lt;'PVC SCH80 Flange'!$A$49,VLOOKUP($A51,'PVC SCH80 Flange'!$A$8:$M$48,9,FALSE),
IF($A51&lt;'PVC SCH80 LD Flange'!$A$17,VLOOKUP($A51,'PVC SCH80 LD Flange'!$A$8:$M$16,9,FALSE),
IF($A51&lt;CPVC!$A$100,VLOOKUP($A51,CPVC!$A$8:$M$99,9,FALSE),
IF($A51&lt;InsertFittings!$A$237,VLOOKUP($A51,InsertFittings!$A$11:$M$236,9,FALSE),
IF($A51&lt;Valves!$A$132,VLOOKUP($A51,Valves!$A$8:$M$131,9,FALSE),
IF($A51&lt;SDR35SW!$A$124,VLOOKUP($A51,SDR35SW!$A$8:$M$123,9,FALSE),
IF($A51&lt;SDR35G!$A$143,VLOOKUP($A51, SDR35G!$A$8:$M$142,9,FALSE),
IF($A51&lt;SDR26G!$A$61,VLOOKUP($A51,SDR26G!$A$8:$N$60,10,FALSE),
IF($A51&lt;Cements!$A$100,VLOOKUP($A51,Cements!$A$8:$Q$99,13,FALSE),
IF($A51&lt;ValveBox!$A$143,VLOOKUP($A51,ValveBox!$A$10:$O$142,11,FALSE),
IF($A51&lt;'ValveBox Components'!$A$165,VLOOKUP($A51,'ValveBox Components'!$A$10:$O$164,11,FALSE),
IF($A51&lt;Drainage!$A$92,VLOOKUP($A51,Drainage!$A$8:$M$91,9,FALSE),
IF($A51&lt;Nipples!$A$82,VLOOKUP($A51,Nipples!$A$9:$Q$81,13,FALSE),
IF($A51&lt;Manifold!$A$33,VLOOKUP($A51,Manifold!$A$9:$M$32,9,FALSE),
IF($A51&lt;FlexibleRepairCouplings!$A$13,VLOOKUP($A51,FlexibleRepairCouplings!$A$10:$M$12,9,FALSE),
IF($A51&lt;DuraFix!$A$15,VLOOKUP($A51,DuraFix!$A$9:$M$14,9,FALSE),
IF($A51&lt;'Compression Fittings'!$A$16,VLOOKUP($A51,'Compression Fittings'!$A$8:$M$15,9,FALSE),
IF($A51&lt;'Hose Fittings'!$A$30,VLOOKUP($A51,'Hose Fittings'!$A$8:$M$29,9,FALSE),
IF($A51&lt;'Swing Joints'!$A$496,VLOOKUP($A51,'Swing Joints'!$A$9:$M$495,9,FALSE),
IF($A51&lt;'Swing Joints Components'!$A$135,VLOOKUP($A51,'Swing Joints Components'!$A$9:$M$134,9,FALSE),
IF($A51&lt;Nonstandard!$A$42,VLOOKUP($A51,Nonstandard!$A$31:$J$41,8,FALSE),"")))))))))))))))))))))))))))),"")</f>
        <v/>
      </c>
      <c r="G51" s="416" t="str">
        <f>IFERROR(IF($A51&lt;'DWV PVC'!$A$285,VLOOKUP($A51,'DWV PVC'!$A$8:$M$284,11,FALSE),
IF($A51&lt;'DWV ABS'!$A$117,VLOOKUP($A51,'DWV ABS'!$A$8:$M$116,11,FALSE),
IF($A51&lt;'PVC SCH40'!$A$376,VLOOKUP($A51,'PVC SCH40'!$A$8:$M$375,11,FALSE),
IF($A51&lt;'PVC SCH40 LD'!$A$22,VLOOKUP($A51,'PVC SCH40 LD'!$A$8:$M$21,11,FALSE),
IF($A51&lt;'Pool &amp; SPA Sweep Elbows'!$A$12,VLOOKUP($A51,'Pool &amp; SPA Sweep Elbows'!$A$8:$M$11,11,FALSE),
IF($A51&lt;'Pool &amp; SPA Pipe Extender'!$A$11,VLOOKUP($A51,'Pool &amp; SPA Pipe Extender'!$A$8:$M$10,11,FALSE),
IF($A51&lt;'PVC SCH80'!$A$250,VLOOKUP($A51,'PVC SCH80'!$A$8:$M$249,11,FALSE),
IF($A51&lt;'PVC SCH80 Flange'!$A$49,VLOOKUP($A51,'PVC SCH80 Flange'!$A$8:$M$48,11,FALSE),
IF($A51&lt;'PVC SCH80 LD Flange'!$A$17,VLOOKUP($A51,'PVC SCH80 LD Flange'!$A$8:$M$16,11,FALSE),
IF($A51&lt;CPVC!$A$100,VLOOKUP($A51,CPVC!$A$8:$M$99,11,FALSE),
IF($A51&lt;InsertFittings!$A$237,VLOOKUP($A51,InsertFittings!$A$11:$M$236,11,FALSE),
IF($A51&lt;Valves!$A$132,VLOOKUP($A51,Valves!$A$8:$M$131,11,FALSE),
IF($A51&lt;SDR35SW!$A$124,VLOOKUP($A51,SDR35SW!$A$8:$M$123,11,FALSE),
IF($A51&lt;SDR35G!$A$143,VLOOKUP($A51, SDR35G!$A$8:$M$142,11,FALSE),
IF($A51&lt;SDR26G!$A$61,VLOOKUP($A51,SDR26G!$A$8:$N$60,12,FALSE),
IF($A51&lt;Cements!$A$100,VLOOKUP($A51,Cements!$A$8:$Q$99,15,FALSE),
IF($A51&lt;ValveBox!$A$143,VLOOKUP($A51,ValveBox!$A$10:$O$142,13,FALSE),
IF($A51&lt;'ValveBox Components'!$A$165,VLOOKUP($A51,'ValveBox Components'!$A$10:$O$164,13,FALSE),
IF($A51&lt;Drainage!$A$92,VLOOKUP($A51,Drainage!$A$8:$M$91,11,FALSE),
IF($A51&lt;Nipples!$A$82,VLOOKUP($A51,Nipples!$A$9:$Q$81,15,FALSE),
IF($A51&lt;Manifold!$A$33,VLOOKUP($A51,Manifold!$A$9:$M$32,11,FALSE),
IF($A51&lt;FlexibleRepairCouplings!$A$13,VLOOKUP($A51,FlexibleRepairCouplings!$A$10:$M$12,11,FALSE),
IF($A51&lt;DuraFix!$A$15,VLOOKUP($A51,DuraFix!$A$9:$M$14,11,FALSE),
IF($A51&lt;'Compression Fittings'!$A$16,VLOOKUP($A51,'Compression Fittings'!$A$8:$M$15,11,FALSE),
IF($A51&lt;'Hose Fittings'!$A$30,VLOOKUP($A51,'Hose Fittings'!$A$8:$M$29,11,FALSE),
IF($A51&lt;'Swing Joints'!$A$496,VLOOKUP($A51,'Swing Joints'!$A$9:$M$495,11,FALSE),
IF($A51&lt;'Swing Joints Components'!$A$135,VLOOKUP($A51,'Swing Joints Components'!$A$9:$M$134,11,FALSE),
IF($A51&lt;Nonstandard!$A$42,VLOOKUP($A51,Nonstandard!$A$31:$J$41,3,FALSE),"")))))))))))))))))))))))))))),"")</f>
        <v/>
      </c>
      <c r="H51" s="586" t="str">
        <f>IFERROR(IF($A51&lt;'DWV PVC'!$A$285,VLOOKUP($A51,'DWV PVC'!$A$8:$M$284,7,FALSE),
IF($A51&lt;'DWV ABS'!$A$117,VLOOKUP($A51,'DWV ABS'!$A$8:$M$116,7,FALSE),
IF($A51&lt;'PVC SCH40'!$A$376,VLOOKUP($A51,'PVC SCH40'!$A$8:$M$375,7,FALSE),
IF($A51&lt;'PVC SCH40 LD'!$A$22,VLOOKUP($A51,'PVC SCH40 LD'!$A$8:$M$21,7,FALSE),
IF($A51&lt;'Pool &amp; SPA Sweep Elbows'!$A$12,VLOOKUP($A51,'Pool &amp; SPA Sweep Elbows'!$A$8:$M$11,7,FALSE),
IF($A51&lt;'Pool &amp; SPA Pipe Extender'!$A$11,VLOOKUP($A51,'Pool &amp; SPA Pipe Extender'!$A$8:$M$10,7,FALSE),
IF($A51&lt;'PVC SCH80'!$A$250,VLOOKUP($A51,'PVC SCH80'!$A$8:$M$249,7,FALSE),
IF($A51&lt;'PVC SCH80 Flange'!$A$49,VLOOKUP($A51,'PVC SCH80 Flange'!$A$8:$M$48,7,FALSE),
IF($A51&lt;'PVC SCH80 LD Flange'!$A$17,VLOOKUP($A51,'PVC SCH80 LD Flange'!$A$8:$M$16,7,FALSE),
IF($A51&lt;CPVC!$A$100,VLOOKUP($A51,CPVC!$A$8:$M$99,7,FALSE),
IF($A51&lt;InsertFittings!$A$237,VLOOKUP($A51,InsertFittings!$A$11:$M$236,7,FALSE),
IF($A51&lt;Valves!$A$132,VLOOKUP($A51,Valves!$A$8:$M$131,7,FALSE),
IF($A51&lt;SDR35SW!$A$124,VLOOKUP($A51,SDR35SW!$A$8:$M$123,7,FALSE),
IF($A51&lt;SDR35G!$A$143,VLOOKUP($A51, SDR35G!$A$8:$M$142,7,FALSE),
IF($A51&lt;SDR26G!$A$61,VLOOKUP($A51,SDR26G!$A$8:$N$60,10,FALSE),
IF($A51&lt;Cements!$A$100,VLOOKUP($A51,Cements!$A$8:$Q$99,13,FALSE),
IF($A51&lt;ValveBox!$A$143,VLOOKUP($A51,ValveBox!$A$10:$O$142,11,FALSE),
IF($A51&lt;'ValveBox Components'!$A$165,VLOOKUP($A51,'ValveBox Components'!$A$10:$O$164,11,FALSE),
IF($A51&lt;Drainage!$A$92,VLOOKUP($A51,Drainage!$A$8:$M$91,7,FALSE),
IF($A51&lt;Nipples!$A$82,VLOOKUP($A51,Nipples!$A$9:$Q$81,13,FALSE),
IF($A51&lt;Manifold!$A$33,VLOOKUP($A51,Manifold!$A$9:$M$32,7,FALSE),
IF($A51&lt;FlexibleRepairCouplings!$A$13,VLOOKUP($A51,FlexibleRepairCouplings!$A$10:$M$12,7,FALSE),
IF($A51&lt;DuraFix!$A$15,VLOOKUP($A51,DuraFix!$A$9:$M$14,7,FALSE),
IF($A51&lt;'Compression Fittings'!$A$16,VLOOKUP($A51,'Compression Fittings'!$A$8:$M$15,7,FALSE),
IF($A51&lt;'Hose Fittings'!$A$30,VLOOKUP($A51,'Hose Fittings'!$A$8:$M$29,7,FALSE),
IF($A51&lt;'Swing Joints'!$A$496,VLOOKUP($A51,'Swing Joints'!$A$9:$M$495,7,FALSE),
IF($A51&lt;'Swing Joints Components'!$A$135,VLOOKUP($A51,'Swing Joints Components'!$A$9:$M$134,7,FALSE),
IF($A51&lt;Nonstandard!$A$42,VLOOKUP($A51,Nonstandard!$A$31:$J$41,3,FALSE),"")))))))))))))))))))))))))))),"")</f>
        <v/>
      </c>
      <c r="I51" s="587"/>
      <c r="J51" s="383" t="str">
        <f t="shared" si="1"/>
        <v/>
      </c>
      <c r="K51" s="417" t="str">
        <f>IFERROR(IF($A51&lt;'DWV PVC'!$A$285,VLOOKUP($A51,'DWV PVC'!$A$8:$M$284,10,FALSE),
IF($A51&lt;'DWV ABS'!$A$117,VLOOKUP($A51,'DWV ABS'!$A$8:$M$116,10,FALSE),
IF($A51&lt;'PVC SCH40'!$A$376,VLOOKUP($A51,'PVC SCH40'!$A$8:$M$375,10,FALSE),
IF($A51&lt;'PVC SCH40 LD'!$A$22,VLOOKUP($A51,'PVC SCH40 LD'!$A$8:$M$21,10,FALSE),
IF($A51&lt;'Pool &amp; SPA Sweep Elbows'!$A$12,VLOOKUP($A51,'Pool &amp; SPA Sweep Elbows'!$A$8:$M$11,10,FALSE),
IF($A51&lt;'Pool &amp; SPA Pipe Extender'!$A$11,VLOOKUP($A51,'Pool &amp; SPA Pipe Extender'!$A$8:$M$10,10,FALSE),
IF($A51&lt;'PVC SCH80'!$A$250,VLOOKUP($A51,'PVC SCH80'!$A$8:$M$249,10,FALSE),
IF($A51&lt;'PVC SCH80 Flange'!$A$49,VLOOKUP($A51,'PVC SCH80 Flange'!$A$8:$M$48,10,FALSE),
IF($A51&lt;'PVC SCH80 LD Flange'!$A$17,VLOOKUP($A51,'PVC SCH80 LD Flange'!$A$8:$M$16,10,FALSE),
IF($A51&lt;CPVC!$A$100,VLOOKUP($A51,CPVC!$A$8:$M$99,10,FALSE),
IF($A51&lt;InsertFittings!$A$237,VLOOKUP($A51,InsertFittings!$A$11:$M$236,10,FALSE),
IF($A51&lt;Valves!$A$132,VLOOKUP($A51,Valves!$A$8:$M$131,10,FALSE),
IF($A51&lt;SDR35SW!$A$124,VLOOKUP($A51,SDR35SW!$A$8:$M$123,10,FALSE),
IF($A51&lt;SDR35G!$A$143,VLOOKUP($A51, SDR35G!$A$8:$M$142,10,FALSE),
IF($A51&lt;SDR26G!$A$61,VLOOKUP($A51,SDR26G!$A$8:$N$60,11,FALSE),
IF($A51&lt;Cements!$A$100,VLOOKUP($A51,Cements!$A$8:$Q$99,14,FALSE),
IF($A51&lt;ValveBox!$A$143,VLOOKUP($A51,ValveBox!$A$10:$O$142,12,FALSE),
IF($A51&lt;'ValveBox Components'!$A$165,VLOOKUP($A51,'ValveBox Components'!$A$10:$O$164,12,FALSE),
IF($A51&lt;Drainage!$A$92,VLOOKUP($A51,Drainage!$A$8:$M$91,10,FALSE),
IF($A51&lt;Nipples!$A$82,VLOOKUP($A51,Nipples!$A$9:$Q$81,14,FALSE),
IF($A51&lt;Manifold!$A$33,VLOOKUP($A51,Manifold!$A$9:$M$32,10,FALSE),
IF($A51&lt;FlexibleRepairCouplings!$A$13,VLOOKUP($A51,FlexibleRepairCouplings!$A$10:$M$12,10,FALSE),
IF($A51&lt;DuraFix!$A$15,VLOOKUP($A51,DuraFix!$A$9:$M$14,10,FALSE),
IF($A51&lt;'Compression Fittings'!$A$16,VLOOKUP($A51,'Compression Fittings'!$A$8:$M$15,10,FALSE),
IF($A51&lt;'Hose Fittings'!$A$30,VLOOKUP($A51,'Hose Fittings'!$A$8:$M$29,10,FALSE),
IF($A51&lt;'Swing Joints'!$A$496,VLOOKUP($A51,'Swing Joints'!$A$9:$M$495,10,FALSE),
IF($A51&lt;'Swing Joints Components'!$A$135,VLOOKUP($A51,'Swing Joints Components'!$A$9:$M$134,10,FALSE),
IF($A51&lt;Nonstandard!$A$42,VLOOKUP($A51,Nonstandard!$A$31:$J$41,10,FALSE),"")))))))))))))))))))))))))))),"")</f>
        <v/>
      </c>
      <c r="L51" s="418" t="str">
        <f t="shared" si="0"/>
        <v>-</v>
      </c>
      <c r="M51" s="419"/>
    </row>
    <row r="52" spans="1:13" ht="15.75">
      <c r="A52" s="420">
        <v>20</v>
      </c>
      <c r="B52" s="420" t="str">
        <f>IFERROR(IF($A52&lt;'DWV PVC'!$A$285,VLOOKUP($A52,'DWV PVC'!$A$8:$M$284,4,FALSE),
IF($A52&lt;'DWV ABS'!$A$117,VLOOKUP($A52,'DWV ABS'!$A$8:$M$116,4,FALSE),
IF($A52&lt;'PVC SCH40'!$A$376,VLOOKUP($A52,'PVC SCH40'!$A$8:$M$375,4,FALSE),
IF($A52&lt;'PVC SCH40 LD'!$A$22,VLOOKUP($A52,'PVC SCH40 LD'!$A$8:$M$21,4,FALSE),
IF($A52&lt;'Pool &amp; SPA Sweep Elbows'!$A$12,VLOOKUP($A52,'Pool &amp; SPA Sweep Elbows'!$A$8:$M$11,4,FALSE),
IF($A52&lt;'Pool &amp; SPA Pipe Extender'!$A$11,VLOOKUP($A52,'Pool &amp; SPA Pipe Extender'!$A$8:$M$10,4,FALSE),
IF($A52&lt;'PVC SCH80'!$A$250,VLOOKUP($A52,'PVC SCH80'!$A$8:$M$249,4,FALSE),
IF($A52&lt;'PVC SCH80 Flange'!$A$49,VLOOKUP($A52,'PVC SCH80 Flange'!$A$8:$M$48,4,FALSE),
IF($A52&lt;'PVC SCH80 LD Flange'!$A$17,VLOOKUP($A52,'PVC SCH80 LD Flange'!$A$8:$M$16,4,FALSE),
IF($A52&lt;CPVC!$A$100,VLOOKUP($A52,CPVC!$A$8:$M$99,4,FALSE),
IF($A52&lt;InsertFittings!$A$237,VLOOKUP($A52,InsertFittings!$A$11:$M$236,4,FALSE),
IF($A52&lt;Valves!$A$132,VLOOKUP($A52,Valves!$A$8:$M$131,4,FALSE),
IF($A52&lt;SDR35SW!$A$124,VLOOKUP($A52,SDR35SW!$A$8:$M$123,4,FALSE),
IF($A52&lt;SDR35G!$A$143,VLOOKUP($A52, SDR35G!$A$8:$M$142,4,FALSE),
IF($A52&lt;SDR26G!$A$61,VLOOKUP($A52,SDR26G!$A$8:$N$60,4,FALSE),
IF($A52&lt;Cements!$A$100,VLOOKUP($A52,Cements!$A$8:$Q$99,4,FALSE),
IF($A52&lt;ValveBox!$A$143,VLOOKUP($A52,ValveBox!$A$10:$O$142,4,FALSE),
IF($A52&lt;'ValveBox Components'!$A$165,VLOOKUP($A52,'ValveBox Components'!$A$10:$O$164,4,FALSE),
IF($A52&lt;Drainage!$A$92,VLOOKUP($A52,Drainage!$A$8:$M$91,4,FALSE),
IF($A52&lt;Nipples!$A$82,VLOOKUP($A52,Nipples!$A$9:$Q$81,4,FALSE),
IF($A52&lt;Manifold!$A$33,VLOOKUP($A52,Manifold!$A$9:$M$32,4,FALSE),
IF($A52&lt;FlexibleRepairCouplings!$A$13,VLOOKUP($A52,FlexibleRepairCouplings!$A$10:$M$12,4,FALSE),
IF($A52&lt;DuraFix!$A$15,VLOOKUP($A52,DuraFix!$A$9:$M$14,4,FALSE),
IF($A52&lt;'Compression Fittings'!$A$16,VLOOKUP($A52,'Compression Fittings'!$A$8:$M$15,4,FALSE),
IF($A52&lt;'Hose Fittings'!$A$30,VLOOKUP($A52,'Hose Fittings'!$A$8:$M$29,4,FALSE),
IF($A52&lt;'Swing Joints'!$A$496,VLOOKUP($A52,'Swing Joints'!$A$9:$M$495,4,FALSE),
IF($A52&lt;'Swing Joints Components'!$A$135,VLOOKUP($A52,'Swing Joints Components'!$A$9:$M$134,4,FALSE),
IF($A52&lt;Nonstandard!$A$42,VLOOKUP($A52,Nonstandard!$A$31:$J$41,5,FALSE),"")))))))))))))))))))))))))))),"")</f>
        <v/>
      </c>
      <c r="C52" s="420" t="str">
        <f>IFERROR(IF($A52&lt;'DWV PVC'!$A$285,VLOOKUP($A52,'DWV PVC'!$A$8:$M$284,5,FALSE),
IF($A52&lt;'DWV ABS'!$A$117,VLOOKUP($A52,'DWV ABS'!$A$8:$M$116,5,FALSE),
IF($A52&lt;'PVC SCH40'!$A$376,VLOOKUP($A52,'PVC SCH40'!$A$8:$M$375,5,FALSE),
IF($A52&lt;'PVC SCH40 LD'!$A$22,VLOOKUP($A52,'PVC SCH40 LD'!$A$8:$M$21,5,FALSE),
IF($A52&lt;'Pool &amp; SPA Sweep Elbows'!$A$12,VLOOKUP($A52,'Pool &amp; SPA Sweep Elbows'!$A$8:$M$11,5,FALSE),
IF($A52&lt;'Pool &amp; SPA Pipe Extender'!$A$11,VLOOKUP($A52,'Pool &amp; SPA Pipe Extender'!$A$8:$M$10,5,FALSE),
IF($A52&lt;'PVC SCH80'!$A$250,VLOOKUP($A52,'PVC SCH80'!$A$8:$M$249,5,FALSE),
IF($A52&lt;'PVC SCH80 Flange'!$A$49,VLOOKUP($A52,'PVC SCH80 Flange'!$A$8:$M$48,5,FALSE),
IF($A52&lt;'PVC SCH80 LD Flange'!$A$17,VLOOKUP($A52,'PVC SCH80 LD Flange'!$A$8:$M$16,5,FALSE),
IF($A52&lt;CPVC!$A$100,VLOOKUP($A52,CPVC!$A$8:$M$99,5,FALSE),
IF($A52&lt;InsertFittings!$A$237,VLOOKUP($A52,InsertFittings!$A$11:$M$236,5,FALSE),
IF($A52&lt;Valves!$A$132,VLOOKUP($A52,Valves!$A$8:$M$131,5,FALSE),
IF($A52&lt;SDR35SW!$A$124,VLOOKUP($A52,SDR35SW!$A$8:$M$123,5,FALSE),
IF($A52&lt;SDR35G!$A$143,VLOOKUP($A52, SDR35G!$A$8:$M$142,5,FALSE),
IF($A52&lt;SDR26G!$A$61,VLOOKUP($A52,SDR26G!$A$8:$N$60,5,FALSE),
IF($A52&lt;Cements!$A$100,VLOOKUP($A52,Cements!$A$8:$Q$99,5,FALSE),
IF($A52&lt;ValveBox!$A$143,VLOOKUP($A52,ValveBox!$A$10:$O$142,5,FALSE),
IF($A52&lt;'ValveBox Components'!$A$165,VLOOKUP($A52,'ValveBox Components'!$A$10:$O$164,5,FALSE),
IF($A52&lt;Drainage!$A$92,VLOOKUP($A52,Drainage!$A$8:$M$91,5,FALSE),
IF($A52&lt;Nipples!$A$82,VLOOKUP($A52,Nipples!$A$9:$Q$81,5,FALSE),
IF($A52&lt;Manifold!$A$33,VLOOKUP($A52,Manifold!$A$9:$M$32,5,FALSE),
IF($A52&lt;FlexibleRepairCouplings!$A$13,VLOOKUP($A52,FlexibleRepairCouplings!$A$10:$M$12,5,FALSE),
IF($A52&lt;DuraFix!$A$15,VLOOKUP($A52,DuraFix!$A$9:$M$14,5,FALSE),
IF($A52&lt;'Compression Fittings'!$A$16,VLOOKUP($A52,'Compression Fittings'!$A$8:$M$15,5,FALSE),
IF($A52&lt;'Hose Fittings'!$A$30,VLOOKUP($A52,'Hose Fittings'!$A$8:$M$29,5,FALSE),
IF($A52&lt;'Swing Joints'!$A$496,VLOOKUP($A52,'Swing Joints'!$A$9:$M$495,5,FALSE),
IF($A52&lt;'Swing Joints Components'!$A$135,VLOOKUP($A52,'Swing Joints Components'!$A$9:$M$134,5,FALSE),
IF($A52&lt;Nonstandard!$A$42,VLOOKUP($A52,Nonstandard!$A$31:$J$41,6,FALSE),"")))))))))))))))))))))))))))),"")</f>
        <v/>
      </c>
      <c r="D52" s="428" t="str">
        <f>IFERROR(IF($A52&lt;'DWV PVC'!$A$285,VLOOKUP($A52,'DWV PVC'!$A$8:$M$284,6,FALSE),
IF($A52&lt;'DWV ABS'!$A$117,VLOOKUP($A52,'DWV ABS'!$A$8:$M$116,6,FALSE),
IF($A52&lt;'PVC SCH40'!$A$376,VLOOKUP($A52,'PVC SCH40'!$A$8:$M$375,6,FALSE),
IF($A52&lt;'PVC SCH40 LD'!$A$22,VLOOKUP($A52,'PVC SCH40 LD'!$A$8:$M$21,6,FALSE),
IF($A52&lt;'Pool &amp; SPA Sweep Elbows'!$A$12,VLOOKUP($A52,'Pool &amp; SPA Sweep Elbows'!$A$8:$M$11,6,FALSE),
IF($A52&lt;'Pool &amp; SPA Pipe Extender'!$A$11,VLOOKUP($A52,'Pool &amp; SPA Pipe Extender'!$A$8:$M$10,6,FALSE),
IF($A52&lt;'PVC SCH80'!$A$250,VLOOKUP($A52,'PVC SCH80'!$A$8:$M$249,6,FALSE),
IF($A52&lt;'PVC SCH80 Flange'!$A$49,VLOOKUP($A52,'PVC SCH80 Flange'!$A$8:$M$48,6,FALSE),
IF($A52&lt;'PVC SCH80 LD Flange'!$A$17,VLOOKUP($A52,'PVC SCH80 LD Flange'!$A$8:$M$16,6,FALSE),
IF($A52&lt;CPVC!$A$100,VLOOKUP($A52,CPVC!$A$8:$M$99,6,FALSE),
IF($A52&lt;InsertFittings!$A$237,VLOOKUP($A52,InsertFittings!$A$11:$M$236,6,FALSE),
IF($A52&lt;Valves!$A$132,VLOOKUP($A52,Valves!$A$8:$M$131,6,FALSE),
IF($A52&lt;SDR35SW!$A$124,VLOOKUP($A52,SDR35SW!$A$8:$M$123,6,FALSE),
IF($A52&lt;SDR35G!$A$143,VLOOKUP($A52, SDR35G!$A$8:$M$142,6,FALSE),
IF($A52&lt;SDR26G!$A$61,VLOOKUP($A52,SDR26G!$A$8:$N$60,6,FALSE),
IF($A52&lt;Cements!$A$100,VLOOKUP($A52,Cements!$A$8:$Q$99,6,FALSE),
IF($A52&lt;ValveBox!$A$143,VLOOKUP($A52,ValveBox!$A$10:$O$142,6,FALSE),
IF($A52&lt;'ValveBox Components'!$A$165,VLOOKUP($A52,'ValveBox Components'!$A$10:$O$164,6,FALSE),
IF($A52&lt;Drainage!$A$92,VLOOKUP($A52,Drainage!$A$8:$M$91,6,FALSE),
IF($A52&lt;Nipples!$A$82,VLOOKUP($A52,Nipples!$A$9:$Q$81,6,FALSE),
IF($A52&lt;Manifold!$A$33,VLOOKUP($A52,Manifold!$A$9:$M$32,6,FALSE),
IF($A52&lt;FlexibleRepairCouplings!$A$13,VLOOKUP($A52,FlexibleRepairCouplings!$A$10:$M$12,6,FALSE),
IF($A52&lt;DuraFix!$A$15,VLOOKUP($A52,DuraFix!$A$9:$M$14,6,FALSE),
IF($A52&lt;'Compression Fittings'!$A$16,VLOOKUP($A52,'Compression Fittings'!$A$8:$M$15,6,FALSE),
IF($A52&lt;'Hose Fittings'!$A$30,VLOOKUP($A52,'Hose Fittings'!$A$8:$M$29,6,FALSE),
IF($A52&lt;'Swing Joints'!$A$496,VLOOKUP($A52,'Swing Joints'!$A$9:$M$495,6,FALSE),
IF($A52&lt;'Swing Joints Components'!$A$135,VLOOKUP($A52,'Swing Joints Components'!$A$9:$M$134,6,FALSE),
IF($A52&lt;Nonstandard!$A$42,VLOOKUP($A52,Nonstandard!$A$31:$J$41,7,FALSE),"")))))))))))))))))))))))))))),"")</f>
        <v/>
      </c>
      <c r="E52" s="429"/>
      <c r="F52" s="421" t="str">
        <f>IFERROR(IF($A52&lt;'DWV PVC'!$A$285,VLOOKUP($A52,'DWV PVC'!$A$8:$M$284,9,FALSE),
IF($A52&lt;'DWV ABS'!$A$117,VLOOKUP($A52,'DWV ABS'!$A$8:$M$116,9,FALSE),
IF($A52&lt;'PVC SCH40'!$A$376,VLOOKUP($A52,'PVC SCH40'!$A$8:$M$375,9,FALSE),
IF($A52&lt;'PVC SCH40 LD'!$A$22,VLOOKUP($A52,'PVC SCH40 LD'!$A$8:$M$21,9,FALSE),
IF($A52&lt;'Pool &amp; SPA Sweep Elbows'!$A$12,VLOOKUP($A52,'Pool &amp; SPA Sweep Elbows'!$A$8:$M$11,9,FALSE),
IF($A52&lt;'Pool &amp; SPA Pipe Extender'!$A$11,VLOOKUP($A52,'Pool &amp; SPA Pipe Extender'!$A$8:$M$10,9,FALSE),
IF($A52&lt;'PVC SCH80'!$A$250,VLOOKUP($A52,'PVC SCH80'!$A$8:$M$249,9,FALSE),
IF($A52&lt;'PVC SCH80 Flange'!$A$49,VLOOKUP($A52,'PVC SCH80 Flange'!$A$8:$M$48,9,FALSE),
IF($A52&lt;'PVC SCH80 LD Flange'!$A$17,VLOOKUP($A52,'PVC SCH80 LD Flange'!$A$8:$M$16,9,FALSE),
IF($A52&lt;CPVC!$A$100,VLOOKUP($A52,CPVC!$A$8:$M$99,9,FALSE),
IF($A52&lt;InsertFittings!$A$237,VLOOKUP($A52,InsertFittings!$A$11:$M$236,9,FALSE),
IF($A52&lt;Valves!$A$132,VLOOKUP($A52,Valves!$A$8:$M$131,9,FALSE),
IF($A52&lt;SDR35SW!$A$124,VLOOKUP($A52,SDR35SW!$A$8:$M$123,9,FALSE),
IF($A52&lt;SDR35G!$A$143,VLOOKUP($A52, SDR35G!$A$8:$M$142,9,FALSE),
IF($A52&lt;SDR26G!$A$61,VLOOKUP($A52,SDR26G!$A$8:$N$60,10,FALSE),
IF($A52&lt;Cements!$A$100,VLOOKUP($A52,Cements!$A$8:$Q$99,13,FALSE),
IF($A52&lt;ValveBox!$A$143,VLOOKUP($A52,ValveBox!$A$10:$O$142,11,FALSE),
IF($A52&lt;'ValveBox Components'!$A$165,VLOOKUP($A52,'ValveBox Components'!$A$10:$O$164,11,FALSE),
IF($A52&lt;Drainage!$A$92,VLOOKUP($A52,Drainage!$A$8:$M$91,9,FALSE),
IF($A52&lt;Nipples!$A$82,VLOOKUP($A52,Nipples!$A$9:$Q$81,13,FALSE),
IF($A52&lt;Manifold!$A$33,VLOOKUP($A52,Manifold!$A$9:$M$32,9,FALSE),
IF($A52&lt;FlexibleRepairCouplings!$A$13,VLOOKUP($A52,FlexibleRepairCouplings!$A$10:$M$12,9,FALSE),
IF($A52&lt;DuraFix!$A$15,VLOOKUP($A52,DuraFix!$A$9:$M$14,9,FALSE),
IF($A52&lt;'Compression Fittings'!$A$16,VLOOKUP($A52,'Compression Fittings'!$A$8:$M$15,9,FALSE),
IF($A52&lt;'Hose Fittings'!$A$30,VLOOKUP($A52,'Hose Fittings'!$A$8:$M$29,9,FALSE),
IF($A52&lt;'Swing Joints'!$A$496,VLOOKUP($A52,'Swing Joints'!$A$9:$M$495,9,FALSE),
IF($A52&lt;'Swing Joints Components'!$A$135,VLOOKUP($A52,'Swing Joints Components'!$A$9:$M$134,9,FALSE),
IF($A52&lt;Nonstandard!$A$42,VLOOKUP($A52,Nonstandard!$A$31:$J$41,8,FALSE),"")))))))))))))))))))))))))))),"")</f>
        <v/>
      </c>
      <c r="G52" s="422" t="str">
        <f>IFERROR(IF($A52&lt;'DWV PVC'!$A$285,VLOOKUP($A52,'DWV PVC'!$A$8:$M$284,11,FALSE),
IF($A52&lt;'DWV ABS'!$A$117,VLOOKUP($A52,'DWV ABS'!$A$8:$M$116,11,FALSE),
IF($A52&lt;'PVC SCH40'!$A$376,VLOOKUP($A52,'PVC SCH40'!$A$8:$M$375,11,FALSE),
IF($A52&lt;'PVC SCH40 LD'!$A$22,VLOOKUP($A52,'PVC SCH40 LD'!$A$8:$M$21,11,FALSE),
IF($A52&lt;'Pool &amp; SPA Sweep Elbows'!$A$12,VLOOKUP($A52,'Pool &amp; SPA Sweep Elbows'!$A$8:$M$11,11,FALSE),
IF($A52&lt;'Pool &amp; SPA Pipe Extender'!$A$11,VLOOKUP($A52,'Pool &amp; SPA Pipe Extender'!$A$8:$M$10,11,FALSE),
IF($A52&lt;'PVC SCH80'!$A$250,VLOOKUP($A52,'PVC SCH80'!$A$8:$M$249,11,FALSE),
IF($A52&lt;'PVC SCH80 Flange'!$A$49,VLOOKUP($A52,'PVC SCH80 Flange'!$A$8:$M$48,11,FALSE),
IF($A52&lt;'PVC SCH80 LD Flange'!$A$17,VLOOKUP($A52,'PVC SCH80 LD Flange'!$A$8:$M$16,11,FALSE),
IF($A52&lt;CPVC!$A$100,VLOOKUP($A52,CPVC!$A$8:$M$99,11,FALSE),
IF($A52&lt;InsertFittings!$A$237,VLOOKUP($A52,InsertFittings!$A$11:$M$236,11,FALSE),
IF($A52&lt;Valves!$A$132,VLOOKUP($A52,Valves!$A$8:$M$131,11,FALSE),
IF($A52&lt;SDR35SW!$A$124,VLOOKUP($A52,SDR35SW!$A$8:$M$123,11,FALSE),
IF($A52&lt;SDR35G!$A$143,VLOOKUP($A52, SDR35G!$A$8:$M$142,11,FALSE),
IF($A52&lt;SDR26G!$A$61,VLOOKUP($A52,SDR26G!$A$8:$N$60,12,FALSE),
IF($A52&lt;Cements!$A$100,VLOOKUP($A52,Cements!$A$8:$Q$99,15,FALSE),
IF($A52&lt;ValveBox!$A$143,VLOOKUP($A52,ValveBox!$A$10:$O$142,13,FALSE),
IF($A52&lt;'ValveBox Components'!$A$165,VLOOKUP($A52,'ValveBox Components'!$A$10:$O$164,13,FALSE),
IF($A52&lt;Drainage!$A$92,VLOOKUP($A52,Drainage!$A$8:$M$91,11,FALSE),
IF($A52&lt;Nipples!$A$82,VLOOKUP($A52,Nipples!$A$9:$Q$81,15,FALSE),
IF($A52&lt;Manifold!$A$33,VLOOKUP($A52,Manifold!$A$9:$M$32,11,FALSE),
IF($A52&lt;FlexibleRepairCouplings!$A$13,VLOOKUP($A52,FlexibleRepairCouplings!$A$10:$M$12,11,FALSE),
IF($A52&lt;DuraFix!$A$15,VLOOKUP($A52,DuraFix!$A$9:$M$14,11,FALSE),
IF($A52&lt;'Compression Fittings'!$A$16,VLOOKUP($A52,'Compression Fittings'!$A$8:$M$15,11,FALSE),
IF($A52&lt;'Hose Fittings'!$A$30,VLOOKUP($A52,'Hose Fittings'!$A$8:$M$29,11,FALSE),
IF($A52&lt;'Swing Joints'!$A$496,VLOOKUP($A52,'Swing Joints'!$A$9:$M$495,11,FALSE),
IF($A52&lt;'Swing Joints Components'!$A$135,VLOOKUP($A52,'Swing Joints Components'!$A$9:$M$134,11,FALSE),
IF($A52&lt;Nonstandard!$A$42,VLOOKUP($A52,Nonstandard!$A$31:$J$41,3,FALSE),"")))))))))))))))))))))))))))),"")</f>
        <v/>
      </c>
      <c r="H52" s="588" t="str">
        <f>IFERROR(IF($A52&lt;'DWV PVC'!$A$285,VLOOKUP($A52,'DWV PVC'!$A$8:$M$284,7,FALSE),
IF($A52&lt;'DWV ABS'!$A$117,VLOOKUP($A52,'DWV ABS'!$A$8:$M$116,7,FALSE),
IF($A52&lt;'PVC SCH40'!$A$376,VLOOKUP($A52,'PVC SCH40'!$A$8:$M$375,7,FALSE),
IF($A52&lt;'PVC SCH40 LD'!$A$22,VLOOKUP($A52,'PVC SCH40 LD'!$A$8:$M$21,7,FALSE),
IF($A52&lt;'Pool &amp; SPA Sweep Elbows'!$A$12,VLOOKUP($A52,'Pool &amp; SPA Sweep Elbows'!$A$8:$M$11,7,FALSE),
IF($A52&lt;'Pool &amp; SPA Pipe Extender'!$A$11,VLOOKUP($A52,'Pool &amp; SPA Pipe Extender'!$A$8:$M$10,7,FALSE),
IF($A52&lt;'PVC SCH80'!$A$250,VLOOKUP($A52,'PVC SCH80'!$A$8:$M$249,7,FALSE),
IF($A52&lt;'PVC SCH80 Flange'!$A$49,VLOOKUP($A52,'PVC SCH80 Flange'!$A$8:$M$48,7,FALSE),
IF($A52&lt;'PVC SCH80 LD Flange'!$A$17,VLOOKUP($A52,'PVC SCH80 LD Flange'!$A$8:$M$16,7,FALSE),
IF($A52&lt;CPVC!$A$100,VLOOKUP($A52,CPVC!$A$8:$M$99,7,FALSE),
IF($A52&lt;InsertFittings!$A$237,VLOOKUP($A52,InsertFittings!$A$11:$M$236,7,FALSE),
IF($A52&lt;Valves!$A$132,VLOOKUP($A52,Valves!$A$8:$M$131,7,FALSE),
IF($A52&lt;SDR35SW!$A$124,VLOOKUP($A52,SDR35SW!$A$8:$M$123,7,FALSE),
IF($A52&lt;SDR35G!$A$143,VLOOKUP($A52, SDR35G!$A$8:$M$142,7,FALSE),
IF($A52&lt;SDR26G!$A$61,VLOOKUP($A52,SDR26G!$A$8:$N$60,10,FALSE),
IF($A52&lt;Cements!$A$100,VLOOKUP($A52,Cements!$A$8:$Q$99,13,FALSE),
IF($A52&lt;ValveBox!$A$143,VLOOKUP($A52,ValveBox!$A$10:$O$142,11,FALSE),
IF($A52&lt;'ValveBox Components'!$A$165,VLOOKUP($A52,'ValveBox Components'!$A$10:$O$164,11,FALSE),
IF($A52&lt;Drainage!$A$92,VLOOKUP($A52,Drainage!$A$8:$M$91,7,FALSE),
IF($A52&lt;Nipples!$A$82,VLOOKUP($A52,Nipples!$A$9:$Q$81,13,FALSE),
IF($A52&lt;Manifold!$A$33,VLOOKUP($A52,Manifold!$A$9:$M$32,7,FALSE),
IF($A52&lt;FlexibleRepairCouplings!$A$13,VLOOKUP($A52,FlexibleRepairCouplings!$A$10:$M$12,7,FALSE),
IF($A52&lt;DuraFix!$A$15,VLOOKUP($A52,DuraFix!$A$9:$M$14,7,FALSE),
IF($A52&lt;'Compression Fittings'!$A$16,VLOOKUP($A52,'Compression Fittings'!$A$8:$M$15,7,FALSE),
IF($A52&lt;'Hose Fittings'!$A$30,VLOOKUP($A52,'Hose Fittings'!$A$8:$M$29,7,FALSE),
IF($A52&lt;'Swing Joints'!$A$496,VLOOKUP($A52,'Swing Joints'!$A$9:$M$495,7,FALSE),
IF($A52&lt;'Swing Joints Components'!$A$135,VLOOKUP($A52,'Swing Joints Components'!$A$9:$M$134,7,FALSE),
IF($A52&lt;Nonstandard!$A$42,VLOOKUP($A52,Nonstandard!$A$31:$J$41,3,FALSE),"")))))))))))))))))))))))))))),"")</f>
        <v/>
      </c>
      <c r="I52" s="589"/>
      <c r="J52" s="423" t="str">
        <f t="shared" si="1"/>
        <v/>
      </c>
      <c r="K52" s="424" t="str">
        <f>IFERROR(IF($A52&lt;'DWV PVC'!$A$285,VLOOKUP($A52,'DWV PVC'!$A$8:$M$284,10,FALSE),
IF($A52&lt;'DWV ABS'!$A$117,VLOOKUP($A52,'DWV ABS'!$A$8:$M$116,10,FALSE),
IF($A52&lt;'PVC SCH40'!$A$376,VLOOKUP($A52,'PVC SCH40'!$A$8:$M$375,10,FALSE),
IF($A52&lt;'PVC SCH40 LD'!$A$22,VLOOKUP($A52,'PVC SCH40 LD'!$A$8:$M$21,10,FALSE),
IF($A52&lt;'Pool &amp; SPA Sweep Elbows'!$A$12,VLOOKUP($A52,'Pool &amp; SPA Sweep Elbows'!$A$8:$M$11,10,FALSE),
IF($A52&lt;'Pool &amp; SPA Pipe Extender'!$A$11,VLOOKUP($A52,'Pool &amp; SPA Pipe Extender'!$A$8:$M$10,10,FALSE),
IF($A52&lt;'PVC SCH80'!$A$250,VLOOKUP($A52,'PVC SCH80'!$A$8:$M$249,10,FALSE),
IF($A52&lt;'PVC SCH80 Flange'!$A$49,VLOOKUP($A52,'PVC SCH80 Flange'!$A$8:$M$48,10,FALSE),
IF($A52&lt;'PVC SCH80 LD Flange'!$A$17,VLOOKUP($A52,'PVC SCH80 LD Flange'!$A$8:$M$16,10,FALSE),
IF($A52&lt;CPVC!$A$100,VLOOKUP($A52,CPVC!$A$8:$M$99,10,FALSE),
IF($A52&lt;InsertFittings!$A$237,VLOOKUP($A52,InsertFittings!$A$11:$M$236,10,FALSE),
IF($A52&lt;Valves!$A$132,VLOOKUP($A52,Valves!$A$8:$M$131,10,FALSE),
IF($A52&lt;SDR35SW!$A$124,VLOOKUP($A52,SDR35SW!$A$8:$M$123,10,FALSE),
IF($A52&lt;SDR35G!$A$143,VLOOKUP($A52, SDR35G!$A$8:$M$142,10,FALSE),
IF($A52&lt;SDR26G!$A$61,VLOOKUP($A52,SDR26G!$A$8:$N$60,11,FALSE),
IF($A52&lt;Cements!$A$100,VLOOKUP($A52,Cements!$A$8:$Q$99,14,FALSE),
IF($A52&lt;ValveBox!$A$143,VLOOKUP($A52,ValveBox!$A$10:$O$142,12,FALSE),
IF($A52&lt;'ValveBox Components'!$A$165,VLOOKUP($A52,'ValveBox Components'!$A$10:$O$164,12,FALSE),
IF($A52&lt;Drainage!$A$92,VLOOKUP($A52,Drainage!$A$8:$M$91,10,FALSE),
IF($A52&lt;Nipples!$A$82,VLOOKUP($A52,Nipples!$A$9:$Q$81,14,FALSE),
IF($A52&lt;Manifold!$A$33,VLOOKUP($A52,Manifold!$A$9:$M$32,10,FALSE),
IF($A52&lt;FlexibleRepairCouplings!$A$13,VLOOKUP($A52,FlexibleRepairCouplings!$A$10:$M$12,10,FALSE),
IF($A52&lt;DuraFix!$A$15,VLOOKUP($A52,DuraFix!$A$9:$M$14,10,FALSE),
IF($A52&lt;'Compression Fittings'!$A$16,VLOOKUP($A52,'Compression Fittings'!$A$8:$M$15,10,FALSE),
IF($A52&lt;'Hose Fittings'!$A$30,VLOOKUP($A52,'Hose Fittings'!$A$8:$M$29,10,FALSE),
IF($A52&lt;'Swing Joints'!$A$496,VLOOKUP($A52,'Swing Joints'!$A$9:$M$495,10,FALSE),
IF($A52&lt;'Swing Joints Components'!$A$135,VLOOKUP($A52,'Swing Joints Components'!$A$9:$M$134,10,FALSE),
IF($A52&lt;Nonstandard!$A$42,VLOOKUP($A52,Nonstandard!$A$31:$J$41,10,FALSE),"")))))))))))))))))))))))))))),"")</f>
        <v/>
      </c>
      <c r="L52" s="421" t="str">
        <f t="shared" si="0"/>
        <v>-</v>
      </c>
      <c r="M52" s="425"/>
    </row>
    <row r="53" spans="1:13" ht="15.75">
      <c r="A53" s="415">
        <v>21</v>
      </c>
      <c r="B53" s="415" t="str">
        <f>IFERROR(IF($A53&lt;'DWV PVC'!$A$285,VLOOKUP($A53,'DWV PVC'!$A$8:$M$284,4,FALSE),
IF($A53&lt;'DWV ABS'!$A$117,VLOOKUP($A53,'DWV ABS'!$A$8:$M$116,4,FALSE),
IF($A53&lt;'PVC SCH40'!$A$376,VLOOKUP($A53,'PVC SCH40'!$A$8:$M$375,4,FALSE),
IF($A53&lt;'PVC SCH40 LD'!$A$22,VLOOKUP($A53,'PVC SCH40 LD'!$A$8:$M$21,4,FALSE),
IF($A53&lt;'Pool &amp; SPA Sweep Elbows'!$A$12,VLOOKUP($A53,'Pool &amp; SPA Sweep Elbows'!$A$8:$M$11,4,FALSE),
IF($A53&lt;'Pool &amp; SPA Pipe Extender'!$A$11,VLOOKUP($A53,'Pool &amp; SPA Pipe Extender'!$A$8:$M$10,4,FALSE),
IF($A53&lt;'PVC SCH80'!$A$250,VLOOKUP($A53,'PVC SCH80'!$A$8:$M$249,4,FALSE),
IF($A53&lt;'PVC SCH80 Flange'!$A$49,VLOOKUP($A53,'PVC SCH80 Flange'!$A$8:$M$48,4,FALSE),
IF($A53&lt;'PVC SCH80 LD Flange'!$A$17,VLOOKUP($A53,'PVC SCH80 LD Flange'!$A$8:$M$16,4,FALSE),
IF($A53&lt;CPVC!$A$100,VLOOKUP($A53,CPVC!$A$8:$M$99,4,FALSE),
IF($A53&lt;InsertFittings!$A$237,VLOOKUP($A53,InsertFittings!$A$11:$M$236,4,FALSE),
IF($A53&lt;Valves!$A$132,VLOOKUP($A53,Valves!$A$8:$M$131,4,FALSE),
IF($A53&lt;SDR35SW!$A$124,VLOOKUP($A53,SDR35SW!$A$8:$M$123,4,FALSE),
IF($A53&lt;SDR35G!$A$143,VLOOKUP($A53, SDR35G!$A$8:$M$142,4,FALSE),
IF($A53&lt;SDR26G!$A$61,VLOOKUP($A53,SDR26G!$A$8:$N$60,4,FALSE),
IF($A53&lt;Cements!$A$100,VLOOKUP($A53,Cements!$A$8:$Q$99,4,FALSE),
IF($A53&lt;ValveBox!$A$143,VLOOKUP($A53,ValveBox!$A$10:$O$142,4,FALSE),
IF($A53&lt;'ValveBox Components'!$A$165,VLOOKUP($A53,'ValveBox Components'!$A$10:$O$164,4,FALSE),
IF($A53&lt;Drainage!$A$92,VLOOKUP($A53,Drainage!$A$8:$M$91,4,FALSE),
IF($A53&lt;Nipples!$A$82,VLOOKUP($A53,Nipples!$A$9:$Q$81,4,FALSE),
IF($A53&lt;Manifold!$A$33,VLOOKUP($A53,Manifold!$A$9:$M$32,4,FALSE),
IF($A53&lt;FlexibleRepairCouplings!$A$13,VLOOKUP($A53,FlexibleRepairCouplings!$A$10:$M$12,4,FALSE),
IF($A53&lt;DuraFix!$A$15,VLOOKUP($A53,DuraFix!$A$9:$M$14,4,FALSE),
IF($A53&lt;'Compression Fittings'!$A$16,VLOOKUP($A53,'Compression Fittings'!$A$8:$M$15,4,FALSE),
IF($A53&lt;'Hose Fittings'!$A$30,VLOOKUP($A53,'Hose Fittings'!$A$8:$M$29,4,FALSE),
IF($A53&lt;'Swing Joints'!$A$496,VLOOKUP($A53,'Swing Joints'!$A$9:$M$495,4,FALSE),
IF($A53&lt;'Swing Joints Components'!$A$135,VLOOKUP($A53,'Swing Joints Components'!$A$9:$M$134,4,FALSE),
IF($A53&lt;Nonstandard!$A$42,VLOOKUP($A53,Nonstandard!$A$31:$J$41,5,FALSE),"")))))))))))))))))))))))))))),"")</f>
        <v/>
      </c>
      <c r="C53" s="415" t="str">
        <f>IFERROR(IF($A53&lt;'DWV PVC'!$A$285,VLOOKUP($A53,'DWV PVC'!$A$8:$M$284,5,FALSE),
IF($A53&lt;'DWV ABS'!$A$117,VLOOKUP($A53,'DWV ABS'!$A$8:$M$116,5,FALSE),
IF($A53&lt;'PVC SCH40'!$A$376,VLOOKUP($A53,'PVC SCH40'!$A$8:$M$375,5,FALSE),
IF($A53&lt;'PVC SCH40 LD'!$A$22,VLOOKUP($A53,'PVC SCH40 LD'!$A$8:$M$21,5,FALSE),
IF($A53&lt;'Pool &amp; SPA Sweep Elbows'!$A$12,VLOOKUP($A53,'Pool &amp; SPA Sweep Elbows'!$A$8:$M$11,5,FALSE),
IF($A53&lt;'Pool &amp; SPA Pipe Extender'!$A$11,VLOOKUP($A53,'Pool &amp; SPA Pipe Extender'!$A$8:$M$10,5,FALSE),
IF($A53&lt;'PVC SCH80'!$A$250,VLOOKUP($A53,'PVC SCH80'!$A$8:$M$249,5,FALSE),
IF($A53&lt;'PVC SCH80 Flange'!$A$49,VLOOKUP($A53,'PVC SCH80 Flange'!$A$8:$M$48,5,FALSE),
IF($A53&lt;'PVC SCH80 LD Flange'!$A$17,VLOOKUP($A53,'PVC SCH80 LD Flange'!$A$8:$M$16,5,FALSE),
IF($A53&lt;CPVC!$A$100,VLOOKUP($A53,CPVC!$A$8:$M$99,5,FALSE),
IF($A53&lt;InsertFittings!$A$237,VLOOKUP($A53,InsertFittings!$A$11:$M$236,5,FALSE),
IF($A53&lt;Valves!$A$132,VLOOKUP($A53,Valves!$A$8:$M$131,5,FALSE),
IF($A53&lt;SDR35SW!$A$124,VLOOKUP($A53,SDR35SW!$A$8:$M$123,5,FALSE),
IF($A53&lt;SDR35G!$A$143,VLOOKUP($A53, SDR35G!$A$8:$M$142,5,FALSE),
IF($A53&lt;SDR26G!$A$61,VLOOKUP($A53,SDR26G!$A$8:$N$60,5,FALSE),
IF($A53&lt;Cements!$A$100,VLOOKUP($A53,Cements!$A$8:$Q$99,5,FALSE),
IF($A53&lt;ValveBox!$A$143,VLOOKUP($A53,ValveBox!$A$10:$O$142,5,FALSE),
IF($A53&lt;'ValveBox Components'!$A$165,VLOOKUP($A53,'ValveBox Components'!$A$10:$O$164,5,FALSE),
IF($A53&lt;Drainage!$A$92,VLOOKUP($A53,Drainage!$A$8:$M$91,5,FALSE),
IF($A53&lt;Nipples!$A$82,VLOOKUP($A53,Nipples!$A$9:$Q$81,5,FALSE),
IF($A53&lt;Manifold!$A$33,VLOOKUP($A53,Manifold!$A$9:$M$32,5,FALSE),
IF($A53&lt;FlexibleRepairCouplings!$A$13,VLOOKUP($A53,FlexibleRepairCouplings!$A$10:$M$12,5,FALSE),
IF($A53&lt;DuraFix!$A$15,VLOOKUP($A53,DuraFix!$A$9:$M$14,5,FALSE),
IF($A53&lt;'Compression Fittings'!$A$16,VLOOKUP($A53,'Compression Fittings'!$A$8:$M$15,5,FALSE),
IF($A53&lt;'Hose Fittings'!$A$30,VLOOKUP($A53,'Hose Fittings'!$A$8:$M$29,5,FALSE),
IF($A53&lt;'Swing Joints'!$A$496,VLOOKUP($A53,'Swing Joints'!$A$9:$M$495,5,FALSE),
IF($A53&lt;'Swing Joints Components'!$A$135,VLOOKUP($A53,'Swing Joints Components'!$A$9:$M$134,5,FALSE),
IF($A53&lt;Nonstandard!$A$42,VLOOKUP($A53,Nonstandard!$A$31:$J$41,6,FALSE),"")))))))))))))))))))))))))))),"")</f>
        <v/>
      </c>
      <c r="D53" s="426" t="str">
        <f>IFERROR(IF($A53&lt;'DWV PVC'!$A$285,VLOOKUP($A53,'DWV PVC'!$A$8:$M$284,6,FALSE),
IF($A53&lt;'DWV ABS'!$A$117,VLOOKUP($A53,'DWV ABS'!$A$8:$M$116,6,FALSE),
IF($A53&lt;'PVC SCH40'!$A$376,VLOOKUP($A53,'PVC SCH40'!$A$8:$M$375,6,FALSE),
IF($A53&lt;'PVC SCH40 LD'!$A$22,VLOOKUP($A53,'PVC SCH40 LD'!$A$8:$M$21,6,FALSE),
IF($A53&lt;'Pool &amp; SPA Sweep Elbows'!$A$12,VLOOKUP($A53,'Pool &amp; SPA Sweep Elbows'!$A$8:$M$11,6,FALSE),
IF($A53&lt;'Pool &amp; SPA Pipe Extender'!$A$11,VLOOKUP($A53,'Pool &amp; SPA Pipe Extender'!$A$8:$M$10,6,FALSE),
IF($A53&lt;'PVC SCH80'!$A$250,VLOOKUP($A53,'PVC SCH80'!$A$8:$M$249,6,FALSE),
IF($A53&lt;'PVC SCH80 Flange'!$A$49,VLOOKUP($A53,'PVC SCH80 Flange'!$A$8:$M$48,6,FALSE),
IF($A53&lt;'PVC SCH80 LD Flange'!$A$17,VLOOKUP($A53,'PVC SCH80 LD Flange'!$A$8:$M$16,6,FALSE),
IF($A53&lt;CPVC!$A$100,VLOOKUP($A53,CPVC!$A$8:$M$99,6,FALSE),
IF($A53&lt;InsertFittings!$A$237,VLOOKUP($A53,InsertFittings!$A$11:$M$236,6,FALSE),
IF($A53&lt;Valves!$A$132,VLOOKUP($A53,Valves!$A$8:$M$131,6,FALSE),
IF($A53&lt;SDR35SW!$A$124,VLOOKUP($A53,SDR35SW!$A$8:$M$123,6,FALSE),
IF($A53&lt;SDR35G!$A$143,VLOOKUP($A53, SDR35G!$A$8:$M$142,6,FALSE),
IF($A53&lt;SDR26G!$A$61,VLOOKUP($A53,SDR26G!$A$8:$N$60,6,FALSE),
IF($A53&lt;Cements!$A$100,VLOOKUP($A53,Cements!$A$8:$Q$99,6,FALSE),
IF($A53&lt;ValveBox!$A$143,VLOOKUP($A53,ValveBox!$A$10:$O$142,6,FALSE),
IF($A53&lt;'ValveBox Components'!$A$165,VLOOKUP($A53,'ValveBox Components'!$A$10:$O$164,6,FALSE),
IF($A53&lt;Drainage!$A$92,VLOOKUP($A53,Drainage!$A$8:$M$91,6,FALSE),
IF($A53&lt;Nipples!$A$82,VLOOKUP($A53,Nipples!$A$9:$Q$81,6,FALSE),
IF($A53&lt;Manifold!$A$33,VLOOKUP($A53,Manifold!$A$9:$M$32,6,FALSE),
IF($A53&lt;FlexibleRepairCouplings!$A$13,VLOOKUP($A53,FlexibleRepairCouplings!$A$10:$M$12,6,FALSE),
IF($A53&lt;DuraFix!$A$15,VLOOKUP($A53,DuraFix!$A$9:$M$14,6,FALSE),
IF($A53&lt;'Compression Fittings'!$A$16,VLOOKUP($A53,'Compression Fittings'!$A$8:$M$15,6,FALSE),
IF($A53&lt;'Hose Fittings'!$A$30,VLOOKUP($A53,'Hose Fittings'!$A$8:$M$29,6,FALSE),
IF($A53&lt;'Swing Joints'!$A$496,VLOOKUP($A53,'Swing Joints'!$A$9:$M$495,6,FALSE),
IF($A53&lt;'Swing Joints Components'!$A$135,VLOOKUP($A53,'Swing Joints Components'!$A$9:$M$134,6,FALSE),
IF($A53&lt;Nonstandard!$A$42,VLOOKUP($A53,Nonstandard!$A$31:$J$41,7,FALSE),"")))))))))))))))))))))))))))),"")</f>
        <v/>
      </c>
      <c r="E53" s="427"/>
      <c r="F53" s="418" t="str">
        <f>IFERROR(IF($A53&lt;'DWV PVC'!$A$285,VLOOKUP($A53,'DWV PVC'!$A$8:$M$284,9,FALSE),
IF($A53&lt;'DWV ABS'!$A$117,VLOOKUP($A53,'DWV ABS'!$A$8:$M$116,9,FALSE),
IF($A53&lt;'PVC SCH40'!$A$376,VLOOKUP($A53,'PVC SCH40'!$A$8:$M$375,9,FALSE),
IF($A53&lt;'PVC SCH40 LD'!$A$22,VLOOKUP($A53,'PVC SCH40 LD'!$A$8:$M$21,9,FALSE),
IF($A53&lt;'Pool &amp; SPA Sweep Elbows'!$A$12,VLOOKUP($A53,'Pool &amp; SPA Sweep Elbows'!$A$8:$M$11,9,FALSE),
IF($A53&lt;'Pool &amp; SPA Pipe Extender'!$A$11,VLOOKUP($A53,'Pool &amp; SPA Pipe Extender'!$A$8:$M$10,9,FALSE),
IF($A53&lt;'PVC SCH80'!$A$250,VLOOKUP($A53,'PVC SCH80'!$A$8:$M$249,9,FALSE),
IF($A53&lt;'PVC SCH80 Flange'!$A$49,VLOOKUP($A53,'PVC SCH80 Flange'!$A$8:$M$48,9,FALSE),
IF($A53&lt;'PVC SCH80 LD Flange'!$A$17,VLOOKUP($A53,'PVC SCH80 LD Flange'!$A$8:$M$16,9,FALSE),
IF($A53&lt;CPVC!$A$100,VLOOKUP($A53,CPVC!$A$8:$M$99,9,FALSE),
IF($A53&lt;InsertFittings!$A$237,VLOOKUP($A53,InsertFittings!$A$11:$M$236,9,FALSE),
IF($A53&lt;Valves!$A$132,VLOOKUP($A53,Valves!$A$8:$M$131,9,FALSE),
IF($A53&lt;SDR35SW!$A$124,VLOOKUP($A53,SDR35SW!$A$8:$M$123,9,FALSE),
IF($A53&lt;SDR35G!$A$143,VLOOKUP($A53, SDR35G!$A$8:$M$142,9,FALSE),
IF($A53&lt;SDR26G!$A$61,VLOOKUP($A53,SDR26G!$A$8:$N$60,10,FALSE),
IF($A53&lt;Cements!$A$100,VLOOKUP($A53,Cements!$A$8:$Q$99,13,FALSE),
IF($A53&lt;ValveBox!$A$143,VLOOKUP($A53,ValveBox!$A$10:$O$142,11,FALSE),
IF($A53&lt;'ValveBox Components'!$A$165,VLOOKUP($A53,'ValveBox Components'!$A$10:$O$164,11,FALSE),
IF($A53&lt;Drainage!$A$92,VLOOKUP($A53,Drainage!$A$8:$M$91,9,FALSE),
IF($A53&lt;Nipples!$A$82,VLOOKUP($A53,Nipples!$A$9:$Q$81,13,FALSE),
IF($A53&lt;Manifold!$A$33,VLOOKUP($A53,Manifold!$A$9:$M$32,9,FALSE),
IF($A53&lt;FlexibleRepairCouplings!$A$13,VLOOKUP($A53,FlexibleRepairCouplings!$A$10:$M$12,9,FALSE),
IF($A53&lt;DuraFix!$A$15,VLOOKUP($A53,DuraFix!$A$9:$M$14,9,FALSE),
IF($A53&lt;'Compression Fittings'!$A$16,VLOOKUP($A53,'Compression Fittings'!$A$8:$M$15,9,FALSE),
IF($A53&lt;'Hose Fittings'!$A$30,VLOOKUP($A53,'Hose Fittings'!$A$8:$M$29,9,FALSE),
IF($A53&lt;'Swing Joints'!$A$496,VLOOKUP($A53,'Swing Joints'!$A$9:$M$495,9,FALSE),
IF($A53&lt;'Swing Joints Components'!$A$135,VLOOKUP($A53,'Swing Joints Components'!$A$9:$M$134,9,FALSE),
IF($A53&lt;Nonstandard!$A$42,VLOOKUP($A53,Nonstandard!$A$31:$J$41,8,FALSE),"")))))))))))))))))))))))))))),"")</f>
        <v/>
      </c>
      <c r="G53" s="416" t="str">
        <f>IFERROR(IF($A53&lt;'DWV PVC'!$A$285,VLOOKUP($A53,'DWV PVC'!$A$8:$M$284,11,FALSE),
IF($A53&lt;'DWV ABS'!$A$117,VLOOKUP($A53,'DWV ABS'!$A$8:$M$116,11,FALSE),
IF($A53&lt;'PVC SCH40'!$A$376,VLOOKUP($A53,'PVC SCH40'!$A$8:$M$375,11,FALSE),
IF($A53&lt;'PVC SCH40 LD'!$A$22,VLOOKUP($A53,'PVC SCH40 LD'!$A$8:$M$21,11,FALSE),
IF($A53&lt;'Pool &amp; SPA Sweep Elbows'!$A$12,VLOOKUP($A53,'Pool &amp; SPA Sweep Elbows'!$A$8:$M$11,11,FALSE),
IF($A53&lt;'Pool &amp; SPA Pipe Extender'!$A$11,VLOOKUP($A53,'Pool &amp; SPA Pipe Extender'!$A$8:$M$10,11,FALSE),
IF($A53&lt;'PVC SCH80'!$A$250,VLOOKUP($A53,'PVC SCH80'!$A$8:$M$249,11,FALSE),
IF($A53&lt;'PVC SCH80 Flange'!$A$49,VLOOKUP($A53,'PVC SCH80 Flange'!$A$8:$M$48,11,FALSE),
IF($A53&lt;'PVC SCH80 LD Flange'!$A$17,VLOOKUP($A53,'PVC SCH80 LD Flange'!$A$8:$M$16,11,FALSE),
IF($A53&lt;CPVC!$A$100,VLOOKUP($A53,CPVC!$A$8:$M$99,11,FALSE),
IF($A53&lt;InsertFittings!$A$237,VLOOKUP($A53,InsertFittings!$A$11:$M$236,11,FALSE),
IF($A53&lt;Valves!$A$132,VLOOKUP($A53,Valves!$A$8:$M$131,11,FALSE),
IF($A53&lt;SDR35SW!$A$124,VLOOKUP($A53,SDR35SW!$A$8:$M$123,11,FALSE),
IF($A53&lt;SDR35G!$A$143,VLOOKUP($A53, SDR35G!$A$8:$M$142,11,FALSE),
IF($A53&lt;SDR26G!$A$61,VLOOKUP($A53,SDR26G!$A$8:$N$60,12,FALSE),
IF($A53&lt;Cements!$A$100,VLOOKUP($A53,Cements!$A$8:$Q$99,15,FALSE),
IF($A53&lt;ValveBox!$A$143,VLOOKUP($A53,ValveBox!$A$10:$O$142,13,FALSE),
IF($A53&lt;'ValveBox Components'!$A$165,VLOOKUP($A53,'ValveBox Components'!$A$10:$O$164,13,FALSE),
IF($A53&lt;Drainage!$A$92,VLOOKUP($A53,Drainage!$A$8:$M$91,11,FALSE),
IF($A53&lt;Nipples!$A$82,VLOOKUP($A53,Nipples!$A$9:$Q$81,15,FALSE),
IF($A53&lt;Manifold!$A$33,VLOOKUP($A53,Manifold!$A$9:$M$32,11,FALSE),
IF($A53&lt;FlexibleRepairCouplings!$A$13,VLOOKUP($A53,FlexibleRepairCouplings!$A$10:$M$12,11,FALSE),
IF($A53&lt;DuraFix!$A$15,VLOOKUP($A53,DuraFix!$A$9:$M$14,11,FALSE),
IF($A53&lt;'Compression Fittings'!$A$16,VLOOKUP($A53,'Compression Fittings'!$A$8:$M$15,11,FALSE),
IF($A53&lt;'Hose Fittings'!$A$30,VLOOKUP($A53,'Hose Fittings'!$A$8:$M$29,11,FALSE),
IF($A53&lt;'Swing Joints'!$A$496,VLOOKUP($A53,'Swing Joints'!$A$9:$M$495,11,FALSE),
IF($A53&lt;'Swing Joints Components'!$A$135,VLOOKUP($A53,'Swing Joints Components'!$A$9:$M$134,11,FALSE),
IF($A53&lt;Nonstandard!$A$42,VLOOKUP($A53,Nonstandard!$A$31:$J$41,3,FALSE),"")))))))))))))))))))))))))))),"")</f>
        <v/>
      </c>
      <c r="H53" s="586" t="str">
        <f>IFERROR(IF($A53&lt;'DWV PVC'!$A$285,VLOOKUP($A53,'DWV PVC'!$A$8:$M$284,7,FALSE),
IF($A53&lt;'DWV ABS'!$A$117,VLOOKUP($A53,'DWV ABS'!$A$8:$M$116,7,FALSE),
IF($A53&lt;'PVC SCH40'!$A$376,VLOOKUP($A53,'PVC SCH40'!$A$8:$M$375,7,FALSE),
IF($A53&lt;'PVC SCH40 LD'!$A$22,VLOOKUP($A53,'PVC SCH40 LD'!$A$8:$M$21,7,FALSE),
IF($A53&lt;'Pool &amp; SPA Sweep Elbows'!$A$12,VLOOKUP($A53,'Pool &amp; SPA Sweep Elbows'!$A$8:$M$11,7,FALSE),
IF($A53&lt;'Pool &amp; SPA Pipe Extender'!$A$11,VLOOKUP($A53,'Pool &amp; SPA Pipe Extender'!$A$8:$M$10,7,FALSE),
IF($A53&lt;'PVC SCH80'!$A$250,VLOOKUP($A53,'PVC SCH80'!$A$8:$M$249,7,FALSE),
IF($A53&lt;'PVC SCH80 Flange'!$A$49,VLOOKUP($A53,'PVC SCH80 Flange'!$A$8:$M$48,7,FALSE),
IF($A53&lt;'PVC SCH80 LD Flange'!$A$17,VLOOKUP($A53,'PVC SCH80 LD Flange'!$A$8:$M$16,7,FALSE),
IF($A53&lt;CPVC!$A$100,VLOOKUP($A53,CPVC!$A$8:$M$99,7,FALSE),
IF($A53&lt;InsertFittings!$A$237,VLOOKUP($A53,InsertFittings!$A$11:$M$236,7,FALSE),
IF($A53&lt;Valves!$A$132,VLOOKUP($A53,Valves!$A$8:$M$131,7,FALSE),
IF($A53&lt;SDR35SW!$A$124,VLOOKUP($A53,SDR35SW!$A$8:$M$123,7,FALSE),
IF($A53&lt;SDR35G!$A$143,VLOOKUP($A53, SDR35G!$A$8:$M$142,7,FALSE),
IF($A53&lt;SDR26G!$A$61,VLOOKUP($A53,SDR26G!$A$8:$N$60,10,FALSE),
IF($A53&lt;Cements!$A$100,VLOOKUP($A53,Cements!$A$8:$Q$99,13,FALSE),
IF($A53&lt;ValveBox!$A$143,VLOOKUP($A53,ValveBox!$A$10:$O$142,11,FALSE),
IF($A53&lt;'ValveBox Components'!$A$165,VLOOKUP($A53,'ValveBox Components'!$A$10:$O$164,11,FALSE),
IF($A53&lt;Drainage!$A$92,VLOOKUP($A53,Drainage!$A$8:$M$91,7,FALSE),
IF($A53&lt;Nipples!$A$82,VLOOKUP($A53,Nipples!$A$9:$Q$81,13,FALSE),
IF($A53&lt;Manifold!$A$33,VLOOKUP($A53,Manifold!$A$9:$M$32,7,FALSE),
IF($A53&lt;FlexibleRepairCouplings!$A$13,VLOOKUP($A53,FlexibleRepairCouplings!$A$10:$M$12,7,FALSE),
IF($A53&lt;DuraFix!$A$15,VLOOKUP($A53,DuraFix!$A$9:$M$14,7,FALSE),
IF($A53&lt;'Compression Fittings'!$A$16,VLOOKUP($A53,'Compression Fittings'!$A$8:$M$15,7,FALSE),
IF($A53&lt;'Hose Fittings'!$A$30,VLOOKUP($A53,'Hose Fittings'!$A$8:$M$29,7,FALSE),
IF($A53&lt;'Swing Joints'!$A$496,VLOOKUP($A53,'Swing Joints'!$A$9:$M$495,7,FALSE),
IF($A53&lt;'Swing Joints Components'!$A$135,VLOOKUP($A53,'Swing Joints Components'!$A$9:$M$134,7,FALSE),
IF($A53&lt;Nonstandard!$A$42,VLOOKUP($A53,Nonstandard!$A$31:$J$41,3,FALSE),"")))))))))))))))))))))))))))),"")</f>
        <v/>
      </c>
      <c r="I53" s="587"/>
      <c r="J53" s="383" t="str">
        <f t="shared" si="1"/>
        <v/>
      </c>
      <c r="K53" s="417" t="str">
        <f>IFERROR(IF($A53&lt;'DWV PVC'!$A$285,VLOOKUP($A53,'DWV PVC'!$A$8:$M$284,10,FALSE),
IF($A53&lt;'DWV ABS'!$A$117,VLOOKUP($A53,'DWV ABS'!$A$8:$M$116,10,FALSE),
IF($A53&lt;'PVC SCH40'!$A$376,VLOOKUP($A53,'PVC SCH40'!$A$8:$M$375,10,FALSE),
IF($A53&lt;'PVC SCH40 LD'!$A$22,VLOOKUP($A53,'PVC SCH40 LD'!$A$8:$M$21,10,FALSE),
IF($A53&lt;'Pool &amp; SPA Sweep Elbows'!$A$12,VLOOKUP($A53,'Pool &amp; SPA Sweep Elbows'!$A$8:$M$11,10,FALSE),
IF($A53&lt;'Pool &amp; SPA Pipe Extender'!$A$11,VLOOKUP($A53,'Pool &amp; SPA Pipe Extender'!$A$8:$M$10,10,FALSE),
IF($A53&lt;'PVC SCH80'!$A$250,VLOOKUP($A53,'PVC SCH80'!$A$8:$M$249,10,FALSE),
IF($A53&lt;'PVC SCH80 Flange'!$A$49,VLOOKUP($A53,'PVC SCH80 Flange'!$A$8:$M$48,10,FALSE),
IF($A53&lt;'PVC SCH80 LD Flange'!$A$17,VLOOKUP($A53,'PVC SCH80 LD Flange'!$A$8:$M$16,10,FALSE),
IF($A53&lt;CPVC!$A$100,VLOOKUP($A53,CPVC!$A$8:$M$99,10,FALSE),
IF($A53&lt;InsertFittings!$A$237,VLOOKUP($A53,InsertFittings!$A$11:$M$236,10,FALSE),
IF($A53&lt;Valves!$A$132,VLOOKUP($A53,Valves!$A$8:$M$131,10,FALSE),
IF($A53&lt;SDR35SW!$A$124,VLOOKUP($A53,SDR35SW!$A$8:$M$123,10,FALSE),
IF($A53&lt;SDR35G!$A$143,VLOOKUP($A53, SDR35G!$A$8:$M$142,10,FALSE),
IF($A53&lt;SDR26G!$A$61,VLOOKUP($A53,SDR26G!$A$8:$N$60,11,FALSE),
IF($A53&lt;Cements!$A$100,VLOOKUP($A53,Cements!$A$8:$Q$99,14,FALSE),
IF($A53&lt;ValveBox!$A$143,VLOOKUP($A53,ValveBox!$A$10:$O$142,12,FALSE),
IF($A53&lt;'ValveBox Components'!$A$165,VLOOKUP($A53,'ValveBox Components'!$A$10:$O$164,12,FALSE),
IF($A53&lt;Drainage!$A$92,VLOOKUP($A53,Drainage!$A$8:$M$91,10,FALSE),
IF($A53&lt;Nipples!$A$82,VLOOKUP($A53,Nipples!$A$9:$Q$81,14,FALSE),
IF($A53&lt;Manifold!$A$33,VLOOKUP($A53,Manifold!$A$9:$M$32,10,FALSE),
IF($A53&lt;FlexibleRepairCouplings!$A$13,VLOOKUP($A53,FlexibleRepairCouplings!$A$10:$M$12,10,FALSE),
IF($A53&lt;DuraFix!$A$15,VLOOKUP($A53,DuraFix!$A$9:$M$14,10,FALSE),
IF($A53&lt;'Compression Fittings'!$A$16,VLOOKUP($A53,'Compression Fittings'!$A$8:$M$15,10,FALSE),
IF($A53&lt;'Hose Fittings'!$A$30,VLOOKUP($A53,'Hose Fittings'!$A$8:$M$29,10,FALSE),
IF($A53&lt;'Swing Joints'!$A$496,VLOOKUP($A53,'Swing Joints'!$A$9:$M$495,10,FALSE),
IF($A53&lt;'Swing Joints Components'!$A$135,VLOOKUP($A53,'Swing Joints Components'!$A$9:$M$134,10,FALSE),
IF($A53&lt;Nonstandard!$A$42,VLOOKUP($A53,Nonstandard!$A$31:$J$41,10,FALSE),"")))))))))))))))))))))))))))),"")</f>
        <v/>
      </c>
      <c r="L53" s="418" t="str">
        <f t="shared" si="0"/>
        <v>-</v>
      </c>
      <c r="M53" s="419"/>
    </row>
    <row r="54" spans="1:13" ht="15.75">
      <c r="A54" s="420">
        <v>22</v>
      </c>
      <c r="B54" s="420" t="str">
        <f>IFERROR(IF($A54&lt;'DWV PVC'!$A$285,VLOOKUP($A54,'DWV PVC'!$A$8:$M$284,4,FALSE),
IF($A54&lt;'DWV ABS'!$A$117,VLOOKUP($A54,'DWV ABS'!$A$8:$M$116,4,FALSE),
IF($A54&lt;'PVC SCH40'!$A$376,VLOOKUP($A54,'PVC SCH40'!$A$8:$M$375,4,FALSE),
IF($A54&lt;'PVC SCH40 LD'!$A$22,VLOOKUP($A54,'PVC SCH40 LD'!$A$8:$M$21,4,FALSE),
IF($A54&lt;'Pool &amp; SPA Sweep Elbows'!$A$12,VLOOKUP($A54,'Pool &amp; SPA Sweep Elbows'!$A$8:$M$11,4,FALSE),
IF($A54&lt;'Pool &amp; SPA Pipe Extender'!$A$11,VLOOKUP($A54,'Pool &amp; SPA Pipe Extender'!$A$8:$M$10,4,FALSE),
IF($A54&lt;'PVC SCH80'!$A$250,VLOOKUP($A54,'PVC SCH80'!$A$8:$M$249,4,FALSE),
IF($A54&lt;'PVC SCH80 Flange'!$A$49,VLOOKUP($A54,'PVC SCH80 Flange'!$A$8:$M$48,4,FALSE),
IF($A54&lt;'PVC SCH80 LD Flange'!$A$17,VLOOKUP($A54,'PVC SCH80 LD Flange'!$A$8:$M$16,4,FALSE),
IF($A54&lt;CPVC!$A$100,VLOOKUP($A54,CPVC!$A$8:$M$99,4,FALSE),
IF($A54&lt;InsertFittings!$A$237,VLOOKUP($A54,InsertFittings!$A$11:$M$236,4,FALSE),
IF($A54&lt;Valves!$A$132,VLOOKUP($A54,Valves!$A$8:$M$131,4,FALSE),
IF($A54&lt;SDR35SW!$A$124,VLOOKUP($A54,SDR35SW!$A$8:$M$123,4,FALSE),
IF($A54&lt;SDR35G!$A$143,VLOOKUP($A54, SDR35G!$A$8:$M$142,4,FALSE),
IF($A54&lt;SDR26G!$A$61,VLOOKUP($A54,SDR26G!$A$8:$N$60,4,FALSE),
IF($A54&lt;Cements!$A$100,VLOOKUP($A54,Cements!$A$8:$Q$99,4,FALSE),
IF($A54&lt;ValveBox!$A$143,VLOOKUP($A54,ValveBox!$A$10:$O$142,4,FALSE),
IF($A54&lt;'ValveBox Components'!$A$165,VLOOKUP($A54,'ValveBox Components'!$A$10:$O$164,4,FALSE),
IF($A54&lt;Drainage!$A$92,VLOOKUP($A54,Drainage!$A$8:$M$91,4,FALSE),
IF($A54&lt;Nipples!$A$82,VLOOKUP($A54,Nipples!$A$9:$Q$81,4,FALSE),
IF($A54&lt;Manifold!$A$33,VLOOKUP($A54,Manifold!$A$9:$M$32,4,FALSE),
IF($A54&lt;FlexibleRepairCouplings!$A$13,VLOOKUP($A54,FlexibleRepairCouplings!$A$10:$M$12,4,FALSE),
IF($A54&lt;DuraFix!$A$15,VLOOKUP($A54,DuraFix!$A$9:$M$14,4,FALSE),
IF($A54&lt;'Compression Fittings'!$A$16,VLOOKUP($A54,'Compression Fittings'!$A$8:$M$15,4,FALSE),
IF($A54&lt;'Hose Fittings'!$A$30,VLOOKUP($A54,'Hose Fittings'!$A$8:$M$29,4,FALSE),
IF($A54&lt;'Swing Joints'!$A$496,VLOOKUP($A54,'Swing Joints'!$A$9:$M$495,4,FALSE),
IF($A54&lt;'Swing Joints Components'!$A$135,VLOOKUP($A54,'Swing Joints Components'!$A$9:$M$134,4,FALSE),
IF($A54&lt;Nonstandard!$A$42,VLOOKUP($A54,Nonstandard!$A$31:$J$41,5,FALSE),"")))))))))))))))))))))))))))),"")</f>
        <v/>
      </c>
      <c r="C54" s="420" t="str">
        <f>IFERROR(IF($A54&lt;'DWV PVC'!$A$285,VLOOKUP($A54,'DWV PVC'!$A$8:$M$284,5,FALSE),
IF($A54&lt;'DWV ABS'!$A$117,VLOOKUP($A54,'DWV ABS'!$A$8:$M$116,5,FALSE),
IF($A54&lt;'PVC SCH40'!$A$376,VLOOKUP($A54,'PVC SCH40'!$A$8:$M$375,5,FALSE),
IF($A54&lt;'PVC SCH40 LD'!$A$22,VLOOKUP($A54,'PVC SCH40 LD'!$A$8:$M$21,5,FALSE),
IF($A54&lt;'Pool &amp; SPA Sweep Elbows'!$A$12,VLOOKUP($A54,'Pool &amp; SPA Sweep Elbows'!$A$8:$M$11,5,FALSE),
IF($A54&lt;'Pool &amp; SPA Pipe Extender'!$A$11,VLOOKUP($A54,'Pool &amp; SPA Pipe Extender'!$A$8:$M$10,5,FALSE),
IF($A54&lt;'PVC SCH80'!$A$250,VLOOKUP($A54,'PVC SCH80'!$A$8:$M$249,5,FALSE),
IF($A54&lt;'PVC SCH80 Flange'!$A$49,VLOOKUP($A54,'PVC SCH80 Flange'!$A$8:$M$48,5,FALSE),
IF($A54&lt;'PVC SCH80 LD Flange'!$A$17,VLOOKUP($A54,'PVC SCH80 LD Flange'!$A$8:$M$16,5,FALSE),
IF($A54&lt;CPVC!$A$100,VLOOKUP($A54,CPVC!$A$8:$M$99,5,FALSE),
IF($A54&lt;InsertFittings!$A$237,VLOOKUP($A54,InsertFittings!$A$11:$M$236,5,FALSE),
IF($A54&lt;Valves!$A$132,VLOOKUP($A54,Valves!$A$8:$M$131,5,FALSE),
IF($A54&lt;SDR35SW!$A$124,VLOOKUP($A54,SDR35SW!$A$8:$M$123,5,FALSE),
IF($A54&lt;SDR35G!$A$143,VLOOKUP($A54, SDR35G!$A$8:$M$142,5,FALSE),
IF($A54&lt;SDR26G!$A$61,VLOOKUP($A54,SDR26G!$A$8:$N$60,5,FALSE),
IF($A54&lt;Cements!$A$100,VLOOKUP($A54,Cements!$A$8:$Q$99,5,FALSE),
IF($A54&lt;ValveBox!$A$143,VLOOKUP($A54,ValveBox!$A$10:$O$142,5,FALSE),
IF($A54&lt;'ValveBox Components'!$A$165,VLOOKUP($A54,'ValveBox Components'!$A$10:$O$164,5,FALSE),
IF($A54&lt;Drainage!$A$92,VLOOKUP($A54,Drainage!$A$8:$M$91,5,FALSE),
IF($A54&lt;Nipples!$A$82,VLOOKUP($A54,Nipples!$A$9:$Q$81,5,FALSE),
IF($A54&lt;Manifold!$A$33,VLOOKUP($A54,Manifold!$A$9:$M$32,5,FALSE),
IF($A54&lt;FlexibleRepairCouplings!$A$13,VLOOKUP($A54,FlexibleRepairCouplings!$A$10:$M$12,5,FALSE),
IF($A54&lt;DuraFix!$A$15,VLOOKUP($A54,DuraFix!$A$9:$M$14,5,FALSE),
IF($A54&lt;'Compression Fittings'!$A$16,VLOOKUP($A54,'Compression Fittings'!$A$8:$M$15,5,FALSE),
IF($A54&lt;'Hose Fittings'!$A$30,VLOOKUP($A54,'Hose Fittings'!$A$8:$M$29,5,FALSE),
IF($A54&lt;'Swing Joints'!$A$496,VLOOKUP($A54,'Swing Joints'!$A$9:$M$495,5,FALSE),
IF($A54&lt;'Swing Joints Components'!$A$135,VLOOKUP($A54,'Swing Joints Components'!$A$9:$M$134,5,FALSE),
IF($A54&lt;Nonstandard!$A$42,VLOOKUP($A54,Nonstandard!$A$31:$J$41,6,FALSE),"")))))))))))))))))))))))))))),"")</f>
        <v/>
      </c>
      <c r="D54" s="428" t="str">
        <f>IFERROR(IF($A54&lt;'DWV PVC'!$A$285,VLOOKUP($A54,'DWV PVC'!$A$8:$M$284,6,FALSE),
IF($A54&lt;'DWV ABS'!$A$117,VLOOKUP($A54,'DWV ABS'!$A$8:$M$116,6,FALSE),
IF($A54&lt;'PVC SCH40'!$A$376,VLOOKUP($A54,'PVC SCH40'!$A$8:$M$375,6,FALSE),
IF($A54&lt;'PVC SCH40 LD'!$A$22,VLOOKUP($A54,'PVC SCH40 LD'!$A$8:$M$21,6,FALSE),
IF($A54&lt;'Pool &amp; SPA Sweep Elbows'!$A$12,VLOOKUP($A54,'Pool &amp; SPA Sweep Elbows'!$A$8:$M$11,6,FALSE),
IF($A54&lt;'Pool &amp; SPA Pipe Extender'!$A$11,VLOOKUP($A54,'Pool &amp; SPA Pipe Extender'!$A$8:$M$10,6,FALSE),
IF($A54&lt;'PVC SCH80'!$A$250,VLOOKUP($A54,'PVC SCH80'!$A$8:$M$249,6,FALSE),
IF($A54&lt;'PVC SCH80 Flange'!$A$49,VLOOKUP($A54,'PVC SCH80 Flange'!$A$8:$M$48,6,FALSE),
IF($A54&lt;'PVC SCH80 LD Flange'!$A$17,VLOOKUP($A54,'PVC SCH80 LD Flange'!$A$8:$M$16,6,FALSE),
IF($A54&lt;CPVC!$A$100,VLOOKUP($A54,CPVC!$A$8:$M$99,6,FALSE),
IF($A54&lt;InsertFittings!$A$237,VLOOKUP($A54,InsertFittings!$A$11:$M$236,6,FALSE),
IF($A54&lt;Valves!$A$132,VLOOKUP($A54,Valves!$A$8:$M$131,6,FALSE),
IF($A54&lt;SDR35SW!$A$124,VLOOKUP($A54,SDR35SW!$A$8:$M$123,6,FALSE),
IF($A54&lt;SDR35G!$A$143,VLOOKUP($A54, SDR35G!$A$8:$M$142,6,FALSE),
IF($A54&lt;SDR26G!$A$61,VLOOKUP($A54,SDR26G!$A$8:$N$60,6,FALSE),
IF($A54&lt;Cements!$A$100,VLOOKUP($A54,Cements!$A$8:$Q$99,6,FALSE),
IF($A54&lt;ValveBox!$A$143,VLOOKUP($A54,ValveBox!$A$10:$O$142,6,FALSE),
IF($A54&lt;'ValveBox Components'!$A$165,VLOOKUP($A54,'ValveBox Components'!$A$10:$O$164,6,FALSE),
IF($A54&lt;Drainage!$A$92,VLOOKUP($A54,Drainage!$A$8:$M$91,6,FALSE),
IF($A54&lt;Nipples!$A$82,VLOOKUP($A54,Nipples!$A$9:$Q$81,6,FALSE),
IF($A54&lt;Manifold!$A$33,VLOOKUP($A54,Manifold!$A$9:$M$32,6,FALSE),
IF($A54&lt;FlexibleRepairCouplings!$A$13,VLOOKUP($A54,FlexibleRepairCouplings!$A$10:$M$12,6,FALSE),
IF($A54&lt;DuraFix!$A$15,VLOOKUP($A54,DuraFix!$A$9:$M$14,6,FALSE),
IF($A54&lt;'Compression Fittings'!$A$16,VLOOKUP($A54,'Compression Fittings'!$A$8:$M$15,6,FALSE),
IF($A54&lt;'Hose Fittings'!$A$30,VLOOKUP($A54,'Hose Fittings'!$A$8:$M$29,6,FALSE),
IF($A54&lt;'Swing Joints'!$A$496,VLOOKUP($A54,'Swing Joints'!$A$9:$M$495,6,FALSE),
IF($A54&lt;'Swing Joints Components'!$A$135,VLOOKUP($A54,'Swing Joints Components'!$A$9:$M$134,6,FALSE),
IF($A54&lt;Nonstandard!$A$42,VLOOKUP($A54,Nonstandard!$A$31:$J$41,7,FALSE),"")))))))))))))))))))))))))))),"")</f>
        <v/>
      </c>
      <c r="E54" s="429"/>
      <c r="F54" s="421" t="str">
        <f>IFERROR(IF($A54&lt;'DWV PVC'!$A$285,VLOOKUP($A54,'DWV PVC'!$A$8:$M$284,9,FALSE),
IF($A54&lt;'DWV ABS'!$A$117,VLOOKUP($A54,'DWV ABS'!$A$8:$M$116,9,FALSE),
IF($A54&lt;'PVC SCH40'!$A$376,VLOOKUP($A54,'PVC SCH40'!$A$8:$M$375,9,FALSE),
IF($A54&lt;'PVC SCH40 LD'!$A$22,VLOOKUP($A54,'PVC SCH40 LD'!$A$8:$M$21,9,FALSE),
IF($A54&lt;'Pool &amp; SPA Sweep Elbows'!$A$12,VLOOKUP($A54,'Pool &amp; SPA Sweep Elbows'!$A$8:$M$11,9,FALSE),
IF($A54&lt;'Pool &amp; SPA Pipe Extender'!$A$11,VLOOKUP($A54,'Pool &amp; SPA Pipe Extender'!$A$8:$M$10,9,FALSE),
IF($A54&lt;'PVC SCH80'!$A$250,VLOOKUP($A54,'PVC SCH80'!$A$8:$M$249,9,FALSE),
IF($A54&lt;'PVC SCH80 Flange'!$A$49,VLOOKUP($A54,'PVC SCH80 Flange'!$A$8:$M$48,9,FALSE),
IF($A54&lt;'PVC SCH80 LD Flange'!$A$17,VLOOKUP($A54,'PVC SCH80 LD Flange'!$A$8:$M$16,9,FALSE),
IF($A54&lt;CPVC!$A$100,VLOOKUP($A54,CPVC!$A$8:$M$99,9,FALSE),
IF($A54&lt;InsertFittings!$A$237,VLOOKUP($A54,InsertFittings!$A$11:$M$236,9,FALSE),
IF($A54&lt;Valves!$A$132,VLOOKUP($A54,Valves!$A$8:$M$131,9,FALSE),
IF($A54&lt;SDR35SW!$A$124,VLOOKUP($A54,SDR35SW!$A$8:$M$123,9,FALSE),
IF($A54&lt;SDR35G!$A$143,VLOOKUP($A54, SDR35G!$A$8:$M$142,9,FALSE),
IF($A54&lt;SDR26G!$A$61,VLOOKUP($A54,SDR26G!$A$8:$N$60,10,FALSE),
IF($A54&lt;Cements!$A$100,VLOOKUP($A54,Cements!$A$8:$Q$99,13,FALSE),
IF($A54&lt;ValveBox!$A$143,VLOOKUP($A54,ValveBox!$A$10:$O$142,11,FALSE),
IF($A54&lt;'ValveBox Components'!$A$165,VLOOKUP($A54,'ValveBox Components'!$A$10:$O$164,11,FALSE),
IF($A54&lt;Drainage!$A$92,VLOOKUP($A54,Drainage!$A$8:$M$91,9,FALSE),
IF($A54&lt;Nipples!$A$82,VLOOKUP($A54,Nipples!$A$9:$Q$81,13,FALSE),
IF($A54&lt;Manifold!$A$33,VLOOKUP($A54,Manifold!$A$9:$M$32,9,FALSE),
IF($A54&lt;FlexibleRepairCouplings!$A$13,VLOOKUP($A54,FlexibleRepairCouplings!$A$10:$M$12,9,FALSE),
IF($A54&lt;DuraFix!$A$15,VLOOKUP($A54,DuraFix!$A$9:$M$14,9,FALSE),
IF($A54&lt;'Compression Fittings'!$A$16,VLOOKUP($A54,'Compression Fittings'!$A$8:$M$15,9,FALSE),
IF($A54&lt;'Hose Fittings'!$A$30,VLOOKUP($A54,'Hose Fittings'!$A$8:$M$29,9,FALSE),
IF($A54&lt;'Swing Joints'!$A$496,VLOOKUP($A54,'Swing Joints'!$A$9:$M$495,9,FALSE),
IF($A54&lt;'Swing Joints Components'!$A$135,VLOOKUP($A54,'Swing Joints Components'!$A$9:$M$134,9,FALSE),
IF($A54&lt;Nonstandard!$A$42,VLOOKUP($A54,Nonstandard!$A$31:$J$41,8,FALSE),"")))))))))))))))))))))))))))),"")</f>
        <v/>
      </c>
      <c r="G54" s="422" t="str">
        <f>IFERROR(IF($A54&lt;'DWV PVC'!$A$285,VLOOKUP($A54,'DWV PVC'!$A$8:$M$284,11,FALSE),
IF($A54&lt;'DWV ABS'!$A$117,VLOOKUP($A54,'DWV ABS'!$A$8:$M$116,11,FALSE),
IF($A54&lt;'PVC SCH40'!$A$376,VLOOKUP($A54,'PVC SCH40'!$A$8:$M$375,11,FALSE),
IF($A54&lt;'PVC SCH40 LD'!$A$22,VLOOKUP($A54,'PVC SCH40 LD'!$A$8:$M$21,11,FALSE),
IF($A54&lt;'Pool &amp; SPA Sweep Elbows'!$A$12,VLOOKUP($A54,'Pool &amp; SPA Sweep Elbows'!$A$8:$M$11,11,FALSE),
IF($A54&lt;'Pool &amp; SPA Pipe Extender'!$A$11,VLOOKUP($A54,'Pool &amp; SPA Pipe Extender'!$A$8:$M$10,11,FALSE),
IF($A54&lt;'PVC SCH80'!$A$250,VLOOKUP($A54,'PVC SCH80'!$A$8:$M$249,11,FALSE),
IF($A54&lt;'PVC SCH80 Flange'!$A$49,VLOOKUP($A54,'PVC SCH80 Flange'!$A$8:$M$48,11,FALSE),
IF($A54&lt;'PVC SCH80 LD Flange'!$A$17,VLOOKUP($A54,'PVC SCH80 LD Flange'!$A$8:$M$16,11,FALSE),
IF($A54&lt;CPVC!$A$100,VLOOKUP($A54,CPVC!$A$8:$M$99,11,FALSE),
IF($A54&lt;InsertFittings!$A$237,VLOOKUP($A54,InsertFittings!$A$11:$M$236,11,FALSE),
IF($A54&lt;Valves!$A$132,VLOOKUP($A54,Valves!$A$8:$M$131,11,FALSE),
IF($A54&lt;SDR35SW!$A$124,VLOOKUP($A54,SDR35SW!$A$8:$M$123,11,FALSE),
IF($A54&lt;SDR35G!$A$143,VLOOKUP($A54, SDR35G!$A$8:$M$142,11,FALSE),
IF($A54&lt;SDR26G!$A$61,VLOOKUP($A54,SDR26G!$A$8:$N$60,12,FALSE),
IF($A54&lt;Cements!$A$100,VLOOKUP($A54,Cements!$A$8:$Q$99,15,FALSE),
IF($A54&lt;ValveBox!$A$143,VLOOKUP($A54,ValveBox!$A$10:$O$142,13,FALSE),
IF($A54&lt;'ValveBox Components'!$A$165,VLOOKUP($A54,'ValveBox Components'!$A$10:$O$164,13,FALSE),
IF($A54&lt;Drainage!$A$92,VLOOKUP($A54,Drainage!$A$8:$M$91,11,FALSE),
IF($A54&lt;Nipples!$A$82,VLOOKUP($A54,Nipples!$A$9:$Q$81,15,FALSE),
IF($A54&lt;Manifold!$A$33,VLOOKUP($A54,Manifold!$A$9:$M$32,11,FALSE),
IF($A54&lt;FlexibleRepairCouplings!$A$13,VLOOKUP($A54,FlexibleRepairCouplings!$A$10:$M$12,11,FALSE),
IF($A54&lt;DuraFix!$A$15,VLOOKUP($A54,DuraFix!$A$9:$M$14,11,FALSE),
IF($A54&lt;'Compression Fittings'!$A$16,VLOOKUP($A54,'Compression Fittings'!$A$8:$M$15,11,FALSE),
IF($A54&lt;'Hose Fittings'!$A$30,VLOOKUP($A54,'Hose Fittings'!$A$8:$M$29,11,FALSE),
IF($A54&lt;'Swing Joints'!$A$496,VLOOKUP($A54,'Swing Joints'!$A$9:$M$495,11,FALSE),
IF($A54&lt;'Swing Joints Components'!$A$135,VLOOKUP($A54,'Swing Joints Components'!$A$9:$M$134,11,FALSE),
IF($A54&lt;Nonstandard!$A$42,VLOOKUP($A54,Nonstandard!$A$31:$J$41,3,FALSE),"")))))))))))))))))))))))))))),"")</f>
        <v/>
      </c>
      <c r="H54" s="588" t="str">
        <f>IFERROR(IF($A54&lt;'DWV PVC'!$A$285,VLOOKUP($A54,'DWV PVC'!$A$8:$M$284,7,FALSE),
IF($A54&lt;'DWV ABS'!$A$117,VLOOKUP($A54,'DWV ABS'!$A$8:$M$116,7,FALSE),
IF($A54&lt;'PVC SCH40'!$A$376,VLOOKUP($A54,'PVC SCH40'!$A$8:$M$375,7,FALSE),
IF($A54&lt;'PVC SCH40 LD'!$A$22,VLOOKUP($A54,'PVC SCH40 LD'!$A$8:$M$21,7,FALSE),
IF($A54&lt;'Pool &amp; SPA Sweep Elbows'!$A$12,VLOOKUP($A54,'Pool &amp; SPA Sweep Elbows'!$A$8:$M$11,7,FALSE),
IF($A54&lt;'Pool &amp; SPA Pipe Extender'!$A$11,VLOOKUP($A54,'Pool &amp; SPA Pipe Extender'!$A$8:$M$10,7,FALSE),
IF($A54&lt;'PVC SCH80'!$A$250,VLOOKUP($A54,'PVC SCH80'!$A$8:$M$249,7,FALSE),
IF($A54&lt;'PVC SCH80 Flange'!$A$49,VLOOKUP($A54,'PVC SCH80 Flange'!$A$8:$M$48,7,FALSE),
IF($A54&lt;'PVC SCH80 LD Flange'!$A$17,VLOOKUP($A54,'PVC SCH80 LD Flange'!$A$8:$M$16,7,FALSE),
IF($A54&lt;CPVC!$A$100,VLOOKUP($A54,CPVC!$A$8:$M$99,7,FALSE),
IF($A54&lt;InsertFittings!$A$237,VLOOKUP($A54,InsertFittings!$A$11:$M$236,7,FALSE),
IF($A54&lt;Valves!$A$132,VLOOKUP($A54,Valves!$A$8:$M$131,7,FALSE),
IF($A54&lt;SDR35SW!$A$124,VLOOKUP($A54,SDR35SW!$A$8:$M$123,7,FALSE),
IF($A54&lt;SDR35G!$A$143,VLOOKUP($A54, SDR35G!$A$8:$M$142,7,FALSE),
IF($A54&lt;SDR26G!$A$61,VLOOKUP($A54,SDR26G!$A$8:$N$60,10,FALSE),
IF($A54&lt;Cements!$A$100,VLOOKUP($A54,Cements!$A$8:$Q$99,13,FALSE),
IF($A54&lt;ValveBox!$A$143,VLOOKUP($A54,ValveBox!$A$10:$O$142,11,FALSE),
IF($A54&lt;'ValveBox Components'!$A$165,VLOOKUP($A54,'ValveBox Components'!$A$10:$O$164,11,FALSE),
IF($A54&lt;Drainage!$A$92,VLOOKUP($A54,Drainage!$A$8:$M$91,7,FALSE),
IF($A54&lt;Nipples!$A$82,VLOOKUP($A54,Nipples!$A$9:$Q$81,13,FALSE),
IF($A54&lt;Manifold!$A$33,VLOOKUP($A54,Manifold!$A$9:$M$32,7,FALSE),
IF($A54&lt;FlexibleRepairCouplings!$A$13,VLOOKUP($A54,FlexibleRepairCouplings!$A$10:$M$12,7,FALSE),
IF($A54&lt;DuraFix!$A$15,VLOOKUP($A54,DuraFix!$A$9:$M$14,7,FALSE),
IF($A54&lt;'Compression Fittings'!$A$16,VLOOKUP($A54,'Compression Fittings'!$A$8:$M$15,7,FALSE),
IF($A54&lt;'Hose Fittings'!$A$30,VLOOKUP($A54,'Hose Fittings'!$A$8:$M$29,7,FALSE),
IF($A54&lt;'Swing Joints'!$A$496,VLOOKUP($A54,'Swing Joints'!$A$9:$M$495,7,FALSE),
IF($A54&lt;'Swing Joints Components'!$A$135,VLOOKUP($A54,'Swing Joints Components'!$A$9:$M$134,7,FALSE),
IF($A54&lt;Nonstandard!$A$42,VLOOKUP($A54,Nonstandard!$A$31:$J$41,3,FALSE),"")))))))))))))))))))))))))))),"")</f>
        <v/>
      </c>
      <c r="I54" s="589"/>
      <c r="J54" s="423" t="str">
        <f t="shared" si="1"/>
        <v/>
      </c>
      <c r="K54" s="424" t="str">
        <f>IFERROR(IF($A54&lt;'DWV PVC'!$A$285,VLOOKUP($A54,'DWV PVC'!$A$8:$M$284,10,FALSE),
IF($A54&lt;'DWV ABS'!$A$117,VLOOKUP($A54,'DWV ABS'!$A$8:$M$116,10,FALSE),
IF($A54&lt;'PVC SCH40'!$A$376,VLOOKUP($A54,'PVC SCH40'!$A$8:$M$375,10,FALSE),
IF($A54&lt;'PVC SCH40 LD'!$A$22,VLOOKUP($A54,'PVC SCH40 LD'!$A$8:$M$21,10,FALSE),
IF($A54&lt;'Pool &amp; SPA Sweep Elbows'!$A$12,VLOOKUP($A54,'Pool &amp; SPA Sweep Elbows'!$A$8:$M$11,10,FALSE),
IF($A54&lt;'Pool &amp; SPA Pipe Extender'!$A$11,VLOOKUP($A54,'Pool &amp; SPA Pipe Extender'!$A$8:$M$10,10,FALSE),
IF($A54&lt;'PVC SCH80'!$A$250,VLOOKUP($A54,'PVC SCH80'!$A$8:$M$249,10,FALSE),
IF($A54&lt;'PVC SCH80 Flange'!$A$49,VLOOKUP($A54,'PVC SCH80 Flange'!$A$8:$M$48,10,FALSE),
IF($A54&lt;'PVC SCH80 LD Flange'!$A$17,VLOOKUP($A54,'PVC SCH80 LD Flange'!$A$8:$M$16,10,FALSE),
IF($A54&lt;CPVC!$A$100,VLOOKUP($A54,CPVC!$A$8:$M$99,10,FALSE),
IF($A54&lt;InsertFittings!$A$237,VLOOKUP($A54,InsertFittings!$A$11:$M$236,10,FALSE),
IF($A54&lt;Valves!$A$132,VLOOKUP($A54,Valves!$A$8:$M$131,10,FALSE),
IF($A54&lt;SDR35SW!$A$124,VLOOKUP($A54,SDR35SW!$A$8:$M$123,10,FALSE),
IF($A54&lt;SDR35G!$A$143,VLOOKUP($A54, SDR35G!$A$8:$M$142,10,FALSE),
IF($A54&lt;SDR26G!$A$61,VLOOKUP($A54,SDR26G!$A$8:$N$60,11,FALSE),
IF($A54&lt;Cements!$A$100,VLOOKUP($A54,Cements!$A$8:$Q$99,14,FALSE),
IF($A54&lt;ValveBox!$A$143,VLOOKUP($A54,ValveBox!$A$10:$O$142,12,FALSE),
IF($A54&lt;'ValveBox Components'!$A$165,VLOOKUP($A54,'ValveBox Components'!$A$10:$O$164,12,FALSE),
IF($A54&lt;Drainage!$A$92,VLOOKUP($A54,Drainage!$A$8:$M$91,10,FALSE),
IF($A54&lt;Nipples!$A$82,VLOOKUP($A54,Nipples!$A$9:$Q$81,14,FALSE),
IF($A54&lt;Manifold!$A$33,VLOOKUP($A54,Manifold!$A$9:$M$32,10,FALSE),
IF($A54&lt;FlexibleRepairCouplings!$A$13,VLOOKUP($A54,FlexibleRepairCouplings!$A$10:$M$12,10,FALSE),
IF($A54&lt;DuraFix!$A$15,VLOOKUP($A54,DuraFix!$A$9:$M$14,10,FALSE),
IF($A54&lt;'Compression Fittings'!$A$16,VLOOKUP($A54,'Compression Fittings'!$A$8:$M$15,10,FALSE),
IF($A54&lt;'Hose Fittings'!$A$30,VLOOKUP($A54,'Hose Fittings'!$A$8:$M$29,10,FALSE),
IF($A54&lt;'Swing Joints'!$A$496,VLOOKUP($A54,'Swing Joints'!$A$9:$M$495,10,FALSE),
IF($A54&lt;'Swing Joints Components'!$A$135,VLOOKUP($A54,'Swing Joints Components'!$A$9:$M$134,10,FALSE),
IF($A54&lt;Nonstandard!$A$42,VLOOKUP($A54,Nonstandard!$A$31:$J$41,10,FALSE),"")))))))))))))))))))))))))))),"")</f>
        <v/>
      </c>
      <c r="L54" s="421" t="str">
        <f t="shared" si="0"/>
        <v>-</v>
      </c>
      <c r="M54" s="425"/>
    </row>
    <row r="55" spans="1:13" ht="15.75">
      <c r="A55" s="415">
        <v>23</v>
      </c>
      <c r="B55" s="415" t="str">
        <f>IFERROR(IF($A55&lt;'DWV PVC'!$A$285,VLOOKUP($A55,'DWV PVC'!$A$8:$M$284,4,FALSE),
IF($A55&lt;'DWV ABS'!$A$117,VLOOKUP($A55,'DWV ABS'!$A$8:$M$116,4,FALSE),
IF($A55&lt;'PVC SCH40'!$A$376,VLOOKUP($A55,'PVC SCH40'!$A$8:$M$375,4,FALSE),
IF($A55&lt;'PVC SCH40 LD'!$A$22,VLOOKUP($A55,'PVC SCH40 LD'!$A$8:$M$21,4,FALSE),
IF($A55&lt;'Pool &amp; SPA Sweep Elbows'!$A$12,VLOOKUP($A55,'Pool &amp; SPA Sweep Elbows'!$A$8:$M$11,4,FALSE),
IF($A55&lt;'Pool &amp; SPA Pipe Extender'!$A$11,VLOOKUP($A55,'Pool &amp; SPA Pipe Extender'!$A$8:$M$10,4,FALSE),
IF($A55&lt;'PVC SCH80'!$A$250,VLOOKUP($A55,'PVC SCH80'!$A$8:$M$249,4,FALSE),
IF($A55&lt;'PVC SCH80 Flange'!$A$49,VLOOKUP($A55,'PVC SCH80 Flange'!$A$8:$M$48,4,FALSE),
IF($A55&lt;'PVC SCH80 LD Flange'!$A$17,VLOOKUP($A55,'PVC SCH80 LD Flange'!$A$8:$M$16,4,FALSE),
IF($A55&lt;CPVC!$A$100,VLOOKUP($A55,CPVC!$A$8:$M$99,4,FALSE),
IF($A55&lt;InsertFittings!$A$237,VLOOKUP($A55,InsertFittings!$A$11:$M$236,4,FALSE),
IF($A55&lt;Valves!$A$132,VLOOKUP($A55,Valves!$A$8:$M$131,4,FALSE),
IF($A55&lt;SDR35SW!$A$124,VLOOKUP($A55,SDR35SW!$A$8:$M$123,4,FALSE),
IF($A55&lt;SDR35G!$A$143,VLOOKUP($A55, SDR35G!$A$8:$M$142,4,FALSE),
IF($A55&lt;SDR26G!$A$61,VLOOKUP($A55,SDR26G!$A$8:$N$60,4,FALSE),
IF($A55&lt;Cements!$A$100,VLOOKUP($A55,Cements!$A$8:$Q$99,4,FALSE),
IF($A55&lt;ValveBox!$A$143,VLOOKUP($A55,ValveBox!$A$10:$O$142,4,FALSE),
IF($A55&lt;'ValveBox Components'!$A$165,VLOOKUP($A55,'ValveBox Components'!$A$10:$O$164,4,FALSE),
IF($A55&lt;Drainage!$A$92,VLOOKUP($A55,Drainage!$A$8:$M$91,4,FALSE),
IF($A55&lt;Nipples!$A$82,VLOOKUP($A55,Nipples!$A$9:$Q$81,4,FALSE),
IF($A55&lt;Manifold!$A$33,VLOOKUP($A55,Manifold!$A$9:$M$32,4,FALSE),
IF($A55&lt;FlexibleRepairCouplings!$A$13,VLOOKUP($A55,FlexibleRepairCouplings!$A$10:$M$12,4,FALSE),
IF($A55&lt;DuraFix!$A$15,VLOOKUP($A55,DuraFix!$A$9:$M$14,4,FALSE),
IF($A55&lt;'Compression Fittings'!$A$16,VLOOKUP($A55,'Compression Fittings'!$A$8:$M$15,4,FALSE),
IF($A55&lt;'Hose Fittings'!$A$30,VLOOKUP($A55,'Hose Fittings'!$A$8:$M$29,4,FALSE),
IF($A55&lt;'Swing Joints'!$A$496,VLOOKUP($A55,'Swing Joints'!$A$9:$M$495,4,FALSE),
IF($A55&lt;'Swing Joints Components'!$A$135,VLOOKUP($A55,'Swing Joints Components'!$A$9:$M$134,4,FALSE),
IF($A55&lt;Nonstandard!$A$42,VLOOKUP($A55,Nonstandard!$A$31:$J$41,5,FALSE),"")))))))))))))))))))))))))))),"")</f>
        <v/>
      </c>
      <c r="C55" s="415" t="str">
        <f>IFERROR(IF($A55&lt;'DWV PVC'!$A$285,VLOOKUP($A55,'DWV PVC'!$A$8:$M$284,5,FALSE),
IF($A55&lt;'DWV ABS'!$A$117,VLOOKUP($A55,'DWV ABS'!$A$8:$M$116,5,FALSE),
IF($A55&lt;'PVC SCH40'!$A$376,VLOOKUP($A55,'PVC SCH40'!$A$8:$M$375,5,FALSE),
IF($A55&lt;'PVC SCH40 LD'!$A$22,VLOOKUP($A55,'PVC SCH40 LD'!$A$8:$M$21,5,FALSE),
IF($A55&lt;'Pool &amp; SPA Sweep Elbows'!$A$12,VLOOKUP($A55,'Pool &amp; SPA Sweep Elbows'!$A$8:$M$11,5,FALSE),
IF($A55&lt;'Pool &amp; SPA Pipe Extender'!$A$11,VLOOKUP($A55,'Pool &amp; SPA Pipe Extender'!$A$8:$M$10,5,FALSE),
IF($A55&lt;'PVC SCH80'!$A$250,VLOOKUP($A55,'PVC SCH80'!$A$8:$M$249,5,FALSE),
IF($A55&lt;'PVC SCH80 Flange'!$A$49,VLOOKUP($A55,'PVC SCH80 Flange'!$A$8:$M$48,5,FALSE),
IF($A55&lt;'PVC SCH80 LD Flange'!$A$17,VLOOKUP($A55,'PVC SCH80 LD Flange'!$A$8:$M$16,5,FALSE),
IF($A55&lt;CPVC!$A$100,VLOOKUP($A55,CPVC!$A$8:$M$99,5,FALSE),
IF($A55&lt;InsertFittings!$A$237,VLOOKUP($A55,InsertFittings!$A$11:$M$236,5,FALSE),
IF($A55&lt;Valves!$A$132,VLOOKUP($A55,Valves!$A$8:$M$131,5,FALSE),
IF($A55&lt;SDR35SW!$A$124,VLOOKUP($A55,SDR35SW!$A$8:$M$123,5,FALSE),
IF($A55&lt;SDR35G!$A$143,VLOOKUP($A55, SDR35G!$A$8:$M$142,5,FALSE),
IF($A55&lt;SDR26G!$A$61,VLOOKUP($A55,SDR26G!$A$8:$N$60,5,FALSE),
IF($A55&lt;Cements!$A$100,VLOOKUP($A55,Cements!$A$8:$Q$99,5,FALSE),
IF($A55&lt;ValveBox!$A$143,VLOOKUP($A55,ValveBox!$A$10:$O$142,5,FALSE),
IF($A55&lt;'ValveBox Components'!$A$165,VLOOKUP($A55,'ValveBox Components'!$A$10:$O$164,5,FALSE),
IF($A55&lt;Drainage!$A$92,VLOOKUP($A55,Drainage!$A$8:$M$91,5,FALSE),
IF($A55&lt;Nipples!$A$82,VLOOKUP($A55,Nipples!$A$9:$Q$81,5,FALSE),
IF($A55&lt;Manifold!$A$33,VLOOKUP($A55,Manifold!$A$9:$M$32,5,FALSE),
IF($A55&lt;FlexibleRepairCouplings!$A$13,VLOOKUP($A55,FlexibleRepairCouplings!$A$10:$M$12,5,FALSE),
IF($A55&lt;DuraFix!$A$15,VLOOKUP($A55,DuraFix!$A$9:$M$14,5,FALSE),
IF($A55&lt;'Compression Fittings'!$A$16,VLOOKUP($A55,'Compression Fittings'!$A$8:$M$15,5,FALSE),
IF($A55&lt;'Hose Fittings'!$A$30,VLOOKUP($A55,'Hose Fittings'!$A$8:$M$29,5,FALSE),
IF($A55&lt;'Swing Joints'!$A$496,VLOOKUP($A55,'Swing Joints'!$A$9:$M$495,5,FALSE),
IF($A55&lt;'Swing Joints Components'!$A$135,VLOOKUP($A55,'Swing Joints Components'!$A$9:$M$134,5,FALSE),
IF($A55&lt;Nonstandard!$A$42,VLOOKUP($A55,Nonstandard!$A$31:$J$41,6,FALSE),"")))))))))))))))))))))))))))),"")</f>
        <v/>
      </c>
      <c r="D55" s="426" t="str">
        <f>IFERROR(IF($A55&lt;'DWV PVC'!$A$285,VLOOKUP($A55,'DWV PVC'!$A$8:$M$284,6,FALSE),
IF($A55&lt;'DWV ABS'!$A$117,VLOOKUP($A55,'DWV ABS'!$A$8:$M$116,6,FALSE),
IF($A55&lt;'PVC SCH40'!$A$376,VLOOKUP($A55,'PVC SCH40'!$A$8:$M$375,6,FALSE),
IF($A55&lt;'PVC SCH40 LD'!$A$22,VLOOKUP($A55,'PVC SCH40 LD'!$A$8:$M$21,6,FALSE),
IF($A55&lt;'Pool &amp; SPA Sweep Elbows'!$A$12,VLOOKUP($A55,'Pool &amp; SPA Sweep Elbows'!$A$8:$M$11,6,FALSE),
IF($A55&lt;'Pool &amp; SPA Pipe Extender'!$A$11,VLOOKUP($A55,'Pool &amp; SPA Pipe Extender'!$A$8:$M$10,6,FALSE),
IF($A55&lt;'PVC SCH80'!$A$250,VLOOKUP($A55,'PVC SCH80'!$A$8:$M$249,6,FALSE),
IF($A55&lt;'PVC SCH80 Flange'!$A$49,VLOOKUP($A55,'PVC SCH80 Flange'!$A$8:$M$48,6,FALSE),
IF($A55&lt;'PVC SCH80 LD Flange'!$A$17,VLOOKUP($A55,'PVC SCH80 LD Flange'!$A$8:$M$16,6,FALSE),
IF($A55&lt;CPVC!$A$100,VLOOKUP($A55,CPVC!$A$8:$M$99,6,FALSE),
IF($A55&lt;InsertFittings!$A$237,VLOOKUP($A55,InsertFittings!$A$11:$M$236,6,FALSE),
IF($A55&lt;Valves!$A$132,VLOOKUP($A55,Valves!$A$8:$M$131,6,FALSE),
IF($A55&lt;SDR35SW!$A$124,VLOOKUP($A55,SDR35SW!$A$8:$M$123,6,FALSE),
IF($A55&lt;SDR35G!$A$143,VLOOKUP($A55, SDR35G!$A$8:$M$142,6,FALSE),
IF($A55&lt;SDR26G!$A$61,VLOOKUP($A55,SDR26G!$A$8:$N$60,6,FALSE),
IF($A55&lt;Cements!$A$100,VLOOKUP($A55,Cements!$A$8:$Q$99,6,FALSE),
IF($A55&lt;ValveBox!$A$143,VLOOKUP($A55,ValveBox!$A$10:$O$142,6,FALSE),
IF($A55&lt;'ValveBox Components'!$A$165,VLOOKUP($A55,'ValveBox Components'!$A$10:$O$164,6,FALSE),
IF($A55&lt;Drainage!$A$92,VLOOKUP($A55,Drainage!$A$8:$M$91,6,FALSE),
IF($A55&lt;Nipples!$A$82,VLOOKUP($A55,Nipples!$A$9:$Q$81,6,FALSE),
IF($A55&lt;Manifold!$A$33,VLOOKUP($A55,Manifold!$A$9:$M$32,6,FALSE),
IF($A55&lt;FlexibleRepairCouplings!$A$13,VLOOKUP($A55,FlexibleRepairCouplings!$A$10:$M$12,6,FALSE),
IF($A55&lt;DuraFix!$A$15,VLOOKUP($A55,DuraFix!$A$9:$M$14,6,FALSE),
IF($A55&lt;'Compression Fittings'!$A$16,VLOOKUP($A55,'Compression Fittings'!$A$8:$M$15,6,FALSE),
IF($A55&lt;'Hose Fittings'!$A$30,VLOOKUP($A55,'Hose Fittings'!$A$8:$M$29,6,FALSE),
IF($A55&lt;'Swing Joints'!$A$496,VLOOKUP($A55,'Swing Joints'!$A$9:$M$495,6,FALSE),
IF($A55&lt;'Swing Joints Components'!$A$135,VLOOKUP($A55,'Swing Joints Components'!$A$9:$M$134,6,FALSE),
IF($A55&lt;Nonstandard!$A$42,VLOOKUP($A55,Nonstandard!$A$31:$J$41,7,FALSE),"")))))))))))))))))))))))))))),"")</f>
        <v/>
      </c>
      <c r="E55" s="427"/>
      <c r="F55" s="418" t="str">
        <f>IFERROR(IF($A55&lt;'DWV PVC'!$A$285,VLOOKUP($A55,'DWV PVC'!$A$8:$M$284,9,FALSE),
IF($A55&lt;'DWV ABS'!$A$117,VLOOKUP($A55,'DWV ABS'!$A$8:$M$116,9,FALSE),
IF($A55&lt;'PVC SCH40'!$A$376,VLOOKUP($A55,'PVC SCH40'!$A$8:$M$375,9,FALSE),
IF($A55&lt;'PVC SCH40 LD'!$A$22,VLOOKUP($A55,'PVC SCH40 LD'!$A$8:$M$21,9,FALSE),
IF($A55&lt;'Pool &amp; SPA Sweep Elbows'!$A$12,VLOOKUP($A55,'Pool &amp; SPA Sweep Elbows'!$A$8:$M$11,9,FALSE),
IF($A55&lt;'Pool &amp; SPA Pipe Extender'!$A$11,VLOOKUP($A55,'Pool &amp; SPA Pipe Extender'!$A$8:$M$10,9,FALSE),
IF($A55&lt;'PVC SCH80'!$A$250,VLOOKUP($A55,'PVC SCH80'!$A$8:$M$249,9,FALSE),
IF($A55&lt;'PVC SCH80 Flange'!$A$49,VLOOKUP($A55,'PVC SCH80 Flange'!$A$8:$M$48,9,FALSE),
IF($A55&lt;'PVC SCH80 LD Flange'!$A$17,VLOOKUP($A55,'PVC SCH80 LD Flange'!$A$8:$M$16,9,FALSE),
IF($A55&lt;CPVC!$A$100,VLOOKUP($A55,CPVC!$A$8:$M$99,9,FALSE),
IF($A55&lt;InsertFittings!$A$237,VLOOKUP($A55,InsertFittings!$A$11:$M$236,9,FALSE),
IF($A55&lt;Valves!$A$132,VLOOKUP($A55,Valves!$A$8:$M$131,9,FALSE),
IF($A55&lt;SDR35SW!$A$124,VLOOKUP($A55,SDR35SW!$A$8:$M$123,9,FALSE),
IF($A55&lt;SDR35G!$A$143,VLOOKUP($A55, SDR35G!$A$8:$M$142,9,FALSE),
IF($A55&lt;SDR26G!$A$61,VLOOKUP($A55,SDR26G!$A$8:$N$60,10,FALSE),
IF($A55&lt;Cements!$A$100,VLOOKUP($A55,Cements!$A$8:$Q$99,13,FALSE),
IF($A55&lt;ValveBox!$A$143,VLOOKUP($A55,ValveBox!$A$10:$O$142,11,FALSE),
IF($A55&lt;'ValveBox Components'!$A$165,VLOOKUP($A55,'ValveBox Components'!$A$10:$O$164,11,FALSE),
IF($A55&lt;Drainage!$A$92,VLOOKUP($A55,Drainage!$A$8:$M$91,9,FALSE),
IF($A55&lt;Nipples!$A$82,VLOOKUP($A55,Nipples!$A$9:$Q$81,13,FALSE),
IF($A55&lt;Manifold!$A$33,VLOOKUP($A55,Manifold!$A$9:$M$32,9,FALSE),
IF($A55&lt;FlexibleRepairCouplings!$A$13,VLOOKUP($A55,FlexibleRepairCouplings!$A$10:$M$12,9,FALSE),
IF($A55&lt;DuraFix!$A$15,VLOOKUP($A55,DuraFix!$A$9:$M$14,9,FALSE),
IF($A55&lt;'Compression Fittings'!$A$16,VLOOKUP($A55,'Compression Fittings'!$A$8:$M$15,9,FALSE),
IF($A55&lt;'Hose Fittings'!$A$30,VLOOKUP($A55,'Hose Fittings'!$A$8:$M$29,9,FALSE),
IF($A55&lt;'Swing Joints'!$A$496,VLOOKUP($A55,'Swing Joints'!$A$9:$M$495,9,FALSE),
IF($A55&lt;'Swing Joints Components'!$A$135,VLOOKUP($A55,'Swing Joints Components'!$A$9:$M$134,9,FALSE),
IF($A55&lt;Nonstandard!$A$42,VLOOKUP($A55,Nonstandard!$A$31:$J$41,8,FALSE),"")))))))))))))))))))))))))))),"")</f>
        <v/>
      </c>
      <c r="G55" s="416" t="str">
        <f>IFERROR(IF($A55&lt;'DWV PVC'!$A$285,VLOOKUP($A55,'DWV PVC'!$A$8:$M$284,11,FALSE),
IF($A55&lt;'DWV ABS'!$A$117,VLOOKUP($A55,'DWV ABS'!$A$8:$M$116,11,FALSE),
IF($A55&lt;'PVC SCH40'!$A$376,VLOOKUP($A55,'PVC SCH40'!$A$8:$M$375,11,FALSE),
IF($A55&lt;'PVC SCH40 LD'!$A$22,VLOOKUP($A55,'PVC SCH40 LD'!$A$8:$M$21,11,FALSE),
IF($A55&lt;'Pool &amp; SPA Sweep Elbows'!$A$12,VLOOKUP($A55,'Pool &amp; SPA Sweep Elbows'!$A$8:$M$11,11,FALSE),
IF($A55&lt;'Pool &amp; SPA Pipe Extender'!$A$11,VLOOKUP($A55,'Pool &amp; SPA Pipe Extender'!$A$8:$M$10,11,FALSE),
IF($A55&lt;'PVC SCH80'!$A$250,VLOOKUP($A55,'PVC SCH80'!$A$8:$M$249,11,FALSE),
IF($A55&lt;'PVC SCH80 Flange'!$A$49,VLOOKUP($A55,'PVC SCH80 Flange'!$A$8:$M$48,11,FALSE),
IF($A55&lt;'PVC SCH80 LD Flange'!$A$17,VLOOKUP($A55,'PVC SCH80 LD Flange'!$A$8:$M$16,11,FALSE),
IF($A55&lt;CPVC!$A$100,VLOOKUP($A55,CPVC!$A$8:$M$99,11,FALSE),
IF($A55&lt;InsertFittings!$A$237,VLOOKUP($A55,InsertFittings!$A$11:$M$236,11,FALSE),
IF($A55&lt;Valves!$A$132,VLOOKUP($A55,Valves!$A$8:$M$131,11,FALSE),
IF($A55&lt;SDR35SW!$A$124,VLOOKUP($A55,SDR35SW!$A$8:$M$123,11,FALSE),
IF($A55&lt;SDR35G!$A$143,VLOOKUP($A55, SDR35G!$A$8:$M$142,11,FALSE),
IF($A55&lt;SDR26G!$A$61,VLOOKUP($A55,SDR26G!$A$8:$N$60,12,FALSE),
IF($A55&lt;Cements!$A$100,VLOOKUP($A55,Cements!$A$8:$Q$99,15,FALSE),
IF($A55&lt;ValveBox!$A$143,VLOOKUP($A55,ValveBox!$A$10:$O$142,13,FALSE),
IF($A55&lt;'ValveBox Components'!$A$165,VLOOKUP($A55,'ValveBox Components'!$A$10:$O$164,13,FALSE),
IF($A55&lt;Drainage!$A$92,VLOOKUP($A55,Drainage!$A$8:$M$91,11,FALSE),
IF($A55&lt;Nipples!$A$82,VLOOKUP($A55,Nipples!$A$9:$Q$81,15,FALSE),
IF($A55&lt;Manifold!$A$33,VLOOKUP($A55,Manifold!$A$9:$M$32,11,FALSE),
IF($A55&lt;FlexibleRepairCouplings!$A$13,VLOOKUP($A55,FlexibleRepairCouplings!$A$10:$M$12,11,FALSE),
IF($A55&lt;DuraFix!$A$15,VLOOKUP($A55,DuraFix!$A$9:$M$14,11,FALSE),
IF($A55&lt;'Compression Fittings'!$A$16,VLOOKUP($A55,'Compression Fittings'!$A$8:$M$15,11,FALSE),
IF($A55&lt;'Hose Fittings'!$A$30,VLOOKUP($A55,'Hose Fittings'!$A$8:$M$29,11,FALSE),
IF($A55&lt;'Swing Joints'!$A$496,VLOOKUP($A55,'Swing Joints'!$A$9:$M$495,11,FALSE),
IF($A55&lt;'Swing Joints Components'!$A$135,VLOOKUP($A55,'Swing Joints Components'!$A$9:$M$134,11,FALSE),
IF($A55&lt;Nonstandard!$A$42,VLOOKUP($A55,Nonstandard!$A$31:$J$41,3,FALSE),"")))))))))))))))))))))))))))),"")</f>
        <v/>
      </c>
      <c r="H55" s="586" t="str">
        <f>IFERROR(IF($A55&lt;'DWV PVC'!$A$285,VLOOKUP($A55,'DWV PVC'!$A$8:$M$284,7,FALSE),
IF($A55&lt;'DWV ABS'!$A$117,VLOOKUP($A55,'DWV ABS'!$A$8:$M$116,7,FALSE),
IF($A55&lt;'PVC SCH40'!$A$376,VLOOKUP($A55,'PVC SCH40'!$A$8:$M$375,7,FALSE),
IF($A55&lt;'PVC SCH40 LD'!$A$22,VLOOKUP($A55,'PVC SCH40 LD'!$A$8:$M$21,7,FALSE),
IF($A55&lt;'Pool &amp; SPA Sweep Elbows'!$A$12,VLOOKUP($A55,'Pool &amp; SPA Sweep Elbows'!$A$8:$M$11,7,FALSE),
IF($A55&lt;'Pool &amp; SPA Pipe Extender'!$A$11,VLOOKUP($A55,'Pool &amp; SPA Pipe Extender'!$A$8:$M$10,7,FALSE),
IF($A55&lt;'PVC SCH80'!$A$250,VLOOKUP($A55,'PVC SCH80'!$A$8:$M$249,7,FALSE),
IF($A55&lt;'PVC SCH80 Flange'!$A$49,VLOOKUP($A55,'PVC SCH80 Flange'!$A$8:$M$48,7,FALSE),
IF($A55&lt;'PVC SCH80 LD Flange'!$A$17,VLOOKUP($A55,'PVC SCH80 LD Flange'!$A$8:$M$16,7,FALSE),
IF($A55&lt;CPVC!$A$100,VLOOKUP($A55,CPVC!$A$8:$M$99,7,FALSE),
IF($A55&lt;InsertFittings!$A$237,VLOOKUP($A55,InsertFittings!$A$11:$M$236,7,FALSE),
IF($A55&lt;Valves!$A$132,VLOOKUP($A55,Valves!$A$8:$M$131,7,FALSE),
IF($A55&lt;SDR35SW!$A$124,VLOOKUP($A55,SDR35SW!$A$8:$M$123,7,FALSE),
IF($A55&lt;SDR35G!$A$143,VLOOKUP($A55, SDR35G!$A$8:$M$142,7,FALSE),
IF($A55&lt;SDR26G!$A$61,VLOOKUP($A55,SDR26G!$A$8:$N$60,10,FALSE),
IF($A55&lt;Cements!$A$100,VLOOKUP($A55,Cements!$A$8:$Q$99,13,FALSE),
IF($A55&lt;ValveBox!$A$143,VLOOKUP($A55,ValveBox!$A$10:$O$142,11,FALSE),
IF($A55&lt;'ValveBox Components'!$A$165,VLOOKUP($A55,'ValveBox Components'!$A$10:$O$164,11,FALSE),
IF($A55&lt;Drainage!$A$92,VLOOKUP($A55,Drainage!$A$8:$M$91,7,FALSE),
IF($A55&lt;Nipples!$A$82,VLOOKUP($A55,Nipples!$A$9:$Q$81,13,FALSE),
IF($A55&lt;Manifold!$A$33,VLOOKUP($A55,Manifold!$A$9:$M$32,7,FALSE),
IF($A55&lt;FlexibleRepairCouplings!$A$13,VLOOKUP($A55,FlexibleRepairCouplings!$A$10:$M$12,7,FALSE),
IF($A55&lt;DuraFix!$A$15,VLOOKUP($A55,DuraFix!$A$9:$M$14,7,FALSE),
IF($A55&lt;'Compression Fittings'!$A$16,VLOOKUP($A55,'Compression Fittings'!$A$8:$M$15,7,FALSE),
IF($A55&lt;'Hose Fittings'!$A$30,VLOOKUP($A55,'Hose Fittings'!$A$8:$M$29,7,FALSE),
IF($A55&lt;'Swing Joints'!$A$496,VLOOKUP($A55,'Swing Joints'!$A$9:$M$495,7,FALSE),
IF($A55&lt;'Swing Joints Components'!$A$135,VLOOKUP($A55,'Swing Joints Components'!$A$9:$M$134,7,FALSE),
IF($A55&lt;Nonstandard!$A$42,VLOOKUP($A55,Nonstandard!$A$31:$J$41,3,FALSE),"")))))))))))))))))))))))))))),"")</f>
        <v/>
      </c>
      <c r="I55" s="587"/>
      <c r="J55" s="383" t="str">
        <f t="shared" si="1"/>
        <v/>
      </c>
      <c r="K55" s="417" t="str">
        <f>IFERROR(IF($A55&lt;'DWV PVC'!$A$285,VLOOKUP($A55,'DWV PVC'!$A$8:$M$284,10,FALSE),
IF($A55&lt;'DWV ABS'!$A$117,VLOOKUP($A55,'DWV ABS'!$A$8:$M$116,10,FALSE),
IF($A55&lt;'PVC SCH40'!$A$376,VLOOKUP($A55,'PVC SCH40'!$A$8:$M$375,10,FALSE),
IF($A55&lt;'PVC SCH40 LD'!$A$22,VLOOKUP($A55,'PVC SCH40 LD'!$A$8:$M$21,10,FALSE),
IF($A55&lt;'Pool &amp; SPA Sweep Elbows'!$A$12,VLOOKUP($A55,'Pool &amp; SPA Sweep Elbows'!$A$8:$M$11,10,FALSE),
IF($A55&lt;'Pool &amp; SPA Pipe Extender'!$A$11,VLOOKUP($A55,'Pool &amp; SPA Pipe Extender'!$A$8:$M$10,10,FALSE),
IF($A55&lt;'PVC SCH80'!$A$250,VLOOKUP($A55,'PVC SCH80'!$A$8:$M$249,10,FALSE),
IF($A55&lt;'PVC SCH80 Flange'!$A$49,VLOOKUP($A55,'PVC SCH80 Flange'!$A$8:$M$48,10,FALSE),
IF($A55&lt;'PVC SCH80 LD Flange'!$A$17,VLOOKUP($A55,'PVC SCH80 LD Flange'!$A$8:$M$16,10,FALSE),
IF($A55&lt;CPVC!$A$100,VLOOKUP($A55,CPVC!$A$8:$M$99,10,FALSE),
IF($A55&lt;InsertFittings!$A$237,VLOOKUP($A55,InsertFittings!$A$11:$M$236,10,FALSE),
IF($A55&lt;Valves!$A$132,VLOOKUP($A55,Valves!$A$8:$M$131,10,FALSE),
IF($A55&lt;SDR35SW!$A$124,VLOOKUP($A55,SDR35SW!$A$8:$M$123,10,FALSE),
IF($A55&lt;SDR35G!$A$143,VLOOKUP($A55, SDR35G!$A$8:$M$142,10,FALSE),
IF($A55&lt;SDR26G!$A$61,VLOOKUP($A55,SDR26G!$A$8:$N$60,11,FALSE),
IF($A55&lt;Cements!$A$100,VLOOKUP($A55,Cements!$A$8:$Q$99,14,FALSE),
IF($A55&lt;ValveBox!$A$143,VLOOKUP($A55,ValveBox!$A$10:$O$142,12,FALSE),
IF($A55&lt;'ValveBox Components'!$A$165,VLOOKUP($A55,'ValveBox Components'!$A$10:$O$164,12,FALSE),
IF($A55&lt;Drainage!$A$92,VLOOKUP($A55,Drainage!$A$8:$M$91,10,FALSE),
IF($A55&lt;Nipples!$A$82,VLOOKUP($A55,Nipples!$A$9:$Q$81,14,FALSE),
IF($A55&lt;Manifold!$A$33,VLOOKUP($A55,Manifold!$A$9:$M$32,10,FALSE),
IF($A55&lt;FlexibleRepairCouplings!$A$13,VLOOKUP($A55,FlexibleRepairCouplings!$A$10:$M$12,10,FALSE),
IF($A55&lt;DuraFix!$A$15,VLOOKUP($A55,DuraFix!$A$9:$M$14,10,FALSE),
IF($A55&lt;'Compression Fittings'!$A$16,VLOOKUP($A55,'Compression Fittings'!$A$8:$M$15,10,FALSE),
IF($A55&lt;'Hose Fittings'!$A$30,VLOOKUP($A55,'Hose Fittings'!$A$8:$M$29,10,FALSE),
IF($A55&lt;'Swing Joints'!$A$496,VLOOKUP($A55,'Swing Joints'!$A$9:$M$495,10,FALSE),
IF($A55&lt;'Swing Joints Components'!$A$135,VLOOKUP($A55,'Swing Joints Components'!$A$9:$M$134,10,FALSE),
IF($A55&lt;Nonstandard!$A$42,VLOOKUP($A55,Nonstandard!$A$31:$J$41,10,FALSE),"")))))))))))))))))))))))))))),"")</f>
        <v/>
      </c>
      <c r="L55" s="418" t="str">
        <f t="shared" si="0"/>
        <v>-</v>
      </c>
      <c r="M55" s="419"/>
    </row>
    <row r="56" spans="1:13" ht="15.75">
      <c r="A56" s="420">
        <v>24</v>
      </c>
      <c r="B56" s="420" t="str">
        <f>IFERROR(IF($A56&lt;'DWV PVC'!$A$285,VLOOKUP($A56,'DWV PVC'!$A$8:$M$284,4,FALSE),
IF($A56&lt;'DWV ABS'!$A$117,VLOOKUP($A56,'DWV ABS'!$A$8:$M$116,4,FALSE),
IF($A56&lt;'PVC SCH40'!$A$376,VLOOKUP($A56,'PVC SCH40'!$A$8:$M$375,4,FALSE),
IF($A56&lt;'PVC SCH40 LD'!$A$22,VLOOKUP($A56,'PVC SCH40 LD'!$A$8:$M$21,4,FALSE),
IF($A56&lt;'Pool &amp; SPA Sweep Elbows'!$A$12,VLOOKUP($A56,'Pool &amp; SPA Sweep Elbows'!$A$8:$M$11,4,FALSE),
IF($A56&lt;'Pool &amp; SPA Pipe Extender'!$A$11,VLOOKUP($A56,'Pool &amp; SPA Pipe Extender'!$A$8:$M$10,4,FALSE),
IF($A56&lt;'PVC SCH80'!$A$250,VLOOKUP($A56,'PVC SCH80'!$A$8:$M$249,4,FALSE),
IF($A56&lt;'PVC SCH80 Flange'!$A$49,VLOOKUP($A56,'PVC SCH80 Flange'!$A$8:$M$48,4,FALSE),
IF($A56&lt;'PVC SCH80 LD Flange'!$A$17,VLOOKUP($A56,'PVC SCH80 LD Flange'!$A$8:$M$16,4,FALSE),
IF($A56&lt;CPVC!$A$100,VLOOKUP($A56,CPVC!$A$8:$M$99,4,FALSE),
IF($A56&lt;InsertFittings!$A$237,VLOOKUP($A56,InsertFittings!$A$11:$M$236,4,FALSE),
IF($A56&lt;Valves!$A$132,VLOOKUP($A56,Valves!$A$8:$M$131,4,FALSE),
IF($A56&lt;SDR35SW!$A$124,VLOOKUP($A56,SDR35SW!$A$8:$M$123,4,FALSE),
IF($A56&lt;SDR35G!$A$143,VLOOKUP($A56, SDR35G!$A$8:$M$142,4,FALSE),
IF($A56&lt;SDR26G!$A$61,VLOOKUP($A56,SDR26G!$A$8:$N$60,4,FALSE),
IF($A56&lt;Cements!$A$100,VLOOKUP($A56,Cements!$A$8:$Q$99,4,FALSE),
IF($A56&lt;ValveBox!$A$143,VLOOKUP($A56,ValveBox!$A$10:$O$142,4,FALSE),
IF($A56&lt;'ValveBox Components'!$A$165,VLOOKUP($A56,'ValveBox Components'!$A$10:$O$164,4,FALSE),
IF($A56&lt;Drainage!$A$92,VLOOKUP($A56,Drainage!$A$8:$M$91,4,FALSE),
IF($A56&lt;Nipples!$A$82,VLOOKUP($A56,Nipples!$A$9:$Q$81,4,FALSE),
IF($A56&lt;Manifold!$A$33,VLOOKUP($A56,Manifold!$A$9:$M$32,4,FALSE),
IF($A56&lt;FlexibleRepairCouplings!$A$13,VLOOKUP($A56,FlexibleRepairCouplings!$A$10:$M$12,4,FALSE),
IF($A56&lt;DuraFix!$A$15,VLOOKUP($A56,DuraFix!$A$9:$M$14,4,FALSE),
IF($A56&lt;'Compression Fittings'!$A$16,VLOOKUP($A56,'Compression Fittings'!$A$8:$M$15,4,FALSE),
IF($A56&lt;'Hose Fittings'!$A$30,VLOOKUP($A56,'Hose Fittings'!$A$8:$M$29,4,FALSE),
IF($A56&lt;'Swing Joints'!$A$496,VLOOKUP($A56,'Swing Joints'!$A$9:$M$495,4,FALSE),
IF($A56&lt;'Swing Joints Components'!$A$135,VLOOKUP($A56,'Swing Joints Components'!$A$9:$M$134,4,FALSE),
IF($A56&lt;Nonstandard!$A$42,VLOOKUP($A56,Nonstandard!$A$31:$J$41,5,FALSE),"")))))))))))))))))))))))))))),"")</f>
        <v/>
      </c>
      <c r="C56" s="420" t="str">
        <f>IFERROR(IF($A56&lt;'DWV PVC'!$A$285,VLOOKUP($A56,'DWV PVC'!$A$8:$M$284,5,FALSE),
IF($A56&lt;'DWV ABS'!$A$117,VLOOKUP($A56,'DWV ABS'!$A$8:$M$116,5,FALSE),
IF($A56&lt;'PVC SCH40'!$A$376,VLOOKUP($A56,'PVC SCH40'!$A$8:$M$375,5,FALSE),
IF($A56&lt;'PVC SCH40 LD'!$A$22,VLOOKUP($A56,'PVC SCH40 LD'!$A$8:$M$21,5,FALSE),
IF($A56&lt;'Pool &amp; SPA Sweep Elbows'!$A$12,VLOOKUP($A56,'Pool &amp; SPA Sweep Elbows'!$A$8:$M$11,5,FALSE),
IF($A56&lt;'Pool &amp; SPA Pipe Extender'!$A$11,VLOOKUP($A56,'Pool &amp; SPA Pipe Extender'!$A$8:$M$10,5,FALSE),
IF($A56&lt;'PVC SCH80'!$A$250,VLOOKUP($A56,'PVC SCH80'!$A$8:$M$249,5,FALSE),
IF($A56&lt;'PVC SCH80 Flange'!$A$49,VLOOKUP($A56,'PVC SCH80 Flange'!$A$8:$M$48,5,FALSE),
IF($A56&lt;'PVC SCH80 LD Flange'!$A$17,VLOOKUP($A56,'PVC SCH80 LD Flange'!$A$8:$M$16,5,FALSE),
IF($A56&lt;CPVC!$A$100,VLOOKUP($A56,CPVC!$A$8:$M$99,5,FALSE),
IF($A56&lt;InsertFittings!$A$237,VLOOKUP($A56,InsertFittings!$A$11:$M$236,5,FALSE),
IF($A56&lt;Valves!$A$132,VLOOKUP($A56,Valves!$A$8:$M$131,5,FALSE),
IF($A56&lt;SDR35SW!$A$124,VLOOKUP($A56,SDR35SW!$A$8:$M$123,5,FALSE),
IF($A56&lt;SDR35G!$A$143,VLOOKUP($A56, SDR35G!$A$8:$M$142,5,FALSE),
IF($A56&lt;SDR26G!$A$61,VLOOKUP($A56,SDR26G!$A$8:$N$60,5,FALSE),
IF($A56&lt;Cements!$A$100,VLOOKUP($A56,Cements!$A$8:$Q$99,5,FALSE),
IF($A56&lt;ValveBox!$A$143,VLOOKUP($A56,ValveBox!$A$10:$O$142,5,FALSE),
IF($A56&lt;'ValveBox Components'!$A$165,VLOOKUP($A56,'ValveBox Components'!$A$10:$O$164,5,FALSE),
IF($A56&lt;Drainage!$A$92,VLOOKUP($A56,Drainage!$A$8:$M$91,5,FALSE),
IF($A56&lt;Nipples!$A$82,VLOOKUP($A56,Nipples!$A$9:$Q$81,5,FALSE),
IF($A56&lt;Manifold!$A$33,VLOOKUP($A56,Manifold!$A$9:$M$32,5,FALSE),
IF($A56&lt;FlexibleRepairCouplings!$A$13,VLOOKUP($A56,FlexibleRepairCouplings!$A$10:$M$12,5,FALSE),
IF($A56&lt;DuraFix!$A$15,VLOOKUP($A56,DuraFix!$A$9:$M$14,5,FALSE),
IF($A56&lt;'Compression Fittings'!$A$16,VLOOKUP($A56,'Compression Fittings'!$A$8:$M$15,5,FALSE),
IF($A56&lt;'Hose Fittings'!$A$30,VLOOKUP($A56,'Hose Fittings'!$A$8:$M$29,5,FALSE),
IF($A56&lt;'Swing Joints'!$A$496,VLOOKUP($A56,'Swing Joints'!$A$9:$M$495,5,FALSE),
IF($A56&lt;'Swing Joints Components'!$A$135,VLOOKUP($A56,'Swing Joints Components'!$A$9:$M$134,5,FALSE),
IF($A56&lt;Nonstandard!$A$42,VLOOKUP($A56,Nonstandard!$A$31:$J$41,6,FALSE),"")))))))))))))))))))))))))))),"")</f>
        <v/>
      </c>
      <c r="D56" s="428" t="str">
        <f>IFERROR(IF($A56&lt;'DWV PVC'!$A$285,VLOOKUP($A56,'DWV PVC'!$A$8:$M$284,6,FALSE),
IF($A56&lt;'DWV ABS'!$A$117,VLOOKUP($A56,'DWV ABS'!$A$8:$M$116,6,FALSE),
IF($A56&lt;'PVC SCH40'!$A$376,VLOOKUP($A56,'PVC SCH40'!$A$8:$M$375,6,FALSE),
IF($A56&lt;'PVC SCH40 LD'!$A$22,VLOOKUP($A56,'PVC SCH40 LD'!$A$8:$M$21,6,FALSE),
IF($A56&lt;'Pool &amp; SPA Sweep Elbows'!$A$12,VLOOKUP($A56,'Pool &amp; SPA Sweep Elbows'!$A$8:$M$11,6,FALSE),
IF($A56&lt;'Pool &amp; SPA Pipe Extender'!$A$11,VLOOKUP($A56,'Pool &amp; SPA Pipe Extender'!$A$8:$M$10,6,FALSE),
IF($A56&lt;'PVC SCH80'!$A$250,VLOOKUP($A56,'PVC SCH80'!$A$8:$M$249,6,FALSE),
IF($A56&lt;'PVC SCH80 Flange'!$A$49,VLOOKUP($A56,'PVC SCH80 Flange'!$A$8:$M$48,6,FALSE),
IF($A56&lt;'PVC SCH80 LD Flange'!$A$17,VLOOKUP($A56,'PVC SCH80 LD Flange'!$A$8:$M$16,6,FALSE),
IF($A56&lt;CPVC!$A$100,VLOOKUP($A56,CPVC!$A$8:$M$99,6,FALSE),
IF($A56&lt;InsertFittings!$A$237,VLOOKUP($A56,InsertFittings!$A$11:$M$236,6,FALSE),
IF($A56&lt;Valves!$A$132,VLOOKUP($A56,Valves!$A$8:$M$131,6,FALSE),
IF($A56&lt;SDR35SW!$A$124,VLOOKUP($A56,SDR35SW!$A$8:$M$123,6,FALSE),
IF($A56&lt;SDR35G!$A$143,VLOOKUP($A56, SDR35G!$A$8:$M$142,6,FALSE),
IF($A56&lt;SDR26G!$A$61,VLOOKUP($A56,SDR26G!$A$8:$N$60,6,FALSE),
IF($A56&lt;Cements!$A$100,VLOOKUP($A56,Cements!$A$8:$Q$99,6,FALSE),
IF($A56&lt;ValveBox!$A$143,VLOOKUP($A56,ValveBox!$A$10:$O$142,6,FALSE),
IF($A56&lt;'ValveBox Components'!$A$165,VLOOKUP($A56,'ValveBox Components'!$A$10:$O$164,6,FALSE),
IF($A56&lt;Drainage!$A$92,VLOOKUP($A56,Drainage!$A$8:$M$91,6,FALSE),
IF($A56&lt;Nipples!$A$82,VLOOKUP($A56,Nipples!$A$9:$Q$81,6,FALSE),
IF($A56&lt;Manifold!$A$33,VLOOKUP($A56,Manifold!$A$9:$M$32,6,FALSE),
IF($A56&lt;FlexibleRepairCouplings!$A$13,VLOOKUP($A56,FlexibleRepairCouplings!$A$10:$M$12,6,FALSE),
IF($A56&lt;DuraFix!$A$15,VLOOKUP($A56,DuraFix!$A$9:$M$14,6,FALSE),
IF($A56&lt;'Compression Fittings'!$A$16,VLOOKUP($A56,'Compression Fittings'!$A$8:$M$15,6,FALSE),
IF($A56&lt;'Hose Fittings'!$A$30,VLOOKUP($A56,'Hose Fittings'!$A$8:$M$29,6,FALSE),
IF($A56&lt;'Swing Joints'!$A$496,VLOOKUP($A56,'Swing Joints'!$A$9:$M$495,6,FALSE),
IF($A56&lt;'Swing Joints Components'!$A$135,VLOOKUP($A56,'Swing Joints Components'!$A$9:$M$134,6,FALSE),
IF($A56&lt;Nonstandard!$A$42,VLOOKUP($A56,Nonstandard!$A$31:$J$41,7,FALSE),"")))))))))))))))))))))))))))),"")</f>
        <v/>
      </c>
      <c r="E56" s="429"/>
      <c r="F56" s="421" t="str">
        <f>IFERROR(IF($A56&lt;'DWV PVC'!$A$285,VLOOKUP($A56,'DWV PVC'!$A$8:$M$284,9,FALSE),
IF($A56&lt;'DWV ABS'!$A$117,VLOOKUP($A56,'DWV ABS'!$A$8:$M$116,9,FALSE),
IF($A56&lt;'PVC SCH40'!$A$376,VLOOKUP($A56,'PVC SCH40'!$A$8:$M$375,9,FALSE),
IF($A56&lt;'PVC SCH40 LD'!$A$22,VLOOKUP($A56,'PVC SCH40 LD'!$A$8:$M$21,9,FALSE),
IF($A56&lt;'Pool &amp; SPA Sweep Elbows'!$A$12,VLOOKUP($A56,'Pool &amp; SPA Sweep Elbows'!$A$8:$M$11,9,FALSE),
IF($A56&lt;'Pool &amp; SPA Pipe Extender'!$A$11,VLOOKUP($A56,'Pool &amp; SPA Pipe Extender'!$A$8:$M$10,9,FALSE),
IF($A56&lt;'PVC SCH80'!$A$250,VLOOKUP($A56,'PVC SCH80'!$A$8:$M$249,9,FALSE),
IF($A56&lt;'PVC SCH80 Flange'!$A$49,VLOOKUP($A56,'PVC SCH80 Flange'!$A$8:$M$48,9,FALSE),
IF($A56&lt;'PVC SCH80 LD Flange'!$A$17,VLOOKUP($A56,'PVC SCH80 LD Flange'!$A$8:$M$16,9,FALSE),
IF($A56&lt;CPVC!$A$100,VLOOKUP($A56,CPVC!$A$8:$M$99,9,FALSE),
IF($A56&lt;InsertFittings!$A$237,VLOOKUP($A56,InsertFittings!$A$11:$M$236,9,FALSE),
IF($A56&lt;Valves!$A$132,VLOOKUP($A56,Valves!$A$8:$M$131,9,FALSE),
IF($A56&lt;SDR35SW!$A$124,VLOOKUP($A56,SDR35SW!$A$8:$M$123,9,FALSE),
IF($A56&lt;SDR35G!$A$143,VLOOKUP($A56, SDR35G!$A$8:$M$142,9,FALSE),
IF($A56&lt;SDR26G!$A$61,VLOOKUP($A56,SDR26G!$A$8:$N$60,10,FALSE),
IF($A56&lt;Cements!$A$100,VLOOKUP($A56,Cements!$A$8:$Q$99,13,FALSE),
IF($A56&lt;ValveBox!$A$143,VLOOKUP($A56,ValveBox!$A$10:$O$142,11,FALSE),
IF($A56&lt;'ValveBox Components'!$A$165,VLOOKUP($A56,'ValveBox Components'!$A$10:$O$164,11,FALSE),
IF($A56&lt;Drainage!$A$92,VLOOKUP($A56,Drainage!$A$8:$M$91,9,FALSE),
IF($A56&lt;Nipples!$A$82,VLOOKUP($A56,Nipples!$A$9:$Q$81,13,FALSE),
IF($A56&lt;Manifold!$A$33,VLOOKUP($A56,Manifold!$A$9:$M$32,9,FALSE),
IF($A56&lt;FlexibleRepairCouplings!$A$13,VLOOKUP($A56,FlexibleRepairCouplings!$A$10:$M$12,9,FALSE),
IF($A56&lt;DuraFix!$A$15,VLOOKUP($A56,DuraFix!$A$9:$M$14,9,FALSE),
IF($A56&lt;'Compression Fittings'!$A$16,VLOOKUP($A56,'Compression Fittings'!$A$8:$M$15,9,FALSE),
IF($A56&lt;'Hose Fittings'!$A$30,VLOOKUP($A56,'Hose Fittings'!$A$8:$M$29,9,FALSE),
IF($A56&lt;'Swing Joints'!$A$496,VLOOKUP($A56,'Swing Joints'!$A$9:$M$495,9,FALSE),
IF($A56&lt;'Swing Joints Components'!$A$135,VLOOKUP($A56,'Swing Joints Components'!$A$9:$M$134,9,FALSE),
IF($A56&lt;Nonstandard!$A$42,VLOOKUP($A56,Nonstandard!$A$31:$J$41,8,FALSE),"")))))))))))))))))))))))))))),"")</f>
        <v/>
      </c>
      <c r="G56" s="422" t="str">
        <f>IFERROR(IF($A56&lt;'DWV PVC'!$A$285,VLOOKUP($A56,'DWV PVC'!$A$8:$M$284,11,FALSE),
IF($A56&lt;'DWV ABS'!$A$117,VLOOKUP($A56,'DWV ABS'!$A$8:$M$116,11,FALSE),
IF($A56&lt;'PVC SCH40'!$A$376,VLOOKUP($A56,'PVC SCH40'!$A$8:$M$375,11,FALSE),
IF($A56&lt;'PVC SCH40 LD'!$A$22,VLOOKUP($A56,'PVC SCH40 LD'!$A$8:$M$21,11,FALSE),
IF($A56&lt;'Pool &amp; SPA Sweep Elbows'!$A$12,VLOOKUP($A56,'Pool &amp; SPA Sweep Elbows'!$A$8:$M$11,11,FALSE),
IF($A56&lt;'Pool &amp; SPA Pipe Extender'!$A$11,VLOOKUP($A56,'Pool &amp; SPA Pipe Extender'!$A$8:$M$10,11,FALSE),
IF($A56&lt;'PVC SCH80'!$A$250,VLOOKUP($A56,'PVC SCH80'!$A$8:$M$249,11,FALSE),
IF($A56&lt;'PVC SCH80 Flange'!$A$49,VLOOKUP($A56,'PVC SCH80 Flange'!$A$8:$M$48,11,FALSE),
IF($A56&lt;'PVC SCH80 LD Flange'!$A$17,VLOOKUP($A56,'PVC SCH80 LD Flange'!$A$8:$M$16,11,FALSE),
IF($A56&lt;CPVC!$A$100,VLOOKUP($A56,CPVC!$A$8:$M$99,11,FALSE),
IF($A56&lt;InsertFittings!$A$237,VLOOKUP($A56,InsertFittings!$A$11:$M$236,11,FALSE),
IF($A56&lt;Valves!$A$132,VLOOKUP($A56,Valves!$A$8:$M$131,11,FALSE),
IF($A56&lt;SDR35SW!$A$124,VLOOKUP($A56,SDR35SW!$A$8:$M$123,11,FALSE),
IF($A56&lt;SDR35G!$A$143,VLOOKUP($A56, SDR35G!$A$8:$M$142,11,FALSE),
IF($A56&lt;SDR26G!$A$61,VLOOKUP($A56,SDR26G!$A$8:$N$60,12,FALSE),
IF($A56&lt;Cements!$A$100,VLOOKUP($A56,Cements!$A$8:$Q$99,15,FALSE),
IF($A56&lt;ValveBox!$A$143,VLOOKUP($A56,ValveBox!$A$10:$O$142,13,FALSE),
IF($A56&lt;'ValveBox Components'!$A$165,VLOOKUP($A56,'ValveBox Components'!$A$10:$O$164,13,FALSE),
IF($A56&lt;Drainage!$A$92,VLOOKUP($A56,Drainage!$A$8:$M$91,11,FALSE),
IF($A56&lt;Nipples!$A$82,VLOOKUP($A56,Nipples!$A$9:$Q$81,15,FALSE),
IF($A56&lt;Manifold!$A$33,VLOOKUP($A56,Manifold!$A$9:$M$32,11,FALSE),
IF($A56&lt;FlexibleRepairCouplings!$A$13,VLOOKUP($A56,FlexibleRepairCouplings!$A$10:$M$12,11,FALSE),
IF($A56&lt;DuraFix!$A$15,VLOOKUP($A56,DuraFix!$A$9:$M$14,11,FALSE),
IF($A56&lt;'Compression Fittings'!$A$16,VLOOKUP($A56,'Compression Fittings'!$A$8:$M$15,11,FALSE),
IF($A56&lt;'Hose Fittings'!$A$30,VLOOKUP($A56,'Hose Fittings'!$A$8:$M$29,11,FALSE),
IF($A56&lt;'Swing Joints'!$A$496,VLOOKUP($A56,'Swing Joints'!$A$9:$M$495,11,FALSE),
IF($A56&lt;'Swing Joints Components'!$A$135,VLOOKUP($A56,'Swing Joints Components'!$A$9:$M$134,11,FALSE),
IF($A56&lt;Nonstandard!$A$42,VLOOKUP($A56,Nonstandard!$A$31:$J$41,3,FALSE),"")))))))))))))))))))))))))))),"")</f>
        <v/>
      </c>
      <c r="H56" s="588" t="str">
        <f>IFERROR(IF($A56&lt;'DWV PVC'!$A$285,VLOOKUP($A56,'DWV PVC'!$A$8:$M$284,7,FALSE),
IF($A56&lt;'DWV ABS'!$A$117,VLOOKUP($A56,'DWV ABS'!$A$8:$M$116,7,FALSE),
IF($A56&lt;'PVC SCH40'!$A$376,VLOOKUP($A56,'PVC SCH40'!$A$8:$M$375,7,FALSE),
IF($A56&lt;'PVC SCH40 LD'!$A$22,VLOOKUP($A56,'PVC SCH40 LD'!$A$8:$M$21,7,FALSE),
IF($A56&lt;'Pool &amp; SPA Sweep Elbows'!$A$12,VLOOKUP($A56,'Pool &amp; SPA Sweep Elbows'!$A$8:$M$11,7,FALSE),
IF($A56&lt;'Pool &amp; SPA Pipe Extender'!$A$11,VLOOKUP($A56,'Pool &amp; SPA Pipe Extender'!$A$8:$M$10,7,FALSE),
IF($A56&lt;'PVC SCH80'!$A$250,VLOOKUP($A56,'PVC SCH80'!$A$8:$M$249,7,FALSE),
IF($A56&lt;'PVC SCH80 Flange'!$A$49,VLOOKUP($A56,'PVC SCH80 Flange'!$A$8:$M$48,7,FALSE),
IF($A56&lt;'PVC SCH80 LD Flange'!$A$17,VLOOKUP($A56,'PVC SCH80 LD Flange'!$A$8:$M$16,7,FALSE),
IF($A56&lt;CPVC!$A$100,VLOOKUP($A56,CPVC!$A$8:$M$99,7,FALSE),
IF($A56&lt;InsertFittings!$A$237,VLOOKUP($A56,InsertFittings!$A$11:$M$236,7,FALSE),
IF($A56&lt;Valves!$A$132,VLOOKUP($A56,Valves!$A$8:$M$131,7,FALSE),
IF($A56&lt;SDR35SW!$A$124,VLOOKUP($A56,SDR35SW!$A$8:$M$123,7,FALSE),
IF($A56&lt;SDR35G!$A$143,VLOOKUP($A56, SDR35G!$A$8:$M$142,7,FALSE),
IF($A56&lt;SDR26G!$A$61,VLOOKUP($A56,SDR26G!$A$8:$N$60,10,FALSE),
IF($A56&lt;Cements!$A$100,VLOOKUP($A56,Cements!$A$8:$Q$99,13,FALSE),
IF($A56&lt;ValveBox!$A$143,VLOOKUP($A56,ValveBox!$A$10:$O$142,11,FALSE),
IF($A56&lt;'ValveBox Components'!$A$165,VLOOKUP($A56,'ValveBox Components'!$A$10:$O$164,11,FALSE),
IF($A56&lt;Drainage!$A$92,VLOOKUP($A56,Drainage!$A$8:$M$91,7,FALSE),
IF($A56&lt;Nipples!$A$82,VLOOKUP($A56,Nipples!$A$9:$Q$81,13,FALSE),
IF($A56&lt;Manifold!$A$33,VLOOKUP($A56,Manifold!$A$9:$M$32,7,FALSE),
IF($A56&lt;FlexibleRepairCouplings!$A$13,VLOOKUP($A56,FlexibleRepairCouplings!$A$10:$M$12,7,FALSE),
IF($A56&lt;DuraFix!$A$15,VLOOKUP($A56,DuraFix!$A$9:$M$14,7,FALSE),
IF($A56&lt;'Compression Fittings'!$A$16,VLOOKUP($A56,'Compression Fittings'!$A$8:$M$15,7,FALSE),
IF($A56&lt;'Hose Fittings'!$A$30,VLOOKUP($A56,'Hose Fittings'!$A$8:$M$29,7,FALSE),
IF($A56&lt;'Swing Joints'!$A$496,VLOOKUP($A56,'Swing Joints'!$A$9:$M$495,7,FALSE),
IF($A56&lt;'Swing Joints Components'!$A$135,VLOOKUP($A56,'Swing Joints Components'!$A$9:$M$134,7,FALSE),
IF($A56&lt;Nonstandard!$A$42,VLOOKUP($A56,Nonstandard!$A$31:$J$41,3,FALSE),"")))))))))))))))))))))))))))),"")</f>
        <v/>
      </c>
      <c r="I56" s="589"/>
      <c r="J56" s="423" t="str">
        <f t="shared" si="1"/>
        <v/>
      </c>
      <c r="K56" s="424" t="str">
        <f>IFERROR(IF($A56&lt;'DWV PVC'!$A$285,VLOOKUP($A56,'DWV PVC'!$A$8:$M$284,10,FALSE),
IF($A56&lt;'DWV ABS'!$A$117,VLOOKUP($A56,'DWV ABS'!$A$8:$M$116,10,FALSE),
IF($A56&lt;'PVC SCH40'!$A$376,VLOOKUP($A56,'PVC SCH40'!$A$8:$M$375,10,FALSE),
IF($A56&lt;'PVC SCH40 LD'!$A$22,VLOOKUP($A56,'PVC SCH40 LD'!$A$8:$M$21,10,FALSE),
IF($A56&lt;'Pool &amp; SPA Sweep Elbows'!$A$12,VLOOKUP($A56,'Pool &amp; SPA Sweep Elbows'!$A$8:$M$11,10,FALSE),
IF($A56&lt;'Pool &amp; SPA Pipe Extender'!$A$11,VLOOKUP($A56,'Pool &amp; SPA Pipe Extender'!$A$8:$M$10,10,FALSE),
IF($A56&lt;'PVC SCH80'!$A$250,VLOOKUP($A56,'PVC SCH80'!$A$8:$M$249,10,FALSE),
IF($A56&lt;'PVC SCH80 Flange'!$A$49,VLOOKUP($A56,'PVC SCH80 Flange'!$A$8:$M$48,10,FALSE),
IF($A56&lt;'PVC SCH80 LD Flange'!$A$17,VLOOKUP($A56,'PVC SCH80 LD Flange'!$A$8:$M$16,10,FALSE),
IF($A56&lt;CPVC!$A$100,VLOOKUP($A56,CPVC!$A$8:$M$99,10,FALSE),
IF($A56&lt;InsertFittings!$A$237,VLOOKUP($A56,InsertFittings!$A$11:$M$236,10,FALSE),
IF($A56&lt;Valves!$A$132,VLOOKUP($A56,Valves!$A$8:$M$131,10,FALSE),
IF($A56&lt;SDR35SW!$A$124,VLOOKUP($A56,SDR35SW!$A$8:$M$123,10,FALSE),
IF($A56&lt;SDR35G!$A$143,VLOOKUP($A56, SDR35G!$A$8:$M$142,10,FALSE),
IF($A56&lt;SDR26G!$A$61,VLOOKUP($A56,SDR26G!$A$8:$N$60,11,FALSE),
IF($A56&lt;Cements!$A$100,VLOOKUP($A56,Cements!$A$8:$Q$99,14,FALSE),
IF($A56&lt;ValveBox!$A$143,VLOOKUP($A56,ValveBox!$A$10:$O$142,12,FALSE),
IF($A56&lt;'ValveBox Components'!$A$165,VLOOKUP($A56,'ValveBox Components'!$A$10:$O$164,12,FALSE),
IF($A56&lt;Drainage!$A$92,VLOOKUP($A56,Drainage!$A$8:$M$91,10,FALSE),
IF($A56&lt;Nipples!$A$82,VLOOKUP($A56,Nipples!$A$9:$Q$81,14,FALSE),
IF($A56&lt;Manifold!$A$33,VLOOKUP($A56,Manifold!$A$9:$M$32,10,FALSE),
IF($A56&lt;FlexibleRepairCouplings!$A$13,VLOOKUP($A56,FlexibleRepairCouplings!$A$10:$M$12,10,FALSE),
IF($A56&lt;DuraFix!$A$15,VLOOKUP($A56,DuraFix!$A$9:$M$14,10,FALSE),
IF($A56&lt;'Compression Fittings'!$A$16,VLOOKUP($A56,'Compression Fittings'!$A$8:$M$15,10,FALSE),
IF($A56&lt;'Hose Fittings'!$A$30,VLOOKUP($A56,'Hose Fittings'!$A$8:$M$29,10,FALSE),
IF($A56&lt;'Swing Joints'!$A$496,VLOOKUP($A56,'Swing Joints'!$A$9:$M$495,10,FALSE),
IF($A56&lt;'Swing Joints Components'!$A$135,VLOOKUP($A56,'Swing Joints Components'!$A$9:$M$134,10,FALSE),
IF($A56&lt;Nonstandard!$A$42,VLOOKUP($A56,Nonstandard!$A$31:$J$41,10,FALSE),"")))))))))))))))))))))))))))),"")</f>
        <v/>
      </c>
      <c r="L56" s="421" t="str">
        <f t="shared" si="0"/>
        <v>-</v>
      </c>
      <c r="M56" s="425"/>
    </row>
    <row r="57" spans="1:13" ht="15.75">
      <c r="A57" s="415">
        <v>25</v>
      </c>
      <c r="B57" s="415" t="str">
        <f>IFERROR(IF($A57&lt;'DWV PVC'!$A$285,VLOOKUP($A57,'DWV PVC'!$A$8:$M$284,4,FALSE),
IF($A57&lt;'DWV ABS'!$A$117,VLOOKUP($A57,'DWV ABS'!$A$8:$M$116,4,FALSE),
IF($A57&lt;'PVC SCH40'!$A$376,VLOOKUP($A57,'PVC SCH40'!$A$8:$M$375,4,FALSE),
IF($A57&lt;'PVC SCH40 LD'!$A$22,VLOOKUP($A57,'PVC SCH40 LD'!$A$8:$M$21,4,FALSE),
IF($A57&lt;'Pool &amp; SPA Sweep Elbows'!$A$12,VLOOKUP($A57,'Pool &amp; SPA Sweep Elbows'!$A$8:$M$11,4,FALSE),
IF($A57&lt;'Pool &amp; SPA Pipe Extender'!$A$11,VLOOKUP($A57,'Pool &amp; SPA Pipe Extender'!$A$8:$M$10,4,FALSE),
IF($A57&lt;'PVC SCH80'!$A$250,VLOOKUP($A57,'PVC SCH80'!$A$8:$M$249,4,FALSE),
IF($A57&lt;'PVC SCH80 Flange'!$A$49,VLOOKUP($A57,'PVC SCH80 Flange'!$A$8:$M$48,4,FALSE),
IF($A57&lt;'PVC SCH80 LD Flange'!$A$17,VLOOKUP($A57,'PVC SCH80 LD Flange'!$A$8:$M$16,4,FALSE),
IF($A57&lt;CPVC!$A$100,VLOOKUP($A57,CPVC!$A$8:$M$99,4,FALSE),
IF($A57&lt;InsertFittings!$A$237,VLOOKUP($A57,InsertFittings!$A$11:$M$236,4,FALSE),
IF($A57&lt;Valves!$A$132,VLOOKUP($A57,Valves!$A$8:$M$131,4,FALSE),
IF($A57&lt;SDR35SW!$A$124,VLOOKUP($A57,SDR35SW!$A$8:$M$123,4,FALSE),
IF($A57&lt;SDR35G!$A$143,VLOOKUP($A57, SDR35G!$A$8:$M$142,4,FALSE),
IF($A57&lt;SDR26G!$A$61,VLOOKUP($A57,SDR26G!$A$8:$N$60,4,FALSE),
IF($A57&lt;Cements!$A$100,VLOOKUP($A57,Cements!$A$8:$Q$99,4,FALSE),
IF($A57&lt;ValveBox!$A$143,VLOOKUP($A57,ValveBox!$A$10:$O$142,4,FALSE),
IF($A57&lt;'ValveBox Components'!$A$165,VLOOKUP($A57,'ValveBox Components'!$A$10:$O$164,4,FALSE),
IF($A57&lt;Drainage!$A$92,VLOOKUP($A57,Drainage!$A$8:$M$91,4,FALSE),
IF($A57&lt;Nipples!$A$82,VLOOKUP($A57,Nipples!$A$9:$Q$81,4,FALSE),
IF($A57&lt;Manifold!$A$33,VLOOKUP($A57,Manifold!$A$9:$M$32,4,FALSE),
IF($A57&lt;FlexibleRepairCouplings!$A$13,VLOOKUP($A57,FlexibleRepairCouplings!$A$10:$M$12,4,FALSE),
IF($A57&lt;DuraFix!$A$15,VLOOKUP($A57,DuraFix!$A$9:$M$14,4,FALSE),
IF($A57&lt;'Compression Fittings'!$A$16,VLOOKUP($A57,'Compression Fittings'!$A$8:$M$15,4,FALSE),
IF($A57&lt;'Hose Fittings'!$A$30,VLOOKUP($A57,'Hose Fittings'!$A$8:$M$29,4,FALSE),
IF($A57&lt;'Swing Joints'!$A$496,VLOOKUP($A57,'Swing Joints'!$A$9:$M$495,4,FALSE),
IF($A57&lt;'Swing Joints Components'!$A$135,VLOOKUP($A57,'Swing Joints Components'!$A$9:$M$134,4,FALSE),
IF($A57&lt;Nonstandard!$A$42,VLOOKUP($A57,Nonstandard!$A$31:$J$41,5,FALSE),"")))))))))))))))))))))))))))),"")</f>
        <v/>
      </c>
      <c r="C57" s="415" t="str">
        <f>IFERROR(IF($A57&lt;'DWV PVC'!$A$285,VLOOKUP($A57,'DWV PVC'!$A$8:$M$284,5,FALSE),
IF($A57&lt;'DWV ABS'!$A$117,VLOOKUP($A57,'DWV ABS'!$A$8:$M$116,5,FALSE),
IF($A57&lt;'PVC SCH40'!$A$376,VLOOKUP($A57,'PVC SCH40'!$A$8:$M$375,5,FALSE),
IF($A57&lt;'PVC SCH40 LD'!$A$22,VLOOKUP($A57,'PVC SCH40 LD'!$A$8:$M$21,5,FALSE),
IF($A57&lt;'Pool &amp; SPA Sweep Elbows'!$A$12,VLOOKUP($A57,'Pool &amp; SPA Sweep Elbows'!$A$8:$M$11,5,FALSE),
IF($A57&lt;'Pool &amp; SPA Pipe Extender'!$A$11,VLOOKUP($A57,'Pool &amp; SPA Pipe Extender'!$A$8:$M$10,5,FALSE),
IF($A57&lt;'PVC SCH80'!$A$250,VLOOKUP($A57,'PVC SCH80'!$A$8:$M$249,5,FALSE),
IF($A57&lt;'PVC SCH80 Flange'!$A$49,VLOOKUP($A57,'PVC SCH80 Flange'!$A$8:$M$48,5,FALSE),
IF($A57&lt;'PVC SCH80 LD Flange'!$A$17,VLOOKUP($A57,'PVC SCH80 LD Flange'!$A$8:$M$16,5,FALSE),
IF($A57&lt;CPVC!$A$100,VLOOKUP($A57,CPVC!$A$8:$M$99,5,FALSE),
IF($A57&lt;InsertFittings!$A$237,VLOOKUP($A57,InsertFittings!$A$11:$M$236,5,FALSE),
IF($A57&lt;Valves!$A$132,VLOOKUP($A57,Valves!$A$8:$M$131,5,FALSE),
IF($A57&lt;SDR35SW!$A$124,VLOOKUP($A57,SDR35SW!$A$8:$M$123,5,FALSE),
IF($A57&lt;SDR35G!$A$143,VLOOKUP($A57, SDR35G!$A$8:$M$142,5,FALSE),
IF($A57&lt;SDR26G!$A$61,VLOOKUP($A57,SDR26G!$A$8:$N$60,5,FALSE),
IF($A57&lt;Cements!$A$100,VLOOKUP($A57,Cements!$A$8:$Q$99,5,FALSE),
IF($A57&lt;ValveBox!$A$143,VLOOKUP($A57,ValveBox!$A$10:$O$142,5,FALSE),
IF($A57&lt;'ValveBox Components'!$A$165,VLOOKUP($A57,'ValveBox Components'!$A$10:$O$164,5,FALSE),
IF($A57&lt;Drainage!$A$92,VLOOKUP($A57,Drainage!$A$8:$M$91,5,FALSE),
IF($A57&lt;Nipples!$A$82,VLOOKUP($A57,Nipples!$A$9:$Q$81,5,FALSE),
IF($A57&lt;Manifold!$A$33,VLOOKUP($A57,Manifold!$A$9:$M$32,5,FALSE),
IF($A57&lt;FlexibleRepairCouplings!$A$13,VLOOKUP($A57,FlexibleRepairCouplings!$A$10:$M$12,5,FALSE),
IF($A57&lt;DuraFix!$A$15,VLOOKUP($A57,DuraFix!$A$9:$M$14,5,FALSE),
IF($A57&lt;'Compression Fittings'!$A$16,VLOOKUP($A57,'Compression Fittings'!$A$8:$M$15,5,FALSE),
IF($A57&lt;'Hose Fittings'!$A$30,VLOOKUP($A57,'Hose Fittings'!$A$8:$M$29,5,FALSE),
IF($A57&lt;'Swing Joints'!$A$496,VLOOKUP($A57,'Swing Joints'!$A$9:$M$495,5,FALSE),
IF($A57&lt;'Swing Joints Components'!$A$135,VLOOKUP($A57,'Swing Joints Components'!$A$9:$M$134,5,FALSE),
IF($A57&lt;Nonstandard!$A$42,VLOOKUP($A57,Nonstandard!$A$31:$J$41,6,FALSE),"")))))))))))))))))))))))))))),"")</f>
        <v/>
      </c>
      <c r="D57" s="426" t="str">
        <f>IFERROR(IF($A57&lt;'DWV PVC'!$A$285,VLOOKUP($A57,'DWV PVC'!$A$8:$M$284,6,FALSE),
IF($A57&lt;'DWV ABS'!$A$117,VLOOKUP($A57,'DWV ABS'!$A$8:$M$116,6,FALSE),
IF($A57&lt;'PVC SCH40'!$A$376,VLOOKUP($A57,'PVC SCH40'!$A$8:$M$375,6,FALSE),
IF($A57&lt;'PVC SCH40 LD'!$A$22,VLOOKUP($A57,'PVC SCH40 LD'!$A$8:$M$21,6,FALSE),
IF($A57&lt;'Pool &amp; SPA Sweep Elbows'!$A$12,VLOOKUP($A57,'Pool &amp; SPA Sweep Elbows'!$A$8:$M$11,6,FALSE),
IF($A57&lt;'Pool &amp; SPA Pipe Extender'!$A$11,VLOOKUP($A57,'Pool &amp; SPA Pipe Extender'!$A$8:$M$10,6,FALSE),
IF($A57&lt;'PVC SCH80'!$A$250,VLOOKUP($A57,'PVC SCH80'!$A$8:$M$249,6,FALSE),
IF($A57&lt;'PVC SCH80 Flange'!$A$49,VLOOKUP($A57,'PVC SCH80 Flange'!$A$8:$M$48,6,FALSE),
IF($A57&lt;'PVC SCH80 LD Flange'!$A$17,VLOOKUP($A57,'PVC SCH80 LD Flange'!$A$8:$M$16,6,FALSE),
IF($A57&lt;CPVC!$A$100,VLOOKUP($A57,CPVC!$A$8:$M$99,6,FALSE),
IF($A57&lt;InsertFittings!$A$237,VLOOKUP($A57,InsertFittings!$A$11:$M$236,6,FALSE),
IF($A57&lt;Valves!$A$132,VLOOKUP($A57,Valves!$A$8:$M$131,6,FALSE),
IF($A57&lt;SDR35SW!$A$124,VLOOKUP($A57,SDR35SW!$A$8:$M$123,6,FALSE),
IF($A57&lt;SDR35G!$A$143,VLOOKUP($A57, SDR35G!$A$8:$M$142,6,FALSE),
IF($A57&lt;SDR26G!$A$61,VLOOKUP($A57,SDR26G!$A$8:$N$60,6,FALSE),
IF($A57&lt;Cements!$A$100,VLOOKUP($A57,Cements!$A$8:$Q$99,6,FALSE),
IF($A57&lt;ValveBox!$A$143,VLOOKUP($A57,ValveBox!$A$10:$O$142,6,FALSE),
IF($A57&lt;'ValveBox Components'!$A$165,VLOOKUP($A57,'ValveBox Components'!$A$10:$O$164,6,FALSE),
IF($A57&lt;Drainage!$A$92,VLOOKUP($A57,Drainage!$A$8:$M$91,6,FALSE),
IF($A57&lt;Nipples!$A$82,VLOOKUP($A57,Nipples!$A$9:$Q$81,6,FALSE),
IF($A57&lt;Manifold!$A$33,VLOOKUP($A57,Manifold!$A$9:$M$32,6,FALSE),
IF($A57&lt;FlexibleRepairCouplings!$A$13,VLOOKUP($A57,FlexibleRepairCouplings!$A$10:$M$12,6,FALSE),
IF($A57&lt;DuraFix!$A$15,VLOOKUP($A57,DuraFix!$A$9:$M$14,6,FALSE),
IF($A57&lt;'Compression Fittings'!$A$16,VLOOKUP($A57,'Compression Fittings'!$A$8:$M$15,6,FALSE),
IF($A57&lt;'Hose Fittings'!$A$30,VLOOKUP($A57,'Hose Fittings'!$A$8:$M$29,6,FALSE),
IF($A57&lt;'Swing Joints'!$A$496,VLOOKUP($A57,'Swing Joints'!$A$9:$M$495,6,FALSE),
IF($A57&lt;'Swing Joints Components'!$A$135,VLOOKUP($A57,'Swing Joints Components'!$A$9:$M$134,6,FALSE),
IF($A57&lt;Nonstandard!$A$42,VLOOKUP($A57,Nonstandard!$A$31:$J$41,7,FALSE),"")))))))))))))))))))))))))))),"")</f>
        <v/>
      </c>
      <c r="E57" s="427"/>
      <c r="F57" s="418" t="str">
        <f>IFERROR(IF($A57&lt;'DWV PVC'!$A$285,VLOOKUP($A57,'DWV PVC'!$A$8:$M$284,9,FALSE),
IF($A57&lt;'DWV ABS'!$A$117,VLOOKUP($A57,'DWV ABS'!$A$8:$M$116,9,FALSE),
IF($A57&lt;'PVC SCH40'!$A$376,VLOOKUP($A57,'PVC SCH40'!$A$8:$M$375,9,FALSE),
IF($A57&lt;'PVC SCH40 LD'!$A$22,VLOOKUP($A57,'PVC SCH40 LD'!$A$8:$M$21,9,FALSE),
IF($A57&lt;'Pool &amp; SPA Sweep Elbows'!$A$12,VLOOKUP($A57,'Pool &amp; SPA Sweep Elbows'!$A$8:$M$11,9,FALSE),
IF($A57&lt;'Pool &amp; SPA Pipe Extender'!$A$11,VLOOKUP($A57,'Pool &amp; SPA Pipe Extender'!$A$8:$M$10,9,FALSE),
IF($A57&lt;'PVC SCH80'!$A$250,VLOOKUP($A57,'PVC SCH80'!$A$8:$M$249,9,FALSE),
IF($A57&lt;'PVC SCH80 Flange'!$A$49,VLOOKUP($A57,'PVC SCH80 Flange'!$A$8:$M$48,9,FALSE),
IF($A57&lt;'PVC SCH80 LD Flange'!$A$17,VLOOKUP($A57,'PVC SCH80 LD Flange'!$A$8:$M$16,9,FALSE),
IF($A57&lt;CPVC!$A$100,VLOOKUP($A57,CPVC!$A$8:$M$99,9,FALSE),
IF($A57&lt;InsertFittings!$A$237,VLOOKUP($A57,InsertFittings!$A$11:$M$236,9,FALSE),
IF($A57&lt;Valves!$A$132,VLOOKUP($A57,Valves!$A$8:$M$131,9,FALSE),
IF($A57&lt;SDR35SW!$A$124,VLOOKUP($A57,SDR35SW!$A$8:$M$123,9,FALSE),
IF($A57&lt;SDR35G!$A$143,VLOOKUP($A57, SDR35G!$A$8:$M$142,9,FALSE),
IF($A57&lt;SDR26G!$A$61,VLOOKUP($A57,SDR26G!$A$8:$N$60,10,FALSE),
IF($A57&lt;Cements!$A$100,VLOOKUP($A57,Cements!$A$8:$Q$99,13,FALSE),
IF($A57&lt;ValveBox!$A$143,VLOOKUP($A57,ValveBox!$A$10:$O$142,11,FALSE),
IF($A57&lt;'ValveBox Components'!$A$165,VLOOKUP($A57,'ValveBox Components'!$A$10:$O$164,11,FALSE),
IF($A57&lt;Drainage!$A$92,VLOOKUP($A57,Drainage!$A$8:$M$91,9,FALSE),
IF($A57&lt;Nipples!$A$82,VLOOKUP($A57,Nipples!$A$9:$Q$81,13,FALSE),
IF($A57&lt;Manifold!$A$33,VLOOKUP($A57,Manifold!$A$9:$M$32,9,FALSE),
IF($A57&lt;FlexibleRepairCouplings!$A$13,VLOOKUP($A57,FlexibleRepairCouplings!$A$10:$M$12,9,FALSE),
IF($A57&lt;DuraFix!$A$15,VLOOKUP($A57,DuraFix!$A$9:$M$14,9,FALSE),
IF($A57&lt;'Compression Fittings'!$A$16,VLOOKUP($A57,'Compression Fittings'!$A$8:$M$15,9,FALSE),
IF($A57&lt;'Hose Fittings'!$A$30,VLOOKUP($A57,'Hose Fittings'!$A$8:$M$29,9,FALSE),
IF($A57&lt;'Swing Joints'!$A$496,VLOOKUP($A57,'Swing Joints'!$A$9:$M$495,9,FALSE),
IF($A57&lt;'Swing Joints Components'!$A$135,VLOOKUP($A57,'Swing Joints Components'!$A$9:$M$134,9,FALSE),
IF($A57&lt;Nonstandard!$A$42,VLOOKUP($A57,Nonstandard!$A$31:$J$41,8,FALSE),"")))))))))))))))))))))))))))),"")</f>
        <v/>
      </c>
      <c r="G57" s="416" t="str">
        <f>IFERROR(IF($A57&lt;'DWV PVC'!$A$285,VLOOKUP($A57,'DWV PVC'!$A$8:$M$284,11,FALSE),
IF($A57&lt;'DWV ABS'!$A$117,VLOOKUP($A57,'DWV ABS'!$A$8:$M$116,11,FALSE),
IF($A57&lt;'PVC SCH40'!$A$376,VLOOKUP($A57,'PVC SCH40'!$A$8:$M$375,11,FALSE),
IF($A57&lt;'PVC SCH40 LD'!$A$22,VLOOKUP($A57,'PVC SCH40 LD'!$A$8:$M$21,11,FALSE),
IF($A57&lt;'Pool &amp; SPA Sweep Elbows'!$A$12,VLOOKUP($A57,'Pool &amp; SPA Sweep Elbows'!$A$8:$M$11,11,FALSE),
IF($A57&lt;'Pool &amp; SPA Pipe Extender'!$A$11,VLOOKUP($A57,'Pool &amp; SPA Pipe Extender'!$A$8:$M$10,11,FALSE),
IF($A57&lt;'PVC SCH80'!$A$250,VLOOKUP($A57,'PVC SCH80'!$A$8:$M$249,11,FALSE),
IF($A57&lt;'PVC SCH80 Flange'!$A$49,VLOOKUP($A57,'PVC SCH80 Flange'!$A$8:$M$48,11,FALSE),
IF($A57&lt;'PVC SCH80 LD Flange'!$A$17,VLOOKUP($A57,'PVC SCH80 LD Flange'!$A$8:$M$16,11,FALSE),
IF($A57&lt;CPVC!$A$100,VLOOKUP($A57,CPVC!$A$8:$M$99,11,FALSE),
IF($A57&lt;InsertFittings!$A$237,VLOOKUP($A57,InsertFittings!$A$11:$M$236,11,FALSE),
IF($A57&lt;Valves!$A$132,VLOOKUP($A57,Valves!$A$8:$M$131,11,FALSE),
IF($A57&lt;SDR35SW!$A$124,VLOOKUP($A57,SDR35SW!$A$8:$M$123,11,FALSE),
IF($A57&lt;SDR35G!$A$143,VLOOKUP($A57, SDR35G!$A$8:$M$142,11,FALSE),
IF($A57&lt;SDR26G!$A$61,VLOOKUP($A57,SDR26G!$A$8:$N$60,12,FALSE),
IF($A57&lt;Cements!$A$100,VLOOKUP($A57,Cements!$A$8:$Q$99,15,FALSE),
IF($A57&lt;ValveBox!$A$143,VLOOKUP($A57,ValveBox!$A$10:$O$142,13,FALSE),
IF($A57&lt;'ValveBox Components'!$A$165,VLOOKUP($A57,'ValveBox Components'!$A$10:$O$164,13,FALSE),
IF($A57&lt;Drainage!$A$92,VLOOKUP($A57,Drainage!$A$8:$M$91,11,FALSE),
IF($A57&lt;Nipples!$A$82,VLOOKUP($A57,Nipples!$A$9:$Q$81,15,FALSE),
IF($A57&lt;Manifold!$A$33,VLOOKUP($A57,Manifold!$A$9:$M$32,11,FALSE),
IF($A57&lt;FlexibleRepairCouplings!$A$13,VLOOKUP($A57,FlexibleRepairCouplings!$A$10:$M$12,11,FALSE),
IF($A57&lt;DuraFix!$A$15,VLOOKUP($A57,DuraFix!$A$9:$M$14,11,FALSE),
IF($A57&lt;'Compression Fittings'!$A$16,VLOOKUP($A57,'Compression Fittings'!$A$8:$M$15,11,FALSE),
IF($A57&lt;'Hose Fittings'!$A$30,VLOOKUP($A57,'Hose Fittings'!$A$8:$M$29,11,FALSE),
IF($A57&lt;'Swing Joints'!$A$496,VLOOKUP($A57,'Swing Joints'!$A$9:$M$495,11,FALSE),
IF($A57&lt;'Swing Joints Components'!$A$135,VLOOKUP($A57,'Swing Joints Components'!$A$9:$M$134,11,FALSE),
IF($A57&lt;Nonstandard!$A$42,VLOOKUP($A57,Nonstandard!$A$31:$J$41,3,FALSE),"")))))))))))))))))))))))))))),"")</f>
        <v/>
      </c>
      <c r="H57" s="586" t="str">
        <f>IFERROR(IF($A57&lt;'DWV PVC'!$A$285,VLOOKUP($A57,'DWV PVC'!$A$8:$M$284,7,FALSE),
IF($A57&lt;'DWV ABS'!$A$117,VLOOKUP($A57,'DWV ABS'!$A$8:$M$116,7,FALSE),
IF($A57&lt;'PVC SCH40'!$A$376,VLOOKUP($A57,'PVC SCH40'!$A$8:$M$375,7,FALSE),
IF($A57&lt;'PVC SCH40 LD'!$A$22,VLOOKUP($A57,'PVC SCH40 LD'!$A$8:$M$21,7,FALSE),
IF($A57&lt;'Pool &amp; SPA Sweep Elbows'!$A$12,VLOOKUP($A57,'Pool &amp; SPA Sweep Elbows'!$A$8:$M$11,7,FALSE),
IF($A57&lt;'Pool &amp; SPA Pipe Extender'!$A$11,VLOOKUP($A57,'Pool &amp; SPA Pipe Extender'!$A$8:$M$10,7,FALSE),
IF($A57&lt;'PVC SCH80'!$A$250,VLOOKUP($A57,'PVC SCH80'!$A$8:$M$249,7,FALSE),
IF($A57&lt;'PVC SCH80 Flange'!$A$49,VLOOKUP($A57,'PVC SCH80 Flange'!$A$8:$M$48,7,FALSE),
IF($A57&lt;'PVC SCH80 LD Flange'!$A$17,VLOOKUP($A57,'PVC SCH80 LD Flange'!$A$8:$M$16,7,FALSE),
IF($A57&lt;CPVC!$A$100,VLOOKUP($A57,CPVC!$A$8:$M$99,7,FALSE),
IF($A57&lt;InsertFittings!$A$237,VLOOKUP($A57,InsertFittings!$A$11:$M$236,7,FALSE),
IF($A57&lt;Valves!$A$132,VLOOKUP($A57,Valves!$A$8:$M$131,7,FALSE),
IF($A57&lt;SDR35SW!$A$124,VLOOKUP($A57,SDR35SW!$A$8:$M$123,7,FALSE),
IF($A57&lt;SDR35G!$A$143,VLOOKUP($A57, SDR35G!$A$8:$M$142,7,FALSE),
IF($A57&lt;SDR26G!$A$61,VLOOKUP($A57,SDR26G!$A$8:$N$60,10,FALSE),
IF($A57&lt;Cements!$A$100,VLOOKUP($A57,Cements!$A$8:$Q$99,13,FALSE),
IF($A57&lt;ValveBox!$A$143,VLOOKUP($A57,ValveBox!$A$10:$O$142,11,FALSE),
IF($A57&lt;'ValveBox Components'!$A$165,VLOOKUP($A57,'ValveBox Components'!$A$10:$O$164,11,FALSE),
IF($A57&lt;Drainage!$A$92,VLOOKUP($A57,Drainage!$A$8:$M$91,7,FALSE),
IF($A57&lt;Nipples!$A$82,VLOOKUP($A57,Nipples!$A$9:$Q$81,13,FALSE),
IF($A57&lt;Manifold!$A$33,VLOOKUP($A57,Manifold!$A$9:$M$32,7,FALSE),
IF($A57&lt;FlexibleRepairCouplings!$A$13,VLOOKUP($A57,FlexibleRepairCouplings!$A$10:$M$12,7,FALSE),
IF($A57&lt;DuraFix!$A$15,VLOOKUP($A57,DuraFix!$A$9:$M$14,7,FALSE),
IF($A57&lt;'Compression Fittings'!$A$16,VLOOKUP($A57,'Compression Fittings'!$A$8:$M$15,7,FALSE),
IF($A57&lt;'Hose Fittings'!$A$30,VLOOKUP($A57,'Hose Fittings'!$A$8:$M$29,7,FALSE),
IF($A57&lt;'Swing Joints'!$A$496,VLOOKUP($A57,'Swing Joints'!$A$9:$M$495,7,FALSE),
IF($A57&lt;'Swing Joints Components'!$A$135,VLOOKUP($A57,'Swing Joints Components'!$A$9:$M$134,7,FALSE),
IF($A57&lt;Nonstandard!$A$42,VLOOKUP($A57,Nonstandard!$A$31:$J$41,3,FALSE),"")))))))))))))))))))))))))))),"")</f>
        <v/>
      </c>
      <c r="I57" s="587"/>
      <c r="J57" s="383" t="str">
        <f t="shared" si="1"/>
        <v/>
      </c>
      <c r="K57" s="417" t="str">
        <f>IFERROR(IF($A57&lt;'DWV PVC'!$A$285,VLOOKUP($A57,'DWV PVC'!$A$8:$M$284,10,FALSE),
IF($A57&lt;'DWV ABS'!$A$117,VLOOKUP($A57,'DWV ABS'!$A$8:$M$116,10,FALSE),
IF($A57&lt;'PVC SCH40'!$A$376,VLOOKUP($A57,'PVC SCH40'!$A$8:$M$375,10,FALSE),
IF($A57&lt;'PVC SCH40 LD'!$A$22,VLOOKUP($A57,'PVC SCH40 LD'!$A$8:$M$21,10,FALSE),
IF($A57&lt;'Pool &amp; SPA Sweep Elbows'!$A$12,VLOOKUP($A57,'Pool &amp; SPA Sweep Elbows'!$A$8:$M$11,10,FALSE),
IF($A57&lt;'Pool &amp; SPA Pipe Extender'!$A$11,VLOOKUP($A57,'Pool &amp; SPA Pipe Extender'!$A$8:$M$10,10,FALSE),
IF($A57&lt;'PVC SCH80'!$A$250,VLOOKUP($A57,'PVC SCH80'!$A$8:$M$249,10,FALSE),
IF($A57&lt;'PVC SCH80 Flange'!$A$49,VLOOKUP($A57,'PVC SCH80 Flange'!$A$8:$M$48,10,FALSE),
IF($A57&lt;'PVC SCH80 LD Flange'!$A$17,VLOOKUP($A57,'PVC SCH80 LD Flange'!$A$8:$M$16,10,FALSE),
IF($A57&lt;CPVC!$A$100,VLOOKUP($A57,CPVC!$A$8:$M$99,10,FALSE),
IF($A57&lt;InsertFittings!$A$237,VLOOKUP($A57,InsertFittings!$A$11:$M$236,10,FALSE),
IF($A57&lt;Valves!$A$132,VLOOKUP($A57,Valves!$A$8:$M$131,10,FALSE),
IF($A57&lt;SDR35SW!$A$124,VLOOKUP($A57,SDR35SW!$A$8:$M$123,10,FALSE),
IF($A57&lt;SDR35G!$A$143,VLOOKUP($A57, SDR35G!$A$8:$M$142,10,FALSE),
IF($A57&lt;SDR26G!$A$61,VLOOKUP($A57,SDR26G!$A$8:$N$60,11,FALSE),
IF($A57&lt;Cements!$A$100,VLOOKUP($A57,Cements!$A$8:$Q$99,14,FALSE),
IF($A57&lt;ValveBox!$A$143,VLOOKUP($A57,ValveBox!$A$10:$O$142,12,FALSE),
IF($A57&lt;'ValveBox Components'!$A$165,VLOOKUP($A57,'ValveBox Components'!$A$10:$O$164,12,FALSE),
IF($A57&lt;Drainage!$A$92,VLOOKUP($A57,Drainage!$A$8:$M$91,10,FALSE),
IF($A57&lt;Nipples!$A$82,VLOOKUP($A57,Nipples!$A$9:$Q$81,14,FALSE),
IF($A57&lt;Manifold!$A$33,VLOOKUP($A57,Manifold!$A$9:$M$32,10,FALSE),
IF($A57&lt;FlexibleRepairCouplings!$A$13,VLOOKUP($A57,FlexibleRepairCouplings!$A$10:$M$12,10,FALSE),
IF($A57&lt;DuraFix!$A$15,VLOOKUP($A57,DuraFix!$A$9:$M$14,10,FALSE),
IF($A57&lt;'Compression Fittings'!$A$16,VLOOKUP($A57,'Compression Fittings'!$A$8:$M$15,10,FALSE),
IF($A57&lt;'Hose Fittings'!$A$30,VLOOKUP($A57,'Hose Fittings'!$A$8:$M$29,10,FALSE),
IF($A57&lt;'Swing Joints'!$A$496,VLOOKUP($A57,'Swing Joints'!$A$9:$M$495,10,FALSE),
IF($A57&lt;'Swing Joints Components'!$A$135,VLOOKUP($A57,'Swing Joints Components'!$A$9:$M$134,10,FALSE),
IF($A57&lt;Nonstandard!$A$42,VLOOKUP($A57,Nonstandard!$A$31:$J$41,10,FALSE),"")))))))))))))))))))))))))))),"")</f>
        <v/>
      </c>
      <c r="L57" s="418" t="str">
        <f t="shared" si="0"/>
        <v>-</v>
      </c>
      <c r="M57" s="419"/>
    </row>
    <row r="58" spans="1:13" ht="15.75">
      <c r="A58" s="420">
        <v>26</v>
      </c>
      <c r="B58" s="420" t="str">
        <f>IFERROR(IF($A58&lt;'DWV PVC'!$A$285,VLOOKUP($A58,'DWV PVC'!$A$8:$M$284,4,FALSE),
IF($A58&lt;'DWV ABS'!$A$117,VLOOKUP($A58,'DWV ABS'!$A$8:$M$116,4,FALSE),
IF($A58&lt;'PVC SCH40'!$A$376,VLOOKUP($A58,'PVC SCH40'!$A$8:$M$375,4,FALSE),
IF($A58&lt;'PVC SCH40 LD'!$A$22,VLOOKUP($A58,'PVC SCH40 LD'!$A$8:$M$21,4,FALSE),
IF($A58&lt;'Pool &amp; SPA Sweep Elbows'!$A$12,VLOOKUP($A58,'Pool &amp; SPA Sweep Elbows'!$A$8:$M$11,4,FALSE),
IF($A58&lt;'Pool &amp; SPA Pipe Extender'!$A$11,VLOOKUP($A58,'Pool &amp; SPA Pipe Extender'!$A$8:$M$10,4,FALSE),
IF($A58&lt;'PVC SCH80'!$A$250,VLOOKUP($A58,'PVC SCH80'!$A$8:$M$249,4,FALSE),
IF($A58&lt;'PVC SCH80 Flange'!$A$49,VLOOKUP($A58,'PVC SCH80 Flange'!$A$8:$M$48,4,FALSE),
IF($A58&lt;'PVC SCH80 LD Flange'!$A$17,VLOOKUP($A58,'PVC SCH80 LD Flange'!$A$8:$M$16,4,FALSE),
IF($A58&lt;CPVC!$A$100,VLOOKUP($A58,CPVC!$A$8:$M$99,4,FALSE),
IF($A58&lt;InsertFittings!$A$237,VLOOKUP($A58,InsertFittings!$A$11:$M$236,4,FALSE),
IF($A58&lt;Valves!$A$132,VLOOKUP($A58,Valves!$A$8:$M$131,4,FALSE),
IF($A58&lt;SDR35SW!$A$124,VLOOKUP($A58,SDR35SW!$A$8:$M$123,4,FALSE),
IF($A58&lt;SDR35G!$A$143,VLOOKUP($A58, SDR35G!$A$8:$M$142,4,FALSE),
IF($A58&lt;SDR26G!$A$61,VLOOKUP($A58,SDR26G!$A$8:$N$60,4,FALSE),
IF($A58&lt;Cements!$A$100,VLOOKUP($A58,Cements!$A$8:$Q$99,4,FALSE),
IF($A58&lt;ValveBox!$A$143,VLOOKUP($A58,ValveBox!$A$10:$O$142,4,FALSE),
IF($A58&lt;'ValveBox Components'!$A$165,VLOOKUP($A58,'ValveBox Components'!$A$10:$O$164,4,FALSE),
IF($A58&lt;Drainage!$A$92,VLOOKUP($A58,Drainage!$A$8:$M$91,4,FALSE),
IF($A58&lt;Nipples!$A$82,VLOOKUP($A58,Nipples!$A$9:$Q$81,4,FALSE),
IF($A58&lt;Manifold!$A$33,VLOOKUP($A58,Manifold!$A$9:$M$32,4,FALSE),
IF($A58&lt;FlexibleRepairCouplings!$A$13,VLOOKUP($A58,FlexibleRepairCouplings!$A$10:$M$12,4,FALSE),
IF($A58&lt;DuraFix!$A$15,VLOOKUP($A58,DuraFix!$A$9:$M$14,4,FALSE),
IF($A58&lt;'Compression Fittings'!$A$16,VLOOKUP($A58,'Compression Fittings'!$A$8:$M$15,4,FALSE),
IF($A58&lt;'Hose Fittings'!$A$30,VLOOKUP($A58,'Hose Fittings'!$A$8:$M$29,4,FALSE),
IF($A58&lt;'Swing Joints'!$A$496,VLOOKUP($A58,'Swing Joints'!$A$9:$M$495,4,FALSE),
IF($A58&lt;'Swing Joints Components'!$A$135,VLOOKUP($A58,'Swing Joints Components'!$A$9:$M$134,4,FALSE),
IF($A58&lt;Nonstandard!$A$42,VLOOKUP($A58,Nonstandard!$A$31:$J$41,5,FALSE),"")))))))))))))))))))))))))))),"")</f>
        <v/>
      </c>
      <c r="C58" s="420" t="str">
        <f>IFERROR(IF($A58&lt;'DWV PVC'!$A$285,VLOOKUP($A58,'DWV PVC'!$A$8:$M$284,5,FALSE),
IF($A58&lt;'DWV ABS'!$A$117,VLOOKUP($A58,'DWV ABS'!$A$8:$M$116,5,FALSE),
IF($A58&lt;'PVC SCH40'!$A$376,VLOOKUP($A58,'PVC SCH40'!$A$8:$M$375,5,FALSE),
IF($A58&lt;'PVC SCH40 LD'!$A$22,VLOOKUP($A58,'PVC SCH40 LD'!$A$8:$M$21,5,FALSE),
IF($A58&lt;'Pool &amp; SPA Sweep Elbows'!$A$12,VLOOKUP($A58,'Pool &amp; SPA Sweep Elbows'!$A$8:$M$11,5,FALSE),
IF($A58&lt;'Pool &amp; SPA Pipe Extender'!$A$11,VLOOKUP($A58,'Pool &amp; SPA Pipe Extender'!$A$8:$M$10,5,FALSE),
IF($A58&lt;'PVC SCH80'!$A$250,VLOOKUP($A58,'PVC SCH80'!$A$8:$M$249,5,FALSE),
IF($A58&lt;'PVC SCH80 Flange'!$A$49,VLOOKUP($A58,'PVC SCH80 Flange'!$A$8:$M$48,5,FALSE),
IF($A58&lt;'PVC SCH80 LD Flange'!$A$17,VLOOKUP($A58,'PVC SCH80 LD Flange'!$A$8:$M$16,5,FALSE),
IF($A58&lt;CPVC!$A$100,VLOOKUP($A58,CPVC!$A$8:$M$99,5,FALSE),
IF($A58&lt;InsertFittings!$A$237,VLOOKUP($A58,InsertFittings!$A$11:$M$236,5,FALSE),
IF($A58&lt;Valves!$A$132,VLOOKUP($A58,Valves!$A$8:$M$131,5,FALSE),
IF($A58&lt;SDR35SW!$A$124,VLOOKUP($A58,SDR35SW!$A$8:$M$123,5,FALSE),
IF($A58&lt;SDR35G!$A$143,VLOOKUP($A58, SDR35G!$A$8:$M$142,5,FALSE),
IF($A58&lt;SDR26G!$A$61,VLOOKUP($A58,SDR26G!$A$8:$N$60,5,FALSE),
IF($A58&lt;Cements!$A$100,VLOOKUP($A58,Cements!$A$8:$Q$99,5,FALSE),
IF($A58&lt;ValveBox!$A$143,VLOOKUP($A58,ValveBox!$A$10:$O$142,5,FALSE),
IF($A58&lt;'ValveBox Components'!$A$165,VLOOKUP($A58,'ValveBox Components'!$A$10:$O$164,5,FALSE),
IF($A58&lt;Drainage!$A$92,VLOOKUP($A58,Drainage!$A$8:$M$91,5,FALSE),
IF($A58&lt;Nipples!$A$82,VLOOKUP($A58,Nipples!$A$9:$Q$81,5,FALSE),
IF($A58&lt;Manifold!$A$33,VLOOKUP($A58,Manifold!$A$9:$M$32,5,FALSE),
IF($A58&lt;FlexibleRepairCouplings!$A$13,VLOOKUP($A58,FlexibleRepairCouplings!$A$10:$M$12,5,FALSE),
IF($A58&lt;DuraFix!$A$15,VLOOKUP($A58,DuraFix!$A$9:$M$14,5,FALSE),
IF($A58&lt;'Compression Fittings'!$A$16,VLOOKUP($A58,'Compression Fittings'!$A$8:$M$15,5,FALSE),
IF($A58&lt;'Hose Fittings'!$A$30,VLOOKUP($A58,'Hose Fittings'!$A$8:$M$29,5,FALSE),
IF($A58&lt;'Swing Joints'!$A$496,VLOOKUP($A58,'Swing Joints'!$A$9:$M$495,5,FALSE),
IF($A58&lt;'Swing Joints Components'!$A$135,VLOOKUP($A58,'Swing Joints Components'!$A$9:$M$134,5,FALSE),
IF($A58&lt;Nonstandard!$A$42,VLOOKUP($A58,Nonstandard!$A$31:$J$41,6,FALSE),"")))))))))))))))))))))))))))),"")</f>
        <v/>
      </c>
      <c r="D58" s="428" t="str">
        <f>IFERROR(IF($A58&lt;'DWV PVC'!$A$285,VLOOKUP($A58,'DWV PVC'!$A$8:$M$284,6,FALSE),
IF($A58&lt;'DWV ABS'!$A$117,VLOOKUP($A58,'DWV ABS'!$A$8:$M$116,6,FALSE),
IF($A58&lt;'PVC SCH40'!$A$376,VLOOKUP($A58,'PVC SCH40'!$A$8:$M$375,6,FALSE),
IF($A58&lt;'PVC SCH40 LD'!$A$22,VLOOKUP($A58,'PVC SCH40 LD'!$A$8:$M$21,6,FALSE),
IF($A58&lt;'Pool &amp; SPA Sweep Elbows'!$A$12,VLOOKUP($A58,'Pool &amp; SPA Sweep Elbows'!$A$8:$M$11,6,FALSE),
IF($A58&lt;'Pool &amp; SPA Pipe Extender'!$A$11,VLOOKUP($A58,'Pool &amp; SPA Pipe Extender'!$A$8:$M$10,6,FALSE),
IF($A58&lt;'PVC SCH80'!$A$250,VLOOKUP($A58,'PVC SCH80'!$A$8:$M$249,6,FALSE),
IF($A58&lt;'PVC SCH80 Flange'!$A$49,VLOOKUP($A58,'PVC SCH80 Flange'!$A$8:$M$48,6,FALSE),
IF($A58&lt;'PVC SCH80 LD Flange'!$A$17,VLOOKUP($A58,'PVC SCH80 LD Flange'!$A$8:$M$16,6,FALSE),
IF($A58&lt;CPVC!$A$100,VLOOKUP($A58,CPVC!$A$8:$M$99,6,FALSE),
IF($A58&lt;InsertFittings!$A$237,VLOOKUP($A58,InsertFittings!$A$11:$M$236,6,FALSE),
IF($A58&lt;Valves!$A$132,VLOOKUP($A58,Valves!$A$8:$M$131,6,FALSE),
IF($A58&lt;SDR35SW!$A$124,VLOOKUP($A58,SDR35SW!$A$8:$M$123,6,FALSE),
IF($A58&lt;SDR35G!$A$143,VLOOKUP($A58, SDR35G!$A$8:$M$142,6,FALSE),
IF($A58&lt;SDR26G!$A$61,VLOOKUP($A58,SDR26G!$A$8:$N$60,6,FALSE),
IF($A58&lt;Cements!$A$100,VLOOKUP($A58,Cements!$A$8:$Q$99,6,FALSE),
IF($A58&lt;ValveBox!$A$143,VLOOKUP($A58,ValveBox!$A$10:$O$142,6,FALSE),
IF($A58&lt;'ValveBox Components'!$A$165,VLOOKUP($A58,'ValveBox Components'!$A$10:$O$164,6,FALSE),
IF($A58&lt;Drainage!$A$92,VLOOKUP($A58,Drainage!$A$8:$M$91,6,FALSE),
IF($A58&lt;Nipples!$A$82,VLOOKUP($A58,Nipples!$A$9:$Q$81,6,FALSE),
IF($A58&lt;Manifold!$A$33,VLOOKUP($A58,Manifold!$A$9:$M$32,6,FALSE),
IF($A58&lt;FlexibleRepairCouplings!$A$13,VLOOKUP($A58,FlexibleRepairCouplings!$A$10:$M$12,6,FALSE),
IF($A58&lt;DuraFix!$A$15,VLOOKUP($A58,DuraFix!$A$9:$M$14,6,FALSE),
IF($A58&lt;'Compression Fittings'!$A$16,VLOOKUP($A58,'Compression Fittings'!$A$8:$M$15,6,FALSE),
IF($A58&lt;'Hose Fittings'!$A$30,VLOOKUP($A58,'Hose Fittings'!$A$8:$M$29,6,FALSE),
IF($A58&lt;'Swing Joints'!$A$496,VLOOKUP($A58,'Swing Joints'!$A$9:$M$495,6,FALSE),
IF($A58&lt;'Swing Joints Components'!$A$135,VLOOKUP($A58,'Swing Joints Components'!$A$9:$M$134,6,FALSE),
IF($A58&lt;Nonstandard!$A$42,VLOOKUP($A58,Nonstandard!$A$31:$J$41,7,FALSE),"")))))))))))))))))))))))))))),"")</f>
        <v/>
      </c>
      <c r="E58" s="429"/>
      <c r="F58" s="421" t="str">
        <f>IFERROR(IF($A58&lt;'DWV PVC'!$A$285,VLOOKUP($A58,'DWV PVC'!$A$8:$M$284,9,FALSE),
IF($A58&lt;'DWV ABS'!$A$117,VLOOKUP($A58,'DWV ABS'!$A$8:$M$116,9,FALSE),
IF($A58&lt;'PVC SCH40'!$A$376,VLOOKUP($A58,'PVC SCH40'!$A$8:$M$375,9,FALSE),
IF($A58&lt;'PVC SCH40 LD'!$A$22,VLOOKUP($A58,'PVC SCH40 LD'!$A$8:$M$21,9,FALSE),
IF($A58&lt;'Pool &amp; SPA Sweep Elbows'!$A$12,VLOOKUP($A58,'Pool &amp; SPA Sweep Elbows'!$A$8:$M$11,9,FALSE),
IF($A58&lt;'Pool &amp; SPA Pipe Extender'!$A$11,VLOOKUP($A58,'Pool &amp; SPA Pipe Extender'!$A$8:$M$10,9,FALSE),
IF($A58&lt;'PVC SCH80'!$A$250,VLOOKUP($A58,'PVC SCH80'!$A$8:$M$249,9,FALSE),
IF($A58&lt;'PVC SCH80 Flange'!$A$49,VLOOKUP($A58,'PVC SCH80 Flange'!$A$8:$M$48,9,FALSE),
IF($A58&lt;'PVC SCH80 LD Flange'!$A$17,VLOOKUP($A58,'PVC SCH80 LD Flange'!$A$8:$M$16,9,FALSE),
IF($A58&lt;CPVC!$A$100,VLOOKUP($A58,CPVC!$A$8:$M$99,9,FALSE),
IF($A58&lt;InsertFittings!$A$237,VLOOKUP($A58,InsertFittings!$A$11:$M$236,9,FALSE),
IF($A58&lt;Valves!$A$132,VLOOKUP($A58,Valves!$A$8:$M$131,9,FALSE),
IF($A58&lt;SDR35SW!$A$124,VLOOKUP($A58,SDR35SW!$A$8:$M$123,9,FALSE),
IF($A58&lt;SDR35G!$A$143,VLOOKUP($A58, SDR35G!$A$8:$M$142,9,FALSE),
IF($A58&lt;SDR26G!$A$61,VLOOKUP($A58,SDR26G!$A$8:$N$60,10,FALSE),
IF($A58&lt;Cements!$A$100,VLOOKUP($A58,Cements!$A$8:$Q$99,13,FALSE),
IF($A58&lt;ValveBox!$A$143,VLOOKUP($A58,ValveBox!$A$10:$O$142,11,FALSE),
IF($A58&lt;'ValveBox Components'!$A$165,VLOOKUP($A58,'ValveBox Components'!$A$10:$O$164,11,FALSE),
IF($A58&lt;Drainage!$A$92,VLOOKUP($A58,Drainage!$A$8:$M$91,9,FALSE),
IF($A58&lt;Nipples!$A$82,VLOOKUP($A58,Nipples!$A$9:$Q$81,13,FALSE),
IF($A58&lt;Manifold!$A$33,VLOOKUP($A58,Manifold!$A$9:$M$32,9,FALSE),
IF($A58&lt;FlexibleRepairCouplings!$A$13,VLOOKUP($A58,FlexibleRepairCouplings!$A$10:$M$12,9,FALSE),
IF($A58&lt;DuraFix!$A$15,VLOOKUP($A58,DuraFix!$A$9:$M$14,9,FALSE),
IF($A58&lt;'Compression Fittings'!$A$16,VLOOKUP($A58,'Compression Fittings'!$A$8:$M$15,9,FALSE),
IF($A58&lt;'Hose Fittings'!$A$30,VLOOKUP($A58,'Hose Fittings'!$A$8:$M$29,9,FALSE),
IF($A58&lt;'Swing Joints'!$A$496,VLOOKUP($A58,'Swing Joints'!$A$9:$M$495,9,FALSE),
IF($A58&lt;'Swing Joints Components'!$A$135,VLOOKUP($A58,'Swing Joints Components'!$A$9:$M$134,9,FALSE),
IF($A58&lt;Nonstandard!$A$42,VLOOKUP($A58,Nonstandard!$A$31:$J$41,8,FALSE),"")))))))))))))))))))))))))))),"")</f>
        <v/>
      </c>
      <c r="G58" s="422" t="str">
        <f>IFERROR(IF($A58&lt;'DWV PVC'!$A$285,VLOOKUP($A58,'DWV PVC'!$A$8:$M$284,11,FALSE),
IF($A58&lt;'DWV ABS'!$A$117,VLOOKUP($A58,'DWV ABS'!$A$8:$M$116,11,FALSE),
IF($A58&lt;'PVC SCH40'!$A$376,VLOOKUP($A58,'PVC SCH40'!$A$8:$M$375,11,FALSE),
IF($A58&lt;'PVC SCH40 LD'!$A$22,VLOOKUP($A58,'PVC SCH40 LD'!$A$8:$M$21,11,FALSE),
IF($A58&lt;'Pool &amp; SPA Sweep Elbows'!$A$12,VLOOKUP($A58,'Pool &amp; SPA Sweep Elbows'!$A$8:$M$11,11,FALSE),
IF($A58&lt;'Pool &amp; SPA Pipe Extender'!$A$11,VLOOKUP($A58,'Pool &amp; SPA Pipe Extender'!$A$8:$M$10,11,FALSE),
IF($A58&lt;'PVC SCH80'!$A$250,VLOOKUP($A58,'PVC SCH80'!$A$8:$M$249,11,FALSE),
IF($A58&lt;'PVC SCH80 Flange'!$A$49,VLOOKUP($A58,'PVC SCH80 Flange'!$A$8:$M$48,11,FALSE),
IF($A58&lt;'PVC SCH80 LD Flange'!$A$17,VLOOKUP($A58,'PVC SCH80 LD Flange'!$A$8:$M$16,11,FALSE),
IF($A58&lt;CPVC!$A$100,VLOOKUP($A58,CPVC!$A$8:$M$99,11,FALSE),
IF($A58&lt;InsertFittings!$A$237,VLOOKUP($A58,InsertFittings!$A$11:$M$236,11,FALSE),
IF($A58&lt;Valves!$A$132,VLOOKUP($A58,Valves!$A$8:$M$131,11,FALSE),
IF($A58&lt;SDR35SW!$A$124,VLOOKUP($A58,SDR35SW!$A$8:$M$123,11,FALSE),
IF($A58&lt;SDR35G!$A$143,VLOOKUP($A58, SDR35G!$A$8:$M$142,11,FALSE),
IF($A58&lt;SDR26G!$A$61,VLOOKUP($A58,SDR26G!$A$8:$N$60,12,FALSE),
IF($A58&lt;Cements!$A$100,VLOOKUP($A58,Cements!$A$8:$Q$99,15,FALSE),
IF($A58&lt;ValveBox!$A$143,VLOOKUP($A58,ValveBox!$A$10:$O$142,13,FALSE),
IF($A58&lt;'ValveBox Components'!$A$165,VLOOKUP($A58,'ValveBox Components'!$A$10:$O$164,13,FALSE),
IF($A58&lt;Drainage!$A$92,VLOOKUP($A58,Drainage!$A$8:$M$91,11,FALSE),
IF($A58&lt;Nipples!$A$82,VLOOKUP($A58,Nipples!$A$9:$Q$81,15,FALSE),
IF($A58&lt;Manifold!$A$33,VLOOKUP($A58,Manifold!$A$9:$M$32,11,FALSE),
IF($A58&lt;FlexibleRepairCouplings!$A$13,VLOOKUP($A58,FlexibleRepairCouplings!$A$10:$M$12,11,FALSE),
IF($A58&lt;DuraFix!$A$15,VLOOKUP($A58,DuraFix!$A$9:$M$14,11,FALSE),
IF($A58&lt;'Compression Fittings'!$A$16,VLOOKUP($A58,'Compression Fittings'!$A$8:$M$15,11,FALSE),
IF($A58&lt;'Hose Fittings'!$A$30,VLOOKUP($A58,'Hose Fittings'!$A$8:$M$29,11,FALSE),
IF($A58&lt;'Swing Joints'!$A$496,VLOOKUP($A58,'Swing Joints'!$A$9:$M$495,11,FALSE),
IF($A58&lt;'Swing Joints Components'!$A$135,VLOOKUP($A58,'Swing Joints Components'!$A$9:$M$134,11,FALSE),
IF($A58&lt;Nonstandard!$A$42,VLOOKUP($A58,Nonstandard!$A$31:$J$41,3,FALSE),"")))))))))))))))))))))))))))),"")</f>
        <v/>
      </c>
      <c r="H58" s="588" t="str">
        <f>IFERROR(IF($A58&lt;'DWV PVC'!$A$285,VLOOKUP($A58,'DWV PVC'!$A$8:$M$284,7,FALSE),
IF($A58&lt;'DWV ABS'!$A$117,VLOOKUP($A58,'DWV ABS'!$A$8:$M$116,7,FALSE),
IF($A58&lt;'PVC SCH40'!$A$376,VLOOKUP($A58,'PVC SCH40'!$A$8:$M$375,7,FALSE),
IF($A58&lt;'PVC SCH40 LD'!$A$22,VLOOKUP($A58,'PVC SCH40 LD'!$A$8:$M$21,7,FALSE),
IF($A58&lt;'Pool &amp; SPA Sweep Elbows'!$A$12,VLOOKUP($A58,'Pool &amp; SPA Sweep Elbows'!$A$8:$M$11,7,FALSE),
IF($A58&lt;'Pool &amp; SPA Pipe Extender'!$A$11,VLOOKUP($A58,'Pool &amp; SPA Pipe Extender'!$A$8:$M$10,7,FALSE),
IF($A58&lt;'PVC SCH80'!$A$250,VLOOKUP($A58,'PVC SCH80'!$A$8:$M$249,7,FALSE),
IF($A58&lt;'PVC SCH80 Flange'!$A$49,VLOOKUP($A58,'PVC SCH80 Flange'!$A$8:$M$48,7,FALSE),
IF($A58&lt;'PVC SCH80 LD Flange'!$A$17,VLOOKUP($A58,'PVC SCH80 LD Flange'!$A$8:$M$16,7,FALSE),
IF($A58&lt;CPVC!$A$100,VLOOKUP($A58,CPVC!$A$8:$M$99,7,FALSE),
IF($A58&lt;InsertFittings!$A$237,VLOOKUP($A58,InsertFittings!$A$11:$M$236,7,FALSE),
IF($A58&lt;Valves!$A$132,VLOOKUP($A58,Valves!$A$8:$M$131,7,FALSE),
IF($A58&lt;SDR35SW!$A$124,VLOOKUP($A58,SDR35SW!$A$8:$M$123,7,FALSE),
IF($A58&lt;SDR35G!$A$143,VLOOKUP($A58, SDR35G!$A$8:$M$142,7,FALSE),
IF($A58&lt;SDR26G!$A$61,VLOOKUP($A58,SDR26G!$A$8:$N$60,10,FALSE),
IF($A58&lt;Cements!$A$100,VLOOKUP($A58,Cements!$A$8:$Q$99,13,FALSE),
IF($A58&lt;ValveBox!$A$143,VLOOKUP($A58,ValveBox!$A$10:$O$142,11,FALSE),
IF($A58&lt;'ValveBox Components'!$A$165,VLOOKUP($A58,'ValveBox Components'!$A$10:$O$164,11,FALSE),
IF($A58&lt;Drainage!$A$92,VLOOKUP($A58,Drainage!$A$8:$M$91,7,FALSE),
IF($A58&lt;Nipples!$A$82,VLOOKUP($A58,Nipples!$A$9:$Q$81,13,FALSE),
IF($A58&lt;Manifold!$A$33,VLOOKUP($A58,Manifold!$A$9:$M$32,7,FALSE),
IF($A58&lt;FlexibleRepairCouplings!$A$13,VLOOKUP($A58,FlexibleRepairCouplings!$A$10:$M$12,7,FALSE),
IF($A58&lt;DuraFix!$A$15,VLOOKUP($A58,DuraFix!$A$9:$M$14,7,FALSE),
IF($A58&lt;'Compression Fittings'!$A$16,VLOOKUP($A58,'Compression Fittings'!$A$8:$M$15,7,FALSE),
IF($A58&lt;'Hose Fittings'!$A$30,VLOOKUP($A58,'Hose Fittings'!$A$8:$M$29,7,FALSE),
IF($A58&lt;'Swing Joints'!$A$496,VLOOKUP($A58,'Swing Joints'!$A$9:$M$495,7,FALSE),
IF($A58&lt;'Swing Joints Components'!$A$135,VLOOKUP($A58,'Swing Joints Components'!$A$9:$M$134,7,FALSE),
IF($A58&lt;Nonstandard!$A$42,VLOOKUP($A58,Nonstandard!$A$31:$J$41,3,FALSE),"")))))))))))))))))))))))))))),"")</f>
        <v/>
      </c>
      <c r="I58" s="589"/>
      <c r="J58" s="423" t="str">
        <f t="shared" si="1"/>
        <v/>
      </c>
      <c r="K58" s="424" t="str">
        <f>IFERROR(IF($A58&lt;'DWV PVC'!$A$285,VLOOKUP($A58,'DWV PVC'!$A$8:$M$284,10,FALSE),
IF($A58&lt;'DWV ABS'!$A$117,VLOOKUP($A58,'DWV ABS'!$A$8:$M$116,10,FALSE),
IF($A58&lt;'PVC SCH40'!$A$376,VLOOKUP($A58,'PVC SCH40'!$A$8:$M$375,10,FALSE),
IF($A58&lt;'PVC SCH40 LD'!$A$22,VLOOKUP($A58,'PVC SCH40 LD'!$A$8:$M$21,10,FALSE),
IF($A58&lt;'Pool &amp; SPA Sweep Elbows'!$A$12,VLOOKUP($A58,'Pool &amp; SPA Sweep Elbows'!$A$8:$M$11,10,FALSE),
IF($A58&lt;'Pool &amp; SPA Pipe Extender'!$A$11,VLOOKUP($A58,'Pool &amp; SPA Pipe Extender'!$A$8:$M$10,10,FALSE),
IF($A58&lt;'PVC SCH80'!$A$250,VLOOKUP($A58,'PVC SCH80'!$A$8:$M$249,10,FALSE),
IF($A58&lt;'PVC SCH80 Flange'!$A$49,VLOOKUP($A58,'PVC SCH80 Flange'!$A$8:$M$48,10,FALSE),
IF($A58&lt;'PVC SCH80 LD Flange'!$A$17,VLOOKUP($A58,'PVC SCH80 LD Flange'!$A$8:$M$16,10,FALSE),
IF($A58&lt;CPVC!$A$100,VLOOKUP($A58,CPVC!$A$8:$M$99,10,FALSE),
IF($A58&lt;InsertFittings!$A$237,VLOOKUP($A58,InsertFittings!$A$11:$M$236,10,FALSE),
IF($A58&lt;Valves!$A$132,VLOOKUP($A58,Valves!$A$8:$M$131,10,FALSE),
IF($A58&lt;SDR35SW!$A$124,VLOOKUP($A58,SDR35SW!$A$8:$M$123,10,FALSE),
IF($A58&lt;SDR35G!$A$143,VLOOKUP($A58, SDR35G!$A$8:$M$142,10,FALSE),
IF($A58&lt;SDR26G!$A$61,VLOOKUP($A58,SDR26G!$A$8:$N$60,11,FALSE),
IF($A58&lt;Cements!$A$100,VLOOKUP($A58,Cements!$A$8:$Q$99,14,FALSE),
IF($A58&lt;ValveBox!$A$143,VLOOKUP($A58,ValveBox!$A$10:$O$142,12,FALSE),
IF($A58&lt;'ValveBox Components'!$A$165,VLOOKUP($A58,'ValveBox Components'!$A$10:$O$164,12,FALSE),
IF($A58&lt;Drainage!$A$92,VLOOKUP($A58,Drainage!$A$8:$M$91,10,FALSE),
IF($A58&lt;Nipples!$A$82,VLOOKUP($A58,Nipples!$A$9:$Q$81,14,FALSE),
IF($A58&lt;Manifold!$A$33,VLOOKUP($A58,Manifold!$A$9:$M$32,10,FALSE),
IF($A58&lt;FlexibleRepairCouplings!$A$13,VLOOKUP($A58,FlexibleRepairCouplings!$A$10:$M$12,10,FALSE),
IF($A58&lt;DuraFix!$A$15,VLOOKUP($A58,DuraFix!$A$9:$M$14,10,FALSE),
IF($A58&lt;'Compression Fittings'!$A$16,VLOOKUP($A58,'Compression Fittings'!$A$8:$M$15,10,FALSE),
IF($A58&lt;'Hose Fittings'!$A$30,VLOOKUP($A58,'Hose Fittings'!$A$8:$M$29,10,FALSE),
IF($A58&lt;'Swing Joints'!$A$496,VLOOKUP($A58,'Swing Joints'!$A$9:$M$495,10,FALSE),
IF($A58&lt;'Swing Joints Components'!$A$135,VLOOKUP($A58,'Swing Joints Components'!$A$9:$M$134,10,FALSE),
IF($A58&lt;Nonstandard!$A$42,VLOOKUP($A58,Nonstandard!$A$31:$J$41,10,FALSE),"")))))))))))))))))))))))))))),"")</f>
        <v/>
      </c>
      <c r="L58" s="421" t="str">
        <f t="shared" si="0"/>
        <v>-</v>
      </c>
      <c r="M58" s="425"/>
    </row>
    <row r="59" spans="1:13" ht="15.75">
      <c r="A59" s="415">
        <v>27</v>
      </c>
      <c r="B59" s="415" t="str">
        <f>IFERROR(IF($A59&lt;'DWV PVC'!$A$285,VLOOKUP($A59,'DWV PVC'!$A$8:$M$284,4,FALSE),
IF($A59&lt;'DWV ABS'!$A$117,VLOOKUP($A59,'DWV ABS'!$A$8:$M$116,4,FALSE),
IF($A59&lt;'PVC SCH40'!$A$376,VLOOKUP($A59,'PVC SCH40'!$A$8:$M$375,4,FALSE),
IF($A59&lt;'PVC SCH40 LD'!$A$22,VLOOKUP($A59,'PVC SCH40 LD'!$A$8:$M$21,4,FALSE),
IF($A59&lt;'Pool &amp; SPA Sweep Elbows'!$A$12,VLOOKUP($A59,'Pool &amp; SPA Sweep Elbows'!$A$8:$M$11,4,FALSE),
IF($A59&lt;'Pool &amp; SPA Pipe Extender'!$A$11,VLOOKUP($A59,'Pool &amp; SPA Pipe Extender'!$A$8:$M$10,4,FALSE),
IF($A59&lt;'PVC SCH80'!$A$250,VLOOKUP($A59,'PVC SCH80'!$A$8:$M$249,4,FALSE),
IF($A59&lt;'PVC SCH80 Flange'!$A$49,VLOOKUP($A59,'PVC SCH80 Flange'!$A$8:$M$48,4,FALSE),
IF($A59&lt;'PVC SCH80 LD Flange'!$A$17,VLOOKUP($A59,'PVC SCH80 LD Flange'!$A$8:$M$16,4,FALSE),
IF($A59&lt;CPVC!$A$100,VLOOKUP($A59,CPVC!$A$8:$M$99,4,FALSE),
IF($A59&lt;InsertFittings!$A$237,VLOOKUP($A59,InsertFittings!$A$11:$M$236,4,FALSE),
IF($A59&lt;Valves!$A$132,VLOOKUP($A59,Valves!$A$8:$M$131,4,FALSE),
IF($A59&lt;SDR35SW!$A$124,VLOOKUP($A59,SDR35SW!$A$8:$M$123,4,FALSE),
IF($A59&lt;SDR35G!$A$143,VLOOKUP($A59, SDR35G!$A$8:$M$142,4,FALSE),
IF($A59&lt;SDR26G!$A$61,VLOOKUP($A59,SDR26G!$A$8:$N$60,4,FALSE),
IF($A59&lt;Cements!$A$100,VLOOKUP($A59,Cements!$A$8:$Q$99,4,FALSE),
IF($A59&lt;ValveBox!$A$143,VLOOKUP($A59,ValveBox!$A$10:$O$142,4,FALSE),
IF($A59&lt;'ValveBox Components'!$A$165,VLOOKUP($A59,'ValveBox Components'!$A$10:$O$164,4,FALSE),
IF($A59&lt;Drainage!$A$92,VLOOKUP($A59,Drainage!$A$8:$M$91,4,FALSE),
IF($A59&lt;Nipples!$A$82,VLOOKUP($A59,Nipples!$A$9:$Q$81,4,FALSE),
IF($A59&lt;Manifold!$A$33,VLOOKUP($A59,Manifold!$A$9:$M$32,4,FALSE),
IF($A59&lt;FlexibleRepairCouplings!$A$13,VLOOKUP($A59,FlexibleRepairCouplings!$A$10:$M$12,4,FALSE),
IF($A59&lt;DuraFix!$A$15,VLOOKUP($A59,DuraFix!$A$9:$M$14,4,FALSE),
IF($A59&lt;'Compression Fittings'!$A$16,VLOOKUP($A59,'Compression Fittings'!$A$8:$M$15,4,FALSE),
IF($A59&lt;'Hose Fittings'!$A$30,VLOOKUP($A59,'Hose Fittings'!$A$8:$M$29,4,FALSE),
IF($A59&lt;'Swing Joints'!$A$496,VLOOKUP($A59,'Swing Joints'!$A$9:$M$495,4,FALSE),
IF($A59&lt;'Swing Joints Components'!$A$135,VLOOKUP($A59,'Swing Joints Components'!$A$9:$M$134,4,FALSE),
IF($A59&lt;Nonstandard!$A$42,VLOOKUP($A59,Nonstandard!$A$31:$J$41,5,FALSE),"")))))))))))))))))))))))))))),"")</f>
        <v/>
      </c>
      <c r="C59" s="415" t="str">
        <f>IFERROR(IF($A59&lt;'DWV PVC'!$A$285,VLOOKUP($A59,'DWV PVC'!$A$8:$M$284,5,FALSE),
IF($A59&lt;'DWV ABS'!$A$117,VLOOKUP($A59,'DWV ABS'!$A$8:$M$116,5,FALSE),
IF($A59&lt;'PVC SCH40'!$A$376,VLOOKUP($A59,'PVC SCH40'!$A$8:$M$375,5,FALSE),
IF($A59&lt;'PVC SCH40 LD'!$A$22,VLOOKUP($A59,'PVC SCH40 LD'!$A$8:$M$21,5,FALSE),
IF($A59&lt;'Pool &amp; SPA Sweep Elbows'!$A$12,VLOOKUP($A59,'Pool &amp; SPA Sweep Elbows'!$A$8:$M$11,5,FALSE),
IF($A59&lt;'Pool &amp; SPA Pipe Extender'!$A$11,VLOOKUP($A59,'Pool &amp; SPA Pipe Extender'!$A$8:$M$10,5,FALSE),
IF($A59&lt;'PVC SCH80'!$A$250,VLOOKUP($A59,'PVC SCH80'!$A$8:$M$249,5,FALSE),
IF($A59&lt;'PVC SCH80 Flange'!$A$49,VLOOKUP($A59,'PVC SCH80 Flange'!$A$8:$M$48,5,FALSE),
IF($A59&lt;'PVC SCH80 LD Flange'!$A$17,VLOOKUP($A59,'PVC SCH80 LD Flange'!$A$8:$M$16,5,FALSE),
IF($A59&lt;CPVC!$A$100,VLOOKUP($A59,CPVC!$A$8:$M$99,5,FALSE),
IF($A59&lt;InsertFittings!$A$237,VLOOKUP($A59,InsertFittings!$A$11:$M$236,5,FALSE),
IF($A59&lt;Valves!$A$132,VLOOKUP($A59,Valves!$A$8:$M$131,5,FALSE),
IF($A59&lt;SDR35SW!$A$124,VLOOKUP($A59,SDR35SW!$A$8:$M$123,5,FALSE),
IF($A59&lt;SDR35G!$A$143,VLOOKUP($A59, SDR35G!$A$8:$M$142,5,FALSE),
IF($A59&lt;SDR26G!$A$61,VLOOKUP($A59,SDR26G!$A$8:$N$60,5,FALSE),
IF($A59&lt;Cements!$A$100,VLOOKUP($A59,Cements!$A$8:$Q$99,5,FALSE),
IF($A59&lt;ValveBox!$A$143,VLOOKUP($A59,ValveBox!$A$10:$O$142,5,FALSE),
IF($A59&lt;'ValveBox Components'!$A$165,VLOOKUP($A59,'ValveBox Components'!$A$10:$O$164,5,FALSE),
IF($A59&lt;Drainage!$A$92,VLOOKUP($A59,Drainage!$A$8:$M$91,5,FALSE),
IF($A59&lt;Nipples!$A$82,VLOOKUP($A59,Nipples!$A$9:$Q$81,5,FALSE),
IF($A59&lt;Manifold!$A$33,VLOOKUP($A59,Manifold!$A$9:$M$32,5,FALSE),
IF($A59&lt;FlexibleRepairCouplings!$A$13,VLOOKUP($A59,FlexibleRepairCouplings!$A$10:$M$12,5,FALSE),
IF($A59&lt;DuraFix!$A$15,VLOOKUP($A59,DuraFix!$A$9:$M$14,5,FALSE),
IF($A59&lt;'Compression Fittings'!$A$16,VLOOKUP($A59,'Compression Fittings'!$A$8:$M$15,5,FALSE),
IF($A59&lt;'Hose Fittings'!$A$30,VLOOKUP($A59,'Hose Fittings'!$A$8:$M$29,5,FALSE),
IF($A59&lt;'Swing Joints'!$A$496,VLOOKUP($A59,'Swing Joints'!$A$9:$M$495,5,FALSE),
IF($A59&lt;'Swing Joints Components'!$A$135,VLOOKUP($A59,'Swing Joints Components'!$A$9:$M$134,5,FALSE),
IF($A59&lt;Nonstandard!$A$42,VLOOKUP($A59,Nonstandard!$A$31:$J$41,6,FALSE),"")))))))))))))))))))))))))))),"")</f>
        <v/>
      </c>
      <c r="D59" s="426" t="str">
        <f>IFERROR(IF($A59&lt;'DWV PVC'!$A$285,VLOOKUP($A59,'DWV PVC'!$A$8:$M$284,6,FALSE),
IF($A59&lt;'DWV ABS'!$A$117,VLOOKUP($A59,'DWV ABS'!$A$8:$M$116,6,FALSE),
IF($A59&lt;'PVC SCH40'!$A$376,VLOOKUP($A59,'PVC SCH40'!$A$8:$M$375,6,FALSE),
IF($A59&lt;'PVC SCH40 LD'!$A$22,VLOOKUP($A59,'PVC SCH40 LD'!$A$8:$M$21,6,FALSE),
IF($A59&lt;'Pool &amp; SPA Sweep Elbows'!$A$12,VLOOKUP($A59,'Pool &amp; SPA Sweep Elbows'!$A$8:$M$11,6,FALSE),
IF($A59&lt;'Pool &amp; SPA Pipe Extender'!$A$11,VLOOKUP($A59,'Pool &amp; SPA Pipe Extender'!$A$8:$M$10,6,FALSE),
IF($A59&lt;'PVC SCH80'!$A$250,VLOOKUP($A59,'PVC SCH80'!$A$8:$M$249,6,FALSE),
IF($A59&lt;'PVC SCH80 Flange'!$A$49,VLOOKUP($A59,'PVC SCH80 Flange'!$A$8:$M$48,6,FALSE),
IF($A59&lt;'PVC SCH80 LD Flange'!$A$17,VLOOKUP($A59,'PVC SCH80 LD Flange'!$A$8:$M$16,6,FALSE),
IF($A59&lt;CPVC!$A$100,VLOOKUP($A59,CPVC!$A$8:$M$99,6,FALSE),
IF($A59&lt;InsertFittings!$A$237,VLOOKUP($A59,InsertFittings!$A$11:$M$236,6,FALSE),
IF($A59&lt;Valves!$A$132,VLOOKUP($A59,Valves!$A$8:$M$131,6,FALSE),
IF($A59&lt;SDR35SW!$A$124,VLOOKUP($A59,SDR35SW!$A$8:$M$123,6,FALSE),
IF($A59&lt;SDR35G!$A$143,VLOOKUP($A59, SDR35G!$A$8:$M$142,6,FALSE),
IF($A59&lt;SDR26G!$A$61,VLOOKUP($A59,SDR26G!$A$8:$N$60,6,FALSE),
IF($A59&lt;Cements!$A$100,VLOOKUP($A59,Cements!$A$8:$Q$99,6,FALSE),
IF($A59&lt;ValveBox!$A$143,VLOOKUP($A59,ValveBox!$A$10:$O$142,6,FALSE),
IF($A59&lt;'ValveBox Components'!$A$165,VLOOKUP($A59,'ValveBox Components'!$A$10:$O$164,6,FALSE),
IF($A59&lt;Drainage!$A$92,VLOOKUP($A59,Drainage!$A$8:$M$91,6,FALSE),
IF($A59&lt;Nipples!$A$82,VLOOKUP($A59,Nipples!$A$9:$Q$81,6,FALSE),
IF($A59&lt;Manifold!$A$33,VLOOKUP($A59,Manifold!$A$9:$M$32,6,FALSE),
IF($A59&lt;FlexibleRepairCouplings!$A$13,VLOOKUP($A59,FlexibleRepairCouplings!$A$10:$M$12,6,FALSE),
IF($A59&lt;DuraFix!$A$15,VLOOKUP($A59,DuraFix!$A$9:$M$14,6,FALSE),
IF($A59&lt;'Compression Fittings'!$A$16,VLOOKUP($A59,'Compression Fittings'!$A$8:$M$15,6,FALSE),
IF($A59&lt;'Hose Fittings'!$A$30,VLOOKUP($A59,'Hose Fittings'!$A$8:$M$29,6,FALSE),
IF($A59&lt;'Swing Joints'!$A$496,VLOOKUP($A59,'Swing Joints'!$A$9:$M$495,6,FALSE),
IF($A59&lt;'Swing Joints Components'!$A$135,VLOOKUP($A59,'Swing Joints Components'!$A$9:$M$134,6,FALSE),
IF($A59&lt;Nonstandard!$A$42,VLOOKUP($A59,Nonstandard!$A$31:$J$41,7,FALSE),"")))))))))))))))))))))))))))),"")</f>
        <v/>
      </c>
      <c r="E59" s="427"/>
      <c r="F59" s="418" t="str">
        <f>IFERROR(IF($A59&lt;'DWV PVC'!$A$285,VLOOKUP($A59,'DWV PVC'!$A$8:$M$284,9,FALSE),
IF($A59&lt;'DWV ABS'!$A$117,VLOOKUP($A59,'DWV ABS'!$A$8:$M$116,9,FALSE),
IF($A59&lt;'PVC SCH40'!$A$376,VLOOKUP($A59,'PVC SCH40'!$A$8:$M$375,9,FALSE),
IF($A59&lt;'PVC SCH40 LD'!$A$22,VLOOKUP($A59,'PVC SCH40 LD'!$A$8:$M$21,9,FALSE),
IF($A59&lt;'Pool &amp; SPA Sweep Elbows'!$A$12,VLOOKUP($A59,'Pool &amp; SPA Sweep Elbows'!$A$8:$M$11,9,FALSE),
IF($A59&lt;'Pool &amp; SPA Pipe Extender'!$A$11,VLOOKUP($A59,'Pool &amp; SPA Pipe Extender'!$A$8:$M$10,9,FALSE),
IF($A59&lt;'PVC SCH80'!$A$250,VLOOKUP($A59,'PVC SCH80'!$A$8:$M$249,9,FALSE),
IF($A59&lt;'PVC SCH80 Flange'!$A$49,VLOOKUP($A59,'PVC SCH80 Flange'!$A$8:$M$48,9,FALSE),
IF($A59&lt;'PVC SCH80 LD Flange'!$A$17,VLOOKUP($A59,'PVC SCH80 LD Flange'!$A$8:$M$16,9,FALSE),
IF($A59&lt;CPVC!$A$100,VLOOKUP($A59,CPVC!$A$8:$M$99,9,FALSE),
IF($A59&lt;InsertFittings!$A$237,VLOOKUP($A59,InsertFittings!$A$11:$M$236,9,FALSE),
IF($A59&lt;Valves!$A$132,VLOOKUP($A59,Valves!$A$8:$M$131,9,FALSE),
IF($A59&lt;SDR35SW!$A$124,VLOOKUP($A59,SDR35SW!$A$8:$M$123,9,FALSE),
IF($A59&lt;SDR35G!$A$143,VLOOKUP($A59, SDR35G!$A$8:$M$142,9,FALSE),
IF($A59&lt;SDR26G!$A$61,VLOOKUP($A59,SDR26G!$A$8:$N$60,10,FALSE),
IF($A59&lt;Cements!$A$100,VLOOKUP($A59,Cements!$A$8:$Q$99,13,FALSE),
IF($A59&lt;ValveBox!$A$143,VLOOKUP($A59,ValveBox!$A$10:$O$142,11,FALSE),
IF($A59&lt;'ValveBox Components'!$A$165,VLOOKUP($A59,'ValveBox Components'!$A$10:$O$164,11,FALSE),
IF($A59&lt;Drainage!$A$92,VLOOKUP($A59,Drainage!$A$8:$M$91,9,FALSE),
IF($A59&lt;Nipples!$A$82,VLOOKUP($A59,Nipples!$A$9:$Q$81,13,FALSE),
IF($A59&lt;Manifold!$A$33,VLOOKUP($A59,Manifold!$A$9:$M$32,9,FALSE),
IF($A59&lt;FlexibleRepairCouplings!$A$13,VLOOKUP($A59,FlexibleRepairCouplings!$A$10:$M$12,9,FALSE),
IF($A59&lt;DuraFix!$A$15,VLOOKUP($A59,DuraFix!$A$9:$M$14,9,FALSE),
IF($A59&lt;'Compression Fittings'!$A$16,VLOOKUP($A59,'Compression Fittings'!$A$8:$M$15,9,FALSE),
IF($A59&lt;'Hose Fittings'!$A$30,VLOOKUP($A59,'Hose Fittings'!$A$8:$M$29,9,FALSE),
IF($A59&lt;'Swing Joints'!$A$496,VLOOKUP($A59,'Swing Joints'!$A$9:$M$495,9,FALSE),
IF($A59&lt;'Swing Joints Components'!$A$135,VLOOKUP($A59,'Swing Joints Components'!$A$9:$M$134,9,FALSE),
IF($A59&lt;Nonstandard!$A$42,VLOOKUP($A59,Nonstandard!$A$31:$J$41,8,FALSE),"")))))))))))))))))))))))))))),"")</f>
        <v/>
      </c>
      <c r="G59" s="416" t="str">
        <f>IFERROR(IF($A59&lt;'DWV PVC'!$A$285,VLOOKUP($A59,'DWV PVC'!$A$8:$M$284,11,FALSE),
IF($A59&lt;'DWV ABS'!$A$117,VLOOKUP($A59,'DWV ABS'!$A$8:$M$116,11,FALSE),
IF($A59&lt;'PVC SCH40'!$A$376,VLOOKUP($A59,'PVC SCH40'!$A$8:$M$375,11,FALSE),
IF($A59&lt;'PVC SCH40 LD'!$A$22,VLOOKUP($A59,'PVC SCH40 LD'!$A$8:$M$21,11,FALSE),
IF($A59&lt;'Pool &amp; SPA Sweep Elbows'!$A$12,VLOOKUP($A59,'Pool &amp; SPA Sweep Elbows'!$A$8:$M$11,11,FALSE),
IF($A59&lt;'Pool &amp; SPA Pipe Extender'!$A$11,VLOOKUP($A59,'Pool &amp; SPA Pipe Extender'!$A$8:$M$10,11,FALSE),
IF($A59&lt;'PVC SCH80'!$A$250,VLOOKUP($A59,'PVC SCH80'!$A$8:$M$249,11,FALSE),
IF($A59&lt;'PVC SCH80 Flange'!$A$49,VLOOKUP($A59,'PVC SCH80 Flange'!$A$8:$M$48,11,FALSE),
IF($A59&lt;'PVC SCH80 LD Flange'!$A$17,VLOOKUP($A59,'PVC SCH80 LD Flange'!$A$8:$M$16,11,FALSE),
IF($A59&lt;CPVC!$A$100,VLOOKUP($A59,CPVC!$A$8:$M$99,11,FALSE),
IF($A59&lt;InsertFittings!$A$237,VLOOKUP($A59,InsertFittings!$A$11:$M$236,11,FALSE),
IF($A59&lt;Valves!$A$132,VLOOKUP($A59,Valves!$A$8:$M$131,11,FALSE),
IF($A59&lt;SDR35SW!$A$124,VLOOKUP($A59,SDR35SW!$A$8:$M$123,11,FALSE),
IF($A59&lt;SDR35G!$A$143,VLOOKUP($A59, SDR35G!$A$8:$M$142,11,FALSE),
IF($A59&lt;SDR26G!$A$61,VLOOKUP($A59,SDR26G!$A$8:$N$60,12,FALSE),
IF($A59&lt;Cements!$A$100,VLOOKUP($A59,Cements!$A$8:$Q$99,15,FALSE),
IF($A59&lt;ValveBox!$A$143,VLOOKUP($A59,ValveBox!$A$10:$O$142,13,FALSE),
IF($A59&lt;'ValveBox Components'!$A$165,VLOOKUP($A59,'ValveBox Components'!$A$10:$O$164,13,FALSE),
IF($A59&lt;Drainage!$A$92,VLOOKUP($A59,Drainage!$A$8:$M$91,11,FALSE),
IF($A59&lt;Nipples!$A$82,VLOOKUP($A59,Nipples!$A$9:$Q$81,15,FALSE),
IF($A59&lt;Manifold!$A$33,VLOOKUP($A59,Manifold!$A$9:$M$32,11,FALSE),
IF($A59&lt;FlexibleRepairCouplings!$A$13,VLOOKUP($A59,FlexibleRepairCouplings!$A$10:$M$12,11,FALSE),
IF($A59&lt;DuraFix!$A$15,VLOOKUP($A59,DuraFix!$A$9:$M$14,11,FALSE),
IF($A59&lt;'Compression Fittings'!$A$16,VLOOKUP($A59,'Compression Fittings'!$A$8:$M$15,11,FALSE),
IF($A59&lt;'Hose Fittings'!$A$30,VLOOKUP($A59,'Hose Fittings'!$A$8:$M$29,11,FALSE),
IF($A59&lt;'Swing Joints'!$A$496,VLOOKUP($A59,'Swing Joints'!$A$9:$M$495,11,FALSE),
IF($A59&lt;'Swing Joints Components'!$A$135,VLOOKUP($A59,'Swing Joints Components'!$A$9:$M$134,11,FALSE),
IF($A59&lt;Nonstandard!$A$42,VLOOKUP($A59,Nonstandard!$A$31:$J$41,3,FALSE),"")))))))))))))))))))))))))))),"")</f>
        <v/>
      </c>
      <c r="H59" s="586" t="str">
        <f>IFERROR(IF($A59&lt;'DWV PVC'!$A$285,VLOOKUP($A59,'DWV PVC'!$A$8:$M$284,7,FALSE),
IF($A59&lt;'DWV ABS'!$A$117,VLOOKUP($A59,'DWV ABS'!$A$8:$M$116,7,FALSE),
IF($A59&lt;'PVC SCH40'!$A$376,VLOOKUP($A59,'PVC SCH40'!$A$8:$M$375,7,FALSE),
IF($A59&lt;'PVC SCH40 LD'!$A$22,VLOOKUP($A59,'PVC SCH40 LD'!$A$8:$M$21,7,FALSE),
IF($A59&lt;'Pool &amp; SPA Sweep Elbows'!$A$12,VLOOKUP($A59,'Pool &amp; SPA Sweep Elbows'!$A$8:$M$11,7,FALSE),
IF($A59&lt;'Pool &amp; SPA Pipe Extender'!$A$11,VLOOKUP($A59,'Pool &amp; SPA Pipe Extender'!$A$8:$M$10,7,FALSE),
IF($A59&lt;'PVC SCH80'!$A$250,VLOOKUP($A59,'PVC SCH80'!$A$8:$M$249,7,FALSE),
IF($A59&lt;'PVC SCH80 Flange'!$A$49,VLOOKUP($A59,'PVC SCH80 Flange'!$A$8:$M$48,7,FALSE),
IF($A59&lt;'PVC SCH80 LD Flange'!$A$17,VLOOKUP($A59,'PVC SCH80 LD Flange'!$A$8:$M$16,7,FALSE),
IF($A59&lt;CPVC!$A$100,VLOOKUP($A59,CPVC!$A$8:$M$99,7,FALSE),
IF($A59&lt;InsertFittings!$A$237,VLOOKUP($A59,InsertFittings!$A$11:$M$236,7,FALSE),
IF($A59&lt;Valves!$A$132,VLOOKUP($A59,Valves!$A$8:$M$131,7,FALSE),
IF($A59&lt;SDR35SW!$A$124,VLOOKUP($A59,SDR35SW!$A$8:$M$123,7,FALSE),
IF($A59&lt;SDR35G!$A$143,VLOOKUP($A59, SDR35G!$A$8:$M$142,7,FALSE),
IF($A59&lt;SDR26G!$A$61,VLOOKUP($A59,SDR26G!$A$8:$N$60,10,FALSE),
IF($A59&lt;Cements!$A$100,VLOOKUP($A59,Cements!$A$8:$Q$99,13,FALSE),
IF($A59&lt;ValveBox!$A$143,VLOOKUP($A59,ValveBox!$A$10:$O$142,11,FALSE),
IF($A59&lt;'ValveBox Components'!$A$165,VLOOKUP($A59,'ValveBox Components'!$A$10:$O$164,11,FALSE),
IF($A59&lt;Drainage!$A$92,VLOOKUP($A59,Drainage!$A$8:$M$91,7,FALSE),
IF($A59&lt;Nipples!$A$82,VLOOKUP($A59,Nipples!$A$9:$Q$81,13,FALSE),
IF($A59&lt;Manifold!$A$33,VLOOKUP($A59,Manifold!$A$9:$M$32,7,FALSE),
IF($A59&lt;FlexibleRepairCouplings!$A$13,VLOOKUP($A59,FlexibleRepairCouplings!$A$10:$M$12,7,FALSE),
IF($A59&lt;DuraFix!$A$15,VLOOKUP($A59,DuraFix!$A$9:$M$14,7,FALSE),
IF($A59&lt;'Compression Fittings'!$A$16,VLOOKUP($A59,'Compression Fittings'!$A$8:$M$15,7,FALSE),
IF($A59&lt;'Hose Fittings'!$A$30,VLOOKUP($A59,'Hose Fittings'!$A$8:$M$29,7,FALSE),
IF($A59&lt;'Swing Joints'!$A$496,VLOOKUP($A59,'Swing Joints'!$A$9:$M$495,7,FALSE),
IF($A59&lt;'Swing Joints Components'!$A$135,VLOOKUP($A59,'Swing Joints Components'!$A$9:$M$134,7,FALSE),
IF($A59&lt;Nonstandard!$A$42,VLOOKUP($A59,Nonstandard!$A$31:$J$41,3,FALSE),"")))))))))))))))))))))))))))),"")</f>
        <v/>
      </c>
      <c r="I59" s="587"/>
      <c r="J59" s="383" t="str">
        <f t="shared" si="1"/>
        <v/>
      </c>
      <c r="K59" s="417" t="str">
        <f>IFERROR(IF($A59&lt;'DWV PVC'!$A$285,VLOOKUP($A59,'DWV PVC'!$A$8:$M$284,10,FALSE),
IF($A59&lt;'DWV ABS'!$A$117,VLOOKUP($A59,'DWV ABS'!$A$8:$M$116,10,FALSE),
IF($A59&lt;'PVC SCH40'!$A$376,VLOOKUP($A59,'PVC SCH40'!$A$8:$M$375,10,FALSE),
IF($A59&lt;'PVC SCH40 LD'!$A$22,VLOOKUP($A59,'PVC SCH40 LD'!$A$8:$M$21,10,FALSE),
IF($A59&lt;'Pool &amp; SPA Sweep Elbows'!$A$12,VLOOKUP($A59,'Pool &amp; SPA Sweep Elbows'!$A$8:$M$11,10,FALSE),
IF($A59&lt;'Pool &amp; SPA Pipe Extender'!$A$11,VLOOKUP($A59,'Pool &amp; SPA Pipe Extender'!$A$8:$M$10,10,FALSE),
IF($A59&lt;'PVC SCH80'!$A$250,VLOOKUP($A59,'PVC SCH80'!$A$8:$M$249,10,FALSE),
IF($A59&lt;'PVC SCH80 Flange'!$A$49,VLOOKUP($A59,'PVC SCH80 Flange'!$A$8:$M$48,10,FALSE),
IF($A59&lt;'PVC SCH80 LD Flange'!$A$17,VLOOKUP($A59,'PVC SCH80 LD Flange'!$A$8:$M$16,10,FALSE),
IF($A59&lt;CPVC!$A$100,VLOOKUP($A59,CPVC!$A$8:$M$99,10,FALSE),
IF($A59&lt;InsertFittings!$A$237,VLOOKUP($A59,InsertFittings!$A$11:$M$236,10,FALSE),
IF($A59&lt;Valves!$A$132,VLOOKUP($A59,Valves!$A$8:$M$131,10,FALSE),
IF($A59&lt;SDR35SW!$A$124,VLOOKUP($A59,SDR35SW!$A$8:$M$123,10,FALSE),
IF($A59&lt;SDR35G!$A$143,VLOOKUP($A59, SDR35G!$A$8:$M$142,10,FALSE),
IF($A59&lt;SDR26G!$A$61,VLOOKUP($A59,SDR26G!$A$8:$N$60,11,FALSE),
IF($A59&lt;Cements!$A$100,VLOOKUP($A59,Cements!$A$8:$Q$99,14,FALSE),
IF($A59&lt;ValveBox!$A$143,VLOOKUP($A59,ValveBox!$A$10:$O$142,12,FALSE),
IF($A59&lt;'ValveBox Components'!$A$165,VLOOKUP($A59,'ValveBox Components'!$A$10:$O$164,12,FALSE),
IF($A59&lt;Drainage!$A$92,VLOOKUP($A59,Drainage!$A$8:$M$91,10,FALSE),
IF($A59&lt;Nipples!$A$82,VLOOKUP($A59,Nipples!$A$9:$Q$81,14,FALSE),
IF($A59&lt;Manifold!$A$33,VLOOKUP($A59,Manifold!$A$9:$M$32,10,FALSE),
IF($A59&lt;FlexibleRepairCouplings!$A$13,VLOOKUP($A59,FlexibleRepairCouplings!$A$10:$M$12,10,FALSE),
IF($A59&lt;DuraFix!$A$15,VLOOKUP($A59,DuraFix!$A$9:$M$14,10,FALSE),
IF($A59&lt;'Compression Fittings'!$A$16,VLOOKUP($A59,'Compression Fittings'!$A$8:$M$15,10,FALSE),
IF($A59&lt;'Hose Fittings'!$A$30,VLOOKUP($A59,'Hose Fittings'!$A$8:$M$29,10,FALSE),
IF($A59&lt;'Swing Joints'!$A$496,VLOOKUP($A59,'Swing Joints'!$A$9:$M$495,10,FALSE),
IF($A59&lt;'Swing Joints Components'!$A$135,VLOOKUP($A59,'Swing Joints Components'!$A$9:$M$134,10,FALSE),
IF($A59&lt;Nonstandard!$A$42,VLOOKUP($A59,Nonstandard!$A$31:$J$41,10,FALSE),"")))))))))))))))))))))))))))),"")</f>
        <v/>
      </c>
      <c r="L59" s="418" t="str">
        <f t="shared" si="0"/>
        <v>-</v>
      </c>
      <c r="M59" s="419"/>
    </row>
    <row r="60" spans="1:13" ht="15.75">
      <c r="A60" s="420">
        <v>28</v>
      </c>
      <c r="B60" s="420" t="str">
        <f>IFERROR(IF($A60&lt;'DWV PVC'!$A$285,VLOOKUP($A60,'DWV PVC'!$A$8:$M$284,4,FALSE),
IF($A60&lt;'DWV ABS'!$A$117,VLOOKUP($A60,'DWV ABS'!$A$8:$M$116,4,FALSE),
IF($A60&lt;'PVC SCH40'!$A$376,VLOOKUP($A60,'PVC SCH40'!$A$8:$M$375,4,FALSE),
IF($A60&lt;'PVC SCH40 LD'!$A$22,VLOOKUP($A60,'PVC SCH40 LD'!$A$8:$M$21,4,FALSE),
IF($A60&lt;'Pool &amp; SPA Sweep Elbows'!$A$12,VLOOKUP($A60,'Pool &amp; SPA Sweep Elbows'!$A$8:$M$11,4,FALSE),
IF($A60&lt;'Pool &amp; SPA Pipe Extender'!$A$11,VLOOKUP($A60,'Pool &amp; SPA Pipe Extender'!$A$8:$M$10,4,FALSE),
IF($A60&lt;'PVC SCH80'!$A$250,VLOOKUP($A60,'PVC SCH80'!$A$8:$M$249,4,FALSE),
IF($A60&lt;'PVC SCH80 Flange'!$A$49,VLOOKUP($A60,'PVC SCH80 Flange'!$A$8:$M$48,4,FALSE),
IF($A60&lt;'PVC SCH80 LD Flange'!$A$17,VLOOKUP($A60,'PVC SCH80 LD Flange'!$A$8:$M$16,4,FALSE),
IF($A60&lt;CPVC!$A$100,VLOOKUP($A60,CPVC!$A$8:$M$99,4,FALSE),
IF($A60&lt;InsertFittings!$A$237,VLOOKUP($A60,InsertFittings!$A$11:$M$236,4,FALSE),
IF($A60&lt;Valves!$A$132,VLOOKUP($A60,Valves!$A$8:$M$131,4,FALSE),
IF($A60&lt;SDR35SW!$A$124,VLOOKUP($A60,SDR35SW!$A$8:$M$123,4,FALSE),
IF($A60&lt;SDR35G!$A$143,VLOOKUP($A60, SDR35G!$A$8:$M$142,4,FALSE),
IF($A60&lt;SDR26G!$A$61,VLOOKUP($A60,SDR26G!$A$8:$N$60,4,FALSE),
IF($A60&lt;Cements!$A$100,VLOOKUP($A60,Cements!$A$8:$Q$99,4,FALSE),
IF($A60&lt;ValveBox!$A$143,VLOOKUP($A60,ValveBox!$A$10:$O$142,4,FALSE),
IF($A60&lt;'ValveBox Components'!$A$165,VLOOKUP($A60,'ValveBox Components'!$A$10:$O$164,4,FALSE),
IF($A60&lt;Drainage!$A$92,VLOOKUP($A60,Drainage!$A$8:$M$91,4,FALSE),
IF($A60&lt;Nipples!$A$82,VLOOKUP($A60,Nipples!$A$9:$Q$81,4,FALSE),
IF($A60&lt;Manifold!$A$33,VLOOKUP($A60,Manifold!$A$9:$M$32,4,FALSE),
IF($A60&lt;FlexibleRepairCouplings!$A$13,VLOOKUP($A60,FlexibleRepairCouplings!$A$10:$M$12,4,FALSE),
IF($A60&lt;DuraFix!$A$15,VLOOKUP($A60,DuraFix!$A$9:$M$14,4,FALSE),
IF($A60&lt;'Compression Fittings'!$A$16,VLOOKUP($A60,'Compression Fittings'!$A$8:$M$15,4,FALSE),
IF($A60&lt;'Hose Fittings'!$A$30,VLOOKUP($A60,'Hose Fittings'!$A$8:$M$29,4,FALSE),
IF($A60&lt;'Swing Joints'!$A$496,VLOOKUP($A60,'Swing Joints'!$A$9:$M$495,4,FALSE),
IF($A60&lt;'Swing Joints Components'!$A$135,VLOOKUP($A60,'Swing Joints Components'!$A$9:$M$134,4,FALSE),
IF($A60&lt;Nonstandard!$A$42,VLOOKUP($A60,Nonstandard!$A$31:$J$41,5,FALSE),"")))))))))))))))))))))))))))),"")</f>
        <v/>
      </c>
      <c r="C60" s="420" t="str">
        <f>IFERROR(IF($A60&lt;'DWV PVC'!$A$285,VLOOKUP($A60,'DWV PVC'!$A$8:$M$284,5,FALSE),
IF($A60&lt;'DWV ABS'!$A$117,VLOOKUP($A60,'DWV ABS'!$A$8:$M$116,5,FALSE),
IF($A60&lt;'PVC SCH40'!$A$376,VLOOKUP($A60,'PVC SCH40'!$A$8:$M$375,5,FALSE),
IF($A60&lt;'PVC SCH40 LD'!$A$22,VLOOKUP($A60,'PVC SCH40 LD'!$A$8:$M$21,5,FALSE),
IF($A60&lt;'Pool &amp; SPA Sweep Elbows'!$A$12,VLOOKUP($A60,'Pool &amp; SPA Sweep Elbows'!$A$8:$M$11,5,FALSE),
IF($A60&lt;'Pool &amp; SPA Pipe Extender'!$A$11,VLOOKUP($A60,'Pool &amp; SPA Pipe Extender'!$A$8:$M$10,5,FALSE),
IF($A60&lt;'PVC SCH80'!$A$250,VLOOKUP($A60,'PVC SCH80'!$A$8:$M$249,5,FALSE),
IF($A60&lt;'PVC SCH80 Flange'!$A$49,VLOOKUP($A60,'PVC SCH80 Flange'!$A$8:$M$48,5,FALSE),
IF($A60&lt;'PVC SCH80 LD Flange'!$A$17,VLOOKUP($A60,'PVC SCH80 LD Flange'!$A$8:$M$16,5,FALSE),
IF($A60&lt;CPVC!$A$100,VLOOKUP($A60,CPVC!$A$8:$M$99,5,FALSE),
IF($A60&lt;InsertFittings!$A$237,VLOOKUP($A60,InsertFittings!$A$11:$M$236,5,FALSE),
IF($A60&lt;Valves!$A$132,VLOOKUP($A60,Valves!$A$8:$M$131,5,FALSE),
IF($A60&lt;SDR35SW!$A$124,VLOOKUP($A60,SDR35SW!$A$8:$M$123,5,FALSE),
IF($A60&lt;SDR35G!$A$143,VLOOKUP($A60, SDR35G!$A$8:$M$142,5,FALSE),
IF($A60&lt;SDR26G!$A$61,VLOOKUP($A60,SDR26G!$A$8:$N$60,5,FALSE),
IF($A60&lt;Cements!$A$100,VLOOKUP($A60,Cements!$A$8:$Q$99,5,FALSE),
IF($A60&lt;ValveBox!$A$143,VLOOKUP($A60,ValveBox!$A$10:$O$142,5,FALSE),
IF($A60&lt;'ValveBox Components'!$A$165,VLOOKUP($A60,'ValveBox Components'!$A$10:$O$164,5,FALSE),
IF($A60&lt;Drainage!$A$92,VLOOKUP($A60,Drainage!$A$8:$M$91,5,FALSE),
IF($A60&lt;Nipples!$A$82,VLOOKUP($A60,Nipples!$A$9:$Q$81,5,FALSE),
IF($A60&lt;Manifold!$A$33,VLOOKUP($A60,Manifold!$A$9:$M$32,5,FALSE),
IF($A60&lt;FlexibleRepairCouplings!$A$13,VLOOKUP($A60,FlexibleRepairCouplings!$A$10:$M$12,5,FALSE),
IF($A60&lt;DuraFix!$A$15,VLOOKUP($A60,DuraFix!$A$9:$M$14,5,FALSE),
IF($A60&lt;'Compression Fittings'!$A$16,VLOOKUP($A60,'Compression Fittings'!$A$8:$M$15,5,FALSE),
IF($A60&lt;'Hose Fittings'!$A$30,VLOOKUP($A60,'Hose Fittings'!$A$8:$M$29,5,FALSE),
IF($A60&lt;'Swing Joints'!$A$496,VLOOKUP($A60,'Swing Joints'!$A$9:$M$495,5,FALSE),
IF($A60&lt;'Swing Joints Components'!$A$135,VLOOKUP($A60,'Swing Joints Components'!$A$9:$M$134,5,FALSE),
IF($A60&lt;Nonstandard!$A$42,VLOOKUP($A60,Nonstandard!$A$31:$J$41,6,FALSE),"")))))))))))))))))))))))))))),"")</f>
        <v/>
      </c>
      <c r="D60" s="428" t="str">
        <f>IFERROR(IF($A60&lt;'DWV PVC'!$A$285,VLOOKUP($A60,'DWV PVC'!$A$8:$M$284,6,FALSE),
IF($A60&lt;'DWV ABS'!$A$117,VLOOKUP($A60,'DWV ABS'!$A$8:$M$116,6,FALSE),
IF($A60&lt;'PVC SCH40'!$A$376,VLOOKUP($A60,'PVC SCH40'!$A$8:$M$375,6,FALSE),
IF($A60&lt;'PVC SCH40 LD'!$A$22,VLOOKUP($A60,'PVC SCH40 LD'!$A$8:$M$21,6,FALSE),
IF($A60&lt;'Pool &amp; SPA Sweep Elbows'!$A$12,VLOOKUP($A60,'Pool &amp; SPA Sweep Elbows'!$A$8:$M$11,6,FALSE),
IF($A60&lt;'Pool &amp; SPA Pipe Extender'!$A$11,VLOOKUP($A60,'Pool &amp; SPA Pipe Extender'!$A$8:$M$10,6,FALSE),
IF($A60&lt;'PVC SCH80'!$A$250,VLOOKUP($A60,'PVC SCH80'!$A$8:$M$249,6,FALSE),
IF($A60&lt;'PVC SCH80 Flange'!$A$49,VLOOKUP($A60,'PVC SCH80 Flange'!$A$8:$M$48,6,FALSE),
IF($A60&lt;'PVC SCH80 LD Flange'!$A$17,VLOOKUP($A60,'PVC SCH80 LD Flange'!$A$8:$M$16,6,FALSE),
IF($A60&lt;CPVC!$A$100,VLOOKUP($A60,CPVC!$A$8:$M$99,6,FALSE),
IF($A60&lt;InsertFittings!$A$237,VLOOKUP($A60,InsertFittings!$A$11:$M$236,6,FALSE),
IF($A60&lt;Valves!$A$132,VLOOKUP($A60,Valves!$A$8:$M$131,6,FALSE),
IF($A60&lt;SDR35SW!$A$124,VLOOKUP($A60,SDR35SW!$A$8:$M$123,6,FALSE),
IF($A60&lt;SDR35G!$A$143,VLOOKUP($A60, SDR35G!$A$8:$M$142,6,FALSE),
IF($A60&lt;SDR26G!$A$61,VLOOKUP($A60,SDR26G!$A$8:$N$60,6,FALSE),
IF($A60&lt;Cements!$A$100,VLOOKUP($A60,Cements!$A$8:$Q$99,6,FALSE),
IF($A60&lt;ValveBox!$A$143,VLOOKUP($A60,ValveBox!$A$10:$O$142,6,FALSE),
IF($A60&lt;'ValveBox Components'!$A$165,VLOOKUP($A60,'ValveBox Components'!$A$10:$O$164,6,FALSE),
IF($A60&lt;Drainage!$A$92,VLOOKUP($A60,Drainage!$A$8:$M$91,6,FALSE),
IF($A60&lt;Nipples!$A$82,VLOOKUP($A60,Nipples!$A$9:$Q$81,6,FALSE),
IF($A60&lt;Manifold!$A$33,VLOOKUP($A60,Manifold!$A$9:$M$32,6,FALSE),
IF($A60&lt;FlexibleRepairCouplings!$A$13,VLOOKUP($A60,FlexibleRepairCouplings!$A$10:$M$12,6,FALSE),
IF($A60&lt;DuraFix!$A$15,VLOOKUP($A60,DuraFix!$A$9:$M$14,6,FALSE),
IF($A60&lt;'Compression Fittings'!$A$16,VLOOKUP($A60,'Compression Fittings'!$A$8:$M$15,6,FALSE),
IF($A60&lt;'Hose Fittings'!$A$30,VLOOKUP($A60,'Hose Fittings'!$A$8:$M$29,6,FALSE),
IF($A60&lt;'Swing Joints'!$A$496,VLOOKUP($A60,'Swing Joints'!$A$9:$M$495,6,FALSE),
IF($A60&lt;'Swing Joints Components'!$A$135,VLOOKUP($A60,'Swing Joints Components'!$A$9:$M$134,6,FALSE),
IF($A60&lt;Nonstandard!$A$42,VLOOKUP($A60,Nonstandard!$A$31:$J$41,7,FALSE),"")))))))))))))))))))))))))))),"")</f>
        <v/>
      </c>
      <c r="E60" s="429"/>
      <c r="F60" s="421" t="str">
        <f>IFERROR(IF($A60&lt;'DWV PVC'!$A$285,VLOOKUP($A60,'DWV PVC'!$A$8:$M$284,9,FALSE),
IF($A60&lt;'DWV ABS'!$A$117,VLOOKUP($A60,'DWV ABS'!$A$8:$M$116,9,FALSE),
IF($A60&lt;'PVC SCH40'!$A$376,VLOOKUP($A60,'PVC SCH40'!$A$8:$M$375,9,FALSE),
IF($A60&lt;'PVC SCH40 LD'!$A$22,VLOOKUP($A60,'PVC SCH40 LD'!$A$8:$M$21,9,FALSE),
IF($A60&lt;'Pool &amp; SPA Sweep Elbows'!$A$12,VLOOKUP($A60,'Pool &amp; SPA Sweep Elbows'!$A$8:$M$11,9,FALSE),
IF($A60&lt;'Pool &amp; SPA Pipe Extender'!$A$11,VLOOKUP($A60,'Pool &amp; SPA Pipe Extender'!$A$8:$M$10,9,FALSE),
IF($A60&lt;'PVC SCH80'!$A$250,VLOOKUP($A60,'PVC SCH80'!$A$8:$M$249,9,FALSE),
IF($A60&lt;'PVC SCH80 Flange'!$A$49,VLOOKUP($A60,'PVC SCH80 Flange'!$A$8:$M$48,9,FALSE),
IF($A60&lt;'PVC SCH80 LD Flange'!$A$17,VLOOKUP($A60,'PVC SCH80 LD Flange'!$A$8:$M$16,9,FALSE),
IF($A60&lt;CPVC!$A$100,VLOOKUP($A60,CPVC!$A$8:$M$99,9,FALSE),
IF($A60&lt;InsertFittings!$A$237,VLOOKUP($A60,InsertFittings!$A$11:$M$236,9,FALSE),
IF($A60&lt;Valves!$A$132,VLOOKUP($A60,Valves!$A$8:$M$131,9,FALSE),
IF($A60&lt;SDR35SW!$A$124,VLOOKUP($A60,SDR35SW!$A$8:$M$123,9,FALSE),
IF($A60&lt;SDR35G!$A$143,VLOOKUP($A60, SDR35G!$A$8:$M$142,9,FALSE),
IF($A60&lt;SDR26G!$A$61,VLOOKUP($A60,SDR26G!$A$8:$N$60,10,FALSE),
IF($A60&lt;Cements!$A$100,VLOOKUP($A60,Cements!$A$8:$Q$99,13,FALSE),
IF($A60&lt;ValveBox!$A$143,VLOOKUP($A60,ValveBox!$A$10:$O$142,11,FALSE),
IF($A60&lt;'ValveBox Components'!$A$165,VLOOKUP($A60,'ValveBox Components'!$A$10:$O$164,11,FALSE),
IF($A60&lt;Drainage!$A$92,VLOOKUP($A60,Drainage!$A$8:$M$91,9,FALSE),
IF($A60&lt;Nipples!$A$82,VLOOKUP($A60,Nipples!$A$9:$Q$81,13,FALSE),
IF($A60&lt;Manifold!$A$33,VLOOKUP($A60,Manifold!$A$9:$M$32,9,FALSE),
IF($A60&lt;FlexibleRepairCouplings!$A$13,VLOOKUP($A60,FlexibleRepairCouplings!$A$10:$M$12,9,FALSE),
IF($A60&lt;DuraFix!$A$15,VLOOKUP($A60,DuraFix!$A$9:$M$14,9,FALSE),
IF($A60&lt;'Compression Fittings'!$A$16,VLOOKUP($A60,'Compression Fittings'!$A$8:$M$15,9,FALSE),
IF($A60&lt;'Hose Fittings'!$A$30,VLOOKUP($A60,'Hose Fittings'!$A$8:$M$29,9,FALSE),
IF($A60&lt;'Swing Joints'!$A$496,VLOOKUP($A60,'Swing Joints'!$A$9:$M$495,9,FALSE),
IF($A60&lt;'Swing Joints Components'!$A$135,VLOOKUP($A60,'Swing Joints Components'!$A$9:$M$134,9,FALSE),
IF($A60&lt;Nonstandard!$A$42,VLOOKUP($A60,Nonstandard!$A$31:$J$41,8,FALSE),"")))))))))))))))))))))))))))),"")</f>
        <v/>
      </c>
      <c r="G60" s="422" t="str">
        <f>IFERROR(IF($A60&lt;'DWV PVC'!$A$285,VLOOKUP($A60,'DWV PVC'!$A$8:$M$284,11,FALSE),
IF($A60&lt;'DWV ABS'!$A$117,VLOOKUP($A60,'DWV ABS'!$A$8:$M$116,11,FALSE),
IF($A60&lt;'PVC SCH40'!$A$376,VLOOKUP($A60,'PVC SCH40'!$A$8:$M$375,11,FALSE),
IF($A60&lt;'PVC SCH40 LD'!$A$22,VLOOKUP($A60,'PVC SCH40 LD'!$A$8:$M$21,11,FALSE),
IF($A60&lt;'Pool &amp; SPA Sweep Elbows'!$A$12,VLOOKUP($A60,'Pool &amp; SPA Sweep Elbows'!$A$8:$M$11,11,FALSE),
IF($A60&lt;'Pool &amp; SPA Pipe Extender'!$A$11,VLOOKUP($A60,'Pool &amp; SPA Pipe Extender'!$A$8:$M$10,11,FALSE),
IF($A60&lt;'PVC SCH80'!$A$250,VLOOKUP($A60,'PVC SCH80'!$A$8:$M$249,11,FALSE),
IF($A60&lt;'PVC SCH80 Flange'!$A$49,VLOOKUP($A60,'PVC SCH80 Flange'!$A$8:$M$48,11,FALSE),
IF($A60&lt;'PVC SCH80 LD Flange'!$A$17,VLOOKUP($A60,'PVC SCH80 LD Flange'!$A$8:$M$16,11,FALSE),
IF($A60&lt;CPVC!$A$100,VLOOKUP($A60,CPVC!$A$8:$M$99,11,FALSE),
IF($A60&lt;InsertFittings!$A$237,VLOOKUP($A60,InsertFittings!$A$11:$M$236,11,FALSE),
IF($A60&lt;Valves!$A$132,VLOOKUP($A60,Valves!$A$8:$M$131,11,FALSE),
IF($A60&lt;SDR35SW!$A$124,VLOOKUP($A60,SDR35SW!$A$8:$M$123,11,FALSE),
IF($A60&lt;SDR35G!$A$143,VLOOKUP($A60, SDR35G!$A$8:$M$142,11,FALSE),
IF($A60&lt;SDR26G!$A$61,VLOOKUP($A60,SDR26G!$A$8:$N$60,12,FALSE),
IF($A60&lt;Cements!$A$100,VLOOKUP($A60,Cements!$A$8:$Q$99,15,FALSE),
IF($A60&lt;ValveBox!$A$143,VLOOKUP($A60,ValveBox!$A$10:$O$142,13,FALSE),
IF($A60&lt;'ValveBox Components'!$A$165,VLOOKUP($A60,'ValveBox Components'!$A$10:$O$164,13,FALSE),
IF($A60&lt;Drainage!$A$92,VLOOKUP($A60,Drainage!$A$8:$M$91,11,FALSE),
IF($A60&lt;Nipples!$A$82,VLOOKUP($A60,Nipples!$A$9:$Q$81,15,FALSE),
IF($A60&lt;Manifold!$A$33,VLOOKUP($A60,Manifold!$A$9:$M$32,11,FALSE),
IF($A60&lt;FlexibleRepairCouplings!$A$13,VLOOKUP($A60,FlexibleRepairCouplings!$A$10:$M$12,11,FALSE),
IF($A60&lt;DuraFix!$A$15,VLOOKUP($A60,DuraFix!$A$9:$M$14,11,FALSE),
IF($A60&lt;'Compression Fittings'!$A$16,VLOOKUP($A60,'Compression Fittings'!$A$8:$M$15,11,FALSE),
IF($A60&lt;'Hose Fittings'!$A$30,VLOOKUP($A60,'Hose Fittings'!$A$8:$M$29,11,FALSE),
IF($A60&lt;'Swing Joints'!$A$496,VLOOKUP($A60,'Swing Joints'!$A$9:$M$495,11,FALSE),
IF($A60&lt;'Swing Joints Components'!$A$135,VLOOKUP($A60,'Swing Joints Components'!$A$9:$M$134,11,FALSE),
IF($A60&lt;Nonstandard!$A$42,VLOOKUP($A60,Nonstandard!$A$31:$J$41,3,FALSE),"")))))))))))))))))))))))))))),"")</f>
        <v/>
      </c>
      <c r="H60" s="588" t="str">
        <f>IFERROR(IF($A60&lt;'DWV PVC'!$A$285,VLOOKUP($A60,'DWV PVC'!$A$8:$M$284,7,FALSE),
IF($A60&lt;'DWV ABS'!$A$117,VLOOKUP($A60,'DWV ABS'!$A$8:$M$116,7,FALSE),
IF($A60&lt;'PVC SCH40'!$A$376,VLOOKUP($A60,'PVC SCH40'!$A$8:$M$375,7,FALSE),
IF($A60&lt;'PVC SCH40 LD'!$A$22,VLOOKUP($A60,'PVC SCH40 LD'!$A$8:$M$21,7,FALSE),
IF($A60&lt;'Pool &amp; SPA Sweep Elbows'!$A$12,VLOOKUP($A60,'Pool &amp; SPA Sweep Elbows'!$A$8:$M$11,7,FALSE),
IF($A60&lt;'Pool &amp; SPA Pipe Extender'!$A$11,VLOOKUP($A60,'Pool &amp; SPA Pipe Extender'!$A$8:$M$10,7,FALSE),
IF($A60&lt;'PVC SCH80'!$A$250,VLOOKUP($A60,'PVC SCH80'!$A$8:$M$249,7,FALSE),
IF($A60&lt;'PVC SCH80 Flange'!$A$49,VLOOKUP($A60,'PVC SCH80 Flange'!$A$8:$M$48,7,FALSE),
IF($A60&lt;'PVC SCH80 LD Flange'!$A$17,VLOOKUP($A60,'PVC SCH80 LD Flange'!$A$8:$M$16,7,FALSE),
IF($A60&lt;CPVC!$A$100,VLOOKUP($A60,CPVC!$A$8:$M$99,7,FALSE),
IF($A60&lt;InsertFittings!$A$237,VLOOKUP($A60,InsertFittings!$A$11:$M$236,7,FALSE),
IF($A60&lt;Valves!$A$132,VLOOKUP($A60,Valves!$A$8:$M$131,7,FALSE),
IF($A60&lt;SDR35SW!$A$124,VLOOKUP($A60,SDR35SW!$A$8:$M$123,7,FALSE),
IF($A60&lt;SDR35G!$A$143,VLOOKUP($A60, SDR35G!$A$8:$M$142,7,FALSE),
IF($A60&lt;SDR26G!$A$61,VLOOKUP($A60,SDR26G!$A$8:$N$60,10,FALSE),
IF($A60&lt;Cements!$A$100,VLOOKUP($A60,Cements!$A$8:$Q$99,13,FALSE),
IF($A60&lt;ValveBox!$A$143,VLOOKUP($A60,ValveBox!$A$10:$O$142,11,FALSE),
IF($A60&lt;'ValveBox Components'!$A$165,VLOOKUP($A60,'ValveBox Components'!$A$10:$O$164,11,FALSE),
IF($A60&lt;Drainage!$A$92,VLOOKUP($A60,Drainage!$A$8:$M$91,7,FALSE),
IF($A60&lt;Nipples!$A$82,VLOOKUP($A60,Nipples!$A$9:$Q$81,13,FALSE),
IF($A60&lt;Manifold!$A$33,VLOOKUP($A60,Manifold!$A$9:$M$32,7,FALSE),
IF($A60&lt;FlexibleRepairCouplings!$A$13,VLOOKUP($A60,FlexibleRepairCouplings!$A$10:$M$12,7,FALSE),
IF($A60&lt;DuraFix!$A$15,VLOOKUP($A60,DuraFix!$A$9:$M$14,7,FALSE),
IF($A60&lt;'Compression Fittings'!$A$16,VLOOKUP($A60,'Compression Fittings'!$A$8:$M$15,7,FALSE),
IF($A60&lt;'Hose Fittings'!$A$30,VLOOKUP($A60,'Hose Fittings'!$A$8:$M$29,7,FALSE),
IF($A60&lt;'Swing Joints'!$A$496,VLOOKUP($A60,'Swing Joints'!$A$9:$M$495,7,FALSE),
IF($A60&lt;'Swing Joints Components'!$A$135,VLOOKUP($A60,'Swing Joints Components'!$A$9:$M$134,7,FALSE),
IF($A60&lt;Nonstandard!$A$42,VLOOKUP($A60,Nonstandard!$A$31:$J$41,3,FALSE),"")))))))))))))))))))))))))))),"")</f>
        <v/>
      </c>
      <c r="I60" s="589"/>
      <c r="J60" s="423" t="str">
        <f t="shared" si="1"/>
        <v/>
      </c>
      <c r="K60" s="424" t="str">
        <f>IFERROR(IF($A60&lt;'DWV PVC'!$A$285,VLOOKUP($A60,'DWV PVC'!$A$8:$M$284,10,FALSE),
IF($A60&lt;'DWV ABS'!$A$117,VLOOKUP($A60,'DWV ABS'!$A$8:$M$116,10,FALSE),
IF($A60&lt;'PVC SCH40'!$A$376,VLOOKUP($A60,'PVC SCH40'!$A$8:$M$375,10,FALSE),
IF($A60&lt;'PVC SCH40 LD'!$A$22,VLOOKUP($A60,'PVC SCH40 LD'!$A$8:$M$21,10,FALSE),
IF($A60&lt;'Pool &amp; SPA Sweep Elbows'!$A$12,VLOOKUP($A60,'Pool &amp; SPA Sweep Elbows'!$A$8:$M$11,10,FALSE),
IF($A60&lt;'Pool &amp; SPA Pipe Extender'!$A$11,VLOOKUP($A60,'Pool &amp; SPA Pipe Extender'!$A$8:$M$10,10,FALSE),
IF($A60&lt;'PVC SCH80'!$A$250,VLOOKUP($A60,'PVC SCH80'!$A$8:$M$249,10,FALSE),
IF($A60&lt;'PVC SCH80 Flange'!$A$49,VLOOKUP($A60,'PVC SCH80 Flange'!$A$8:$M$48,10,FALSE),
IF($A60&lt;'PVC SCH80 LD Flange'!$A$17,VLOOKUP($A60,'PVC SCH80 LD Flange'!$A$8:$M$16,10,FALSE),
IF($A60&lt;CPVC!$A$100,VLOOKUP($A60,CPVC!$A$8:$M$99,10,FALSE),
IF($A60&lt;InsertFittings!$A$237,VLOOKUP($A60,InsertFittings!$A$11:$M$236,10,FALSE),
IF($A60&lt;Valves!$A$132,VLOOKUP($A60,Valves!$A$8:$M$131,10,FALSE),
IF($A60&lt;SDR35SW!$A$124,VLOOKUP($A60,SDR35SW!$A$8:$M$123,10,FALSE),
IF($A60&lt;SDR35G!$A$143,VLOOKUP($A60, SDR35G!$A$8:$M$142,10,FALSE),
IF($A60&lt;SDR26G!$A$61,VLOOKUP($A60,SDR26G!$A$8:$N$60,11,FALSE),
IF($A60&lt;Cements!$A$100,VLOOKUP($A60,Cements!$A$8:$Q$99,14,FALSE),
IF($A60&lt;ValveBox!$A$143,VLOOKUP($A60,ValveBox!$A$10:$O$142,12,FALSE),
IF($A60&lt;'ValveBox Components'!$A$165,VLOOKUP($A60,'ValveBox Components'!$A$10:$O$164,12,FALSE),
IF($A60&lt;Drainage!$A$92,VLOOKUP($A60,Drainage!$A$8:$M$91,10,FALSE),
IF($A60&lt;Nipples!$A$82,VLOOKUP($A60,Nipples!$A$9:$Q$81,14,FALSE),
IF($A60&lt;Manifold!$A$33,VLOOKUP($A60,Manifold!$A$9:$M$32,10,FALSE),
IF($A60&lt;FlexibleRepairCouplings!$A$13,VLOOKUP($A60,FlexibleRepairCouplings!$A$10:$M$12,10,FALSE),
IF($A60&lt;DuraFix!$A$15,VLOOKUP($A60,DuraFix!$A$9:$M$14,10,FALSE),
IF($A60&lt;'Compression Fittings'!$A$16,VLOOKUP($A60,'Compression Fittings'!$A$8:$M$15,10,FALSE),
IF($A60&lt;'Hose Fittings'!$A$30,VLOOKUP($A60,'Hose Fittings'!$A$8:$M$29,10,FALSE),
IF($A60&lt;'Swing Joints'!$A$496,VLOOKUP($A60,'Swing Joints'!$A$9:$M$495,10,FALSE),
IF($A60&lt;'Swing Joints Components'!$A$135,VLOOKUP($A60,'Swing Joints Components'!$A$9:$M$134,10,FALSE),
IF($A60&lt;Nonstandard!$A$42,VLOOKUP($A60,Nonstandard!$A$31:$J$41,10,FALSE),"")))))))))))))))))))))))))))),"")</f>
        <v/>
      </c>
      <c r="L60" s="421" t="str">
        <f t="shared" si="0"/>
        <v>-</v>
      </c>
      <c r="M60" s="425"/>
    </row>
    <row r="61" spans="1:13" ht="15.75">
      <c r="A61" s="415">
        <v>29</v>
      </c>
      <c r="B61" s="415" t="str">
        <f>IFERROR(IF($A61&lt;'DWV PVC'!$A$285,VLOOKUP($A61,'DWV PVC'!$A$8:$M$284,4,FALSE),
IF($A61&lt;'DWV ABS'!$A$117,VLOOKUP($A61,'DWV ABS'!$A$8:$M$116,4,FALSE),
IF($A61&lt;'PVC SCH40'!$A$376,VLOOKUP($A61,'PVC SCH40'!$A$8:$M$375,4,FALSE),
IF($A61&lt;'PVC SCH40 LD'!$A$22,VLOOKUP($A61,'PVC SCH40 LD'!$A$8:$M$21,4,FALSE),
IF($A61&lt;'Pool &amp; SPA Sweep Elbows'!$A$12,VLOOKUP($A61,'Pool &amp; SPA Sweep Elbows'!$A$8:$M$11,4,FALSE),
IF($A61&lt;'Pool &amp; SPA Pipe Extender'!$A$11,VLOOKUP($A61,'Pool &amp; SPA Pipe Extender'!$A$8:$M$10,4,FALSE),
IF($A61&lt;'PVC SCH80'!$A$250,VLOOKUP($A61,'PVC SCH80'!$A$8:$M$249,4,FALSE),
IF($A61&lt;'PVC SCH80 Flange'!$A$49,VLOOKUP($A61,'PVC SCH80 Flange'!$A$8:$M$48,4,FALSE),
IF($A61&lt;'PVC SCH80 LD Flange'!$A$17,VLOOKUP($A61,'PVC SCH80 LD Flange'!$A$8:$M$16,4,FALSE),
IF($A61&lt;CPVC!$A$100,VLOOKUP($A61,CPVC!$A$8:$M$99,4,FALSE),
IF($A61&lt;InsertFittings!$A$237,VLOOKUP($A61,InsertFittings!$A$11:$M$236,4,FALSE),
IF($A61&lt;Valves!$A$132,VLOOKUP($A61,Valves!$A$8:$M$131,4,FALSE),
IF($A61&lt;SDR35SW!$A$124,VLOOKUP($A61,SDR35SW!$A$8:$M$123,4,FALSE),
IF($A61&lt;SDR35G!$A$143,VLOOKUP($A61, SDR35G!$A$8:$M$142,4,FALSE),
IF($A61&lt;SDR26G!$A$61,VLOOKUP($A61,SDR26G!$A$8:$N$60,4,FALSE),
IF($A61&lt;Cements!$A$100,VLOOKUP($A61,Cements!$A$8:$Q$99,4,FALSE),
IF($A61&lt;ValveBox!$A$143,VLOOKUP($A61,ValveBox!$A$10:$O$142,4,FALSE),
IF($A61&lt;'ValveBox Components'!$A$165,VLOOKUP($A61,'ValveBox Components'!$A$10:$O$164,4,FALSE),
IF($A61&lt;Drainage!$A$92,VLOOKUP($A61,Drainage!$A$8:$M$91,4,FALSE),
IF($A61&lt;Nipples!$A$82,VLOOKUP($A61,Nipples!$A$9:$Q$81,4,FALSE),
IF($A61&lt;Manifold!$A$33,VLOOKUP($A61,Manifold!$A$9:$M$32,4,FALSE),
IF($A61&lt;FlexibleRepairCouplings!$A$13,VLOOKUP($A61,FlexibleRepairCouplings!$A$10:$M$12,4,FALSE),
IF($A61&lt;DuraFix!$A$15,VLOOKUP($A61,DuraFix!$A$9:$M$14,4,FALSE),
IF($A61&lt;'Compression Fittings'!$A$16,VLOOKUP($A61,'Compression Fittings'!$A$8:$M$15,4,FALSE),
IF($A61&lt;'Hose Fittings'!$A$30,VLOOKUP($A61,'Hose Fittings'!$A$8:$M$29,4,FALSE),
IF($A61&lt;'Swing Joints'!$A$496,VLOOKUP($A61,'Swing Joints'!$A$9:$M$495,4,FALSE),
IF($A61&lt;'Swing Joints Components'!$A$135,VLOOKUP($A61,'Swing Joints Components'!$A$9:$M$134,4,FALSE),
IF($A61&lt;Nonstandard!$A$42,VLOOKUP($A61,Nonstandard!$A$31:$J$41,5,FALSE),"")))))))))))))))))))))))))))),"")</f>
        <v/>
      </c>
      <c r="C61" s="415" t="str">
        <f>IFERROR(IF($A61&lt;'DWV PVC'!$A$285,VLOOKUP($A61,'DWV PVC'!$A$8:$M$284,5,FALSE),
IF($A61&lt;'DWV ABS'!$A$117,VLOOKUP($A61,'DWV ABS'!$A$8:$M$116,5,FALSE),
IF($A61&lt;'PVC SCH40'!$A$376,VLOOKUP($A61,'PVC SCH40'!$A$8:$M$375,5,FALSE),
IF($A61&lt;'PVC SCH40 LD'!$A$22,VLOOKUP($A61,'PVC SCH40 LD'!$A$8:$M$21,5,FALSE),
IF($A61&lt;'Pool &amp; SPA Sweep Elbows'!$A$12,VLOOKUP($A61,'Pool &amp; SPA Sweep Elbows'!$A$8:$M$11,5,FALSE),
IF($A61&lt;'Pool &amp; SPA Pipe Extender'!$A$11,VLOOKUP($A61,'Pool &amp; SPA Pipe Extender'!$A$8:$M$10,5,FALSE),
IF($A61&lt;'PVC SCH80'!$A$250,VLOOKUP($A61,'PVC SCH80'!$A$8:$M$249,5,FALSE),
IF($A61&lt;'PVC SCH80 Flange'!$A$49,VLOOKUP($A61,'PVC SCH80 Flange'!$A$8:$M$48,5,FALSE),
IF($A61&lt;'PVC SCH80 LD Flange'!$A$17,VLOOKUP($A61,'PVC SCH80 LD Flange'!$A$8:$M$16,5,FALSE),
IF($A61&lt;CPVC!$A$100,VLOOKUP($A61,CPVC!$A$8:$M$99,5,FALSE),
IF($A61&lt;InsertFittings!$A$237,VLOOKUP($A61,InsertFittings!$A$11:$M$236,5,FALSE),
IF($A61&lt;Valves!$A$132,VLOOKUP($A61,Valves!$A$8:$M$131,5,FALSE),
IF($A61&lt;SDR35SW!$A$124,VLOOKUP($A61,SDR35SW!$A$8:$M$123,5,FALSE),
IF($A61&lt;SDR35G!$A$143,VLOOKUP($A61, SDR35G!$A$8:$M$142,5,FALSE),
IF($A61&lt;SDR26G!$A$61,VLOOKUP($A61,SDR26G!$A$8:$N$60,5,FALSE),
IF($A61&lt;Cements!$A$100,VLOOKUP($A61,Cements!$A$8:$Q$99,5,FALSE),
IF($A61&lt;ValveBox!$A$143,VLOOKUP($A61,ValveBox!$A$10:$O$142,5,FALSE),
IF($A61&lt;'ValveBox Components'!$A$165,VLOOKUP($A61,'ValveBox Components'!$A$10:$O$164,5,FALSE),
IF($A61&lt;Drainage!$A$92,VLOOKUP($A61,Drainage!$A$8:$M$91,5,FALSE),
IF($A61&lt;Nipples!$A$82,VLOOKUP($A61,Nipples!$A$9:$Q$81,5,FALSE),
IF($A61&lt;Manifold!$A$33,VLOOKUP($A61,Manifold!$A$9:$M$32,5,FALSE),
IF($A61&lt;FlexibleRepairCouplings!$A$13,VLOOKUP($A61,FlexibleRepairCouplings!$A$10:$M$12,5,FALSE),
IF($A61&lt;DuraFix!$A$15,VLOOKUP($A61,DuraFix!$A$9:$M$14,5,FALSE),
IF($A61&lt;'Compression Fittings'!$A$16,VLOOKUP($A61,'Compression Fittings'!$A$8:$M$15,5,FALSE),
IF($A61&lt;'Hose Fittings'!$A$30,VLOOKUP($A61,'Hose Fittings'!$A$8:$M$29,5,FALSE),
IF($A61&lt;'Swing Joints'!$A$496,VLOOKUP($A61,'Swing Joints'!$A$9:$M$495,5,FALSE),
IF($A61&lt;'Swing Joints Components'!$A$135,VLOOKUP($A61,'Swing Joints Components'!$A$9:$M$134,5,FALSE),
IF($A61&lt;Nonstandard!$A$42,VLOOKUP($A61,Nonstandard!$A$31:$J$41,6,FALSE),"")))))))))))))))))))))))))))),"")</f>
        <v/>
      </c>
      <c r="D61" s="426" t="str">
        <f>IFERROR(IF($A61&lt;'DWV PVC'!$A$285,VLOOKUP($A61,'DWV PVC'!$A$8:$M$284,6,FALSE),
IF($A61&lt;'DWV ABS'!$A$117,VLOOKUP($A61,'DWV ABS'!$A$8:$M$116,6,FALSE),
IF($A61&lt;'PVC SCH40'!$A$376,VLOOKUP($A61,'PVC SCH40'!$A$8:$M$375,6,FALSE),
IF($A61&lt;'PVC SCH40 LD'!$A$22,VLOOKUP($A61,'PVC SCH40 LD'!$A$8:$M$21,6,FALSE),
IF($A61&lt;'Pool &amp; SPA Sweep Elbows'!$A$12,VLOOKUP($A61,'Pool &amp; SPA Sweep Elbows'!$A$8:$M$11,6,FALSE),
IF($A61&lt;'Pool &amp; SPA Pipe Extender'!$A$11,VLOOKUP($A61,'Pool &amp; SPA Pipe Extender'!$A$8:$M$10,6,FALSE),
IF($A61&lt;'PVC SCH80'!$A$250,VLOOKUP($A61,'PVC SCH80'!$A$8:$M$249,6,FALSE),
IF($A61&lt;'PVC SCH80 Flange'!$A$49,VLOOKUP($A61,'PVC SCH80 Flange'!$A$8:$M$48,6,FALSE),
IF($A61&lt;'PVC SCH80 LD Flange'!$A$17,VLOOKUP($A61,'PVC SCH80 LD Flange'!$A$8:$M$16,6,FALSE),
IF($A61&lt;CPVC!$A$100,VLOOKUP($A61,CPVC!$A$8:$M$99,6,FALSE),
IF($A61&lt;InsertFittings!$A$237,VLOOKUP($A61,InsertFittings!$A$11:$M$236,6,FALSE),
IF($A61&lt;Valves!$A$132,VLOOKUP($A61,Valves!$A$8:$M$131,6,FALSE),
IF($A61&lt;SDR35SW!$A$124,VLOOKUP($A61,SDR35SW!$A$8:$M$123,6,FALSE),
IF($A61&lt;SDR35G!$A$143,VLOOKUP($A61, SDR35G!$A$8:$M$142,6,FALSE),
IF($A61&lt;SDR26G!$A$61,VLOOKUP($A61,SDR26G!$A$8:$N$60,6,FALSE),
IF($A61&lt;Cements!$A$100,VLOOKUP($A61,Cements!$A$8:$Q$99,6,FALSE),
IF($A61&lt;ValveBox!$A$143,VLOOKUP($A61,ValveBox!$A$10:$O$142,6,FALSE),
IF($A61&lt;'ValveBox Components'!$A$165,VLOOKUP($A61,'ValveBox Components'!$A$10:$O$164,6,FALSE),
IF($A61&lt;Drainage!$A$92,VLOOKUP($A61,Drainage!$A$8:$M$91,6,FALSE),
IF($A61&lt;Nipples!$A$82,VLOOKUP($A61,Nipples!$A$9:$Q$81,6,FALSE),
IF($A61&lt;Manifold!$A$33,VLOOKUP($A61,Manifold!$A$9:$M$32,6,FALSE),
IF($A61&lt;FlexibleRepairCouplings!$A$13,VLOOKUP($A61,FlexibleRepairCouplings!$A$10:$M$12,6,FALSE),
IF($A61&lt;DuraFix!$A$15,VLOOKUP($A61,DuraFix!$A$9:$M$14,6,FALSE),
IF($A61&lt;'Compression Fittings'!$A$16,VLOOKUP($A61,'Compression Fittings'!$A$8:$M$15,6,FALSE),
IF($A61&lt;'Hose Fittings'!$A$30,VLOOKUP($A61,'Hose Fittings'!$A$8:$M$29,6,FALSE),
IF($A61&lt;'Swing Joints'!$A$496,VLOOKUP($A61,'Swing Joints'!$A$9:$M$495,6,FALSE),
IF($A61&lt;'Swing Joints Components'!$A$135,VLOOKUP($A61,'Swing Joints Components'!$A$9:$M$134,6,FALSE),
IF($A61&lt;Nonstandard!$A$42,VLOOKUP($A61,Nonstandard!$A$31:$J$41,7,FALSE),"")))))))))))))))))))))))))))),"")</f>
        <v/>
      </c>
      <c r="E61" s="427"/>
      <c r="F61" s="418" t="str">
        <f>IFERROR(IF($A61&lt;'DWV PVC'!$A$285,VLOOKUP($A61,'DWV PVC'!$A$8:$M$284,9,FALSE),
IF($A61&lt;'DWV ABS'!$A$117,VLOOKUP($A61,'DWV ABS'!$A$8:$M$116,9,FALSE),
IF($A61&lt;'PVC SCH40'!$A$376,VLOOKUP($A61,'PVC SCH40'!$A$8:$M$375,9,FALSE),
IF($A61&lt;'PVC SCH40 LD'!$A$22,VLOOKUP($A61,'PVC SCH40 LD'!$A$8:$M$21,9,FALSE),
IF($A61&lt;'Pool &amp; SPA Sweep Elbows'!$A$12,VLOOKUP($A61,'Pool &amp; SPA Sweep Elbows'!$A$8:$M$11,9,FALSE),
IF($A61&lt;'Pool &amp; SPA Pipe Extender'!$A$11,VLOOKUP($A61,'Pool &amp; SPA Pipe Extender'!$A$8:$M$10,9,FALSE),
IF($A61&lt;'PVC SCH80'!$A$250,VLOOKUP($A61,'PVC SCH80'!$A$8:$M$249,9,FALSE),
IF($A61&lt;'PVC SCH80 Flange'!$A$49,VLOOKUP($A61,'PVC SCH80 Flange'!$A$8:$M$48,9,FALSE),
IF($A61&lt;'PVC SCH80 LD Flange'!$A$17,VLOOKUP($A61,'PVC SCH80 LD Flange'!$A$8:$M$16,9,FALSE),
IF($A61&lt;CPVC!$A$100,VLOOKUP($A61,CPVC!$A$8:$M$99,9,FALSE),
IF($A61&lt;InsertFittings!$A$237,VLOOKUP($A61,InsertFittings!$A$11:$M$236,9,FALSE),
IF($A61&lt;Valves!$A$132,VLOOKUP($A61,Valves!$A$8:$M$131,9,FALSE),
IF($A61&lt;SDR35SW!$A$124,VLOOKUP($A61,SDR35SW!$A$8:$M$123,9,FALSE),
IF($A61&lt;SDR35G!$A$143,VLOOKUP($A61, SDR35G!$A$8:$M$142,9,FALSE),
IF($A61&lt;SDR26G!$A$61,VLOOKUP($A61,SDR26G!$A$8:$N$60,10,FALSE),
IF($A61&lt;Cements!$A$100,VLOOKUP($A61,Cements!$A$8:$Q$99,13,FALSE),
IF($A61&lt;ValveBox!$A$143,VLOOKUP($A61,ValveBox!$A$10:$O$142,11,FALSE),
IF($A61&lt;'ValveBox Components'!$A$165,VLOOKUP($A61,'ValveBox Components'!$A$10:$O$164,11,FALSE),
IF($A61&lt;Drainage!$A$92,VLOOKUP($A61,Drainage!$A$8:$M$91,9,FALSE),
IF($A61&lt;Nipples!$A$82,VLOOKUP($A61,Nipples!$A$9:$Q$81,13,FALSE),
IF($A61&lt;Manifold!$A$33,VLOOKUP($A61,Manifold!$A$9:$M$32,9,FALSE),
IF($A61&lt;FlexibleRepairCouplings!$A$13,VLOOKUP($A61,FlexibleRepairCouplings!$A$10:$M$12,9,FALSE),
IF($A61&lt;DuraFix!$A$15,VLOOKUP($A61,DuraFix!$A$9:$M$14,9,FALSE),
IF($A61&lt;'Compression Fittings'!$A$16,VLOOKUP($A61,'Compression Fittings'!$A$8:$M$15,9,FALSE),
IF($A61&lt;'Hose Fittings'!$A$30,VLOOKUP($A61,'Hose Fittings'!$A$8:$M$29,9,FALSE),
IF($A61&lt;'Swing Joints'!$A$496,VLOOKUP($A61,'Swing Joints'!$A$9:$M$495,9,FALSE),
IF($A61&lt;'Swing Joints Components'!$A$135,VLOOKUP($A61,'Swing Joints Components'!$A$9:$M$134,9,FALSE),
IF($A61&lt;Nonstandard!$A$42,VLOOKUP($A61,Nonstandard!$A$31:$J$41,8,FALSE),"")))))))))))))))))))))))))))),"")</f>
        <v/>
      </c>
      <c r="G61" s="416" t="str">
        <f>IFERROR(IF($A61&lt;'DWV PVC'!$A$285,VLOOKUP($A61,'DWV PVC'!$A$8:$M$284,11,FALSE),
IF($A61&lt;'DWV ABS'!$A$117,VLOOKUP($A61,'DWV ABS'!$A$8:$M$116,11,FALSE),
IF($A61&lt;'PVC SCH40'!$A$376,VLOOKUP($A61,'PVC SCH40'!$A$8:$M$375,11,FALSE),
IF($A61&lt;'PVC SCH40 LD'!$A$22,VLOOKUP($A61,'PVC SCH40 LD'!$A$8:$M$21,11,FALSE),
IF($A61&lt;'Pool &amp; SPA Sweep Elbows'!$A$12,VLOOKUP($A61,'Pool &amp; SPA Sweep Elbows'!$A$8:$M$11,11,FALSE),
IF($A61&lt;'Pool &amp; SPA Pipe Extender'!$A$11,VLOOKUP($A61,'Pool &amp; SPA Pipe Extender'!$A$8:$M$10,11,FALSE),
IF($A61&lt;'PVC SCH80'!$A$250,VLOOKUP($A61,'PVC SCH80'!$A$8:$M$249,11,FALSE),
IF($A61&lt;'PVC SCH80 Flange'!$A$49,VLOOKUP($A61,'PVC SCH80 Flange'!$A$8:$M$48,11,FALSE),
IF($A61&lt;'PVC SCH80 LD Flange'!$A$17,VLOOKUP($A61,'PVC SCH80 LD Flange'!$A$8:$M$16,11,FALSE),
IF($A61&lt;CPVC!$A$100,VLOOKUP($A61,CPVC!$A$8:$M$99,11,FALSE),
IF($A61&lt;InsertFittings!$A$237,VLOOKUP($A61,InsertFittings!$A$11:$M$236,11,FALSE),
IF($A61&lt;Valves!$A$132,VLOOKUP($A61,Valves!$A$8:$M$131,11,FALSE),
IF($A61&lt;SDR35SW!$A$124,VLOOKUP($A61,SDR35SW!$A$8:$M$123,11,FALSE),
IF($A61&lt;SDR35G!$A$143,VLOOKUP($A61, SDR35G!$A$8:$M$142,11,FALSE),
IF($A61&lt;SDR26G!$A$61,VLOOKUP($A61,SDR26G!$A$8:$N$60,12,FALSE),
IF($A61&lt;Cements!$A$100,VLOOKUP($A61,Cements!$A$8:$Q$99,15,FALSE),
IF($A61&lt;ValveBox!$A$143,VLOOKUP($A61,ValveBox!$A$10:$O$142,13,FALSE),
IF($A61&lt;'ValveBox Components'!$A$165,VLOOKUP($A61,'ValveBox Components'!$A$10:$O$164,13,FALSE),
IF($A61&lt;Drainage!$A$92,VLOOKUP($A61,Drainage!$A$8:$M$91,11,FALSE),
IF($A61&lt;Nipples!$A$82,VLOOKUP($A61,Nipples!$A$9:$Q$81,15,FALSE),
IF($A61&lt;Manifold!$A$33,VLOOKUP($A61,Manifold!$A$9:$M$32,11,FALSE),
IF($A61&lt;FlexibleRepairCouplings!$A$13,VLOOKUP($A61,FlexibleRepairCouplings!$A$10:$M$12,11,FALSE),
IF($A61&lt;DuraFix!$A$15,VLOOKUP($A61,DuraFix!$A$9:$M$14,11,FALSE),
IF($A61&lt;'Compression Fittings'!$A$16,VLOOKUP($A61,'Compression Fittings'!$A$8:$M$15,11,FALSE),
IF($A61&lt;'Hose Fittings'!$A$30,VLOOKUP($A61,'Hose Fittings'!$A$8:$M$29,11,FALSE),
IF($A61&lt;'Swing Joints'!$A$496,VLOOKUP($A61,'Swing Joints'!$A$9:$M$495,11,FALSE),
IF($A61&lt;'Swing Joints Components'!$A$135,VLOOKUP($A61,'Swing Joints Components'!$A$9:$M$134,11,FALSE),
IF($A61&lt;Nonstandard!$A$42,VLOOKUP($A61,Nonstandard!$A$31:$J$41,3,FALSE),"")))))))))))))))))))))))))))),"")</f>
        <v/>
      </c>
      <c r="H61" s="586" t="str">
        <f>IFERROR(IF($A61&lt;'DWV PVC'!$A$285,VLOOKUP($A61,'DWV PVC'!$A$8:$M$284,7,FALSE),
IF($A61&lt;'DWV ABS'!$A$117,VLOOKUP($A61,'DWV ABS'!$A$8:$M$116,7,FALSE),
IF($A61&lt;'PVC SCH40'!$A$376,VLOOKUP($A61,'PVC SCH40'!$A$8:$M$375,7,FALSE),
IF($A61&lt;'PVC SCH40 LD'!$A$22,VLOOKUP($A61,'PVC SCH40 LD'!$A$8:$M$21,7,FALSE),
IF($A61&lt;'Pool &amp; SPA Sweep Elbows'!$A$12,VLOOKUP($A61,'Pool &amp; SPA Sweep Elbows'!$A$8:$M$11,7,FALSE),
IF($A61&lt;'Pool &amp; SPA Pipe Extender'!$A$11,VLOOKUP($A61,'Pool &amp; SPA Pipe Extender'!$A$8:$M$10,7,FALSE),
IF($A61&lt;'PVC SCH80'!$A$250,VLOOKUP($A61,'PVC SCH80'!$A$8:$M$249,7,FALSE),
IF($A61&lt;'PVC SCH80 Flange'!$A$49,VLOOKUP($A61,'PVC SCH80 Flange'!$A$8:$M$48,7,FALSE),
IF($A61&lt;'PVC SCH80 LD Flange'!$A$17,VLOOKUP($A61,'PVC SCH80 LD Flange'!$A$8:$M$16,7,FALSE),
IF($A61&lt;CPVC!$A$100,VLOOKUP($A61,CPVC!$A$8:$M$99,7,FALSE),
IF($A61&lt;InsertFittings!$A$237,VLOOKUP($A61,InsertFittings!$A$11:$M$236,7,FALSE),
IF($A61&lt;Valves!$A$132,VLOOKUP($A61,Valves!$A$8:$M$131,7,FALSE),
IF($A61&lt;SDR35SW!$A$124,VLOOKUP($A61,SDR35SW!$A$8:$M$123,7,FALSE),
IF($A61&lt;SDR35G!$A$143,VLOOKUP($A61, SDR35G!$A$8:$M$142,7,FALSE),
IF($A61&lt;SDR26G!$A$61,VLOOKUP($A61,SDR26G!$A$8:$N$60,10,FALSE),
IF($A61&lt;Cements!$A$100,VLOOKUP($A61,Cements!$A$8:$Q$99,13,FALSE),
IF($A61&lt;ValveBox!$A$143,VLOOKUP($A61,ValveBox!$A$10:$O$142,11,FALSE),
IF($A61&lt;'ValveBox Components'!$A$165,VLOOKUP($A61,'ValveBox Components'!$A$10:$O$164,11,FALSE),
IF($A61&lt;Drainage!$A$92,VLOOKUP($A61,Drainage!$A$8:$M$91,7,FALSE),
IF($A61&lt;Nipples!$A$82,VLOOKUP($A61,Nipples!$A$9:$Q$81,13,FALSE),
IF($A61&lt;Manifold!$A$33,VLOOKUP($A61,Manifold!$A$9:$M$32,7,FALSE),
IF($A61&lt;FlexibleRepairCouplings!$A$13,VLOOKUP($A61,FlexibleRepairCouplings!$A$10:$M$12,7,FALSE),
IF($A61&lt;DuraFix!$A$15,VLOOKUP($A61,DuraFix!$A$9:$M$14,7,FALSE),
IF($A61&lt;'Compression Fittings'!$A$16,VLOOKUP($A61,'Compression Fittings'!$A$8:$M$15,7,FALSE),
IF($A61&lt;'Hose Fittings'!$A$30,VLOOKUP($A61,'Hose Fittings'!$A$8:$M$29,7,FALSE),
IF($A61&lt;'Swing Joints'!$A$496,VLOOKUP($A61,'Swing Joints'!$A$9:$M$495,7,FALSE),
IF($A61&lt;'Swing Joints Components'!$A$135,VLOOKUP($A61,'Swing Joints Components'!$A$9:$M$134,7,FALSE),
IF($A61&lt;Nonstandard!$A$42,VLOOKUP($A61,Nonstandard!$A$31:$J$41,3,FALSE),"")))))))))))))))))))))))))))),"")</f>
        <v/>
      </c>
      <c r="I61" s="587"/>
      <c r="J61" s="383" t="str">
        <f t="shared" si="1"/>
        <v/>
      </c>
      <c r="K61" s="417" t="str">
        <f>IFERROR(IF($A61&lt;'DWV PVC'!$A$285,VLOOKUP($A61,'DWV PVC'!$A$8:$M$284,10,FALSE),
IF($A61&lt;'DWV ABS'!$A$117,VLOOKUP($A61,'DWV ABS'!$A$8:$M$116,10,FALSE),
IF($A61&lt;'PVC SCH40'!$A$376,VLOOKUP($A61,'PVC SCH40'!$A$8:$M$375,10,FALSE),
IF($A61&lt;'PVC SCH40 LD'!$A$22,VLOOKUP($A61,'PVC SCH40 LD'!$A$8:$M$21,10,FALSE),
IF($A61&lt;'Pool &amp; SPA Sweep Elbows'!$A$12,VLOOKUP($A61,'Pool &amp; SPA Sweep Elbows'!$A$8:$M$11,10,FALSE),
IF($A61&lt;'Pool &amp; SPA Pipe Extender'!$A$11,VLOOKUP($A61,'Pool &amp; SPA Pipe Extender'!$A$8:$M$10,10,FALSE),
IF($A61&lt;'PVC SCH80'!$A$250,VLOOKUP($A61,'PVC SCH80'!$A$8:$M$249,10,FALSE),
IF($A61&lt;'PVC SCH80 Flange'!$A$49,VLOOKUP($A61,'PVC SCH80 Flange'!$A$8:$M$48,10,FALSE),
IF($A61&lt;'PVC SCH80 LD Flange'!$A$17,VLOOKUP($A61,'PVC SCH80 LD Flange'!$A$8:$M$16,10,FALSE),
IF($A61&lt;CPVC!$A$100,VLOOKUP($A61,CPVC!$A$8:$M$99,10,FALSE),
IF($A61&lt;InsertFittings!$A$237,VLOOKUP($A61,InsertFittings!$A$11:$M$236,10,FALSE),
IF($A61&lt;Valves!$A$132,VLOOKUP($A61,Valves!$A$8:$M$131,10,FALSE),
IF($A61&lt;SDR35SW!$A$124,VLOOKUP($A61,SDR35SW!$A$8:$M$123,10,FALSE),
IF($A61&lt;SDR35G!$A$143,VLOOKUP($A61, SDR35G!$A$8:$M$142,10,FALSE),
IF($A61&lt;SDR26G!$A$61,VLOOKUP($A61,SDR26G!$A$8:$N$60,11,FALSE),
IF($A61&lt;Cements!$A$100,VLOOKUP($A61,Cements!$A$8:$Q$99,14,FALSE),
IF($A61&lt;ValveBox!$A$143,VLOOKUP($A61,ValveBox!$A$10:$O$142,12,FALSE),
IF($A61&lt;'ValveBox Components'!$A$165,VLOOKUP($A61,'ValveBox Components'!$A$10:$O$164,12,FALSE),
IF($A61&lt;Drainage!$A$92,VLOOKUP($A61,Drainage!$A$8:$M$91,10,FALSE),
IF($A61&lt;Nipples!$A$82,VLOOKUP($A61,Nipples!$A$9:$Q$81,14,FALSE),
IF($A61&lt;Manifold!$A$33,VLOOKUP($A61,Manifold!$A$9:$M$32,10,FALSE),
IF($A61&lt;FlexibleRepairCouplings!$A$13,VLOOKUP($A61,FlexibleRepairCouplings!$A$10:$M$12,10,FALSE),
IF($A61&lt;DuraFix!$A$15,VLOOKUP($A61,DuraFix!$A$9:$M$14,10,FALSE),
IF($A61&lt;'Compression Fittings'!$A$16,VLOOKUP($A61,'Compression Fittings'!$A$8:$M$15,10,FALSE),
IF($A61&lt;'Hose Fittings'!$A$30,VLOOKUP($A61,'Hose Fittings'!$A$8:$M$29,10,FALSE),
IF($A61&lt;'Swing Joints'!$A$496,VLOOKUP($A61,'Swing Joints'!$A$9:$M$495,10,FALSE),
IF($A61&lt;'Swing Joints Components'!$A$135,VLOOKUP($A61,'Swing Joints Components'!$A$9:$M$134,10,FALSE),
IF($A61&lt;Nonstandard!$A$42,VLOOKUP($A61,Nonstandard!$A$31:$J$41,10,FALSE),"")))))))))))))))))))))))))))),"")</f>
        <v/>
      </c>
      <c r="L61" s="418" t="str">
        <f t="shared" si="0"/>
        <v>-</v>
      </c>
      <c r="M61" s="419"/>
    </row>
    <row r="62" spans="1:13" ht="15.75">
      <c r="A62" s="420">
        <v>30</v>
      </c>
      <c r="B62" s="420" t="str">
        <f>IFERROR(IF($A62&lt;'DWV PVC'!$A$285,VLOOKUP($A62,'DWV PVC'!$A$8:$M$284,4,FALSE),
IF($A62&lt;'DWV ABS'!$A$117,VLOOKUP($A62,'DWV ABS'!$A$8:$M$116,4,FALSE),
IF($A62&lt;'PVC SCH40'!$A$376,VLOOKUP($A62,'PVC SCH40'!$A$8:$M$375,4,FALSE),
IF($A62&lt;'PVC SCH40 LD'!$A$22,VLOOKUP($A62,'PVC SCH40 LD'!$A$8:$M$21,4,FALSE),
IF($A62&lt;'Pool &amp; SPA Sweep Elbows'!$A$12,VLOOKUP($A62,'Pool &amp; SPA Sweep Elbows'!$A$8:$M$11,4,FALSE),
IF($A62&lt;'Pool &amp; SPA Pipe Extender'!$A$11,VLOOKUP($A62,'Pool &amp; SPA Pipe Extender'!$A$8:$M$10,4,FALSE),
IF($A62&lt;'PVC SCH80'!$A$250,VLOOKUP($A62,'PVC SCH80'!$A$8:$M$249,4,FALSE),
IF($A62&lt;'PVC SCH80 Flange'!$A$49,VLOOKUP($A62,'PVC SCH80 Flange'!$A$8:$M$48,4,FALSE),
IF($A62&lt;'PVC SCH80 LD Flange'!$A$17,VLOOKUP($A62,'PVC SCH80 LD Flange'!$A$8:$M$16,4,FALSE),
IF($A62&lt;CPVC!$A$100,VLOOKUP($A62,CPVC!$A$8:$M$99,4,FALSE),
IF($A62&lt;InsertFittings!$A$237,VLOOKUP($A62,InsertFittings!$A$11:$M$236,4,FALSE),
IF($A62&lt;Valves!$A$132,VLOOKUP($A62,Valves!$A$8:$M$131,4,FALSE),
IF($A62&lt;SDR35SW!$A$124,VLOOKUP($A62,SDR35SW!$A$8:$M$123,4,FALSE),
IF($A62&lt;SDR35G!$A$143,VLOOKUP($A62, SDR35G!$A$8:$M$142,4,FALSE),
IF($A62&lt;SDR26G!$A$61,VLOOKUP($A62,SDR26G!$A$8:$N$60,4,FALSE),
IF($A62&lt;Cements!$A$100,VLOOKUP($A62,Cements!$A$8:$Q$99,4,FALSE),
IF($A62&lt;ValveBox!$A$143,VLOOKUP($A62,ValveBox!$A$10:$O$142,4,FALSE),
IF($A62&lt;'ValveBox Components'!$A$165,VLOOKUP($A62,'ValveBox Components'!$A$10:$O$164,4,FALSE),
IF($A62&lt;Drainage!$A$92,VLOOKUP($A62,Drainage!$A$8:$M$91,4,FALSE),
IF($A62&lt;Nipples!$A$82,VLOOKUP($A62,Nipples!$A$9:$Q$81,4,FALSE),
IF($A62&lt;Manifold!$A$33,VLOOKUP($A62,Manifold!$A$9:$M$32,4,FALSE),
IF($A62&lt;FlexibleRepairCouplings!$A$13,VLOOKUP($A62,FlexibleRepairCouplings!$A$10:$M$12,4,FALSE),
IF($A62&lt;DuraFix!$A$15,VLOOKUP($A62,DuraFix!$A$9:$M$14,4,FALSE),
IF($A62&lt;'Compression Fittings'!$A$16,VLOOKUP($A62,'Compression Fittings'!$A$8:$M$15,4,FALSE),
IF($A62&lt;'Hose Fittings'!$A$30,VLOOKUP($A62,'Hose Fittings'!$A$8:$M$29,4,FALSE),
IF($A62&lt;'Swing Joints'!$A$496,VLOOKUP($A62,'Swing Joints'!$A$9:$M$495,4,FALSE),
IF($A62&lt;'Swing Joints Components'!$A$135,VLOOKUP($A62,'Swing Joints Components'!$A$9:$M$134,4,FALSE),
IF($A62&lt;Nonstandard!$A$42,VLOOKUP($A62,Nonstandard!$A$31:$J$41,5,FALSE),"")))))))))))))))))))))))))))),"")</f>
        <v/>
      </c>
      <c r="C62" s="420" t="str">
        <f>IFERROR(IF($A62&lt;'DWV PVC'!$A$285,VLOOKUP($A62,'DWV PVC'!$A$8:$M$284,5,FALSE),
IF($A62&lt;'DWV ABS'!$A$117,VLOOKUP($A62,'DWV ABS'!$A$8:$M$116,5,FALSE),
IF($A62&lt;'PVC SCH40'!$A$376,VLOOKUP($A62,'PVC SCH40'!$A$8:$M$375,5,FALSE),
IF($A62&lt;'PVC SCH40 LD'!$A$22,VLOOKUP($A62,'PVC SCH40 LD'!$A$8:$M$21,5,FALSE),
IF($A62&lt;'Pool &amp; SPA Sweep Elbows'!$A$12,VLOOKUP($A62,'Pool &amp; SPA Sweep Elbows'!$A$8:$M$11,5,FALSE),
IF($A62&lt;'Pool &amp; SPA Pipe Extender'!$A$11,VLOOKUP($A62,'Pool &amp; SPA Pipe Extender'!$A$8:$M$10,5,FALSE),
IF($A62&lt;'PVC SCH80'!$A$250,VLOOKUP($A62,'PVC SCH80'!$A$8:$M$249,5,FALSE),
IF($A62&lt;'PVC SCH80 Flange'!$A$49,VLOOKUP($A62,'PVC SCH80 Flange'!$A$8:$M$48,5,FALSE),
IF($A62&lt;'PVC SCH80 LD Flange'!$A$17,VLOOKUP($A62,'PVC SCH80 LD Flange'!$A$8:$M$16,5,FALSE),
IF($A62&lt;CPVC!$A$100,VLOOKUP($A62,CPVC!$A$8:$M$99,5,FALSE),
IF($A62&lt;InsertFittings!$A$237,VLOOKUP($A62,InsertFittings!$A$11:$M$236,5,FALSE),
IF($A62&lt;Valves!$A$132,VLOOKUP($A62,Valves!$A$8:$M$131,5,FALSE),
IF($A62&lt;SDR35SW!$A$124,VLOOKUP($A62,SDR35SW!$A$8:$M$123,5,FALSE),
IF($A62&lt;SDR35G!$A$143,VLOOKUP($A62, SDR35G!$A$8:$M$142,5,FALSE),
IF($A62&lt;SDR26G!$A$61,VLOOKUP($A62,SDR26G!$A$8:$N$60,5,FALSE),
IF($A62&lt;Cements!$A$100,VLOOKUP($A62,Cements!$A$8:$Q$99,5,FALSE),
IF($A62&lt;ValveBox!$A$143,VLOOKUP($A62,ValveBox!$A$10:$O$142,5,FALSE),
IF($A62&lt;'ValveBox Components'!$A$165,VLOOKUP($A62,'ValveBox Components'!$A$10:$O$164,5,FALSE),
IF($A62&lt;Drainage!$A$92,VLOOKUP($A62,Drainage!$A$8:$M$91,5,FALSE),
IF($A62&lt;Nipples!$A$82,VLOOKUP($A62,Nipples!$A$9:$Q$81,5,FALSE),
IF($A62&lt;Manifold!$A$33,VLOOKUP($A62,Manifold!$A$9:$M$32,5,FALSE),
IF($A62&lt;FlexibleRepairCouplings!$A$13,VLOOKUP($A62,FlexibleRepairCouplings!$A$10:$M$12,5,FALSE),
IF($A62&lt;DuraFix!$A$15,VLOOKUP($A62,DuraFix!$A$9:$M$14,5,FALSE),
IF($A62&lt;'Compression Fittings'!$A$16,VLOOKUP($A62,'Compression Fittings'!$A$8:$M$15,5,FALSE),
IF($A62&lt;'Hose Fittings'!$A$30,VLOOKUP($A62,'Hose Fittings'!$A$8:$M$29,5,FALSE),
IF($A62&lt;'Swing Joints'!$A$496,VLOOKUP($A62,'Swing Joints'!$A$9:$M$495,5,FALSE),
IF($A62&lt;'Swing Joints Components'!$A$135,VLOOKUP($A62,'Swing Joints Components'!$A$9:$M$134,5,FALSE),
IF($A62&lt;Nonstandard!$A$42,VLOOKUP($A62,Nonstandard!$A$31:$J$41,6,FALSE),"")))))))))))))))))))))))))))),"")</f>
        <v/>
      </c>
      <c r="D62" s="428" t="str">
        <f>IFERROR(IF($A62&lt;'DWV PVC'!$A$285,VLOOKUP($A62,'DWV PVC'!$A$8:$M$284,6,FALSE),
IF($A62&lt;'DWV ABS'!$A$117,VLOOKUP($A62,'DWV ABS'!$A$8:$M$116,6,FALSE),
IF($A62&lt;'PVC SCH40'!$A$376,VLOOKUP($A62,'PVC SCH40'!$A$8:$M$375,6,FALSE),
IF($A62&lt;'PVC SCH40 LD'!$A$22,VLOOKUP($A62,'PVC SCH40 LD'!$A$8:$M$21,6,FALSE),
IF($A62&lt;'Pool &amp; SPA Sweep Elbows'!$A$12,VLOOKUP($A62,'Pool &amp; SPA Sweep Elbows'!$A$8:$M$11,6,FALSE),
IF($A62&lt;'Pool &amp; SPA Pipe Extender'!$A$11,VLOOKUP($A62,'Pool &amp; SPA Pipe Extender'!$A$8:$M$10,6,FALSE),
IF($A62&lt;'PVC SCH80'!$A$250,VLOOKUP($A62,'PVC SCH80'!$A$8:$M$249,6,FALSE),
IF($A62&lt;'PVC SCH80 Flange'!$A$49,VLOOKUP($A62,'PVC SCH80 Flange'!$A$8:$M$48,6,FALSE),
IF($A62&lt;'PVC SCH80 LD Flange'!$A$17,VLOOKUP($A62,'PVC SCH80 LD Flange'!$A$8:$M$16,6,FALSE),
IF($A62&lt;CPVC!$A$100,VLOOKUP($A62,CPVC!$A$8:$M$99,6,FALSE),
IF($A62&lt;InsertFittings!$A$237,VLOOKUP($A62,InsertFittings!$A$11:$M$236,6,FALSE),
IF($A62&lt;Valves!$A$132,VLOOKUP($A62,Valves!$A$8:$M$131,6,FALSE),
IF($A62&lt;SDR35SW!$A$124,VLOOKUP($A62,SDR35SW!$A$8:$M$123,6,FALSE),
IF($A62&lt;SDR35G!$A$143,VLOOKUP($A62, SDR35G!$A$8:$M$142,6,FALSE),
IF($A62&lt;SDR26G!$A$61,VLOOKUP($A62,SDR26G!$A$8:$N$60,6,FALSE),
IF($A62&lt;Cements!$A$100,VLOOKUP($A62,Cements!$A$8:$Q$99,6,FALSE),
IF($A62&lt;ValveBox!$A$143,VLOOKUP($A62,ValveBox!$A$10:$O$142,6,FALSE),
IF($A62&lt;'ValveBox Components'!$A$165,VLOOKUP($A62,'ValveBox Components'!$A$10:$O$164,6,FALSE),
IF($A62&lt;Drainage!$A$92,VLOOKUP($A62,Drainage!$A$8:$M$91,6,FALSE),
IF($A62&lt;Nipples!$A$82,VLOOKUP($A62,Nipples!$A$9:$Q$81,6,FALSE),
IF($A62&lt;Manifold!$A$33,VLOOKUP($A62,Manifold!$A$9:$M$32,6,FALSE),
IF($A62&lt;FlexibleRepairCouplings!$A$13,VLOOKUP($A62,FlexibleRepairCouplings!$A$10:$M$12,6,FALSE),
IF($A62&lt;DuraFix!$A$15,VLOOKUP($A62,DuraFix!$A$9:$M$14,6,FALSE),
IF($A62&lt;'Compression Fittings'!$A$16,VLOOKUP($A62,'Compression Fittings'!$A$8:$M$15,6,FALSE),
IF($A62&lt;'Hose Fittings'!$A$30,VLOOKUP($A62,'Hose Fittings'!$A$8:$M$29,6,FALSE),
IF($A62&lt;'Swing Joints'!$A$496,VLOOKUP($A62,'Swing Joints'!$A$9:$M$495,6,FALSE),
IF($A62&lt;'Swing Joints Components'!$A$135,VLOOKUP($A62,'Swing Joints Components'!$A$9:$M$134,6,FALSE),
IF($A62&lt;Nonstandard!$A$42,VLOOKUP($A62,Nonstandard!$A$31:$J$41,7,FALSE),"")))))))))))))))))))))))))))),"")</f>
        <v/>
      </c>
      <c r="E62" s="429"/>
      <c r="F62" s="421" t="str">
        <f>IFERROR(IF($A62&lt;'DWV PVC'!$A$285,VLOOKUP($A62,'DWV PVC'!$A$8:$M$284,9,FALSE),
IF($A62&lt;'DWV ABS'!$A$117,VLOOKUP($A62,'DWV ABS'!$A$8:$M$116,9,FALSE),
IF($A62&lt;'PVC SCH40'!$A$376,VLOOKUP($A62,'PVC SCH40'!$A$8:$M$375,9,FALSE),
IF($A62&lt;'PVC SCH40 LD'!$A$22,VLOOKUP($A62,'PVC SCH40 LD'!$A$8:$M$21,9,FALSE),
IF($A62&lt;'Pool &amp; SPA Sweep Elbows'!$A$12,VLOOKUP($A62,'Pool &amp; SPA Sweep Elbows'!$A$8:$M$11,9,FALSE),
IF($A62&lt;'Pool &amp; SPA Pipe Extender'!$A$11,VLOOKUP($A62,'Pool &amp; SPA Pipe Extender'!$A$8:$M$10,9,FALSE),
IF($A62&lt;'PVC SCH80'!$A$250,VLOOKUP($A62,'PVC SCH80'!$A$8:$M$249,9,FALSE),
IF($A62&lt;'PVC SCH80 Flange'!$A$49,VLOOKUP($A62,'PVC SCH80 Flange'!$A$8:$M$48,9,FALSE),
IF($A62&lt;'PVC SCH80 LD Flange'!$A$17,VLOOKUP($A62,'PVC SCH80 LD Flange'!$A$8:$M$16,9,FALSE),
IF($A62&lt;CPVC!$A$100,VLOOKUP($A62,CPVC!$A$8:$M$99,9,FALSE),
IF($A62&lt;InsertFittings!$A$237,VLOOKUP($A62,InsertFittings!$A$11:$M$236,9,FALSE),
IF($A62&lt;Valves!$A$132,VLOOKUP($A62,Valves!$A$8:$M$131,9,FALSE),
IF($A62&lt;SDR35SW!$A$124,VLOOKUP($A62,SDR35SW!$A$8:$M$123,9,FALSE),
IF($A62&lt;SDR35G!$A$143,VLOOKUP($A62, SDR35G!$A$8:$M$142,9,FALSE),
IF($A62&lt;SDR26G!$A$61,VLOOKUP($A62,SDR26G!$A$8:$N$60,10,FALSE),
IF($A62&lt;Cements!$A$100,VLOOKUP($A62,Cements!$A$8:$Q$99,13,FALSE),
IF($A62&lt;ValveBox!$A$143,VLOOKUP($A62,ValveBox!$A$10:$O$142,11,FALSE),
IF($A62&lt;'ValveBox Components'!$A$165,VLOOKUP($A62,'ValveBox Components'!$A$10:$O$164,11,FALSE),
IF($A62&lt;Drainage!$A$92,VLOOKUP($A62,Drainage!$A$8:$M$91,9,FALSE),
IF($A62&lt;Nipples!$A$82,VLOOKUP($A62,Nipples!$A$9:$Q$81,13,FALSE),
IF($A62&lt;Manifold!$A$33,VLOOKUP($A62,Manifold!$A$9:$M$32,9,FALSE),
IF($A62&lt;FlexibleRepairCouplings!$A$13,VLOOKUP($A62,FlexibleRepairCouplings!$A$10:$M$12,9,FALSE),
IF($A62&lt;DuraFix!$A$15,VLOOKUP($A62,DuraFix!$A$9:$M$14,9,FALSE),
IF($A62&lt;'Compression Fittings'!$A$16,VLOOKUP($A62,'Compression Fittings'!$A$8:$M$15,9,FALSE),
IF($A62&lt;'Hose Fittings'!$A$30,VLOOKUP($A62,'Hose Fittings'!$A$8:$M$29,9,FALSE),
IF($A62&lt;'Swing Joints'!$A$496,VLOOKUP($A62,'Swing Joints'!$A$9:$M$495,9,FALSE),
IF($A62&lt;'Swing Joints Components'!$A$135,VLOOKUP($A62,'Swing Joints Components'!$A$9:$M$134,9,FALSE),
IF($A62&lt;Nonstandard!$A$42,VLOOKUP($A62,Nonstandard!$A$31:$J$41,8,FALSE),"")))))))))))))))))))))))))))),"")</f>
        <v/>
      </c>
      <c r="G62" s="422" t="str">
        <f>IFERROR(IF($A62&lt;'DWV PVC'!$A$285,VLOOKUP($A62,'DWV PVC'!$A$8:$M$284,11,FALSE),
IF($A62&lt;'DWV ABS'!$A$117,VLOOKUP($A62,'DWV ABS'!$A$8:$M$116,11,FALSE),
IF($A62&lt;'PVC SCH40'!$A$376,VLOOKUP($A62,'PVC SCH40'!$A$8:$M$375,11,FALSE),
IF($A62&lt;'PVC SCH40 LD'!$A$22,VLOOKUP($A62,'PVC SCH40 LD'!$A$8:$M$21,11,FALSE),
IF($A62&lt;'Pool &amp; SPA Sweep Elbows'!$A$12,VLOOKUP($A62,'Pool &amp; SPA Sweep Elbows'!$A$8:$M$11,11,FALSE),
IF($A62&lt;'Pool &amp; SPA Pipe Extender'!$A$11,VLOOKUP($A62,'Pool &amp; SPA Pipe Extender'!$A$8:$M$10,11,FALSE),
IF($A62&lt;'PVC SCH80'!$A$250,VLOOKUP($A62,'PVC SCH80'!$A$8:$M$249,11,FALSE),
IF($A62&lt;'PVC SCH80 Flange'!$A$49,VLOOKUP($A62,'PVC SCH80 Flange'!$A$8:$M$48,11,FALSE),
IF($A62&lt;'PVC SCH80 LD Flange'!$A$17,VLOOKUP($A62,'PVC SCH80 LD Flange'!$A$8:$M$16,11,FALSE),
IF($A62&lt;CPVC!$A$100,VLOOKUP($A62,CPVC!$A$8:$M$99,11,FALSE),
IF($A62&lt;InsertFittings!$A$237,VLOOKUP($A62,InsertFittings!$A$11:$M$236,11,FALSE),
IF($A62&lt;Valves!$A$132,VLOOKUP($A62,Valves!$A$8:$M$131,11,FALSE),
IF($A62&lt;SDR35SW!$A$124,VLOOKUP($A62,SDR35SW!$A$8:$M$123,11,FALSE),
IF($A62&lt;SDR35G!$A$143,VLOOKUP($A62, SDR35G!$A$8:$M$142,11,FALSE),
IF($A62&lt;SDR26G!$A$61,VLOOKUP($A62,SDR26G!$A$8:$N$60,12,FALSE),
IF($A62&lt;Cements!$A$100,VLOOKUP($A62,Cements!$A$8:$Q$99,15,FALSE),
IF($A62&lt;ValveBox!$A$143,VLOOKUP($A62,ValveBox!$A$10:$O$142,13,FALSE),
IF($A62&lt;'ValveBox Components'!$A$165,VLOOKUP($A62,'ValveBox Components'!$A$10:$O$164,13,FALSE),
IF($A62&lt;Drainage!$A$92,VLOOKUP($A62,Drainage!$A$8:$M$91,11,FALSE),
IF($A62&lt;Nipples!$A$82,VLOOKUP($A62,Nipples!$A$9:$Q$81,15,FALSE),
IF($A62&lt;Manifold!$A$33,VLOOKUP($A62,Manifold!$A$9:$M$32,11,FALSE),
IF($A62&lt;FlexibleRepairCouplings!$A$13,VLOOKUP($A62,FlexibleRepairCouplings!$A$10:$M$12,11,FALSE),
IF($A62&lt;DuraFix!$A$15,VLOOKUP($A62,DuraFix!$A$9:$M$14,11,FALSE),
IF($A62&lt;'Compression Fittings'!$A$16,VLOOKUP($A62,'Compression Fittings'!$A$8:$M$15,11,FALSE),
IF($A62&lt;'Hose Fittings'!$A$30,VLOOKUP($A62,'Hose Fittings'!$A$8:$M$29,11,FALSE),
IF($A62&lt;'Swing Joints'!$A$496,VLOOKUP($A62,'Swing Joints'!$A$9:$M$495,11,FALSE),
IF($A62&lt;'Swing Joints Components'!$A$135,VLOOKUP($A62,'Swing Joints Components'!$A$9:$M$134,11,FALSE),
IF($A62&lt;Nonstandard!$A$42,VLOOKUP($A62,Nonstandard!$A$31:$J$41,3,FALSE),"")))))))))))))))))))))))))))),"")</f>
        <v/>
      </c>
      <c r="H62" s="588" t="str">
        <f>IFERROR(IF($A62&lt;'DWV PVC'!$A$285,VLOOKUP($A62,'DWV PVC'!$A$8:$M$284,7,FALSE),
IF($A62&lt;'DWV ABS'!$A$117,VLOOKUP($A62,'DWV ABS'!$A$8:$M$116,7,FALSE),
IF($A62&lt;'PVC SCH40'!$A$376,VLOOKUP($A62,'PVC SCH40'!$A$8:$M$375,7,FALSE),
IF($A62&lt;'PVC SCH40 LD'!$A$22,VLOOKUP($A62,'PVC SCH40 LD'!$A$8:$M$21,7,FALSE),
IF($A62&lt;'Pool &amp; SPA Sweep Elbows'!$A$12,VLOOKUP($A62,'Pool &amp; SPA Sweep Elbows'!$A$8:$M$11,7,FALSE),
IF($A62&lt;'Pool &amp; SPA Pipe Extender'!$A$11,VLOOKUP($A62,'Pool &amp; SPA Pipe Extender'!$A$8:$M$10,7,FALSE),
IF($A62&lt;'PVC SCH80'!$A$250,VLOOKUP($A62,'PVC SCH80'!$A$8:$M$249,7,FALSE),
IF($A62&lt;'PVC SCH80 Flange'!$A$49,VLOOKUP($A62,'PVC SCH80 Flange'!$A$8:$M$48,7,FALSE),
IF($A62&lt;'PVC SCH80 LD Flange'!$A$17,VLOOKUP($A62,'PVC SCH80 LD Flange'!$A$8:$M$16,7,FALSE),
IF($A62&lt;CPVC!$A$100,VLOOKUP($A62,CPVC!$A$8:$M$99,7,FALSE),
IF($A62&lt;InsertFittings!$A$237,VLOOKUP($A62,InsertFittings!$A$11:$M$236,7,FALSE),
IF($A62&lt;Valves!$A$132,VLOOKUP($A62,Valves!$A$8:$M$131,7,FALSE),
IF($A62&lt;SDR35SW!$A$124,VLOOKUP($A62,SDR35SW!$A$8:$M$123,7,FALSE),
IF($A62&lt;SDR35G!$A$143,VLOOKUP($A62, SDR35G!$A$8:$M$142,7,FALSE),
IF($A62&lt;SDR26G!$A$61,VLOOKUP($A62,SDR26G!$A$8:$N$60,10,FALSE),
IF($A62&lt;Cements!$A$100,VLOOKUP($A62,Cements!$A$8:$Q$99,13,FALSE),
IF($A62&lt;ValveBox!$A$143,VLOOKUP($A62,ValveBox!$A$10:$O$142,11,FALSE),
IF($A62&lt;'ValveBox Components'!$A$165,VLOOKUP($A62,'ValveBox Components'!$A$10:$O$164,11,FALSE),
IF($A62&lt;Drainage!$A$92,VLOOKUP($A62,Drainage!$A$8:$M$91,7,FALSE),
IF($A62&lt;Nipples!$A$82,VLOOKUP($A62,Nipples!$A$9:$Q$81,13,FALSE),
IF($A62&lt;Manifold!$A$33,VLOOKUP($A62,Manifold!$A$9:$M$32,7,FALSE),
IF($A62&lt;FlexibleRepairCouplings!$A$13,VLOOKUP($A62,FlexibleRepairCouplings!$A$10:$M$12,7,FALSE),
IF($A62&lt;DuraFix!$A$15,VLOOKUP($A62,DuraFix!$A$9:$M$14,7,FALSE),
IF($A62&lt;'Compression Fittings'!$A$16,VLOOKUP($A62,'Compression Fittings'!$A$8:$M$15,7,FALSE),
IF($A62&lt;'Hose Fittings'!$A$30,VLOOKUP($A62,'Hose Fittings'!$A$8:$M$29,7,FALSE),
IF($A62&lt;'Swing Joints'!$A$496,VLOOKUP($A62,'Swing Joints'!$A$9:$M$495,7,FALSE),
IF($A62&lt;'Swing Joints Components'!$A$135,VLOOKUP($A62,'Swing Joints Components'!$A$9:$M$134,7,FALSE),
IF($A62&lt;Nonstandard!$A$42,VLOOKUP($A62,Nonstandard!$A$31:$J$41,3,FALSE),"")))))))))))))))))))))))))))),"")</f>
        <v/>
      </c>
      <c r="I62" s="589"/>
      <c r="J62" s="423" t="str">
        <f t="shared" si="1"/>
        <v/>
      </c>
      <c r="K62" s="424" t="str">
        <f>IFERROR(IF($A62&lt;'DWV PVC'!$A$285,VLOOKUP($A62,'DWV PVC'!$A$8:$M$284,10,FALSE),
IF($A62&lt;'DWV ABS'!$A$117,VLOOKUP($A62,'DWV ABS'!$A$8:$M$116,10,FALSE),
IF($A62&lt;'PVC SCH40'!$A$376,VLOOKUP($A62,'PVC SCH40'!$A$8:$M$375,10,FALSE),
IF($A62&lt;'PVC SCH40 LD'!$A$22,VLOOKUP($A62,'PVC SCH40 LD'!$A$8:$M$21,10,FALSE),
IF($A62&lt;'Pool &amp; SPA Sweep Elbows'!$A$12,VLOOKUP($A62,'Pool &amp; SPA Sweep Elbows'!$A$8:$M$11,10,FALSE),
IF($A62&lt;'Pool &amp; SPA Pipe Extender'!$A$11,VLOOKUP($A62,'Pool &amp; SPA Pipe Extender'!$A$8:$M$10,10,FALSE),
IF($A62&lt;'PVC SCH80'!$A$250,VLOOKUP($A62,'PVC SCH80'!$A$8:$M$249,10,FALSE),
IF($A62&lt;'PVC SCH80 Flange'!$A$49,VLOOKUP($A62,'PVC SCH80 Flange'!$A$8:$M$48,10,FALSE),
IF($A62&lt;'PVC SCH80 LD Flange'!$A$17,VLOOKUP($A62,'PVC SCH80 LD Flange'!$A$8:$M$16,10,FALSE),
IF($A62&lt;CPVC!$A$100,VLOOKUP($A62,CPVC!$A$8:$M$99,10,FALSE),
IF($A62&lt;InsertFittings!$A$237,VLOOKUP($A62,InsertFittings!$A$11:$M$236,10,FALSE),
IF($A62&lt;Valves!$A$132,VLOOKUP($A62,Valves!$A$8:$M$131,10,FALSE),
IF($A62&lt;SDR35SW!$A$124,VLOOKUP($A62,SDR35SW!$A$8:$M$123,10,FALSE),
IF($A62&lt;SDR35G!$A$143,VLOOKUP($A62, SDR35G!$A$8:$M$142,10,FALSE),
IF($A62&lt;SDR26G!$A$61,VLOOKUP($A62,SDR26G!$A$8:$N$60,11,FALSE),
IF($A62&lt;Cements!$A$100,VLOOKUP($A62,Cements!$A$8:$Q$99,14,FALSE),
IF($A62&lt;ValveBox!$A$143,VLOOKUP($A62,ValveBox!$A$10:$O$142,12,FALSE),
IF($A62&lt;'ValveBox Components'!$A$165,VLOOKUP($A62,'ValveBox Components'!$A$10:$O$164,12,FALSE),
IF($A62&lt;Drainage!$A$92,VLOOKUP($A62,Drainage!$A$8:$M$91,10,FALSE),
IF($A62&lt;Nipples!$A$82,VLOOKUP($A62,Nipples!$A$9:$Q$81,14,FALSE),
IF($A62&lt;Manifold!$A$33,VLOOKUP($A62,Manifold!$A$9:$M$32,10,FALSE),
IF($A62&lt;FlexibleRepairCouplings!$A$13,VLOOKUP($A62,FlexibleRepairCouplings!$A$10:$M$12,10,FALSE),
IF($A62&lt;DuraFix!$A$15,VLOOKUP($A62,DuraFix!$A$9:$M$14,10,FALSE),
IF($A62&lt;'Compression Fittings'!$A$16,VLOOKUP($A62,'Compression Fittings'!$A$8:$M$15,10,FALSE),
IF($A62&lt;'Hose Fittings'!$A$30,VLOOKUP($A62,'Hose Fittings'!$A$8:$M$29,10,FALSE),
IF($A62&lt;'Swing Joints'!$A$496,VLOOKUP($A62,'Swing Joints'!$A$9:$M$495,10,FALSE),
IF($A62&lt;'Swing Joints Components'!$A$135,VLOOKUP($A62,'Swing Joints Components'!$A$9:$M$134,10,FALSE),
IF($A62&lt;Nonstandard!$A$42,VLOOKUP($A62,Nonstandard!$A$31:$J$41,10,FALSE),"")))))))))))))))))))))))))))),"")</f>
        <v/>
      </c>
      <c r="L62" s="421" t="str">
        <f t="shared" si="0"/>
        <v>-</v>
      </c>
      <c r="M62" s="425"/>
    </row>
    <row r="63" spans="1:13" ht="15.75">
      <c r="A63" s="415">
        <v>31</v>
      </c>
      <c r="B63" s="415" t="str">
        <f>IFERROR(IF($A63&lt;'DWV PVC'!$A$285,VLOOKUP($A63,'DWV PVC'!$A$8:$M$284,4,FALSE),
IF($A63&lt;'DWV ABS'!$A$117,VLOOKUP($A63,'DWV ABS'!$A$8:$M$116,4,FALSE),
IF($A63&lt;'PVC SCH40'!$A$376,VLOOKUP($A63,'PVC SCH40'!$A$8:$M$375,4,FALSE),
IF($A63&lt;'PVC SCH40 LD'!$A$22,VLOOKUP($A63,'PVC SCH40 LD'!$A$8:$M$21,4,FALSE),
IF($A63&lt;'Pool &amp; SPA Sweep Elbows'!$A$12,VLOOKUP($A63,'Pool &amp; SPA Sweep Elbows'!$A$8:$M$11,4,FALSE),
IF($A63&lt;'Pool &amp; SPA Pipe Extender'!$A$11,VLOOKUP($A63,'Pool &amp; SPA Pipe Extender'!$A$8:$M$10,4,FALSE),
IF($A63&lt;'PVC SCH80'!$A$250,VLOOKUP($A63,'PVC SCH80'!$A$8:$M$249,4,FALSE),
IF($A63&lt;'PVC SCH80 Flange'!$A$49,VLOOKUP($A63,'PVC SCH80 Flange'!$A$8:$M$48,4,FALSE),
IF($A63&lt;'PVC SCH80 LD Flange'!$A$17,VLOOKUP($A63,'PVC SCH80 LD Flange'!$A$8:$M$16,4,FALSE),
IF($A63&lt;CPVC!$A$100,VLOOKUP($A63,CPVC!$A$8:$M$99,4,FALSE),
IF($A63&lt;InsertFittings!$A$237,VLOOKUP($A63,InsertFittings!$A$11:$M$236,4,FALSE),
IF($A63&lt;Valves!$A$132,VLOOKUP($A63,Valves!$A$8:$M$131,4,FALSE),
IF($A63&lt;SDR35SW!$A$124,VLOOKUP($A63,SDR35SW!$A$8:$M$123,4,FALSE),
IF($A63&lt;SDR35G!$A$143,VLOOKUP($A63, SDR35G!$A$8:$M$142,4,FALSE),
IF($A63&lt;SDR26G!$A$61,VLOOKUP($A63,SDR26G!$A$8:$N$60,4,FALSE),
IF($A63&lt;Cements!$A$100,VLOOKUP($A63,Cements!$A$8:$Q$99,4,FALSE),
IF($A63&lt;ValveBox!$A$143,VLOOKUP($A63,ValveBox!$A$10:$O$142,4,FALSE),
IF($A63&lt;'ValveBox Components'!$A$165,VLOOKUP($A63,'ValveBox Components'!$A$10:$O$164,4,FALSE),
IF($A63&lt;Drainage!$A$92,VLOOKUP($A63,Drainage!$A$8:$M$91,4,FALSE),
IF($A63&lt;Nipples!$A$82,VLOOKUP($A63,Nipples!$A$9:$Q$81,4,FALSE),
IF($A63&lt;Manifold!$A$33,VLOOKUP($A63,Manifold!$A$9:$M$32,4,FALSE),
IF($A63&lt;FlexibleRepairCouplings!$A$13,VLOOKUP($A63,FlexibleRepairCouplings!$A$10:$M$12,4,FALSE),
IF($A63&lt;DuraFix!$A$15,VLOOKUP($A63,DuraFix!$A$9:$M$14,4,FALSE),
IF($A63&lt;'Compression Fittings'!$A$16,VLOOKUP($A63,'Compression Fittings'!$A$8:$M$15,4,FALSE),
IF($A63&lt;'Hose Fittings'!$A$30,VLOOKUP($A63,'Hose Fittings'!$A$8:$M$29,4,FALSE),
IF($A63&lt;'Swing Joints'!$A$496,VLOOKUP($A63,'Swing Joints'!$A$9:$M$495,4,FALSE),
IF($A63&lt;'Swing Joints Components'!$A$135,VLOOKUP($A63,'Swing Joints Components'!$A$9:$M$134,4,FALSE),
IF($A63&lt;Nonstandard!$A$42,VLOOKUP($A63,Nonstandard!$A$31:$J$41,5,FALSE),"")))))))))))))))))))))))))))),"")</f>
        <v/>
      </c>
      <c r="C63" s="415" t="str">
        <f>IFERROR(IF($A63&lt;'DWV PVC'!$A$285,VLOOKUP($A63,'DWV PVC'!$A$8:$M$284,5,FALSE),
IF($A63&lt;'DWV ABS'!$A$117,VLOOKUP($A63,'DWV ABS'!$A$8:$M$116,5,FALSE),
IF($A63&lt;'PVC SCH40'!$A$376,VLOOKUP($A63,'PVC SCH40'!$A$8:$M$375,5,FALSE),
IF($A63&lt;'PVC SCH40 LD'!$A$22,VLOOKUP($A63,'PVC SCH40 LD'!$A$8:$M$21,5,FALSE),
IF($A63&lt;'Pool &amp; SPA Sweep Elbows'!$A$12,VLOOKUP($A63,'Pool &amp; SPA Sweep Elbows'!$A$8:$M$11,5,FALSE),
IF($A63&lt;'Pool &amp; SPA Pipe Extender'!$A$11,VLOOKUP($A63,'Pool &amp; SPA Pipe Extender'!$A$8:$M$10,5,FALSE),
IF($A63&lt;'PVC SCH80'!$A$250,VLOOKUP($A63,'PVC SCH80'!$A$8:$M$249,5,FALSE),
IF($A63&lt;'PVC SCH80 Flange'!$A$49,VLOOKUP($A63,'PVC SCH80 Flange'!$A$8:$M$48,5,FALSE),
IF($A63&lt;'PVC SCH80 LD Flange'!$A$17,VLOOKUP($A63,'PVC SCH80 LD Flange'!$A$8:$M$16,5,FALSE),
IF($A63&lt;CPVC!$A$100,VLOOKUP($A63,CPVC!$A$8:$M$99,5,FALSE),
IF($A63&lt;InsertFittings!$A$237,VLOOKUP($A63,InsertFittings!$A$11:$M$236,5,FALSE),
IF($A63&lt;Valves!$A$132,VLOOKUP($A63,Valves!$A$8:$M$131,5,FALSE),
IF($A63&lt;SDR35SW!$A$124,VLOOKUP($A63,SDR35SW!$A$8:$M$123,5,FALSE),
IF($A63&lt;SDR35G!$A$143,VLOOKUP($A63, SDR35G!$A$8:$M$142,5,FALSE),
IF($A63&lt;SDR26G!$A$61,VLOOKUP($A63,SDR26G!$A$8:$N$60,5,FALSE),
IF($A63&lt;Cements!$A$100,VLOOKUP($A63,Cements!$A$8:$Q$99,5,FALSE),
IF($A63&lt;ValveBox!$A$143,VLOOKUP($A63,ValveBox!$A$10:$O$142,5,FALSE),
IF($A63&lt;'ValveBox Components'!$A$165,VLOOKUP($A63,'ValveBox Components'!$A$10:$O$164,5,FALSE),
IF($A63&lt;Drainage!$A$92,VLOOKUP($A63,Drainage!$A$8:$M$91,5,FALSE),
IF($A63&lt;Nipples!$A$82,VLOOKUP($A63,Nipples!$A$9:$Q$81,5,FALSE),
IF($A63&lt;Manifold!$A$33,VLOOKUP($A63,Manifold!$A$9:$M$32,5,FALSE),
IF($A63&lt;FlexibleRepairCouplings!$A$13,VLOOKUP($A63,FlexibleRepairCouplings!$A$10:$M$12,5,FALSE),
IF($A63&lt;DuraFix!$A$15,VLOOKUP($A63,DuraFix!$A$9:$M$14,5,FALSE),
IF($A63&lt;'Compression Fittings'!$A$16,VLOOKUP($A63,'Compression Fittings'!$A$8:$M$15,5,FALSE),
IF($A63&lt;'Hose Fittings'!$A$30,VLOOKUP($A63,'Hose Fittings'!$A$8:$M$29,5,FALSE),
IF($A63&lt;'Swing Joints'!$A$496,VLOOKUP($A63,'Swing Joints'!$A$9:$M$495,5,FALSE),
IF($A63&lt;'Swing Joints Components'!$A$135,VLOOKUP($A63,'Swing Joints Components'!$A$9:$M$134,5,FALSE),
IF($A63&lt;Nonstandard!$A$42,VLOOKUP($A63,Nonstandard!$A$31:$J$41,6,FALSE),"")))))))))))))))))))))))))))),"")</f>
        <v/>
      </c>
      <c r="D63" s="426" t="str">
        <f>IFERROR(IF($A63&lt;'DWV PVC'!$A$285,VLOOKUP($A63,'DWV PVC'!$A$8:$M$284,6,FALSE),
IF($A63&lt;'DWV ABS'!$A$117,VLOOKUP($A63,'DWV ABS'!$A$8:$M$116,6,FALSE),
IF($A63&lt;'PVC SCH40'!$A$376,VLOOKUP($A63,'PVC SCH40'!$A$8:$M$375,6,FALSE),
IF($A63&lt;'PVC SCH40 LD'!$A$22,VLOOKUP($A63,'PVC SCH40 LD'!$A$8:$M$21,6,FALSE),
IF($A63&lt;'Pool &amp; SPA Sweep Elbows'!$A$12,VLOOKUP($A63,'Pool &amp; SPA Sweep Elbows'!$A$8:$M$11,6,FALSE),
IF($A63&lt;'Pool &amp; SPA Pipe Extender'!$A$11,VLOOKUP($A63,'Pool &amp; SPA Pipe Extender'!$A$8:$M$10,6,FALSE),
IF($A63&lt;'PVC SCH80'!$A$250,VLOOKUP($A63,'PVC SCH80'!$A$8:$M$249,6,FALSE),
IF($A63&lt;'PVC SCH80 Flange'!$A$49,VLOOKUP($A63,'PVC SCH80 Flange'!$A$8:$M$48,6,FALSE),
IF($A63&lt;'PVC SCH80 LD Flange'!$A$17,VLOOKUP($A63,'PVC SCH80 LD Flange'!$A$8:$M$16,6,FALSE),
IF($A63&lt;CPVC!$A$100,VLOOKUP($A63,CPVC!$A$8:$M$99,6,FALSE),
IF($A63&lt;InsertFittings!$A$237,VLOOKUP($A63,InsertFittings!$A$11:$M$236,6,FALSE),
IF($A63&lt;Valves!$A$132,VLOOKUP($A63,Valves!$A$8:$M$131,6,FALSE),
IF($A63&lt;SDR35SW!$A$124,VLOOKUP($A63,SDR35SW!$A$8:$M$123,6,FALSE),
IF($A63&lt;SDR35G!$A$143,VLOOKUP($A63, SDR35G!$A$8:$M$142,6,FALSE),
IF($A63&lt;SDR26G!$A$61,VLOOKUP($A63,SDR26G!$A$8:$N$60,6,FALSE),
IF($A63&lt;Cements!$A$100,VLOOKUP($A63,Cements!$A$8:$Q$99,6,FALSE),
IF($A63&lt;ValveBox!$A$143,VLOOKUP($A63,ValveBox!$A$10:$O$142,6,FALSE),
IF($A63&lt;'ValveBox Components'!$A$165,VLOOKUP($A63,'ValveBox Components'!$A$10:$O$164,6,FALSE),
IF($A63&lt;Drainage!$A$92,VLOOKUP($A63,Drainage!$A$8:$M$91,6,FALSE),
IF($A63&lt;Nipples!$A$82,VLOOKUP($A63,Nipples!$A$9:$Q$81,6,FALSE),
IF($A63&lt;Manifold!$A$33,VLOOKUP($A63,Manifold!$A$9:$M$32,6,FALSE),
IF($A63&lt;FlexibleRepairCouplings!$A$13,VLOOKUP($A63,FlexibleRepairCouplings!$A$10:$M$12,6,FALSE),
IF($A63&lt;DuraFix!$A$15,VLOOKUP($A63,DuraFix!$A$9:$M$14,6,FALSE),
IF($A63&lt;'Compression Fittings'!$A$16,VLOOKUP($A63,'Compression Fittings'!$A$8:$M$15,6,FALSE),
IF($A63&lt;'Hose Fittings'!$A$30,VLOOKUP($A63,'Hose Fittings'!$A$8:$M$29,6,FALSE),
IF($A63&lt;'Swing Joints'!$A$496,VLOOKUP($A63,'Swing Joints'!$A$9:$M$495,6,FALSE),
IF($A63&lt;'Swing Joints Components'!$A$135,VLOOKUP($A63,'Swing Joints Components'!$A$9:$M$134,6,FALSE),
IF($A63&lt;Nonstandard!$A$42,VLOOKUP($A63,Nonstandard!$A$31:$J$41,7,FALSE),"")))))))))))))))))))))))))))),"")</f>
        <v/>
      </c>
      <c r="E63" s="427"/>
      <c r="F63" s="418" t="str">
        <f>IFERROR(IF($A63&lt;'DWV PVC'!$A$285,VLOOKUP($A63,'DWV PVC'!$A$8:$M$284,9,FALSE),
IF($A63&lt;'DWV ABS'!$A$117,VLOOKUP($A63,'DWV ABS'!$A$8:$M$116,9,FALSE),
IF($A63&lt;'PVC SCH40'!$A$376,VLOOKUP($A63,'PVC SCH40'!$A$8:$M$375,9,FALSE),
IF($A63&lt;'PVC SCH40 LD'!$A$22,VLOOKUP($A63,'PVC SCH40 LD'!$A$8:$M$21,9,FALSE),
IF($A63&lt;'Pool &amp; SPA Sweep Elbows'!$A$12,VLOOKUP($A63,'Pool &amp; SPA Sweep Elbows'!$A$8:$M$11,9,FALSE),
IF($A63&lt;'Pool &amp; SPA Pipe Extender'!$A$11,VLOOKUP($A63,'Pool &amp; SPA Pipe Extender'!$A$8:$M$10,9,FALSE),
IF($A63&lt;'PVC SCH80'!$A$250,VLOOKUP($A63,'PVC SCH80'!$A$8:$M$249,9,FALSE),
IF($A63&lt;'PVC SCH80 Flange'!$A$49,VLOOKUP($A63,'PVC SCH80 Flange'!$A$8:$M$48,9,FALSE),
IF($A63&lt;'PVC SCH80 LD Flange'!$A$17,VLOOKUP($A63,'PVC SCH80 LD Flange'!$A$8:$M$16,9,FALSE),
IF($A63&lt;CPVC!$A$100,VLOOKUP($A63,CPVC!$A$8:$M$99,9,FALSE),
IF($A63&lt;InsertFittings!$A$237,VLOOKUP($A63,InsertFittings!$A$11:$M$236,9,FALSE),
IF($A63&lt;Valves!$A$132,VLOOKUP($A63,Valves!$A$8:$M$131,9,FALSE),
IF($A63&lt;SDR35SW!$A$124,VLOOKUP($A63,SDR35SW!$A$8:$M$123,9,FALSE),
IF($A63&lt;SDR35G!$A$143,VLOOKUP($A63, SDR35G!$A$8:$M$142,9,FALSE),
IF($A63&lt;SDR26G!$A$61,VLOOKUP($A63,SDR26G!$A$8:$N$60,10,FALSE),
IF($A63&lt;Cements!$A$100,VLOOKUP($A63,Cements!$A$8:$Q$99,13,FALSE),
IF($A63&lt;ValveBox!$A$143,VLOOKUP($A63,ValveBox!$A$10:$O$142,11,FALSE),
IF($A63&lt;'ValveBox Components'!$A$165,VLOOKUP($A63,'ValveBox Components'!$A$10:$O$164,11,FALSE),
IF($A63&lt;Drainage!$A$92,VLOOKUP($A63,Drainage!$A$8:$M$91,9,FALSE),
IF($A63&lt;Nipples!$A$82,VLOOKUP($A63,Nipples!$A$9:$Q$81,13,FALSE),
IF($A63&lt;Manifold!$A$33,VLOOKUP($A63,Manifold!$A$9:$M$32,9,FALSE),
IF($A63&lt;FlexibleRepairCouplings!$A$13,VLOOKUP($A63,FlexibleRepairCouplings!$A$10:$M$12,9,FALSE),
IF($A63&lt;DuraFix!$A$15,VLOOKUP($A63,DuraFix!$A$9:$M$14,9,FALSE),
IF($A63&lt;'Compression Fittings'!$A$16,VLOOKUP($A63,'Compression Fittings'!$A$8:$M$15,9,FALSE),
IF($A63&lt;'Hose Fittings'!$A$30,VLOOKUP($A63,'Hose Fittings'!$A$8:$M$29,9,FALSE),
IF($A63&lt;'Swing Joints'!$A$496,VLOOKUP($A63,'Swing Joints'!$A$9:$M$495,9,FALSE),
IF($A63&lt;'Swing Joints Components'!$A$135,VLOOKUP($A63,'Swing Joints Components'!$A$9:$M$134,9,FALSE),
IF($A63&lt;Nonstandard!$A$42,VLOOKUP($A63,Nonstandard!$A$31:$J$41,8,FALSE),"")))))))))))))))))))))))))))),"")</f>
        <v/>
      </c>
      <c r="G63" s="416" t="str">
        <f>IFERROR(IF($A63&lt;'DWV PVC'!$A$285,VLOOKUP($A63,'DWV PVC'!$A$8:$M$284,11,FALSE),
IF($A63&lt;'DWV ABS'!$A$117,VLOOKUP($A63,'DWV ABS'!$A$8:$M$116,11,FALSE),
IF($A63&lt;'PVC SCH40'!$A$376,VLOOKUP($A63,'PVC SCH40'!$A$8:$M$375,11,FALSE),
IF($A63&lt;'PVC SCH40 LD'!$A$22,VLOOKUP($A63,'PVC SCH40 LD'!$A$8:$M$21,11,FALSE),
IF($A63&lt;'Pool &amp; SPA Sweep Elbows'!$A$12,VLOOKUP($A63,'Pool &amp; SPA Sweep Elbows'!$A$8:$M$11,11,FALSE),
IF($A63&lt;'Pool &amp; SPA Pipe Extender'!$A$11,VLOOKUP($A63,'Pool &amp; SPA Pipe Extender'!$A$8:$M$10,11,FALSE),
IF($A63&lt;'PVC SCH80'!$A$250,VLOOKUP($A63,'PVC SCH80'!$A$8:$M$249,11,FALSE),
IF($A63&lt;'PVC SCH80 Flange'!$A$49,VLOOKUP($A63,'PVC SCH80 Flange'!$A$8:$M$48,11,FALSE),
IF($A63&lt;'PVC SCH80 LD Flange'!$A$17,VLOOKUP($A63,'PVC SCH80 LD Flange'!$A$8:$M$16,11,FALSE),
IF($A63&lt;CPVC!$A$100,VLOOKUP($A63,CPVC!$A$8:$M$99,11,FALSE),
IF($A63&lt;InsertFittings!$A$237,VLOOKUP($A63,InsertFittings!$A$11:$M$236,11,FALSE),
IF($A63&lt;Valves!$A$132,VLOOKUP($A63,Valves!$A$8:$M$131,11,FALSE),
IF($A63&lt;SDR35SW!$A$124,VLOOKUP($A63,SDR35SW!$A$8:$M$123,11,FALSE),
IF($A63&lt;SDR35G!$A$143,VLOOKUP($A63, SDR35G!$A$8:$M$142,11,FALSE),
IF($A63&lt;SDR26G!$A$61,VLOOKUP($A63,SDR26G!$A$8:$N$60,12,FALSE),
IF($A63&lt;Cements!$A$100,VLOOKUP($A63,Cements!$A$8:$Q$99,15,FALSE),
IF($A63&lt;ValveBox!$A$143,VLOOKUP($A63,ValveBox!$A$10:$O$142,13,FALSE),
IF($A63&lt;'ValveBox Components'!$A$165,VLOOKUP($A63,'ValveBox Components'!$A$10:$O$164,13,FALSE),
IF($A63&lt;Drainage!$A$92,VLOOKUP($A63,Drainage!$A$8:$M$91,11,FALSE),
IF($A63&lt;Nipples!$A$82,VLOOKUP($A63,Nipples!$A$9:$Q$81,15,FALSE),
IF($A63&lt;Manifold!$A$33,VLOOKUP($A63,Manifold!$A$9:$M$32,11,FALSE),
IF($A63&lt;FlexibleRepairCouplings!$A$13,VLOOKUP($A63,FlexibleRepairCouplings!$A$10:$M$12,11,FALSE),
IF($A63&lt;DuraFix!$A$15,VLOOKUP($A63,DuraFix!$A$9:$M$14,11,FALSE),
IF($A63&lt;'Compression Fittings'!$A$16,VLOOKUP($A63,'Compression Fittings'!$A$8:$M$15,11,FALSE),
IF($A63&lt;'Hose Fittings'!$A$30,VLOOKUP($A63,'Hose Fittings'!$A$8:$M$29,11,FALSE),
IF($A63&lt;'Swing Joints'!$A$496,VLOOKUP($A63,'Swing Joints'!$A$9:$M$495,11,FALSE),
IF($A63&lt;'Swing Joints Components'!$A$135,VLOOKUP($A63,'Swing Joints Components'!$A$9:$M$134,11,FALSE),
IF($A63&lt;Nonstandard!$A$42,VLOOKUP($A63,Nonstandard!$A$31:$J$41,3,FALSE),"")))))))))))))))))))))))))))),"")</f>
        <v/>
      </c>
      <c r="H63" s="586" t="str">
        <f>IFERROR(IF($A63&lt;'DWV PVC'!$A$285,VLOOKUP($A63,'DWV PVC'!$A$8:$M$284,7,FALSE),
IF($A63&lt;'DWV ABS'!$A$117,VLOOKUP($A63,'DWV ABS'!$A$8:$M$116,7,FALSE),
IF($A63&lt;'PVC SCH40'!$A$376,VLOOKUP($A63,'PVC SCH40'!$A$8:$M$375,7,FALSE),
IF($A63&lt;'PVC SCH40 LD'!$A$22,VLOOKUP($A63,'PVC SCH40 LD'!$A$8:$M$21,7,FALSE),
IF($A63&lt;'Pool &amp; SPA Sweep Elbows'!$A$12,VLOOKUP($A63,'Pool &amp; SPA Sweep Elbows'!$A$8:$M$11,7,FALSE),
IF($A63&lt;'Pool &amp; SPA Pipe Extender'!$A$11,VLOOKUP($A63,'Pool &amp; SPA Pipe Extender'!$A$8:$M$10,7,FALSE),
IF($A63&lt;'PVC SCH80'!$A$250,VLOOKUP($A63,'PVC SCH80'!$A$8:$M$249,7,FALSE),
IF($A63&lt;'PVC SCH80 Flange'!$A$49,VLOOKUP($A63,'PVC SCH80 Flange'!$A$8:$M$48,7,FALSE),
IF($A63&lt;'PVC SCH80 LD Flange'!$A$17,VLOOKUP($A63,'PVC SCH80 LD Flange'!$A$8:$M$16,7,FALSE),
IF($A63&lt;CPVC!$A$100,VLOOKUP($A63,CPVC!$A$8:$M$99,7,FALSE),
IF($A63&lt;InsertFittings!$A$237,VLOOKUP($A63,InsertFittings!$A$11:$M$236,7,FALSE),
IF($A63&lt;Valves!$A$132,VLOOKUP($A63,Valves!$A$8:$M$131,7,FALSE),
IF($A63&lt;SDR35SW!$A$124,VLOOKUP($A63,SDR35SW!$A$8:$M$123,7,FALSE),
IF($A63&lt;SDR35G!$A$143,VLOOKUP($A63, SDR35G!$A$8:$M$142,7,FALSE),
IF($A63&lt;SDR26G!$A$61,VLOOKUP($A63,SDR26G!$A$8:$N$60,10,FALSE),
IF($A63&lt;Cements!$A$100,VLOOKUP($A63,Cements!$A$8:$Q$99,13,FALSE),
IF($A63&lt;ValveBox!$A$143,VLOOKUP($A63,ValveBox!$A$10:$O$142,11,FALSE),
IF($A63&lt;'ValveBox Components'!$A$165,VLOOKUP($A63,'ValveBox Components'!$A$10:$O$164,11,FALSE),
IF($A63&lt;Drainage!$A$92,VLOOKUP($A63,Drainage!$A$8:$M$91,7,FALSE),
IF($A63&lt;Nipples!$A$82,VLOOKUP($A63,Nipples!$A$9:$Q$81,13,FALSE),
IF($A63&lt;Manifold!$A$33,VLOOKUP($A63,Manifold!$A$9:$M$32,7,FALSE),
IF($A63&lt;FlexibleRepairCouplings!$A$13,VLOOKUP($A63,FlexibleRepairCouplings!$A$10:$M$12,7,FALSE),
IF($A63&lt;DuraFix!$A$15,VLOOKUP($A63,DuraFix!$A$9:$M$14,7,FALSE),
IF($A63&lt;'Compression Fittings'!$A$16,VLOOKUP($A63,'Compression Fittings'!$A$8:$M$15,7,FALSE),
IF($A63&lt;'Hose Fittings'!$A$30,VLOOKUP($A63,'Hose Fittings'!$A$8:$M$29,7,FALSE),
IF($A63&lt;'Swing Joints'!$A$496,VLOOKUP($A63,'Swing Joints'!$A$9:$M$495,7,FALSE),
IF($A63&lt;'Swing Joints Components'!$A$135,VLOOKUP($A63,'Swing Joints Components'!$A$9:$M$134,7,FALSE),
IF($A63&lt;Nonstandard!$A$42,VLOOKUP($A63,Nonstandard!$A$31:$J$41,3,FALSE),"")))))))))))))))))))))))))))),"")</f>
        <v/>
      </c>
      <c r="I63" s="587"/>
      <c r="J63" s="383" t="str">
        <f t="shared" si="1"/>
        <v/>
      </c>
      <c r="K63" s="417" t="str">
        <f>IFERROR(IF($A63&lt;'DWV PVC'!$A$285,VLOOKUP($A63,'DWV PVC'!$A$8:$M$284,10,FALSE),
IF($A63&lt;'DWV ABS'!$A$117,VLOOKUP($A63,'DWV ABS'!$A$8:$M$116,10,FALSE),
IF($A63&lt;'PVC SCH40'!$A$376,VLOOKUP($A63,'PVC SCH40'!$A$8:$M$375,10,FALSE),
IF($A63&lt;'PVC SCH40 LD'!$A$22,VLOOKUP($A63,'PVC SCH40 LD'!$A$8:$M$21,10,FALSE),
IF($A63&lt;'Pool &amp; SPA Sweep Elbows'!$A$12,VLOOKUP($A63,'Pool &amp; SPA Sweep Elbows'!$A$8:$M$11,10,FALSE),
IF($A63&lt;'Pool &amp; SPA Pipe Extender'!$A$11,VLOOKUP($A63,'Pool &amp; SPA Pipe Extender'!$A$8:$M$10,10,FALSE),
IF($A63&lt;'PVC SCH80'!$A$250,VLOOKUP($A63,'PVC SCH80'!$A$8:$M$249,10,FALSE),
IF($A63&lt;'PVC SCH80 Flange'!$A$49,VLOOKUP($A63,'PVC SCH80 Flange'!$A$8:$M$48,10,FALSE),
IF($A63&lt;'PVC SCH80 LD Flange'!$A$17,VLOOKUP($A63,'PVC SCH80 LD Flange'!$A$8:$M$16,10,FALSE),
IF($A63&lt;CPVC!$A$100,VLOOKUP($A63,CPVC!$A$8:$M$99,10,FALSE),
IF($A63&lt;InsertFittings!$A$237,VLOOKUP($A63,InsertFittings!$A$11:$M$236,10,FALSE),
IF($A63&lt;Valves!$A$132,VLOOKUP($A63,Valves!$A$8:$M$131,10,FALSE),
IF($A63&lt;SDR35SW!$A$124,VLOOKUP($A63,SDR35SW!$A$8:$M$123,10,FALSE),
IF($A63&lt;SDR35G!$A$143,VLOOKUP($A63, SDR35G!$A$8:$M$142,10,FALSE),
IF($A63&lt;SDR26G!$A$61,VLOOKUP($A63,SDR26G!$A$8:$N$60,11,FALSE),
IF($A63&lt;Cements!$A$100,VLOOKUP($A63,Cements!$A$8:$Q$99,14,FALSE),
IF($A63&lt;ValveBox!$A$143,VLOOKUP($A63,ValveBox!$A$10:$O$142,12,FALSE),
IF($A63&lt;'ValveBox Components'!$A$165,VLOOKUP($A63,'ValveBox Components'!$A$10:$O$164,12,FALSE),
IF($A63&lt;Drainage!$A$92,VLOOKUP($A63,Drainage!$A$8:$M$91,10,FALSE),
IF($A63&lt;Nipples!$A$82,VLOOKUP($A63,Nipples!$A$9:$Q$81,14,FALSE),
IF($A63&lt;Manifold!$A$33,VLOOKUP($A63,Manifold!$A$9:$M$32,10,FALSE),
IF($A63&lt;FlexibleRepairCouplings!$A$13,VLOOKUP($A63,FlexibleRepairCouplings!$A$10:$M$12,10,FALSE),
IF($A63&lt;DuraFix!$A$15,VLOOKUP($A63,DuraFix!$A$9:$M$14,10,FALSE),
IF($A63&lt;'Compression Fittings'!$A$16,VLOOKUP($A63,'Compression Fittings'!$A$8:$M$15,10,FALSE),
IF($A63&lt;'Hose Fittings'!$A$30,VLOOKUP($A63,'Hose Fittings'!$A$8:$M$29,10,FALSE),
IF($A63&lt;'Swing Joints'!$A$496,VLOOKUP($A63,'Swing Joints'!$A$9:$M$495,10,FALSE),
IF($A63&lt;'Swing Joints Components'!$A$135,VLOOKUP($A63,'Swing Joints Components'!$A$9:$M$134,10,FALSE),
IF($A63&lt;Nonstandard!$A$42,VLOOKUP($A63,Nonstandard!$A$31:$J$41,10,FALSE),"")))))))))))))))))))))))))))),"")</f>
        <v/>
      </c>
      <c r="L63" s="418" t="str">
        <f t="shared" si="0"/>
        <v>-</v>
      </c>
      <c r="M63" s="419"/>
    </row>
    <row r="64" spans="1:13" ht="15.75">
      <c r="A64" s="420">
        <v>32</v>
      </c>
      <c r="B64" s="420" t="str">
        <f>IFERROR(IF($A64&lt;'DWV PVC'!$A$285,VLOOKUP($A64,'DWV PVC'!$A$8:$M$284,4,FALSE),
IF($A64&lt;'DWV ABS'!$A$117,VLOOKUP($A64,'DWV ABS'!$A$8:$M$116,4,FALSE),
IF($A64&lt;'PVC SCH40'!$A$376,VLOOKUP($A64,'PVC SCH40'!$A$8:$M$375,4,FALSE),
IF($A64&lt;'PVC SCH40 LD'!$A$22,VLOOKUP($A64,'PVC SCH40 LD'!$A$8:$M$21,4,FALSE),
IF($A64&lt;'Pool &amp; SPA Sweep Elbows'!$A$12,VLOOKUP($A64,'Pool &amp; SPA Sweep Elbows'!$A$8:$M$11,4,FALSE),
IF($A64&lt;'Pool &amp; SPA Pipe Extender'!$A$11,VLOOKUP($A64,'Pool &amp; SPA Pipe Extender'!$A$8:$M$10,4,FALSE),
IF($A64&lt;'PVC SCH80'!$A$250,VLOOKUP($A64,'PVC SCH80'!$A$8:$M$249,4,FALSE),
IF($A64&lt;'PVC SCH80 Flange'!$A$49,VLOOKUP($A64,'PVC SCH80 Flange'!$A$8:$M$48,4,FALSE),
IF($A64&lt;'PVC SCH80 LD Flange'!$A$17,VLOOKUP($A64,'PVC SCH80 LD Flange'!$A$8:$M$16,4,FALSE),
IF($A64&lt;CPVC!$A$100,VLOOKUP($A64,CPVC!$A$8:$M$99,4,FALSE),
IF($A64&lt;InsertFittings!$A$237,VLOOKUP($A64,InsertFittings!$A$11:$M$236,4,FALSE),
IF($A64&lt;Valves!$A$132,VLOOKUP($A64,Valves!$A$8:$M$131,4,FALSE),
IF($A64&lt;SDR35SW!$A$124,VLOOKUP($A64,SDR35SW!$A$8:$M$123,4,FALSE),
IF($A64&lt;SDR35G!$A$143,VLOOKUP($A64, SDR35G!$A$8:$M$142,4,FALSE),
IF($A64&lt;SDR26G!$A$61,VLOOKUP($A64,SDR26G!$A$8:$N$60,4,FALSE),
IF($A64&lt;Cements!$A$100,VLOOKUP($A64,Cements!$A$8:$Q$99,4,FALSE),
IF($A64&lt;ValveBox!$A$143,VLOOKUP($A64,ValveBox!$A$10:$O$142,4,FALSE),
IF($A64&lt;'ValveBox Components'!$A$165,VLOOKUP($A64,'ValveBox Components'!$A$10:$O$164,4,FALSE),
IF($A64&lt;Drainage!$A$92,VLOOKUP($A64,Drainage!$A$8:$M$91,4,FALSE),
IF($A64&lt;Nipples!$A$82,VLOOKUP($A64,Nipples!$A$9:$Q$81,4,FALSE),
IF($A64&lt;Manifold!$A$33,VLOOKUP($A64,Manifold!$A$9:$M$32,4,FALSE),
IF($A64&lt;FlexibleRepairCouplings!$A$13,VLOOKUP($A64,FlexibleRepairCouplings!$A$10:$M$12,4,FALSE),
IF($A64&lt;DuraFix!$A$15,VLOOKUP($A64,DuraFix!$A$9:$M$14,4,FALSE),
IF($A64&lt;'Compression Fittings'!$A$16,VLOOKUP($A64,'Compression Fittings'!$A$8:$M$15,4,FALSE),
IF($A64&lt;'Hose Fittings'!$A$30,VLOOKUP($A64,'Hose Fittings'!$A$8:$M$29,4,FALSE),
IF($A64&lt;'Swing Joints'!$A$496,VLOOKUP($A64,'Swing Joints'!$A$9:$M$495,4,FALSE),
IF($A64&lt;'Swing Joints Components'!$A$135,VLOOKUP($A64,'Swing Joints Components'!$A$9:$M$134,4,FALSE),
IF($A64&lt;Nonstandard!$A$42,VLOOKUP($A64,Nonstandard!$A$31:$J$41,5,FALSE),"")))))))))))))))))))))))))))),"")</f>
        <v/>
      </c>
      <c r="C64" s="420" t="str">
        <f>IFERROR(IF($A64&lt;'DWV PVC'!$A$285,VLOOKUP($A64,'DWV PVC'!$A$8:$M$284,5,FALSE),
IF($A64&lt;'DWV ABS'!$A$117,VLOOKUP($A64,'DWV ABS'!$A$8:$M$116,5,FALSE),
IF($A64&lt;'PVC SCH40'!$A$376,VLOOKUP($A64,'PVC SCH40'!$A$8:$M$375,5,FALSE),
IF($A64&lt;'PVC SCH40 LD'!$A$22,VLOOKUP($A64,'PVC SCH40 LD'!$A$8:$M$21,5,FALSE),
IF($A64&lt;'Pool &amp; SPA Sweep Elbows'!$A$12,VLOOKUP($A64,'Pool &amp; SPA Sweep Elbows'!$A$8:$M$11,5,FALSE),
IF($A64&lt;'Pool &amp; SPA Pipe Extender'!$A$11,VLOOKUP($A64,'Pool &amp; SPA Pipe Extender'!$A$8:$M$10,5,FALSE),
IF($A64&lt;'PVC SCH80'!$A$250,VLOOKUP($A64,'PVC SCH80'!$A$8:$M$249,5,FALSE),
IF($A64&lt;'PVC SCH80 Flange'!$A$49,VLOOKUP($A64,'PVC SCH80 Flange'!$A$8:$M$48,5,FALSE),
IF($A64&lt;'PVC SCH80 LD Flange'!$A$17,VLOOKUP($A64,'PVC SCH80 LD Flange'!$A$8:$M$16,5,FALSE),
IF($A64&lt;CPVC!$A$100,VLOOKUP($A64,CPVC!$A$8:$M$99,5,FALSE),
IF($A64&lt;InsertFittings!$A$237,VLOOKUP($A64,InsertFittings!$A$11:$M$236,5,FALSE),
IF($A64&lt;Valves!$A$132,VLOOKUP($A64,Valves!$A$8:$M$131,5,FALSE),
IF($A64&lt;SDR35SW!$A$124,VLOOKUP($A64,SDR35SW!$A$8:$M$123,5,FALSE),
IF($A64&lt;SDR35G!$A$143,VLOOKUP($A64, SDR35G!$A$8:$M$142,5,FALSE),
IF($A64&lt;SDR26G!$A$61,VLOOKUP($A64,SDR26G!$A$8:$N$60,5,FALSE),
IF($A64&lt;Cements!$A$100,VLOOKUP($A64,Cements!$A$8:$Q$99,5,FALSE),
IF($A64&lt;ValveBox!$A$143,VLOOKUP($A64,ValveBox!$A$10:$O$142,5,FALSE),
IF($A64&lt;'ValveBox Components'!$A$165,VLOOKUP($A64,'ValveBox Components'!$A$10:$O$164,5,FALSE),
IF($A64&lt;Drainage!$A$92,VLOOKUP($A64,Drainage!$A$8:$M$91,5,FALSE),
IF($A64&lt;Nipples!$A$82,VLOOKUP($A64,Nipples!$A$9:$Q$81,5,FALSE),
IF($A64&lt;Manifold!$A$33,VLOOKUP($A64,Manifold!$A$9:$M$32,5,FALSE),
IF($A64&lt;FlexibleRepairCouplings!$A$13,VLOOKUP($A64,FlexibleRepairCouplings!$A$10:$M$12,5,FALSE),
IF($A64&lt;DuraFix!$A$15,VLOOKUP($A64,DuraFix!$A$9:$M$14,5,FALSE),
IF($A64&lt;'Compression Fittings'!$A$16,VLOOKUP($A64,'Compression Fittings'!$A$8:$M$15,5,FALSE),
IF($A64&lt;'Hose Fittings'!$A$30,VLOOKUP($A64,'Hose Fittings'!$A$8:$M$29,5,FALSE),
IF($A64&lt;'Swing Joints'!$A$496,VLOOKUP($A64,'Swing Joints'!$A$9:$M$495,5,FALSE),
IF($A64&lt;'Swing Joints Components'!$A$135,VLOOKUP($A64,'Swing Joints Components'!$A$9:$M$134,5,FALSE),
IF($A64&lt;Nonstandard!$A$42,VLOOKUP($A64,Nonstandard!$A$31:$J$41,6,FALSE),"")))))))))))))))))))))))))))),"")</f>
        <v/>
      </c>
      <c r="D64" s="428" t="str">
        <f>IFERROR(IF($A64&lt;'DWV PVC'!$A$285,VLOOKUP($A64,'DWV PVC'!$A$8:$M$284,6,FALSE),
IF($A64&lt;'DWV ABS'!$A$117,VLOOKUP($A64,'DWV ABS'!$A$8:$M$116,6,FALSE),
IF($A64&lt;'PVC SCH40'!$A$376,VLOOKUP($A64,'PVC SCH40'!$A$8:$M$375,6,FALSE),
IF($A64&lt;'PVC SCH40 LD'!$A$22,VLOOKUP($A64,'PVC SCH40 LD'!$A$8:$M$21,6,FALSE),
IF($A64&lt;'Pool &amp; SPA Sweep Elbows'!$A$12,VLOOKUP($A64,'Pool &amp; SPA Sweep Elbows'!$A$8:$M$11,6,FALSE),
IF($A64&lt;'Pool &amp; SPA Pipe Extender'!$A$11,VLOOKUP($A64,'Pool &amp; SPA Pipe Extender'!$A$8:$M$10,6,FALSE),
IF($A64&lt;'PVC SCH80'!$A$250,VLOOKUP($A64,'PVC SCH80'!$A$8:$M$249,6,FALSE),
IF($A64&lt;'PVC SCH80 Flange'!$A$49,VLOOKUP($A64,'PVC SCH80 Flange'!$A$8:$M$48,6,FALSE),
IF($A64&lt;'PVC SCH80 LD Flange'!$A$17,VLOOKUP($A64,'PVC SCH80 LD Flange'!$A$8:$M$16,6,FALSE),
IF($A64&lt;CPVC!$A$100,VLOOKUP($A64,CPVC!$A$8:$M$99,6,FALSE),
IF($A64&lt;InsertFittings!$A$237,VLOOKUP($A64,InsertFittings!$A$11:$M$236,6,FALSE),
IF($A64&lt;Valves!$A$132,VLOOKUP($A64,Valves!$A$8:$M$131,6,FALSE),
IF($A64&lt;SDR35SW!$A$124,VLOOKUP($A64,SDR35SW!$A$8:$M$123,6,FALSE),
IF($A64&lt;SDR35G!$A$143,VLOOKUP($A64, SDR35G!$A$8:$M$142,6,FALSE),
IF($A64&lt;SDR26G!$A$61,VLOOKUP($A64,SDR26G!$A$8:$N$60,6,FALSE),
IF($A64&lt;Cements!$A$100,VLOOKUP($A64,Cements!$A$8:$Q$99,6,FALSE),
IF($A64&lt;ValveBox!$A$143,VLOOKUP($A64,ValveBox!$A$10:$O$142,6,FALSE),
IF($A64&lt;'ValveBox Components'!$A$165,VLOOKUP($A64,'ValveBox Components'!$A$10:$O$164,6,FALSE),
IF($A64&lt;Drainage!$A$92,VLOOKUP($A64,Drainage!$A$8:$M$91,6,FALSE),
IF($A64&lt;Nipples!$A$82,VLOOKUP($A64,Nipples!$A$9:$Q$81,6,FALSE),
IF($A64&lt;Manifold!$A$33,VLOOKUP($A64,Manifold!$A$9:$M$32,6,FALSE),
IF($A64&lt;FlexibleRepairCouplings!$A$13,VLOOKUP($A64,FlexibleRepairCouplings!$A$10:$M$12,6,FALSE),
IF($A64&lt;DuraFix!$A$15,VLOOKUP($A64,DuraFix!$A$9:$M$14,6,FALSE),
IF($A64&lt;'Compression Fittings'!$A$16,VLOOKUP($A64,'Compression Fittings'!$A$8:$M$15,6,FALSE),
IF($A64&lt;'Hose Fittings'!$A$30,VLOOKUP($A64,'Hose Fittings'!$A$8:$M$29,6,FALSE),
IF($A64&lt;'Swing Joints'!$A$496,VLOOKUP($A64,'Swing Joints'!$A$9:$M$495,6,FALSE),
IF($A64&lt;'Swing Joints Components'!$A$135,VLOOKUP($A64,'Swing Joints Components'!$A$9:$M$134,6,FALSE),
IF($A64&lt;Nonstandard!$A$42,VLOOKUP($A64,Nonstandard!$A$31:$J$41,7,FALSE),"")))))))))))))))))))))))))))),"")</f>
        <v/>
      </c>
      <c r="E64" s="429"/>
      <c r="F64" s="421" t="str">
        <f>IFERROR(IF($A64&lt;'DWV PVC'!$A$285,VLOOKUP($A64,'DWV PVC'!$A$8:$M$284,9,FALSE),
IF($A64&lt;'DWV ABS'!$A$117,VLOOKUP($A64,'DWV ABS'!$A$8:$M$116,9,FALSE),
IF($A64&lt;'PVC SCH40'!$A$376,VLOOKUP($A64,'PVC SCH40'!$A$8:$M$375,9,FALSE),
IF($A64&lt;'PVC SCH40 LD'!$A$22,VLOOKUP($A64,'PVC SCH40 LD'!$A$8:$M$21,9,FALSE),
IF($A64&lt;'Pool &amp; SPA Sweep Elbows'!$A$12,VLOOKUP($A64,'Pool &amp; SPA Sweep Elbows'!$A$8:$M$11,9,FALSE),
IF($A64&lt;'Pool &amp; SPA Pipe Extender'!$A$11,VLOOKUP($A64,'Pool &amp; SPA Pipe Extender'!$A$8:$M$10,9,FALSE),
IF($A64&lt;'PVC SCH80'!$A$250,VLOOKUP($A64,'PVC SCH80'!$A$8:$M$249,9,FALSE),
IF($A64&lt;'PVC SCH80 Flange'!$A$49,VLOOKUP($A64,'PVC SCH80 Flange'!$A$8:$M$48,9,FALSE),
IF($A64&lt;'PVC SCH80 LD Flange'!$A$17,VLOOKUP($A64,'PVC SCH80 LD Flange'!$A$8:$M$16,9,FALSE),
IF($A64&lt;CPVC!$A$100,VLOOKUP($A64,CPVC!$A$8:$M$99,9,FALSE),
IF($A64&lt;InsertFittings!$A$237,VLOOKUP($A64,InsertFittings!$A$11:$M$236,9,FALSE),
IF($A64&lt;Valves!$A$132,VLOOKUP($A64,Valves!$A$8:$M$131,9,FALSE),
IF($A64&lt;SDR35SW!$A$124,VLOOKUP($A64,SDR35SW!$A$8:$M$123,9,FALSE),
IF($A64&lt;SDR35G!$A$143,VLOOKUP($A64, SDR35G!$A$8:$M$142,9,FALSE),
IF($A64&lt;SDR26G!$A$61,VLOOKUP($A64,SDR26G!$A$8:$N$60,10,FALSE),
IF($A64&lt;Cements!$A$100,VLOOKUP($A64,Cements!$A$8:$Q$99,13,FALSE),
IF($A64&lt;ValveBox!$A$143,VLOOKUP($A64,ValveBox!$A$10:$O$142,11,FALSE),
IF($A64&lt;'ValveBox Components'!$A$165,VLOOKUP($A64,'ValveBox Components'!$A$10:$O$164,11,FALSE),
IF($A64&lt;Drainage!$A$92,VLOOKUP($A64,Drainage!$A$8:$M$91,9,FALSE),
IF($A64&lt;Nipples!$A$82,VLOOKUP($A64,Nipples!$A$9:$Q$81,13,FALSE),
IF($A64&lt;Manifold!$A$33,VLOOKUP($A64,Manifold!$A$9:$M$32,9,FALSE),
IF($A64&lt;FlexibleRepairCouplings!$A$13,VLOOKUP($A64,FlexibleRepairCouplings!$A$10:$M$12,9,FALSE),
IF($A64&lt;DuraFix!$A$15,VLOOKUP($A64,DuraFix!$A$9:$M$14,9,FALSE),
IF($A64&lt;'Compression Fittings'!$A$16,VLOOKUP($A64,'Compression Fittings'!$A$8:$M$15,9,FALSE),
IF($A64&lt;'Hose Fittings'!$A$30,VLOOKUP($A64,'Hose Fittings'!$A$8:$M$29,9,FALSE),
IF($A64&lt;'Swing Joints'!$A$496,VLOOKUP($A64,'Swing Joints'!$A$9:$M$495,9,FALSE),
IF($A64&lt;'Swing Joints Components'!$A$135,VLOOKUP($A64,'Swing Joints Components'!$A$9:$M$134,9,FALSE),
IF($A64&lt;Nonstandard!$A$42,VLOOKUP($A64,Nonstandard!$A$31:$J$41,8,FALSE),"")))))))))))))))))))))))))))),"")</f>
        <v/>
      </c>
      <c r="G64" s="422" t="str">
        <f>IFERROR(IF($A64&lt;'DWV PVC'!$A$285,VLOOKUP($A64,'DWV PVC'!$A$8:$M$284,11,FALSE),
IF($A64&lt;'DWV ABS'!$A$117,VLOOKUP($A64,'DWV ABS'!$A$8:$M$116,11,FALSE),
IF($A64&lt;'PVC SCH40'!$A$376,VLOOKUP($A64,'PVC SCH40'!$A$8:$M$375,11,FALSE),
IF($A64&lt;'PVC SCH40 LD'!$A$22,VLOOKUP($A64,'PVC SCH40 LD'!$A$8:$M$21,11,FALSE),
IF($A64&lt;'Pool &amp; SPA Sweep Elbows'!$A$12,VLOOKUP($A64,'Pool &amp; SPA Sweep Elbows'!$A$8:$M$11,11,FALSE),
IF($A64&lt;'Pool &amp; SPA Pipe Extender'!$A$11,VLOOKUP($A64,'Pool &amp; SPA Pipe Extender'!$A$8:$M$10,11,FALSE),
IF($A64&lt;'PVC SCH80'!$A$250,VLOOKUP($A64,'PVC SCH80'!$A$8:$M$249,11,FALSE),
IF($A64&lt;'PVC SCH80 Flange'!$A$49,VLOOKUP($A64,'PVC SCH80 Flange'!$A$8:$M$48,11,FALSE),
IF($A64&lt;'PVC SCH80 LD Flange'!$A$17,VLOOKUP($A64,'PVC SCH80 LD Flange'!$A$8:$M$16,11,FALSE),
IF($A64&lt;CPVC!$A$100,VLOOKUP($A64,CPVC!$A$8:$M$99,11,FALSE),
IF($A64&lt;InsertFittings!$A$237,VLOOKUP($A64,InsertFittings!$A$11:$M$236,11,FALSE),
IF($A64&lt;Valves!$A$132,VLOOKUP($A64,Valves!$A$8:$M$131,11,FALSE),
IF($A64&lt;SDR35SW!$A$124,VLOOKUP($A64,SDR35SW!$A$8:$M$123,11,FALSE),
IF($A64&lt;SDR35G!$A$143,VLOOKUP($A64, SDR35G!$A$8:$M$142,11,FALSE),
IF($A64&lt;SDR26G!$A$61,VLOOKUP($A64,SDR26G!$A$8:$N$60,12,FALSE),
IF($A64&lt;Cements!$A$100,VLOOKUP($A64,Cements!$A$8:$Q$99,15,FALSE),
IF($A64&lt;ValveBox!$A$143,VLOOKUP($A64,ValveBox!$A$10:$O$142,13,FALSE),
IF($A64&lt;'ValveBox Components'!$A$165,VLOOKUP($A64,'ValveBox Components'!$A$10:$O$164,13,FALSE),
IF($A64&lt;Drainage!$A$92,VLOOKUP($A64,Drainage!$A$8:$M$91,11,FALSE),
IF($A64&lt;Nipples!$A$82,VLOOKUP($A64,Nipples!$A$9:$Q$81,15,FALSE),
IF($A64&lt;Manifold!$A$33,VLOOKUP($A64,Manifold!$A$9:$M$32,11,FALSE),
IF($A64&lt;FlexibleRepairCouplings!$A$13,VLOOKUP($A64,FlexibleRepairCouplings!$A$10:$M$12,11,FALSE),
IF($A64&lt;DuraFix!$A$15,VLOOKUP($A64,DuraFix!$A$9:$M$14,11,FALSE),
IF($A64&lt;'Compression Fittings'!$A$16,VLOOKUP($A64,'Compression Fittings'!$A$8:$M$15,11,FALSE),
IF($A64&lt;'Hose Fittings'!$A$30,VLOOKUP($A64,'Hose Fittings'!$A$8:$M$29,11,FALSE),
IF($A64&lt;'Swing Joints'!$A$496,VLOOKUP($A64,'Swing Joints'!$A$9:$M$495,11,FALSE),
IF($A64&lt;'Swing Joints Components'!$A$135,VLOOKUP($A64,'Swing Joints Components'!$A$9:$M$134,11,FALSE),
IF($A64&lt;Nonstandard!$A$42,VLOOKUP($A64,Nonstandard!$A$31:$J$41,3,FALSE),"")))))))))))))))))))))))))))),"")</f>
        <v/>
      </c>
      <c r="H64" s="588" t="str">
        <f>IFERROR(IF($A64&lt;'DWV PVC'!$A$285,VLOOKUP($A64,'DWV PVC'!$A$8:$M$284,7,FALSE),
IF($A64&lt;'DWV ABS'!$A$117,VLOOKUP($A64,'DWV ABS'!$A$8:$M$116,7,FALSE),
IF($A64&lt;'PVC SCH40'!$A$376,VLOOKUP($A64,'PVC SCH40'!$A$8:$M$375,7,FALSE),
IF($A64&lt;'PVC SCH40 LD'!$A$22,VLOOKUP($A64,'PVC SCH40 LD'!$A$8:$M$21,7,FALSE),
IF($A64&lt;'Pool &amp; SPA Sweep Elbows'!$A$12,VLOOKUP($A64,'Pool &amp; SPA Sweep Elbows'!$A$8:$M$11,7,FALSE),
IF($A64&lt;'Pool &amp; SPA Pipe Extender'!$A$11,VLOOKUP($A64,'Pool &amp; SPA Pipe Extender'!$A$8:$M$10,7,FALSE),
IF($A64&lt;'PVC SCH80'!$A$250,VLOOKUP($A64,'PVC SCH80'!$A$8:$M$249,7,FALSE),
IF($A64&lt;'PVC SCH80 Flange'!$A$49,VLOOKUP($A64,'PVC SCH80 Flange'!$A$8:$M$48,7,FALSE),
IF($A64&lt;'PVC SCH80 LD Flange'!$A$17,VLOOKUP($A64,'PVC SCH80 LD Flange'!$A$8:$M$16,7,FALSE),
IF($A64&lt;CPVC!$A$100,VLOOKUP($A64,CPVC!$A$8:$M$99,7,FALSE),
IF($A64&lt;InsertFittings!$A$237,VLOOKUP($A64,InsertFittings!$A$11:$M$236,7,FALSE),
IF($A64&lt;Valves!$A$132,VLOOKUP($A64,Valves!$A$8:$M$131,7,FALSE),
IF($A64&lt;SDR35SW!$A$124,VLOOKUP($A64,SDR35SW!$A$8:$M$123,7,FALSE),
IF($A64&lt;SDR35G!$A$143,VLOOKUP($A64, SDR35G!$A$8:$M$142,7,FALSE),
IF($A64&lt;SDR26G!$A$61,VLOOKUP($A64,SDR26G!$A$8:$N$60,10,FALSE),
IF($A64&lt;Cements!$A$100,VLOOKUP($A64,Cements!$A$8:$Q$99,13,FALSE),
IF($A64&lt;ValveBox!$A$143,VLOOKUP($A64,ValveBox!$A$10:$O$142,11,FALSE),
IF($A64&lt;'ValveBox Components'!$A$165,VLOOKUP($A64,'ValveBox Components'!$A$10:$O$164,11,FALSE),
IF($A64&lt;Drainage!$A$92,VLOOKUP($A64,Drainage!$A$8:$M$91,7,FALSE),
IF($A64&lt;Nipples!$A$82,VLOOKUP($A64,Nipples!$A$9:$Q$81,13,FALSE),
IF($A64&lt;Manifold!$A$33,VLOOKUP($A64,Manifold!$A$9:$M$32,7,FALSE),
IF($A64&lt;FlexibleRepairCouplings!$A$13,VLOOKUP($A64,FlexibleRepairCouplings!$A$10:$M$12,7,FALSE),
IF($A64&lt;DuraFix!$A$15,VLOOKUP($A64,DuraFix!$A$9:$M$14,7,FALSE),
IF($A64&lt;'Compression Fittings'!$A$16,VLOOKUP($A64,'Compression Fittings'!$A$8:$M$15,7,FALSE),
IF($A64&lt;'Hose Fittings'!$A$30,VLOOKUP($A64,'Hose Fittings'!$A$8:$M$29,7,FALSE),
IF($A64&lt;'Swing Joints'!$A$496,VLOOKUP($A64,'Swing Joints'!$A$9:$M$495,7,FALSE),
IF($A64&lt;'Swing Joints Components'!$A$135,VLOOKUP($A64,'Swing Joints Components'!$A$9:$M$134,7,FALSE),
IF($A64&lt;Nonstandard!$A$42,VLOOKUP($A64,Nonstandard!$A$31:$J$41,3,FALSE),"")))))))))))))))))))))))))))),"")</f>
        <v/>
      </c>
      <c r="I64" s="589"/>
      <c r="J64" s="423" t="str">
        <f t="shared" si="1"/>
        <v/>
      </c>
      <c r="K64" s="424" t="str">
        <f>IFERROR(IF($A64&lt;'DWV PVC'!$A$285,VLOOKUP($A64,'DWV PVC'!$A$8:$M$284,10,FALSE),
IF($A64&lt;'DWV ABS'!$A$117,VLOOKUP($A64,'DWV ABS'!$A$8:$M$116,10,FALSE),
IF($A64&lt;'PVC SCH40'!$A$376,VLOOKUP($A64,'PVC SCH40'!$A$8:$M$375,10,FALSE),
IF($A64&lt;'PVC SCH40 LD'!$A$22,VLOOKUP($A64,'PVC SCH40 LD'!$A$8:$M$21,10,FALSE),
IF($A64&lt;'Pool &amp; SPA Sweep Elbows'!$A$12,VLOOKUP($A64,'Pool &amp; SPA Sweep Elbows'!$A$8:$M$11,10,FALSE),
IF($A64&lt;'Pool &amp; SPA Pipe Extender'!$A$11,VLOOKUP($A64,'Pool &amp; SPA Pipe Extender'!$A$8:$M$10,10,FALSE),
IF($A64&lt;'PVC SCH80'!$A$250,VLOOKUP($A64,'PVC SCH80'!$A$8:$M$249,10,FALSE),
IF($A64&lt;'PVC SCH80 Flange'!$A$49,VLOOKUP($A64,'PVC SCH80 Flange'!$A$8:$M$48,10,FALSE),
IF($A64&lt;'PVC SCH80 LD Flange'!$A$17,VLOOKUP($A64,'PVC SCH80 LD Flange'!$A$8:$M$16,10,FALSE),
IF($A64&lt;CPVC!$A$100,VLOOKUP($A64,CPVC!$A$8:$M$99,10,FALSE),
IF($A64&lt;InsertFittings!$A$237,VLOOKUP($A64,InsertFittings!$A$11:$M$236,10,FALSE),
IF($A64&lt;Valves!$A$132,VLOOKUP($A64,Valves!$A$8:$M$131,10,FALSE),
IF($A64&lt;SDR35SW!$A$124,VLOOKUP($A64,SDR35SW!$A$8:$M$123,10,FALSE),
IF($A64&lt;SDR35G!$A$143,VLOOKUP($A64, SDR35G!$A$8:$M$142,10,FALSE),
IF($A64&lt;SDR26G!$A$61,VLOOKUP($A64,SDR26G!$A$8:$N$60,11,FALSE),
IF($A64&lt;Cements!$A$100,VLOOKUP($A64,Cements!$A$8:$Q$99,14,FALSE),
IF($A64&lt;ValveBox!$A$143,VLOOKUP($A64,ValveBox!$A$10:$O$142,12,FALSE),
IF($A64&lt;'ValveBox Components'!$A$165,VLOOKUP($A64,'ValveBox Components'!$A$10:$O$164,12,FALSE),
IF($A64&lt;Drainage!$A$92,VLOOKUP($A64,Drainage!$A$8:$M$91,10,FALSE),
IF($A64&lt;Nipples!$A$82,VLOOKUP($A64,Nipples!$A$9:$Q$81,14,FALSE),
IF($A64&lt;Manifold!$A$33,VLOOKUP($A64,Manifold!$A$9:$M$32,10,FALSE),
IF($A64&lt;FlexibleRepairCouplings!$A$13,VLOOKUP($A64,FlexibleRepairCouplings!$A$10:$M$12,10,FALSE),
IF($A64&lt;DuraFix!$A$15,VLOOKUP($A64,DuraFix!$A$9:$M$14,10,FALSE),
IF($A64&lt;'Compression Fittings'!$A$16,VLOOKUP($A64,'Compression Fittings'!$A$8:$M$15,10,FALSE),
IF($A64&lt;'Hose Fittings'!$A$30,VLOOKUP($A64,'Hose Fittings'!$A$8:$M$29,10,FALSE),
IF($A64&lt;'Swing Joints'!$A$496,VLOOKUP($A64,'Swing Joints'!$A$9:$M$495,10,FALSE),
IF($A64&lt;'Swing Joints Components'!$A$135,VLOOKUP($A64,'Swing Joints Components'!$A$9:$M$134,10,FALSE),
IF($A64&lt;Nonstandard!$A$42,VLOOKUP($A64,Nonstandard!$A$31:$J$41,10,FALSE),"")))))))))))))))))))))))))))),"")</f>
        <v/>
      </c>
      <c r="L64" s="421" t="str">
        <f t="shared" si="0"/>
        <v>-</v>
      </c>
      <c r="M64" s="425"/>
    </row>
    <row r="65" spans="1:13" ht="15.75">
      <c r="A65" s="415">
        <v>33</v>
      </c>
      <c r="B65" s="415" t="str">
        <f>IFERROR(IF($A65&lt;'DWV PVC'!$A$285,VLOOKUP($A65,'DWV PVC'!$A$8:$M$284,4,FALSE),
IF($A65&lt;'DWV ABS'!$A$117,VLOOKUP($A65,'DWV ABS'!$A$8:$M$116,4,FALSE),
IF($A65&lt;'PVC SCH40'!$A$376,VLOOKUP($A65,'PVC SCH40'!$A$8:$M$375,4,FALSE),
IF($A65&lt;'PVC SCH40 LD'!$A$22,VLOOKUP($A65,'PVC SCH40 LD'!$A$8:$M$21,4,FALSE),
IF($A65&lt;'Pool &amp; SPA Sweep Elbows'!$A$12,VLOOKUP($A65,'Pool &amp; SPA Sweep Elbows'!$A$8:$M$11,4,FALSE),
IF($A65&lt;'Pool &amp; SPA Pipe Extender'!$A$11,VLOOKUP($A65,'Pool &amp; SPA Pipe Extender'!$A$8:$M$10,4,FALSE),
IF($A65&lt;'PVC SCH80'!$A$250,VLOOKUP($A65,'PVC SCH80'!$A$8:$M$249,4,FALSE),
IF($A65&lt;'PVC SCH80 Flange'!$A$49,VLOOKUP($A65,'PVC SCH80 Flange'!$A$8:$M$48,4,FALSE),
IF($A65&lt;'PVC SCH80 LD Flange'!$A$17,VLOOKUP($A65,'PVC SCH80 LD Flange'!$A$8:$M$16,4,FALSE),
IF($A65&lt;CPVC!$A$100,VLOOKUP($A65,CPVC!$A$8:$M$99,4,FALSE),
IF($A65&lt;InsertFittings!$A$237,VLOOKUP($A65,InsertFittings!$A$11:$M$236,4,FALSE),
IF($A65&lt;Valves!$A$132,VLOOKUP($A65,Valves!$A$8:$M$131,4,FALSE),
IF($A65&lt;SDR35SW!$A$124,VLOOKUP($A65,SDR35SW!$A$8:$M$123,4,FALSE),
IF($A65&lt;SDR35G!$A$143,VLOOKUP($A65, SDR35G!$A$8:$M$142,4,FALSE),
IF($A65&lt;SDR26G!$A$61,VLOOKUP($A65,SDR26G!$A$8:$N$60,4,FALSE),
IF($A65&lt;Cements!$A$100,VLOOKUP($A65,Cements!$A$8:$Q$99,4,FALSE),
IF($A65&lt;ValveBox!$A$143,VLOOKUP($A65,ValveBox!$A$10:$O$142,4,FALSE),
IF($A65&lt;'ValveBox Components'!$A$165,VLOOKUP($A65,'ValveBox Components'!$A$10:$O$164,4,FALSE),
IF($A65&lt;Drainage!$A$92,VLOOKUP($A65,Drainage!$A$8:$M$91,4,FALSE),
IF($A65&lt;Nipples!$A$82,VLOOKUP($A65,Nipples!$A$9:$Q$81,4,FALSE),
IF($A65&lt;Manifold!$A$33,VLOOKUP($A65,Manifold!$A$9:$M$32,4,FALSE),
IF($A65&lt;FlexibleRepairCouplings!$A$13,VLOOKUP($A65,FlexibleRepairCouplings!$A$10:$M$12,4,FALSE),
IF($A65&lt;DuraFix!$A$15,VLOOKUP($A65,DuraFix!$A$9:$M$14,4,FALSE),
IF($A65&lt;'Compression Fittings'!$A$16,VLOOKUP($A65,'Compression Fittings'!$A$8:$M$15,4,FALSE),
IF($A65&lt;'Hose Fittings'!$A$30,VLOOKUP($A65,'Hose Fittings'!$A$8:$M$29,4,FALSE),
IF($A65&lt;'Swing Joints'!$A$496,VLOOKUP($A65,'Swing Joints'!$A$9:$M$495,4,FALSE),
IF($A65&lt;'Swing Joints Components'!$A$135,VLOOKUP($A65,'Swing Joints Components'!$A$9:$M$134,4,FALSE),
IF($A65&lt;Nonstandard!$A$42,VLOOKUP($A65,Nonstandard!$A$31:$J$41,5,FALSE),"")))))))))))))))))))))))))))),"")</f>
        <v/>
      </c>
      <c r="C65" s="415" t="str">
        <f>IFERROR(IF($A65&lt;'DWV PVC'!$A$285,VLOOKUP($A65,'DWV PVC'!$A$8:$M$284,5,FALSE),
IF($A65&lt;'DWV ABS'!$A$117,VLOOKUP($A65,'DWV ABS'!$A$8:$M$116,5,FALSE),
IF($A65&lt;'PVC SCH40'!$A$376,VLOOKUP($A65,'PVC SCH40'!$A$8:$M$375,5,FALSE),
IF($A65&lt;'PVC SCH40 LD'!$A$22,VLOOKUP($A65,'PVC SCH40 LD'!$A$8:$M$21,5,FALSE),
IF($A65&lt;'Pool &amp; SPA Sweep Elbows'!$A$12,VLOOKUP($A65,'Pool &amp; SPA Sweep Elbows'!$A$8:$M$11,5,FALSE),
IF($A65&lt;'Pool &amp; SPA Pipe Extender'!$A$11,VLOOKUP($A65,'Pool &amp; SPA Pipe Extender'!$A$8:$M$10,5,FALSE),
IF($A65&lt;'PVC SCH80'!$A$250,VLOOKUP($A65,'PVC SCH80'!$A$8:$M$249,5,FALSE),
IF($A65&lt;'PVC SCH80 Flange'!$A$49,VLOOKUP($A65,'PVC SCH80 Flange'!$A$8:$M$48,5,FALSE),
IF($A65&lt;'PVC SCH80 LD Flange'!$A$17,VLOOKUP($A65,'PVC SCH80 LD Flange'!$A$8:$M$16,5,FALSE),
IF($A65&lt;CPVC!$A$100,VLOOKUP($A65,CPVC!$A$8:$M$99,5,FALSE),
IF($A65&lt;InsertFittings!$A$237,VLOOKUP($A65,InsertFittings!$A$11:$M$236,5,FALSE),
IF($A65&lt;Valves!$A$132,VLOOKUP($A65,Valves!$A$8:$M$131,5,FALSE),
IF($A65&lt;SDR35SW!$A$124,VLOOKUP($A65,SDR35SW!$A$8:$M$123,5,FALSE),
IF($A65&lt;SDR35G!$A$143,VLOOKUP($A65, SDR35G!$A$8:$M$142,5,FALSE),
IF($A65&lt;SDR26G!$A$61,VLOOKUP($A65,SDR26G!$A$8:$N$60,5,FALSE),
IF($A65&lt;Cements!$A$100,VLOOKUP($A65,Cements!$A$8:$Q$99,5,FALSE),
IF($A65&lt;ValveBox!$A$143,VLOOKUP($A65,ValveBox!$A$10:$O$142,5,FALSE),
IF($A65&lt;'ValveBox Components'!$A$165,VLOOKUP($A65,'ValveBox Components'!$A$10:$O$164,5,FALSE),
IF($A65&lt;Drainage!$A$92,VLOOKUP($A65,Drainage!$A$8:$M$91,5,FALSE),
IF($A65&lt;Nipples!$A$82,VLOOKUP($A65,Nipples!$A$9:$Q$81,5,FALSE),
IF($A65&lt;Manifold!$A$33,VLOOKUP($A65,Manifold!$A$9:$M$32,5,FALSE),
IF($A65&lt;FlexibleRepairCouplings!$A$13,VLOOKUP($A65,FlexibleRepairCouplings!$A$10:$M$12,5,FALSE),
IF($A65&lt;DuraFix!$A$15,VLOOKUP($A65,DuraFix!$A$9:$M$14,5,FALSE),
IF($A65&lt;'Compression Fittings'!$A$16,VLOOKUP($A65,'Compression Fittings'!$A$8:$M$15,5,FALSE),
IF($A65&lt;'Hose Fittings'!$A$30,VLOOKUP($A65,'Hose Fittings'!$A$8:$M$29,5,FALSE),
IF($A65&lt;'Swing Joints'!$A$496,VLOOKUP($A65,'Swing Joints'!$A$9:$M$495,5,FALSE),
IF($A65&lt;'Swing Joints Components'!$A$135,VLOOKUP($A65,'Swing Joints Components'!$A$9:$M$134,5,FALSE),
IF($A65&lt;Nonstandard!$A$42,VLOOKUP($A65,Nonstandard!$A$31:$J$41,6,FALSE),"")))))))))))))))))))))))))))),"")</f>
        <v/>
      </c>
      <c r="D65" s="426" t="str">
        <f>IFERROR(IF($A65&lt;'DWV PVC'!$A$285,VLOOKUP($A65,'DWV PVC'!$A$8:$M$284,6,FALSE),
IF($A65&lt;'DWV ABS'!$A$117,VLOOKUP($A65,'DWV ABS'!$A$8:$M$116,6,FALSE),
IF($A65&lt;'PVC SCH40'!$A$376,VLOOKUP($A65,'PVC SCH40'!$A$8:$M$375,6,FALSE),
IF($A65&lt;'PVC SCH40 LD'!$A$22,VLOOKUP($A65,'PVC SCH40 LD'!$A$8:$M$21,6,FALSE),
IF($A65&lt;'Pool &amp; SPA Sweep Elbows'!$A$12,VLOOKUP($A65,'Pool &amp; SPA Sweep Elbows'!$A$8:$M$11,6,FALSE),
IF($A65&lt;'Pool &amp; SPA Pipe Extender'!$A$11,VLOOKUP($A65,'Pool &amp; SPA Pipe Extender'!$A$8:$M$10,6,FALSE),
IF($A65&lt;'PVC SCH80'!$A$250,VLOOKUP($A65,'PVC SCH80'!$A$8:$M$249,6,FALSE),
IF($A65&lt;'PVC SCH80 Flange'!$A$49,VLOOKUP($A65,'PVC SCH80 Flange'!$A$8:$M$48,6,FALSE),
IF($A65&lt;'PVC SCH80 LD Flange'!$A$17,VLOOKUP($A65,'PVC SCH80 LD Flange'!$A$8:$M$16,6,FALSE),
IF($A65&lt;CPVC!$A$100,VLOOKUP($A65,CPVC!$A$8:$M$99,6,FALSE),
IF($A65&lt;InsertFittings!$A$237,VLOOKUP($A65,InsertFittings!$A$11:$M$236,6,FALSE),
IF($A65&lt;Valves!$A$132,VLOOKUP($A65,Valves!$A$8:$M$131,6,FALSE),
IF($A65&lt;SDR35SW!$A$124,VLOOKUP($A65,SDR35SW!$A$8:$M$123,6,FALSE),
IF($A65&lt;SDR35G!$A$143,VLOOKUP($A65, SDR35G!$A$8:$M$142,6,FALSE),
IF($A65&lt;SDR26G!$A$61,VLOOKUP($A65,SDR26G!$A$8:$N$60,6,FALSE),
IF($A65&lt;Cements!$A$100,VLOOKUP($A65,Cements!$A$8:$Q$99,6,FALSE),
IF($A65&lt;ValveBox!$A$143,VLOOKUP($A65,ValveBox!$A$10:$O$142,6,FALSE),
IF($A65&lt;'ValveBox Components'!$A$165,VLOOKUP($A65,'ValveBox Components'!$A$10:$O$164,6,FALSE),
IF($A65&lt;Drainage!$A$92,VLOOKUP($A65,Drainage!$A$8:$M$91,6,FALSE),
IF($A65&lt;Nipples!$A$82,VLOOKUP($A65,Nipples!$A$9:$Q$81,6,FALSE),
IF($A65&lt;Manifold!$A$33,VLOOKUP($A65,Manifold!$A$9:$M$32,6,FALSE),
IF($A65&lt;FlexibleRepairCouplings!$A$13,VLOOKUP($A65,FlexibleRepairCouplings!$A$10:$M$12,6,FALSE),
IF($A65&lt;DuraFix!$A$15,VLOOKUP($A65,DuraFix!$A$9:$M$14,6,FALSE),
IF($A65&lt;'Compression Fittings'!$A$16,VLOOKUP($A65,'Compression Fittings'!$A$8:$M$15,6,FALSE),
IF($A65&lt;'Hose Fittings'!$A$30,VLOOKUP($A65,'Hose Fittings'!$A$8:$M$29,6,FALSE),
IF($A65&lt;'Swing Joints'!$A$496,VLOOKUP($A65,'Swing Joints'!$A$9:$M$495,6,FALSE),
IF($A65&lt;'Swing Joints Components'!$A$135,VLOOKUP($A65,'Swing Joints Components'!$A$9:$M$134,6,FALSE),
IF($A65&lt;Nonstandard!$A$42,VLOOKUP($A65,Nonstandard!$A$31:$J$41,7,FALSE),"")))))))))))))))))))))))))))),"")</f>
        <v/>
      </c>
      <c r="E65" s="427"/>
      <c r="F65" s="418" t="str">
        <f>IFERROR(IF($A65&lt;'DWV PVC'!$A$285,VLOOKUP($A65,'DWV PVC'!$A$8:$M$284,9,FALSE),
IF($A65&lt;'DWV ABS'!$A$117,VLOOKUP($A65,'DWV ABS'!$A$8:$M$116,9,FALSE),
IF($A65&lt;'PVC SCH40'!$A$376,VLOOKUP($A65,'PVC SCH40'!$A$8:$M$375,9,FALSE),
IF($A65&lt;'PVC SCH40 LD'!$A$22,VLOOKUP($A65,'PVC SCH40 LD'!$A$8:$M$21,9,FALSE),
IF($A65&lt;'Pool &amp; SPA Sweep Elbows'!$A$12,VLOOKUP($A65,'Pool &amp; SPA Sweep Elbows'!$A$8:$M$11,9,FALSE),
IF($A65&lt;'Pool &amp; SPA Pipe Extender'!$A$11,VLOOKUP($A65,'Pool &amp; SPA Pipe Extender'!$A$8:$M$10,9,FALSE),
IF($A65&lt;'PVC SCH80'!$A$250,VLOOKUP($A65,'PVC SCH80'!$A$8:$M$249,9,FALSE),
IF($A65&lt;'PVC SCH80 Flange'!$A$49,VLOOKUP($A65,'PVC SCH80 Flange'!$A$8:$M$48,9,FALSE),
IF($A65&lt;'PVC SCH80 LD Flange'!$A$17,VLOOKUP($A65,'PVC SCH80 LD Flange'!$A$8:$M$16,9,FALSE),
IF($A65&lt;CPVC!$A$100,VLOOKUP($A65,CPVC!$A$8:$M$99,9,FALSE),
IF($A65&lt;InsertFittings!$A$237,VLOOKUP($A65,InsertFittings!$A$11:$M$236,9,FALSE),
IF($A65&lt;Valves!$A$132,VLOOKUP($A65,Valves!$A$8:$M$131,9,FALSE),
IF($A65&lt;SDR35SW!$A$124,VLOOKUP($A65,SDR35SW!$A$8:$M$123,9,FALSE),
IF($A65&lt;SDR35G!$A$143,VLOOKUP($A65, SDR35G!$A$8:$M$142,9,FALSE),
IF($A65&lt;SDR26G!$A$61,VLOOKUP($A65,SDR26G!$A$8:$N$60,10,FALSE),
IF($A65&lt;Cements!$A$100,VLOOKUP($A65,Cements!$A$8:$Q$99,13,FALSE),
IF($A65&lt;ValveBox!$A$143,VLOOKUP($A65,ValveBox!$A$10:$O$142,11,FALSE),
IF($A65&lt;'ValveBox Components'!$A$165,VLOOKUP($A65,'ValveBox Components'!$A$10:$O$164,11,FALSE),
IF($A65&lt;Drainage!$A$92,VLOOKUP($A65,Drainage!$A$8:$M$91,9,FALSE),
IF($A65&lt;Nipples!$A$82,VLOOKUP($A65,Nipples!$A$9:$Q$81,13,FALSE),
IF($A65&lt;Manifold!$A$33,VLOOKUP($A65,Manifold!$A$9:$M$32,9,FALSE),
IF($A65&lt;FlexibleRepairCouplings!$A$13,VLOOKUP($A65,FlexibleRepairCouplings!$A$10:$M$12,9,FALSE),
IF($A65&lt;DuraFix!$A$15,VLOOKUP($A65,DuraFix!$A$9:$M$14,9,FALSE),
IF($A65&lt;'Compression Fittings'!$A$16,VLOOKUP($A65,'Compression Fittings'!$A$8:$M$15,9,FALSE),
IF($A65&lt;'Hose Fittings'!$A$30,VLOOKUP($A65,'Hose Fittings'!$A$8:$M$29,9,FALSE),
IF($A65&lt;'Swing Joints'!$A$496,VLOOKUP($A65,'Swing Joints'!$A$9:$M$495,9,FALSE),
IF($A65&lt;'Swing Joints Components'!$A$135,VLOOKUP($A65,'Swing Joints Components'!$A$9:$M$134,9,FALSE),
IF($A65&lt;Nonstandard!$A$42,VLOOKUP($A65,Nonstandard!$A$31:$J$41,8,FALSE),"")))))))))))))))))))))))))))),"")</f>
        <v/>
      </c>
      <c r="G65" s="416" t="str">
        <f>IFERROR(IF($A65&lt;'DWV PVC'!$A$285,VLOOKUP($A65,'DWV PVC'!$A$8:$M$284,11,FALSE),
IF($A65&lt;'DWV ABS'!$A$117,VLOOKUP($A65,'DWV ABS'!$A$8:$M$116,11,FALSE),
IF($A65&lt;'PVC SCH40'!$A$376,VLOOKUP($A65,'PVC SCH40'!$A$8:$M$375,11,FALSE),
IF($A65&lt;'PVC SCH40 LD'!$A$22,VLOOKUP($A65,'PVC SCH40 LD'!$A$8:$M$21,11,FALSE),
IF($A65&lt;'Pool &amp; SPA Sweep Elbows'!$A$12,VLOOKUP($A65,'Pool &amp; SPA Sweep Elbows'!$A$8:$M$11,11,FALSE),
IF($A65&lt;'Pool &amp; SPA Pipe Extender'!$A$11,VLOOKUP($A65,'Pool &amp; SPA Pipe Extender'!$A$8:$M$10,11,FALSE),
IF($A65&lt;'PVC SCH80'!$A$250,VLOOKUP($A65,'PVC SCH80'!$A$8:$M$249,11,FALSE),
IF($A65&lt;'PVC SCH80 Flange'!$A$49,VLOOKUP($A65,'PVC SCH80 Flange'!$A$8:$M$48,11,FALSE),
IF($A65&lt;'PVC SCH80 LD Flange'!$A$17,VLOOKUP($A65,'PVC SCH80 LD Flange'!$A$8:$M$16,11,FALSE),
IF($A65&lt;CPVC!$A$100,VLOOKUP($A65,CPVC!$A$8:$M$99,11,FALSE),
IF($A65&lt;InsertFittings!$A$237,VLOOKUP($A65,InsertFittings!$A$11:$M$236,11,FALSE),
IF($A65&lt;Valves!$A$132,VLOOKUP($A65,Valves!$A$8:$M$131,11,FALSE),
IF($A65&lt;SDR35SW!$A$124,VLOOKUP($A65,SDR35SW!$A$8:$M$123,11,FALSE),
IF($A65&lt;SDR35G!$A$143,VLOOKUP($A65, SDR35G!$A$8:$M$142,11,FALSE),
IF($A65&lt;SDR26G!$A$61,VLOOKUP($A65,SDR26G!$A$8:$N$60,12,FALSE),
IF($A65&lt;Cements!$A$100,VLOOKUP($A65,Cements!$A$8:$Q$99,15,FALSE),
IF($A65&lt;ValveBox!$A$143,VLOOKUP($A65,ValveBox!$A$10:$O$142,13,FALSE),
IF($A65&lt;'ValveBox Components'!$A$165,VLOOKUP($A65,'ValveBox Components'!$A$10:$O$164,13,FALSE),
IF($A65&lt;Drainage!$A$92,VLOOKUP($A65,Drainage!$A$8:$M$91,11,FALSE),
IF($A65&lt;Nipples!$A$82,VLOOKUP($A65,Nipples!$A$9:$Q$81,15,FALSE),
IF($A65&lt;Manifold!$A$33,VLOOKUP($A65,Manifold!$A$9:$M$32,11,FALSE),
IF($A65&lt;FlexibleRepairCouplings!$A$13,VLOOKUP($A65,FlexibleRepairCouplings!$A$10:$M$12,11,FALSE),
IF($A65&lt;DuraFix!$A$15,VLOOKUP($A65,DuraFix!$A$9:$M$14,11,FALSE),
IF($A65&lt;'Compression Fittings'!$A$16,VLOOKUP($A65,'Compression Fittings'!$A$8:$M$15,11,FALSE),
IF($A65&lt;'Hose Fittings'!$A$30,VLOOKUP($A65,'Hose Fittings'!$A$8:$M$29,11,FALSE),
IF($A65&lt;'Swing Joints'!$A$496,VLOOKUP($A65,'Swing Joints'!$A$9:$M$495,11,FALSE),
IF($A65&lt;'Swing Joints Components'!$A$135,VLOOKUP($A65,'Swing Joints Components'!$A$9:$M$134,11,FALSE),
IF($A65&lt;Nonstandard!$A$42,VLOOKUP($A65,Nonstandard!$A$31:$J$41,3,FALSE),"")))))))))))))))))))))))))))),"")</f>
        <v/>
      </c>
      <c r="H65" s="586" t="str">
        <f>IFERROR(IF($A65&lt;'DWV PVC'!$A$285,VLOOKUP($A65,'DWV PVC'!$A$8:$M$284,7,FALSE),
IF($A65&lt;'DWV ABS'!$A$117,VLOOKUP($A65,'DWV ABS'!$A$8:$M$116,7,FALSE),
IF($A65&lt;'PVC SCH40'!$A$376,VLOOKUP($A65,'PVC SCH40'!$A$8:$M$375,7,FALSE),
IF($A65&lt;'PVC SCH40 LD'!$A$22,VLOOKUP($A65,'PVC SCH40 LD'!$A$8:$M$21,7,FALSE),
IF($A65&lt;'Pool &amp; SPA Sweep Elbows'!$A$12,VLOOKUP($A65,'Pool &amp; SPA Sweep Elbows'!$A$8:$M$11,7,FALSE),
IF($A65&lt;'Pool &amp; SPA Pipe Extender'!$A$11,VLOOKUP($A65,'Pool &amp; SPA Pipe Extender'!$A$8:$M$10,7,FALSE),
IF($A65&lt;'PVC SCH80'!$A$250,VLOOKUP($A65,'PVC SCH80'!$A$8:$M$249,7,FALSE),
IF($A65&lt;'PVC SCH80 Flange'!$A$49,VLOOKUP($A65,'PVC SCH80 Flange'!$A$8:$M$48,7,FALSE),
IF($A65&lt;'PVC SCH80 LD Flange'!$A$17,VLOOKUP($A65,'PVC SCH80 LD Flange'!$A$8:$M$16,7,FALSE),
IF($A65&lt;CPVC!$A$100,VLOOKUP($A65,CPVC!$A$8:$M$99,7,FALSE),
IF($A65&lt;InsertFittings!$A$237,VLOOKUP($A65,InsertFittings!$A$11:$M$236,7,FALSE),
IF($A65&lt;Valves!$A$132,VLOOKUP($A65,Valves!$A$8:$M$131,7,FALSE),
IF($A65&lt;SDR35SW!$A$124,VLOOKUP($A65,SDR35SW!$A$8:$M$123,7,FALSE),
IF($A65&lt;SDR35G!$A$143,VLOOKUP($A65, SDR35G!$A$8:$M$142,7,FALSE),
IF($A65&lt;SDR26G!$A$61,VLOOKUP($A65,SDR26G!$A$8:$N$60,10,FALSE),
IF($A65&lt;Cements!$A$100,VLOOKUP($A65,Cements!$A$8:$Q$99,13,FALSE),
IF($A65&lt;ValveBox!$A$143,VLOOKUP($A65,ValveBox!$A$10:$O$142,11,FALSE),
IF($A65&lt;'ValveBox Components'!$A$165,VLOOKUP($A65,'ValveBox Components'!$A$10:$O$164,11,FALSE),
IF($A65&lt;Drainage!$A$92,VLOOKUP($A65,Drainage!$A$8:$M$91,7,FALSE),
IF($A65&lt;Nipples!$A$82,VLOOKUP($A65,Nipples!$A$9:$Q$81,13,FALSE),
IF($A65&lt;Manifold!$A$33,VLOOKUP($A65,Manifold!$A$9:$M$32,7,FALSE),
IF($A65&lt;FlexibleRepairCouplings!$A$13,VLOOKUP($A65,FlexibleRepairCouplings!$A$10:$M$12,7,FALSE),
IF($A65&lt;DuraFix!$A$15,VLOOKUP($A65,DuraFix!$A$9:$M$14,7,FALSE),
IF($A65&lt;'Compression Fittings'!$A$16,VLOOKUP($A65,'Compression Fittings'!$A$8:$M$15,7,FALSE),
IF($A65&lt;'Hose Fittings'!$A$30,VLOOKUP($A65,'Hose Fittings'!$A$8:$M$29,7,FALSE),
IF($A65&lt;'Swing Joints'!$A$496,VLOOKUP($A65,'Swing Joints'!$A$9:$M$495,7,FALSE),
IF($A65&lt;'Swing Joints Components'!$A$135,VLOOKUP($A65,'Swing Joints Components'!$A$9:$M$134,7,FALSE),
IF($A65&lt;Nonstandard!$A$42,VLOOKUP($A65,Nonstandard!$A$31:$J$41,3,FALSE),"")))))))))))))))))))))))))))),"")</f>
        <v/>
      </c>
      <c r="I65" s="587"/>
      <c r="J65" s="383" t="str">
        <f t="shared" si="1"/>
        <v/>
      </c>
      <c r="K65" s="417" t="str">
        <f>IFERROR(IF($A65&lt;'DWV PVC'!$A$285,VLOOKUP($A65,'DWV PVC'!$A$8:$M$284,10,FALSE),
IF($A65&lt;'DWV ABS'!$A$117,VLOOKUP($A65,'DWV ABS'!$A$8:$M$116,10,FALSE),
IF($A65&lt;'PVC SCH40'!$A$376,VLOOKUP($A65,'PVC SCH40'!$A$8:$M$375,10,FALSE),
IF($A65&lt;'PVC SCH40 LD'!$A$22,VLOOKUP($A65,'PVC SCH40 LD'!$A$8:$M$21,10,FALSE),
IF($A65&lt;'Pool &amp; SPA Sweep Elbows'!$A$12,VLOOKUP($A65,'Pool &amp; SPA Sweep Elbows'!$A$8:$M$11,10,FALSE),
IF($A65&lt;'Pool &amp; SPA Pipe Extender'!$A$11,VLOOKUP($A65,'Pool &amp; SPA Pipe Extender'!$A$8:$M$10,10,FALSE),
IF($A65&lt;'PVC SCH80'!$A$250,VLOOKUP($A65,'PVC SCH80'!$A$8:$M$249,10,FALSE),
IF($A65&lt;'PVC SCH80 Flange'!$A$49,VLOOKUP($A65,'PVC SCH80 Flange'!$A$8:$M$48,10,FALSE),
IF($A65&lt;'PVC SCH80 LD Flange'!$A$17,VLOOKUP($A65,'PVC SCH80 LD Flange'!$A$8:$M$16,10,FALSE),
IF($A65&lt;CPVC!$A$100,VLOOKUP($A65,CPVC!$A$8:$M$99,10,FALSE),
IF($A65&lt;InsertFittings!$A$237,VLOOKUP($A65,InsertFittings!$A$11:$M$236,10,FALSE),
IF($A65&lt;Valves!$A$132,VLOOKUP($A65,Valves!$A$8:$M$131,10,FALSE),
IF($A65&lt;SDR35SW!$A$124,VLOOKUP($A65,SDR35SW!$A$8:$M$123,10,FALSE),
IF($A65&lt;SDR35G!$A$143,VLOOKUP($A65, SDR35G!$A$8:$M$142,10,FALSE),
IF($A65&lt;SDR26G!$A$61,VLOOKUP($A65,SDR26G!$A$8:$N$60,11,FALSE),
IF($A65&lt;Cements!$A$100,VLOOKUP($A65,Cements!$A$8:$Q$99,14,FALSE),
IF($A65&lt;ValveBox!$A$143,VLOOKUP($A65,ValveBox!$A$10:$O$142,12,FALSE),
IF($A65&lt;'ValveBox Components'!$A$165,VLOOKUP($A65,'ValveBox Components'!$A$10:$O$164,12,FALSE),
IF($A65&lt;Drainage!$A$92,VLOOKUP($A65,Drainage!$A$8:$M$91,10,FALSE),
IF($A65&lt;Nipples!$A$82,VLOOKUP($A65,Nipples!$A$9:$Q$81,14,FALSE),
IF($A65&lt;Manifold!$A$33,VLOOKUP($A65,Manifold!$A$9:$M$32,10,FALSE),
IF($A65&lt;FlexibleRepairCouplings!$A$13,VLOOKUP($A65,FlexibleRepairCouplings!$A$10:$M$12,10,FALSE),
IF($A65&lt;DuraFix!$A$15,VLOOKUP($A65,DuraFix!$A$9:$M$14,10,FALSE),
IF($A65&lt;'Compression Fittings'!$A$16,VLOOKUP($A65,'Compression Fittings'!$A$8:$M$15,10,FALSE),
IF($A65&lt;'Hose Fittings'!$A$30,VLOOKUP($A65,'Hose Fittings'!$A$8:$M$29,10,FALSE),
IF($A65&lt;'Swing Joints'!$A$496,VLOOKUP($A65,'Swing Joints'!$A$9:$M$495,10,FALSE),
IF($A65&lt;'Swing Joints Components'!$A$135,VLOOKUP($A65,'Swing Joints Components'!$A$9:$M$134,10,FALSE),
IF($A65&lt;Nonstandard!$A$42,VLOOKUP($A65,Nonstandard!$A$31:$J$41,10,FALSE),"")))))))))))))))))))))))))))),"")</f>
        <v/>
      </c>
      <c r="L65" s="418" t="str">
        <f t="shared" si="0"/>
        <v>-</v>
      </c>
      <c r="M65" s="419"/>
    </row>
    <row r="66" spans="1:13" ht="15.75">
      <c r="A66" s="420">
        <v>34</v>
      </c>
      <c r="B66" s="420" t="str">
        <f>IFERROR(IF($A66&lt;'DWV PVC'!$A$285,VLOOKUP($A66,'DWV PVC'!$A$8:$M$284,4,FALSE),
IF($A66&lt;'DWV ABS'!$A$117,VLOOKUP($A66,'DWV ABS'!$A$8:$M$116,4,FALSE),
IF($A66&lt;'PVC SCH40'!$A$376,VLOOKUP($A66,'PVC SCH40'!$A$8:$M$375,4,FALSE),
IF($A66&lt;'PVC SCH40 LD'!$A$22,VLOOKUP($A66,'PVC SCH40 LD'!$A$8:$M$21,4,FALSE),
IF($A66&lt;'Pool &amp; SPA Sweep Elbows'!$A$12,VLOOKUP($A66,'Pool &amp; SPA Sweep Elbows'!$A$8:$M$11,4,FALSE),
IF($A66&lt;'Pool &amp; SPA Pipe Extender'!$A$11,VLOOKUP($A66,'Pool &amp; SPA Pipe Extender'!$A$8:$M$10,4,FALSE),
IF($A66&lt;'PVC SCH80'!$A$250,VLOOKUP($A66,'PVC SCH80'!$A$8:$M$249,4,FALSE),
IF($A66&lt;'PVC SCH80 Flange'!$A$49,VLOOKUP($A66,'PVC SCH80 Flange'!$A$8:$M$48,4,FALSE),
IF($A66&lt;'PVC SCH80 LD Flange'!$A$17,VLOOKUP($A66,'PVC SCH80 LD Flange'!$A$8:$M$16,4,FALSE),
IF($A66&lt;CPVC!$A$100,VLOOKUP($A66,CPVC!$A$8:$M$99,4,FALSE),
IF($A66&lt;InsertFittings!$A$237,VLOOKUP($A66,InsertFittings!$A$11:$M$236,4,FALSE),
IF($A66&lt;Valves!$A$132,VLOOKUP($A66,Valves!$A$8:$M$131,4,FALSE),
IF($A66&lt;SDR35SW!$A$124,VLOOKUP($A66,SDR35SW!$A$8:$M$123,4,FALSE),
IF($A66&lt;SDR35G!$A$143,VLOOKUP($A66, SDR35G!$A$8:$M$142,4,FALSE),
IF($A66&lt;SDR26G!$A$61,VLOOKUP($A66,SDR26G!$A$8:$N$60,4,FALSE),
IF($A66&lt;Cements!$A$100,VLOOKUP($A66,Cements!$A$8:$Q$99,4,FALSE),
IF($A66&lt;ValveBox!$A$143,VLOOKUP($A66,ValveBox!$A$10:$O$142,4,FALSE),
IF($A66&lt;'ValveBox Components'!$A$165,VLOOKUP($A66,'ValveBox Components'!$A$10:$O$164,4,FALSE),
IF($A66&lt;Drainage!$A$92,VLOOKUP($A66,Drainage!$A$8:$M$91,4,FALSE),
IF($A66&lt;Nipples!$A$82,VLOOKUP($A66,Nipples!$A$9:$Q$81,4,FALSE),
IF($A66&lt;Manifold!$A$33,VLOOKUP($A66,Manifold!$A$9:$M$32,4,FALSE),
IF($A66&lt;FlexibleRepairCouplings!$A$13,VLOOKUP($A66,FlexibleRepairCouplings!$A$10:$M$12,4,FALSE),
IF($A66&lt;DuraFix!$A$15,VLOOKUP($A66,DuraFix!$A$9:$M$14,4,FALSE),
IF($A66&lt;'Compression Fittings'!$A$16,VLOOKUP($A66,'Compression Fittings'!$A$8:$M$15,4,FALSE),
IF($A66&lt;'Hose Fittings'!$A$30,VLOOKUP($A66,'Hose Fittings'!$A$8:$M$29,4,FALSE),
IF($A66&lt;'Swing Joints'!$A$496,VLOOKUP($A66,'Swing Joints'!$A$9:$M$495,4,FALSE),
IF($A66&lt;'Swing Joints Components'!$A$135,VLOOKUP($A66,'Swing Joints Components'!$A$9:$M$134,4,FALSE),
IF($A66&lt;Nonstandard!$A$42,VLOOKUP($A66,Nonstandard!$A$31:$J$41,5,FALSE),"")))))))))))))))))))))))))))),"")</f>
        <v/>
      </c>
      <c r="C66" s="420" t="str">
        <f>IFERROR(IF($A66&lt;'DWV PVC'!$A$285,VLOOKUP($A66,'DWV PVC'!$A$8:$M$284,5,FALSE),
IF($A66&lt;'DWV ABS'!$A$117,VLOOKUP($A66,'DWV ABS'!$A$8:$M$116,5,FALSE),
IF($A66&lt;'PVC SCH40'!$A$376,VLOOKUP($A66,'PVC SCH40'!$A$8:$M$375,5,FALSE),
IF($A66&lt;'PVC SCH40 LD'!$A$22,VLOOKUP($A66,'PVC SCH40 LD'!$A$8:$M$21,5,FALSE),
IF($A66&lt;'Pool &amp; SPA Sweep Elbows'!$A$12,VLOOKUP($A66,'Pool &amp; SPA Sweep Elbows'!$A$8:$M$11,5,FALSE),
IF($A66&lt;'Pool &amp; SPA Pipe Extender'!$A$11,VLOOKUP($A66,'Pool &amp; SPA Pipe Extender'!$A$8:$M$10,5,FALSE),
IF($A66&lt;'PVC SCH80'!$A$250,VLOOKUP($A66,'PVC SCH80'!$A$8:$M$249,5,FALSE),
IF($A66&lt;'PVC SCH80 Flange'!$A$49,VLOOKUP($A66,'PVC SCH80 Flange'!$A$8:$M$48,5,FALSE),
IF($A66&lt;'PVC SCH80 LD Flange'!$A$17,VLOOKUP($A66,'PVC SCH80 LD Flange'!$A$8:$M$16,5,FALSE),
IF($A66&lt;CPVC!$A$100,VLOOKUP($A66,CPVC!$A$8:$M$99,5,FALSE),
IF($A66&lt;InsertFittings!$A$237,VLOOKUP($A66,InsertFittings!$A$11:$M$236,5,FALSE),
IF($A66&lt;Valves!$A$132,VLOOKUP($A66,Valves!$A$8:$M$131,5,FALSE),
IF($A66&lt;SDR35SW!$A$124,VLOOKUP($A66,SDR35SW!$A$8:$M$123,5,FALSE),
IF($A66&lt;SDR35G!$A$143,VLOOKUP($A66, SDR35G!$A$8:$M$142,5,FALSE),
IF($A66&lt;SDR26G!$A$61,VLOOKUP($A66,SDR26G!$A$8:$N$60,5,FALSE),
IF($A66&lt;Cements!$A$100,VLOOKUP($A66,Cements!$A$8:$Q$99,5,FALSE),
IF($A66&lt;ValveBox!$A$143,VLOOKUP($A66,ValveBox!$A$10:$O$142,5,FALSE),
IF($A66&lt;'ValveBox Components'!$A$165,VLOOKUP($A66,'ValveBox Components'!$A$10:$O$164,5,FALSE),
IF($A66&lt;Drainage!$A$92,VLOOKUP($A66,Drainage!$A$8:$M$91,5,FALSE),
IF($A66&lt;Nipples!$A$82,VLOOKUP($A66,Nipples!$A$9:$Q$81,5,FALSE),
IF($A66&lt;Manifold!$A$33,VLOOKUP($A66,Manifold!$A$9:$M$32,5,FALSE),
IF($A66&lt;FlexibleRepairCouplings!$A$13,VLOOKUP($A66,FlexibleRepairCouplings!$A$10:$M$12,5,FALSE),
IF($A66&lt;DuraFix!$A$15,VLOOKUP($A66,DuraFix!$A$9:$M$14,5,FALSE),
IF($A66&lt;'Compression Fittings'!$A$16,VLOOKUP($A66,'Compression Fittings'!$A$8:$M$15,5,FALSE),
IF($A66&lt;'Hose Fittings'!$A$30,VLOOKUP($A66,'Hose Fittings'!$A$8:$M$29,5,FALSE),
IF($A66&lt;'Swing Joints'!$A$496,VLOOKUP($A66,'Swing Joints'!$A$9:$M$495,5,FALSE),
IF($A66&lt;'Swing Joints Components'!$A$135,VLOOKUP($A66,'Swing Joints Components'!$A$9:$M$134,5,FALSE),
IF($A66&lt;Nonstandard!$A$42,VLOOKUP($A66,Nonstandard!$A$31:$J$41,6,FALSE),"")))))))))))))))))))))))))))),"")</f>
        <v/>
      </c>
      <c r="D66" s="428" t="str">
        <f>IFERROR(IF($A66&lt;'DWV PVC'!$A$285,VLOOKUP($A66,'DWV PVC'!$A$8:$M$284,6,FALSE),
IF($A66&lt;'DWV ABS'!$A$117,VLOOKUP($A66,'DWV ABS'!$A$8:$M$116,6,FALSE),
IF($A66&lt;'PVC SCH40'!$A$376,VLOOKUP($A66,'PVC SCH40'!$A$8:$M$375,6,FALSE),
IF($A66&lt;'PVC SCH40 LD'!$A$22,VLOOKUP($A66,'PVC SCH40 LD'!$A$8:$M$21,6,FALSE),
IF($A66&lt;'Pool &amp; SPA Sweep Elbows'!$A$12,VLOOKUP($A66,'Pool &amp; SPA Sweep Elbows'!$A$8:$M$11,6,FALSE),
IF($A66&lt;'Pool &amp; SPA Pipe Extender'!$A$11,VLOOKUP($A66,'Pool &amp; SPA Pipe Extender'!$A$8:$M$10,6,FALSE),
IF($A66&lt;'PVC SCH80'!$A$250,VLOOKUP($A66,'PVC SCH80'!$A$8:$M$249,6,FALSE),
IF($A66&lt;'PVC SCH80 Flange'!$A$49,VLOOKUP($A66,'PVC SCH80 Flange'!$A$8:$M$48,6,FALSE),
IF($A66&lt;'PVC SCH80 LD Flange'!$A$17,VLOOKUP($A66,'PVC SCH80 LD Flange'!$A$8:$M$16,6,FALSE),
IF($A66&lt;CPVC!$A$100,VLOOKUP($A66,CPVC!$A$8:$M$99,6,FALSE),
IF($A66&lt;InsertFittings!$A$237,VLOOKUP($A66,InsertFittings!$A$11:$M$236,6,FALSE),
IF($A66&lt;Valves!$A$132,VLOOKUP($A66,Valves!$A$8:$M$131,6,FALSE),
IF($A66&lt;SDR35SW!$A$124,VLOOKUP($A66,SDR35SW!$A$8:$M$123,6,FALSE),
IF($A66&lt;SDR35G!$A$143,VLOOKUP($A66, SDR35G!$A$8:$M$142,6,FALSE),
IF($A66&lt;SDR26G!$A$61,VLOOKUP($A66,SDR26G!$A$8:$N$60,6,FALSE),
IF($A66&lt;Cements!$A$100,VLOOKUP($A66,Cements!$A$8:$Q$99,6,FALSE),
IF($A66&lt;ValveBox!$A$143,VLOOKUP($A66,ValveBox!$A$10:$O$142,6,FALSE),
IF($A66&lt;'ValveBox Components'!$A$165,VLOOKUP($A66,'ValveBox Components'!$A$10:$O$164,6,FALSE),
IF($A66&lt;Drainage!$A$92,VLOOKUP($A66,Drainage!$A$8:$M$91,6,FALSE),
IF($A66&lt;Nipples!$A$82,VLOOKUP($A66,Nipples!$A$9:$Q$81,6,FALSE),
IF($A66&lt;Manifold!$A$33,VLOOKUP($A66,Manifold!$A$9:$M$32,6,FALSE),
IF($A66&lt;FlexibleRepairCouplings!$A$13,VLOOKUP($A66,FlexibleRepairCouplings!$A$10:$M$12,6,FALSE),
IF($A66&lt;DuraFix!$A$15,VLOOKUP($A66,DuraFix!$A$9:$M$14,6,FALSE),
IF($A66&lt;'Compression Fittings'!$A$16,VLOOKUP($A66,'Compression Fittings'!$A$8:$M$15,6,FALSE),
IF($A66&lt;'Hose Fittings'!$A$30,VLOOKUP($A66,'Hose Fittings'!$A$8:$M$29,6,FALSE),
IF($A66&lt;'Swing Joints'!$A$496,VLOOKUP($A66,'Swing Joints'!$A$9:$M$495,6,FALSE),
IF($A66&lt;'Swing Joints Components'!$A$135,VLOOKUP($A66,'Swing Joints Components'!$A$9:$M$134,6,FALSE),
IF($A66&lt;Nonstandard!$A$42,VLOOKUP($A66,Nonstandard!$A$31:$J$41,7,FALSE),"")))))))))))))))))))))))))))),"")</f>
        <v/>
      </c>
      <c r="E66" s="429"/>
      <c r="F66" s="421" t="str">
        <f>IFERROR(IF($A66&lt;'DWV PVC'!$A$285,VLOOKUP($A66,'DWV PVC'!$A$8:$M$284,9,FALSE),
IF($A66&lt;'DWV ABS'!$A$117,VLOOKUP($A66,'DWV ABS'!$A$8:$M$116,9,FALSE),
IF($A66&lt;'PVC SCH40'!$A$376,VLOOKUP($A66,'PVC SCH40'!$A$8:$M$375,9,FALSE),
IF($A66&lt;'PVC SCH40 LD'!$A$22,VLOOKUP($A66,'PVC SCH40 LD'!$A$8:$M$21,9,FALSE),
IF($A66&lt;'Pool &amp; SPA Sweep Elbows'!$A$12,VLOOKUP($A66,'Pool &amp; SPA Sweep Elbows'!$A$8:$M$11,9,FALSE),
IF($A66&lt;'Pool &amp; SPA Pipe Extender'!$A$11,VLOOKUP($A66,'Pool &amp; SPA Pipe Extender'!$A$8:$M$10,9,FALSE),
IF($A66&lt;'PVC SCH80'!$A$250,VLOOKUP($A66,'PVC SCH80'!$A$8:$M$249,9,FALSE),
IF($A66&lt;'PVC SCH80 Flange'!$A$49,VLOOKUP($A66,'PVC SCH80 Flange'!$A$8:$M$48,9,FALSE),
IF($A66&lt;'PVC SCH80 LD Flange'!$A$17,VLOOKUP($A66,'PVC SCH80 LD Flange'!$A$8:$M$16,9,FALSE),
IF($A66&lt;CPVC!$A$100,VLOOKUP($A66,CPVC!$A$8:$M$99,9,FALSE),
IF($A66&lt;InsertFittings!$A$237,VLOOKUP($A66,InsertFittings!$A$11:$M$236,9,FALSE),
IF($A66&lt;Valves!$A$132,VLOOKUP($A66,Valves!$A$8:$M$131,9,FALSE),
IF($A66&lt;SDR35SW!$A$124,VLOOKUP($A66,SDR35SW!$A$8:$M$123,9,FALSE),
IF($A66&lt;SDR35G!$A$143,VLOOKUP($A66, SDR35G!$A$8:$M$142,9,FALSE),
IF($A66&lt;SDR26G!$A$61,VLOOKUP($A66,SDR26G!$A$8:$N$60,10,FALSE),
IF($A66&lt;Cements!$A$100,VLOOKUP($A66,Cements!$A$8:$Q$99,13,FALSE),
IF($A66&lt;ValveBox!$A$143,VLOOKUP($A66,ValveBox!$A$10:$O$142,11,FALSE),
IF($A66&lt;'ValveBox Components'!$A$165,VLOOKUP($A66,'ValveBox Components'!$A$10:$O$164,11,FALSE),
IF($A66&lt;Drainage!$A$92,VLOOKUP($A66,Drainage!$A$8:$M$91,9,FALSE),
IF($A66&lt;Nipples!$A$82,VLOOKUP($A66,Nipples!$A$9:$Q$81,13,FALSE),
IF($A66&lt;Manifold!$A$33,VLOOKUP($A66,Manifold!$A$9:$M$32,9,FALSE),
IF($A66&lt;FlexibleRepairCouplings!$A$13,VLOOKUP($A66,FlexibleRepairCouplings!$A$10:$M$12,9,FALSE),
IF($A66&lt;DuraFix!$A$15,VLOOKUP($A66,DuraFix!$A$9:$M$14,9,FALSE),
IF($A66&lt;'Compression Fittings'!$A$16,VLOOKUP($A66,'Compression Fittings'!$A$8:$M$15,9,FALSE),
IF($A66&lt;'Hose Fittings'!$A$30,VLOOKUP($A66,'Hose Fittings'!$A$8:$M$29,9,FALSE),
IF($A66&lt;'Swing Joints'!$A$496,VLOOKUP($A66,'Swing Joints'!$A$9:$M$495,9,FALSE),
IF($A66&lt;'Swing Joints Components'!$A$135,VLOOKUP($A66,'Swing Joints Components'!$A$9:$M$134,9,FALSE),
IF($A66&lt;Nonstandard!$A$42,VLOOKUP($A66,Nonstandard!$A$31:$J$41,8,FALSE),"")))))))))))))))))))))))))))),"")</f>
        <v/>
      </c>
      <c r="G66" s="422" t="str">
        <f>IFERROR(IF($A66&lt;'DWV PVC'!$A$285,VLOOKUP($A66,'DWV PVC'!$A$8:$M$284,11,FALSE),
IF($A66&lt;'DWV ABS'!$A$117,VLOOKUP($A66,'DWV ABS'!$A$8:$M$116,11,FALSE),
IF($A66&lt;'PVC SCH40'!$A$376,VLOOKUP($A66,'PVC SCH40'!$A$8:$M$375,11,FALSE),
IF($A66&lt;'PVC SCH40 LD'!$A$22,VLOOKUP($A66,'PVC SCH40 LD'!$A$8:$M$21,11,FALSE),
IF($A66&lt;'Pool &amp; SPA Sweep Elbows'!$A$12,VLOOKUP($A66,'Pool &amp; SPA Sweep Elbows'!$A$8:$M$11,11,FALSE),
IF($A66&lt;'Pool &amp; SPA Pipe Extender'!$A$11,VLOOKUP($A66,'Pool &amp; SPA Pipe Extender'!$A$8:$M$10,11,FALSE),
IF($A66&lt;'PVC SCH80'!$A$250,VLOOKUP($A66,'PVC SCH80'!$A$8:$M$249,11,FALSE),
IF($A66&lt;'PVC SCH80 Flange'!$A$49,VLOOKUP($A66,'PVC SCH80 Flange'!$A$8:$M$48,11,FALSE),
IF($A66&lt;'PVC SCH80 LD Flange'!$A$17,VLOOKUP($A66,'PVC SCH80 LD Flange'!$A$8:$M$16,11,FALSE),
IF($A66&lt;CPVC!$A$100,VLOOKUP($A66,CPVC!$A$8:$M$99,11,FALSE),
IF($A66&lt;InsertFittings!$A$237,VLOOKUP($A66,InsertFittings!$A$11:$M$236,11,FALSE),
IF($A66&lt;Valves!$A$132,VLOOKUP($A66,Valves!$A$8:$M$131,11,FALSE),
IF($A66&lt;SDR35SW!$A$124,VLOOKUP($A66,SDR35SW!$A$8:$M$123,11,FALSE),
IF($A66&lt;SDR35G!$A$143,VLOOKUP($A66, SDR35G!$A$8:$M$142,11,FALSE),
IF($A66&lt;SDR26G!$A$61,VLOOKUP($A66,SDR26G!$A$8:$N$60,12,FALSE),
IF($A66&lt;Cements!$A$100,VLOOKUP($A66,Cements!$A$8:$Q$99,15,FALSE),
IF($A66&lt;ValveBox!$A$143,VLOOKUP($A66,ValveBox!$A$10:$O$142,13,FALSE),
IF($A66&lt;'ValveBox Components'!$A$165,VLOOKUP($A66,'ValveBox Components'!$A$10:$O$164,13,FALSE),
IF($A66&lt;Drainage!$A$92,VLOOKUP($A66,Drainage!$A$8:$M$91,11,FALSE),
IF($A66&lt;Nipples!$A$82,VLOOKUP($A66,Nipples!$A$9:$Q$81,15,FALSE),
IF($A66&lt;Manifold!$A$33,VLOOKUP($A66,Manifold!$A$9:$M$32,11,FALSE),
IF($A66&lt;FlexibleRepairCouplings!$A$13,VLOOKUP($A66,FlexibleRepairCouplings!$A$10:$M$12,11,FALSE),
IF($A66&lt;DuraFix!$A$15,VLOOKUP($A66,DuraFix!$A$9:$M$14,11,FALSE),
IF($A66&lt;'Compression Fittings'!$A$16,VLOOKUP($A66,'Compression Fittings'!$A$8:$M$15,11,FALSE),
IF($A66&lt;'Hose Fittings'!$A$30,VLOOKUP($A66,'Hose Fittings'!$A$8:$M$29,11,FALSE),
IF($A66&lt;'Swing Joints'!$A$496,VLOOKUP($A66,'Swing Joints'!$A$9:$M$495,11,FALSE),
IF($A66&lt;'Swing Joints Components'!$A$135,VLOOKUP($A66,'Swing Joints Components'!$A$9:$M$134,11,FALSE),
IF($A66&lt;Nonstandard!$A$42,VLOOKUP($A66,Nonstandard!$A$31:$J$41,3,FALSE),"")))))))))))))))))))))))))))),"")</f>
        <v/>
      </c>
      <c r="H66" s="588" t="str">
        <f>IFERROR(IF($A66&lt;'DWV PVC'!$A$285,VLOOKUP($A66,'DWV PVC'!$A$8:$M$284,7,FALSE),
IF($A66&lt;'DWV ABS'!$A$117,VLOOKUP($A66,'DWV ABS'!$A$8:$M$116,7,FALSE),
IF($A66&lt;'PVC SCH40'!$A$376,VLOOKUP($A66,'PVC SCH40'!$A$8:$M$375,7,FALSE),
IF($A66&lt;'PVC SCH40 LD'!$A$22,VLOOKUP($A66,'PVC SCH40 LD'!$A$8:$M$21,7,FALSE),
IF($A66&lt;'Pool &amp; SPA Sweep Elbows'!$A$12,VLOOKUP($A66,'Pool &amp; SPA Sweep Elbows'!$A$8:$M$11,7,FALSE),
IF($A66&lt;'Pool &amp; SPA Pipe Extender'!$A$11,VLOOKUP($A66,'Pool &amp; SPA Pipe Extender'!$A$8:$M$10,7,FALSE),
IF($A66&lt;'PVC SCH80'!$A$250,VLOOKUP($A66,'PVC SCH80'!$A$8:$M$249,7,FALSE),
IF($A66&lt;'PVC SCH80 Flange'!$A$49,VLOOKUP($A66,'PVC SCH80 Flange'!$A$8:$M$48,7,FALSE),
IF($A66&lt;'PVC SCH80 LD Flange'!$A$17,VLOOKUP($A66,'PVC SCH80 LD Flange'!$A$8:$M$16,7,FALSE),
IF($A66&lt;CPVC!$A$100,VLOOKUP($A66,CPVC!$A$8:$M$99,7,FALSE),
IF($A66&lt;InsertFittings!$A$237,VLOOKUP($A66,InsertFittings!$A$11:$M$236,7,FALSE),
IF($A66&lt;Valves!$A$132,VLOOKUP($A66,Valves!$A$8:$M$131,7,FALSE),
IF($A66&lt;SDR35SW!$A$124,VLOOKUP($A66,SDR35SW!$A$8:$M$123,7,FALSE),
IF($A66&lt;SDR35G!$A$143,VLOOKUP($A66, SDR35G!$A$8:$M$142,7,FALSE),
IF($A66&lt;SDR26G!$A$61,VLOOKUP($A66,SDR26G!$A$8:$N$60,10,FALSE),
IF($A66&lt;Cements!$A$100,VLOOKUP($A66,Cements!$A$8:$Q$99,13,FALSE),
IF($A66&lt;ValveBox!$A$143,VLOOKUP($A66,ValveBox!$A$10:$O$142,11,FALSE),
IF($A66&lt;'ValveBox Components'!$A$165,VLOOKUP($A66,'ValveBox Components'!$A$10:$O$164,11,FALSE),
IF($A66&lt;Drainage!$A$92,VLOOKUP($A66,Drainage!$A$8:$M$91,7,FALSE),
IF($A66&lt;Nipples!$A$82,VLOOKUP($A66,Nipples!$A$9:$Q$81,13,FALSE),
IF($A66&lt;Manifold!$A$33,VLOOKUP($A66,Manifold!$A$9:$M$32,7,FALSE),
IF($A66&lt;FlexibleRepairCouplings!$A$13,VLOOKUP($A66,FlexibleRepairCouplings!$A$10:$M$12,7,FALSE),
IF($A66&lt;DuraFix!$A$15,VLOOKUP($A66,DuraFix!$A$9:$M$14,7,FALSE),
IF($A66&lt;'Compression Fittings'!$A$16,VLOOKUP($A66,'Compression Fittings'!$A$8:$M$15,7,FALSE),
IF($A66&lt;'Hose Fittings'!$A$30,VLOOKUP($A66,'Hose Fittings'!$A$8:$M$29,7,FALSE),
IF($A66&lt;'Swing Joints'!$A$496,VLOOKUP($A66,'Swing Joints'!$A$9:$M$495,7,FALSE),
IF($A66&lt;'Swing Joints Components'!$A$135,VLOOKUP($A66,'Swing Joints Components'!$A$9:$M$134,7,FALSE),
IF($A66&lt;Nonstandard!$A$42,VLOOKUP($A66,Nonstandard!$A$31:$J$41,3,FALSE),"")))))))))))))))))))))))))))),"")</f>
        <v/>
      </c>
      <c r="I66" s="589"/>
      <c r="J66" s="423" t="str">
        <f t="shared" si="1"/>
        <v/>
      </c>
      <c r="K66" s="424" t="str">
        <f>IFERROR(IF($A66&lt;'DWV PVC'!$A$285,VLOOKUP($A66,'DWV PVC'!$A$8:$M$284,10,FALSE),
IF($A66&lt;'DWV ABS'!$A$117,VLOOKUP($A66,'DWV ABS'!$A$8:$M$116,10,FALSE),
IF($A66&lt;'PVC SCH40'!$A$376,VLOOKUP($A66,'PVC SCH40'!$A$8:$M$375,10,FALSE),
IF($A66&lt;'PVC SCH40 LD'!$A$22,VLOOKUP($A66,'PVC SCH40 LD'!$A$8:$M$21,10,FALSE),
IF($A66&lt;'Pool &amp; SPA Sweep Elbows'!$A$12,VLOOKUP($A66,'Pool &amp; SPA Sweep Elbows'!$A$8:$M$11,10,FALSE),
IF($A66&lt;'Pool &amp; SPA Pipe Extender'!$A$11,VLOOKUP($A66,'Pool &amp; SPA Pipe Extender'!$A$8:$M$10,10,FALSE),
IF($A66&lt;'PVC SCH80'!$A$250,VLOOKUP($A66,'PVC SCH80'!$A$8:$M$249,10,FALSE),
IF($A66&lt;'PVC SCH80 Flange'!$A$49,VLOOKUP($A66,'PVC SCH80 Flange'!$A$8:$M$48,10,FALSE),
IF($A66&lt;'PVC SCH80 LD Flange'!$A$17,VLOOKUP($A66,'PVC SCH80 LD Flange'!$A$8:$M$16,10,FALSE),
IF($A66&lt;CPVC!$A$100,VLOOKUP($A66,CPVC!$A$8:$M$99,10,FALSE),
IF($A66&lt;InsertFittings!$A$237,VLOOKUP($A66,InsertFittings!$A$11:$M$236,10,FALSE),
IF($A66&lt;Valves!$A$132,VLOOKUP($A66,Valves!$A$8:$M$131,10,FALSE),
IF($A66&lt;SDR35SW!$A$124,VLOOKUP($A66,SDR35SW!$A$8:$M$123,10,FALSE),
IF($A66&lt;SDR35G!$A$143,VLOOKUP($A66, SDR35G!$A$8:$M$142,10,FALSE),
IF($A66&lt;SDR26G!$A$61,VLOOKUP($A66,SDR26G!$A$8:$N$60,11,FALSE),
IF($A66&lt;Cements!$A$100,VLOOKUP($A66,Cements!$A$8:$Q$99,14,FALSE),
IF($A66&lt;ValveBox!$A$143,VLOOKUP($A66,ValveBox!$A$10:$O$142,12,FALSE),
IF($A66&lt;'ValveBox Components'!$A$165,VLOOKUP($A66,'ValveBox Components'!$A$10:$O$164,12,FALSE),
IF($A66&lt;Drainage!$A$92,VLOOKUP($A66,Drainage!$A$8:$M$91,10,FALSE),
IF($A66&lt;Nipples!$A$82,VLOOKUP($A66,Nipples!$A$9:$Q$81,14,FALSE),
IF($A66&lt;Manifold!$A$33,VLOOKUP($A66,Manifold!$A$9:$M$32,10,FALSE),
IF($A66&lt;FlexibleRepairCouplings!$A$13,VLOOKUP($A66,FlexibleRepairCouplings!$A$10:$M$12,10,FALSE),
IF($A66&lt;DuraFix!$A$15,VLOOKUP($A66,DuraFix!$A$9:$M$14,10,FALSE),
IF($A66&lt;'Compression Fittings'!$A$16,VLOOKUP($A66,'Compression Fittings'!$A$8:$M$15,10,FALSE),
IF($A66&lt;'Hose Fittings'!$A$30,VLOOKUP($A66,'Hose Fittings'!$A$8:$M$29,10,FALSE),
IF($A66&lt;'Swing Joints'!$A$496,VLOOKUP($A66,'Swing Joints'!$A$9:$M$495,10,FALSE),
IF($A66&lt;'Swing Joints Components'!$A$135,VLOOKUP($A66,'Swing Joints Components'!$A$9:$M$134,10,FALSE),
IF($A66&lt;Nonstandard!$A$42,VLOOKUP($A66,Nonstandard!$A$31:$J$41,10,FALSE),"")))))))))))))))))))))))))))),"")</f>
        <v/>
      </c>
      <c r="L66" s="421" t="str">
        <f t="shared" si="0"/>
        <v>-</v>
      </c>
      <c r="M66" s="425"/>
    </row>
    <row r="67" spans="1:13" ht="15.75">
      <c r="A67" s="415">
        <v>35</v>
      </c>
      <c r="B67" s="415" t="str">
        <f>IFERROR(IF($A67&lt;'DWV PVC'!$A$285,VLOOKUP($A67,'DWV PVC'!$A$8:$M$284,4,FALSE),
IF($A67&lt;'DWV ABS'!$A$117,VLOOKUP($A67,'DWV ABS'!$A$8:$M$116,4,FALSE),
IF($A67&lt;'PVC SCH40'!$A$376,VLOOKUP($A67,'PVC SCH40'!$A$8:$M$375,4,FALSE),
IF($A67&lt;'PVC SCH40 LD'!$A$22,VLOOKUP($A67,'PVC SCH40 LD'!$A$8:$M$21,4,FALSE),
IF($A67&lt;'Pool &amp; SPA Sweep Elbows'!$A$12,VLOOKUP($A67,'Pool &amp; SPA Sweep Elbows'!$A$8:$M$11,4,FALSE),
IF($A67&lt;'Pool &amp; SPA Pipe Extender'!$A$11,VLOOKUP($A67,'Pool &amp; SPA Pipe Extender'!$A$8:$M$10,4,FALSE),
IF($A67&lt;'PVC SCH80'!$A$250,VLOOKUP($A67,'PVC SCH80'!$A$8:$M$249,4,FALSE),
IF($A67&lt;'PVC SCH80 Flange'!$A$49,VLOOKUP($A67,'PVC SCH80 Flange'!$A$8:$M$48,4,FALSE),
IF($A67&lt;'PVC SCH80 LD Flange'!$A$17,VLOOKUP($A67,'PVC SCH80 LD Flange'!$A$8:$M$16,4,FALSE),
IF($A67&lt;CPVC!$A$100,VLOOKUP($A67,CPVC!$A$8:$M$99,4,FALSE),
IF($A67&lt;InsertFittings!$A$237,VLOOKUP($A67,InsertFittings!$A$11:$M$236,4,FALSE),
IF($A67&lt;Valves!$A$132,VLOOKUP($A67,Valves!$A$8:$M$131,4,FALSE),
IF($A67&lt;SDR35SW!$A$124,VLOOKUP($A67,SDR35SW!$A$8:$M$123,4,FALSE),
IF($A67&lt;SDR35G!$A$143,VLOOKUP($A67, SDR35G!$A$8:$M$142,4,FALSE),
IF($A67&lt;SDR26G!$A$61,VLOOKUP($A67,SDR26G!$A$8:$N$60,4,FALSE),
IF($A67&lt;Cements!$A$100,VLOOKUP($A67,Cements!$A$8:$Q$99,4,FALSE),
IF($A67&lt;ValveBox!$A$143,VLOOKUP($A67,ValveBox!$A$10:$O$142,4,FALSE),
IF($A67&lt;'ValveBox Components'!$A$165,VLOOKUP($A67,'ValveBox Components'!$A$10:$O$164,4,FALSE),
IF($A67&lt;Drainage!$A$92,VLOOKUP($A67,Drainage!$A$8:$M$91,4,FALSE),
IF($A67&lt;Nipples!$A$82,VLOOKUP($A67,Nipples!$A$9:$Q$81,4,FALSE),
IF($A67&lt;Manifold!$A$33,VLOOKUP($A67,Manifold!$A$9:$M$32,4,FALSE),
IF($A67&lt;FlexibleRepairCouplings!$A$13,VLOOKUP($A67,FlexibleRepairCouplings!$A$10:$M$12,4,FALSE),
IF($A67&lt;DuraFix!$A$15,VLOOKUP($A67,DuraFix!$A$9:$M$14,4,FALSE),
IF($A67&lt;'Compression Fittings'!$A$16,VLOOKUP($A67,'Compression Fittings'!$A$8:$M$15,4,FALSE),
IF($A67&lt;'Hose Fittings'!$A$30,VLOOKUP($A67,'Hose Fittings'!$A$8:$M$29,4,FALSE),
IF($A67&lt;'Swing Joints'!$A$496,VLOOKUP($A67,'Swing Joints'!$A$9:$M$495,4,FALSE),
IF($A67&lt;'Swing Joints Components'!$A$135,VLOOKUP($A67,'Swing Joints Components'!$A$9:$M$134,4,FALSE),
IF($A67&lt;Nonstandard!$A$42,VLOOKUP($A67,Nonstandard!$A$31:$J$41,5,FALSE),"")))))))))))))))))))))))))))),"")</f>
        <v/>
      </c>
      <c r="C67" s="415" t="str">
        <f>IFERROR(IF($A67&lt;'DWV PVC'!$A$285,VLOOKUP($A67,'DWV PVC'!$A$8:$M$284,5,FALSE),
IF($A67&lt;'DWV ABS'!$A$117,VLOOKUP($A67,'DWV ABS'!$A$8:$M$116,5,FALSE),
IF($A67&lt;'PVC SCH40'!$A$376,VLOOKUP($A67,'PVC SCH40'!$A$8:$M$375,5,FALSE),
IF($A67&lt;'PVC SCH40 LD'!$A$22,VLOOKUP($A67,'PVC SCH40 LD'!$A$8:$M$21,5,FALSE),
IF($A67&lt;'Pool &amp; SPA Sweep Elbows'!$A$12,VLOOKUP($A67,'Pool &amp; SPA Sweep Elbows'!$A$8:$M$11,5,FALSE),
IF($A67&lt;'Pool &amp; SPA Pipe Extender'!$A$11,VLOOKUP($A67,'Pool &amp; SPA Pipe Extender'!$A$8:$M$10,5,FALSE),
IF($A67&lt;'PVC SCH80'!$A$250,VLOOKUP($A67,'PVC SCH80'!$A$8:$M$249,5,FALSE),
IF($A67&lt;'PVC SCH80 Flange'!$A$49,VLOOKUP($A67,'PVC SCH80 Flange'!$A$8:$M$48,5,FALSE),
IF($A67&lt;'PVC SCH80 LD Flange'!$A$17,VLOOKUP($A67,'PVC SCH80 LD Flange'!$A$8:$M$16,5,FALSE),
IF($A67&lt;CPVC!$A$100,VLOOKUP($A67,CPVC!$A$8:$M$99,5,FALSE),
IF($A67&lt;InsertFittings!$A$237,VLOOKUP($A67,InsertFittings!$A$11:$M$236,5,FALSE),
IF($A67&lt;Valves!$A$132,VLOOKUP($A67,Valves!$A$8:$M$131,5,FALSE),
IF($A67&lt;SDR35SW!$A$124,VLOOKUP($A67,SDR35SW!$A$8:$M$123,5,FALSE),
IF($A67&lt;SDR35G!$A$143,VLOOKUP($A67, SDR35G!$A$8:$M$142,5,FALSE),
IF($A67&lt;SDR26G!$A$61,VLOOKUP($A67,SDR26G!$A$8:$N$60,5,FALSE),
IF($A67&lt;Cements!$A$100,VLOOKUP($A67,Cements!$A$8:$Q$99,5,FALSE),
IF($A67&lt;ValveBox!$A$143,VLOOKUP($A67,ValveBox!$A$10:$O$142,5,FALSE),
IF($A67&lt;'ValveBox Components'!$A$165,VLOOKUP($A67,'ValveBox Components'!$A$10:$O$164,5,FALSE),
IF($A67&lt;Drainage!$A$92,VLOOKUP($A67,Drainage!$A$8:$M$91,5,FALSE),
IF($A67&lt;Nipples!$A$82,VLOOKUP($A67,Nipples!$A$9:$Q$81,5,FALSE),
IF($A67&lt;Manifold!$A$33,VLOOKUP($A67,Manifold!$A$9:$M$32,5,FALSE),
IF($A67&lt;FlexibleRepairCouplings!$A$13,VLOOKUP($A67,FlexibleRepairCouplings!$A$10:$M$12,5,FALSE),
IF($A67&lt;DuraFix!$A$15,VLOOKUP($A67,DuraFix!$A$9:$M$14,5,FALSE),
IF($A67&lt;'Compression Fittings'!$A$16,VLOOKUP($A67,'Compression Fittings'!$A$8:$M$15,5,FALSE),
IF($A67&lt;'Hose Fittings'!$A$30,VLOOKUP($A67,'Hose Fittings'!$A$8:$M$29,5,FALSE),
IF($A67&lt;'Swing Joints'!$A$496,VLOOKUP($A67,'Swing Joints'!$A$9:$M$495,5,FALSE),
IF($A67&lt;'Swing Joints Components'!$A$135,VLOOKUP($A67,'Swing Joints Components'!$A$9:$M$134,5,FALSE),
IF($A67&lt;Nonstandard!$A$42,VLOOKUP($A67,Nonstandard!$A$31:$J$41,6,FALSE),"")))))))))))))))))))))))))))),"")</f>
        <v/>
      </c>
      <c r="D67" s="426" t="str">
        <f>IFERROR(IF($A67&lt;'DWV PVC'!$A$285,VLOOKUP($A67,'DWV PVC'!$A$8:$M$284,6,FALSE),
IF($A67&lt;'DWV ABS'!$A$117,VLOOKUP($A67,'DWV ABS'!$A$8:$M$116,6,FALSE),
IF($A67&lt;'PVC SCH40'!$A$376,VLOOKUP($A67,'PVC SCH40'!$A$8:$M$375,6,FALSE),
IF($A67&lt;'PVC SCH40 LD'!$A$22,VLOOKUP($A67,'PVC SCH40 LD'!$A$8:$M$21,6,FALSE),
IF($A67&lt;'Pool &amp; SPA Sweep Elbows'!$A$12,VLOOKUP($A67,'Pool &amp; SPA Sweep Elbows'!$A$8:$M$11,6,FALSE),
IF($A67&lt;'Pool &amp; SPA Pipe Extender'!$A$11,VLOOKUP($A67,'Pool &amp; SPA Pipe Extender'!$A$8:$M$10,6,FALSE),
IF($A67&lt;'PVC SCH80'!$A$250,VLOOKUP($A67,'PVC SCH80'!$A$8:$M$249,6,FALSE),
IF($A67&lt;'PVC SCH80 Flange'!$A$49,VLOOKUP($A67,'PVC SCH80 Flange'!$A$8:$M$48,6,FALSE),
IF($A67&lt;'PVC SCH80 LD Flange'!$A$17,VLOOKUP($A67,'PVC SCH80 LD Flange'!$A$8:$M$16,6,FALSE),
IF($A67&lt;CPVC!$A$100,VLOOKUP($A67,CPVC!$A$8:$M$99,6,FALSE),
IF($A67&lt;InsertFittings!$A$237,VLOOKUP($A67,InsertFittings!$A$11:$M$236,6,FALSE),
IF($A67&lt;Valves!$A$132,VLOOKUP($A67,Valves!$A$8:$M$131,6,FALSE),
IF($A67&lt;SDR35SW!$A$124,VLOOKUP($A67,SDR35SW!$A$8:$M$123,6,FALSE),
IF($A67&lt;SDR35G!$A$143,VLOOKUP($A67, SDR35G!$A$8:$M$142,6,FALSE),
IF($A67&lt;SDR26G!$A$61,VLOOKUP($A67,SDR26G!$A$8:$N$60,6,FALSE),
IF($A67&lt;Cements!$A$100,VLOOKUP($A67,Cements!$A$8:$Q$99,6,FALSE),
IF($A67&lt;ValveBox!$A$143,VLOOKUP($A67,ValveBox!$A$10:$O$142,6,FALSE),
IF($A67&lt;'ValveBox Components'!$A$165,VLOOKUP($A67,'ValveBox Components'!$A$10:$O$164,6,FALSE),
IF($A67&lt;Drainage!$A$92,VLOOKUP($A67,Drainage!$A$8:$M$91,6,FALSE),
IF($A67&lt;Nipples!$A$82,VLOOKUP($A67,Nipples!$A$9:$Q$81,6,FALSE),
IF($A67&lt;Manifold!$A$33,VLOOKUP($A67,Manifold!$A$9:$M$32,6,FALSE),
IF($A67&lt;FlexibleRepairCouplings!$A$13,VLOOKUP($A67,FlexibleRepairCouplings!$A$10:$M$12,6,FALSE),
IF($A67&lt;DuraFix!$A$15,VLOOKUP($A67,DuraFix!$A$9:$M$14,6,FALSE),
IF($A67&lt;'Compression Fittings'!$A$16,VLOOKUP($A67,'Compression Fittings'!$A$8:$M$15,6,FALSE),
IF($A67&lt;'Hose Fittings'!$A$30,VLOOKUP($A67,'Hose Fittings'!$A$8:$M$29,6,FALSE),
IF($A67&lt;'Swing Joints'!$A$496,VLOOKUP($A67,'Swing Joints'!$A$9:$M$495,6,FALSE),
IF($A67&lt;'Swing Joints Components'!$A$135,VLOOKUP($A67,'Swing Joints Components'!$A$9:$M$134,6,FALSE),
IF($A67&lt;Nonstandard!$A$42,VLOOKUP($A67,Nonstandard!$A$31:$J$41,7,FALSE),"")))))))))))))))))))))))))))),"")</f>
        <v/>
      </c>
      <c r="E67" s="427"/>
      <c r="F67" s="418" t="str">
        <f>IFERROR(IF($A67&lt;'DWV PVC'!$A$285,VLOOKUP($A67,'DWV PVC'!$A$8:$M$284,9,FALSE),
IF($A67&lt;'DWV ABS'!$A$117,VLOOKUP($A67,'DWV ABS'!$A$8:$M$116,9,FALSE),
IF($A67&lt;'PVC SCH40'!$A$376,VLOOKUP($A67,'PVC SCH40'!$A$8:$M$375,9,FALSE),
IF($A67&lt;'PVC SCH40 LD'!$A$22,VLOOKUP($A67,'PVC SCH40 LD'!$A$8:$M$21,9,FALSE),
IF($A67&lt;'Pool &amp; SPA Sweep Elbows'!$A$12,VLOOKUP($A67,'Pool &amp; SPA Sweep Elbows'!$A$8:$M$11,9,FALSE),
IF($A67&lt;'Pool &amp; SPA Pipe Extender'!$A$11,VLOOKUP($A67,'Pool &amp; SPA Pipe Extender'!$A$8:$M$10,9,FALSE),
IF($A67&lt;'PVC SCH80'!$A$250,VLOOKUP($A67,'PVC SCH80'!$A$8:$M$249,9,FALSE),
IF($A67&lt;'PVC SCH80 Flange'!$A$49,VLOOKUP($A67,'PVC SCH80 Flange'!$A$8:$M$48,9,FALSE),
IF($A67&lt;'PVC SCH80 LD Flange'!$A$17,VLOOKUP($A67,'PVC SCH80 LD Flange'!$A$8:$M$16,9,FALSE),
IF($A67&lt;CPVC!$A$100,VLOOKUP($A67,CPVC!$A$8:$M$99,9,FALSE),
IF($A67&lt;InsertFittings!$A$237,VLOOKUP($A67,InsertFittings!$A$11:$M$236,9,FALSE),
IF($A67&lt;Valves!$A$132,VLOOKUP($A67,Valves!$A$8:$M$131,9,FALSE),
IF($A67&lt;SDR35SW!$A$124,VLOOKUP($A67,SDR35SW!$A$8:$M$123,9,FALSE),
IF($A67&lt;SDR35G!$A$143,VLOOKUP($A67, SDR35G!$A$8:$M$142,9,FALSE),
IF($A67&lt;SDR26G!$A$61,VLOOKUP($A67,SDR26G!$A$8:$N$60,10,FALSE),
IF($A67&lt;Cements!$A$100,VLOOKUP($A67,Cements!$A$8:$Q$99,13,FALSE),
IF($A67&lt;ValveBox!$A$143,VLOOKUP($A67,ValveBox!$A$10:$O$142,11,FALSE),
IF($A67&lt;'ValveBox Components'!$A$165,VLOOKUP($A67,'ValveBox Components'!$A$10:$O$164,11,FALSE),
IF($A67&lt;Drainage!$A$92,VLOOKUP($A67,Drainage!$A$8:$M$91,9,FALSE),
IF($A67&lt;Nipples!$A$82,VLOOKUP($A67,Nipples!$A$9:$Q$81,13,FALSE),
IF($A67&lt;Manifold!$A$33,VLOOKUP($A67,Manifold!$A$9:$M$32,9,FALSE),
IF($A67&lt;FlexibleRepairCouplings!$A$13,VLOOKUP($A67,FlexibleRepairCouplings!$A$10:$M$12,9,FALSE),
IF($A67&lt;DuraFix!$A$15,VLOOKUP($A67,DuraFix!$A$9:$M$14,9,FALSE),
IF($A67&lt;'Compression Fittings'!$A$16,VLOOKUP($A67,'Compression Fittings'!$A$8:$M$15,9,FALSE),
IF($A67&lt;'Hose Fittings'!$A$30,VLOOKUP($A67,'Hose Fittings'!$A$8:$M$29,9,FALSE),
IF($A67&lt;'Swing Joints'!$A$496,VLOOKUP($A67,'Swing Joints'!$A$9:$M$495,9,FALSE),
IF($A67&lt;'Swing Joints Components'!$A$135,VLOOKUP($A67,'Swing Joints Components'!$A$9:$M$134,9,FALSE),
IF($A67&lt;Nonstandard!$A$42,VLOOKUP($A67,Nonstandard!$A$31:$J$41,8,FALSE),"")))))))))))))))))))))))))))),"")</f>
        <v/>
      </c>
      <c r="G67" s="416" t="str">
        <f>IFERROR(IF($A67&lt;'DWV PVC'!$A$285,VLOOKUP($A67,'DWV PVC'!$A$8:$M$284,11,FALSE),
IF($A67&lt;'DWV ABS'!$A$117,VLOOKUP($A67,'DWV ABS'!$A$8:$M$116,11,FALSE),
IF($A67&lt;'PVC SCH40'!$A$376,VLOOKUP($A67,'PVC SCH40'!$A$8:$M$375,11,FALSE),
IF($A67&lt;'PVC SCH40 LD'!$A$22,VLOOKUP($A67,'PVC SCH40 LD'!$A$8:$M$21,11,FALSE),
IF($A67&lt;'Pool &amp; SPA Sweep Elbows'!$A$12,VLOOKUP($A67,'Pool &amp; SPA Sweep Elbows'!$A$8:$M$11,11,FALSE),
IF($A67&lt;'Pool &amp; SPA Pipe Extender'!$A$11,VLOOKUP($A67,'Pool &amp; SPA Pipe Extender'!$A$8:$M$10,11,FALSE),
IF($A67&lt;'PVC SCH80'!$A$250,VLOOKUP($A67,'PVC SCH80'!$A$8:$M$249,11,FALSE),
IF($A67&lt;'PVC SCH80 Flange'!$A$49,VLOOKUP($A67,'PVC SCH80 Flange'!$A$8:$M$48,11,FALSE),
IF($A67&lt;'PVC SCH80 LD Flange'!$A$17,VLOOKUP($A67,'PVC SCH80 LD Flange'!$A$8:$M$16,11,FALSE),
IF($A67&lt;CPVC!$A$100,VLOOKUP($A67,CPVC!$A$8:$M$99,11,FALSE),
IF($A67&lt;InsertFittings!$A$237,VLOOKUP($A67,InsertFittings!$A$11:$M$236,11,FALSE),
IF($A67&lt;Valves!$A$132,VLOOKUP($A67,Valves!$A$8:$M$131,11,FALSE),
IF($A67&lt;SDR35SW!$A$124,VLOOKUP($A67,SDR35SW!$A$8:$M$123,11,FALSE),
IF($A67&lt;SDR35G!$A$143,VLOOKUP($A67, SDR35G!$A$8:$M$142,11,FALSE),
IF($A67&lt;SDR26G!$A$61,VLOOKUP($A67,SDR26G!$A$8:$N$60,12,FALSE),
IF($A67&lt;Cements!$A$100,VLOOKUP($A67,Cements!$A$8:$Q$99,15,FALSE),
IF($A67&lt;ValveBox!$A$143,VLOOKUP($A67,ValveBox!$A$10:$O$142,13,FALSE),
IF($A67&lt;'ValveBox Components'!$A$165,VLOOKUP($A67,'ValveBox Components'!$A$10:$O$164,13,FALSE),
IF($A67&lt;Drainage!$A$92,VLOOKUP($A67,Drainage!$A$8:$M$91,11,FALSE),
IF($A67&lt;Nipples!$A$82,VLOOKUP($A67,Nipples!$A$9:$Q$81,15,FALSE),
IF($A67&lt;Manifold!$A$33,VLOOKUP($A67,Manifold!$A$9:$M$32,11,FALSE),
IF($A67&lt;FlexibleRepairCouplings!$A$13,VLOOKUP($A67,FlexibleRepairCouplings!$A$10:$M$12,11,FALSE),
IF($A67&lt;DuraFix!$A$15,VLOOKUP($A67,DuraFix!$A$9:$M$14,11,FALSE),
IF($A67&lt;'Compression Fittings'!$A$16,VLOOKUP($A67,'Compression Fittings'!$A$8:$M$15,11,FALSE),
IF($A67&lt;'Hose Fittings'!$A$30,VLOOKUP($A67,'Hose Fittings'!$A$8:$M$29,11,FALSE),
IF($A67&lt;'Swing Joints'!$A$496,VLOOKUP($A67,'Swing Joints'!$A$9:$M$495,11,FALSE),
IF($A67&lt;'Swing Joints Components'!$A$135,VLOOKUP($A67,'Swing Joints Components'!$A$9:$M$134,11,FALSE),
IF($A67&lt;Nonstandard!$A$42,VLOOKUP($A67,Nonstandard!$A$31:$J$41,3,FALSE),"")))))))))))))))))))))))))))),"")</f>
        <v/>
      </c>
      <c r="H67" s="586" t="str">
        <f>IFERROR(IF($A67&lt;'DWV PVC'!$A$285,VLOOKUP($A67,'DWV PVC'!$A$8:$M$284,7,FALSE),
IF($A67&lt;'DWV ABS'!$A$117,VLOOKUP($A67,'DWV ABS'!$A$8:$M$116,7,FALSE),
IF($A67&lt;'PVC SCH40'!$A$376,VLOOKUP($A67,'PVC SCH40'!$A$8:$M$375,7,FALSE),
IF($A67&lt;'PVC SCH40 LD'!$A$22,VLOOKUP($A67,'PVC SCH40 LD'!$A$8:$M$21,7,FALSE),
IF($A67&lt;'Pool &amp; SPA Sweep Elbows'!$A$12,VLOOKUP($A67,'Pool &amp; SPA Sweep Elbows'!$A$8:$M$11,7,FALSE),
IF($A67&lt;'Pool &amp; SPA Pipe Extender'!$A$11,VLOOKUP($A67,'Pool &amp; SPA Pipe Extender'!$A$8:$M$10,7,FALSE),
IF($A67&lt;'PVC SCH80'!$A$250,VLOOKUP($A67,'PVC SCH80'!$A$8:$M$249,7,FALSE),
IF($A67&lt;'PVC SCH80 Flange'!$A$49,VLOOKUP($A67,'PVC SCH80 Flange'!$A$8:$M$48,7,FALSE),
IF($A67&lt;'PVC SCH80 LD Flange'!$A$17,VLOOKUP($A67,'PVC SCH80 LD Flange'!$A$8:$M$16,7,FALSE),
IF($A67&lt;CPVC!$A$100,VLOOKUP($A67,CPVC!$A$8:$M$99,7,FALSE),
IF($A67&lt;InsertFittings!$A$237,VLOOKUP($A67,InsertFittings!$A$11:$M$236,7,FALSE),
IF($A67&lt;Valves!$A$132,VLOOKUP($A67,Valves!$A$8:$M$131,7,FALSE),
IF($A67&lt;SDR35SW!$A$124,VLOOKUP($A67,SDR35SW!$A$8:$M$123,7,FALSE),
IF($A67&lt;SDR35G!$A$143,VLOOKUP($A67, SDR35G!$A$8:$M$142,7,FALSE),
IF($A67&lt;SDR26G!$A$61,VLOOKUP($A67,SDR26G!$A$8:$N$60,10,FALSE),
IF($A67&lt;Cements!$A$100,VLOOKUP($A67,Cements!$A$8:$Q$99,13,FALSE),
IF($A67&lt;ValveBox!$A$143,VLOOKUP($A67,ValveBox!$A$10:$O$142,11,FALSE),
IF($A67&lt;'ValveBox Components'!$A$165,VLOOKUP($A67,'ValveBox Components'!$A$10:$O$164,11,FALSE),
IF($A67&lt;Drainage!$A$92,VLOOKUP($A67,Drainage!$A$8:$M$91,7,FALSE),
IF($A67&lt;Nipples!$A$82,VLOOKUP($A67,Nipples!$A$9:$Q$81,13,FALSE),
IF($A67&lt;Manifold!$A$33,VLOOKUP($A67,Manifold!$A$9:$M$32,7,FALSE),
IF($A67&lt;FlexibleRepairCouplings!$A$13,VLOOKUP($A67,FlexibleRepairCouplings!$A$10:$M$12,7,FALSE),
IF($A67&lt;DuraFix!$A$15,VLOOKUP($A67,DuraFix!$A$9:$M$14,7,FALSE),
IF($A67&lt;'Compression Fittings'!$A$16,VLOOKUP($A67,'Compression Fittings'!$A$8:$M$15,7,FALSE),
IF($A67&lt;'Hose Fittings'!$A$30,VLOOKUP($A67,'Hose Fittings'!$A$8:$M$29,7,FALSE),
IF($A67&lt;'Swing Joints'!$A$496,VLOOKUP($A67,'Swing Joints'!$A$9:$M$495,7,FALSE),
IF($A67&lt;'Swing Joints Components'!$A$135,VLOOKUP($A67,'Swing Joints Components'!$A$9:$M$134,7,FALSE),
IF($A67&lt;Nonstandard!$A$42,VLOOKUP($A67,Nonstandard!$A$31:$J$41,3,FALSE),"")))))))))))))))))))))))))))),"")</f>
        <v/>
      </c>
      <c r="I67" s="587"/>
      <c r="J67" s="383" t="str">
        <f t="shared" si="1"/>
        <v/>
      </c>
      <c r="K67" s="417" t="str">
        <f>IFERROR(IF($A67&lt;'DWV PVC'!$A$285,VLOOKUP($A67,'DWV PVC'!$A$8:$M$284,10,FALSE),
IF($A67&lt;'DWV ABS'!$A$117,VLOOKUP($A67,'DWV ABS'!$A$8:$M$116,10,FALSE),
IF($A67&lt;'PVC SCH40'!$A$376,VLOOKUP($A67,'PVC SCH40'!$A$8:$M$375,10,FALSE),
IF($A67&lt;'PVC SCH40 LD'!$A$22,VLOOKUP($A67,'PVC SCH40 LD'!$A$8:$M$21,10,FALSE),
IF($A67&lt;'Pool &amp; SPA Sweep Elbows'!$A$12,VLOOKUP($A67,'Pool &amp; SPA Sweep Elbows'!$A$8:$M$11,10,FALSE),
IF($A67&lt;'Pool &amp; SPA Pipe Extender'!$A$11,VLOOKUP($A67,'Pool &amp; SPA Pipe Extender'!$A$8:$M$10,10,FALSE),
IF($A67&lt;'PVC SCH80'!$A$250,VLOOKUP($A67,'PVC SCH80'!$A$8:$M$249,10,FALSE),
IF($A67&lt;'PVC SCH80 Flange'!$A$49,VLOOKUP($A67,'PVC SCH80 Flange'!$A$8:$M$48,10,FALSE),
IF($A67&lt;'PVC SCH80 LD Flange'!$A$17,VLOOKUP($A67,'PVC SCH80 LD Flange'!$A$8:$M$16,10,FALSE),
IF($A67&lt;CPVC!$A$100,VLOOKUP($A67,CPVC!$A$8:$M$99,10,FALSE),
IF($A67&lt;InsertFittings!$A$237,VLOOKUP($A67,InsertFittings!$A$11:$M$236,10,FALSE),
IF($A67&lt;Valves!$A$132,VLOOKUP($A67,Valves!$A$8:$M$131,10,FALSE),
IF($A67&lt;SDR35SW!$A$124,VLOOKUP($A67,SDR35SW!$A$8:$M$123,10,FALSE),
IF($A67&lt;SDR35G!$A$143,VLOOKUP($A67, SDR35G!$A$8:$M$142,10,FALSE),
IF($A67&lt;SDR26G!$A$61,VLOOKUP($A67,SDR26G!$A$8:$N$60,11,FALSE),
IF($A67&lt;Cements!$A$100,VLOOKUP($A67,Cements!$A$8:$Q$99,14,FALSE),
IF($A67&lt;ValveBox!$A$143,VLOOKUP($A67,ValveBox!$A$10:$O$142,12,FALSE),
IF($A67&lt;'ValveBox Components'!$A$165,VLOOKUP($A67,'ValveBox Components'!$A$10:$O$164,12,FALSE),
IF($A67&lt;Drainage!$A$92,VLOOKUP($A67,Drainage!$A$8:$M$91,10,FALSE),
IF($A67&lt;Nipples!$A$82,VLOOKUP($A67,Nipples!$A$9:$Q$81,14,FALSE),
IF($A67&lt;Manifold!$A$33,VLOOKUP($A67,Manifold!$A$9:$M$32,10,FALSE),
IF($A67&lt;FlexibleRepairCouplings!$A$13,VLOOKUP($A67,FlexibleRepairCouplings!$A$10:$M$12,10,FALSE),
IF($A67&lt;DuraFix!$A$15,VLOOKUP($A67,DuraFix!$A$9:$M$14,10,FALSE),
IF($A67&lt;'Compression Fittings'!$A$16,VLOOKUP($A67,'Compression Fittings'!$A$8:$M$15,10,FALSE),
IF($A67&lt;'Hose Fittings'!$A$30,VLOOKUP($A67,'Hose Fittings'!$A$8:$M$29,10,FALSE),
IF($A67&lt;'Swing Joints'!$A$496,VLOOKUP($A67,'Swing Joints'!$A$9:$M$495,10,FALSE),
IF($A67&lt;'Swing Joints Components'!$A$135,VLOOKUP($A67,'Swing Joints Components'!$A$9:$M$134,10,FALSE),
IF($A67&lt;Nonstandard!$A$42,VLOOKUP($A67,Nonstandard!$A$31:$J$41,10,FALSE),"")))))))))))))))))))))))))))),"")</f>
        <v/>
      </c>
      <c r="L67" s="418" t="str">
        <f t="shared" si="0"/>
        <v>-</v>
      </c>
      <c r="M67" s="419"/>
    </row>
    <row r="68" spans="1:13" ht="15.75">
      <c r="A68" s="420">
        <v>36</v>
      </c>
      <c r="B68" s="420" t="str">
        <f>IFERROR(IF($A68&lt;'DWV PVC'!$A$285,VLOOKUP($A68,'DWV PVC'!$A$8:$M$284,4,FALSE),
IF($A68&lt;'DWV ABS'!$A$117,VLOOKUP($A68,'DWV ABS'!$A$8:$M$116,4,FALSE),
IF($A68&lt;'PVC SCH40'!$A$376,VLOOKUP($A68,'PVC SCH40'!$A$8:$M$375,4,FALSE),
IF($A68&lt;'PVC SCH40 LD'!$A$22,VLOOKUP($A68,'PVC SCH40 LD'!$A$8:$M$21,4,FALSE),
IF($A68&lt;'Pool &amp; SPA Sweep Elbows'!$A$12,VLOOKUP($A68,'Pool &amp; SPA Sweep Elbows'!$A$8:$M$11,4,FALSE),
IF($A68&lt;'Pool &amp; SPA Pipe Extender'!$A$11,VLOOKUP($A68,'Pool &amp; SPA Pipe Extender'!$A$8:$M$10,4,FALSE),
IF($A68&lt;'PVC SCH80'!$A$250,VLOOKUP($A68,'PVC SCH80'!$A$8:$M$249,4,FALSE),
IF($A68&lt;'PVC SCH80 Flange'!$A$49,VLOOKUP($A68,'PVC SCH80 Flange'!$A$8:$M$48,4,FALSE),
IF($A68&lt;'PVC SCH80 LD Flange'!$A$17,VLOOKUP($A68,'PVC SCH80 LD Flange'!$A$8:$M$16,4,FALSE),
IF($A68&lt;CPVC!$A$100,VLOOKUP($A68,CPVC!$A$8:$M$99,4,FALSE),
IF($A68&lt;InsertFittings!$A$237,VLOOKUP($A68,InsertFittings!$A$11:$M$236,4,FALSE),
IF($A68&lt;Valves!$A$132,VLOOKUP($A68,Valves!$A$8:$M$131,4,FALSE),
IF($A68&lt;SDR35SW!$A$124,VLOOKUP($A68,SDR35SW!$A$8:$M$123,4,FALSE),
IF($A68&lt;SDR35G!$A$143,VLOOKUP($A68, SDR35G!$A$8:$M$142,4,FALSE),
IF($A68&lt;SDR26G!$A$61,VLOOKUP($A68,SDR26G!$A$8:$N$60,4,FALSE),
IF($A68&lt;Cements!$A$100,VLOOKUP($A68,Cements!$A$8:$Q$99,4,FALSE),
IF($A68&lt;ValveBox!$A$143,VLOOKUP($A68,ValveBox!$A$10:$O$142,4,FALSE),
IF($A68&lt;'ValveBox Components'!$A$165,VLOOKUP($A68,'ValveBox Components'!$A$10:$O$164,4,FALSE),
IF($A68&lt;Drainage!$A$92,VLOOKUP($A68,Drainage!$A$8:$M$91,4,FALSE),
IF($A68&lt;Nipples!$A$82,VLOOKUP($A68,Nipples!$A$9:$Q$81,4,FALSE),
IF($A68&lt;Manifold!$A$33,VLOOKUP($A68,Manifold!$A$9:$M$32,4,FALSE),
IF($A68&lt;FlexibleRepairCouplings!$A$13,VLOOKUP($A68,FlexibleRepairCouplings!$A$10:$M$12,4,FALSE),
IF($A68&lt;DuraFix!$A$15,VLOOKUP($A68,DuraFix!$A$9:$M$14,4,FALSE),
IF($A68&lt;'Compression Fittings'!$A$16,VLOOKUP($A68,'Compression Fittings'!$A$8:$M$15,4,FALSE),
IF($A68&lt;'Hose Fittings'!$A$30,VLOOKUP($A68,'Hose Fittings'!$A$8:$M$29,4,FALSE),
IF($A68&lt;'Swing Joints'!$A$496,VLOOKUP($A68,'Swing Joints'!$A$9:$M$495,4,FALSE),
IF($A68&lt;'Swing Joints Components'!$A$135,VLOOKUP($A68,'Swing Joints Components'!$A$9:$M$134,4,FALSE),
IF($A68&lt;Nonstandard!$A$42,VLOOKUP($A68,Nonstandard!$A$31:$J$41,5,FALSE),"")))))))))))))))))))))))))))),"")</f>
        <v/>
      </c>
      <c r="C68" s="420" t="str">
        <f>IFERROR(IF($A68&lt;'DWV PVC'!$A$285,VLOOKUP($A68,'DWV PVC'!$A$8:$M$284,5,FALSE),
IF($A68&lt;'DWV ABS'!$A$117,VLOOKUP($A68,'DWV ABS'!$A$8:$M$116,5,FALSE),
IF($A68&lt;'PVC SCH40'!$A$376,VLOOKUP($A68,'PVC SCH40'!$A$8:$M$375,5,FALSE),
IF($A68&lt;'PVC SCH40 LD'!$A$22,VLOOKUP($A68,'PVC SCH40 LD'!$A$8:$M$21,5,FALSE),
IF($A68&lt;'Pool &amp; SPA Sweep Elbows'!$A$12,VLOOKUP($A68,'Pool &amp; SPA Sweep Elbows'!$A$8:$M$11,5,FALSE),
IF($A68&lt;'Pool &amp; SPA Pipe Extender'!$A$11,VLOOKUP($A68,'Pool &amp; SPA Pipe Extender'!$A$8:$M$10,5,FALSE),
IF($A68&lt;'PVC SCH80'!$A$250,VLOOKUP($A68,'PVC SCH80'!$A$8:$M$249,5,FALSE),
IF($A68&lt;'PVC SCH80 Flange'!$A$49,VLOOKUP($A68,'PVC SCH80 Flange'!$A$8:$M$48,5,FALSE),
IF($A68&lt;'PVC SCH80 LD Flange'!$A$17,VLOOKUP($A68,'PVC SCH80 LD Flange'!$A$8:$M$16,5,FALSE),
IF($A68&lt;CPVC!$A$100,VLOOKUP($A68,CPVC!$A$8:$M$99,5,FALSE),
IF($A68&lt;InsertFittings!$A$237,VLOOKUP($A68,InsertFittings!$A$11:$M$236,5,FALSE),
IF($A68&lt;Valves!$A$132,VLOOKUP($A68,Valves!$A$8:$M$131,5,FALSE),
IF($A68&lt;SDR35SW!$A$124,VLOOKUP($A68,SDR35SW!$A$8:$M$123,5,FALSE),
IF($A68&lt;SDR35G!$A$143,VLOOKUP($A68, SDR35G!$A$8:$M$142,5,FALSE),
IF($A68&lt;SDR26G!$A$61,VLOOKUP($A68,SDR26G!$A$8:$N$60,5,FALSE),
IF($A68&lt;Cements!$A$100,VLOOKUP($A68,Cements!$A$8:$Q$99,5,FALSE),
IF($A68&lt;ValveBox!$A$143,VLOOKUP($A68,ValveBox!$A$10:$O$142,5,FALSE),
IF($A68&lt;'ValveBox Components'!$A$165,VLOOKUP($A68,'ValveBox Components'!$A$10:$O$164,5,FALSE),
IF($A68&lt;Drainage!$A$92,VLOOKUP($A68,Drainage!$A$8:$M$91,5,FALSE),
IF($A68&lt;Nipples!$A$82,VLOOKUP($A68,Nipples!$A$9:$Q$81,5,FALSE),
IF($A68&lt;Manifold!$A$33,VLOOKUP($A68,Manifold!$A$9:$M$32,5,FALSE),
IF($A68&lt;FlexibleRepairCouplings!$A$13,VLOOKUP($A68,FlexibleRepairCouplings!$A$10:$M$12,5,FALSE),
IF($A68&lt;DuraFix!$A$15,VLOOKUP($A68,DuraFix!$A$9:$M$14,5,FALSE),
IF($A68&lt;'Compression Fittings'!$A$16,VLOOKUP($A68,'Compression Fittings'!$A$8:$M$15,5,FALSE),
IF($A68&lt;'Hose Fittings'!$A$30,VLOOKUP($A68,'Hose Fittings'!$A$8:$M$29,5,FALSE),
IF($A68&lt;'Swing Joints'!$A$496,VLOOKUP($A68,'Swing Joints'!$A$9:$M$495,5,FALSE),
IF($A68&lt;'Swing Joints Components'!$A$135,VLOOKUP($A68,'Swing Joints Components'!$A$9:$M$134,5,FALSE),
IF($A68&lt;Nonstandard!$A$42,VLOOKUP($A68,Nonstandard!$A$31:$J$41,6,FALSE),"")))))))))))))))))))))))))))),"")</f>
        <v/>
      </c>
      <c r="D68" s="428" t="str">
        <f>IFERROR(IF($A68&lt;'DWV PVC'!$A$285,VLOOKUP($A68,'DWV PVC'!$A$8:$M$284,6,FALSE),
IF($A68&lt;'DWV ABS'!$A$117,VLOOKUP($A68,'DWV ABS'!$A$8:$M$116,6,FALSE),
IF($A68&lt;'PVC SCH40'!$A$376,VLOOKUP($A68,'PVC SCH40'!$A$8:$M$375,6,FALSE),
IF($A68&lt;'PVC SCH40 LD'!$A$22,VLOOKUP($A68,'PVC SCH40 LD'!$A$8:$M$21,6,FALSE),
IF($A68&lt;'Pool &amp; SPA Sweep Elbows'!$A$12,VLOOKUP($A68,'Pool &amp; SPA Sweep Elbows'!$A$8:$M$11,6,FALSE),
IF($A68&lt;'Pool &amp; SPA Pipe Extender'!$A$11,VLOOKUP($A68,'Pool &amp; SPA Pipe Extender'!$A$8:$M$10,6,FALSE),
IF($A68&lt;'PVC SCH80'!$A$250,VLOOKUP($A68,'PVC SCH80'!$A$8:$M$249,6,FALSE),
IF($A68&lt;'PVC SCH80 Flange'!$A$49,VLOOKUP($A68,'PVC SCH80 Flange'!$A$8:$M$48,6,FALSE),
IF($A68&lt;'PVC SCH80 LD Flange'!$A$17,VLOOKUP($A68,'PVC SCH80 LD Flange'!$A$8:$M$16,6,FALSE),
IF($A68&lt;CPVC!$A$100,VLOOKUP($A68,CPVC!$A$8:$M$99,6,FALSE),
IF($A68&lt;InsertFittings!$A$237,VLOOKUP($A68,InsertFittings!$A$11:$M$236,6,FALSE),
IF($A68&lt;Valves!$A$132,VLOOKUP($A68,Valves!$A$8:$M$131,6,FALSE),
IF($A68&lt;SDR35SW!$A$124,VLOOKUP($A68,SDR35SW!$A$8:$M$123,6,FALSE),
IF($A68&lt;SDR35G!$A$143,VLOOKUP($A68, SDR35G!$A$8:$M$142,6,FALSE),
IF($A68&lt;SDR26G!$A$61,VLOOKUP($A68,SDR26G!$A$8:$N$60,6,FALSE),
IF($A68&lt;Cements!$A$100,VLOOKUP($A68,Cements!$A$8:$Q$99,6,FALSE),
IF($A68&lt;ValveBox!$A$143,VLOOKUP($A68,ValveBox!$A$10:$O$142,6,FALSE),
IF($A68&lt;'ValveBox Components'!$A$165,VLOOKUP($A68,'ValveBox Components'!$A$10:$O$164,6,FALSE),
IF($A68&lt;Drainage!$A$92,VLOOKUP($A68,Drainage!$A$8:$M$91,6,FALSE),
IF($A68&lt;Nipples!$A$82,VLOOKUP($A68,Nipples!$A$9:$Q$81,6,FALSE),
IF($A68&lt;Manifold!$A$33,VLOOKUP($A68,Manifold!$A$9:$M$32,6,FALSE),
IF($A68&lt;FlexibleRepairCouplings!$A$13,VLOOKUP($A68,FlexibleRepairCouplings!$A$10:$M$12,6,FALSE),
IF($A68&lt;DuraFix!$A$15,VLOOKUP($A68,DuraFix!$A$9:$M$14,6,FALSE),
IF($A68&lt;'Compression Fittings'!$A$16,VLOOKUP($A68,'Compression Fittings'!$A$8:$M$15,6,FALSE),
IF($A68&lt;'Hose Fittings'!$A$30,VLOOKUP($A68,'Hose Fittings'!$A$8:$M$29,6,FALSE),
IF($A68&lt;'Swing Joints'!$A$496,VLOOKUP($A68,'Swing Joints'!$A$9:$M$495,6,FALSE),
IF($A68&lt;'Swing Joints Components'!$A$135,VLOOKUP($A68,'Swing Joints Components'!$A$9:$M$134,6,FALSE),
IF($A68&lt;Nonstandard!$A$42,VLOOKUP($A68,Nonstandard!$A$31:$J$41,7,FALSE),"")))))))))))))))))))))))))))),"")</f>
        <v/>
      </c>
      <c r="E68" s="429"/>
      <c r="F68" s="421" t="str">
        <f>IFERROR(IF($A68&lt;'DWV PVC'!$A$285,VLOOKUP($A68,'DWV PVC'!$A$8:$M$284,9,FALSE),
IF($A68&lt;'DWV ABS'!$A$117,VLOOKUP($A68,'DWV ABS'!$A$8:$M$116,9,FALSE),
IF($A68&lt;'PVC SCH40'!$A$376,VLOOKUP($A68,'PVC SCH40'!$A$8:$M$375,9,FALSE),
IF($A68&lt;'PVC SCH40 LD'!$A$22,VLOOKUP($A68,'PVC SCH40 LD'!$A$8:$M$21,9,FALSE),
IF($A68&lt;'Pool &amp; SPA Sweep Elbows'!$A$12,VLOOKUP($A68,'Pool &amp; SPA Sweep Elbows'!$A$8:$M$11,9,FALSE),
IF($A68&lt;'Pool &amp; SPA Pipe Extender'!$A$11,VLOOKUP($A68,'Pool &amp; SPA Pipe Extender'!$A$8:$M$10,9,FALSE),
IF($A68&lt;'PVC SCH80'!$A$250,VLOOKUP($A68,'PVC SCH80'!$A$8:$M$249,9,FALSE),
IF($A68&lt;'PVC SCH80 Flange'!$A$49,VLOOKUP($A68,'PVC SCH80 Flange'!$A$8:$M$48,9,FALSE),
IF($A68&lt;'PVC SCH80 LD Flange'!$A$17,VLOOKUP($A68,'PVC SCH80 LD Flange'!$A$8:$M$16,9,FALSE),
IF($A68&lt;CPVC!$A$100,VLOOKUP($A68,CPVC!$A$8:$M$99,9,FALSE),
IF($A68&lt;InsertFittings!$A$237,VLOOKUP($A68,InsertFittings!$A$11:$M$236,9,FALSE),
IF($A68&lt;Valves!$A$132,VLOOKUP($A68,Valves!$A$8:$M$131,9,FALSE),
IF($A68&lt;SDR35SW!$A$124,VLOOKUP($A68,SDR35SW!$A$8:$M$123,9,FALSE),
IF($A68&lt;SDR35G!$A$143,VLOOKUP($A68, SDR35G!$A$8:$M$142,9,FALSE),
IF($A68&lt;SDR26G!$A$61,VLOOKUP($A68,SDR26G!$A$8:$N$60,10,FALSE),
IF($A68&lt;Cements!$A$100,VLOOKUP($A68,Cements!$A$8:$Q$99,13,FALSE),
IF($A68&lt;ValveBox!$A$143,VLOOKUP($A68,ValveBox!$A$10:$O$142,11,FALSE),
IF($A68&lt;'ValveBox Components'!$A$165,VLOOKUP($A68,'ValveBox Components'!$A$10:$O$164,11,FALSE),
IF($A68&lt;Drainage!$A$92,VLOOKUP($A68,Drainage!$A$8:$M$91,9,FALSE),
IF($A68&lt;Nipples!$A$82,VLOOKUP($A68,Nipples!$A$9:$Q$81,13,FALSE),
IF($A68&lt;Manifold!$A$33,VLOOKUP($A68,Manifold!$A$9:$M$32,9,FALSE),
IF($A68&lt;FlexibleRepairCouplings!$A$13,VLOOKUP($A68,FlexibleRepairCouplings!$A$10:$M$12,9,FALSE),
IF($A68&lt;DuraFix!$A$15,VLOOKUP($A68,DuraFix!$A$9:$M$14,9,FALSE),
IF($A68&lt;'Compression Fittings'!$A$16,VLOOKUP($A68,'Compression Fittings'!$A$8:$M$15,9,FALSE),
IF($A68&lt;'Hose Fittings'!$A$30,VLOOKUP($A68,'Hose Fittings'!$A$8:$M$29,9,FALSE),
IF($A68&lt;'Swing Joints'!$A$496,VLOOKUP($A68,'Swing Joints'!$A$9:$M$495,9,FALSE),
IF($A68&lt;'Swing Joints Components'!$A$135,VLOOKUP($A68,'Swing Joints Components'!$A$9:$M$134,9,FALSE),
IF($A68&lt;Nonstandard!$A$42,VLOOKUP($A68,Nonstandard!$A$31:$J$41,8,FALSE),"")))))))))))))))))))))))))))),"")</f>
        <v/>
      </c>
      <c r="G68" s="422" t="str">
        <f>IFERROR(IF($A68&lt;'DWV PVC'!$A$285,VLOOKUP($A68,'DWV PVC'!$A$8:$M$284,11,FALSE),
IF($A68&lt;'DWV ABS'!$A$117,VLOOKUP($A68,'DWV ABS'!$A$8:$M$116,11,FALSE),
IF($A68&lt;'PVC SCH40'!$A$376,VLOOKUP($A68,'PVC SCH40'!$A$8:$M$375,11,FALSE),
IF($A68&lt;'PVC SCH40 LD'!$A$22,VLOOKUP($A68,'PVC SCH40 LD'!$A$8:$M$21,11,FALSE),
IF($A68&lt;'Pool &amp; SPA Sweep Elbows'!$A$12,VLOOKUP($A68,'Pool &amp; SPA Sweep Elbows'!$A$8:$M$11,11,FALSE),
IF($A68&lt;'Pool &amp; SPA Pipe Extender'!$A$11,VLOOKUP($A68,'Pool &amp; SPA Pipe Extender'!$A$8:$M$10,11,FALSE),
IF($A68&lt;'PVC SCH80'!$A$250,VLOOKUP($A68,'PVC SCH80'!$A$8:$M$249,11,FALSE),
IF($A68&lt;'PVC SCH80 Flange'!$A$49,VLOOKUP($A68,'PVC SCH80 Flange'!$A$8:$M$48,11,FALSE),
IF($A68&lt;'PVC SCH80 LD Flange'!$A$17,VLOOKUP($A68,'PVC SCH80 LD Flange'!$A$8:$M$16,11,FALSE),
IF($A68&lt;CPVC!$A$100,VLOOKUP($A68,CPVC!$A$8:$M$99,11,FALSE),
IF($A68&lt;InsertFittings!$A$237,VLOOKUP($A68,InsertFittings!$A$11:$M$236,11,FALSE),
IF($A68&lt;Valves!$A$132,VLOOKUP($A68,Valves!$A$8:$M$131,11,FALSE),
IF($A68&lt;SDR35SW!$A$124,VLOOKUP($A68,SDR35SW!$A$8:$M$123,11,FALSE),
IF($A68&lt;SDR35G!$A$143,VLOOKUP($A68, SDR35G!$A$8:$M$142,11,FALSE),
IF($A68&lt;SDR26G!$A$61,VLOOKUP($A68,SDR26G!$A$8:$N$60,12,FALSE),
IF($A68&lt;Cements!$A$100,VLOOKUP($A68,Cements!$A$8:$Q$99,15,FALSE),
IF($A68&lt;ValveBox!$A$143,VLOOKUP($A68,ValveBox!$A$10:$O$142,13,FALSE),
IF($A68&lt;'ValveBox Components'!$A$165,VLOOKUP($A68,'ValveBox Components'!$A$10:$O$164,13,FALSE),
IF($A68&lt;Drainage!$A$92,VLOOKUP($A68,Drainage!$A$8:$M$91,11,FALSE),
IF($A68&lt;Nipples!$A$82,VLOOKUP($A68,Nipples!$A$9:$Q$81,15,FALSE),
IF($A68&lt;Manifold!$A$33,VLOOKUP($A68,Manifold!$A$9:$M$32,11,FALSE),
IF($A68&lt;FlexibleRepairCouplings!$A$13,VLOOKUP($A68,FlexibleRepairCouplings!$A$10:$M$12,11,FALSE),
IF($A68&lt;DuraFix!$A$15,VLOOKUP($A68,DuraFix!$A$9:$M$14,11,FALSE),
IF($A68&lt;'Compression Fittings'!$A$16,VLOOKUP($A68,'Compression Fittings'!$A$8:$M$15,11,FALSE),
IF($A68&lt;'Hose Fittings'!$A$30,VLOOKUP($A68,'Hose Fittings'!$A$8:$M$29,11,FALSE),
IF($A68&lt;'Swing Joints'!$A$496,VLOOKUP($A68,'Swing Joints'!$A$9:$M$495,11,FALSE),
IF($A68&lt;'Swing Joints Components'!$A$135,VLOOKUP($A68,'Swing Joints Components'!$A$9:$M$134,11,FALSE),
IF($A68&lt;Nonstandard!$A$42,VLOOKUP($A68,Nonstandard!$A$31:$J$41,3,FALSE),"")))))))))))))))))))))))))))),"")</f>
        <v/>
      </c>
      <c r="H68" s="588" t="str">
        <f>IFERROR(IF($A68&lt;'DWV PVC'!$A$285,VLOOKUP($A68,'DWV PVC'!$A$8:$M$284,7,FALSE),
IF($A68&lt;'DWV ABS'!$A$117,VLOOKUP($A68,'DWV ABS'!$A$8:$M$116,7,FALSE),
IF($A68&lt;'PVC SCH40'!$A$376,VLOOKUP($A68,'PVC SCH40'!$A$8:$M$375,7,FALSE),
IF($A68&lt;'PVC SCH40 LD'!$A$22,VLOOKUP($A68,'PVC SCH40 LD'!$A$8:$M$21,7,FALSE),
IF($A68&lt;'Pool &amp; SPA Sweep Elbows'!$A$12,VLOOKUP($A68,'Pool &amp; SPA Sweep Elbows'!$A$8:$M$11,7,FALSE),
IF($A68&lt;'Pool &amp; SPA Pipe Extender'!$A$11,VLOOKUP($A68,'Pool &amp; SPA Pipe Extender'!$A$8:$M$10,7,FALSE),
IF($A68&lt;'PVC SCH80'!$A$250,VLOOKUP($A68,'PVC SCH80'!$A$8:$M$249,7,FALSE),
IF($A68&lt;'PVC SCH80 Flange'!$A$49,VLOOKUP($A68,'PVC SCH80 Flange'!$A$8:$M$48,7,FALSE),
IF($A68&lt;'PVC SCH80 LD Flange'!$A$17,VLOOKUP($A68,'PVC SCH80 LD Flange'!$A$8:$M$16,7,FALSE),
IF($A68&lt;CPVC!$A$100,VLOOKUP($A68,CPVC!$A$8:$M$99,7,FALSE),
IF($A68&lt;InsertFittings!$A$237,VLOOKUP($A68,InsertFittings!$A$11:$M$236,7,FALSE),
IF($A68&lt;Valves!$A$132,VLOOKUP($A68,Valves!$A$8:$M$131,7,FALSE),
IF($A68&lt;SDR35SW!$A$124,VLOOKUP($A68,SDR35SW!$A$8:$M$123,7,FALSE),
IF($A68&lt;SDR35G!$A$143,VLOOKUP($A68, SDR35G!$A$8:$M$142,7,FALSE),
IF($A68&lt;SDR26G!$A$61,VLOOKUP($A68,SDR26G!$A$8:$N$60,10,FALSE),
IF($A68&lt;Cements!$A$100,VLOOKUP($A68,Cements!$A$8:$Q$99,13,FALSE),
IF($A68&lt;ValveBox!$A$143,VLOOKUP($A68,ValveBox!$A$10:$O$142,11,FALSE),
IF($A68&lt;'ValveBox Components'!$A$165,VLOOKUP($A68,'ValveBox Components'!$A$10:$O$164,11,FALSE),
IF($A68&lt;Drainage!$A$92,VLOOKUP($A68,Drainage!$A$8:$M$91,7,FALSE),
IF($A68&lt;Nipples!$A$82,VLOOKUP($A68,Nipples!$A$9:$Q$81,13,FALSE),
IF($A68&lt;Manifold!$A$33,VLOOKUP($A68,Manifold!$A$9:$M$32,7,FALSE),
IF($A68&lt;FlexibleRepairCouplings!$A$13,VLOOKUP($A68,FlexibleRepairCouplings!$A$10:$M$12,7,FALSE),
IF($A68&lt;DuraFix!$A$15,VLOOKUP($A68,DuraFix!$A$9:$M$14,7,FALSE),
IF($A68&lt;'Compression Fittings'!$A$16,VLOOKUP($A68,'Compression Fittings'!$A$8:$M$15,7,FALSE),
IF($A68&lt;'Hose Fittings'!$A$30,VLOOKUP($A68,'Hose Fittings'!$A$8:$M$29,7,FALSE),
IF($A68&lt;'Swing Joints'!$A$496,VLOOKUP($A68,'Swing Joints'!$A$9:$M$495,7,FALSE),
IF($A68&lt;'Swing Joints Components'!$A$135,VLOOKUP($A68,'Swing Joints Components'!$A$9:$M$134,7,FALSE),
IF($A68&lt;Nonstandard!$A$42,VLOOKUP($A68,Nonstandard!$A$31:$J$41,3,FALSE),"")))))))))))))))))))))))))))),"")</f>
        <v/>
      </c>
      <c r="I68" s="589"/>
      <c r="J68" s="423" t="str">
        <f t="shared" si="1"/>
        <v/>
      </c>
      <c r="K68" s="424" t="str">
        <f>IFERROR(IF($A68&lt;'DWV PVC'!$A$285,VLOOKUP($A68,'DWV PVC'!$A$8:$M$284,10,FALSE),
IF($A68&lt;'DWV ABS'!$A$117,VLOOKUP($A68,'DWV ABS'!$A$8:$M$116,10,FALSE),
IF($A68&lt;'PVC SCH40'!$A$376,VLOOKUP($A68,'PVC SCH40'!$A$8:$M$375,10,FALSE),
IF($A68&lt;'PVC SCH40 LD'!$A$22,VLOOKUP($A68,'PVC SCH40 LD'!$A$8:$M$21,10,FALSE),
IF($A68&lt;'Pool &amp; SPA Sweep Elbows'!$A$12,VLOOKUP($A68,'Pool &amp; SPA Sweep Elbows'!$A$8:$M$11,10,FALSE),
IF($A68&lt;'Pool &amp; SPA Pipe Extender'!$A$11,VLOOKUP($A68,'Pool &amp; SPA Pipe Extender'!$A$8:$M$10,10,FALSE),
IF($A68&lt;'PVC SCH80'!$A$250,VLOOKUP($A68,'PVC SCH80'!$A$8:$M$249,10,FALSE),
IF($A68&lt;'PVC SCH80 Flange'!$A$49,VLOOKUP($A68,'PVC SCH80 Flange'!$A$8:$M$48,10,FALSE),
IF($A68&lt;'PVC SCH80 LD Flange'!$A$17,VLOOKUP($A68,'PVC SCH80 LD Flange'!$A$8:$M$16,10,FALSE),
IF($A68&lt;CPVC!$A$100,VLOOKUP($A68,CPVC!$A$8:$M$99,10,FALSE),
IF($A68&lt;InsertFittings!$A$237,VLOOKUP($A68,InsertFittings!$A$11:$M$236,10,FALSE),
IF($A68&lt;Valves!$A$132,VLOOKUP($A68,Valves!$A$8:$M$131,10,FALSE),
IF($A68&lt;SDR35SW!$A$124,VLOOKUP($A68,SDR35SW!$A$8:$M$123,10,FALSE),
IF($A68&lt;SDR35G!$A$143,VLOOKUP($A68, SDR35G!$A$8:$M$142,10,FALSE),
IF($A68&lt;SDR26G!$A$61,VLOOKUP($A68,SDR26G!$A$8:$N$60,11,FALSE),
IF($A68&lt;Cements!$A$100,VLOOKUP($A68,Cements!$A$8:$Q$99,14,FALSE),
IF($A68&lt;ValveBox!$A$143,VLOOKUP($A68,ValveBox!$A$10:$O$142,12,FALSE),
IF($A68&lt;'ValveBox Components'!$A$165,VLOOKUP($A68,'ValveBox Components'!$A$10:$O$164,12,FALSE),
IF($A68&lt;Drainage!$A$92,VLOOKUP($A68,Drainage!$A$8:$M$91,10,FALSE),
IF($A68&lt;Nipples!$A$82,VLOOKUP($A68,Nipples!$A$9:$Q$81,14,FALSE),
IF($A68&lt;Manifold!$A$33,VLOOKUP($A68,Manifold!$A$9:$M$32,10,FALSE),
IF($A68&lt;FlexibleRepairCouplings!$A$13,VLOOKUP($A68,FlexibleRepairCouplings!$A$10:$M$12,10,FALSE),
IF($A68&lt;DuraFix!$A$15,VLOOKUP($A68,DuraFix!$A$9:$M$14,10,FALSE),
IF($A68&lt;'Compression Fittings'!$A$16,VLOOKUP($A68,'Compression Fittings'!$A$8:$M$15,10,FALSE),
IF($A68&lt;'Hose Fittings'!$A$30,VLOOKUP($A68,'Hose Fittings'!$A$8:$M$29,10,FALSE),
IF($A68&lt;'Swing Joints'!$A$496,VLOOKUP($A68,'Swing Joints'!$A$9:$M$495,10,FALSE),
IF($A68&lt;'Swing Joints Components'!$A$135,VLOOKUP($A68,'Swing Joints Components'!$A$9:$M$134,10,FALSE),
IF($A68&lt;Nonstandard!$A$42,VLOOKUP($A68,Nonstandard!$A$31:$J$41,10,FALSE),"")))))))))))))))))))))))))))),"")</f>
        <v/>
      </c>
      <c r="L68" s="421" t="str">
        <f t="shared" si="0"/>
        <v>-</v>
      </c>
      <c r="M68" s="425"/>
    </row>
    <row r="69" spans="1:13" ht="15.75">
      <c r="A69" s="415">
        <v>37</v>
      </c>
      <c r="B69" s="415" t="str">
        <f>IFERROR(IF($A69&lt;'DWV PVC'!$A$285,VLOOKUP($A69,'DWV PVC'!$A$8:$M$284,4,FALSE),
IF($A69&lt;'DWV ABS'!$A$117,VLOOKUP($A69,'DWV ABS'!$A$8:$M$116,4,FALSE),
IF($A69&lt;'PVC SCH40'!$A$376,VLOOKUP($A69,'PVC SCH40'!$A$8:$M$375,4,FALSE),
IF($A69&lt;'PVC SCH40 LD'!$A$22,VLOOKUP($A69,'PVC SCH40 LD'!$A$8:$M$21,4,FALSE),
IF($A69&lt;'Pool &amp; SPA Sweep Elbows'!$A$12,VLOOKUP($A69,'Pool &amp; SPA Sweep Elbows'!$A$8:$M$11,4,FALSE),
IF($A69&lt;'Pool &amp; SPA Pipe Extender'!$A$11,VLOOKUP($A69,'Pool &amp; SPA Pipe Extender'!$A$8:$M$10,4,FALSE),
IF($A69&lt;'PVC SCH80'!$A$250,VLOOKUP($A69,'PVC SCH80'!$A$8:$M$249,4,FALSE),
IF($A69&lt;'PVC SCH80 Flange'!$A$49,VLOOKUP($A69,'PVC SCH80 Flange'!$A$8:$M$48,4,FALSE),
IF($A69&lt;'PVC SCH80 LD Flange'!$A$17,VLOOKUP($A69,'PVC SCH80 LD Flange'!$A$8:$M$16,4,FALSE),
IF($A69&lt;CPVC!$A$100,VLOOKUP($A69,CPVC!$A$8:$M$99,4,FALSE),
IF($A69&lt;InsertFittings!$A$237,VLOOKUP($A69,InsertFittings!$A$11:$M$236,4,FALSE),
IF($A69&lt;Valves!$A$132,VLOOKUP($A69,Valves!$A$8:$M$131,4,FALSE),
IF($A69&lt;SDR35SW!$A$124,VLOOKUP($A69,SDR35SW!$A$8:$M$123,4,FALSE),
IF($A69&lt;SDR35G!$A$143,VLOOKUP($A69, SDR35G!$A$8:$M$142,4,FALSE),
IF($A69&lt;SDR26G!$A$61,VLOOKUP($A69,SDR26G!$A$8:$N$60,4,FALSE),
IF($A69&lt;Cements!$A$100,VLOOKUP($A69,Cements!$A$8:$Q$99,4,FALSE),
IF($A69&lt;ValveBox!$A$143,VLOOKUP($A69,ValveBox!$A$10:$O$142,4,FALSE),
IF($A69&lt;'ValveBox Components'!$A$165,VLOOKUP($A69,'ValveBox Components'!$A$10:$O$164,4,FALSE),
IF($A69&lt;Drainage!$A$92,VLOOKUP($A69,Drainage!$A$8:$M$91,4,FALSE),
IF($A69&lt;Nipples!$A$82,VLOOKUP($A69,Nipples!$A$9:$Q$81,4,FALSE),
IF($A69&lt;Manifold!$A$33,VLOOKUP($A69,Manifold!$A$9:$M$32,4,FALSE),
IF($A69&lt;FlexibleRepairCouplings!$A$13,VLOOKUP($A69,FlexibleRepairCouplings!$A$10:$M$12,4,FALSE),
IF($A69&lt;DuraFix!$A$15,VLOOKUP($A69,DuraFix!$A$9:$M$14,4,FALSE),
IF($A69&lt;'Compression Fittings'!$A$16,VLOOKUP($A69,'Compression Fittings'!$A$8:$M$15,4,FALSE),
IF($A69&lt;'Hose Fittings'!$A$30,VLOOKUP($A69,'Hose Fittings'!$A$8:$M$29,4,FALSE),
IF($A69&lt;'Swing Joints'!$A$496,VLOOKUP($A69,'Swing Joints'!$A$9:$M$495,4,FALSE),
IF($A69&lt;'Swing Joints Components'!$A$135,VLOOKUP($A69,'Swing Joints Components'!$A$9:$M$134,4,FALSE),
IF($A69&lt;Nonstandard!$A$42,VLOOKUP($A69,Nonstandard!$A$31:$J$41,5,FALSE),"")))))))))))))))))))))))))))),"")</f>
        <v/>
      </c>
      <c r="C69" s="415" t="str">
        <f>IFERROR(IF($A69&lt;'DWV PVC'!$A$285,VLOOKUP($A69,'DWV PVC'!$A$8:$M$284,5,FALSE),
IF($A69&lt;'DWV ABS'!$A$117,VLOOKUP($A69,'DWV ABS'!$A$8:$M$116,5,FALSE),
IF($A69&lt;'PVC SCH40'!$A$376,VLOOKUP($A69,'PVC SCH40'!$A$8:$M$375,5,FALSE),
IF($A69&lt;'PVC SCH40 LD'!$A$22,VLOOKUP($A69,'PVC SCH40 LD'!$A$8:$M$21,5,FALSE),
IF($A69&lt;'Pool &amp; SPA Sweep Elbows'!$A$12,VLOOKUP($A69,'Pool &amp; SPA Sweep Elbows'!$A$8:$M$11,5,FALSE),
IF($A69&lt;'Pool &amp; SPA Pipe Extender'!$A$11,VLOOKUP($A69,'Pool &amp; SPA Pipe Extender'!$A$8:$M$10,5,FALSE),
IF($A69&lt;'PVC SCH80'!$A$250,VLOOKUP($A69,'PVC SCH80'!$A$8:$M$249,5,FALSE),
IF($A69&lt;'PVC SCH80 Flange'!$A$49,VLOOKUP($A69,'PVC SCH80 Flange'!$A$8:$M$48,5,FALSE),
IF($A69&lt;'PVC SCH80 LD Flange'!$A$17,VLOOKUP($A69,'PVC SCH80 LD Flange'!$A$8:$M$16,5,FALSE),
IF($A69&lt;CPVC!$A$100,VLOOKUP($A69,CPVC!$A$8:$M$99,5,FALSE),
IF($A69&lt;InsertFittings!$A$237,VLOOKUP($A69,InsertFittings!$A$11:$M$236,5,FALSE),
IF($A69&lt;Valves!$A$132,VLOOKUP($A69,Valves!$A$8:$M$131,5,FALSE),
IF($A69&lt;SDR35SW!$A$124,VLOOKUP($A69,SDR35SW!$A$8:$M$123,5,FALSE),
IF($A69&lt;SDR35G!$A$143,VLOOKUP($A69, SDR35G!$A$8:$M$142,5,FALSE),
IF($A69&lt;SDR26G!$A$61,VLOOKUP($A69,SDR26G!$A$8:$N$60,5,FALSE),
IF($A69&lt;Cements!$A$100,VLOOKUP($A69,Cements!$A$8:$Q$99,5,FALSE),
IF($A69&lt;ValveBox!$A$143,VLOOKUP($A69,ValveBox!$A$10:$O$142,5,FALSE),
IF($A69&lt;'ValveBox Components'!$A$165,VLOOKUP($A69,'ValveBox Components'!$A$10:$O$164,5,FALSE),
IF($A69&lt;Drainage!$A$92,VLOOKUP($A69,Drainage!$A$8:$M$91,5,FALSE),
IF($A69&lt;Nipples!$A$82,VLOOKUP($A69,Nipples!$A$9:$Q$81,5,FALSE),
IF($A69&lt;Manifold!$A$33,VLOOKUP($A69,Manifold!$A$9:$M$32,5,FALSE),
IF($A69&lt;FlexibleRepairCouplings!$A$13,VLOOKUP($A69,FlexibleRepairCouplings!$A$10:$M$12,5,FALSE),
IF($A69&lt;DuraFix!$A$15,VLOOKUP($A69,DuraFix!$A$9:$M$14,5,FALSE),
IF($A69&lt;'Compression Fittings'!$A$16,VLOOKUP($A69,'Compression Fittings'!$A$8:$M$15,5,FALSE),
IF($A69&lt;'Hose Fittings'!$A$30,VLOOKUP($A69,'Hose Fittings'!$A$8:$M$29,5,FALSE),
IF($A69&lt;'Swing Joints'!$A$496,VLOOKUP($A69,'Swing Joints'!$A$9:$M$495,5,FALSE),
IF($A69&lt;'Swing Joints Components'!$A$135,VLOOKUP($A69,'Swing Joints Components'!$A$9:$M$134,5,FALSE),
IF($A69&lt;Nonstandard!$A$42,VLOOKUP($A69,Nonstandard!$A$31:$J$41,6,FALSE),"")))))))))))))))))))))))))))),"")</f>
        <v/>
      </c>
      <c r="D69" s="426" t="str">
        <f>IFERROR(IF($A69&lt;'DWV PVC'!$A$285,VLOOKUP($A69,'DWV PVC'!$A$8:$M$284,6,FALSE),
IF($A69&lt;'DWV ABS'!$A$117,VLOOKUP($A69,'DWV ABS'!$A$8:$M$116,6,FALSE),
IF($A69&lt;'PVC SCH40'!$A$376,VLOOKUP($A69,'PVC SCH40'!$A$8:$M$375,6,FALSE),
IF($A69&lt;'PVC SCH40 LD'!$A$22,VLOOKUP($A69,'PVC SCH40 LD'!$A$8:$M$21,6,FALSE),
IF($A69&lt;'Pool &amp; SPA Sweep Elbows'!$A$12,VLOOKUP($A69,'Pool &amp; SPA Sweep Elbows'!$A$8:$M$11,6,FALSE),
IF($A69&lt;'Pool &amp; SPA Pipe Extender'!$A$11,VLOOKUP($A69,'Pool &amp; SPA Pipe Extender'!$A$8:$M$10,6,FALSE),
IF($A69&lt;'PVC SCH80'!$A$250,VLOOKUP($A69,'PVC SCH80'!$A$8:$M$249,6,FALSE),
IF($A69&lt;'PVC SCH80 Flange'!$A$49,VLOOKUP($A69,'PVC SCH80 Flange'!$A$8:$M$48,6,FALSE),
IF($A69&lt;'PVC SCH80 LD Flange'!$A$17,VLOOKUP($A69,'PVC SCH80 LD Flange'!$A$8:$M$16,6,FALSE),
IF($A69&lt;CPVC!$A$100,VLOOKUP($A69,CPVC!$A$8:$M$99,6,FALSE),
IF($A69&lt;InsertFittings!$A$237,VLOOKUP($A69,InsertFittings!$A$11:$M$236,6,FALSE),
IF($A69&lt;Valves!$A$132,VLOOKUP($A69,Valves!$A$8:$M$131,6,FALSE),
IF($A69&lt;SDR35SW!$A$124,VLOOKUP($A69,SDR35SW!$A$8:$M$123,6,FALSE),
IF($A69&lt;SDR35G!$A$143,VLOOKUP($A69, SDR35G!$A$8:$M$142,6,FALSE),
IF($A69&lt;SDR26G!$A$61,VLOOKUP($A69,SDR26G!$A$8:$N$60,6,FALSE),
IF($A69&lt;Cements!$A$100,VLOOKUP($A69,Cements!$A$8:$Q$99,6,FALSE),
IF($A69&lt;ValveBox!$A$143,VLOOKUP($A69,ValveBox!$A$10:$O$142,6,FALSE),
IF($A69&lt;'ValveBox Components'!$A$165,VLOOKUP($A69,'ValveBox Components'!$A$10:$O$164,6,FALSE),
IF($A69&lt;Drainage!$A$92,VLOOKUP($A69,Drainage!$A$8:$M$91,6,FALSE),
IF($A69&lt;Nipples!$A$82,VLOOKUP($A69,Nipples!$A$9:$Q$81,6,FALSE),
IF($A69&lt;Manifold!$A$33,VLOOKUP($A69,Manifold!$A$9:$M$32,6,FALSE),
IF($A69&lt;FlexibleRepairCouplings!$A$13,VLOOKUP($A69,FlexibleRepairCouplings!$A$10:$M$12,6,FALSE),
IF($A69&lt;DuraFix!$A$15,VLOOKUP($A69,DuraFix!$A$9:$M$14,6,FALSE),
IF($A69&lt;'Compression Fittings'!$A$16,VLOOKUP($A69,'Compression Fittings'!$A$8:$M$15,6,FALSE),
IF($A69&lt;'Hose Fittings'!$A$30,VLOOKUP($A69,'Hose Fittings'!$A$8:$M$29,6,FALSE),
IF($A69&lt;'Swing Joints'!$A$496,VLOOKUP($A69,'Swing Joints'!$A$9:$M$495,6,FALSE),
IF($A69&lt;'Swing Joints Components'!$A$135,VLOOKUP($A69,'Swing Joints Components'!$A$9:$M$134,6,FALSE),
IF($A69&lt;Nonstandard!$A$42,VLOOKUP($A69,Nonstandard!$A$31:$J$41,7,FALSE),"")))))))))))))))))))))))))))),"")</f>
        <v/>
      </c>
      <c r="E69" s="427"/>
      <c r="F69" s="418" t="str">
        <f>IFERROR(IF($A69&lt;'DWV PVC'!$A$285,VLOOKUP($A69,'DWV PVC'!$A$8:$M$284,9,FALSE),
IF($A69&lt;'DWV ABS'!$A$117,VLOOKUP($A69,'DWV ABS'!$A$8:$M$116,9,FALSE),
IF($A69&lt;'PVC SCH40'!$A$376,VLOOKUP($A69,'PVC SCH40'!$A$8:$M$375,9,FALSE),
IF($A69&lt;'PVC SCH40 LD'!$A$22,VLOOKUP($A69,'PVC SCH40 LD'!$A$8:$M$21,9,FALSE),
IF($A69&lt;'Pool &amp; SPA Sweep Elbows'!$A$12,VLOOKUP($A69,'Pool &amp; SPA Sweep Elbows'!$A$8:$M$11,9,FALSE),
IF($A69&lt;'Pool &amp; SPA Pipe Extender'!$A$11,VLOOKUP($A69,'Pool &amp; SPA Pipe Extender'!$A$8:$M$10,9,FALSE),
IF($A69&lt;'PVC SCH80'!$A$250,VLOOKUP($A69,'PVC SCH80'!$A$8:$M$249,9,FALSE),
IF($A69&lt;'PVC SCH80 Flange'!$A$49,VLOOKUP($A69,'PVC SCH80 Flange'!$A$8:$M$48,9,FALSE),
IF($A69&lt;'PVC SCH80 LD Flange'!$A$17,VLOOKUP($A69,'PVC SCH80 LD Flange'!$A$8:$M$16,9,FALSE),
IF($A69&lt;CPVC!$A$100,VLOOKUP($A69,CPVC!$A$8:$M$99,9,FALSE),
IF($A69&lt;InsertFittings!$A$237,VLOOKUP($A69,InsertFittings!$A$11:$M$236,9,FALSE),
IF($A69&lt;Valves!$A$132,VLOOKUP($A69,Valves!$A$8:$M$131,9,FALSE),
IF($A69&lt;SDR35SW!$A$124,VLOOKUP($A69,SDR35SW!$A$8:$M$123,9,FALSE),
IF($A69&lt;SDR35G!$A$143,VLOOKUP($A69, SDR35G!$A$8:$M$142,9,FALSE),
IF($A69&lt;SDR26G!$A$61,VLOOKUP($A69,SDR26G!$A$8:$N$60,10,FALSE),
IF($A69&lt;Cements!$A$100,VLOOKUP($A69,Cements!$A$8:$Q$99,13,FALSE),
IF($A69&lt;ValveBox!$A$143,VLOOKUP($A69,ValveBox!$A$10:$O$142,11,FALSE),
IF($A69&lt;'ValveBox Components'!$A$165,VLOOKUP($A69,'ValveBox Components'!$A$10:$O$164,11,FALSE),
IF($A69&lt;Drainage!$A$92,VLOOKUP($A69,Drainage!$A$8:$M$91,9,FALSE),
IF($A69&lt;Nipples!$A$82,VLOOKUP($A69,Nipples!$A$9:$Q$81,13,FALSE),
IF($A69&lt;Manifold!$A$33,VLOOKUP($A69,Manifold!$A$9:$M$32,9,FALSE),
IF($A69&lt;FlexibleRepairCouplings!$A$13,VLOOKUP($A69,FlexibleRepairCouplings!$A$10:$M$12,9,FALSE),
IF($A69&lt;DuraFix!$A$15,VLOOKUP($A69,DuraFix!$A$9:$M$14,9,FALSE),
IF($A69&lt;'Compression Fittings'!$A$16,VLOOKUP($A69,'Compression Fittings'!$A$8:$M$15,9,FALSE),
IF($A69&lt;'Hose Fittings'!$A$30,VLOOKUP($A69,'Hose Fittings'!$A$8:$M$29,9,FALSE),
IF($A69&lt;'Swing Joints'!$A$496,VLOOKUP($A69,'Swing Joints'!$A$9:$M$495,9,FALSE),
IF($A69&lt;'Swing Joints Components'!$A$135,VLOOKUP($A69,'Swing Joints Components'!$A$9:$M$134,9,FALSE),
IF($A69&lt;Nonstandard!$A$42,VLOOKUP($A69,Nonstandard!$A$31:$J$41,8,FALSE),"")))))))))))))))))))))))))))),"")</f>
        <v/>
      </c>
      <c r="G69" s="416" t="str">
        <f>IFERROR(IF($A69&lt;'DWV PVC'!$A$285,VLOOKUP($A69,'DWV PVC'!$A$8:$M$284,11,FALSE),
IF($A69&lt;'DWV ABS'!$A$117,VLOOKUP($A69,'DWV ABS'!$A$8:$M$116,11,FALSE),
IF($A69&lt;'PVC SCH40'!$A$376,VLOOKUP($A69,'PVC SCH40'!$A$8:$M$375,11,FALSE),
IF($A69&lt;'PVC SCH40 LD'!$A$22,VLOOKUP($A69,'PVC SCH40 LD'!$A$8:$M$21,11,FALSE),
IF($A69&lt;'Pool &amp; SPA Sweep Elbows'!$A$12,VLOOKUP($A69,'Pool &amp; SPA Sweep Elbows'!$A$8:$M$11,11,FALSE),
IF($A69&lt;'Pool &amp; SPA Pipe Extender'!$A$11,VLOOKUP($A69,'Pool &amp; SPA Pipe Extender'!$A$8:$M$10,11,FALSE),
IF($A69&lt;'PVC SCH80'!$A$250,VLOOKUP($A69,'PVC SCH80'!$A$8:$M$249,11,FALSE),
IF($A69&lt;'PVC SCH80 Flange'!$A$49,VLOOKUP($A69,'PVC SCH80 Flange'!$A$8:$M$48,11,FALSE),
IF($A69&lt;'PVC SCH80 LD Flange'!$A$17,VLOOKUP($A69,'PVC SCH80 LD Flange'!$A$8:$M$16,11,FALSE),
IF($A69&lt;CPVC!$A$100,VLOOKUP($A69,CPVC!$A$8:$M$99,11,FALSE),
IF($A69&lt;InsertFittings!$A$237,VLOOKUP($A69,InsertFittings!$A$11:$M$236,11,FALSE),
IF($A69&lt;Valves!$A$132,VLOOKUP($A69,Valves!$A$8:$M$131,11,FALSE),
IF($A69&lt;SDR35SW!$A$124,VLOOKUP($A69,SDR35SW!$A$8:$M$123,11,FALSE),
IF($A69&lt;SDR35G!$A$143,VLOOKUP($A69, SDR35G!$A$8:$M$142,11,FALSE),
IF($A69&lt;SDR26G!$A$61,VLOOKUP($A69,SDR26G!$A$8:$N$60,12,FALSE),
IF($A69&lt;Cements!$A$100,VLOOKUP($A69,Cements!$A$8:$Q$99,15,FALSE),
IF($A69&lt;ValveBox!$A$143,VLOOKUP($A69,ValveBox!$A$10:$O$142,13,FALSE),
IF($A69&lt;'ValveBox Components'!$A$165,VLOOKUP($A69,'ValveBox Components'!$A$10:$O$164,13,FALSE),
IF($A69&lt;Drainage!$A$92,VLOOKUP($A69,Drainage!$A$8:$M$91,11,FALSE),
IF($A69&lt;Nipples!$A$82,VLOOKUP($A69,Nipples!$A$9:$Q$81,15,FALSE),
IF($A69&lt;Manifold!$A$33,VLOOKUP($A69,Manifold!$A$9:$M$32,11,FALSE),
IF($A69&lt;FlexibleRepairCouplings!$A$13,VLOOKUP($A69,FlexibleRepairCouplings!$A$10:$M$12,11,FALSE),
IF($A69&lt;DuraFix!$A$15,VLOOKUP($A69,DuraFix!$A$9:$M$14,11,FALSE),
IF($A69&lt;'Compression Fittings'!$A$16,VLOOKUP($A69,'Compression Fittings'!$A$8:$M$15,11,FALSE),
IF($A69&lt;'Hose Fittings'!$A$30,VLOOKUP($A69,'Hose Fittings'!$A$8:$M$29,11,FALSE),
IF($A69&lt;'Swing Joints'!$A$496,VLOOKUP($A69,'Swing Joints'!$A$9:$M$495,11,FALSE),
IF($A69&lt;'Swing Joints Components'!$A$135,VLOOKUP($A69,'Swing Joints Components'!$A$9:$M$134,11,FALSE),
IF($A69&lt;Nonstandard!$A$42,VLOOKUP($A69,Nonstandard!$A$31:$J$41,3,FALSE),"")))))))))))))))))))))))))))),"")</f>
        <v/>
      </c>
      <c r="H69" s="586" t="str">
        <f>IFERROR(IF($A69&lt;'DWV PVC'!$A$285,VLOOKUP($A69,'DWV PVC'!$A$8:$M$284,7,FALSE),
IF($A69&lt;'DWV ABS'!$A$117,VLOOKUP($A69,'DWV ABS'!$A$8:$M$116,7,FALSE),
IF($A69&lt;'PVC SCH40'!$A$376,VLOOKUP($A69,'PVC SCH40'!$A$8:$M$375,7,FALSE),
IF($A69&lt;'PVC SCH40 LD'!$A$22,VLOOKUP($A69,'PVC SCH40 LD'!$A$8:$M$21,7,FALSE),
IF($A69&lt;'Pool &amp; SPA Sweep Elbows'!$A$12,VLOOKUP($A69,'Pool &amp; SPA Sweep Elbows'!$A$8:$M$11,7,FALSE),
IF($A69&lt;'Pool &amp; SPA Pipe Extender'!$A$11,VLOOKUP($A69,'Pool &amp; SPA Pipe Extender'!$A$8:$M$10,7,FALSE),
IF($A69&lt;'PVC SCH80'!$A$250,VLOOKUP($A69,'PVC SCH80'!$A$8:$M$249,7,FALSE),
IF($A69&lt;'PVC SCH80 Flange'!$A$49,VLOOKUP($A69,'PVC SCH80 Flange'!$A$8:$M$48,7,FALSE),
IF($A69&lt;'PVC SCH80 LD Flange'!$A$17,VLOOKUP($A69,'PVC SCH80 LD Flange'!$A$8:$M$16,7,FALSE),
IF($A69&lt;CPVC!$A$100,VLOOKUP($A69,CPVC!$A$8:$M$99,7,FALSE),
IF($A69&lt;InsertFittings!$A$237,VLOOKUP($A69,InsertFittings!$A$11:$M$236,7,FALSE),
IF($A69&lt;Valves!$A$132,VLOOKUP($A69,Valves!$A$8:$M$131,7,FALSE),
IF($A69&lt;SDR35SW!$A$124,VLOOKUP($A69,SDR35SW!$A$8:$M$123,7,FALSE),
IF($A69&lt;SDR35G!$A$143,VLOOKUP($A69, SDR35G!$A$8:$M$142,7,FALSE),
IF($A69&lt;SDR26G!$A$61,VLOOKUP($A69,SDR26G!$A$8:$N$60,10,FALSE),
IF($A69&lt;Cements!$A$100,VLOOKUP($A69,Cements!$A$8:$Q$99,13,FALSE),
IF($A69&lt;ValveBox!$A$143,VLOOKUP($A69,ValveBox!$A$10:$O$142,11,FALSE),
IF($A69&lt;'ValveBox Components'!$A$165,VLOOKUP($A69,'ValveBox Components'!$A$10:$O$164,11,FALSE),
IF($A69&lt;Drainage!$A$92,VLOOKUP($A69,Drainage!$A$8:$M$91,7,FALSE),
IF($A69&lt;Nipples!$A$82,VLOOKUP($A69,Nipples!$A$9:$Q$81,13,FALSE),
IF($A69&lt;Manifold!$A$33,VLOOKUP($A69,Manifold!$A$9:$M$32,7,FALSE),
IF($A69&lt;FlexibleRepairCouplings!$A$13,VLOOKUP($A69,FlexibleRepairCouplings!$A$10:$M$12,7,FALSE),
IF($A69&lt;DuraFix!$A$15,VLOOKUP($A69,DuraFix!$A$9:$M$14,7,FALSE),
IF($A69&lt;'Compression Fittings'!$A$16,VLOOKUP($A69,'Compression Fittings'!$A$8:$M$15,7,FALSE),
IF($A69&lt;'Hose Fittings'!$A$30,VLOOKUP($A69,'Hose Fittings'!$A$8:$M$29,7,FALSE),
IF($A69&lt;'Swing Joints'!$A$496,VLOOKUP($A69,'Swing Joints'!$A$9:$M$495,7,FALSE),
IF($A69&lt;'Swing Joints Components'!$A$135,VLOOKUP($A69,'Swing Joints Components'!$A$9:$M$134,7,FALSE),
IF($A69&lt;Nonstandard!$A$42,VLOOKUP($A69,Nonstandard!$A$31:$J$41,3,FALSE),"")))))))))))))))))))))))))))),"")</f>
        <v/>
      </c>
      <c r="I69" s="587"/>
      <c r="J69" s="383" t="str">
        <f t="shared" si="1"/>
        <v/>
      </c>
      <c r="K69" s="417" t="str">
        <f>IFERROR(IF($A69&lt;'DWV PVC'!$A$285,VLOOKUP($A69,'DWV PVC'!$A$8:$M$284,10,FALSE),
IF($A69&lt;'DWV ABS'!$A$117,VLOOKUP($A69,'DWV ABS'!$A$8:$M$116,10,FALSE),
IF($A69&lt;'PVC SCH40'!$A$376,VLOOKUP($A69,'PVC SCH40'!$A$8:$M$375,10,FALSE),
IF($A69&lt;'PVC SCH40 LD'!$A$22,VLOOKUP($A69,'PVC SCH40 LD'!$A$8:$M$21,10,FALSE),
IF($A69&lt;'Pool &amp; SPA Sweep Elbows'!$A$12,VLOOKUP($A69,'Pool &amp; SPA Sweep Elbows'!$A$8:$M$11,10,FALSE),
IF($A69&lt;'Pool &amp; SPA Pipe Extender'!$A$11,VLOOKUP($A69,'Pool &amp; SPA Pipe Extender'!$A$8:$M$10,10,FALSE),
IF($A69&lt;'PVC SCH80'!$A$250,VLOOKUP($A69,'PVC SCH80'!$A$8:$M$249,10,FALSE),
IF($A69&lt;'PVC SCH80 Flange'!$A$49,VLOOKUP($A69,'PVC SCH80 Flange'!$A$8:$M$48,10,FALSE),
IF($A69&lt;'PVC SCH80 LD Flange'!$A$17,VLOOKUP($A69,'PVC SCH80 LD Flange'!$A$8:$M$16,10,FALSE),
IF($A69&lt;CPVC!$A$100,VLOOKUP($A69,CPVC!$A$8:$M$99,10,FALSE),
IF($A69&lt;InsertFittings!$A$237,VLOOKUP($A69,InsertFittings!$A$11:$M$236,10,FALSE),
IF($A69&lt;Valves!$A$132,VLOOKUP($A69,Valves!$A$8:$M$131,10,FALSE),
IF($A69&lt;SDR35SW!$A$124,VLOOKUP($A69,SDR35SW!$A$8:$M$123,10,FALSE),
IF($A69&lt;SDR35G!$A$143,VLOOKUP($A69, SDR35G!$A$8:$M$142,10,FALSE),
IF($A69&lt;SDR26G!$A$61,VLOOKUP($A69,SDR26G!$A$8:$N$60,11,FALSE),
IF($A69&lt;Cements!$A$100,VLOOKUP($A69,Cements!$A$8:$Q$99,14,FALSE),
IF($A69&lt;ValveBox!$A$143,VLOOKUP($A69,ValveBox!$A$10:$O$142,12,FALSE),
IF($A69&lt;'ValveBox Components'!$A$165,VLOOKUP($A69,'ValveBox Components'!$A$10:$O$164,12,FALSE),
IF($A69&lt;Drainage!$A$92,VLOOKUP($A69,Drainage!$A$8:$M$91,10,FALSE),
IF($A69&lt;Nipples!$A$82,VLOOKUP($A69,Nipples!$A$9:$Q$81,14,FALSE),
IF($A69&lt;Manifold!$A$33,VLOOKUP($A69,Manifold!$A$9:$M$32,10,FALSE),
IF($A69&lt;FlexibleRepairCouplings!$A$13,VLOOKUP($A69,FlexibleRepairCouplings!$A$10:$M$12,10,FALSE),
IF($A69&lt;DuraFix!$A$15,VLOOKUP($A69,DuraFix!$A$9:$M$14,10,FALSE),
IF($A69&lt;'Compression Fittings'!$A$16,VLOOKUP($A69,'Compression Fittings'!$A$8:$M$15,10,FALSE),
IF($A69&lt;'Hose Fittings'!$A$30,VLOOKUP($A69,'Hose Fittings'!$A$8:$M$29,10,FALSE),
IF($A69&lt;'Swing Joints'!$A$496,VLOOKUP($A69,'Swing Joints'!$A$9:$M$495,10,FALSE),
IF($A69&lt;'Swing Joints Components'!$A$135,VLOOKUP($A69,'Swing Joints Components'!$A$9:$M$134,10,FALSE),
IF($A69&lt;Nonstandard!$A$42,VLOOKUP($A69,Nonstandard!$A$31:$J$41,10,FALSE),"")))))))))))))))))))))))))))),"")</f>
        <v/>
      </c>
      <c r="L69" s="418" t="str">
        <f t="shared" si="0"/>
        <v>-</v>
      </c>
      <c r="M69" s="419"/>
    </row>
    <row r="70" spans="1:13" ht="15.75">
      <c r="A70" s="420">
        <v>38</v>
      </c>
      <c r="B70" s="420" t="str">
        <f>IFERROR(IF($A70&lt;'DWV PVC'!$A$285,VLOOKUP($A70,'DWV PVC'!$A$8:$M$284,4,FALSE),
IF($A70&lt;'DWV ABS'!$A$117,VLOOKUP($A70,'DWV ABS'!$A$8:$M$116,4,FALSE),
IF($A70&lt;'PVC SCH40'!$A$376,VLOOKUP($A70,'PVC SCH40'!$A$8:$M$375,4,FALSE),
IF($A70&lt;'PVC SCH40 LD'!$A$22,VLOOKUP($A70,'PVC SCH40 LD'!$A$8:$M$21,4,FALSE),
IF($A70&lt;'Pool &amp; SPA Sweep Elbows'!$A$12,VLOOKUP($A70,'Pool &amp; SPA Sweep Elbows'!$A$8:$M$11,4,FALSE),
IF($A70&lt;'Pool &amp; SPA Pipe Extender'!$A$11,VLOOKUP($A70,'Pool &amp; SPA Pipe Extender'!$A$8:$M$10,4,FALSE),
IF($A70&lt;'PVC SCH80'!$A$250,VLOOKUP($A70,'PVC SCH80'!$A$8:$M$249,4,FALSE),
IF($A70&lt;'PVC SCH80 Flange'!$A$49,VLOOKUP($A70,'PVC SCH80 Flange'!$A$8:$M$48,4,FALSE),
IF($A70&lt;'PVC SCH80 LD Flange'!$A$17,VLOOKUP($A70,'PVC SCH80 LD Flange'!$A$8:$M$16,4,FALSE),
IF($A70&lt;CPVC!$A$100,VLOOKUP($A70,CPVC!$A$8:$M$99,4,FALSE),
IF($A70&lt;InsertFittings!$A$237,VLOOKUP($A70,InsertFittings!$A$11:$M$236,4,FALSE),
IF($A70&lt;Valves!$A$132,VLOOKUP($A70,Valves!$A$8:$M$131,4,FALSE),
IF($A70&lt;SDR35SW!$A$124,VLOOKUP($A70,SDR35SW!$A$8:$M$123,4,FALSE),
IF($A70&lt;SDR35G!$A$143,VLOOKUP($A70, SDR35G!$A$8:$M$142,4,FALSE),
IF($A70&lt;SDR26G!$A$61,VLOOKUP($A70,SDR26G!$A$8:$N$60,4,FALSE),
IF($A70&lt;Cements!$A$100,VLOOKUP($A70,Cements!$A$8:$Q$99,4,FALSE),
IF($A70&lt;ValveBox!$A$143,VLOOKUP($A70,ValveBox!$A$10:$O$142,4,FALSE),
IF($A70&lt;'ValveBox Components'!$A$165,VLOOKUP($A70,'ValveBox Components'!$A$10:$O$164,4,FALSE),
IF($A70&lt;Drainage!$A$92,VLOOKUP($A70,Drainage!$A$8:$M$91,4,FALSE),
IF($A70&lt;Nipples!$A$82,VLOOKUP($A70,Nipples!$A$9:$Q$81,4,FALSE),
IF($A70&lt;Manifold!$A$33,VLOOKUP($A70,Manifold!$A$9:$M$32,4,FALSE),
IF($A70&lt;FlexibleRepairCouplings!$A$13,VLOOKUP($A70,FlexibleRepairCouplings!$A$10:$M$12,4,FALSE),
IF($A70&lt;DuraFix!$A$15,VLOOKUP($A70,DuraFix!$A$9:$M$14,4,FALSE),
IF($A70&lt;'Compression Fittings'!$A$16,VLOOKUP($A70,'Compression Fittings'!$A$8:$M$15,4,FALSE),
IF($A70&lt;'Hose Fittings'!$A$30,VLOOKUP($A70,'Hose Fittings'!$A$8:$M$29,4,FALSE),
IF($A70&lt;'Swing Joints'!$A$496,VLOOKUP($A70,'Swing Joints'!$A$9:$M$495,4,FALSE),
IF($A70&lt;'Swing Joints Components'!$A$135,VLOOKUP($A70,'Swing Joints Components'!$A$9:$M$134,4,FALSE),
IF($A70&lt;Nonstandard!$A$42,VLOOKUP($A70,Nonstandard!$A$31:$J$41,5,FALSE),"")))))))))))))))))))))))))))),"")</f>
        <v/>
      </c>
      <c r="C70" s="420" t="str">
        <f>IFERROR(IF($A70&lt;'DWV PVC'!$A$285,VLOOKUP($A70,'DWV PVC'!$A$8:$M$284,5,FALSE),
IF($A70&lt;'DWV ABS'!$A$117,VLOOKUP($A70,'DWV ABS'!$A$8:$M$116,5,FALSE),
IF($A70&lt;'PVC SCH40'!$A$376,VLOOKUP($A70,'PVC SCH40'!$A$8:$M$375,5,FALSE),
IF($A70&lt;'PVC SCH40 LD'!$A$22,VLOOKUP($A70,'PVC SCH40 LD'!$A$8:$M$21,5,FALSE),
IF($A70&lt;'Pool &amp; SPA Sweep Elbows'!$A$12,VLOOKUP($A70,'Pool &amp; SPA Sweep Elbows'!$A$8:$M$11,5,FALSE),
IF($A70&lt;'Pool &amp; SPA Pipe Extender'!$A$11,VLOOKUP($A70,'Pool &amp; SPA Pipe Extender'!$A$8:$M$10,5,FALSE),
IF($A70&lt;'PVC SCH80'!$A$250,VLOOKUP($A70,'PVC SCH80'!$A$8:$M$249,5,FALSE),
IF($A70&lt;'PVC SCH80 Flange'!$A$49,VLOOKUP($A70,'PVC SCH80 Flange'!$A$8:$M$48,5,FALSE),
IF($A70&lt;'PVC SCH80 LD Flange'!$A$17,VLOOKUP($A70,'PVC SCH80 LD Flange'!$A$8:$M$16,5,FALSE),
IF($A70&lt;CPVC!$A$100,VLOOKUP($A70,CPVC!$A$8:$M$99,5,FALSE),
IF($A70&lt;InsertFittings!$A$237,VLOOKUP($A70,InsertFittings!$A$11:$M$236,5,FALSE),
IF($A70&lt;Valves!$A$132,VLOOKUP($A70,Valves!$A$8:$M$131,5,FALSE),
IF($A70&lt;SDR35SW!$A$124,VLOOKUP($A70,SDR35SW!$A$8:$M$123,5,FALSE),
IF($A70&lt;SDR35G!$A$143,VLOOKUP($A70, SDR35G!$A$8:$M$142,5,FALSE),
IF($A70&lt;SDR26G!$A$61,VLOOKUP($A70,SDR26G!$A$8:$N$60,5,FALSE),
IF($A70&lt;Cements!$A$100,VLOOKUP($A70,Cements!$A$8:$Q$99,5,FALSE),
IF($A70&lt;ValveBox!$A$143,VLOOKUP($A70,ValveBox!$A$10:$O$142,5,FALSE),
IF($A70&lt;'ValveBox Components'!$A$165,VLOOKUP($A70,'ValveBox Components'!$A$10:$O$164,5,FALSE),
IF($A70&lt;Drainage!$A$92,VLOOKUP($A70,Drainage!$A$8:$M$91,5,FALSE),
IF($A70&lt;Nipples!$A$82,VLOOKUP($A70,Nipples!$A$9:$Q$81,5,FALSE),
IF($A70&lt;Manifold!$A$33,VLOOKUP($A70,Manifold!$A$9:$M$32,5,FALSE),
IF($A70&lt;FlexibleRepairCouplings!$A$13,VLOOKUP($A70,FlexibleRepairCouplings!$A$10:$M$12,5,FALSE),
IF($A70&lt;DuraFix!$A$15,VLOOKUP($A70,DuraFix!$A$9:$M$14,5,FALSE),
IF($A70&lt;'Compression Fittings'!$A$16,VLOOKUP($A70,'Compression Fittings'!$A$8:$M$15,5,FALSE),
IF($A70&lt;'Hose Fittings'!$A$30,VLOOKUP($A70,'Hose Fittings'!$A$8:$M$29,5,FALSE),
IF($A70&lt;'Swing Joints'!$A$496,VLOOKUP($A70,'Swing Joints'!$A$9:$M$495,5,FALSE),
IF($A70&lt;'Swing Joints Components'!$A$135,VLOOKUP($A70,'Swing Joints Components'!$A$9:$M$134,5,FALSE),
IF($A70&lt;Nonstandard!$A$42,VLOOKUP($A70,Nonstandard!$A$31:$J$41,6,FALSE),"")))))))))))))))))))))))))))),"")</f>
        <v/>
      </c>
      <c r="D70" s="428" t="str">
        <f>IFERROR(IF($A70&lt;'DWV PVC'!$A$285,VLOOKUP($A70,'DWV PVC'!$A$8:$M$284,6,FALSE),
IF($A70&lt;'DWV ABS'!$A$117,VLOOKUP($A70,'DWV ABS'!$A$8:$M$116,6,FALSE),
IF($A70&lt;'PVC SCH40'!$A$376,VLOOKUP($A70,'PVC SCH40'!$A$8:$M$375,6,FALSE),
IF($A70&lt;'PVC SCH40 LD'!$A$22,VLOOKUP($A70,'PVC SCH40 LD'!$A$8:$M$21,6,FALSE),
IF($A70&lt;'Pool &amp; SPA Sweep Elbows'!$A$12,VLOOKUP($A70,'Pool &amp; SPA Sweep Elbows'!$A$8:$M$11,6,FALSE),
IF($A70&lt;'Pool &amp; SPA Pipe Extender'!$A$11,VLOOKUP($A70,'Pool &amp; SPA Pipe Extender'!$A$8:$M$10,6,FALSE),
IF($A70&lt;'PVC SCH80'!$A$250,VLOOKUP($A70,'PVC SCH80'!$A$8:$M$249,6,FALSE),
IF($A70&lt;'PVC SCH80 Flange'!$A$49,VLOOKUP($A70,'PVC SCH80 Flange'!$A$8:$M$48,6,FALSE),
IF($A70&lt;'PVC SCH80 LD Flange'!$A$17,VLOOKUP($A70,'PVC SCH80 LD Flange'!$A$8:$M$16,6,FALSE),
IF($A70&lt;CPVC!$A$100,VLOOKUP($A70,CPVC!$A$8:$M$99,6,FALSE),
IF($A70&lt;InsertFittings!$A$237,VLOOKUP($A70,InsertFittings!$A$11:$M$236,6,FALSE),
IF($A70&lt;Valves!$A$132,VLOOKUP($A70,Valves!$A$8:$M$131,6,FALSE),
IF($A70&lt;SDR35SW!$A$124,VLOOKUP($A70,SDR35SW!$A$8:$M$123,6,FALSE),
IF($A70&lt;SDR35G!$A$143,VLOOKUP($A70, SDR35G!$A$8:$M$142,6,FALSE),
IF($A70&lt;SDR26G!$A$61,VLOOKUP($A70,SDR26G!$A$8:$N$60,6,FALSE),
IF($A70&lt;Cements!$A$100,VLOOKUP($A70,Cements!$A$8:$Q$99,6,FALSE),
IF($A70&lt;ValveBox!$A$143,VLOOKUP($A70,ValveBox!$A$10:$O$142,6,FALSE),
IF($A70&lt;'ValveBox Components'!$A$165,VLOOKUP($A70,'ValveBox Components'!$A$10:$O$164,6,FALSE),
IF($A70&lt;Drainage!$A$92,VLOOKUP($A70,Drainage!$A$8:$M$91,6,FALSE),
IF($A70&lt;Nipples!$A$82,VLOOKUP($A70,Nipples!$A$9:$Q$81,6,FALSE),
IF($A70&lt;Manifold!$A$33,VLOOKUP($A70,Manifold!$A$9:$M$32,6,FALSE),
IF($A70&lt;FlexibleRepairCouplings!$A$13,VLOOKUP($A70,FlexibleRepairCouplings!$A$10:$M$12,6,FALSE),
IF($A70&lt;DuraFix!$A$15,VLOOKUP($A70,DuraFix!$A$9:$M$14,6,FALSE),
IF($A70&lt;'Compression Fittings'!$A$16,VLOOKUP($A70,'Compression Fittings'!$A$8:$M$15,6,FALSE),
IF($A70&lt;'Hose Fittings'!$A$30,VLOOKUP($A70,'Hose Fittings'!$A$8:$M$29,6,FALSE),
IF($A70&lt;'Swing Joints'!$A$496,VLOOKUP($A70,'Swing Joints'!$A$9:$M$495,6,FALSE),
IF($A70&lt;'Swing Joints Components'!$A$135,VLOOKUP($A70,'Swing Joints Components'!$A$9:$M$134,6,FALSE),
IF($A70&lt;Nonstandard!$A$42,VLOOKUP($A70,Nonstandard!$A$31:$J$41,7,FALSE),"")))))))))))))))))))))))))))),"")</f>
        <v/>
      </c>
      <c r="E70" s="429"/>
      <c r="F70" s="421" t="str">
        <f>IFERROR(IF($A70&lt;'DWV PVC'!$A$285,VLOOKUP($A70,'DWV PVC'!$A$8:$M$284,9,FALSE),
IF($A70&lt;'DWV ABS'!$A$117,VLOOKUP($A70,'DWV ABS'!$A$8:$M$116,9,FALSE),
IF($A70&lt;'PVC SCH40'!$A$376,VLOOKUP($A70,'PVC SCH40'!$A$8:$M$375,9,FALSE),
IF($A70&lt;'PVC SCH40 LD'!$A$22,VLOOKUP($A70,'PVC SCH40 LD'!$A$8:$M$21,9,FALSE),
IF($A70&lt;'Pool &amp; SPA Sweep Elbows'!$A$12,VLOOKUP($A70,'Pool &amp; SPA Sweep Elbows'!$A$8:$M$11,9,FALSE),
IF($A70&lt;'Pool &amp; SPA Pipe Extender'!$A$11,VLOOKUP($A70,'Pool &amp; SPA Pipe Extender'!$A$8:$M$10,9,FALSE),
IF($A70&lt;'PVC SCH80'!$A$250,VLOOKUP($A70,'PVC SCH80'!$A$8:$M$249,9,FALSE),
IF($A70&lt;'PVC SCH80 Flange'!$A$49,VLOOKUP($A70,'PVC SCH80 Flange'!$A$8:$M$48,9,FALSE),
IF($A70&lt;'PVC SCH80 LD Flange'!$A$17,VLOOKUP($A70,'PVC SCH80 LD Flange'!$A$8:$M$16,9,FALSE),
IF($A70&lt;CPVC!$A$100,VLOOKUP($A70,CPVC!$A$8:$M$99,9,FALSE),
IF($A70&lt;InsertFittings!$A$237,VLOOKUP($A70,InsertFittings!$A$11:$M$236,9,FALSE),
IF($A70&lt;Valves!$A$132,VLOOKUP($A70,Valves!$A$8:$M$131,9,FALSE),
IF($A70&lt;SDR35SW!$A$124,VLOOKUP($A70,SDR35SW!$A$8:$M$123,9,FALSE),
IF($A70&lt;SDR35G!$A$143,VLOOKUP($A70, SDR35G!$A$8:$M$142,9,FALSE),
IF($A70&lt;SDR26G!$A$61,VLOOKUP($A70,SDR26G!$A$8:$N$60,10,FALSE),
IF($A70&lt;Cements!$A$100,VLOOKUP($A70,Cements!$A$8:$Q$99,13,FALSE),
IF($A70&lt;ValveBox!$A$143,VLOOKUP($A70,ValveBox!$A$10:$O$142,11,FALSE),
IF($A70&lt;'ValveBox Components'!$A$165,VLOOKUP($A70,'ValveBox Components'!$A$10:$O$164,11,FALSE),
IF($A70&lt;Drainage!$A$92,VLOOKUP($A70,Drainage!$A$8:$M$91,9,FALSE),
IF($A70&lt;Nipples!$A$82,VLOOKUP($A70,Nipples!$A$9:$Q$81,13,FALSE),
IF($A70&lt;Manifold!$A$33,VLOOKUP($A70,Manifold!$A$9:$M$32,9,FALSE),
IF($A70&lt;FlexibleRepairCouplings!$A$13,VLOOKUP($A70,FlexibleRepairCouplings!$A$10:$M$12,9,FALSE),
IF($A70&lt;DuraFix!$A$15,VLOOKUP($A70,DuraFix!$A$9:$M$14,9,FALSE),
IF($A70&lt;'Compression Fittings'!$A$16,VLOOKUP($A70,'Compression Fittings'!$A$8:$M$15,9,FALSE),
IF($A70&lt;'Hose Fittings'!$A$30,VLOOKUP($A70,'Hose Fittings'!$A$8:$M$29,9,FALSE),
IF($A70&lt;'Swing Joints'!$A$496,VLOOKUP($A70,'Swing Joints'!$A$9:$M$495,9,FALSE),
IF($A70&lt;'Swing Joints Components'!$A$135,VLOOKUP($A70,'Swing Joints Components'!$A$9:$M$134,9,FALSE),
IF($A70&lt;Nonstandard!$A$42,VLOOKUP($A70,Nonstandard!$A$31:$J$41,8,FALSE),"")))))))))))))))))))))))))))),"")</f>
        <v/>
      </c>
      <c r="G70" s="422" t="str">
        <f>IFERROR(IF($A70&lt;'DWV PVC'!$A$285,VLOOKUP($A70,'DWV PVC'!$A$8:$M$284,11,FALSE),
IF($A70&lt;'DWV ABS'!$A$117,VLOOKUP($A70,'DWV ABS'!$A$8:$M$116,11,FALSE),
IF($A70&lt;'PVC SCH40'!$A$376,VLOOKUP($A70,'PVC SCH40'!$A$8:$M$375,11,FALSE),
IF($A70&lt;'PVC SCH40 LD'!$A$22,VLOOKUP($A70,'PVC SCH40 LD'!$A$8:$M$21,11,FALSE),
IF($A70&lt;'Pool &amp; SPA Sweep Elbows'!$A$12,VLOOKUP($A70,'Pool &amp; SPA Sweep Elbows'!$A$8:$M$11,11,FALSE),
IF($A70&lt;'Pool &amp; SPA Pipe Extender'!$A$11,VLOOKUP($A70,'Pool &amp; SPA Pipe Extender'!$A$8:$M$10,11,FALSE),
IF($A70&lt;'PVC SCH80'!$A$250,VLOOKUP($A70,'PVC SCH80'!$A$8:$M$249,11,FALSE),
IF($A70&lt;'PVC SCH80 Flange'!$A$49,VLOOKUP($A70,'PVC SCH80 Flange'!$A$8:$M$48,11,FALSE),
IF($A70&lt;'PVC SCH80 LD Flange'!$A$17,VLOOKUP($A70,'PVC SCH80 LD Flange'!$A$8:$M$16,11,FALSE),
IF($A70&lt;CPVC!$A$100,VLOOKUP($A70,CPVC!$A$8:$M$99,11,FALSE),
IF($A70&lt;InsertFittings!$A$237,VLOOKUP($A70,InsertFittings!$A$11:$M$236,11,FALSE),
IF($A70&lt;Valves!$A$132,VLOOKUP($A70,Valves!$A$8:$M$131,11,FALSE),
IF($A70&lt;SDR35SW!$A$124,VLOOKUP($A70,SDR35SW!$A$8:$M$123,11,FALSE),
IF($A70&lt;SDR35G!$A$143,VLOOKUP($A70, SDR35G!$A$8:$M$142,11,FALSE),
IF($A70&lt;SDR26G!$A$61,VLOOKUP($A70,SDR26G!$A$8:$N$60,12,FALSE),
IF($A70&lt;Cements!$A$100,VLOOKUP($A70,Cements!$A$8:$Q$99,15,FALSE),
IF($A70&lt;ValveBox!$A$143,VLOOKUP($A70,ValveBox!$A$10:$O$142,13,FALSE),
IF($A70&lt;'ValveBox Components'!$A$165,VLOOKUP($A70,'ValveBox Components'!$A$10:$O$164,13,FALSE),
IF($A70&lt;Drainage!$A$92,VLOOKUP($A70,Drainage!$A$8:$M$91,11,FALSE),
IF($A70&lt;Nipples!$A$82,VLOOKUP($A70,Nipples!$A$9:$Q$81,15,FALSE),
IF($A70&lt;Manifold!$A$33,VLOOKUP($A70,Manifold!$A$9:$M$32,11,FALSE),
IF($A70&lt;FlexibleRepairCouplings!$A$13,VLOOKUP($A70,FlexibleRepairCouplings!$A$10:$M$12,11,FALSE),
IF($A70&lt;DuraFix!$A$15,VLOOKUP($A70,DuraFix!$A$9:$M$14,11,FALSE),
IF($A70&lt;'Compression Fittings'!$A$16,VLOOKUP($A70,'Compression Fittings'!$A$8:$M$15,11,FALSE),
IF($A70&lt;'Hose Fittings'!$A$30,VLOOKUP($A70,'Hose Fittings'!$A$8:$M$29,11,FALSE),
IF($A70&lt;'Swing Joints'!$A$496,VLOOKUP($A70,'Swing Joints'!$A$9:$M$495,11,FALSE),
IF($A70&lt;'Swing Joints Components'!$A$135,VLOOKUP($A70,'Swing Joints Components'!$A$9:$M$134,11,FALSE),
IF($A70&lt;Nonstandard!$A$42,VLOOKUP($A70,Nonstandard!$A$31:$J$41,3,FALSE),"")))))))))))))))))))))))))))),"")</f>
        <v/>
      </c>
      <c r="H70" s="588" t="str">
        <f>IFERROR(IF($A70&lt;'DWV PVC'!$A$285,VLOOKUP($A70,'DWV PVC'!$A$8:$M$284,7,FALSE),
IF($A70&lt;'DWV ABS'!$A$117,VLOOKUP($A70,'DWV ABS'!$A$8:$M$116,7,FALSE),
IF($A70&lt;'PVC SCH40'!$A$376,VLOOKUP($A70,'PVC SCH40'!$A$8:$M$375,7,FALSE),
IF($A70&lt;'PVC SCH40 LD'!$A$22,VLOOKUP($A70,'PVC SCH40 LD'!$A$8:$M$21,7,FALSE),
IF($A70&lt;'Pool &amp; SPA Sweep Elbows'!$A$12,VLOOKUP($A70,'Pool &amp; SPA Sweep Elbows'!$A$8:$M$11,7,FALSE),
IF($A70&lt;'Pool &amp; SPA Pipe Extender'!$A$11,VLOOKUP($A70,'Pool &amp; SPA Pipe Extender'!$A$8:$M$10,7,FALSE),
IF($A70&lt;'PVC SCH80'!$A$250,VLOOKUP($A70,'PVC SCH80'!$A$8:$M$249,7,FALSE),
IF($A70&lt;'PVC SCH80 Flange'!$A$49,VLOOKUP($A70,'PVC SCH80 Flange'!$A$8:$M$48,7,FALSE),
IF($A70&lt;'PVC SCH80 LD Flange'!$A$17,VLOOKUP($A70,'PVC SCH80 LD Flange'!$A$8:$M$16,7,FALSE),
IF($A70&lt;CPVC!$A$100,VLOOKUP($A70,CPVC!$A$8:$M$99,7,FALSE),
IF($A70&lt;InsertFittings!$A$237,VLOOKUP($A70,InsertFittings!$A$11:$M$236,7,FALSE),
IF($A70&lt;Valves!$A$132,VLOOKUP($A70,Valves!$A$8:$M$131,7,FALSE),
IF($A70&lt;SDR35SW!$A$124,VLOOKUP($A70,SDR35SW!$A$8:$M$123,7,FALSE),
IF($A70&lt;SDR35G!$A$143,VLOOKUP($A70, SDR35G!$A$8:$M$142,7,FALSE),
IF($A70&lt;SDR26G!$A$61,VLOOKUP($A70,SDR26G!$A$8:$N$60,10,FALSE),
IF($A70&lt;Cements!$A$100,VLOOKUP($A70,Cements!$A$8:$Q$99,13,FALSE),
IF($A70&lt;ValveBox!$A$143,VLOOKUP($A70,ValveBox!$A$10:$O$142,11,FALSE),
IF($A70&lt;'ValveBox Components'!$A$165,VLOOKUP($A70,'ValveBox Components'!$A$10:$O$164,11,FALSE),
IF($A70&lt;Drainage!$A$92,VLOOKUP($A70,Drainage!$A$8:$M$91,7,FALSE),
IF($A70&lt;Nipples!$A$82,VLOOKUP($A70,Nipples!$A$9:$Q$81,13,FALSE),
IF($A70&lt;Manifold!$A$33,VLOOKUP($A70,Manifold!$A$9:$M$32,7,FALSE),
IF($A70&lt;FlexibleRepairCouplings!$A$13,VLOOKUP($A70,FlexibleRepairCouplings!$A$10:$M$12,7,FALSE),
IF($A70&lt;DuraFix!$A$15,VLOOKUP($A70,DuraFix!$A$9:$M$14,7,FALSE),
IF($A70&lt;'Compression Fittings'!$A$16,VLOOKUP($A70,'Compression Fittings'!$A$8:$M$15,7,FALSE),
IF($A70&lt;'Hose Fittings'!$A$30,VLOOKUP($A70,'Hose Fittings'!$A$8:$M$29,7,FALSE),
IF($A70&lt;'Swing Joints'!$A$496,VLOOKUP($A70,'Swing Joints'!$A$9:$M$495,7,FALSE),
IF($A70&lt;'Swing Joints Components'!$A$135,VLOOKUP($A70,'Swing Joints Components'!$A$9:$M$134,7,FALSE),
IF($A70&lt;Nonstandard!$A$42,VLOOKUP($A70,Nonstandard!$A$31:$J$41,3,FALSE),"")))))))))))))))))))))))))))),"")</f>
        <v/>
      </c>
      <c r="I70" s="589"/>
      <c r="J70" s="423" t="str">
        <f t="shared" si="1"/>
        <v/>
      </c>
      <c r="K70" s="424" t="str">
        <f>IFERROR(IF($A70&lt;'DWV PVC'!$A$285,VLOOKUP($A70,'DWV PVC'!$A$8:$M$284,10,FALSE),
IF($A70&lt;'DWV ABS'!$A$117,VLOOKUP($A70,'DWV ABS'!$A$8:$M$116,10,FALSE),
IF($A70&lt;'PVC SCH40'!$A$376,VLOOKUP($A70,'PVC SCH40'!$A$8:$M$375,10,FALSE),
IF($A70&lt;'PVC SCH40 LD'!$A$22,VLOOKUP($A70,'PVC SCH40 LD'!$A$8:$M$21,10,FALSE),
IF($A70&lt;'Pool &amp; SPA Sweep Elbows'!$A$12,VLOOKUP($A70,'Pool &amp; SPA Sweep Elbows'!$A$8:$M$11,10,FALSE),
IF($A70&lt;'Pool &amp; SPA Pipe Extender'!$A$11,VLOOKUP($A70,'Pool &amp; SPA Pipe Extender'!$A$8:$M$10,10,FALSE),
IF($A70&lt;'PVC SCH80'!$A$250,VLOOKUP($A70,'PVC SCH80'!$A$8:$M$249,10,FALSE),
IF($A70&lt;'PVC SCH80 Flange'!$A$49,VLOOKUP($A70,'PVC SCH80 Flange'!$A$8:$M$48,10,FALSE),
IF($A70&lt;'PVC SCH80 LD Flange'!$A$17,VLOOKUP($A70,'PVC SCH80 LD Flange'!$A$8:$M$16,10,FALSE),
IF($A70&lt;CPVC!$A$100,VLOOKUP($A70,CPVC!$A$8:$M$99,10,FALSE),
IF($A70&lt;InsertFittings!$A$237,VLOOKUP($A70,InsertFittings!$A$11:$M$236,10,FALSE),
IF($A70&lt;Valves!$A$132,VLOOKUP($A70,Valves!$A$8:$M$131,10,FALSE),
IF($A70&lt;SDR35SW!$A$124,VLOOKUP($A70,SDR35SW!$A$8:$M$123,10,FALSE),
IF($A70&lt;SDR35G!$A$143,VLOOKUP($A70, SDR35G!$A$8:$M$142,10,FALSE),
IF($A70&lt;SDR26G!$A$61,VLOOKUP($A70,SDR26G!$A$8:$N$60,11,FALSE),
IF($A70&lt;Cements!$A$100,VLOOKUP($A70,Cements!$A$8:$Q$99,14,FALSE),
IF($A70&lt;ValveBox!$A$143,VLOOKUP($A70,ValveBox!$A$10:$O$142,12,FALSE),
IF($A70&lt;'ValveBox Components'!$A$165,VLOOKUP($A70,'ValveBox Components'!$A$10:$O$164,12,FALSE),
IF($A70&lt;Drainage!$A$92,VLOOKUP($A70,Drainage!$A$8:$M$91,10,FALSE),
IF($A70&lt;Nipples!$A$82,VLOOKUP($A70,Nipples!$A$9:$Q$81,14,FALSE),
IF($A70&lt;Manifold!$A$33,VLOOKUP($A70,Manifold!$A$9:$M$32,10,FALSE),
IF($A70&lt;FlexibleRepairCouplings!$A$13,VLOOKUP($A70,FlexibleRepairCouplings!$A$10:$M$12,10,FALSE),
IF($A70&lt;DuraFix!$A$15,VLOOKUP($A70,DuraFix!$A$9:$M$14,10,FALSE),
IF($A70&lt;'Compression Fittings'!$A$16,VLOOKUP($A70,'Compression Fittings'!$A$8:$M$15,10,FALSE),
IF($A70&lt;'Hose Fittings'!$A$30,VLOOKUP($A70,'Hose Fittings'!$A$8:$M$29,10,FALSE),
IF($A70&lt;'Swing Joints'!$A$496,VLOOKUP($A70,'Swing Joints'!$A$9:$M$495,10,FALSE),
IF($A70&lt;'Swing Joints Components'!$A$135,VLOOKUP($A70,'Swing Joints Components'!$A$9:$M$134,10,FALSE),
IF($A70&lt;Nonstandard!$A$42,VLOOKUP($A70,Nonstandard!$A$31:$J$41,10,FALSE),"")))))))))))))))))))))))))))),"")</f>
        <v/>
      </c>
      <c r="L70" s="421" t="str">
        <f t="shared" si="0"/>
        <v>-</v>
      </c>
      <c r="M70" s="425"/>
    </row>
    <row r="71" spans="1:13" ht="15.75">
      <c r="A71" s="415">
        <v>39</v>
      </c>
      <c r="B71" s="415" t="str">
        <f>IFERROR(IF($A71&lt;'DWV PVC'!$A$285,VLOOKUP($A71,'DWV PVC'!$A$8:$M$284,4,FALSE),
IF($A71&lt;'DWV ABS'!$A$117,VLOOKUP($A71,'DWV ABS'!$A$8:$M$116,4,FALSE),
IF($A71&lt;'PVC SCH40'!$A$376,VLOOKUP($A71,'PVC SCH40'!$A$8:$M$375,4,FALSE),
IF($A71&lt;'PVC SCH40 LD'!$A$22,VLOOKUP($A71,'PVC SCH40 LD'!$A$8:$M$21,4,FALSE),
IF($A71&lt;'Pool &amp; SPA Sweep Elbows'!$A$12,VLOOKUP($A71,'Pool &amp; SPA Sweep Elbows'!$A$8:$M$11,4,FALSE),
IF($A71&lt;'Pool &amp; SPA Pipe Extender'!$A$11,VLOOKUP($A71,'Pool &amp; SPA Pipe Extender'!$A$8:$M$10,4,FALSE),
IF($A71&lt;'PVC SCH80'!$A$250,VLOOKUP($A71,'PVC SCH80'!$A$8:$M$249,4,FALSE),
IF($A71&lt;'PVC SCH80 Flange'!$A$49,VLOOKUP($A71,'PVC SCH80 Flange'!$A$8:$M$48,4,FALSE),
IF($A71&lt;'PVC SCH80 LD Flange'!$A$17,VLOOKUP($A71,'PVC SCH80 LD Flange'!$A$8:$M$16,4,FALSE),
IF($A71&lt;CPVC!$A$100,VLOOKUP($A71,CPVC!$A$8:$M$99,4,FALSE),
IF($A71&lt;InsertFittings!$A$237,VLOOKUP($A71,InsertFittings!$A$11:$M$236,4,FALSE),
IF($A71&lt;Valves!$A$132,VLOOKUP($A71,Valves!$A$8:$M$131,4,FALSE),
IF($A71&lt;SDR35SW!$A$124,VLOOKUP($A71,SDR35SW!$A$8:$M$123,4,FALSE),
IF($A71&lt;SDR35G!$A$143,VLOOKUP($A71, SDR35G!$A$8:$M$142,4,FALSE),
IF($A71&lt;SDR26G!$A$61,VLOOKUP($A71,SDR26G!$A$8:$N$60,4,FALSE),
IF($A71&lt;Cements!$A$100,VLOOKUP($A71,Cements!$A$8:$Q$99,4,FALSE),
IF($A71&lt;ValveBox!$A$143,VLOOKUP($A71,ValveBox!$A$10:$O$142,4,FALSE),
IF($A71&lt;'ValveBox Components'!$A$165,VLOOKUP($A71,'ValveBox Components'!$A$10:$O$164,4,FALSE),
IF($A71&lt;Drainage!$A$92,VLOOKUP($A71,Drainage!$A$8:$M$91,4,FALSE),
IF($A71&lt;Nipples!$A$82,VLOOKUP($A71,Nipples!$A$9:$Q$81,4,FALSE),
IF($A71&lt;Manifold!$A$33,VLOOKUP($A71,Manifold!$A$9:$M$32,4,FALSE),
IF($A71&lt;FlexibleRepairCouplings!$A$13,VLOOKUP($A71,FlexibleRepairCouplings!$A$10:$M$12,4,FALSE),
IF($A71&lt;DuraFix!$A$15,VLOOKUP($A71,DuraFix!$A$9:$M$14,4,FALSE),
IF($A71&lt;'Compression Fittings'!$A$16,VLOOKUP($A71,'Compression Fittings'!$A$8:$M$15,4,FALSE),
IF($A71&lt;'Hose Fittings'!$A$30,VLOOKUP($A71,'Hose Fittings'!$A$8:$M$29,4,FALSE),
IF($A71&lt;'Swing Joints'!$A$496,VLOOKUP($A71,'Swing Joints'!$A$9:$M$495,4,FALSE),
IF($A71&lt;'Swing Joints Components'!$A$135,VLOOKUP($A71,'Swing Joints Components'!$A$9:$M$134,4,FALSE),
IF($A71&lt;Nonstandard!$A$42,VLOOKUP($A71,Nonstandard!$A$31:$J$41,5,FALSE),"")))))))))))))))))))))))))))),"")</f>
        <v/>
      </c>
      <c r="C71" s="415" t="str">
        <f>IFERROR(IF($A71&lt;'DWV PVC'!$A$285,VLOOKUP($A71,'DWV PVC'!$A$8:$M$284,5,FALSE),
IF($A71&lt;'DWV ABS'!$A$117,VLOOKUP($A71,'DWV ABS'!$A$8:$M$116,5,FALSE),
IF($A71&lt;'PVC SCH40'!$A$376,VLOOKUP($A71,'PVC SCH40'!$A$8:$M$375,5,FALSE),
IF($A71&lt;'PVC SCH40 LD'!$A$22,VLOOKUP($A71,'PVC SCH40 LD'!$A$8:$M$21,5,FALSE),
IF($A71&lt;'Pool &amp; SPA Sweep Elbows'!$A$12,VLOOKUP($A71,'Pool &amp; SPA Sweep Elbows'!$A$8:$M$11,5,FALSE),
IF($A71&lt;'Pool &amp; SPA Pipe Extender'!$A$11,VLOOKUP($A71,'Pool &amp; SPA Pipe Extender'!$A$8:$M$10,5,FALSE),
IF($A71&lt;'PVC SCH80'!$A$250,VLOOKUP($A71,'PVC SCH80'!$A$8:$M$249,5,FALSE),
IF($A71&lt;'PVC SCH80 Flange'!$A$49,VLOOKUP($A71,'PVC SCH80 Flange'!$A$8:$M$48,5,FALSE),
IF($A71&lt;'PVC SCH80 LD Flange'!$A$17,VLOOKUP($A71,'PVC SCH80 LD Flange'!$A$8:$M$16,5,FALSE),
IF($A71&lt;CPVC!$A$100,VLOOKUP($A71,CPVC!$A$8:$M$99,5,FALSE),
IF($A71&lt;InsertFittings!$A$237,VLOOKUP($A71,InsertFittings!$A$11:$M$236,5,FALSE),
IF($A71&lt;Valves!$A$132,VLOOKUP($A71,Valves!$A$8:$M$131,5,FALSE),
IF($A71&lt;SDR35SW!$A$124,VLOOKUP($A71,SDR35SW!$A$8:$M$123,5,FALSE),
IF($A71&lt;SDR35G!$A$143,VLOOKUP($A71, SDR35G!$A$8:$M$142,5,FALSE),
IF($A71&lt;SDR26G!$A$61,VLOOKUP($A71,SDR26G!$A$8:$N$60,5,FALSE),
IF($A71&lt;Cements!$A$100,VLOOKUP($A71,Cements!$A$8:$Q$99,5,FALSE),
IF($A71&lt;ValveBox!$A$143,VLOOKUP($A71,ValveBox!$A$10:$O$142,5,FALSE),
IF($A71&lt;'ValveBox Components'!$A$165,VLOOKUP($A71,'ValveBox Components'!$A$10:$O$164,5,FALSE),
IF($A71&lt;Drainage!$A$92,VLOOKUP($A71,Drainage!$A$8:$M$91,5,FALSE),
IF($A71&lt;Nipples!$A$82,VLOOKUP($A71,Nipples!$A$9:$Q$81,5,FALSE),
IF($A71&lt;Manifold!$A$33,VLOOKUP($A71,Manifold!$A$9:$M$32,5,FALSE),
IF($A71&lt;FlexibleRepairCouplings!$A$13,VLOOKUP($A71,FlexibleRepairCouplings!$A$10:$M$12,5,FALSE),
IF($A71&lt;DuraFix!$A$15,VLOOKUP($A71,DuraFix!$A$9:$M$14,5,FALSE),
IF($A71&lt;'Compression Fittings'!$A$16,VLOOKUP($A71,'Compression Fittings'!$A$8:$M$15,5,FALSE),
IF($A71&lt;'Hose Fittings'!$A$30,VLOOKUP($A71,'Hose Fittings'!$A$8:$M$29,5,FALSE),
IF($A71&lt;'Swing Joints'!$A$496,VLOOKUP($A71,'Swing Joints'!$A$9:$M$495,5,FALSE),
IF($A71&lt;'Swing Joints Components'!$A$135,VLOOKUP($A71,'Swing Joints Components'!$A$9:$M$134,5,FALSE),
IF($A71&lt;Nonstandard!$A$42,VLOOKUP($A71,Nonstandard!$A$31:$J$41,6,FALSE),"")))))))))))))))))))))))))))),"")</f>
        <v/>
      </c>
      <c r="D71" s="426" t="str">
        <f>IFERROR(IF($A71&lt;'DWV PVC'!$A$285,VLOOKUP($A71,'DWV PVC'!$A$8:$M$284,6,FALSE),
IF($A71&lt;'DWV ABS'!$A$117,VLOOKUP($A71,'DWV ABS'!$A$8:$M$116,6,FALSE),
IF($A71&lt;'PVC SCH40'!$A$376,VLOOKUP($A71,'PVC SCH40'!$A$8:$M$375,6,FALSE),
IF($A71&lt;'PVC SCH40 LD'!$A$22,VLOOKUP($A71,'PVC SCH40 LD'!$A$8:$M$21,6,FALSE),
IF($A71&lt;'Pool &amp; SPA Sweep Elbows'!$A$12,VLOOKUP($A71,'Pool &amp; SPA Sweep Elbows'!$A$8:$M$11,6,FALSE),
IF($A71&lt;'Pool &amp; SPA Pipe Extender'!$A$11,VLOOKUP($A71,'Pool &amp; SPA Pipe Extender'!$A$8:$M$10,6,FALSE),
IF($A71&lt;'PVC SCH80'!$A$250,VLOOKUP($A71,'PVC SCH80'!$A$8:$M$249,6,FALSE),
IF($A71&lt;'PVC SCH80 Flange'!$A$49,VLOOKUP($A71,'PVC SCH80 Flange'!$A$8:$M$48,6,FALSE),
IF($A71&lt;'PVC SCH80 LD Flange'!$A$17,VLOOKUP($A71,'PVC SCH80 LD Flange'!$A$8:$M$16,6,FALSE),
IF($A71&lt;CPVC!$A$100,VLOOKUP($A71,CPVC!$A$8:$M$99,6,FALSE),
IF($A71&lt;InsertFittings!$A$237,VLOOKUP($A71,InsertFittings!$A$11:$M$236,6,FALSE),
IF($A71&lt;Valves!$A$132,VLOOKUP($A71,Valves!$A$8:$M$131,6,FALSE),
IF($A71&lt;SDR35SW!$A$124,VLOOKUP($A71,SDR35SW!$A$8:$M$123,6,FALSE),
IF($A71&lt;SDR35G!$A$143,VLOOKUP($A71, SDR35G!$A$8:$M$142,6,FALSE),
IF($A71&lt;SDR26G!$A$61,VLOOKUP($A71,SDR26G!$A$8:$N$60,6,FALSE),
IF($A71&lt;Cements!$A$100,VLOOKUP($A71,Cements!$A$8:$Q$99,6,FALSE),
IF($A71&lt;ValveBox!$A$143,VLOOKUP($A71,ValveBox!$A$10:$O$142,6,FALSE),
IF($A71&lt;'ValveBox Components'!$A$165,VLOOKUP($A71,'ValveBox Components'!$A$10:$O$164,6,FALSE),
IF($A71&lt;Drainage!$A$92,VLOOKUP($A71,Drainage!$A$8:$M$91,6,FALSE),
IF($A71&lt;Nipples!$A$82,VLOOKUP($A71,Nipples!$A$9:$Q$81,6,FALSE),
IF($A71&lt;Manifold!$A$33,VLOOKUP($A71,Manifold!$A$9:$M$32,6,FALSE),
IF($A71&lt;FlexibleRepairCouplings!$A$13,VLOOKUP($A71,FlexibleRepairCouplings!$A$10:$M$12,6,FALSE),
IF($A71&lt;DuraFix!$A$15,VLOOKUP($A71,DuraFix!$A$9:$M$14,6,FALSE),
IF($A71&lt;'Compression Fittings'!$A$16,VLOOKUP($A71,'Compression Fittings'!$A$8:$M$15,6,FALSE),
IF($A71&lt;'Hose Fittings'!$A$30,VLOOKUP($A71,'Hose Fittings'!$A$8:$M$29,6,FALSE),
IF($A71&lt;'Swing Joints'!$A$496,VLOOKUP($A71,'Swing Joints'!$A$9:$M$495,6,FALSE),
IF($A71&lt;'Swing Joints Components'!$A$135,VLOOKUP($A71,'Swing Joints Components'!$A$9:$M$134,6,FALSE),
IF($A71&lt;Nonstandard!$A$42,VLOOKUP($A71,Nonstandard!$A$31:$J$41,7,FALSE),"")))))))))))))))))))))))))))),"")</f>
        <v/>
      </c>
      <c r="E71" s="427"/>
      <c r="F71" s="418" t="str">
        <f>IFERROR(IF($A71&lt;'DWV PVC'!$A$285,VLOOKUP($A71,'DWV PVC'!$A$8:$M$284,9,FALSE),
IF($A71&lt;'DWV ABS'!$A$117,VLOOKUP($A71,'DWV ABS'!$A$8:$M$116,9,FALSE),
IF($A71&lt;'PVC SCH40'!$A$376,VLOOKUP($A71,'PVC SCH40'!$A$8:$M$375,9,FALSE),
IF($A71&lt;'PVC SCH40 LD'!$A$22,VLOOKUP($A71,'PVC SCH40 LD'!$A$8:$M$21,9,FALSE),
IF($A71&lt;'Pool &amp; SPA Sweep Elbows'!$A$12,VLOOKUP($A71,'Pool &amp; SPA Sweep Elbows'!$A$8:$M$11,9,FALSE),
IF($A71&lt;'Pool &amp; SPA Pipe Extender'!$A$11,VLOOKUP($A71,'Pool &amp; SPA Pipe Extender'!$A$8:$M$10,9,FALSE),
IF($A71&lt;'PVC SCH80'!$A$250,VLOOKUP($A71,'PVC SCH80'!$A$8:$M$249,9,FALSE),
IF($A71&lt;'PVC SCH80 Flange'!$A$49,VLOOKUP($A71,'PVC SCH80 Flange'!$A$8:$M$48,9,FALSE),
IF($A71&lt;'PVC SCH80 LD Flange'!$A$17,VLOOKUP($A71,'PVC SCH80 LD Flange'!$A$8:$M$16,9,FALSE),
IF($A71&lt;CPVC!$A$100,VLOOKUP($A71,CPVC!$A$8:$M$99,9,FALSE),
IF($A71&lt;InsertFittings!$A$237,VLOOKUP($A71,InsertFittings!$A$11:$M$236,9,FALSE),
IF($A71&lt;Valves!$A$132,VLOOKUP($A71,Valves!$A$8:$M$131,9,FALSE),
IF($A71&lt;SDR35SW!$A$124,VLOOKUP($A71,SDR35SW!$A$8:$M$123,9,FALSE),
IF($A71&lt;SDR35G!$A$143,VLOOKUP($A71, SDR35G!$A$8:$M$142,9,FALSE),
IF($A71&lt;SDR26G!$A$61,VLOOKUP($A71,SDR26G!$A$8:$N$60,10,FALSE),
IF($A71&lt;Cements!$A$100,VLOOKUP($A71,Cements!$A$8:$Q$99,13,FALSE),
IF($A71&lt;ValveBox!$A$143,VLOOKUP($A71,ValveBox!$A$10:$O$142,11,FALSE),
IF($A71&lt;'ValveBox Components'!$A$165,VLOOKUP($A71,'ValveBox Components'!$A$10:$O$164,11,FALSE),
IF($A71&lt;Drainage!$A$92,VLOOKUP($A71,Drainage!$A$8:$M$91,9,FALSE),
IF($A71&lt;Nipples!$A$82,VLOOKUP($A71,Nipples!$A$9:$Q$81,13,FALSE),
IF($A71&lt;Manifold!$A$33,VLOOKUP($A71,Manifold!$A$9:$M$32,9,FALSE),
IF($A71&lt;FlexibleRepairCouplings!$A$13,VLOOKUP($A71,FlexibleRepairCouplings!$A$10:$M$12,9,FALSE),
IF($A71&lt;DuraFix!$A$15,VLOOKUP($A71,DuraFix!$A$9:$M$14,9,FALSE),
IF($A71&lt;'Compression Fittings'!$A$16,VLOOKUP($A71,'Compression Fittings'!$A$8:$M$15,9,FALSE),
IF($A71&lt;'Hose Fittings'!$A$30,VLOOKUP($A71,'Hose Fittings'!$A$8:$M$29,9,FALSE),
IF($A71&lt;'Swing Joints'!$A$496,VLOOKUP($A71,'Swing Joints'!$A$9:$M$495,9,FALSE),
IF($A71&lt;'Swing Joints Components'!$A$135,VLOOKUP($A71,'Swing Joints Components'!$A$9:$M$134,9,FALSE),
IF($A71&lt;Nonstandard!$A$42,VLOOKUP($A71,Nonstandard!$A$31:$J$41,8,FALSE),"")))))))))))))))))))))))))))),"")</f>
        <v/>
      </c>
      <c r="G71" s="416" t="str">
        <f>IFERROR(IF($A71&lt;'DWV PVC'!$A$285,VLOOKUP($A71,'DWV PVC'!$A$8:$M$284,11,FALSE),
IF($A71&lt;'DWV ABS'!$A$117,VLOOKUP($A71,'DWV ABS'!$A$8:$M$116,11,FALSE),
IF($A71&lt;'PVC SCH40'!$A$376,VLOOKUP($A71,'PVC SCH40'!$A$8:$M$375,11,FALSE),
IF($A71&lt;'PVC SCH40 LD'!$A$22,VLOOKUP($A71,'PVC SCH40 LD'!$A$8:$M$21,11,FALSE),
IF($A71&lt;'Pool &amp; SPA Sweep Elbows'!$A$12,VLOOKUP($A71,'Pool &amp; SPA Sweep Elbows'!$A$8:$M$11,11,FALSE),
IF($A71&lt;'Pool &amp; SPA Pipe Extender'!$A$11,VLOOKUP($A71,'Pool &amp; SPA Pipe Extender'!$A$8:$M$10,11,FALSE),
IF($A71&lt;'PVC SCH80'!$A$250,VLOOKUP($A71,'PVC SCH80'!$A$8:$M$249,11,FALSE),
IF($A71&lt;'PVC SCH80 Flange'!$A$49,VLOOKUP($A71,'PVC SCH80 Flange'!$A$8:$M$48,11,FALSE),
IF($A71&lt;'PVC SCH80 LD Flange'!$A$17,VLOOKUP($A71,'PVC SCH80 LD Flange'!$A$8:$M$16,11,FALSE),
IF($A71&lt;CPVC!$A$100,VLOOKUP($A71,CPVC!$A$8:$M$99,11,FALSE),
IF($A71&lt;InsertFittings!$A$237,VLOOKUP($A71,InsertFittings!$A$11:$M$236,11,FALSE),
IF($A71&lt;Valves!$A$132,VLOOKUP($A71,Valves!$A$8:$M$131,11,FALSE),
IF($A71&lt;SDR35SW!$A$124,VLOOKUP($A71,SDR35SW!$A$8:$M$123,11,FALSE),
IF($A71&lt;SDR35G!$A$143,VLOOKUP($A71, SDR35G!$A$8:$M$142,11,FALSE),
IF($A71&lt;SDR26G!$A$61,VLOOKUP($A71,SDR26G!$A$8:$N$60,12,FALSE),
IF($A71&lt;Cements!$A$100,VLOOKUP($A71,Cements!$A$8:$Q$99,15,FALSE),
IF($A71&lt;ValveBox!$A$143,VLOOKUP($A71,ValveBox!$A$10:$O$142,13,FALSE),
IF($A71&lt;'ValveBox Components'!$A$165,VLOOKUP($A71,'ValveBox Components'!$A$10:$O$164,13,FALSE),
IF($A71&lt;Drainage!$A$92,VLOOKUP($A71,Drainage!$A$8:$M$91,11,FALSE),
IF($A71&lt;Nipples!$A$82,VLOOKUP($A71,Nipples!$A$9:$Q$81,15,FALSE),
IF($A71&lt;Manifold!$A$33,VLOOKUP($A71,Manifold!$A$9:$M$32,11,FALSE),
IF($A71&lt;FlexibleRepairCouplings!$A$13,VLOOKUP($A71,FlexibleRepairCouplings!$A$10:$M$12,11,FALSE),
IF($A71&lt;DuraFix!$A$15,VLOOKUP($A71,DuraFix!$A$9:$M$14,11,FALSE),
IF($A71&lt;'Compression Fittings'!$A$16,VLOOKUP($A71,'Compression Fittings'!$A$8:$M$15,11,FALSE),
IF($A71&lt;'Hose Fittings'!$A$30,VLOOKUP($A71,'Hose Fittings'!$A$8:$M$29,11,FALSE),
IF($A71&lt;'Swing Joints'!$A$496,VLOOKUP($A71,'Swing Joints'!$A$9:$M$495,11,FALSE),
IF($A71&lt;'Swing Joints Components'!$A$135,VLOOKUP($A71,'Swing Joints Components'!$A$9:$M$134,11,FALSE),
IF($A71&lt;Nonstandard!$A$42,VLOOKUP($A71,Nonstandard!$A$31:$J$41,3,FALSE),"")))))))))))))))))))))))))))),"")</f>
        <v/>
      </c>
      <c r="H71" s="586" t="str">
        <f>IFERROR(IF($A71&lt;'DWV PVC'!$A$285,VLOOKUP($A71,'DWV PVC'!$A$8:$M$284,7,FALSE),
IF($A71&lt;'DWV ABS'!$A$117,VLOOKUP($A71,'DWV ABS'!$A$8:$M$116,7,FALSE),
IF($A71&lt;'PVC SCH40'!$A$376,VLOOKUP($A71,'PVC SCH40'!$A$8:$M$375,7,FALSE),
IF($A71&lt;'PVC SCH40 LD'!$A$22,VLOOKUP($A71,'PVC SCH40 LD'!$A$8:$M$21,7,FALSE),
IF($A71&lt;'Pool &amp; SPA Sweep Elbows'!$A$12,VLOOKUP($A71,'Pool &amp; SPA Sweep Elbows'!$A$8:$M$11,7,FALSE),
IF($A71&lt;'Pool &amp; SPA Pipe Extender'!$A$11,VLOOKUP($A71,'Pool &amp; SPA Pipe Extender'!$A$8:$M$10,7,FALSE),
IF($A71&lt;'PVC SCH80'!$A$250,VLOOKUP($A71,'PVC SCH80'!$A$8:$M$249,7,FALSE),
IF($A71&lt;'PVC SCH80 Flange'!$A$49,VLOOKUP($A71,'PVC SCH80 Flange'!$A$8:$M$48,7,FALSE),
IF($A71&lt;'PVC SCH80 LD Flange'!$A$17,VLOOKUP($A71,'PVC SCH80 LD Flange'!$A$8:$M$16,7,FALSE),
IF($A71&lt;CPVC!$A$100,VLOOKUP($A71,CPVC!$A$8:$M$99,7,FALSE),
IF($A71&lt;InsertFittings!$A$237,VLOOKUP($A71,InsertFittings!$A$11:$M$236,7,FALSE),
IF($A71&lt;Valves!$A$132,VLOOKUP($A71,Valves!$A$8:$M$131,7,FALSE),
IF($A71&lt;SDR35SW!$A$124,VLOOKUP($A71,SDR35SW!$A$8:$M$123,7,FALSE),
IF($A71&lt;SDR35G!$A$143,VLOOKUP($A71, SDR35G!$A$8:$M$142,7,FALSE),
IF($A71&lt;SDR26G!$A$61,VLOOKUP($A71,SDR26G!$A$8:$N$60,10,FALSE),
IF($A71&lt;Cements!$A$100,VLOOKUP($A71,Cements!$A$8:$Q$99,13,FALSE),
IF($A71&lt;ValveBox!$A$143,VLOOKUP($A71,ValveBox!$A$10:$O$142,11,FALSE),
IF($A71&lt;'ValveBox Components'!$A$165,VLOOKUP($A71,'ValveBox Components'!$A$10:$O$164,11,FALSE),
IF($A71&lt;Drainage!$A$92,VLOOKUP($A71,Drainage!$A$8:$M$91,7,FALSE),
IF($A71&lt;Nipples!$A$82,VLOOKUP($A71,Nipples!$A$9:$Q$81,13,FALSE),
IF($A71&lt;Manifold!$A$33,VLOOKUP($A71,Manifold!$A$9:$M$32,7,FALSE),
IF($A71&lt;FlexibleRepairCouplings!$A$13,VLOOKUP($A71,FlexibleRepairCouplings!$A$10:$M$12,7,FALSE),
IF($A71&lt;DuraFix!$A$15,VLOOKUP($A71,DuraFix!$A$9:$M$14,7,FALSE),
IF($A71&lt;'Compression Fittings'!$A$16,VLOOKUP($A71,'Compression Fittings'!$A$8:$M$15,7,FALSE),
IF($A71&lt;'Hose Fittings'!$A$30,VLOOKUP($A71,'Hose Fittings'!$A$8:$M$29,7,FALSE),
IF($A71&lt;'Swing Joints'!$A$496,VLOOKUP($A71,'Swing Joints'!$A$9:$M$495,7,FALSE),
IF($A71&lt;'Swing Joints Components'!$A$135,VLOOKUP($A71,'Swing Joints Components'!$A$9:$M$134,7,FALSE),
IF($A71&lt;Nonstandard!$A$42,VLOOKUP($A71,Nonstandard!$A$31:$J$41,3,FALSE),"")))))))))))))))))))))))))))),"")</f>
        <v/>
      </c>
      <c r="I71" s="587"/>
      <c r="J71" s="383" t="str">
        <f t="shared" si="1"/>
        <v/>
      </c>
      <c r="K71" s="417" t="str">
        <f>IFERROR(IF($A71&lt;'DWV PVC'!$A$285,VLOOKUP($A71,'DWV PVC'!$A$8:$M$284,10,FALSE),
IF($A71&lt;'DWV ABS'!$A$117,VLOOKUP($A71,'DWV ABS'!$A$8:$M$116,10,FALSE),
IF($A71&lt;'PVC SCH40'!$A$376,VLOOKUP($A71,'PVC SCH40'!$A$8:$M$375,10,FALSE),
IF($A71&lt;'PVC SCH40 LD'!$A$22,VLOOKUP($A71,'PVC SCH40 LD'!$A$8:$M$21,10,FALSE),
IF($A71&lt;'Pool &amp; SPA Sweep Elbows'!$A$12,VLOOKUP($A71,'Pool &amp; SPA Sweep Elbows'!$A$8:$M$11,10,FALSE),
IF($A71&lt;'Pool &amp; SPA Pipe Extender'!$A$11,VLOOKUP($A71,'Pool &amp; SPA Pipe Extender'!$A$8:$M$10,10,FALSE),
IF($A71&lt;'PVC SCH80'!$A$250,VLOOKUP($A71,'PVC SCH80'!$A$8:$M$249,10,FALSE),
IF($A71&lt;'PVC SCH80 Flange'!$A$49,VLOOKUP($A71,'PVC SCH80 Flange'!$A$8:$M$48,10,FALSE),
IF($A71&lt;'PVC SCH80 LD Flange'!$A$17,VLOOKUP($A71,'PVC SCH80 LD Flange'!$A$8:$M$16,10,FALSE),
IF($A71&lt;CPVC!$A$100,VLOOKUP($A71,CPVC!$A$8:$M$99,10,FALSE),
IF($A71&lt;InsertFittings!$A$237,VLOOKUP($A71,InsertFittings!$A$11:$M$236,10,FALSE),
IF($A71&lt;Valves!$A$132,VLOOKUP($A71,Valves!$A$8:$M$131,10,FALSE),
IF($A71&lt;SDR35SW!$A$124,VLOOKUP($A71,SDR35SW!$A$8:$M$123,10,FALSE),
IF($A71&lt;SDR35G!$A$143,VLOOKUP($A71, SDR35G!$A$8:$M$142,10,FALSE),
IF($A71&lt;SDR26G!$A$61,VLOOKUP($A71,SDR26G!$A$8:$N$60,11,FALSE),
IF($A71&lt;Cements!$A$100,VLOOKUP($A71,Cements!$A$8:$Q$99,14,FALSE),
IF($A71&lt;ValveBox!$A$143,VLOOKUP($A71,ValveBox!$A$10:$O$142,12,FALSE),
IF($A71&lt;'ValveBox Components'!$A$165,VLOOKUP($A71,'ValveBox Components'!$A$10:$O$164,12,FALSE),
IF($A71&lt;Drainage!$A$92,VLOOKUP($A71,Drainage!$A$8:$M$91,10,FALSE),
IF($A71&lt;Nipples!$A$82,VLOOKUP($A71,Nipples!$A$9:$Q$81,14,FALSE),
IF($A71&lt;Manifold!$A$33,VLOOKUP($A71,Manifold!$A$9:$M$32,10,FALSE),
IF($A71&lt;FlexibleRepairCouplings!$A$13,VLOOKUP($A71,FlexibleRepairCouplings!$A$10:$M$12,10,FALSE),
IF($A71&lt;DuraFix!$A$15,VLOOKUP($A71,DuraFix!$A$9:$M$14,10,FALSE),
IF($A71&lt;'Compression Fittings'!$A$16,VLOOKUP($A71,'Compression Fittings'!$A$8:$M$15,10,FALSE),
IF($A71&lt;'Hose Fittings'!$A$30,VLOOKUP($A71,'Hose Fittings'!$A$8:$M$29,10,FALSE),
IF($A71&lt;'Swing Joints'!$A$496,VLOOKUP($A71,'Swing Joints'!$A$9:$M$495,10,FALSE),
IF($A71&lt;'Swing Joints Components'!$A$135,VLOOKUP($A71,'Swing Joints Components'!$A$9:$M$134,10,FALSE),
IF($A71&lt;Nonstandard!$A$42,VLOOKUP($A71,Nonstandard!$A$31:$J$41,10,FALSE),"")))))))))))))))))))))))))))),"")</f>
        <v/>
      </c>
      <c r="L71" s="418" t="str">
        <f t="shared" si="0"/>
        <v>-</v>
      </c>
      <c r="M71" s="419"/>
    </row>
    <row r="72" spans="1:13" ht="15.75">
      <c r="A72" s="420">
        <v>40</v>
      </c>
      <c r="B72" s="420" t="str">
        <f>IFERROR(IF($A72&lt;'DWV PVC'!$A$285,VLOOKUP($A72,'DWV PVC'!$A$8:$M$284,4,FALSE),
IF($A72&lt;'DWV ABS'!$A$117,VLOOKUP($A72,'DWV ABS'!$A$8:$M$116,4,FALSE),
IF($A72&lt;'PVC SCH40'!$A$376,VLOOKUP($A72,'PVC SCH40'!$A$8:$M$375,4,FALSE),
IF($A72&lt;'PVC SCH40 LD'!$A$22,VLOOKUP($A72,'PVC SCH40 LD'!$A$8:$M$21,4,FALSE),
IF($A72&lt;'Pool &amp; SPA Sweep Elbows'!$A$12,VLOOKUP($A72,'Pool &amp; SPA Sweep Elbows'!$A$8:$M$11,4,FALSE),
IF($A72&lt;'Pool &amp; SPA Pipe Extender'!$A$11,VLOOKUP($A72,'Pool &amp; SPA Pipe Extender'!$A$8:$M$10,4,FALSE),
IF($A72&lt;'PVC SCH80'!$A$250,VLOOKUP($A72,'PVC SCH80'!$A$8:$M$249,4,FALSE),
IF($A72&lt;'PVC SCH80 Flange'!$A$49,VLOOKUP($A72,'PVC SCH80 Flange'!$A$8:$M$48,4,FALSE),
IF($A72&lt;'PVC SCH80 LD Flange'!$A$17,VLOOKUP($A72,'PVC SCH80 LD Flange'!$A$8:$M$16,4,FALSE),
IF($A72&lt;CPVC!$A$100,VLOOKUP($A72,CPVC!$A$8:$M$99,4,FALSE),
IF($A72&lt;InsertFittings!$A$237,VLOOKUP($A72,InsertFittings!$A$11:$M$236,4,FALSE),
IF($A72&lt;Valves!$A$132,VLOOKUP($A72,Valves!$A$8:$M$131,4,FALSE),
IF($A72&lt;SDR35SW!$A$124,VLOOKUP($A72,SDR35SW!$A$8:$M$123,4,FALSE),
IF($A72&lt;SDR35G!$A$143,VLOOKUP($A72, SDR35G!$A$8:$M$142,4,FALSE),
IF($A72&lt;SDR26G!$A$61,VLOOKUP($A72,SDR26G!$A$8:$N$60,4,FALSE),
IF($A72&lt;Cements!$A$100,VLOOKUP($A72,Cements!$A$8:$Q$99,4,FALSE),
IF($A72&lt;ValveBox!$A$143,VLOOKUP($A72,ValveBox!$A$10:$O$142,4,FALSE),
IF($A72&lt;'ValveBox Components'!$A$165,VLOOKUP($A72,'ValveBox Components'!$A$10:$O$164,4,FALSE),
IF($A72&lt;Drainage!$A$92,VLOOKUP($A72,Drainage!$A$8:$M$91,4,FALSE),
IF($A72&lt;Nipples!$A$82,VLOOKUP($A72,Nipples!$A$9:$Q$81,4,FALSE),
IF($A72&lt;Manifold!$A$33,VLOOKUP($A72,Manifold!$A$9:$M$32,4,FALSE),
IF($A72&lt;FlexibleRepairCouplings!$A$13,VLOOKUP($A72,FlexibleRepairCouplings!$A$10:$M$12,4,FALSE),
IF($A72&lt;DuraFix!$A$15,VLOOKUP($A72,DuraFix!$A$9:$M$14,4,FALSE),
IF($A72&lt;'Compression Fittings'!$A$16,VLOOKUP($A72,'Compression Fittings'!$A$8:$M$15,4,FALSE),
IF($A72&lt;'Hose Fittings'!$A$30,VLOOKUP($A72,'Hose Fittings'!$A$8:$M$29,4,FALSE),
IF($A72&lt;'Swing Joints'!$A$496,VLOOKUP($A72,'Swing Joints'!$A$9:$M$495,4,FALSE),
IF($A72&lt;'Swing Joints Components'!$A$135,VLOOKUP($A72,'Swing Joints Components'!$A$9:$M$134,4,FALSE),
IF($A72&lt;Nonstandard!$A$42,VLOOKUP($A72,Nonstandard!$A$31:$J$41,5,FALSE),"")))))))))))))))))))))))))))),"")</f>
        <v/>
      </c>
      <c r="C72" s="420" t="str">
        <f>IFERROR(IF($A72&lt;'DWV PVC'!$A$285,VLOOKUP($A72,'DWV PVC'!$A$8:$M$284,5,FALSE),
IF($A72&lt;'DWV ABS'!$A$117,VLOOKUP($A72,'DWV ABS'!$A$8:$M$116,5,FALSE),
IF($A72&lt;'PVC SCH40'!$A$376,VLOOKUP($A72,'PVC SCH40'!$A$8:$M$375,5,FALSE),
IF($A72&lt;'PVC SCH40 LD'!$A$22,VLOOKUP($A72,'PVC SCH40 LD'!$A$8:$M$21,5,FALSE),
IF($A72&lt;'Pool &amp; SPA Sweep Elbows'!$A$12,VLOOKUP($A72,'Pool &amp; SPA Sweep Elbows'!$A$8:$M$11,5,FALSE),
IF($A72&lt;'Pool &amp; SPA Pipe Extender'!$A$11,VLOOKUP($A72,'Pool &amp; SPA Pipe Extender'!$A$8:$M$10,5,FALSE),
IF($A72&lt;'PVC SCH80'!$A$250,VLOOKUP($A72,'PVC SCH80'!$A$8:$M$249,5,FALSE),
IF($A72&lt;'PVC SCH80 Flange'!$A$49,VLOOKUP($A72,'PVC SCH80 Flange'!$A$8:$M$48,5,FALSE),
IF($A72&lt;'PVC SCH80 LD Flange'!$A$17,VLOOKUP($A72,'PVC SCH80 LD Flange'!$A$8:$M$16,5,FALSE),
IF($A72&lt;CPVC!$A$100,VLOOKUP($A72,CPVC!$A$8:$M$99,5,FALSE),
IF($A72&lt;InsertFittings!$A$237,VLOOKUP($A72,InsertFittings!$A$11:$M$236,5,FALSE),
IF($A72&lt;Valves!$A$132,VLOOKUP($A72,Valves!$A$8:$M$131,5,FALSE),
IF($A72&lt;SDR35SW!$A$124,VLOOKUP($A72,SDR35SW!$A$8:$M$123,5,FALSE),
IF($A72&lt;SDR35G!$A$143,VLOOKUP($A72, SDR35G!$A$8:$M$142,5,FALSE),
IF($A72&lt;SDR26G!$A$61,VLOOKUP($A72,SDR26G!$A$8:$N$60,5,FALSE),
IF($A72&lt;Cements!$A$100,VLOOKUP($A72,Cements!$A$8:$Q$99,5,FALSE),
IF($A72&lt;ValveBox!$A$143,VLOOKUP($A72,ValveBox!$A$10:$O$142,5,FALSE),
IF($A72&lt;'ValveBox Components'!$A$165,VLOOKUP($A72,'ValveBox Components'!$A$10:$O$164,5,FALSE),
IF($A72&lt;Drainage!$A$92,VLOOKUP($A72,Drainage!$A$8:$M$91,5,FALSE),
IF($A72&lt;Nipples!$A$82,VLOOKUP($A72,Nipples!$A$9:$Q$81,5,FALSE),
IF($A72&lt;Manifold!$A$33,VLOOKUP($A72,Manifold!$A$9:$M$32,5,FALSE),
IF($A72&lt;FlexibleRepairCouplings!$A$13,VLOOKUP($A72,FlexibleRepairCouplings!$A$10:$M$12,5,FALSE),
IF($A72&lt;DuraFix!$A$15,VLOOKUP($A72,DuraFix!$A$9:$M$14,5,FALSE),
IF($A72&lt;'Compression Fittings'!$A$16,VLOOKUP($A72,'Compression Fittings'!$A$8:$M$15,5,FALSE),
IF($A72&lt;'Hose Fittings'!$A$30,VLOOKUP($A72,'Hose Fittings'!$A$8:$M$29,5,FALSE),
IF($A72&lt;'Swing Joints'!$A$496,VLOOKUP($A72,'Swing Joints'!$A$9:$M$495,5,FALSE),
IF($A72&lt;'Swing Joints Components'!$A$135,VLOOKUP($A72,'Swing Joints Components'!$A$9:$M$134,5,FALSE),
IF($A72&lt;Nonstandard!$A$42,VLOOKUP($A72,Nonstandard!$A$31:$J$41,6,FALSE),"")))))))))))))))))))))))))))),"")</f>
        <v/>
      </c>
      <c r="D72" s="428" t="str">
        <f>IFERROR(IF($A72&lt;'DWV PVC'!$A$285,VLOOKUP($A72,'DWV PVC'!$A$8:$M$284,6,FALSE),
IF($A72&lt;'DWV ABS'!$A$117,VLOOKUP($A72,'DWV ABS'!$A$8:$M$116,6,FALSE),
IF($A72&lt;'PVC SCH40'!$A$376,VLOOKUP($A72,'PVC SCH40'!$A$8:$M$375,6,FALSE),
IF($A72&lt;'PVC SCH40 LD'!$A$22,VLOOKUP($A72,'PVC SCH40 LD'!$A$8:$M$21,6,FALSE),
IF($A72&lt;'Pool &amp; SPA Sweep Elbows'!$A$12,VLOOKUP($A72,'Pool &amp; SPA Sweep Elbows'!$A$8:$M$11,6,FALSE),
IF($A72&lt;'Pool &amp; SPA Pipe Extender'!$A$11,VLOOKUP($A72,'Pool &amp; SPA Pipe Extender'!$A$8:$M$10,6,FALSE),
IF($A72&lt;'PVC SCH80'!$A$250,VLOOKUP($A72,'PVC SCH80'!$A$8:$M$249,6,FALSE),
IF($A72&lt;'PVC SCH80 Flange'!$A$49,VLOOKUP($A72,'PVC SCH80 Flange'!$A$8:$M$48,6,FALSE),
IF($A72&lt;'PVC SCH80 LD Flange'!$A$17,VLOOKUP($A72,'PVC SCH80 LD Flange'!$A$8:$M$16,6,FALSE),
IF($A72&lt;CPVC!$A$100,VLOOKUP($A72,CPVC!$A$8:$M$99,6,FALSE),
IF($A72&lt;InsertFittings!$A$237,VLOOKUP($A72,InsertFittings!$A$11:$M$236,6,FALSE),
IF($A72&lt;Valves!$A$132,VLOOKUP($A72,Valves!$A$8:$M$131,6,FALSE),
IF($A72&lt;SDR35SW!$A$124,VLOOKUP($A72,SDR35SW!$A$8:$M$123,6,FALSE),
IF($A72&lt;SDR35G!$A$143,VLOOKUP($A72, SDR35G!$A$8:$M$142,6,FALSE),
IF($A72&lt;SDR26G!$A$61,VLOOKUP($A72,SDR26G!$A$8:$N$60,6,FALSE),
IF($A72&lt;Cements!$A$100,VLOOKUP($A72,Cements!$A$8:$Q$99,6,FALSE),
IF($A72&lt;ValveBox!$A$143,VLOOKUP($A72,ValveBox!$A$10:$O$142,6,FALSE),
IF($A72&lt;'ValveBox Components'!$A$165,VLOOKUP($A72,'ValveBox Components'!$A$10:$O$164,6,FALSE),
IF($A72&lt;Drainage!$A$92,VLOOKUP($A72,Drainage!$A$8:$M$91,6,FALSE),
IF($A72&lt;Nipples!$A$82,VLOOKUP($A72,Nipples!$A$9:$Q$81,6,FALSE),
IF($A72&lt;Manifold!$A$33,VLOOKUP($A72,Manifold!$A$9:$M$32,6,FALSE),
IF($A72&lt;FlexibleRepairCouplings!$A$13,VLOOKUP($A72,FlexibleRepairCouplings!$A$10:$M$12,6,FALSE),
IF($A72&lt;DuraFix!$A$15,VLOOKUP($A72,DuraFix!$A$9:$M$14,6,FALSE),
IF($A72&lt;'Compression Fittings'!$A$16,VLOOKUP($A72,'Compression Fittings'!$A$8:$M$15,6,FALSE),
IF($A72&lt;'Hose Fittings'!$A$30,VLOOKUP($A72,'Hose Fittings'!$A$8:$M$29,6,FALSE),
IF($A72&lt;'Swing Joints'!$A$496,VLOOKUP($A72,'Swing Joints'!$A$9:$M$495,6,FALSE),
IF($A72&lt;'Swing Joints Components'!$A$135,VLOOKUP($A72,'Swing Joints Components'!$A$9:$M$134,6,FALSE),
IF($A72&lt;Nonstandard!$A$42,VLOOKUP($A72,Nonstandard!$A$31:$J$41,7,FALSE),"")))))))))))))))))))))))))))),"")</f>
        <v/>
      </c>
      <c r="E72" s="429"/>
      <c r="F72" s="421" t="str">
        <f>IFERROR(IF($A72&lt;'DWV PVC'!$A$285,VLOOKUP($A72,'DWV PVC'!$A$8:$M$284,9,FALSE),
IF($A72&lt;'DWV ABS'!$A$117,VLOOKUP($A72,'DWV ABS'!$A$8:$M$116,9,FALSE),
IF($A72&lt;'PVC SCH40'!$A$376,VLOOKUP($A72,'PVC SCH40'!$A$8:$M$375,9,FALSE),
IF($A72&lt;'PVC SCH40 LD'!$A$22,VLOOKUP($A72,'PVC SCH40 LD'!$A$8:$M$21,9,FALSE),
IF($A72&lt;'Pool &amp; SPA Sweep Elbows'!$A$12,VLOOKUP($A72,'Pool &amp; SPA Sweep Elbows'!$A$8:$M$11,9,FALSE),
IF($A72&lt;'Pool &amp; SPA Pipe Extender'!$A$11,VLOOKUP($A72,'Pool &amp; SPA Pipe Extender'!$A$8:$M$10,9,FALSE),
IF($A72&lt;'PVC SCH80'!$A$250,VLOOKUP($A72,'PVC SCH80'!$A$8:$M$249,9,FALSE),
IF($A72&lt;'PVC SCH80 Flange'!$A$49,VLOOKUP($A72,'PVC SCH80 Flange'!$A$8:$M$48,9,FALSE),
IF($A72&lt;'PVC SCH80 LD Flange'!$A$17,VLOOKUP($A72,'PVC SCH80 LD Flange'!$A$8:$M$16,9,FALSE),
IF($A72&lt;CPVC!$A$100,VLOOKUP($A72,CPVC!$A$8:$M$99,9,FALSE),
IF($A72&lt;InsertFittings!$A$237,VLOOKUP($A72,InsertFittings!$A$11:$M$236,9,FALSE),
IF($A72&lt;Valves!$A$132,VLOOKUP($A72,Valves!$A$8:$M$131,9,FALSE),
IF($A72&lt;SDR35SW!$A$124,VLOOKUP($A72,SDR35SW!$A$8:$M$123,9,FALSE),
IF($A72&lt;SDR35G!$A$143,VLOOKUP($A72, SDR35G!$A$8:$M$142,9,FALSE),
IF($A72&lt;SDR26G!$A$61,VLOOKUP($A72,SDR26G!$A$8:$N$60,10,FALSE),
IF($A72&lt;Cements!$A$100,VLOOKUP($A72,Cements!$A$8:$Q$99,13,FALSE),
IF($A72&lt;ValveBox!$A$143,VLOOKUP($A72,ValveBox!$A$10:$O$142,11,FALSE),
IF($A72&lt;'ValveBox Components'!$A$165,VLOOKUP($A72,'ValveBox Components'!$A$10:$O$164,11,FALSE),
IF($A72&lt;Drainage!$A$92,VLOOKUP($A72,Drainage!$A$8:$M$91,9,FALSE),
IF($A72&lt;Nipples!$A$82,VLOOKUP($A72,Nipples!$A$9:$Q$81,13,FALSE),
IF($A72&lt;Manifold!$A$33,VLOOKUP($A72,Manifold!$A$9:$M$32,9,FALSE),
IF($A72&lt;FlexibleRepairCouplings!$A$13,VLOOKUP($A72,FlexibleRepairCouplings!$A$10:$M$12,9,FALSE),
IF($A72&lt;DuraFix!$A$15,VLOOKUP($A72,DuraFix!$A$9:$M$14,9,FALSE),
IF($A72&lt;'Compression Fittings'!$A$16,VLOOKUP($A72,'Compression Fittings'!$A$8:$M$15,9,FALSE),
IF($A72&lt;'Hose Fittings'!$A$30,VLOOKUP($A72,'Hose Fittings'!$A$8:$M$29,9,FALSE),
IF($A72&lt;'Swing Joints'!$A$496,VLOOKUP($A72,'Swing Joints'!$A$9:$M$495,9,FALSE),
IF($A72&lt;'Swing Joints Components'!$A$135,VLOOKUP($A72,'Swing Joints Components'!$A$9:$M$134,9,FALSE),
IF($A72&lt;Nonstandard!$A$42,VLOOKUP($A72,Nonstandard!$A$31:$J$41,8,FALSE),"")))))))))))))))))))))))))))),"")</f>
        <v/>
      </c>
      <c r="G72" s="422" t="str">
        <f>IFERROR(IF($A72&lt;'DWV PVC'!$A$285,VLOOKUP($A72,'DWV PVC'!$A$8:$M$284,11,FALSE),
IF($A72&lt;'DWV ABS'!$A$117,VLOOKUP($A72,'DWV ABS'!$A$8:$M$116,11,FALSE),
IF($A72&lt;'PVC SCH40'!$A$376,VLOOKUP($A72,'PVC SCH40'!$A$8:$M$375,11,FALSE),
IF($A72&lt;'PVC SCH40 LD'!$A$22,VLOOKUP($A72,'PVC SCH40 LD'!$A$8:$M$21,11,FALSE),
IF($A72&lt;'Pool &amp; SPA Sweep Elbows'!$A$12,VLOOKUP($A72,'Pool &amp; SPA Sweep Elbows'!$A$8:$M$11,11,FALSE),
IF($A72&lt;'Pool &amp; SPA Pipe Extender'!$A$11,VLOOKUP($A72,'Pool &amp; SPA Pipe Extender'!$A$8:$M$10,11,FALSE),
IF($A72&lt;'PVC SCH80'!$A$250,VLOOKUP($A72,'PVC SCH80'!$A$8:$M$249,11,FALSE),
IF($A72&lt;'PVC SCH80 Flange'!$A$49,VLOOKUP($A72,'PVC SCH80 Flange'!$A$8:$M$48,11,FALSE),
IF($A72&lt;'PVC SCH80 LD Flange'!$A$17,VLOOKUP($A72,'PVC SCH80 LD Flange'!$A$8:$M$16,11,FALSE),
IF($A72&lt;CPVC!$A$100,VLOOKUP($A72,CPVC!$A$8:$M$99,11,FALSE),
IF($A72&lt;InsertFittings!$A$237,VLOOKUP($A72,InsertFittings!$A$11:$M$236,11,FALSE),
IF($A72&lt;Valves!$A$132,VLOOKUP($A72,Valves!$A$8:$M$131,11,FALSE),
IF($A72&lt;SDR35SW!$A$124,VLOOKUP($A72,SDR35SW!$A$8:$M$123,11,FALSE),
IF($A72&lt;SDR35G!$A$143,VLOOKUP($A72, SDR35G!$A$8:$M$142,11,FALSE),
IF($A72&lt;SDR26G!$A$61,VLOOKUP($A72,SDR26G!$A$8:$N$60,12,FALSE),
IF($A72&lt;Cements!$A$100,VLOOKUP($A72,Cements!$A$8:$Q$99,15,FALSE),
IF($A72&lt;ValveBox!$A$143,VLOOKUP($A72,ValveBox!$A$10:$O$142,13,FALSE),
IF($A72&lt;'ValveBox Components'!$A$165,VLOOKUP($A72,'ValveBox Components'!$A$10:$O$164,13,FALSE),
IF($A72&lt;Drainage!$A$92,VLOOKUP($A72,Drainage!$A$8:$M$91,11,FALSE),
IF($A72&lt;Nipples!$A$82,VLOOKUP($A72,Nipples!$A$9:$Q$81,15,FALSE),
IF($A72&lt;Manifold!$A$33,VLOOKUP($A72,Manifold!$A$9:$M$32,11,FALSE),
IF($A72&lt;FlexibleRepairCouplings!$A$13,VLOOKUP($A72,FlexibleRepairCouplings!$A$10:$M$12,11,FALSE),
IF($A72&lt;DuraFix!$A$15,VLOOKUP($A72,DuraFix!$A$9:$M$14,11,FALSE),
IF($A72&lt;'Compression Fittings'!$A$16,VLOOKUP($A72,'Compression Fittings'!$A$8:$M$15,11,FALSE),
IF($A72&lt;'Hose Fittings'!$A$30,VLOOKUP($A72,'Hose Fittings'!$A$8:$M$29,11,FALSE),
IF($A72&lt;'Swing Joints'!$A$496,VLOOKUP($A72,'Swing Joints'!$A$9:$M$495,11,FALSE),
IF($A72&lt;'Swing Joints Components'!$A$135,VLOOKUP($A72,'Swing Joints Components'!$A$9:$M$134,11,FALSE),
IF($A72&lt;Nonstandard!$A$42,VLOOKUP($A72,Nonstandard!$A$31:$J$41,3,FALSE),"")))))))))))))))))))))))))))),"")</f>
        <v/>
      </c>
      <c r="H72" s="588" t="str">
        <f>IFERROR(IF($A72&lt;'DWV PVC'!$A$285,VLOOKUP($A72,'DWV PVC'!$A$8:$M$284,7,FALSE),
IF($A72&lt;'DWV ABS'!$A$117,VLOOKUP($A72,'DWV ABS'!$A$8:$M$116,7,FALSE),
IF($A72&lt;'PVC SCH40'!$A$376,VLOOKUP($A72,'PVC SCH40'!$A$8:$M$375,7,FALSE),
IF($A72&lt;'PVC SCH40 LD'!$A$22,VLOOKUP($A72,'PVC SCH40 LD'!$A$8:$M$21,7,FALSE),
IF($A72&lt;'Pool &amp; SPA Sweep Elbows'!$A$12,VLOOKUP($A72,'Pool &amp; SPA Sweep Elbows'!$A$8:$M$11,7,FALSE),
IF($A72&lt;'Pool &amp; SPA Pipe Extender'!$A$11,VLOOKUP($A72,'Pool &amp; SPA Pipe Extender'!$A$8:$M$10,7,FALSE),
IF($A72&lt;'PVC SCH80'!$A$250,VLOOKUP($A72,'PVC SCH80'!$A$8:$M$249,7,FALSE),
IF($A72&lt;'PVC SCH80 Flange'!$A$49,VLOOKUP($A72,'PVC SCH80 Flange'!$A$8:$M$48,7,FALSE),
IF($A72&lt;'PVC SCH80 LD Flange'!$A$17,VLOOKUP($A72,'PVC SCH80 LD Flange'!$A$8:$M$16,7,FALSE),
IF($A72&lt;CPVC!$A$100,VLOOKUP($A72,CPVC!$A$8:$M$99,7,FALSE),
IF($A72&lt;InsertFittings!$A$237,VLOOKUP($A72,InsertFittings!$A$11:$M$236,7,FALSE),
IF($A72&lt;Valves!$A$132,VLOOKUP($A72,Valves!$A$8:$M$131,7,FALSE),
IF($A72&lt;SDR35SW!$A$124,VLOOKUP($A72,SDR35SW!$A$8:$M$123,7,FALSE),
IF($A72&lt;SDR35G!$A$143,VLOOKUP($A72, SDR35G!$A$8:$M$142,7,FALSE),
IF($A72&lt;SDR26G!$A$61,VLOOKUP($A72,SDR26G!$A$8:$N$60,10,FALSE),
IF($A72&lt;Cements!$A$100,VLOOKUP($A72,Cements!$A$8:$Q$99,13,FALSE),
IF($A72&lt;ValveBox!$A$143,VLOOKUP($A72,ValveBox!$A$10:$O$142,11,FALSE),
IF($A72&lt;'ValveBox Components'!$A$165,VLOOKUP($A72,'ValveBox Components'!$A$10:$O$164,11,FALSE),
IF($A72&lt;Drainage!$A$92,VLOOKUP($A72,Drainage!$A$8:$M$91,7,FALSE),
IF($A72&lt;Nipples!$A$82,VLOOKUP($A72,Nipples!$A$9:$Q$81,13,FALSE),
IF($A72&lt;Manifold!$A$33,VLOOKUP($A72,Manifold!$A$9:$M$32,7,FALSE),
IF($A72&lt;FlexibleRepairCouplings!$A$13,VLOOKUP($A72,FlexibleRepairCouplings!$A$10:$M$12,7,FALSE),
IF($A72&lt;DuraFix!$A$15,VLOOKUP($A72,DuraFix!$A$9:$M$14,7,FALSE),
IF($A72&lt;'Compression Fittings'!$A$16,VLOOKUP($A72,'Compression Fittings'!$A$8:$M$15,7,FALSE),
IF($A72&lt;'Hose Fittings'!$A$30,VLOOKUP($A72,'Hose Fittings'!$A$8:$M$29,7,FALSE),
IF($A72&lt;'Swing Joints'!$A$496,VLOOKUP($A72,'Swing Joints'!$A$9:$M$495,7,FALSE),
IF($A72&lt;'Swing Joints Components'!$A$135,VLOOKUP($A72,'Swing Joints Components'!$A$9:$M$134,7,FALSE),
IF($A72&lt;Nonstandard!$A$42,VLOOKUP($A72,Nonstandard!$A$31:$J$41,3,FALSE),"")))))))))))))))))))))))))))),"")</f>
        <v/>
      </c>
      <c r="I72" s="589"/>
      <c r="J72" s="423" t="str">
        <f t="shared" si="1"/>
        <v/>
      </c>
      <c r="K72" s="424" t="str">
        <f>IFERROR(IF($A72&lt;'DWV PVC'!$A$285,VLOOKUP($A72,'DWV PVC'!$A$8:$M$284,10,FALSE),
IF($A72&lt;'DWV ABS'!$A$117,VLOOKUP($A72,'DWV ABS'!$A$8:$M$116,10,FALSE),
IF($A72&lt;'PVC SCH40'!$A$376,VLOOKUP($A72,'PVC SCH40'!$A$8:$M$375,10,FALSE),
IF($A72&lt;'PVC SCH40 LD'!$A$22,VLOOKUP($A72,'PVC SCH40 LD'!$A$8:$M$21,10,FALSE),
IF($A72&lt;'Pool &amp; SPA Sweep Elbows'!$A$12,VLOOKUP($A72,'Pool &amp; SPA Sweep Elbows'!$A$8:$M$11,10,FALSE),
IF($A72&lt;'Pool &amp; SPA Pipe Extender'!$A$11,VLOOKUP($A72,'Pool &amp; SPA Pipe Extender'!$A$8:$M$10,10,FALSE),
IF($A72&lt;'PVC SCH80'!$A$250,VLOOKUP($A72,'PVC SCH80'!$A$8:$M$249,10,FALSE),
IF($A72&lt;'PVC SCH80 Flange'!$A$49,VLOOKUP($A72,'PVC SCH80 Flange'!$A$8:$M$48,10,FALSE),
IF($A72&lt;'PVC SCH80 LD Flange'!$A$17,VLOOKUP($A72,'PVC SCH80 LD Flange'!$A$8:$M$16,10,FALSE),
IF($A72&lt;CPVC!$A$100,VLOOKUP($A72,CPVC!$A$8:$M$99,10,FALSE),
IF($A72&lt;InsertFittings!$A$237,VLOOKUP($A72,InsertFittings!$A$11:$M$236,10,FALSE),
IF($A72&lt;Valves!$A$132,VLOOKUP($A72,Valves!$A$8:$M$131,10,FALSE),
IF($A72&lt;SDR35SW!$A$124,VLOOKUP($A72,SDR35SW!$A$8:$M$123,10,FALSE),
IF($A72&lt;SDR35G!$A$143,VLOOKUP($A72, SDR35G!$A$8:$M$142,10,FALSE),
IF($A72&lt;SDR26G!$A$61,VLOOKUP($A72,SDR26G!$A$8:$N$60,11,FALSE),
IF($A72&lt;Cements!$A$100,VLOOKUP($A72,Cements!$A$8:$Q$99,14,FALSE),
IF($A72&lt;ValveBox!$A$143,VLOOKUP($A72,ValveBox!$A$10:$O$142,12,FALSE),
IF($A72&lt;'ValveBox Components'!$A$165,VLOOKUP($A72,'ValveBox Components'!$A$10:$O$164,12,FALSE),
IF($A72&lt;Drainage!$A$92,VLOOKUP($A72,Drainage!$A$8:$M$91,10,FALSE),
IF($A72&lt;Nipples!$A$82,VLOOKUP($A72,Nipples!$A$9:$Q$81,14,FALSE),
IF($A72&lt;Manifold!$A$33,VLOOKUP($A72,Manifold!$A$9:$M$32,10,FALSE),
IF($A72&lt;FlexibleRepairCouplings!$A$13,VLOOKUP($A72,FlexibleRepairCouplings!$A$10:$M$12,10,FALSE),
IF($A72&lt;DuraFix!$A$15,VLOOKUP($A72,DuraFix!$A$9:$M$14,10,FALSE),
IF($A72&lt;'Compression Fittings'!$A$16,VLOOKUP($A72,'Compression Fittings'!$A$8:$M$15,10,FALSE),
IF($A72&lt;'Hose Fittings'!$A$30,VLOOKUP($A72,'Hose Fittings'!$A$8:$M$29,10,FALSE),
IF($A72&lt;'Swing Joints'!$A$496,VLOOKUP($A72,'Swing Joints'!$A$9:$M$495,10,FALSE),
IF($A72&lt;'Swing Joints Components'!$A$135,VLOOKUP($A72,'Swing Joints Components'!$A$9:$M$134,10,FALSE),
IF($A72&lt;Nonstandard!$A$42,VLOOKUP($A72,Nonstandard!$A$31:$J$41,10,FALSE),"")))))))))))))))))))))))))))),"")</f>
        <v/>
      </c>
      <c r="L72" s="421" t="str">
        <f t="shared" si="0"/>
        <v>-</v>
      </c>
      <c r="M72" s="425"/>
    </row>
    <row r="73" spans="1:13" ht="15.75">
      <c r="A73" s="415">
        <v>41</v>
      </c>
      <c r="B73" s="415" t="str">
        <f>IFERROR(IF($A73&lt;'DWV PVC'!$A$285,VLOOKUP($A73,'DWV PVC'!$A$8:$M$284,4,FALSE),
IF($A73&lt;'DWV ABS'!$A$117,VLOOKUP($A73,'DWV ABS'!$A$8:$M$116,4,FALSE),
IF($A73&lt;'PVC SCH40'!$A$376,VLOOKUP($A73,'PVC SCH40'!$A$8:$M$375,4,FALSE),
IF($A73&lt;'PVC SCH40 LD'!$A$22,VLOOKUP($A73,'PVC SCH40 LD'!$A$8:$M$21,4,FALSE),
IF($A73&lt;'Pool &amp; SPA Sweep Elbows'!$A$12,VLOOKUP($A73,'Pool &amp; SPA Sweep Elbows'!$A$8:$M$11,4,FALSE),
IF($A73&lt;'Pool &amp; SPA Pipe Extender'!$A$11,VLOOKUP($A73,'Pool &amp; SPA Pipe Extender'!$A$8:$M$10,4,FALSE),
IF($A73&lt;'PVC SCH80'!$A$250,VLOOKUP($A73,'PVC SCH80'!$A$8:$M$249,4,FALSE),
IF($A73&lt;'PVC SCH80 Flange'!$A$49,VLOOKUP($A73,'PVC SCH80 Flange'!$A$8:$M$48,4,FALSE),
IF($A73&lt;'PVC SCH80 LD Flange'!$A$17,VLOOKUP($A73,'PVC SCH80 LD Flange'!$A$8:$M$16,4,FALSE),
IF($A73&lt;CPVC!$A$100,VLOOKUP($A73,CPVC!$A$8:$M$99,4,FALSE),
IF($A73&lt;InsertFittings!$A$237,VLOOKUP($A73,InsertFittings!$A$11:$M$236,4,FALSE),
IF($A73&lt;Valves!$A$132,VLOOKUP($A73,Valves!$A$8:$M$131,4,FALSE),
IF($A73&lt;SDR35SW!$A$124,VLOOKUP($A73,SDR35SW!$A$8:$M$123,4,FALSE),
IF($A73&lt;SDR35G!$A$143,VLOOKUP($A73, SDR35G!$A$8:$M$142,4,FALSE),
IF($A73&lt;SDR26G!$A$61,VLOOKUP($A73,SDR26G!$A$8:$N$60,4,FALSE),
IF($A73&lt;Cements!$A$100,VLOOKUP($A73,Cements!$A$8:$Q$99,4,FALSE),
IF($A73&lt;ValveBox!$A$143,VLOOKUP($A73,ValveBox!$A$10:$O$142,4,FALSE),
IF($A73&lt;'ValveBox Components'!$A$165,VLOOKUP($A73,'ValveBox Components'!$A$10:$O$164,4,FALSE),
IF($A73&lt;Drainage!$A$92,VLOOKUP($A73,Drainage!$A$8:$M$91,4,FALSE),
IF($A73&lt;Nipples!$A$82,VLOOKUP($A73,Nipples!$A$9:$Q$81,4,FALSE),
IF($A73&lt;Manifold!$A$33,VLOOKUP($A73,Manifold!$A$9:$M$32,4,FALSE),
IF($A73&lt;FlexibleRepairCouplings!$A$13,VLOOKUP($A73,FlexibleRepairCouplings!$A$10:$M$12,4,FALSE),
IF($A73&lt;DuraFix!$A$15,VLOOKUP($A73,DuraFix!$A$9:$M$14,4,FALSE),
IF($A73&lt;'Compression Fittings'!$A$16,VLOOKUP($A73,'Compression Fittings'!$A$8:$M$15,4,FALSE),
IF($A73&lt;'Hose Fittings'!$A$30,VLOOKUP($A73,'Hose Fittings'!$A$8:$M$29,4,FALSE),
IF($A73&lt;'Swing Joints'!$A$496,VLOOKUP($A73,'Swing Joints'!$A$9:$M$495,4,FALSE),
IF($A73&lt;'Swing Joints Components'!$A$135,VLOOKUP($A73,'Swing Joints Components'!$A$9:$M$134,4,FALSE),
IF($A73&lt;Nonstandard!$A$42,VLOOKUP($A73,Nonstandard!$A$31:$J$41,5,FALSE),"")))))))))))))))))))))))))))),"")</f>
        <v/>
      </c>
      <c r="C73" s="415" t="str">
        <f>IFERROR(IF($A73&lt;'DWV PVC'!$A$285,VLOOKUP($A73,'DWV PVC'!$A$8:$M$284,5,FALSE),
IF($A73&lt;'DWV ABS'!$A$117,VLOOKUP($A73,'DWV ABS'!$A$8:$M$116,5,FALSE),
IF($A73&lt;'PVC SCH40'!$A$376,VLOOKUP($A73,'PVC SCH40'!$A$8:$M$375,5,FALSE),
IF($A73&lt;'PVC SCH40 LD'!$A$22,VLOOKUP($A73,'PVC SCH40 LD'!$A$8:$M$21,5,FALSE),
IF($A73&lt;'Pool &amp; SPA Sweep Elbows'!$A$12,VLOOKUP($A73,'Pool &amp; SPA Sweep Elbows'!$A$8:$M$11,5,FALSE),
IF($A73&lt;'Pool &amp; SPA Pipe Extender'!$A$11,VLOOKUP($A73,'Pool &amp; SPA Pipe Extender'!$A$8:$M$10,5,FALSE),
IF($A73&lt;'PVC SCH80'!$A$250,VLOOKUP($A73,'PVC SCH80'!$A$8:$M$249,5,FALSE),
IF($A73&lt;'PVC SCH80 Flange'!$A$49,VLOOKUP($A73,'PVC SCH80 Flange'!$A$8:$M$48,5,FALSE),
IF($A73&lt;'PVC SCH80 LD Flange'!$A$17,VLOOKUP($A73,'PVC SCH80 LD Flange'!$A$8:$M$16,5,FALSE),
IF($A73&lt;CPVC!$A$100,VLOOKUP($A73,CPVC!$A$8:$M$99,5,FALSE),
IF($A73&lt;InsertFittings!$A$237,VLOOKUP($A73,InsertFittings!$A$11:$M$236,5,FALSE),
IF($A73&lt;Valves!$A$132,VLOOKUP($A73,Valves!$A$8:$M$131,5,FALSE),
IF($A73&lt;SDR35SW!$A$124,VLOOKUP($A73,SDR35SW!$A$8:$M$123,5,FALSE),
IF($A73&lt;SDR35G!$A$143,VLOOKUP($A73, SDR35G!$A$8:$M$142,5,FALSE),
IF($A73&lt;SDR26G!$A$61,VLOOKUP($A73,SDR26G!$A$8:$N$60,5,FALSE),
IF($A73&lt;Cements!$A$100,VLOOKUP($A73,Cements!$A$8:$Q$99,5,FALSE),
IF($A73&lt;ValveBox!$A$143,VLOOKUP($A73,ValveBox!$A$10:$O$142,5,FALSE),
IF($A73&lt;'ValveBox Components'!$A$165,VLOOKUP($A73,'ValveBox Components'!$A$10:$O$164,5,FALSE),
IF($A73&lt;Drainage!$A$92,VLOOKUP($A73,Drainage!$A$8:$M$91,5,FALSE),
IF($A73&lt;Nipples!$A$82,VLOOKUP($A73,Nipples!$A$9:$Q$81,5,FALSE),
IF($A73&lt;Manifold!$A$33,VLOOKUP($A73,Manifold!$A$9:$M$32,5,FALSE),
IF($A73&lt;FlexibleRepairCouplings!$A$13,VLOOKUP($A73,FlexibleRepairCouplings!$A$10:$M$12,5,FALSE),
IF($A73&lt;DuraFix!$A$15,VLOOKUP($A73,DuraFix!$A$9:$M$14,5,FALSE),
IF($A73&lt;'Compression Fittings'!$A$16,VLOOKUP($A73,'Compression Fittings'!$A$8:$M$15,5,FALSE),
IF($A73&lt;'Hose Fittings'!$A$30,VLOOKUP($A73,'Hose Fittings'!$A$8:$M$29,5,FALSE),
IF($A73&lt;'Swing Joints'!$A$496,VLOOKUP($A73,'Swing Joints'!$A$9:$M$495,5,FALSE),
IF($A73&lt;'Swing Joints Components'!$A$135,VLOOKUP($A73,'Swing Joints Components'!$A$9:$M$134,5,FALSE),
IF($A73&lt;Nonstandard!$A$42,VLOOKUP($A73,Nonstandard!$A$31:$J$41,6,FALSE),"")))))))))))))))))))))))))))),"")</f>
        <v/>
      </c>
      <c r="D73" s="426" t="str">
        <f>IFERROR(IF($A73&lt;'DWV PVC'!$A$285,VLOOKUP($A73,'DWV PVC'!$A$8:$M$284,6,FALSE),
IF($A73&lt;'DWV ABS'!$A$117,VLOOKUP($A73,'DWV ABS'!$A$8:$M$116,6,FALSE),
IF($A73&lt;'PVC SCH40'!$A$376,VLOOKUP($A73,'PVC SCH40'!$A$8:$M$375,6,FALSE),
IF($A73&lt;'PVC SCH40 LD'!$A$22,VLOOKUP($A73,'PVC SCH40 LD'!$A$8:$M$21,6,FALSE),
IF($A73&lt;'Pool &amp; SPA Sweep Elbows'!$A$12,VLOOKUP($A73,'Pool &amp; SPA Sweep Elbows'!$A$8:$M$11,6,FALSE),
IF($A73&lt;'Pool &amp; SPA Pipe Extender'!$A$11,VLOOKUP($A73,'Pool &amp; SPA Pipe Extender'!$A$8:$M$10,6,FALSE),
IF($A73&lt;'PVC SCH80'!$A$250,VLOOKUP($A73,'PVC SCH80'!$A$8:$M$249,6,FALSE),
IF($A73&lt;'PVC SCH80 Flange'!$A$49,VLOOKUP($A73,'PVC SCH80 Flange'!$A$8:$M$48,6,FALSE),
IF($A73&lt;'PVC SCH80 LD Flange'!$A$17,VLOOKUP($A73,'PVC SCH80 LD Flange'!$A$8:$M$16,6,FALSE),
IF($A73&lt;CPVC!$A$100,VLOOKUP($A73,CPVC!$A$8:$M$99,6,FALSE),
IF($A73&lt;InsertFittings!$A$237,VLOOKUP($A73,InsertFittings!$A$11:$M$236,6,FALSE),
IF($A73&lt;Valves!$A$132,VLOOKUP($A73,Valves!$A$8:$M$131,6,FALSE),
IF($A73&lt;SDR35SW!$A$124,VLOOKUP($A73,SDR35SW!$A$8:$M$123,6,FALSE),
IF($A73&lt;SDR35G!$A$143,VLOOKUP($A73, SDR35G!$A$8:$M$142,6,FALSE),
IF($A73&lt;SDR26G!$A$61,VLOOKUP($A73,SDR26G!$A$8:$N$60,6,FALSE),
IF($A73&lt;Cements!$A$100,VLOOKUP($A73,Cements!$A$8:$Q$99,6,FALSE),
IF($A73&lt;ValveBox!$A$143,VLOOKUP($A73,ValveBox!$A$10:$O$142,6,FALSE),
IF($A73&lt;'ValveBox Components'!$A$165,VLOOKUP($A73,'ValveBox Components'!$A$10:$O$164,6,FALSE),
IF($A73&lt;Drainage!$A$92,VLOOKUP($A73,Drainage!$A$8:$M$91,6,FALSE),
IF($A73&lt;Nipples!$A$82,VLOOKUP($A73,Nipples!$A$9:$Q$81,6,FALSE),
IF($A73&lt;Manifold!$A$33,VLOOKUP($A73,Manifold!$A$9:$M$32,6,FALSE),
IF($A73&lt;FlexibleRepairCouplings!$A$13,VLOOKUP($A73,FlexibleRepairCouplings!$A$10:$M$12,6,FALSE),
IF($A73&lt;DuraFix!$A$15,VLOOKUP($A73,DuraFix!$A$9:$M$14,6,FALSE),
IF($A73&lt;'Compression Fittings'!$A$16,VLOOKUP($A73,'Compression Fittings'!$A$8:$M$15,6,FALSE),
IF($A73&lt;'Hose Fittings'!$A$30,VLOOKUP($A73,'Hose Fittings'!$A$8:$M$29,6,FALSE),
IF($A73&lt;'Swing Joints'!$A$496,VLOOKUP($A73,'Swing Joints'!$A$9:$M$495,6,FALSE),
IF($A73&lt;'Swing Joints Components'!$A$135,VLOOKUP($A73,'Swing Joints Components'!$A$9:$M$134,6,FALSE),
IF($A73&lt;Nonstandard!$A$42,VLOOKUP($A73,Nonstandard!$A$31:$J$41,7,FALSE),"")))))))))))))))))))))))))))),"")</f>
        <v/>
      </c>
      <c r="E73" s="427"/>
      <c r="F73" s="418" t="str">
        <f>IFERROR(IF($A73&lt;'DWV PVC'!$A$285,VLOOKUP($A73,'DWV PVC'!$A$8:$M$284,9,FALSE),
IF($A73&lt;'DWV ABS'!$A$117,VLOOKUP($A73,'DWV ABS'!$A$8:$M$116,9,FALSE),
IF($A73&lt;'PVC SCH40'!$A$376,VLOOKUP($A73,'PVC SCH40'!$A$8:$M$375,9,FALSE),
IF($A73&lt;'PVC SCH40 LD'!$A$22,VLOOKUP($A73,'PVC SCH40 LD'!$A$8:$M$21,9,FALSE),
IF($A73&lt;'Pool &amp; SPA Sweep Elbows'!$A$12,VLOOKUP($A73,'Pool &amp; SPA Sweep Elbows'!$A$8:$M$11,9,FALSE),
IF($A73&lt;'Pool &amp; SPA Pipe Extender'!$A$11,VLOOKUP($A73,'Pool &amp; SPA Pipe Extender'!$A$8:$M$10,9,FALSE),
IF($A73&lt;'PVC SCH80'!$A$250,VLOOKUP($A73,'PVC SCH80'!$A$8:$M$249,9,FALSE),
IF($A73&lt;'PVC SCH80 Flange'!$A$49,VLOOKUP($A73,'PVC SCH80 Flange'!$A$8:$M$48,9,FALSE),
IF($A73&lt;'PVC SCH80 LD Flange'!$A$17,VLOOKUP($A73,'PVC SCH80 LD Flange'!$A$8:$M$16,9,FALSE),
IF($A73&lt;CPVC!$A$100,VLOOKUP($A73,CPVC!$A$8:$M$99,9,FALSE),
IF($A73&lt;InsertFittings!$A$237,VLOOKUP($A73,InsertFittings!$A$11:$M$236,9,FALSE),
IF($A73&lt;Valves!$A$132,VLOOKUP($A73,Valves!$A$8:$M$131,9,FALSE),
IF($A73&lt;SDR35SW!$A$124,VLOOKUP($A73,SDR35SW!$A$8:$M$123,9,FALSE),
IF($A73&lt;SDR35G!$A$143,VLOOKUP($A73, SDR35G!$A$8:$M$142,9,FALSE),
IF($A73&lt;SDR26G!$A$61,VLOOKUP($A73,SDR26G!$A$8:$N$60,10,FALSE),
IF($A73&lt;Cements!$A$100,VLOOKUP($A73,Cements!$A$8:$Q$99,13,FALSE),
IF($A73&lt;ValveBox!$A$143,VLOOKUP($A73,ValveBox!$A$10:$O$142,11,FALSE),
IF($A73&lt;'ValveBox Components'!$A$165,VLOOKUP($A73,'ValveBox Components'!$A$10:$O$164,11,FALSE),
IF($A73&lt;Drainage!$A$92,VLOOKUP($A73,Drainage!$A$8:$M$91,9,FALSE),
IF($A73&lt;Nipples!$A$82,VLOOKUP($A73,Nipples!$A$9:$Q$81,13,FALSE),
IF($A73&lt;Manifold!$A$33,VLOOKUP($A73,Manifold!$A$9:$M$32,9,FALSE),
IF($A73&lt;FlexibleRepairCouplings!$A$13,VLOOKUP($A73,FlexibleRepairCouplings!$A$10:$M$12,9,FALSE),
IF($A73&lt;DuraFix!$A$15,VLOOKUP($A73,DuraFix!$A$9:$M$14,9,FALSE),
IF($A73&lt;'Compression Fittings'!$A$16,VLOOKUP($A73,'Compression Fittings'!$A$8:$M$15,9,FALSE),
IF($A73&lt;'Hose Fittings'!$A$30,VLOOKUP($A73,'Hose Fittings'!$A$8:$M$29,9,FALSE),
IF($A73&lt;'Swing Joints'!$A$496,VLOOKUP($A73,'Swing Joints'!$A$9:$M$495,9,FALSE),
IF($A73&lt;'Swing Joints Components'!$A$135,VLOOKUP($A73,'Swing Joints Components'!$A$9:$M$134,9,FALSE),
IF($A73&lt;Nonstandard!$A$42,VLOOKUP($A73,Nonstandard!$A$31:$J$41,8,FALSE),"")))))))))))))))))))))))))))),"")</f>
        <v/>
      </c>
      <c r="G73" s="416" t="str">
        <f>IFERROR(IF($A73&lt;'DWV PVC'!$A$285,VLOOKUP($A73,'DWV PVC'!$A$8:$M$284,11,FALSE),
IF($A73&lt;'DWV ABS'!$A$117,VLOOKUP($A73,'DWV ABS'!$A$8:$M$116,11,FALSE),
IF($A73&lt;'PVC SCH40'!$A$376,VLOOKUP($A73,'PVC SCH40'!$A$8:$M$375,11,FALSE),
IF($A73&lt;'PVC SCH40 LD'!$A$22,VLOOKUP($A73,'PVC SCH40 LD'!$A$8:$M$21,11,FALSE),
IF($A73&lt;'Pool &amp; SPA Sweep Elbows'!$A$12,VLOOKUP($A73,'Pool &amp; SPA Sweep Elbows'!$A$8:$M$11,11,FALSE),
IF($A73&lt;'Pool &amp; SPA Pipe Extender'!$A$11,VLOOKUP($A73,'Pool &amp; SPA Pipe Extender'!$A$8:$M$10,11,FALSE),
IF($A73&lt;'PVC SCH80'!$A$250,VLOOKUP($A73,'PVC SCH80'!$A$8:$M$249,11,FALSE),
IF($A73&lt;'PVC SCH80 Flange'!$A$49,VLOOKUP($A73,'PVC SCH80 Flange'!$A$8:$M$48,11,FALSE),
IF($A73&lt;'PVC SCH80 LD Flange'!$A$17,VLOOKUP($A73,'PVC SCH80 LD Flange'!$A$8:$M$16,11,FALSE),
IF($A73&lt;CPVC!$A$100,VLOOKUP($A73,CPVC!$A$8:$M$99,11,FALSE),
IF($A73&lt;InsertFittings!$A$237,VLOOKUP($A73,InsertFittings!$A$11:$M$236,11,FALSE),
IF($A73&lt;Valves!$A$132,VLOOKUP($A73,Valves!$A$8:$M$131,11,FALSE),
IF($A73&lt;SDR35SW!$A$124,VLOOKUP($A73,SDR35SW!$A$8:$M$123,11,FALSE),
IF($A73&lt;SDR35G!$A$143,VLOOKUP($A73, SDR35G!$A$8:$M$142,11,FALSE),
IF($A73&lt;SDR26G!$A$61,VLOOKUP($A73,SDR26G!$A$8:$N$60,12,FALSE),
IF($A73&lt;Cements!$A$100,VLOOKUP($A73,Cements!$A$8:$Q$99,15,FALSE),
IF($A73&lt;ValveBox!$A$143,VLOOKUP($A73,ValveBox!$A$10:$O$142,13,FALSE),
IF($A73&lt;'ValveBox Components'!$A$165,VLOOKUP($A73,'ValveBox Components'!$A$10:$O$164,13,FALSE),
IF($A73&lt;Drainage!$A$92,VLOOKUP($A73,Drainage!$A$8:$M$91,11,FALSE),
IF($A73&lt;Nipples!$A$82,VLOOKUP($A73,Nipples!$A$9:$Q$81,15,FALSE),
IF($A73&lt;Manifold!$A$33,VLOOKUP($A73,Manifold!$A$9:$M$32,11,FALSE),
IF($A73&lt;FlexibleRepairCouplings!$A$13,VLOOKUP($A73,FlexibleRepairCouplings!$A$10:$M$12,11,FALSE),
IF($A73&lt;DuraFix!$A$15,VLOOKUP($A73,DuraFix!$A$9:$M$14,11,FALSE),
IF($A73&lt;'Compression Fittings'!$A$16,VLOOKUP($A73,'Compression Fittings'!$A$8:$M$15,11,FALSE),
IF($A73&lt;'Hose Fittings'!$A$30,VLOOKUP($A73,'Hose Fittings'!$A$8:$M$29,11,FALSE),
IF($A73&lt;'Swing Joints'!$A$496,VLOOKUP($A73,'Swing Joints'!$A$9:$M$495,11,FALSE),
IF($A73&lt;'Swing Joints Components'!$A$135,VLOOKUP($A73,'Swing Joints Components'!$A$9:$M$134,11,FALSE),
IF($A73&lt;Nonstandard!$A$42,VLOOKUP($A73,Nonstandard!$A$31:$J$41,3,FALSE),"")))))))))))))))))))))))))))),"")</f>
        <v/>
      </c>
      <c r="H73" s="586" t="str">
        <f>IFERROR(IF($A73&lt;'DWV PVC'!$A$285,VLOOKUP($A73,'DWV PVC'!$A$8:$M$284,7,FALSE),
IF($A73&lt;'DWV ABS'!$A$117,VLOOKUP($A73,'DWV ABS'!$A$8:$M$116,7,FALSE),
IF($A73&lt;'PVC SCH40'!$A$376,VLOOKUP($A73,'PVC SCH40'!$A$8:$M$375,7,FALSE),
IF($A73&lt;'PVC SCH40 LD'!$A$22,VLOOKUP($A73,'PVC SCH40 LD'!$A$8:$M$21,7,FALSE),
IF($A73&lt;'Pool &amp; SPA Sweep Elbows'!$A$12,VLOOKUP($A73,'Pool &amp; SPA Sweep Elbows'!$A$8:$M$11,7,FALSE),
IF($A73&lt;'Pool &amp; SPA Pipe Extender'!$A$11,VLOOKUP($A73,'Pool &amp; SPA Pipe Extender'!$A$8:$M$10,7,FALSE),
IF($A73&lt;'PVC SCH80'!$A$250,VLOOKUP($A73,'PVC SCH80'!$A$8:$M$249,7,FALSE),
IF($A73&lt;'PVC SCH80 Flange'!$A$49,VLOOKUP($A73,'PVC SCH80 Flange'!$A$8:$M$48,7,FALSE),
IF($A73&lt;'PVC SCH80 LD Flange'!$A$17,VLOOKUP($A73,'PVC SCH80 LD Flange'!$A$8:$M$16,7,FALSE),
IF($A73&lt;CPVC!$A$100,VLOOKUP($A73,CPVC!$A$8:$M$99,7,FALSE),
IF($A73&lt;InsertFittings!$A$237,VLOOKUP($A73,InsertFittings!$A$11:$M$236,7,FALSE),
IF($A73&lt;Valves!$A$132,VLOOKUP($A73,Valves!$A$8:$M$131,7,FALSE),
IF($A73&lt;SDR35SW!$A$124,VLOOKUP($A73,SDR35SW!$A$8:$M$123,7,FALSE),
IF($A73&lt;SDR35G!$A$143,VLOOKUP($A73, SDR35G!$A$8:$M$142,7,FALSE),
IF($A73&lt;SDR26G!$A$61,VLOOKUP($A73,SDR26G!$A$8:$N$60,10,FALSE),
IF($A73&lt;Cements!$A$100,VLOOKUP($A73,Cements!$A$8:$Q$99,13,FALSE),
IF($A73&lt;ValveBox!$A$143,VLOOKUP($A73,ValveBox!$A$10:$O$142,11,FALSE),
IF($A73&lt;'ValveBox Components'!$A$165,VLOOKUP($A73,'ValveBox Components'!$A$10:$O$164,11,FALSE),
IF($A73&lt;Drainage!$A$92,VLOOKUP($A73,Drainage!$A$8:$M$91,7,FALSE),
IF($A73&lt;Nipples!$A$82,VLOOKUP($A73,Nipples!$A$9:$Q$81,13,FALSE),
IF($A73&lt;Manifold!$A$33,VLOOKUP($A73,Manifold!$A$9:$M$32,7,FALSE),
IF($A73&lt;FlexibleRepairCouplings!$A$13,VLOOKUP($A73,FlexibleRepairCouplings!$A$10:$M$12,7,FALSE),
IF($A73&lt;DuraFix!$A$15,VLOOKUP($A73,DuraFix!$A$9:$M$14,7,FALSE),
IF($A73&lt;'Compression Fittings'!$A$16,VLOOKUP($A73,'Compression Fittings'!$A$8:$M$15,7,FALSE),
IF($A73&lt;'Hose Fittings'!$A$30,VLOOKUP($A73,'Hose Fittings'!$A$8:$M$29,7,FALSE),
IF($A73&lt;'Swing Joints'!$A$496,VLOOKUP($A73,'Swing Joints'!$A$9:$M$495,7,FALSE),
IF($A73&lt;'Swing Joints Components'!$A$135,VLOOKUP($A73,'Swing Joints Components'!$A$9:$M$134,7,FALSE),
IF($A73&lt;Nonstandard!$A$42,VLOOKUP($A73,Nonstandard!$A$31:$J$41,3,FALSE),"")))))))))))))))))))))))))))),"")</f>
        <v/>
      </c>
      <c r="I73" s="587"/>
      <c r="J73" s="383" t="str">
        <f t="shared" si="1"/>
        <v/>
      </c>
      <c r="K73" s="417" t="str">
        <f>IFERROR(IF($A73&lt;'DWV PVC'!$A$285,VLOOKUP($A73,'DWV PVC'!$A$8:$M$284,10,FALSE),
IF($A73&lt;'DWV ABS'!$A$117,VLOOKUP($A73,'DWV ABS'!$A$8:$M$116,10,FALSE),
IF($A73&lt;'PVC SCH40'!$A$376,VLOOKUP($A73,'PVC SCH40'!$A$8:$M$375,10,FALSE),
IF($A73&lt;'PVC SCH40 LD'!$A$22,VLOOKUP($A73,'PVC SCH40 LD'!$A$8:$M$21,10,FALSE),
IF($A73&lt;'Pool &amp; SPA Sweep Elbows'!$A$12,VLOOKUP($A73,'Pool &amp; SPA Sweep Elbows'!$A$8:$M$11,10,FALSE),
IF($A73&lt;'Pool &amp; SPA Pipe Extender'!$A$11,VLOOKUP($A73,'Pool &amp; SPA Pipe Extender'!$A$8:$M$10,10,FALSE),
IF($A73&lt;'PVC SCH80'!$A$250,VLOOKUP($A73,'PVC SCH80'!$A$8:$M$249,10,FALSE),
IF($A73&lt;'PVC SCH80 Flange'!$A$49,VLOOKUP($A73,'PVC SCH80 Flange'!$A$8:$M$48,10,FALSE),
IF($A73&lt;'PVC SCH80 LD Flange'!$A$17,VLOOKUP($A73,'PVC SCH80 LD Flange'!$A$8:$M$16,10,FALSE),
IF($A73&lt;CPVC!$A$100,VLOOKUP($A73,CPVC!$A$8:$M$99,10,FALSE),
IF($A73&lt;InsertFittings!$A$237,VLOOKUP($A73,InsertFittings!$A$11:$M$236,10,FALSE),
IF($A73&lt;Valves!$A$132,VLOOKUP($A73,Valves!$A$8:$M$131,10,FALSE),
IF($A73&lt;SDR35SW!$A$124,VLOOKUP($A73,SDR35SW!$A$8:$M$123,10,FALSE),
IF($A73&lt;SDR35G!$A$143,VLOOKUP($A73, SDR35G!$A$8:$M$142,10,FALSE),
IF($A73&lt;SDR26G!$A$61,VLOOKUP($A73,SDR26G!$A$8:$N$60,11,FALSE),
IF($A73&lt;Cements!$A$100,VLOOKUP($A73,Cements!$A$8:$Q$99,14,FALSE),
IF($A73&lt;ValveBox!$A$143,VLOOKUP($A73,ValveBox!$A$10:$O$142,12,FALSE),
IF($A73&lt;'ValveBox Components'!$A$165,VLOOKUP($A73,'ValveBox Components'!$A$10:$O$164,12,FALSE),
IF($A73&lt;Drainage!$A$92,VLOOKUP($A73,Drainage!$A$8:$M$91,10,FALSE),
IF($A73&lt;Nipples!$A$82,VLOOKUP($A73,Nipples!$A$9:$Q$81,14,FALSE),
IF($A73&lt;Manifold!$A$33,VLOOKUP($A73,Manifold!$A$9:$M$32,10,FALSE),
IF($A73&lt;FlexibleRepairCouplings!$A$13,VLOOKUP($A73,FlexibleRepairCouplings!$A$10:$M$12,10,FALSE),
IF($A73&lt;DuraFix!$A$15,VLOOKUP($A73,DuraFix!$A$9:$M$14,10,FALSE),
IF($A73&lt;'Compression Fittings'!$A$16,VLOOKUP($A73,'Compression Fittings'!$A$8:$M$15,10,FALSE),
IF($A73&lt;'Hose Fittings'!$A$30,VLOOKUP($A73,'Hose Fittings'!$A$8:$M$29,10,FALSE),
IF($A73&lt;'Swing Joints'!$A$496,VLOOKUP($A73,'Swing Joints'!$A$9:$M$495,10,FALSE),
IF($A73&lt;'Swing Joints Components'!$A$135,VLOOKUP($A73,'Swing Joints Components'!$A$9:$M$134,10,FALSE),
IF($A73&lt;Nonstandard!$A$42,VLOOKUP($A73,Nonstandard!$A$31:$J$41,10,FALSE),"")))))))))))))))))))))))))))),"")</f>
        <v/>
      </c>
      <c r="L73" s="418" t="str">
        <f t="shared" si="0"/>
        <v>-</v>
      </c>
      <c r="M73" s="419"/>
    </row>
    <row r="74" spans="1:13" ht="15.75">
      <c r="A74" s="420">
        <v>42</v>
      </c>
      <c r="B74" s="420" t="str">
        <f>IFERROR(IF($A74&lt;'DWV PVC'!$A$285,VLOOKUP($A74,'DWV PVC'!$A$8:$M$284,4,FALSE),
IF($A74&lt;'DWV ABS'!$A$117,VLOOKUP($A74,'DWV ABS'!$A$8:$M$116,4,FALSE),
IF($A74&lt;'PVC SCH40'!$A$376,VLOOKUP($A74,'PVC SCH40'!$A$8:$M$375,4,FALSE),
IF($A74&lt;'PVC SCH40 LD'!$A$22,VLOOKUP($A74,'PVC SCH40 LD'!$A$8:$M$21,4,FALSE),
IF($A74&lt;'Pool &amp; SPA Sweep Elbows'!$A$12,VLOOKUP($A74,'Pool &amp; SPA Sweep Elbows'!$A$8:$M$11,4,FALSE),
IF($A74&lt;'Pool &amp; SPA Pipe Extender'!$A$11,VLOOKUP($A74,'Pool &amp; SPA Pipe Extender'!$A$8:$M$10,4,FALSE),
IF($A74&lt;'PVC SCH80'!$A$250,VLOOKUP($A74,'PVC SCH80'!$A$8:$M$249,4,FALSE),
IF($A74&lt;'PVC SCH80 Flange'!$A$49,VLOOKUP($A74,'PVC SCH80 Flange'!$A$8:$M$48,4,FALSE),
IF($A74&lt;'PVC SCH80 LD Flange'!$A$17,VLOOKUP($A74,'PVC SCH80 LD Flange'!$A$8:$M$16,4,FALSE),
IF($A74&lt;CPVC!$A$100,VLOOKUP($A74,CPVC!$A$8:$M$99,4,FALSE),
IF($A74&lt;InsertFittings!$A$237,VLOOKUP($A74,InsertFittings!$A$11:$M$236,4,FALSE),
IF($A74&lt;Valves!$A$132,VLOOKUP($A74,Valves!$A$8:$M$131,4,FALSE),
IF($A74&lt;SDR35SW!$A$124,VLOOKUP($A74,SDR35SW!$A$8:$M$123,4,FALSE),
IF($A74&lt;SDR35G!$A$143,VLOOKUP($A74, SDR35G!$A$8:$M$142,4,FALSE),
IF($A74&lt;SDR26G!$A$61,VLOOKUP($A74,SDR26G!$A$8:$N$60,4,FALSE),
IF($A74&lt;Cements!$A$100,VLOOKUP($A74,Cements!$A$8:$Q$99,4,FALSE),
IF($A74&lt;ValveBox!$A$143,VLOOKUP($A74,ValveBox!$A$10:$O$142,4,FALSE),
IF($A74&lt;'ValveBox Components'!$A$165,VLOOKUP($A74,'ValveBox Components'!$A$10:$O$164,4,FALSE),
IF($A74&lt;Drainage!$A$92,VLOOKUP($A74,Drainage!$A$8:$M$91,4,FALSE),
IF($A74&lt;Nipples!$A$82,VLOOKUP($A74,Nipples!$A$9:$Q$81,4,FALSE),
IF($A74&lt;Manifold!$A$33,VLOOKUP($A74,Manifold!$A$9:$M$32,4,FALSE),
IF($A74&lt;FlexibleRepairCouplings!$A$13,VLOOKUP($A74,FlexibleRepairCouplings!$A$10:$M$12,4,FALSE),
IF($A74&lt;DuraFix!$A$15,VLOOKUP($A74,DuraFix!$A$9:$M$14,4,FALSE),
IF($A74&lt;'Compression Fittings'!$A$16,VLOOKUP($A74,'Compression Fittings'!$A$8:$M$15,4,FALSE),
IF($A74&lt;'Hose Fittings'!$A$30,VLOOKUP($A74,'Hose Fittings'!$A$8:$M$29,4,FALSE),
IF($A74&lt;'Swing Joints'!$A$496,VLOOKUP($A74,'Swing Joints'!$A$9:$M$495,4,FALSE),
IF($A74&lt;'Swing Joints Components'!$A$135,VLOOKUP($A74,'Swing Joints Components'!$A$9:$M$134,4,FALSE),
IF($A74&lt;Nonstandard!$A$42,VLOOKUP($A74,Nonstandard!$A$31:$J$41,5,FALSE),"")))))))))))))))))))))))))))),"")</f>
        <v/>
      </c>
      <c r="C74" s="420" t="str">
        <f>IFERROR(IF($A74&lt;'DWV PVC'!$A$285,VLOOKUP($A74,'DWV PVC'!$A$8:$M$284,5,FALSE),
IF($A74&lt;'DWV ABS'!$A$117,VLOOKUP($A74,'DWV ABS'!$A$8:$M$116,5,FALSE),
IF($A74&lt;'PVC SCH40'!$A$376,VLOOKUP($A74,'PVC SCH40'!$A$8:$M$375,5,FALSE),
IF($A74&lt;'PVC SCH40 LD'!$A$22,VLOOKUP($A74,'PVC SCH40 LD'!$A$8:$M$21,5,FALSE),
IF($A74&lt;'Pool &amp; SPA Sweep Elbows'!$A$12,VLOOKUP($A74,'Pool &amp; SPA Sweep Elbows'!$A$8:$M$11,5,FALSE),
IF($A74&lt;'Pool &amp; SPA Pipe Extender'!$A$11,VLOOKUP($A74,'Pool &amp; SPA Pipe Extender'!$A$8:$M$10,5,FALSE),
IF($A74&lt;'PVC SCH80'!$A$250,VLOOKUP($A74,'PVC SCH80'!$A$8:$M$249,5,FALSE),
IF($A74&lt;'PVC SCH80 Flange'!$A$49,VLOOKUP($A74,'PVC SCH80 Flange'!$A$8:$M$48,5,FALSE),
IF($A74&lt;'PVC SCH80 LD Flange'!$A$17,VLOOKUP($A74,'PVC SCH80 LD Flange'!$A$8:$M$16,5,FALSE),
IF($A74&lt;CPVC!$A$100,VLOOKUP($A74,CPVC!$A$8:$M$99,5,FALSE),
IF($A74&lt;InsertFittings!$A$237,VLOOKUP($A74,InsertFittings!$A$11:$M$236,5,FALSE),
IF($A74&lt;Valves!$A$132,VLOOKUP($A74,Valves!$A$8:$M$131,5,FALSE),
IF($A74&lt;SDR35SW!$A$124,VLOOKUP($A74,SDR35SW!$A$8:$M$123,5,FALSE),
IF($A74&lt;SDR35G!$A$143,VLOOKUP($A74, SDR35G!$A$8:$M$142,5,FALSE),
IF($A74&lt;SDR26G!$A$61,VLOOKUP($A74,SDR26G!$A$8:$N$60,5,FALSE),
IF($A74&lt;Cements!$A$100,VLOOKUP($A74,Cements!$A$8:$Q$99,5,FALSE),
IF($A74&lt;ValveBox!$A$143,VLOOKUP($A74,ValveBox!$A$10:$O$142,5,FALSE),
IF($A74&lt;'ValveBox Components'!$A$165,VLOOKUP($A74,'ValveBox Components'!$A$10:$O$164,5,FALSE),
IF($A74&lt;Drainage!$A$92,VLOOKUP($A74,Drainage!$A$8:$M$91,5,FALSE),
IF($A74&lt;Nipples!$A$82,VLOOKUP($A74,Nipples!$A$9:$Q$81,5,FALSE),
IF($A74&lt;Manifold!$A$33,VLOOKUP($A74,Manifold!$A$9:$M$32,5,FALSE),
IF($A74&lt;FlexibleRepairCouplings!$A$13,VLOOKUP($A74,FlexibleRepairCouplings!$A$10:$M$12,5,FALSE),
IF($A74&lt;DuraFix!$A$15,VLOOKUP($A74,DuraFix!$A$9:$M$14,5,FALSE),
IF($A74&lt;'Compression Fittings'!$A$16,VLOOKUP($A74,'Compression Fittings'!$A$8:$M$15,5,FALSE),
IF($A74&lt;'Hose Fittings'!$A$30,VLOOKUP($A74,'Hose Fittings'!$A$8:$M$29,5,FALSE),
IF($A74&lt;'Swing Joints'!$A$496,VLOOKUP($A74,'Swing Joints'!$A$9:$M$495,5,FALSE),
IF($A74&lt;'Swing Joints Components'!$A$135,VLOOKUP($A74,'Swing Joints Components'!$A$9:$M$134,5,FALSE),
IF($A74&lt;Nonstandard!$A$42,VLOOKUP($A74,Nonstandard!$A$31:$J$41,6,FALSE),"")))))))))))))))))))))))))))),"")</f>
        <v/>
      </c>
      <c r="D74" s="428" t="str">
        <f>IFERROR(IF($A74&lt;'DWV PVC'!$A$285,VLOOKUP($A74,'DWV PVC'!$A$8:$M$284,6,FALSE),
IF($A74&lt;'DWV ABS'!$A$117,VLOOKUP($A74,'DWV ABS'!$A$8:$M$116,6,FALSE),
IF($A74&lt;'PVC SCH40'!$A$376,VLOOKUP($A74,'PVC SCH40'!$A$8:$M$375,6,FALSE),
IF($A74&lt;'PVC SCH40 LD'!$A$22,VLOOKUP($A74,'PVC SCH40 LD'!$A$8:$M$21,6,FALSE),
IF($A74&lt;'Pool &amp; SPA Sweep Elbows'!$A$12,VLOOKUP($A74,'Pool &amp; SPA Sweep Elbows'!$A$8:$M$11,6,FALSE),
IF($A74&lt;'Pool &amp; SPA Pipe Extender'!$A$11,VLOOKUP($A74,'Pool &amp; SPA Pipe Extender'!$A$8:$M$10,6,FALSE),
IF($A74&lt;'PVC SCH80'!$A$250,VLOOKUP($A74,'PVC SCH80'!$A$8:$M$249,6,FALSE),
IF($A74&lt;'PVC SCH80 Flange'!$A$49,VLOOKUP($A74,'PVC SCH80 Flange'!$A$8:$M$48,6,FALSE),
IF($A74&lt;'PVC SCH80 LD Flange'!$A$17,VLOOKUP($A74,'PVC SCH80 LD Flange'!$A$8:$M$16,6,FALSE),
IF($A74&lt;CPVC!$A$100,VLOOKUP($A74,CPVC!$A$8:$M$99,6,FALSE),
IF($A74&lt;InsertFittings!$A$237,VLOOKUP($A74,InsertFittings!$A$11:$M$236,6,FALSE),
IF($A74&lt;Valves!$A$132,VLOOKUP($A74,Valves!$A$8:$M$131,6,FALSE),
IF($A74&lt;SDR35SW!$A$124,VLOOKUP($A74,SDR35SW!$A$8:$M$123,6,FALSE),
IF($A74&lt;SDR35G!$A$143,VLOOKUP($A74, SDR35G!$A$8:$M$142,6,FALSE),
IF($A74&lt;SDR26G!$A$61,VLOOKUP($A74,SDR26G!$A$8:$N$60,6,FALSE),
IF($A74&lt;Cements!$A$100,VLOOKUP($A74,Cements!$A$8:$Q$99,6,FALSE),
IF($A74&lt;ValveBox!$A$143,VLOOKUP($A74,ValveBox!$A$10:$O$142,6,FALSE),
IF($A74&lt;'ValveBox Components'!$A$165,VLOOKUP($A74,'ValveBox Components'!$A$10:$O$164,6,FALSE),
IF($A74&lt;Drainage!$A$92,VLOOKUP($A74,Drainage!$A$8:$M$91,6,FALSE),
IF($A74&lt;Nipples!$A$82,VLOOKUP($A74,Nipples!$A$9:$Q$81,6,FALSE),
IF($A74&lt;Manifold!$A$33,VLOOKUP($A74,Manifold!$A$9:$M$32,6,FALSE),
IF($A74&lt;FlexibleRepairCouplings!$A$13,VLOOKUP($A74,FlexibleRepairCouplings!$A$10:$M$12,6,FALSE),
IF($A74&lt;DuraFix!$A$15,VLOOKUP($A74,DuraFix!$A$9:$M$14,6,FALSE),
IF($A74&lt;'Compression Fittings'!$A$16,VLOOKUP($A74,'Compression Fittings'!$A$8:$M$15,6,FALSE),
IF($A74&lt;'Hose Fittings'!$A$30,VLOOKUP($A74,'Hose Fittings'!$A$8:$M$29,6,FALSE),
IF($A74&lt;'Swing Joints'!$A$496,VLOOKUP($A74,'Swing Joints'!$A$9:$M$495,6,FALSE),
IF($A74&lt;'Swing Joints Components'!$A$135,VLOOKUP($A74,'Swing Joints Components'!$A$9:$M$134,6,FALSE),
IF($A74&lt;Nonstandard!$A$42,VLOOKUP($A74,Nonstandard!$A$31:$J$41,7,FALSE),"")))))))))))))))))))))))))))),"")</f>
        <v/>
      </c>
      <c r="E74" s="429"/>
      <c r="F74" s="421" t="str">
        <f>IFERROR(IF($A74&lt;'DWV PVC'!$A$285,VLOOKUP($A74,'DWV PVC'!$A$8:$M$284,9,FALSE),
IF($A74&lt;'DWV ABS'!$A$117,VLOOKUP($A74,'DWV ABS'!$A$8:$M$116,9,FALSE),
IF($A74&lt;'PVC SCH40'!$A$376,VLOOKUP($A74,'PVC SCH40'!$A$8:$M$375,9,FALSE),
IF($A74&lt;'PVC SCH40 LD'!$A$22,VLOOKUP($A74,'PVC SCH40 LD'!$A$8:$M$21,9,FALSE),
IF($A74&lt;'Pool &amp; SPA Sweep Elbows'!$A$12,VLOOKUP($A74,'Pool &amp; SPA Sweep Elbows'!$A$8:$M$11,9,FALSE),
IF($A74&lt;'Pool &amp; SPA Pipe Extender'!$A$11,VLOOKUP($A74,'Pool &amp; SPA Pipe Extender'!$A$8:$M$10,9,FALSE),
IF($A74&lt;'PVC SCH80'!$A$250,VLOOKUP($A74,'PVC SCH80'!$A$8:$M$249,9,FALSE),
IF($A74&lt;'PVC SCH80 Flange'!$A$49,VLOOKUP($A74,'PVC SCH80 Flange'!$A$8:$M$48,9,FALSE),
IF($A74&lt;'PVC SCH80 LD Flange'!$A$17,VLOOKUP($A74,'PVC SCH80 LD Flange'!$A$8:$M$16,9,FALSE),
IF($A74&lt;CPVC!$A$100,VLOOKUP($A74,CPVC!$A$8:$M$99,9,FALSE),
IF($A74&lt;InsertFittings!$A$237,VLOOKUP($A74,InsertFittings!$A$11:$M$236,9,FALSE),
IF($A74&lt;Valves!$A$132,VLOOKUP($A74,Valves!$A$8:$M$131,9,FALSE),
IF($A74&lt;SDR35SW!$A$124,VLOOKUP($A74,SDR35SW!$A$8:$M$123,9,FALSE),
IF($A74&lt;SDR35G!$A$143,VLOOKUP($A74, SDR35G!$A$8:$M$142,9,FALSE),
IF($A74&lt;SDR26G!$A$61,VLOOKUP($A74,SDR26G!$A$8:$N$60,10,FALSE),
IF($A74&lt;Cements!$A$100,VLOOKUP($A74,Cements!$A$8:$Q$99,13,FALSE),
IF($A74&lt;ValveBox!$A$143,VLOOKUP($A74,ValveBox!$A$10:$O$142,11,FALSE),
IF($A74&lt;'ValveBox Components'!$A$165,VLOOKUP($A74,'ValveBox Components'!$A$10:$O$164,11,FALSE),
IF($A74&lt;Drainage!$A$92,VLOOKUP($A74,Drainage!$A$8:$M$91,9,FALSE),
IF($A74&lt;Nipples!$A$82,VLOOKUP($A74,Nipples!$A$9:$Q$81,13,FALSE),
IF($A74&lt;Manifold!$A$33,VLOOKUP($A74,Manifold!$A$9:$M$32,9,FALSE),
IF($A74&lt;FlexibleRepairCouplings!$A$13,VLOOKUP($A74,FlexibleRepairCouplings!$A$10:$M$12,9,FALSE),
IF($A74&lt;DuraFix!$A$15,VLOOKUP($A74,DuraFix!$A$9:$M$14,9,FALSE),
IF($A74&lt;'Compression Fittings'!$A$16,VLOOKUP($A74,'Compression Fittings'!$A$8:$M$15,9,FALSE),
IF($A74&lt;'Hose Fittings'!$A$30,VLOOKUP($A74,'Hose Fittings'!$A$8:$M$29,9,FALSE),
IF($A74&lt;'Swing Joints'!$A$496,VLOOKUP($A74,'Swing Joints'!$A$9:$M$495,9,FALSE),
IF($A74&lt;'Swing Joints Components'!$A$135,VLOOKUP($A74,'Swing Joints Components'!$A$9:$M$134,9,FALSE),
IF($A74&lt;Nonstandard!$A$42,VLOOKUP($A74,Nonstandard!$A$31:$J$41,8,FALSE),"")))))))))))))))))))))))))))),"")</f>
        <v/>
      </c>
      <c r="G74" s="422" t="str">
        <f>IFERROR(IF($A74&lt;'DWV PVC'!$A$285,VLOOKUP($A74,'DWV PVC'!$A$8:$M$284,11,FALSE),
IF($A74&lt;'DWV ABS'!$A$117,VLOOKUP($A74,'DWV ABS'!$A$8:$M$116,11,FALSE),
IF($A74&lt;'PVC SCH40'!$A$376,VLOOKUP($A74,'PVC SCH40'!$A$8:$M$375,11,FALSE),
IF($A74&lt;'PVC SCH40 LD'!$A$22,VLOOKUP($A74,'PVC SCH40 LD'!$A$8:$M$21,11,FALSE),
IF($A74&lt;'Pool &amp; SPA Sweep Elbows'!$A$12,VLOOKUP($A74,'Pool &amp; SPA Sweep Elbows'!$A$8:$M$11,11,FALSE),
IF($A74&lt;'Pool &amp; SPA Pipe Extender'!$A$11,VLOOKUP($A74,'Pool &amp; SPA Pipe Extender'!$A$8:$M$10,11,FALSE),
IF($A74&lt;'PVC SCH80'!$A$250,VLOOKUP($A74,'PVC SCH80'!$A$8:$M$249,11,FALSE),
IF($A74&lt;'PVC SCH80 Flange'!$A$49,VLOOKUP($A74,'PVC SCH80 Flange'!$A$8:$M$48,11,FALSE),
IF($A74&lt;'PVC SCH80 LD Flange'!$A$17,VLOOKUP($A74,'PVC SCH80 LD Flange'!$A$8:$M$16,11,FALSE),
IF($A74&lt;CPVC!$A$100,VLOOKUP($A74,CPVC!$A$8:$M$99,11,FALSE),
IF($A74&lt;InsertFittings!$A$237,VLOOKUP($A74,InsertFittings!$A$11:$M$236,11,FALSE),
IF($A74&lt;Valves!$A$132,VLOOKUP($A74,Valves!$A$8:$M$131,11,FALSE),
IF($A74&lt;SDR35SW!$A$124,VLOOKUP($A74,SDR35SW!$A$8:$M$123,11,FALSE),
IF($A74&lt;SDR35G!$A$143,VLOOKUP($A74, SDR35G!$A$8:$M$142,11,FALSE),
IF($A74&lt;SDR26G!$A$61,VLOOKUP($A74,SDR26G!$A$8:$N$60,12,FALSE),
IF($A74&lt;Cements!$A$100,VLOOKUP($A74,Cements!$A$8:$Q$99,15,FALSE),
IF($A74&lt;ValveBox!$A$143,VLOOKUP($A74,ValveBox!$A$10:$O$142,13,FALSE),
IF($A74&lt;'ValveBox Components'!$A$165,VLOOKUP($A74,'ValveBox Components'!$A$10:$O$164,13,FALSE),
IF($A74&lt;Drainage!$A$92,VLOOKUP($A74,Drainage!$A$8:$M$91,11,FALSE),
IF($A74&lt;Nipples!$A$82,VLOOKUP($A74,Nipples!$A$9:$Q$81,15,FALSE),
IF($A74&lt;Manifold!$A$33,VLOOKUP($A74,Manifold!$A$9:$M$32,11,FALSE),
IF($A74&lt;FlexibleRepairCouplings!$A$13,VLOOKUP($A74,FlexibleRepairCouplings!$A$10:$M$12,11,FALSE),
IF($A74&lt;DuraFix!$A$15,VLOOKUP($A74,DuraFix!$A$9:$M$14,11,FALSE),
IF($A74&lt;'Compression Fittings'!$A$16,VLOOKUP($A74,'Compression Fittings'!$A$8:$M$15,11,FALSE),
IF($A74&lt;'Hose Fittings'!$A$30,VLOOKUP($A74,'Hose Fittings'!$A$8:$M$29,11,FALSE),
IF($A74&lt;'Swing Joints'!$A$496,VLOOKUP($A74,'Swing Joints'!$A$9:$M$495,11,FALSE),
IF($A74&lt;'Swing Joints Components'!$A$135,VLOOKUP($A74,'Swing Joints Components'!$A$9:$M$134,11,FALSE),
IF($A74&lt;Nonstandard!$A$42,VLOOKUP($A74,Nonstandard!$A$31:$J$41,3,FALSE),"")))))))))))))))))))))))))))),"")</f>
        <v/>
      </c>
      <c r="H74" s="588" t="str">
        <f>IFERROR(IF($A74&lt;'DWV PVC'!$A$285,VLOOKUP($A74,'DWV PVC'!$A$8:$M$284,7,FALSE),
IF($A74&lt;'DWV ABS'!$A$117,VLOOKUP($A74,'DWV ABS'!$A$8:$M$116,7,FALSE),
IF($A74&lt;'PVC SCH40'!$A$376,VLOOKUP($A74,'PVC SCH40'!$A$8:$M$375,7,FALSE),
IF($A74&lt;'PVC SCH40 LD'!$A$22,VLOOKUP($A74,'PVC SCH40 LD'!$A$8:$M$21,7,FALSE),
IF($A74&lt;'Pool &amp; SPA Sweep Elbows'!$A$12,VLOOKUP($A74,'Pool &amp; SPA Sweep Elbows'!$A$8:$M$11,7,FALSE),
IF($A74&lt;'Pool &amp; SPA Pipe Extender'!$A$11,VLOOKUP($A74,'Pool &amp; SPA Pipe Extender'!$A$8:$M$10,7,FALSE),
IF($A74&lt;'PVC SCH80'!$A$250,VLOOKUP($A74,'PVC SCH80'!$A$8:$M$249,7,FALSE),
IF($A74&lt;'PVC SCH80 Flange'!$A$49,VLOOKUP($A74,'PVC SCH80 Flange'!$A$8:$M$48,7,FALSE),
IF($A74&lt;'PVC SCH80 LD Flange'!$A$17,VLOOKUP($A74,'PVC SCH80 LD Flange'!$A$8:$M$16,7,FALSE),
IF($A74&lt;CPVC!$A$100,VLOOKUP($A74,CPVC!$A$8:$M$99,7,FALSE),
IF($A74&lt;InsertFittings!$A$237,VLOOKUP($A74,InsertFittings!$A$11:$M$236,7,FALSE),
IF($A74&lt;Valves!$A$132,VLOOKUP($A74,Valves!$A$8:$M$131,7,FALSE),
IF($A74&lt;SDR35SW!$A$124,VLOOKUP($A74,SDR35SW!$A$8:$M$123,7,FALSE),
IF($A74&lt;SDR35G!$A$143,VLOOKUP($A74, SDR35G!$A$8:$M$142,7,FALSE),
IF($A74&lt;SDR26G!$A$61,VLOOKUP($A74,SDR26G!$A$8:$N$60,10,FALSE),
IF($A74&lt;Cements!$A$100,VLOOKUP($A74,Cements!$A$8:$Q$99,13,FALSE),
IF($A74&lt;ValveBox!$A$143,VLOOKUP($A74,ValveBox!$A$10:$O$142,11,FALSE),
IF($A74&lt;'ValveBox Components'!$A$165,VLOOKUP($A74,'ValveBox Components'!$A$10:$O$164,11,FALSE),
IF($A74&lt;Drainage!$A$92,VLOOKUP($A74,Drainage!$A$8:$M$91,7,FALSE),
IF($A74&lt;Nipples!$A$82,VLOOKUP($A74,Nipples!$A$9:$Q$81,13,FALSE),
IF($A74&lt;Manifold!$A$33,VLOOKUP($A74,Manifold!$A$9:$M$32,7,FALSE),
IF($A74&lt;FlexibleRepairCouplings!$A$13,VLOOKUP($A74,FlexibleRepairCouplings!$A$10:$M$12,7,FALSE),
IF($A74&lt;DuraFix!$A$15,VLOOKUP($A74,DuraFix!$A$9:$M$14,7,FALSE),
IF($A74&lt;'Compression Fittings'!$A$16,VLOOKUP($A74,'Compression Fittings'!$A$8:$M$15,7,FALSE),
IF($A74&lt;'Hose Fittings'!$A$30,VLOOKUP($A74,'Hose Fittings'!$A$8:$M$29,7,FALSE),
IF($A74&lt;'Swing Joints'!$A$496,VLOOKUP($A74,'Swing Joints'!$A$9:$M$495,7,FALSE),
IF($A74&lt;'Swing Joints Components'!$A$135,VLOOKUP($A74,'Swing Joints Components'!$A$9:$M$134,7,FALSE),
IF($A74&lt;Nonstandard!$A$42,VLOOKUP($A74,Nonstandard!$A$31:$J$41,3,FALSE),"")))))))))))))))))))))))))))),"")</f>
        <v/>
      </c>
      <c r="I74" s="589"/>
      <c r="J74" s="423" t="str">
        <f t="shared" si="1"/>
        <v/>
      </c>
      <c r="K74" s="424" t="str">
        <f>IFERROR(IF($A74&lt;'DWV PVC'!$A$285,VLOOKUP($A74,'DWV PVC'!$A$8:$M$284,10,FALSE),
IF($A74&lt;'DWV ABS'!$A$117,VLOOKUP($A74,'DWV ABS'!$A$8:$M$116,10,FALSE),
IF($A74&lt;'PVC SCH40'!$A$376,VLOOKUP($A74,'PVC SCH40'!$A$8:$M$375,10,FALSE),
IF($A74&lt;'PVC SCH40 LD'!$A$22,VLOOKUP($A74,'PVC SCH40 LD'!$A$8:$M$21,10,FALSE),
IF($A74&lt;'Pool &amp; SPA Sweep Elbows'!$A$12,VLOOKUP($A74,'Pool &amp; SPA Sweep Elbows'!$A$8:$M$11,10,FALSE),
IF($A74&lt;'Pool &amp; SPA Pipe Extender'!$A$11,VLOOKUP($A74,'Pool &amp; SPA Pipe Extender'!$A$8:$M$10,10,FALSE),
IF($A74&lt;'PVC SCH80'!$A$250,VLOOKUP($A74,'PVC SCH80'!$A$8:$M$249,10,FALSE),
IF($A74&lt;'PVC SCH80 Flange'!$A$49,VLOOKUP($A74,'PVC SCH80 Flange'!$A$8:$M$48,10,FALSE),
IF($A74&lt;'PVC SCH80 LD Flange'!$A$17,VLOOKUP($A74,'PVC SCH80 LD Flange'!$A$8:$M$16,10,FALSE),
IF($A74&lt;CPVC!$A$100,VLOOKUP($A74,CPVC!$A$8:$M$99,10,FALSE),
IF($A74&lt;InsertFittings!$A$237,VLOOKUP($A74,InsertFittings!$A$11:$M$236,10,FALSE),
IF($A74&lt;Valves!$A$132,VLOOKUP($A74,Valves!$A$8:$M$131,10,FALSE),
IF($A74&lt;SDR35SW!$A$124,VLOOKUP($A74,SDR35SW!$A$8:$M$123,10,FALSE),
IF($A74&lt;SDR35G!$A$143,VLOOKUP($A74, SDR35G!$A$8:$M$142,10,FALSE),
IF($A74&lt;SDR26G!$A$61,VLOOKUP($A74,SDR26G!$A$8:$N$60,11,FALSE),
IF($A74&lt;Cements!$A$100,VLOOKUP($A74,Cements!$A$8:$Q$99,14,FALSE),
IF($A74&lt;ValveBox!$A$143,VLOOKUP($A74,ValveBox!$A$10:$O$142,12,FALSE),
IF($A74&lt;'ValveBox Components'!$A$165,VLOOKUP($A74,'ValveBox Components'!$A$10:$O$164,12,FALSE),
IF($A74&lt;Drainage!$A$92,VLOOKUP($A74,Drainage!$A$8:$M$91,10,FALSE),
IF($A74&lt;Nipples!$A$82,VLOOKUP($A74,Nipples!$A$9:$Q$81,14,FALSE),
IF($A74&lt;Manifold!$A$33,VLOOKUP($A74,Manifold!$A$9:$M$32,10,FALSE),
IF($A74&lt;FlexibleRepairCouplings!$A$13,VLOOKUP($A74,FlexibleRepairCouplings!$A$10:$M$12,10,FALSE),
IF($A74&lt;DuraFix!$A$15,VLOOKUP($A74,DuraFix!$A$9:$M$14,10,FALSE),
IF($A74&lt;'Compression Fittings'!$A$16,VLOOKUP($A74,'Compression Fittings'!$A$8:$M$15,10,FALSE),
IF($A74&lt;'Hose Fittings'!$A$30,VLOOKUP($A74,'Hose Fittings'!$A$8:$M$29,10,FALSE),
IF($A74&lt;'Swing Joints'!$A$496,VLOOKUP($A74,'Swing Joints'!$A$9:$M$495,10,FALSE),
IF($A74&lt;'Swing Joints Components'!$A$135,VLOOKUP($A74,'Swing Joints Components'!$A$9:$M$134,10,FALSE),
IF($A74&lt;Nonstandard!$A$42,VLOOKUP($A74,Nonstandard!$A$31:$J$41,10,FALSE),"")))))))))))))))))))))))))))),"")</f>
        <v/>
      </c>
      <c r="L74" s="421" t="str">
        <f t="shared" si="0"/>
        <v>-</v>
      </c>
      <c r="M74" s="425"/>
    </row>
    <row r="75" spans="1:13" ht="15.75">
      <c r="A75" s="415">
        <v>43</v>
      </c>
      <c r="B75" s="415" t="str">
        <f>IFERROR(IF($A75&lt;'DWV PVC'!$A$285,VLOOKUP($A75,'DWV PVC'!$A$8:$M$284,4,FALSE),
IF($A75&lt;'DWV ABS'!$A$117,VLOOKUP($A75,'DWV ABS'!$A$8:$M$116,4,FALSE),
IF($A75&lt;'PVC SCH40'!$A$376,VLOOKUP($A75,'PVC SCH40'!$A$8:$M$375,4,FALSE),
IF($A75&lt;'PVC SCH40 LD'!$A$22,VLOOKUP($A75,'PVC SCH40 LD'!$A$8:$M$21,4,FALSE),
IF($A75&lt;'Pool &amp; SPA Sweep Elbows'!$A$12,VLOOKUP($A75,'Pool &amp; SPA Sweep Elbows'!$A$8:$M$11,4,FALSE),
IF($A75&lt;'Pool &amp; SPA Pipe Extender'!$A$11,VLOOKUP($A75,'Pool &amp; SPA Pipe Extender'!$A$8:$M$10,4,FALSE),
IF($A75&lt;'PVC SCH80'!$A$250,VLOOKUP($A75,'PVC SCH80'!$A$8:$M$249,4,FALSE),
IF($A75&lt;'PVC SCH80 Flange'!$A$49,VLOOKUP($A75,'PVC SCH80 Flange'!$A$8:$M$48,4,FALSE),
IF($A75&lt;'PVC SCH80 LD Flange'!$A$17,VLOOKUP($A75,'PVC SCH80 LD Flange'!$A$8:$M$16,4,FALSE),
IF($A75&lt;CPVC!$A$100,VLOOKUP($A75,CPVC!$A$8:$M$99,4,FALSE),
IF($A75&lt;InsertFittings!$A$237,VLOOKUP($A75,InsertFittings!$A$11:$M$236,4,FALSE),
IF($A75&lt;Valves!$A$132,VLOOKUP($A75,Valves!$A$8:$M$131,4,FALSE),
IF($A75&lt;SDR35SW!$A$124,VLOOKUP($A75,SDR35SW!$A$8:$M$123,4,FALSE),
IF($A75&lt;SDR35G!$A$143,VLOOKUP($A75, SDR35G!$A$8:$M$142,4,FALSE),
IF($A75&lt;SDR26G!$A$61,VLOOKUP($A75,SDR26G!$A$8:$N$60,4,FALSE),
IF($A75&lt;Cements!$A$100,VLOOKUP($A75,Cements!$A$8:$Q$99,4,FALSE),
IF($A75&lt;ValveBox!$A$143,VLOOKUP($A75,ValveBox!$A$10:$O$142,4,FALSE),
IF($A75&lt;'ValveBox Components'!$A$165,VLOOKUP($A75,'ValveBox Components'!$A$10:$O$164,4,FALSE),
IF($A75&lt;Drainage!$A$92,VLOOKUP($A75,Drainage!$A$8:$M$91,4,FALSE),
IF($A75&lt;Nipples!$A$82,VLOOKUP($A75,Nipples!$A$9:$Q$81,4,FALSE),
IF($A75&lt;Manifold!$A$33,VLOOKUP($A75,Manifold!$A$9:$M$32,4,FALSE),
IF($A75&lt;FlexibleRepairCouplings!$A$13,VLOOKUP($A75,FlexibleRepairCouplings!$A$10:$M$12,4,FALSE),
IF($A75&lt;DuraFix!$A$15,VLOOKUP($A75,DuraFix!$A$9:$M$14,4,FALSE),
IF($A75&lt;'Compression Fittings'!$A$16,VLOOKUP($A75,'Compression Fittings'!$A$8:$M$15,4,FALSE),
IF($A75&lt;'Hose Fittings'!$A$30,VLOOKUP($A75,'Hose Fittings'!$A$8:$M$29,4,FALSE),
IF($A75&lt;'Swing Joints'!$A$496,VLOOKUP($A75,'Swing Joints'!$A$9:$M$495,4,FALSE),
IF($A75&lt;'Swing Joints Components'!$A$135,VLOOKUP($A75,'Swing Joints Components'!$A$9:$M$134,4,FALSE),
IF($A75&lt;Nonstandard!$A$42,VLOOKUP($A75,Nonstandard!$A$31:$J$41,5,FALSE),"")))))))))))))))))))))))))))),"")</f>
        <v/>
      </c>
      <c r="C75" s="415" t="str">
        <f>IFERROR(IF($A75&lt;'DWV PVC'!$A$285,VLOOKUP($A75,'DWV PVC'!$A$8:$M$284,5,FALSE),
IF($A75&lt;'DWV ABS'!$A$117,VLOOKUP($A75,'DWV ABS'!$A$8:$M$116,5,FALSE),
IF($A75&lt;'PVC SCH40'!$A$376,VLOOKUP($A75,'PVC SCH40'!$A$8:$M$375,5,FALSE),
IF($A75&lt;'PVC SCH40 LD'!$A$22,VLOOKUP($A75,'PVC SCH40 LD'!$A$8:$M$21,5,FALSE),
IF($A75&lt;'Pool &amp; SPA Sweep Elbows'!$A$12,VLOOKUP($A75,'Pool &amp; SPA Sweep Elbows'!$A$8:$M$11,5,FALSE),
IF($A75&lt;'Pool &amp; SPA Pipe Extender'!$A$11,VLOOKUP($A75,'Pool &amp; SPA Pipe Extender'!$A$8:$M$10,5,FALSE),
IF($A75&lt;'PVC SCH80'!$A$250,VLOOKUP($A75,'PVC SCH80'!$A$8:$M$249,5,FALSE),
IF($A75&lt;'PVC SCH80 Flange'!$A$49,VLOOKUP($A75,'PVC SCH80 Flange'!$A$8:$M$48,5,FALSE),
IF($A75&lt;'PVC SCH80 LD Flange'!$A$17,VLOOKUP($A75,'PVC SCH80 LD Flange'!$A$8:$M$16,5,FALSE),
IF($A75&lt;CPVC!$A$100,VLOOKUP($A75,CPVC!$A$8:$M$99,5,FALSE),
IF($A75&lt;InsertFittings!$A$237,VLOOKUP($A75,InsertFittings!$A$11:$M$236,5,FALSE),
IF($A75&lt;Valves!$A$132,VLOOKUP($A75,Valves!$A$8:$M$131,5,FALSE),
IF($A75&lt;SDR35SW!$A$124,VLOOKUP($A75,SDR35SW!$A$8:$M$123,5,FALSE),
IF($A75&lt;SDR35G!$A$143,VLOOKUP($A75, SDR35G!$A$8:$M$142,5,FALSE),
IF($A75&lt;SDR26G!$A$61,VLOOKUP($A75,SDR26G!$A$8:$N$60,5,FALSE),
IF($A75&lt;Cements!$A$100,VLOOKUP($A75,Cements!$A$8:$Q$99,5,FALSE),
IF($A75&lt;ValveBox!$A$143,VLOOKUP($A75,ValveBox!$A$10:$O$142,5,FALSE),
IF($A75&lt;'ValveBox Components'!$A$165,VLOOKUP($A75,'ValveBox Components'!$A$10:$O$164,5,FALSE),
IF($A75&lt;Drainage!$A$92,VLOOKUP($A75,Drainage!$A$8:$M$91,5,FALSE),
IF($A75&lt;Nipples!$A$82,VLOOKUP($A75,Nipples!$A$9:$Q$81,5,FALSE),
IF($A75&lt;Manifold!$A$33,VLOOKUP($A75,Manifold!$A$9:$M$32,5,FALSE),
IF($A75&lt;FlexibleRepairCouplings!$A$13,VLOOKUP($A75,FlexibleRepairCouplings!$A$10:$M$12,5,FALSE),
IF($A75&lt;DuraFix!$A$15,VLOOKUP($A75,DuraFix!$A$9:$M$14,5,FALSE),
IF($A75&lt;'Compression Fittings'!$A$16,VLOOKUP($A75,'Compression Fittings'!$A$8:$M$15,5,FALSE),
IF($A75&lt;'Hose Fittings'!$A$30,VLOOKUP($A75,'Hose Fittings'!$A$8:$M$29,5,FALSE),
IF($A75&lt;'Swing Joints'!$A$496,VLOOKUP($A75,'Swing Joints'!$A$9:$M$495,5,FALSE),
IF($A75&lt;'Swing Joints Components'!$A$135,VLOOKUP($A75,'Swing Joints Components'!$A$9:$M$134,5,FALSE),
IF($A75&lt;Nonstandard!$A$42,VLOOKUP($A75,Nonstandard!$A$31:$J$41,6,FALSE),"")))))))))))))))))))))))))))),"")</f>
        <v/>
      </c>
      <c r="D75" s="426" t="str">
        <f>IFERROR(IF($A75&lt;'DWV PVC'!$A$285,VLOOKUP($A75,'DWV PVC'!$A$8:$M$284,6,FALSE),
IF($A75&lt;'DWV ABS'!$A$117,VLOOKUP($A75,'DWV ABS'!$A$8:$M$116,6,FALSE),
IF($A75&lt;'PVC SCH40'!$A$376,VLOOKUP($A75,'PVC SCH40'!$A$8:$M$375,6,FALSE),
IF($A75&lt;'PVC SCH40 LD'!$A$22,VLOOKUP($A75,'PVC SCH40 LD'!$A$8:$M$21,6,FALSE),
IF($A75&lt;'Pool &amp; SPA Sweep Elbows'!$A$12,VLOOKUP($A75,'Pool &amp; SPA Sweep Elbows'!$A$8:$M$11,6,FALSE),
IF($A75&lt;'Pool &amp; SPA Pipe Extender'!$A$11,VLOOKUP($A75,'Pool &amp; SPA Pipe Extender'!$A$8:$M$10,6,FALSE),
IF($A75&lt;'PVC SCH80'!$A$250,VLOOKUP($A75,'PVC SCH80'!$A$8:$M$249,6,FALSE),
IF($A75&lt;'PVC SCH80 Flange'!$A$49,VLOOKUP($A75,'PVC SCH80 Flange'!$A$8:$M$48,6,FALSE),
IF($A75&lt;'PVC SCH80 LD Flange'!$A$17,VLOOKUP($A75,'PVC SCH80 LD Flange'!$A$8:$M$16,6,FALSE),
IF($A75&lt;CPVC!$A$100,VLOOKUP($A75,CPVC!$A$8:$M$99,6,FALSE),
IF($A75&lt;InsertFittings!$A$237,VLOOKUP($A75,InsertFittings!$A$11:$M$236,6,FALSE),
IF($A75&lt;Valves!$A$132,VLOOKUP($A75,Valves!$A$8:$M$131,6,FALSE),
IF($A75&lt;SDR35SW!$A$124,VLOOKUP($A75,SDR35SW!$A$8:$M$123,6,FALSE),
IF($A75&lt;SDR35G!$A$143,VLOOKUP($A75, SDR35G!$A$8:$M$142,6,FALSE),
IF($A75&lt;SDR26G!$A$61,VLOOKUP($A75,SDR26G!$A$8:$N$60,6,FALSE),
IF($A75&lt;Cements!$A$100,VLOOKUP($A75,Cements!$A$8:$Q$99,6,FALSE),
IF($A75&lt;ValveBox!$A$143,VLOOKUP($A75,ValveBox!$A$10:$O$142,6,FALSE),
IF($A75&lt;'ValveBox Components'!$A$165,VLOOKUP($A75,'ValveBox Components'!$A$10:$O$164,6,FALSE),
IF($A75&lt;Drainage!$A$92,VLOOKUP($A75,Drainage!$A$8:$M$91,6,FALSE),
IF($A75&lt;Nipples!$A$82,VLOOKUP($A75,Nipples!$A$9:$Q$81,6,FALSE),
IF($A75&lt;Manifold!$A$33,VLOOKUP($A75,Manifold!$A$9:$M$32,6,FALSE),
IF($A75&lt;FlexibleRepairCouplings!$A$13,VLOOKUP($A75,FlexibleRepairCouplings!$A$10:$M$12,6,FALSE),
IF($A75&lt;DuraFix!$A$15,VLOOKUP($A75,DuraFix!$A$9:$M$14,6,FALSE),
IF($A75&lt;'Compression Fittings'!$A$16,VLOOKUP($A75,'Compression Fittings'!$A$8:$M$15,6,FALSE),
IF($A75&lt;'Hose Fittings'!$A$30,VLOOKUP($A75,'Hose Fittings'!$A$8:$M$29,6,FALSE),
IF($A75&lt;'Swing Joints'!$A$496,VLOOKUP($A75,'Swing Joints'!$A$9:$M$495,6,FALSE),
IF($A75&lt;'Swing Joints Components'!$A$135,VLOOKUP($A75,'Swing Joints Components'!$A$9:$M$134,6,FALSE),
IF($A75&lt;Nonstandard!$A$42,VLOOKUP($A75,Nonstandard!$A$31:$J$41,7,FALSE),"")))))))))))))))))))))))))))),"")</f>
        <v/>
      </c>
      <c r="E75" s="427"/>
      <c r="F75" s="418" t="str">
        <f>IFERROR(IF($A75&lt;'DWV PVC'!$A$285,VLOOKUP($A75,'DWV PVC'!$A$8:$M$284,9,FALSE),
IF($A75&lt;'DWV ABS'!$A$117,VLOOKUP($A75,'DWV ABS'!$A$8:$M$116,9,FALSE),
IF($A75&lt;'PVC SCH40'!$A$376,VLOOKUP($A75,'PVC SCH40'!$A$8:$M$375,9,FALSE),
IF($A75&lt;'PVC SCH40 LD'!$A$22,VLOOKUP($A75,'PVC SCH40 LD'!$A$8:$M$21,9,FALSE),
IF($A75&lt;'Pool &amp; SPA Sweep Elbows'!$A$12,VLOOKUP($A75,'Pool &amp; SPA Sweep Elbows'!$A$8:$M$11,9,FALSE),
IF($A75&lt;'Pool &amp; SPA Pipe Extender'!$A$11,VLOOKUP($A75,'Pool &amp; SPA Pipe Extender'!$A$8:$M$10,9,FALSE),
IF($A75&lt;'PVC SCH80'!$A$250,VLOOKUP($A75,'PVC SCH80'!$A$8:$M$249,9,FALSE),
IF($A75&lt;'PVC SCH80 Flange'!$A$49,VLOOKUP($A75,'PVC SCH80 Flange'!$A$8:$M$48,9,FALSE),
IF($A75&lt;'PVC SCH80 LD Flange'!$A$17,VLOOKUP($A75,'PVC SCH80 LD Flange'!$A$8:$M$16,9,FALSE),
IF($A75&lt;CPVC!$A$100,VLOOKUP($A75,CPVC!$A$8:$M$99,9,FALSE),
IF($A75&lt;InsertFittings!$A$237,VLOOKUP($A75,InsertFittings!$A$11:$M$236,9,FALSE),
IF($A75&lt;Valves!$A$132,VLOOKUP($A75,Valves!$A$8:$M$131,9,FALSE),
IF($A75&lt;SDR35SW!$A$124,VLOOKUP($A75,SDR35SW!$A$8:$M$123,9,FALSE),
IF($A75&lt;SDR35G!$A$143,VLOOKUP($A75, SDR35G!$A$8:$M$142,9,FALSE),
IF($A75&lt;SDR26G!$A$61,VLOOKUP($A75,SDR26G!$A$8:$N$60,10,FALSE),
IF($A75&lt;Cements!$A$100,VLOOKUP($A75,Cements!$A$8:$Q$99,13,FALSE),
IF($A75&lt;ValveBox!$A$143,VLOOKUP($A75,ValveBox!$A$10:$O$142,11,FALSE),
IF($A75&lt;'ValveBox Components'!$A$165,VLOOKUP($A75,'ValveBox Components'!$A$10:$O$164,11,FALSE),
IF($A75&lt;Drainage!$A$92,VLOOKUP($A75,Drainage!$A$8:$M$91,9,FALSE),
IF($A75&lt;Nipples!$A$82,VLOOKUP($A75,Nipples!$A$9:$Q$81,13,FALSE),
IF($A75&lt;Manifold!$A$33,VLOOKUP($A75,Manifold!$A$9:$M$32,9,FALSE),
IF($A75&lt;FlexibleRepairCouplings!$A$13,VLOOKUP($A75,FlexibleRepairCouplings!$A$10:$M$12,9,FALSE),
IF($A75&lt;DuraFix!$A$15,VLOOKUP($A75,DuraFix!$A$9:$M$14,9,FALSE),
IF($A75&lt;'Compression Fittings'!$A$16,VLOOKUP($A75,'Compression Fittings'!$A$8:$M$15,9,FALSE),
IF($A75&lt;'Hose Fittings'!$A$30,VLOOKUP($A75,'Hose Fittings'!$A$8:$M$29,9,FALSE),
IF($A75&lt;'Swing Joints'!$A$496,VLOOKUP($A75,'Swing Joints'!$A$9:$M$495,9,FALSE),
IF($A75&lt;'Swing Joints Components'!$A$135,VLOOKUP($A75,'Swing Joints Components'!$A$9:$M$134,9,FALSE),
IF($A75&lt;Nonstandard!$A$42,VLOOKUP($A75,Nonstandard!$A$31:$J$41,8,FALSE),"")))))))))))))))))))))))))))),"")</f>
        <v/>
      </c>
      <c r="G75" s="416" t="str">
        <f>IFERROR(IF($A75&lt;'DWV PVC'!$A$285,VLOOKUP($A75,'DWV PVC'!$A$8:$M$284,11,FALSE),
IF($A75&lt;'DWV ABS'!$A$117,VLOOKUP($A75,'DWV ABS'!$A$8:$M$116,11,FALSE),
IF($A75&lt;'PVC SCH40'!$A$376,VLOOKUP($A75,'PVC SCH40'!$A$8:$M$375,11,FALSE),
IF($A75&lt;'PVC SCH40 LD'!$A$22,VLOOKUP($A75,'PVC SCH40 LD'!$A$8:$M$21,11,FALSE),
IF($A75&lt;'Pool &amp; SPA Sweep Elbows'!$A$12,VLOOKUP($A75,'Pool &amp; SPA Sweep Elbows'!$A$8:$M$11,11,FALSE),
IF($A75&lt;'Pool &amp; SPA Pipe Extender'!$A$11,VLOOKUP($A75,'Pool &amp; SPA Pipe Extender'!$A$8:$M$10,11,FALSE),
IF($A75&lt;'PVC SCH80'!$A$250,VLOOKUP($A75,'PVC SCH80'!$A$8:$M$249,11,FALSE),
IF($A75&lt;'PVC SCH80 Flange'!$A$49,VLOOKUP($A75,'PVC SCH80 Flange'!$A$8:$M$48,11,FALSE),
IF($A75&lt;'PVC SCH80 LD Flange'!$A$17,VLOOKUP($A75,'PVC SCH80 LD Flange'!$A$8:$M$16,11,FALSE),
IF($A75&lt;CPVC!$A$100,VLOOKUP($A75,CPVC!$A$8:$M$99,11,FALSE),
IF($A75&lt;InsertFittings!$A$237,VLOOKUP($A75,InsertFittings!$A$11:$M$236,11,FALSE),
IF($A75&lt;Valves!$A$132,VLOOKUP($A75,Valves!$A$8:$M$131,11,FALSE),
IF($A75&lt;SDR35SW!$A$124,VLOOKUP($A75,SDR35SW!$A$8:$M$123,11,FALSE),
IF($A75&lt;SDR35G!$A$143,VLOOKUP($A75, SDR35G!$A$8:$M$142,11,FALSE),
IF($A75&lt;SDR26G!$A$61,VLOOKUP($A75,SDR26G!$A$8:$N$60,12,FALSE),
IF($A75&lt;Cements!$A$100,VLOOKUP($A75,Cements!$A$8:$Q$99,15,FALSE),
IF($A75&lt;ValveBox!$A$143,VLOOKUP($A75,ValveBox!$A$10:$O$142,13,FALSE),
IF($A75&lt;'ValveBox Components'!$A$165,VLOOKUP($A75,'ValveBox Components'!$A$10:$O$164,13,FALSE),
IF($A75&lt;Drainage!$A$92,VLOOKUP($A75,Drainage!$A$8:$M$91,11,FALSE),
IF($A75&lt;Nipples!$A$82,VLOOKUP($A75,Nipples!$A$9:$Q$81,15,FALSE),
IF($A75&lt;Manifold!$A$33,VLOOKUP($A75,Manifold!$A$9:$M$32,11,FALSE),
IF($A75&lt;FlexibleRepairCouplings!$A$13,VLOOKUP($A75,FlexibleRepairCouplings!$A$10:$M$12,11,FALSE),
IF($A75&lt;DuraFix!$A$15,VLOOKUP($A75,DuraFix!$A$9:$M$14,11,FALSE),
IF($A75&lt;'Compression Fittings'!$A$16,VLOOKUP($A75,'Compression Fittings'!$A$8:$M$15,11,FALSE),
IF($A75&lt;'Hose Fittings'!$A$30,VLOOKUP($A75,'Hose Fittings'!$A$8:$M$29,11,FALSE),
IF($A75&lt;'Swing Joints'!$A$496,VLOOKUP($A75,'Swing Joints'!$A$9:$M$495,11,FALSE),
IF($A75&lt;'Swing Joints Components'!$A$135,VLOOKUP($A75,'Swing Joints Components'!$A$9:$M$134,11,FALSE),
IF($A75&lt;Nonstandard!$A$42,VLOOKUP($A75,Nonstandard!$A$31:$J$41,3,FALSE),"")))))))))))))))))))))))))))),"")</f>
        <v/>
      </c>
      <c r="H75" s="586" t="str">
        <f>IFERROR(IF($A75&lt;'DWV PVC'!$A$285,VLOOKUP($A75,'DWV PVC'!$A$8:$M$284,7,FALSE),
IF($A75&lt;'DWV ABS'!$A$117,VLOOKUP($A75,'DWV ABS'!$A$8:$M$116,7,FALSE),
IF($A75&lt;'PVC SCH40'!$A$376,VLOOKUP($A75,'PVC SCH40'!$A$8:$M$375,7,FALSE),
IF($A75&lt;'PVC SCH40 LD'!$A$22,VLOOKUP($A75,'PVC SCH40 LD'!$A$8:$M$21,7,FALSE),
IF($A75&lt;'Pool &amp; SPA Sweep Elbows'!$A$12,VLOOKUP($A75,'Pool &amp; SPA Sweep Elbows'!$A$8:$M$11,7,FALSE),
IF($A75&lt;'Pool &amp; SPA Pipe Extender'!$A$11,VLOOKUP($A75,'Pool &amp; SPA Pipe Extender'!$A$8:$M$10,7,FALSE),
IF($A75&lt;'PVC SCH80'!$A$250,VLOOKUP($A75,'PVC SCH80'!$A$8:$M$249,7,FALSE),
IF($A75&lt;'PVC SCH80 Flange'!$A$49,VLOOKUP($A75,'PVC SCH80 Flange'!$A$8:$M$48,7,FALSE),
IF($A75&lt;'PVC SCH80 LD Flange'!$A$17,VLOOKUP($A75,'PVC SCH80 LD Flange'!$A$8:$M$16,7,FALSE),
IF($A75&lt;CPVC!$A$100,VLOOKUP($A75,CPVC!$A$8:$M$99,7,FALSE),
IF($A75&lt;InsertFittings!$A$237,VLOOKUP($A75,InsertFittings!$A$11:$M$236,7,FALSE),
IF($A75&lt;Valves!$A$132,VLOOKUP($A75,Valves!$A$8:$M$131,7,FALSE),
IF($A75&lt;SDR35SW!$A$124,VLOOKUP($A75,SDR35SW!$A$8:$M$123,7,FALSE),
IF($A75&lt;SDR35G!$A$143,VLOOKUP($A75, SDR35G!$A$8:$M$142,7,FALSE),
IF($A75&lt;SDR26G!$A$61,VLOOKUP($A75,SDR26G!$A$8:$N$60,10,FALSE),
IF($A75&lt;Cements!$A$100,VLOOKUP($A75,Cements!$A$8:$Q$99,13,FALSE),
IF($A75&lt;ValveBox!$A$143,VLOOKUP($A75,ValveBox!$A$10:$O$142,11,FALSE),
IF($A75&lt;'ValveBox Components'!$A$165,VLOOKUP($A75,'ValveBox Components'!$A$10:$O$164,11,FALSE),
IF($A75&lt;Drainage!$A$92,VLOOKUP($A75,Drainage!$A$8:$M$91,7,FALSE),
IF($A75&lt;Nipples!$A$82,VLOOKUP($A75,Nipples!$A$9:$Q$81,13,FALSE),
IF($A75&lt;Manifold!$A$33,VLOOKUP($A75,Manifold!$A$9:$M$32,7,FALSE),
IF($A75&lt;FlexibleRepairCouplings!$A$13,VLOOKUP($A75,FlexibleRepairCouplings!$A$10:$M$12,7,FALSE),
IF($A75&lt;DuraFix!$A$15,VLOOKUP($A75,DuraFix!$A$9:$M$14,7,FALSE),
IF($A75&lt;'Compression Fittings'!$A$16,VLOOKUP($A75,'Compression Fittings'!$A$8:$M$15,7,FALSE),
IF($A75&lt;'Hose Fittings'!$A$30,VLOOKUP($A75,'Hose Fittings'!$A$8:$M$29,7,FALSE),
IF($A75&lt;'Swing Joints'!$A$496,VLOOKUP($A75,'Swing Joints'!$A$9:$M$495,7,FALSE),
IF($A75&lt;'Swing Joints Components'!$A$135,VLOOKUP($A75,'Swing Joints Components'!$A$9:$M$134,7,FALSE),
IF($A75&lt;Nonstandard!$A$42,VLOOKUP($A75,Nonstandard!$A$31:$J$41,3,FALSE),"")))))))))))))))))))))))))))),"")</f>
        <v/>
      </c>
      <c r="I75" s="587"/>
      <c r="J75" s="383" t="str">
        <f t="shared" si="1"/>
        <v/>
      </c>
      <c r="K75" s="417" t="str">
        <f>IFERROR(IF($A75&lt;'DWV PVC'!$A$285,VLOOKUP($A75,'DWV PVC'!$A$8:$M$284,10,FALSE),
IF($A75&lt;'DWV ABS'!$A$117,VLOOKUP($A75,'DWV ABS'!$A$8:$M$116,10,FALSE),
IF($A75&lt;'PVC SCH40'!$A$376,VLOOKUP($A75,'PVC SCH40'!$A$8:$M$375,10,FALSE),
IF($A75&lt;'PVC SCH40 LD'!$A$22,VLOOKUP($A75,'PVC SCH40 LD'!$A$8:$M$21,10,FALSE),
IF($A75&lt;'Pool &amp; SPA Sweep Elbows'!$A$12,VLOOKUP($A75,'Pool &amp; SPA Sweep Elbows'!$A$8:$M$11,10,FALSE),
IF($A75&lt;'Pool &amp; SPA Pipe Extender'!$A$11,VLOOKUP($A75,'Pool &amp; SPA Pipe Extender'!$A$8:$M$10,10,FALSE),
IF($A75&lt;'PVC SCH80'!$A$250,VLOOKUP($A75,'PVC SCH80'!$A$8:$M$249,10,FALSE),
IF($A75&lt;'PVC SCH80 Flange'!$A$49,VLOOKUP($A75,'PVC SCH80 Flange'!$A$8:$M$48,10,FALSE),
IF($A75&lt;'PVC SCH80 LD Flange'!$A$17,VLOOKUP($A75,'PVC SCH80 LD Flange'!$A$8:$M$16,10,FALSE),
IF($A75&lt;CPVC!$A$100,VLOOKUP($A75,CPVC!$A$8:$M$99,10,FALSE),
IF($A75&lt;InsertFittings!$A$237,VLOOKUP($A75,InsertFittings!$A$11:$M$236,10,FALSE),
IF($A75&lt;Valves!$A$132,VLOOKUP($A75,Valves!$A$8:$M$131,10,FALSE),
IF($A75&lt;SDR35SW!$A$124,VLOOKUP($A75,SDR35SW!$A$8:$M$123,10,FALSE),
IF($A75&lt;SDR35G!$A$143,VLOOKUP($A75, SDR35G!$A$8:$M$142,10,FALSE),
IF($A75&lt;SDR26G!$A$61,VLOOKUP($A75,SDR26G!$A$8:$N$60,11,FALSE),
IF($A75&lt;Cements!$A$100,VLOOKUP($A75,Cements!$A$8:$Q$99,14,FALSE),
IF($A75&lt;ValveBox!$A$143,VLOOKUP($A75,ValveBox!$A$10:$O$142,12,FALSE),
IF($A75&lt;'ValveBox Components'!$A$165,VLOOKUP($A75,'ValveBox Components'!$A$10:$O$164,12,FALSE),
IF($A75&lt;Drainage!$A$92,VLOOKUP($A75,Drainage!$A$8:$M$91,10,FALSE),
IF($A75&lt;Nipples!$A$82,VLOOKUP($A75,Nipples!$A$9:$Q$81,14,FALSE),
IF($A75&lt;Manifold!$A$33,VLOOKUP($A75,Manifold!$A$9:$M$32,10,FALSE),
IF($A75&lt;FlexibleRepairCouplings!$A$13,VLOOKUP($A75,FlexibleRepairCouplings!$A$10:$M$12,10,FALSE),
IF($A75&lt;DuraFix!$A$15,VLOOKUP($A75,DuraFix!$A$9:$M$14,10,FALSE),
IF($A75&lt;'Compression Fittings'!$A$16,VLOOKUP($A75,'Compression Fittings'!$A$8:$M$15,10,FALSE),
IF($A75&lt;'Hose Fittings'!$A$30,VLOOKUP($A75,'Hose Fittings'!$A$8:$M$29,10,FALSE),
IF($A75&lt;'Swing Joints'!$A$496,VLOOKUP($A75,'Swing Joints'!$A$9:$M$495,10,FALSE),
IF($A75&lt;'Swing Joints Components'!$A$135,VLOOKUP($A75,'Swing Joints Components'!$A$9:$M$134,10,FALSE),
IF($A75&lt;Nonstandard!$A$42,VLOOKUP($A75,Nonstandard!$A$31:$J$41,10,FALSE),"")))))))))))))))))))))))))))),"")</f>
        <v/>
      </c>
      <c r="L75" s="418" t="str">
        <f t="shared" si="0"/>
        <v>-</v>
      </c>
      <c r="M75" s="419"/>
    </row>
    <row r="76" spans="1:13" ht="15.75">
      <c r="A76" s="420">
        <v>44</v>
      </c>
      <c r="B76" s="420" t="str">
        <f>IFERROR(IF($A76&lt;'DWV PVC'!$A$285,VLOOKUP($A76,'DWV PVC'!$A$8:$M$284,4,FALSE),
IF($A76&lt;'DWV ABS'!$A$117,VLOOKUP($A76,'DWV ABS'!$A$8:$M$116,4,FALSE),
IF($A76&lt;'PVC SCH40'!$A$376,VLOOKUP($A76,'PVC SCH40'!$A$8:$M$375,4,FALSE),
IF($A76&lt;'PVC SCH40 LD'!$A$22,VLOOKUP($A76,'PVC SCH40 LD'!$A$8:$M$21,4,FALSE),
IF($A76&lt;'Pool &amp; SPA Sweep Elbows'!$A$12,VLOOKUP($A76,'Pool &amp; SPA Sweep Elbows'!$A$8:$M$11,4,FALSE),
IF($A76&lt;'Pool &amp; SPA Pipe Extender'!$A$11,VLOOKUP($A76,'Pool &amp; SPA Pipe Extender'!$A$8:$M$10,4,FALSE),
IF($A76&lt;'PVC SCH80'!$A$250,VLOOKUP($A76,'PVC SCH80'!$A$8:$M$249,4,FALSE),
IF($A76&lt;'PVC SCH80 Flange'!$A$49,VLOOKUP($A76,'PVC SCH80 Flange'!$A$8:$M$48,4,FALSE),
IF($A76&lt;'PVC SCH80 LD Flange'!$A$17,VLOOKUP($A76,'PVC SCH80 LD Flange'!$A$8:$M$16,4,FALSE),
IF($A76&lt;CPVC!$A$100,VLOOKUP($A76,CPVC!$A$8:$M$99,4,FALSE),
IF($A76&lt;InsertFittings!$A$237,VLOOKUP($A76,InsertFittings!$A$11:$M$236,4,FALSE),
IF($A76&lt;Valves!$A$132,VLOOKUP($A76,Valves!$A$8:$M$131,4,FALSE),
IF($A76&lt;SDR35SW!$A$124,VLOOKUP($A76,SDR35SW!$A$8:$M$123,4,FALSE),
IF($A76&lt;SDR35G!$A$143,VLOOKUP($A76, SDR35G!$A$8:$M$142,4,FALSE),
IF($A76&lt;SDR26G!$A$61,VLOOKUP($A76,SDR26G!$A$8:$N$60,4,FALSE),
IF($A76&lt;Cements!$A$100,VLOOKUP($A76,Cements!$A$8:$Q$99,4,FALSE),
IF($A76&lt;ValveBox!$A$143,VLOOKUP($A76,ValveBox!$A$10:$O$142,4,FALSE),
IF($A76&lt;'ValveBox Components'!$A$165,VLOOKUP($A76,'ValveBox Components'!$A$10:$O$164,4,FALSE),
IF($A76&lt;Drainage!$A$92,VLOOKUP($A76,Drainage!$A$8:$M$91,4,FALSE),
IF($A76&lt;Nipples!$A$82,VLOOKUP($A76,Nipples!$A$9:$Q$81,4,FALSE),
IF($A76&lt;Manifold!$A$33,VLOOKUP($A76,Manifold!$A$9:$M$32,4,FALSE),
IF($A76&lt;FlexibleRepairCouplings!$A$13,VLOOKUP($A76,FlexibleRepairCouplings!$A$10:$M$12,4,FALSE),
IF($A76&lt;DuraFix!$A$15,VLOOKUP($A76,DuraFix!$A$9:$M$14,4,FALSE),
IF($A76&lt;'Compression Fittings'!$A$16,VLOOKUP($A76,'Compression Fittings'!$A$8:$M$15,4,FALSE),
IF($A76&lt;'Hose Fittings'!$A$30,VLOOKUP($A76,'Hose Fittings'!$A$8:$M$29,4,FALSE),
IF($A76&lt;'Swing Joints'!$A$496,VLOOKUP($A76,'Swing Joints'!$A$9:$M$495,4,FALSE),
IF($A76&lt;'Swing Joints Components'!$A$135,VLOOKUP($A76,'Swing Joints Components'!$A$9:$M$134,4,FALSE),
IF($A76&lt;Nonstandard!$A$42,VLOOKUP($A76,Nonstandard!$A$31:$J$41,5,FALSE),"")))))))))))))))))))))))))))),"")</f>
        <v/>
      </c>
      <c r="C76" s="420" t="str">
        <f>IFERROR(IF($A76&lt;'DWV PVC'!$A$285,VLOOKUP($A76,'DWV PVC'!$A$8:$M$284,5,FALSE),
IF($A76&lt;'DWV ABS'!$A$117,VLOOKUP($A76,'DWV ABS'!$A$8:$M$116,5,FALSE),
IF($A76&lt;'PVC SCH40'!$A$376,VLOOKUP($A76,'PVC SCH40'!$A$8:$M$375,5,FALSE),
IF($A76&lt;'PVC SCH40 LD'!$A$22,VLOOKUP($A76,'PVC SCH40 LD'!$A$8:$M$21,5,FALSE),
IF($A76&lt;'Pool &amp; SPA Sweep Elbows'!$A$12,VLOOKUP($A76,'Pool &amp; SPA Sweep Elbows'!$A$8:$M$11,5,FALSE),
IF($A76&lt;'Pool &amp; SPA Pipe Extender'!$A$11,VLOOKUP($A76,'Pool &amp; SPA Pipe Extender'!$A$8:$M$10,5,FALSE),
IF($A76&lt;'PVC SCH80'!$A$250,VLOOKUP($A76,'PVC SCH80'!$A$8:$M$249,5,FALSE),
IF($A76&lt;'PVC SCH80 Flange'!$A$49,VLOOKUP($A76,'PVC SCH80 Flange'!$A$8:$M$48,5,FALSE),
IF($A76&lt;'PVC SCH80 LD Flange'!$A$17,VLOOKUP($A76,'PVC SCH80 LD Flange'!$A$8:$M$16,5,FALSE),
IF($A76&lt;CPVC!$A$100,VLOOKUP($A76,CPVC!$A$8:$M$99,5,FALSE),
IF($A76&lt;InsertFittings!$A$237,VLOOKUP($A76,InsertFittings!$A$11:$M$236,5,FALSE),
IF($A76&lt;Valves!$A$132,VLOOKUP($A76,Valves!$A$8:$M$131,5,FALSE),
IF($A76&lt;SDR35SW!$A$124,VLOOKUP($A76,SDR35SW!$A$8:$M$123,5,FALSE),
IF($A76&lt;SDR35G!$A$143,VLOOKUP($A76, SDR35G!$A$8:$M$142,5,FALSE),
IF($A76&lt;SDR26G!$A$61,VLOOKUP($A76,SDR26G!$A$8:$N$60,5,FALSE),
IF($A76&lt;Cements!$A$100,VLOOKUP($A76,Cements!$A$8:$Q$99,5,FALSE),
IF($A76&lt;ValveBox!$A$143,VLOOKUP($A76,ValveBox!$A$10:$O$142,5,FALSE),
IF($A76&lt;'ValveBox Components'!$A$165,VLOOKUP($A76,'ValveBox Components'!$A$10:$O$164,5,FALSE),
IF($A76&lt;Drainage!$A$92,VLOOKUP($A76,Drainage!$A$8:$M$91,5,FALSE),
IF($A76&lt;Nipples!$A$82,VLOOKUP($A76,Nipples!$A$9:$Q$81,5,FALSE),
IF($A76&lt;Manifold!$A$33,VLOOKUP($A76,Manifold!$A$9:$M$32,5,FALSE),
IF($A76&lt;FlexibleRepairCouplings!$A$13,VLOOKUP($A76,FlexibleRepairCouplings!$A$10:$M$12,5,FALSE),
IF($A76&lt;DuraFix!$A$15,VLOOKUP($A76,DuraFix!$A$9:$M$14,5,FALSE),
IF($A76&lt;'Compression Fittings'!$A$16,VLOOKUP($A76,'Compression Fittings'!$A$8:$M$15,5,FALSE),
IF($A76&lt;'Hose Fittings'!$A$30,VLOOKUP($A76,'Hose Fittings'!$A$8:$M$29,5,FALSE),
IF($A76&lt;'Swing Joints'!$A$496,VLOOKUP($A76,'Swing Joints'!$A$9:$M$495,5,FALSE),
IF($A76&lt;'Swing Joints Components'!$A$135,VLOOKUP($A76,'Swing Joints Components'!$A$9:$M$134,5,FALSE),
IF($A76&lt;Nonstandard!$A$42,VLOOKUP($A76,Nonstandard!$A$31:$J$41,6,FALSE),"")))))))))))))))))))))))))))),"")</f>
        <v/>
      </c>
      <c r="D76" s="428" t="str">
        <f>IFERROR(IF($A76&lt;'DWV PVC'!$A$285,VLOOKUP($A76,'DWV PVC'!$A$8:$M$284,6,FALSE),
IF($A76&lt;'DWV ABS'!$A$117,VLOOKUP($A76,'DWV ABS'!$A$8:$M$116,6,FALSE),
IF($A76&lt;'PVC SCH40'!$A$376,VLOOKUP($A76,'PVC SCH40'!$A$8:$M$375,6,FALSE),
IF($A76&lt;'PVC SCH40 LD'!$A$22,VLOOKUP($A76,'PVC SCH40 LD'!$A$8:$M$21,6,FALSE),
IF($A76&lt;'Pool &amp; SPA Sweep Elbows'!$A$12,VLOOKUP($A76,'Pool &amp; SPA Sweep Elbows'!$A$8:$M$11,6,FALSE),
IF($A76&lt;'Pool &amp; SPA Pipe Extender'!$A$11,VLOOKUP($A76,'Pool &amp; SPA Pipe Extender'!$A$8:$M$10,6,FALSE),
IF($A76&lt;'PVC SCH80'!$A$250,VLOOKUP($A76,'PVC SCH80'!$A$8:$M$249,6,FALSE),
IF($A76&lt;'PVC SCH80 Flange'!$A$49,VLOOKUP($A76,'PVC SCH80 Flange'!$A$8:$M$48,6,FALSE),
IF($A76&lt;'PVC SCH80 LD Flange'!$A$17,VLOOKUP($A76,'PVC SCH80 LD Flange'!$A$8:$M$16,6,FALSE),
IF($A76&lt;CPVC!$A$100,VLOOKUP($A76,CPVC!$A$8:$M$99,6,FALSE),
IF($A76&lt;InsertFittings!$A$237,VLOOKUP($A76,InsertFittings!$A$11:$M$236,6,FALSE),
IF($A76&lt;Valves!$A$132,VLOOKUP($A76,Valves!$A$8:$M$131,6,FALSE),
IF($A76&lt;SDR35SW!$A$124,VLOOKUP($A76,SDR35SW!$A$8:$M$123,6,FALSE),
IF($A76&lt;SDR35G!$A$143,VLOOKUP($A76, SDR35G!$A$8:$M$142,6,FALSE),
IF($A76&lt;SDR26G!$A$61,VLOOKUP($A76,SDR26G!$A$8:$N$60,6,FALSE),
IF($A76&lt;Cements!$A$100,VLOOKUP($A76,Cements!$A$8:$Q$99,6,FALSE),
IF($A76&lt;ValveBox!$A$143,VLOOKUP($A76,ValveBox!$A$10:$O$142,6,FALSE),
IF($A76&lt;'ValveBox Components'!$A$165,VLOOKUP($A76,'ValveBox Components'!$A$10:$O$164,6,FALSE),
IF($A76&lt;Drainage!$A$92,VLOOKUP($A76,Drainage!$A$8:$M$91,6,FALSE),
IF($A76&lt;Nipples!$A$82,VLOOKUP($A76,Nipples!$A$9:$Q$81,6,FALSE),
IF($A76&lt;Manifold!$A$33,VLOOKUP($A76,Manifold!$A$9:$M$32,6,FALSE),
IF($A76&lt;FlexibleRepairCouplings!$A$13,VLOOKUP($A76,FlexibleRepairCouplings!$A$10:$M$12,6,FALSE),
IF($A76&lt;DuraFix!$A$15,VLOOKUP($A76,DuraFix!$A$9:$M$14,6,FALSE),
IF($A76&lt;'Compression Fittings'!$A$16,VLOOKUP($A76,'Compression Fittings'!$A$8:$M$15,6,FALSE),
IF($A76&lt;'Hose Fittings'!$A$30,VLOOKUP($A76,'Hose Fittings'!$A$8:$M$29,6,FALSE),
IF($A76&lt;'Swing Joints'!$A$496,VLOOKUP($A76,'Swing Joints'!$A$9:$M$495,6,FALSE),
IF($A76&lt;'Swing Joints Components'!$A$135,VLOOKUP($A76,'Swing Joints Components'!$A$9:$M$134,6,FALSE),
IF($A76&lt;Nonstandard!$A$42,VLOOKUP($A76,Nonstandard!$A$31:$J$41,7,FALSE),"")))))))))))))))))))))))))))),"")</f>
        <v/>
      </c>
      <c r="E76" s="429"/>
      <c r="F76" s="421" t="str">
        <f>IFERROR(IF($A76&lt;'DWV PVC'!$A$285,VLOOKUP($A76,'DWV PVC'!$A$8:$M$284,9,FALSE),
IF($A76&lt;'DWV ABS'!$A$117,VLOOKUP($A76,'DWV ABS'!$A$8:$M$116,9,FALSE),
IF($A76&lt;'PVC SCH40'!$A$376,VLOOKUP($A76,'PVC SCH40'!$A$8:$M$375,9,FALSE),
IF($A76&lt;'PVC SCH40 LD'!$A$22,VLOOKUP($A76,'PVC SCH40 LD'!$A$8:$M$21,9,FALSE),
IF($A76&lt;'Pool &amp; SPA Sweep Elbows'!$A$12,VLOOKUP($A76,'Pool &amp; SPA Sweep Elbows'!$A$8:$M$11,9,FALSE),
IF($A76&lt;'Pool &amp; SPA Pipe Extender'!$A$11,VLOOKUP($A76,'Pool &amp; SPA Pipe Extender'!$A$8:$M$10,9,FALSE),
IF($A76&lt;'PVC SCH80'!$A$250,VLOOKUP($A76,'PVC SCH80'!$A$8:$M$249,9,FALSE),
IF($A76&lt;'PVC SCH80 Flange'!$A$49,VLOOKUP($A76,'PVC SCH80 Flange'!$A$8:$M$48,9,FALSE),
IF($A76&lt;'PVC SCH80 LD Flange'!$A$17,VLOOKUP($A76,'PVC SCH80 LD Flange'!$A$8:$M$16,9,FALSE),
IF($A76&lt;CPVC!$A$100,VLOOKUP($A76,CPVC!$A$8:$M$99,9,FALSE),
IF($A76&lt;InsertFittings!$A$237,VLOOKUP($A76,InsertFittings!$A$11:$M$236,9,FALSE),
IF($A76&lt;Valves!$A$132,VLOOKUP($A76,Valves!$A$8:$M$131,9,FALSE),
IF($A76&lt;SDR35SW!$A$124,VLOOKUP($A76,SDR35SW!$A$8:$M$123,9,FALSE),
IF($A76&lt;SDR35G!$A$143,VLOOKUP($A76, SDR35G!$A$8:$M$142,9,FALSE),
IF($A76&lt;SDR26G!$A$61,VLOOKUP($A76,SDR26G!$A$8:$N$60,10,FALSE),
IF($A76&lt;Cements!$A$100,VLOOKUP($A76,Cements!$A$8:$Q$99,13,FALSE),
IF($A76&lt;ValveBox!$A$143,VLOOKUP($A76,ValveBox!$A$10:$O$142,11,FALSE),
IF($A76&lt;'ValveBox Components'!$A$165,VLOOKUP($A76,'ValveBox Components'!$A$10:$O$164,11,FALSE),
IF($A76&lt;Drainage!$A$92,VLOOKUP($A76,Drainage!$A$8:$M$91,9,FALSE),
IF($A76&lt;Nipples!$A$82,VLOOKUP($A76,Nipples!$A$9:$Q$81,13,FALSE),
IF($A76&lt;Manifold!$A$33,VLOOKUP($A76,Manifold!$A$9:$M$32,9,FALSE),
IF($A76&lt;FlexibleRepairCouplings!$A$13,VLOOKUP($A76,FlexibleRepairCouplings!$A$10:$M$12,9,FALSE),
IF($A76&lt;DuraFix!$A$15,VLOOKUP($A76,DuraFix!$A$9:$M$14,9,FALSE),
IF($A76&lt;'Compression Fittings'!$A$16,VLOOKUP($A76,'Compression Fittings'!$A$8:$M$15,9,FALSE),
IF($A76&lt;'Hose Fittings'!$A$30,VLOOKUP($A76,'Hose Fittings'!$A$8:$M$29,9,FALSE),
IF($A76&lt;'Swing Joints'!$A$496,VLOOKUP($A76,'Swing Joints'!$A$9:$M$495,9,FALSE),
IF($A76&lt;'Swing Joints Components'!$A$135,VLOOKUP($A76,'Swing Joints Components'!$A$9:$M$134,9,FALSE),
IF($A76&lt;Nonstandard!$A$42,VLOOKUP($A76,Nonstandard!$A$31:$J$41,8,FALSE),"")))))))))))))))))))))))))))),"")</f>
        <v/>
      </c>
      <c r="G76" s="422" t="str">
        <f>IFERROR(IF($A76&lt;'DWV PVC'!$A$285,VLOOKUP($A76,'DWV PVC'!$A$8:$M$284,11,FALSE),
IF($A76&lt;'DWV ABS'!$A$117,VLOOKUP($A76,'DWV ABS'!$A$8:$M$116,11,FALSE),
IF($A76&lt;'PVC SCH40'!$A$376,VLOOKUP($A76,'PVC SCH40'!$A$8:$M$375,11,FALSE),
IF($A76&lt;'PVC SCH40 LD'!$A$22,VLOOKUP($A76,'PVC SCH40 LD'!$A$8:$M$21,11,FALSE),
IF($A76&lt;'Pool &amp; SPA Sweep Elbows'!$A$12,VLOOKUP($A76,'Pool &amp; SPA Sweep Elbows'!$A$8:$M$11,11,FALSE),
IF($A76&lt;'Pool &amp; SPA Pipe Extender'!$A$11,VLOOKUP($A76,'Pool &amp; SPA Pipe Extender'!$A$8:$M$10,11,FALSE),
IF($A76&lt;'PVC SCH80'!$A$250,VLOOKUP($A76,'PVC SCH80'!$A$8:$M$249,11,FALSE),
IF($A76&lt;'PVC SCH80 Flange'!$A$49,VLOOKUP($A76,'PVC SCH80 Flange'!$A$8:$M$48,11,FALSE),
IF($A76&lt;'PVC SCH80 LD Flange'!$A$17,VLOOKUP($A76,'PVC SCH80 LD Flange'!$A$8:$M$16,11,FALSE),
IF($A76&lt;CPVC!$A$100,VLOOKUP($A76,CPVC!$A$8:$M$99,11,FALSE),
IF($A76&lt;InsertFittings!$A$237,VLOOKUP($A76,InsertFittings!$A$11:$M$236,11,FALSE),
IF($A76&lt;Valves!$A$132,VLOOKUP($A76,Valves!$A$8:$M$131,11,FALSE),
IF($A76&lt;SDR35SW!$A$124,VLOOKUP($A76,SDR35SW!$A$8:$M$123,11,FALSE),
IF($A76&lt;SDR35G!$A$143,VLOOKUP($A76, SDR35G!$A$8:$M$142,11,FALSE),
IF($A76&lt;SDR26G!$A$61,VLOOKUP($A76,SDR26G!$A$8:$N$60,12,FALSE),
IF($A76&lt;Cements!$A$100,VLOOKUP($A76,Cements!$A$8:$Q$99,15,FALSE),
IF($A76&lt;ValveBox!$A$143,VLOOKUP($A76,ValveBox!$A$10:$O$142,13,FALSE),
IF($A76&lt;'ValveBox Components'!$A$165,VLOOKUP($A76,'ValveBox Components'!$A$10:$O$164,13,FALSE),
IF($A76&lt;Drainage!$A$92,VLOOKUP($A76,Drainage!$A$8:$M$91,11,FALSE),
IF($A76&lt;Nipples!$A$82,VLOOKUP($A76,Nipples!$A$9:$Q$81,15,FALSE),
IF($A76&lt;Manifold!$A$33,VLOOKUP($A76,Manifold!$A$9:$M$32,11,FALSE),
IF($A76&lt;FlexibleRepairCouplings!$A$13,VLOOKUP($A76,FlexibleRepairCouplings!$A$10:$M$12,11,FALSE),
IF($A76&lt;DuraFix!$A$15,VLOOKUP($A76,DuraFix!$A$9:$M$14,11,FALSE),
IF($A76&lt;'Compression Fittings'!$A$16,VLOOKUP($A76,'Compression Fittings'!$A$8:$M$15,11,FALSE),
IF($A76&lt;'Hose Fittings'!$A$30,VLOOKUP($A76,'Hose Fittings'!$A$8:$M$29,11,FALSE),
IF($A76&lt;'Swing Joints'!$A$496,VLOOKUP($A76,'Swing Joints'!$A$9:$M$495,11,FALSE),
IF($A76&lt;'Swing Joints Components'!$A$135,VLOOKUP($A76,'Swing Joints Components'!$A$9:$M$134,11,FALSE),
IF($A76&lt;Nonstandard!$A$42,VLOOKUP($A76,Nonstandard!$A$31:$J$41,3,FALSE),"")))))))))))))))))))))))))))),"")</f>
        <v/>
      </c>
      <c r="H76" s="588" t="str">
        <f>IFERROR(IF($A76&lt;'DWV PVC'!$A$285,VLOOKUP($A76,'DWV PVC'!$A$8:$M$284,7,FALSE),
IF($A76&lt;'DWV ABS'!$A$117,VLOOKUP($A76,'DWV ABS'!$A$8:$M$116,7,FALSE),
IF($A76&lt;'PVC SCH40'!$A$376,VLOOKUP($A76,'PVC SCH40'!$A$8:$M$375,7,FALSE),
IF($A76&lt;'PVC SCH40 LD'!$A$22,VLOOKUP($A76,'PVC SCH40 LD'!$A$8:$M$21,7,FALSE),
IF($A76&lt;'Pool &amp; SPA Sweep Elbows'!$A$12,VLOOKUP($A76,'Pool &amp; SPA Sweep Elbows'!$A$8:$M$11,7,FALSE),
IF($A76&lt;'Pool &amp; SPA Pipe Extender'!$A$11,VLOOKUP($A76,'Pool &amp; SPA Pipe Extender'!$A$8:$M$10,7,FALSE),
IF($A76&lt;'PVC SCH80'!$A$250,VLOOKUP($A76,'PVC SCH80'!$A$8:$M$249,7,FALSE),
IF($A76&lt;'PVC SCH80 Flange'!$A$49,VLOOKUP($A76,'PVC SCH80 Flange'!$A$8:$M$48,7,FALSE),
IF($A76&lt;'PVC SCH80 LD Flange'!$A$17,VLOOKUP($A76,'PVC SCH80 LD Flange'!$A$8:$M$16,7,FALSE),
IF($A76&lt;CPVC!$A$100,VLOOKUP($A76,CPVC!$A$8:$M$99,7,FALSE),
IF($A76&lt;InsertFittings!$A$237,VLOOKUP($A76,InsertFittings!$A$11:$M$236,7,FALSE),
IF($A76&lt;Valves!$A$132,VLOOKUP($A76,Valves!$A$8:$M$131,7,FALSE),
IF($A76&lt;SDR35SW!$A$124,VLOOKUP($A76,SDR35SW!$A$8:$M$123,7,FALSE),
IF($A76&lt;SDR35G!$A$143,VLOOKUP($A76, SDR35G!$A$8:$M$142,7,FALSE),
IF($A76&lt;SDR26G!$A$61,VLOOKUP($A76,SDR26G!$A$8:$N$60,10,FALSE),
IF($A76&lt;Cements!$A$100,VLOOKUP($A76,Cements!$A$8:$Q$99,13,FALSE),
IF($A76&lt;ValveBox!$A$143,VLOOKUP($A76,ValveBox!$A$10:$O$142,11,FALSE),
IF($A76&lt;'ValveBox Components'!$A$165,VLOOKUP($A76,'ValveBox Components'!$A$10:$O$164,11,FALSE),
IF($A76&lt;Drainage!$A$92,VLOOKUP($A76,Drainage!$A$8:$M$91,7,FALSE),
IF($A76&lt;Nipples!$A$82,VLOOKUP($A76,Nipples!$A$9:$Q$81,13,FALSE),
IF($A76&lt;Manifold!$A$33,VLOOKUP($A76,Manifold!$A$9:$M$32,7,FALSE),
IF($A76&lt;FlexibleRepairCouplings!$A$13,VLOOKUP($A76,FlexibleRepairCouplings!$A$10:$M$12,7,FALSE),
IF($A76&lt;DuraFix!$A$15,VLOOKUP($A76,DuraFix!$A$9:$M$14,7,FALSE),
IF($A76&lt;'Compression Fittings'!$A$16,VLOOKUP($A76,'Compression Fittings'!$A$8:$M$15,7,FALSE),
IF($A76&lt;'Hose Fittings'!$A$30,VLOOKUP($A76,'Hose Fittings'!$A$8:$M$29,7,FALSE),
IF($A76&lt;'Swing Joints'!$A$496,VLOOKUP($A76,'Swing Joints'!$A$9:$M$495,7,FALSE),
IF($A76&lt;'Swing Joints Components'!$A$135,VLOOKUP($A76,'Swing Joints Components'!$A$9:$M$134,7,FALSE),
IF($A76&lt;Nonstandard!$A$42,VLOOKUP($A76,Nonstandard!$A$31:$J$41,3,FALSE),"")))))))))))))))))))))))))))),"")</f>
        <v/>
      </c>
      <c r="I76" s="589"/>
      <c r="J76" s="423" t="str">
        <f t="shared" si="1"/>
        <v/>
      </c>
      <c r="K76" s="424" t="str">
        <f>IFERROR(IF($A76&lt;'DWV PVC'!$A$285,VLOOKUP($A76,'DWV PVC'!$A$8:$M$284,10,FALSE),
IF($A76&lt;'DWV ABS'!$A$117,VLOOKUP($A76,'DWV ABS'!$A$8:$M$116,10,FALSE),
IF($A76&lt;'PVC SCH40'!$A$376,VLOOKUP($A76,'PVC SCH40'!$A$8:$M$375,10,FALSE),
IF($A76&lt;'PVC SCH40 LD'!$A$22,VLOOKUP($A76,'PVC SCH40 LD'!$A$8:$M$21,10,FALSE),
IF($A76&lt;'Pool &amp; SPA Sweep Elbows'!$A$12,VLOOKUP($A76,'Pool &amp; SPA Sweep Elbows'!$A$8:$M$11,10,FALSE),
IF($A76&lt;'Pool &amp; SPA Pipe Extender'!$A$11,VLOOKUP($A76,'Pool &amp; SPA Pipe Extender'!$A$8:$M$10,10,FALSE),
IF($A76&lt;'PVC SCH80'!$A$250,VLOOKUP($A76,'PVC SCH80'!$A$8:$M$249,10,FALSE),
IF($A76&lt;'PVC SCH80 Flange'!$A$49,VLOOKUP($A76,'PVC SCH80 Flange'!$A$8:$M$48,10,FALSE),
IF($A76&lt;'PVC SCH80 LD Flange'!$A$17,VLOOKUP($A76,'PVC SCH80 LD Flange'!$A$8:$M$16,10,FALSE),
IF($A76&lt;CPVC!$A$100,VLOOKUP($A76,CPVC!$A$8:$M$99,10,FALSE),
IF($A76&lt;InsertFittings!$A$237,VLOOKUP($A76,InsertFittings!$A$11:$M$236,10,FALSE),
IF($A76&lt;Valves!$A$132,VLOOKUP($A76,Valves!$A$8:$M$131,10,FALSE),
IF($A76&lt;SDR35SW!$A$124,VLOOKUP($A76,SDR35SW!$A$8:$M$123,10,FALSE),
IF($A76&lt;SDR35G!$A$143,VLOOKUP($A76, SDR35G!$A$8:$M$142,10,FALSE),
IF($A76&lt;SDR26G!$A$61,VLOOKUP($A76,SDR26G!$A$8:$N$60,11,FALSE),
IF($A76&lt;Cements!$A$100,VLOOKUP($A76,Cements!$A$8:$Q$99,14,FALSE),
IF($A76&lt;ValveBox!$A$143,VLOOKUP($A76,ValveBox!$A$10:$O$142,12,FALSE),
IF($A76&lt;'ValveBox Components'!$A$165,VLOOKUP($A76,'ValveBox Components'!$A$10:$O$164,12,FALSE),
IF($A76&lt;Drainage!$A$92,VLOOKUP($A76,Drainage!$A$8:$M$91,10,FALSE),
IF($A76&lt;Nipples!$A$82,VLOOKUP($A76,Nipples!$A$9:$Q$81,14,FALSE),
IF($A76&lt;Manifold!$A$33,VLOOKUP($A76,Manifold!$A$9:$M$32,10,FALSE),
IF($A76&lt;FlexibleRepairCouplings!$A$13,VLOOKUP($A76,FlexibleRepairCouplings!$A$10:$M$12,10,FALSE),
IF($A76&lt;DuraFix!$A$15,VLOOKUP($A76,DuraFix!$A$9:$M$14,10,FALSE),
IF($A76&lt;'Compression Fittings'!$A$16,VLOOKUP($A76,'Compression Fittings'!$A$8:$M$15,10,FALSE),
IF($A76&lt;'Hose Fittings'!$A$30,VLOOKUP($A76,'Hose Fittings'!$A$8:$M$29,10,FALSE),
IF($A76&lt;'Swing Joints'!$A$496,VLOOKUP($A76,'Swing Joints'!$A$9:$M$495,10,FALSE),
IF($A76&lt;'Swing Joints Components'!$A$135,VLOOKUP($A76,'Swing Joints Components'!$A$9:$M$134,10,FALSE),
IF($A76&lt;Nonstandard!$A$42,VLOOKUP($A76,Nonstandard!$A$31:$J$41,10,FALSE),"")))))))))))))))))))))))))))),"")</f>
        <v/>
      </c>
      <c r="L76" s="421" t="str">
        <f t="shared" si="0"/>
        <v>-</v>
      </c>
      <c r="M76" s="425"/>
    </row>
    <row r="77" spans="1:13" ht="15.75">
      <c r="A77" s="415">
        <v>45</v>
      </c>
      <c r="B77" s="415" t="str">
        <f>IFERROR(IF($A77&lt;'DWV PVC'!$A$285,VLOOKUP($A77,'DWV PVC'!$A$8:$M$284,4,FALSE),
IF($A77&lt;'DWV ABS'!$A$117,VLOOKUP($A77,'DWV ABS'!$A$8:$M$116,4,FALSE),
IF($A77&lt;'PVC SCH40'!$A$376,VLOOKUP($A77,'PVC SCH40'!$A$8:$M$375,4,FALSE),
IF($A77&lt;'PVC SCH40 LD'!$A$22,VLOOKUP($A77,'PVC SCH40 LD'!$A$8:$M$21,4,FALSE),
IF($A77&lt;'Pool &amp; SPA Sweep Elbows'!$A$12,VLOOKUP($A77,'Pool &amp; SPA Sweep Elbows'!$A$8:$M$11,4,FALSE),
IF($A77&lt;'Pool &amp; SPA Pipe Extender'!$A$11,VLOOKUP($A77,'Pool &amp; SPA Pipe Extender'!$A$8:$M$10,4,FALSE),
IF($A77&lt;'PVC SCH80'!$A$250,VLOOKUP($A77,'PVC SCH80'!$A$8:$M$249,4,FALSE),
IF($A77&lt;'PVC SCH80 Flange'!$A$49,VLOOKUP($A77,'PVC SCH80 Flange'!$A$8:$M$48,4,FALSE),
IF($A77&lt;'PVC SCH80 LD Flange'!$A$17,VLOOKUP($A77,'PVC SCH80 LD Flange'!$A$8:$M$16,4,FALSE),
IF($A77&lt;CPVC!$A$100,VLOOKUP($A77,CPVC!$A$8:$M$99,4,FALSE),
IF($A77&lt;InsertFittings!$A$237,VLOOKUP($A77,InsertFittings!$A$11:$M$236,4,FALSE),
IF($A77&lt;Valves!$A$132,VLOOKUP($A77,Valves!$A$8:$M$131,4,FALSE),
IF($A77&lt;SDR35SW!$A$124,VLOOKUP($A77,SDR35SW!$A$8:$M$123,4,FALSE),
IF($A77&lt;SDR35G!$A$143,VLOOKUP($A77, SDR35G!$A$8:$M$142,4,FALSE),
IF($A77&lt;SDR26G!$A$61,VLOOKUP($A77,SDR26G!$A$8:$N$60,4,FALSE),
IF($A77&lt;Cements!$A$100,VLOOKUP($A77,Cements!$A$8:$Q$99,4,FALSE),
IF($A77&lt;ValveBox!$A$143,VLOOKUP($A77,ValveBox!$A$10:$O$142,4,FALSE),
IF($A77&lt;'ValveBox Components'!$A$165,VLOOKUP($A77,'ValveBox Components'!$A$10:$O$164,4,FALSE),
IF($A77&lt;Drainage!$A$92,VLOOKUP($A77,Drainage!$A$8:$M$91,4,FALSE),
IF($A77&lt;Nipples!$A$82,VLOOKUP($A77,Nipples!$A$9:$Q$81,4,FALSE),
IF($A77&lt;Manifold!$A$33,VLOOKUP($A77,Manifold!$A$9:$M$32,4,FALSE),
IF($A77&lt;FlexibleRepairCouplings!$A$13,VLOOKUP($A77,FlexibleRepairCouplings!$A$10:$M$12,4,FALSE),
IF($A77&lt;DuraFix!$A$15,VLOOKUP($A77,DuraFix!$A$9:$M$14,4,FALSE),
IF($A77&lt;'Compression Fittings'!$A$16,VLOOKUP($A77,'Compression Fittings'!$A$8:$M$15,4,FALSE),
IF($A77&lt;'Hose Fittings'!$A$30,VLOOKUP($A77,'Hose Fittings'!$A$8:$M$29,4,FALSE),
IF($A77&lt;'Swing Joints'!$A$496,VLOOKUP($A77,'Swing Joints'!$A$9:$M$495,4,FALSE),
IF($A77&lt;'Swing Joints Components'!$A$135,VLOOKUP($A77,'Swing Joints Components'!$A$9:$M$134,4,FALSE),
IF($A77&lt;Nonstandard!$A$42,VLOOKUP($A77,Nonstandard!$A$31:$J$41,5,FALSE),"")))))))))))))))))))))))))))),"")</f>
        <v/>
      </c>
      <c r="C77" s="415" t="str">
        <f>IFERROR(IF($A77&lt;'DWV PVC'!$A$285,VLOOKUP($A77,'DWV PVC'!$A$8:$M$284,5,FALSE),
IF($A77&lt;'DWV ABS'!$A$117,VLOOKUP($A77,'DWV ABS'!$A$8:$M$116,5,FALSE),
IF($A77&lt;'PVC SCH40'!$A$376,VLOOKUP($A77,'PVC SCH40'!$A$8:$M$375,5,FALSE),
IF($A77&lt;'PVC SCH40 LD'!$A$22,VLOOKUP($A77,'PVC SCH40 LD'!$A$8:$M$21,5,FALSE),
IF($A77&lt;'Pool &amp; SPA Sweep Elbows'!$A$12,VLOOKUP($A77,'Pool &amp; SPA Sweep Elbows'!$A$8:$M$11,5,FALSE),
IF($A77&lt;'Pool &amp; SPA Pipe Extender'!$A$11,VLOOKUP($A77,'Pool &amp; SPA Pipe Extender'!$A$8:$M$10,5,FALSE),
IF($A77&lt;'PVC SCH80'!$A$250,VLOOKUP($A77,'PVC SCH80'!$A$8:$M$249,5,FALSE),
IF($A77&lt;'PVC SCH80 Flange'!$A$49,VLOOKUP($A77,'PVC SCH80 Flange'!$A$8:$M$48,5,FALSE),
IF($A77&lt;'PVC SCH80 LD Flange'!$A$17,VLOOKUP($A77,'PVC SCH80 LD Flange'!$A$8:$M$16,5,FALSE),
IF($A77&lt;CPVC!$A$100,VLOOKUP($A77,CPVC!$A$8:$M$99,5,FALSE),
IF($A77&lt;InsertFittings!$A$237,VLOOKUP($A77,InsertFittings!$A$11:$M$236,5,FALSE),
IF($A77&lt;Valves!$A$132,VLOOKUP($A77,Valves!$A$8:$M$131,5,FALSE),
IF($A77&lt;SDR35SW!$A$124,VLOOKUP($A77,SDR35SW!$A$8:$M$123,5,FALSE),
IF($A77&lt;SDR35G!$A$143,VLOOKUP($A77, SDR35G!$A$8:$M$142,5,FALSE),
IF($A77&lt;SDR26G!$A$61,VLOOKUP($A77,SDR26G!$A$8:$N$60,5,FALSE),
IF($A77&lt;Cements!$A$100,VLOOKUP($A77,Cements!$A$8:$Q$99,5,FALSE),
IF($A77&lt;ValveBox!$A$143,VLOOKUP($A77,ValveBox!$A$10:$O$142,5,FALSE),
IF($A77&lt;'ValveBox Components'!$A$165,VLOOKUP($A77,'ValveBox Components'!$A$10:$O$164,5,FALSE),
IF($A77&lt;Drainage!$A$92,VLOOKUP($A77,Drainage!$A$8:$M$91,5,FALSE),
IF($A77&lt;Nipples!$A$82,VLOOKUP($A77,Nipples!$A$9:$Q$81,5,FALSE),
IF($A77&lt;Manifold!$A$33,VLOOKUP($A77,Manifold!$A$9:$M$32,5,FALSE),
IF($A77&lt;FlexibleRepairCouplings!$A$13,VLOOKUP($A77,FlexibleRepairCouplings!$A$10:$M$12,5,FALSE),
IF($A77&lt;DuraFix!$A$15,VLOOKUP($A77,DuraFix!$A$9:$M$14,5,FALSE),
IF($A77&lt;'Compression Fittings'!$A$16,VLOOKUP($A77,'Compression Fittings'!$A$8:$M$15,5,FALSE),
IF($A77&lt;'Hose Fittings'!$A$30,VLOOKUP($A77,'Hose Fittings'!$A$8:$M$29,5,FALSE),
IF($A77&lt;'Swing Joints'!$A$496,VLOOKUP($A77,'Swing Joints'!$A$9:$M$495,5,FALSE),
IF($A77&lt;'Swing Joints Components'!$A$135,VLOOKUP($A77,'Swing Joints Components'!$A$9:$M$134,5,FALSE),
IF($A77&lt;Nonstandard!$A$42,VLOOKUP($A77,Nonstandard!$A$31:$J$41,6,FALSE),"")))))))))))))))))))))))))))),"")</f>
        <v/>
      </c>
      <c r="D77" s="426" t="str">
        <f>IFERROR(IF($A77&lt;'DWV PVC'!$A$285,VLOOKUP($A77,'DWV PVC'!$A$8:$M$284,6,FALSE),
IF($A77&lt;'DWV ABS'!$A$117,VLOOKUP($A77,'DWV ABS'!$A$8:$M$116,6,FALSE),
IF($A77&lt;'PVC SCH40'!$A$376,VLOOKUP($A77,'PVC SCH40'!$A$8:$M$375,6,FALSE),
IF($A77&lt;'PVC SCH40 LD'!$A$22,VLOOKUP($A77,'PVC SCH40 LD'!$A$8:$M$21,6,FALSE),
IF($A77&lt;'Pool &amp; SPA Sweep Elbows'!$A$12,VLOOKUP($A77,'Pool &amp; SPA Sweep Elbows'!$A$8:$M$11,6,FALSE),
IF($A77&lt;'Pool &amp; SPA Pipe Extender'!$A$11,VLOOKUP($A77,'Pool &amp; SPA Pipe Extender'!$A$8:$M$10,6,FALSE),
IF($A77&lt;'PVC SCH80'!$A$250,VLOOKUP($A77,'PVC SCH80'!$A$8:$M$249,6,FALSE),
IF($A77&lt;'PVC SCH80 Flange'!$A$49,VLOOKUP($A77,'PVC SCH80 Flange'!$A$8:$M$48,6,FALSE),
IF($A77&lt;'PVC SCH80 LD Flange'!$A$17,VLOOKUP($A77,'PVC SCH80 LD Flange'!$A$8:$M$16,6,FALSE),
IF($A77&lt;CPVC!$A$100,VLOOKUP($A77,CPVC!$A$8:$M$99,6,FALSE),
IF($A77&lt;InsertFittings!$A$237,VLOOKUP($A77,InsertFittings!$A$11:$M$236,6,FALSE),
IF($A77&lt;Valves!$A$132,VLOOKUP($A77,Valves!$A$8:$M$131,6,FALSE),
IF($A77&lt;SDR35SW!$A$124,VLOOKUP($A77,SDR35SW!$A$8:$M$123,6,FALSE),
IF($A77&lt;SDR35G!$A$143,VLOOKUP($A77, SDR35G!$A$8:$M$142,6,FALSE),
IF($A77&lt;SDR26G!$A$61,VLOOKUP($A77,SDR26G!$A$8:$N$60,6,FALSE),
IF($A77&lt;Cements!$A$100,VLOOKUP($A77,Cements!$A$8:$Q$99,6,FALSE),
IF($A77&lt;ValveBox!$A$143,VLOOKUP($A77,ValveBox!$A$10:$O$142,6,FALSE),
IF($A77&lt;'ValveBox Components'!$A$165,VLOOKUP($A77,'ValveBox Components'!$A$10:$O$164,6,FALSE),
IF($A77&lt;Drainage!$A$92,VLOOKUP($A77,Drainage!$A$8:$M$91,6,FALSE),
IF($A77&lt;Nipples!$A$82,VLOOKUP($A77,Nipples!$A$9:$Q$81,6,FALSE),
IF($A77&lt;Manifold!$A$33,VLOOKUP($A77,Manifold!$A$9:$M$32,6,FALSE),
IF($A77&lt;FlexibleRepairCouplings!$A$13,VLOOKUP($A77,FlexibleRepairCouplings!$A$10:$M$12,6,FALSE),
IF($A77&lt;DuraFix!$A$15,VLOOKUP($A77,DuraFix!$A$9:$M$14,6,FALSE),
IF($A77&lt;'Compression Fittings'!$A$16,VLOOKUP($A77,'Compression Fittings'!$A$8:$M$15,6,FALSE),
IF($A77&lt;'Hose Fittings'!$A$30,VLOOKUP($A77,'Hose Fittings'!$A$8:$M$29,6,FALSE),
IF($A77&lt;'Swing Joints'!$A$496,VLOOKUP($A77,'Swing Joints'!$A$9:$M$495,6,FALSE),
IF($A77&lt;'Swing Joints Components'!$A$135,VLOOKUP($A77,'Swing Joints Components'!$A$9:$M$134,6,FALSE),
IF($A77&lt;Nonstandard!$A$42,VLOOKUP($A77,Nonstandard!$A$31:$J$41,7,FALSE),"")))))))))))))))))))))))))))),"")</f>
        <v/>
      </c>
      <c r="E77" s="427"/>
      <c r="F77" s="418" t="str">
        <f>IFERROR(IF($A77&lt;'DWV PVC'!$A$285,VLOOKUP($A77,'DWV PVC'!$A$8:$M$284,9,FALSE),
IF($A77&lt;'DWV ABS'!$A$117,VLOOKUP($A77,'DWV ABS'!$A$8:$M$116,9,FALSE),
IF($A77&lt;'PVC SCH40'!$A$376,VLOOKUP($A77,'PVC SCH40'!$A$8:$M$375,9,FALSE),
IF($A77&lt;'PVC SCH40 LD'!$A$22,VLOOKUP($A77,'PVC SCH40 LD'!$A$8:$M$21,9,FALSE),
IF($A77&lt;'Pool &amp; SPA Sweep Elbows'!$A$12,VLOOKUP($A77,'Pool &amp; SPA Sweep Elbows'!$A$8:$M$11,9,FALSE),
IF($A77&lt;'Pool &amp; SPA Pipe Extender'!$A$11,VLOOKUP($A77,'Pool &amp; SPA Pipe Extender'!$A$8:$M$10,9,FALSE),
IF($A77&lt;'PVC SCH80'!$A$250,VLOOKUP($A77,'PVC SCH80'!$A$8:$M$249,9,FALSE),
IF($A77&lt;'PVC SCH80 Flange'!$A$49,VLOOKUP($A77,'PVC SCH80 Flange'!$A$8:$M$48,9,FALSE),
IF($A77&lt;'PVC SCH80 LD Flange'!$A$17,VLOOKUP($A77,'PVC SCH80 LD Flange'!$A$8:$M$16,9,FALSE),
IF($A77&lt;CPVC!$A$100,VLOOKUP($A77,CPVC!$A$8:$M$99,9,FALSE),
IF($A77&lt;InsertFittings!$A$237,VLOOKUP($A77,InsertFittings!$A$11:$M$236,9,FALSE),
IF($A77&lt;Valves!$A$132,VLOOKUP($A77,Valves!$A$8:$M$131,9,FALSE),
IF($A77&lt;SDR35SW!$A$124,VLOOKUP($A77,SDR35SW!$A$8:$M$123,9,FALSE),
IF($A77&lt;SDR35G!$A$143,VLOOKUP($A77, SDR35G!$A$8:$M$142,9,FALSE),
IF($A77&lt;SDR26G!$A$61,VLOOKUP($A77,SDR26G!$A$8:$N$60,10,FALSE),
IF($A77&lt;Cements!$A$100,VLOOKUP($A77,Cements!$A$8:$Q$99,13,FALSE),
IF($A77&lt;ValveBox!$A$143,VLOOKUP($A77,ValveBox!$A$10:$O$142,11,FALSE),
IF($A77&lt;'ValveBox Components'!$A$165,VLOOKUP($A77,'ValveBox Components'!$A$10:$O$164,11,FALSE),
IF($A77&lt;Drainage!$A$92,VLOOKUP($A77,Drainage!$A$8:$M$91,9,FALSE),
IF($A77&lt;Nipples!$A$82,VLOOKUP($A77,Nipples!$A$9:$Q$81,13,FALSE),
IF($A77&lt;Manifold!$A$33,VLOOKUP($A77,Manifold!$A$9:$M$32,9,FALSE),
IF($A77&lt;FlexibleRepairCouplings!$A$13,VLOOKUP($A77,FlexibleRepairCouplings!$A$10:$M$12,9,FALSE),
IF($A77&lt;DuraFix!$A$15,VLOOKUP($A77,DuraFix!$A$9:$M$14,9,FALSE),
IF($A77&lt;'Compression Fittings'!$A$16,VLOOKUP($A77,'Compression Fittings'!$A$8:$M$15,9,FALSE),
IF($A77&lt;'Hose Fittings'!$A$30,VLOOKUP($A77,'Hose Fittings'!$A$8:$M$29,9,FALSE),
IF($A77&lt;'Swing Joints'!$A$496,VLOOKUP($A77,'Swing Joints'!$A$9:$M$495,9,FALSE),
IF($A77&lt;'Swing Joints Components'!$A$135,VLOOKUP($A77,'Swing Joints Components'!$A$9:$M$134,9,FALSE),
IF($A77&lt;Nonstandard!$A$42,VLOOKUP($A77,Nonstandard!$A$31:$J$41,8,FALSE),"")))))))))))))))))))))))))))),"")</f>
        <v/>
      </c>
      <c r="G77" s="416" t="str">
        <f>IFERROR(IF($A77&lt;'DWV PVC'!$A$285,VLOOKUP($A77,'DWV PVC'!$A$8:$M$284,11,FALSE),
IF($A77&lt;'DWV ABS'!$A$117,VLOOKUP($A77,'DWV ABS'!$A$8:$M$116,11,FALSE),
IF($A77&lt;'PVC SCH40'!$A$376,VLOOKUP($A77,'PVC SCH40'!$A$8:$M$375,11,FALSE),
IF($A77&lt;'PVC SCH40 LD'!$A$22,VLOOKUP($A77,'PVC SCH40 LD'!$A$8:$M$21,11,FALSE),
IF($A77&lt;'Pool &amp; SPA Sweep Elbows'!$A$12,VLOOKUP($A77,'Pool &amp; SPA Sweep Elbows'!$A$8:$M$11,11,FALSE),
IF($A77&lt;'Pool &amp; SPA Pipe Extender'!$A$11,VLOOKUP($A77,'Pool &amp; SPA Pipe Extender'!$A$8:$M$10,11,FALSE),
IF($A77&lt;'PVC SCH80'!$A$250,VLOOKUP($A77,'PVC SCH80'!$A$8:$M$249,11,FALSE),
IF($A77&lt;'PVC SCH80 Flange'!$A$49,VLOOKUP($A77,'PVC SCH80 Flange'!$A$8:$M$48,11,FALSE),
IF($A77&lt;'PVC SCH80 LD Flange'!$A$17,VLOOKUP($A77,'PVC SCH80 LD Flange'!$A$8:$M$16,11,FALSE),
IF($A77&lt;CPVC!$A$100,VLOOKUP($A77,CPVC!$A$8:$M$99,11,FALSE),
IF($A77&lt;InsertFittings!$A$237,VLOOKUP($A77,InsertFittings!$A$11:$M$236,11,FALSE),
IF($A77&lt;Valves!$A$132,VLOOKUP($A77,Valves!$A$8:$M$131,11,FALSE),
IF($A77&lt;SDR35SW!$A$124,VLOOKUP($A77,SDR35SW!$A$8:$M$123,11,FALSE),
IF($A77&lt;SDR35G!$A$143,VLOOKUP($A77, SDR35G!$A$8:$M$142,11,FALSE),
IF($A77&lt;SDR26G!$A$61,VLOOKUP($A77,SDR26G!$A$8:$N$60,12,FALSE),
IF($A77&lt;Cements!$A$100,VLOOKUP($A77,Cements!$A$8:$Q$99,15,FALSE),
IF($A77&lt;ValveBox!$A$143,VLOOKUP($A77,ValveBox!$A$10:$O$142,13,FALSE),
IF($A77&lt;'ValveBox Components'!$A$165,VLOOKUP($A77,'ValveBox Components'!$A$10:$O$164,13,FALSE),
IF($A77&lt;Drainage!$A$92,VLOOKUP($A77,Drainage!$A$8:$M$91,11,FALSE),
IF($A77&lt;Nipples!$A$82,VLOOKUP($A77,Nipples!$A$9:$Q$81,15,FALSE),
IF($A77&lt;Manifold!$A$33,VLOOKUP($A77,Manifold!$A$9:$M$32,11,FALSE),
IF($A77&lt;FlexibleRepairCouplings!$A$13,VLOOKUP($A77,FlexibleRepairCouplings!$A$10:$M$12,11,FALSE),
IF($A77&lt;DuraFix!$A$15,VLOOKUP($A77,DuraFix!$A$9:$M$14,11,FALSE),
IF($A77&lt;'Compression Fittings'!$A$16,VLOOKUP($A77,'Compression Fittings'!$A$8:$M$15,11,FALSE),
IF($A77&lt;'Hose Fittings'!$A$30,VLOOKUP($A77,'Hose Fittings'!$A$8:$M$29,11,FALSE),
IF($A77&lt;'Swing Joints'!$A$496,VLOOKUP($A77,'Swing Joints'!$A$9:$M$495,11,FALSE),
IF($A77&lt;'Swing Joints Components'!$A$135,VLOOKUP($A77,'Swing Joints Components'!$A$9:$M$134,11,FALSE),
IF($A77&lt;Nonstandard!$A$42,VLOOKUP($A77,Nonstandard!$A$31:$J$41,3,FALSE),"")))))))))))))))))))))))))))),"")</f>
        <v/>
      </c>
      <c r="H77" s="586" t="str">
        <f>IFERROR(IF($A77&lt;'DWV PVC'!$A$285,VLOOKUP($A77,'DWV PVC'!$A$8:$M$284,7,FALSE),
IF($A77&lt;'DWV ABS'!$A$117,VLOOKUP($A77,'DWV ABS'!$A$8:$M$116,7,FALSE),
IF($A77&lt;'PVC SCH40'!$A$376,VLOOKUP($A77,'PVC SCH40'!$A$8:$M$375,7,FALSE),
IF($A77&lt;'PVC SCH40 LD'!$A$22,VLOOKUP($A77,'PVC SCH40 LD'!$A$8:$M$21,7,FALSE),
IF($A77&lt;'Pool &amp; SPA Sweep Elbows'!$A$12,VLOOKUP($A77,'Pool &amp; SPA Sweep Elbows'!$A$8:$M$11,7,FALSE),
IF($A77&lt;'Pool &amp; SPA Pipe Extender'!$A$11,VLOOKUP($A77,'Pool &amp; SPA Pipe Extender'!$A$8:$M$10,7,FALSE),
IF($A77&lt;'PVC SCH80'!$A$250,VLOOKUP($A77,'PVC SCH80'!$A$8:$M$249,7,FALSE),
IF($A77&lt;'PVC SCH80 Flange'!$A$49,VLOOKUP($A77,'PVC SCH80 Flange'!$A$8:$M$48,7,FALSE),
IF($A77&lt;'PVC SCH80 LD Flange'!$A$17,VLOOKUP($A77,'PVC SCH80 LD Flange'!$A$8:$M$16,7,FALSE),
IF($A77&lt;CPVC!$A$100,VLOOKUP($A77,CPVC!$A$8:$M$99,7,FALSE),
IF($A77&lt;InsertFittings!$A$237,VLOOKUP($A77,InsertFittings!$A$11:$M$236,7,FALSE),
IF($A77&lt;Valves!$A$132,VLOOKUP($A77,Valves!$A$8:$M$131,7,FALSE),
IF($A77&lt;SDR35SW!$A$124,VLOOKUP($A77,SDR35SW!$A$8:$M$123,7,FALSE),
IF($A77&lt;SDR35G!$A$143,VLOOKUP($A77, SDR35G!$A$8:$M$142,7,FALSE),
IF($A77&lt;SDR26G!$A$61,VLOOKUP($A77,SDR26G!$A$8:$N$60,10,FALSE),
IF($A77&lt;Cements!$A$100,VLOOKUP($A77,Cements!$A$8:$Q$99,13,FALSE),
IF($A77&lt;ValveBox!$A$143,VLOOKUP($A77,ValveBox!$A$10:$O$142,11,FALSE),
IF($A77&lt;'ValveBox Components'!$A$165,VLOOKUP($A77,'ValveBox Components'!$A$10:$O$164,11,FALSE),
IF($A77&lt;Drainage!$A$92,VLOOKUP($A77,Drainage!$A$8:$M$91,7,FALSE),
IF($A77&lt;Nipples!$A$82,VLOOKUP($A77,Nipples!$A$9:$Q$81,13,FALSE),
IF($A77&lt;Manifold!$A$33,VLOOKUP($A77,Manifold!$A$9:$M$32,7,FALSE),
IF($A77&lt;FlexibleRepairCouplings!$A$13,VLOOKUP($A77,FlexibleRepairCouplings!$A$10:$M$12,7,FALSE),
IF($A77&lt;DuraFix!$A$15,VLOOKUP($A77,DuraFix!$A$9:$M$14,7,FALSE),
IF($A77&lt;'Compression Fittings'!$A$16,VLOOKUP($A77,'Compression Fittings'!$A$8:$M$15,7,FALSE),
IF($A77&lt;'Hose Fittings'!$A$30,VLOOKUP($A77,'Hose Fittings'!$A$8:$M$29,7,FALSE),
IF($A77&lt;'Swing Joints'!$A$496,VLOOKUP($A77,'Swing Joints'!$A$9:$M$495,7,FALSE),
IF($A77&lt;'Swing Joints Components'!$A$135,VLOOKUP($A77,'Swing Joints Components'!$A$9:$M$134,7,FALSE),
IF($A77&lt;Nonstandard!$A$42,VLOOKUP($A77,Nonstandard!$A$31:$J$41,3,FALSE),"")))))))))))))))))))))))))))),"")</f>
        <v/>
      </c>
      <c r="I77" s="587"/>
      <c r="J77" s="383" t="str">
        <f t="shared" si="1"/>
        <v/>
      </c>
      <c r="K77" s="417" t="str">
        <f>IFERROR(IF($A77&lt;'DWV PVC'!$A$285,VLOOKUP($A77,'DWV PVC'!$A$8:$M$284,10,FALSE),
IF($A77&lt;'DWV ABS'!$A$117,VLOOKUP($A77,'DWV ABS'!$A$8:$M$116,10,FALSE),
IF($A77&lt;'PVC SCH40'!$A$376,VLOOKUP($A77,'PVC SCH40'!$A$8:$M$375,10,FALSE),
IF($A77&lt;'PVC SCH40 LD'!$A$22,VLOOKUP($A77,'PVC SCH40 LD'!$A$8:$M$21,10,FALSE),
IF($A77&lt;'Pool &amp; SPA Sweep Elbows'!$A$12,VLOOKUP($A77,'Pool &amp; SPA Sweep Elbows'!$A$8:$M$11,10,FALSE),
IF($A77&lt;'Pool &amp; SPA Pipe Extender'!$A$11,VLOOKUP($A77,'Pool &amp; SPA Pipe Extender'!$A$8:$M$10,10,FALSE),
IF($A77&lt;'PVC SCH80'!$A$250,VLOOKUP($A77,'PVC SCH80'!$A$8:$M$249,10,FALSE),
IF($A77&lt;'PVC SCH80 Flange'!$A$49,VLOOKUP($A77,'PVC SCH80 Flange'!$A$8:$M$48,10,FALSE),
IF($A77&lt;'PVC SCH80 LD Flange'!$A$17,VLOOKUP($A77,'PVC SCH80 LD Flange'!$A$8:$M$16,10,FALSE),
IF($A77&lt;CPVC!$A$100,VLOOKUP($A77,CPVC!$A$8:$M$99,10,FALSE),
IF($A77&lt;InsertFittings!$A$237,VLOOKUP($A77,InsertFittings!$A$11:$M$236,10,FALSE),
IF($A77&lt;Valves!$A$132,VLOOKUP($A77,Valves!$A$8:$M$131,10,FALSE),
IF($A77&lt;SDR35SW!$A$124,VLOOKUP($A77,SDR35SW!$A$8:$M$123,10,FALSE),
IF($A77&lt;SDR35G!$A$143,VLOOKUP($A77, SDR35G!$A$8:$M$142,10,FALSE),
IF($A77&lt;SDR26G!$A$61,VLOOKUP($A77,SDR26G!$A$8:$N$60,11,FALSE),
IF($A77&lt;Cements!$A$100,VLOOKUP($A77,Cements!$A$8:$Q$99,14,FALSE),
IF($A77&lt;ValveBox!$A$143,VLOOKUP($A77,ValveBox!$A$10:$O$142,12,FALSE),
IF($A77&lt;'ValveBox Components'!$A$165,VLOOKUP($A77,'ValveBox Components'!$A$10:$O$164,12,FALSE),
IF($A77&lt;Drainage!$A$92,VLOOKUP($A77,Drainage!$A$8:$M$91,10,FALSE),
IF($A77&lt;Nipples!$A$82,VLOOKUP($A77,Nipples!$A$9:$Q$81,14,FALSE),
IF($A77&lt;Manifold!$A$33,VLOOKUP($A77,Manifold!$A$9:$M$32,10,FALSE),
IF($A77&lt;FlexibleRepairCouplings!$A$13,VLOOKUP($A77,FlexibleRepairCouplings!$A$10:$M$12,10,FALSE),
IF($A77&lt;DuraFix!$A$15,VLOOKUP($A77,DuraFix!$A$9:$M$14,10,FALSE),
IF($A77&lt;'Compression Fittings'!$A$16,VLOOKUP($A77,'Compression Fittings'!$A$8:$M$15,10,FALSE),
IF($A77&lt;'Hose Fittings'!$A$30,VLOOKUP($A77,'Hose Fittings'!$A$8:$M$29,10,FALSE),
IF($A77&lt;'Swing Joints'!$A$496,VLOOKUP($A77,'Swing Joints'!$A$9:$M$495,10,FALSE),
IF($A77&lt;'Swing Joints Components'!$A$135,VLOOKUP($A77,'Swing Joints Components'!$A$9:$M$134,10,FALSE),
IF($A77&lt;Nonstandard!$A$42,VLOOKUP($A77,Nonstandard!$A$31:$J$41,10,FALSE),"")))))))))))))))))))))))))))),"")</f>
        <v/>
      </c>
      <c r="L77" s="418" t="str">
        <f t="shared" si="0"/>
        <v>-</v>
      </c>
      <c r="M77" s="419"/>
    </row>
    <row r="78" spans="1:13" ht="15.75">
      <c r="A78" s="420">
        <v>46</v>
      </c>
      <c r="B78" s="420" t="str">
        <f>IFERROR(IF($A78&lt;'DWV PVC'!$A$285,VLOOKUP($A78,'DWV PVC'!$A$8:$M$284,4,FALSE),
IF($A78&lt;'DWV ABS'!$A$117,VLOOKUP($A78,'DWV ABS'!$A$8:$M$116,4,FALSE),
IF($A78&lt;'PVC SCH40'!$A$376,VLOOKUP($A78,'PVC SCH40'!$A$8:$M$375,4,FALSE),
IF($A78&lt;'PVC SCH40 LD'!$A$22,VLOOKUP($A78,'PVC SCH40 LD'!$A$8:$M$21,4,FALSE),
IF($A78&lt;'Pool &amp; SPA Sweep Elbows'!$A$12,VLOOKUP($A78,'Pool &amp; SPA Sweep Elbows'!$A$8:$M$11,4,FALSE),
IF($A78&lt;'Pool &amp; SPA Pipe Extender'!$A$11,VLOOKUP($A78,'Pool &amp; SPA Pipe Extender'!$A$8:$M$10,4,FALSE),
IF($A78&lt;'PVC SCH80'!$A$250,VLOOKUP($A78,'PVC SCH80'!$A$8:$M$249,4,FALSE),
IF($A78&lt;'PVC SCH80 Flange'!$A$49,VLOOKUP($A78,'PVC SCH80 Flange'!$A$8:$M$48,4,FALSE),
IF($A78&lt;'PVC SCH80 LD Flange'!$A$17,VLOOKUP($A78,'PVC SCH80 LD Flange'!$A$8:$M$16,4,FALSE),
IF($A78&lt;CPVC!$A$100,VLOOKUP($A78,CPVC!$A$8:$M$99,4,FALSE),
IF($A78&lt;InsertFittings!$A$237,VLOOKUP($A78,InsertFittings!$A$11:$M$236,4,FALSE),
IF($A78&lt;Valves!$A$132,VLOOKUP($A78,Valves!$A$8:$M$131,4,FALSE),
IF($A78&lt;SDR35SW!$A$124,VLOOKUP($A78,SDR35SW!$A$8:$M$123,4,FALSE),
IF($A78&lt;SDR35G!$A$143,VLOOKUP($A78, SDR35G!$A$8:$M$142,4,FALSE),
IF($A78&lt;SDR26G!$A$61,VLOOKUP($A78,SDR26G!$A$8:$N$60,4,FALSE),
IF($A78&lt;Cements!$A$100,VLOOKUP($A78,Cements!$A$8:$Q$99,4,FALSE),
IF($A78&lt;ValveBox!$A$143,VLOOKUP($A78,ValveBox!$A$10:$O$142,4,FALSE),
IF($A78&lt;'ValveBox Components'!$A$165,VLOOKUP($A78,'ValveBox Components'!$A$10:$O$164,4,FALSE),
IF($A78&lt;Drainage!$A$92,VLOOKUP($A78,Drainage!$A$8:$M$91,4,FALSE),
IF($A78&lt;Nipples!$A$82,VLOOKUP($A78,Nipples!$A$9:$Q$81,4,FALSE),
IF($A78&lt;Manifold!$A$33,VLOOKUP($A78,Manifold!$A$9:$M$32,4,FALSE),
IF($A78&lt;FlexibleRepairCouplings!$A$13,VLOOKUP($A78,FlexibleRepairCouplings!$A$10:$M$12,4,FALSE),
IF($A78&lt;DuraFix!$A$15,VLOOKUP($A78,DuraFix!$A$9:$M$14,4,FALSE),
IF($A78&lt;'Compression Fittings'!$A$16,VLOOKUP($A78,'Compression Fittings'!$A$8:$M$15,4,FALSE),
IF($A78&lt;'Hose Fittings'!$A$30,VLOOKUP($A78,'Hose Fittings'!$A$8:$M$29,4,FALSE),
IF($A78&lt;'Swing Joints'!$A$496,VLOOKUP($A78,'Swing Joints'!$A$9:$M$495,4,FALSE),
IF($A78&lt;'Swing Joints Components'!$A$135,VLOOKUP($A78,'Swing Joints Components'!$A$9:$M$134,4,FALSE),
IF($A78&lt;Nonstandard!$A$42,VLOOKUP($A78,Nonstandard!$A$31:$J$41,5,FALSE),"")))))))))))))))))))))))))))),"")</f>
        <v/>
      </c>
      <c r="C78" s="420" t="str">
        <f>IFERROR(IF($A78&lt;'DWV PVC'!$A$285,VLOOKUP($A78,'DWV PVC'!$A$8:$M$284,5,FALSE),
IF($A78&lt;'DWV ABS'!$A$117,VLOOKUP($A78,'DWV ABS'!$A$8:$M$116,5,FALSE),
IF($A78&lt;'PVC SCH40'!$A$376,VLOOKUP($A78,'PVC SCH40'!$A$8:$M$375,5,FALSE),
IF($A78&lt;'PVC SCH40 LD'!$A$22,VLOOKUP($A78,'PVC SCH40 LD'!$A$8:$M$21,5,FALSE),
IF($A78&lt;'Pool &amp; SPA Sweep Elbows'!$A$12,VLOOKUP($A78,'Pool &amp; SPA Sweep Elbows'!$A$8:$M$11,5,FALSE),
IF($A78&lt;'Pool &amp; SPA Pipe Extender'!$A$11,VLOOKUP($A78,'Pool &amp; SPA Pipe Extender'!$A$8:$M$10,5,FALSE),
IF($A78&lt;'PVC SCH80'!$A$250,VLOOKUP($A78,'PVC SCH80'!$A$8:$M$249,5,FALSE),
IF($A78&lt;'PVC SCH80 Flange'!$A$49,VLOOKUP($A78,'PVC SCH80 Flange'!$A$8:$M$48,5,FALSE),
IF($A78&lt;'PVC SCH80 LD Flange'!$A$17,VLOOKUP($A78,'PVC SCH80 LD Flange'!$A$8:$M$16,5,FALSE),
IF($A78&lt;CPVC!$A$100,VLOOKUP($A78,CPVC!$A$8:$M$99,5,FALSE),
IF($A78&lt;InsertFittings!$A$237,VLOOKUP($A78,InsertFittings!$A$11:$M$236,5,FALSE),
IF($A78&lt;Valves!$A$132,VLOOKUP($A78,Valves!$A$8:$M$131,5,FALSE),
IF($A78&lt;SDR35SW!$A$124,VLOOKUP($A78,SDR35SW!$A$8:$M$123,5,FALSE),
IF($A78&lt;SDR35G!$A$143,VLOOKUP($A78, SDR35G!$A$8:$M$142,5,FALSE),
IF($A78&lt;SDR26G!$A$61,VLOOKUP($A78,SDR26G!$A$8:$N$60,5,FALSE),
IF($A78&lt;Cements!$A$100,VLOOKUP($A78,Cements!$A$8:$Q$99,5,FALSE),
IF($A78&lt;ValveBox!$A$143,VLOOKUP($A78,ValveBox!$A$10:$O$142,5,FALSE),
IF($A78&lt;'ValveBox Components'!$A$165,VLOOKUP($A78,'ValveBox Components'!$A$10:$O$164,5,FALSE),
IF($A78&lt;Drainage!$A$92,VLOOKUP($A78,Drainage!$A$8:$M$91,5,FALSE),
IF($A78&lt;Nipples!$A$82,VLOOKUP($A78,Nipples!$A$9:$Q$81,5,FALSE),
IF($A78&lt;Manifold!$A$33,VLOOKUP($A78,Manifold!$A$9:$M$32,5,FALSE),
IF($A78&lt;FlexibleRepairCouplings!$A$13,VLOOKUP($A78,FlexibleRepairCouplings!$A$10:$M$12,5,FALSE),
IF($A78&lt;DuraFix!$A$15,VLOOKUP($A78,DuraFix!$A$9:$M$14,5,FALSE),
IF($A78&lt;'Compression Fittings'!$A$16,VLOOKUP($A78,'Compression Fittings'!$A$8:$M$15,5,FALSE),
IF($A78&lt;'Hose Fittings'!$A$30,VLOOKUP($A78,'Hose Fittings'!$A$8:$M$29,5,FALSE),
IF($A78&lt;'Swing Joints'!$A$496,VLOOKUP($A78,'Swing Joints'!$A$9:$M$495,5,FALSE),
IF($A78&lt;'Swing Joints Components'!$A$135,VLOOKUP($A78,'Swing Joints Components'!$A$9:$M$134,5,FALSE),
IF($A78&lt;Nonstandard!$A$42,VLOOKUP($A78,Nonstandard!$A$31:$J$41,6,FALSE),"")))))))))))))))))))))))))))),"")</f>
        <v/>
      </c>
      <c r="D78" s="428" t="str">
        <f>IFERROR(IF($A78&lt;'DWV PVC'!$A$285,VLOOKUP($A78,'DWV PVC'!$A$8:$M$284,6,FALSE),
IF($A78&lt;'DWV ABS'!$A$117,VLOOKUP($A78,'DWV ABS'!$A$8:$M$116,6,FALSE),
IF($A78&lt;'PVC SCH40'!$A$376,VLOOKUP($A78,'PVC SCH40'!$A$8:$M$375,6,FALSE),
IF($A78&lt;'PVC SCH40 LD'!$A$22,VLOOKUP($A78,'PVC SCH40 LD'!$A$8:$M$21,6,FALSE),
IF($A78&lt;'Pool &amp; SPA Sweep Elbows'!$A$12,VLOOKUP($A78,'Pool &amp; SPA Sweep Elbows'!$A$8:$M$11,6,FALSE),
IF($A78&lt;'Pool &amp; SPA Pipe Extender'!$A$11,VLOOKUP($A78,'Pool &amp; SPA Pipe Extender'!$A$8:$M$10,6,FALSE),
IF($A78&lt;'PVC SCH80'!$A$250,VLOOKUP($A78,'PVC SCH80'!$A$8:$M$249,6,FALSE),
IF($A78&lt;'PVC SCH80 Flange'!$A$49,VLOOKUP($A78,'PVC SCH80 Flange'!$A$8:$M$48,6,FALSE),
IF($A78&lt;'PVC SCH80 LD Flange'!$A$17,VLOOKUP($A78,'PVC SCH80 LD Flange'!$A$8:$M$16,6,FALSE),
IF($A78&lt;CPVC!$A$100,VLOOKUP($A78,CPVC!$A$8:$M$99,6,FALSE),
IF($A78&lt;InsertFittings!$A$237,VLOOKUP($A78,InsertFittings!$A$11:$M$236,6,FALSE),
IF($A78&lt;Valves!$A$132,VLOOKUP($A78,Valves!$A$8:$M$131,6,FALSE),
IF($A78&lt;SDR35SW!$A$124,VLOOKUP($A78,SDR35SW!$A$8:$M$123,6,FALSE),
IF($A78&lt;SDR35G!$A$143,VLOOKUP($A78, SDR35G!$A$8:$M$142,6,FALSE),
IF($A78&lt;SDR26G!$A$61,VLOOKUP($A78,SDR26G!$A$8:$N$60,6,FALSE),
IF($A78&lt;Cements!$A$100,VLOOKUP($A78,Cements!$A$8:$Q$99,6,FALSE),
IF($A78&lt;ValveBox!$A$143,VLOOKUP($A78,ValveBox!$A$10:$O$142,6,FALSE),
IF($A78&lt;'ValveBox Components'!$A$165,VLOOKUP($A78,'ValveBox Components'!$A$10:$O$164,6,FALSE),
IF($A78&lt;Drainage!$A$92,VLOOKUP($A78,Drainage!$A$8:$M$91,6,FALSE),
IF($A78&lt;Nipples!$A$82,VLOOKUP($A78,Nipples!$A$9:$Q$81,6,FALSE),
IF($A78&lt;Manifold!$A$33,VLOOKUP($A78,Manifold!$A$9:$M$32,6,FALSE),
IF($A78&lt;FlexibleRepairCouplings!$A$13,VLOOKUP($A78,FlexibleRepairCouplings!$A$10:$M$12,6,FALSE),
IF($A78&lt;DuraFix!$A$15,VLOOKUP($A78,DuraFix!$A$9:$M$14,6,FALSE),
IF($A78&lt;'Compression Fittings'!$A$16,VLOOKUP($A78,'Compression Fittings'!$A$8:$M$15,6,FALSE),
IF($A78&lt;'Hose Fittings'!$A$30,VLOOKUP($A78,'Hose Fittings'!$A$8:$M$29,6,FALSE),
IF($A78&lt;'Swing Joints'!$A$496,VLOOKUP($A78,'Swing Joints'!$A$9:$M$495,6,FALSE),
IF($A78&lt;'Swing Joints Components'!$A$135,VLOOKUP($A78,'Swing Joints Components'!$A$9:$M$134,6,FALSE),
IF($A78&lt;Nonstandard!$A$42,VLOOKUP($A78,Nonstandard!$A$31:$J$41,7,FALSE),"")))))))))))))))))))))))))))),"")</f>
        <v/>
      </c>
      <c r="E78" s="429"/>
      <c r="F78" s="421" t="str">
        <f>IFERROR(IF($A78&lt;'DWV PVC'!$A$285,VLOOKUP($A78,'DWV PVC'!$A$8:$M$284,9,FALSE),
IF($A78&lt;'DWV ABS'!$A$117,VLOOKUP($A78,'DWV ABS'!$A$8:$M$116,9,FALSE),
IF($A78&lt;'PVC SCH40'!$A$376,VLOOKUP($A78,'PVC SCH40'!$A$8:$M$375,9,FALSE),
IF($A78&lt;'PVC SCH40 LD'!$A$22,VLOOKUP($A78,'PVC SCH40 LD'!$A$8:$M$21,9,FALSE),
IF($A78&lt;'Pool &amp; SPA Sweep Elbows'!$A$12,VLOOKUP($A78,'Pool &amp; SPA Sweep Elbows'!$A$8:$M$11,9,FALSE),
IF($A78&lt;'Pool &amp; SPA Pipe Extender'!$A$11,VLOOKUP($A78,'Pool &amp; SPA Pipe Extender'!$A$8:$M$10,9,FALSE),
IF($A78&lt;'PVC SCH80'!$A$250,VLOOKUP($A78,'PVC SCH80'!$A$8:$M$249,9,FALSE),
IF($A78&lt;'PVC SCH80 Flange'!$A$49,VLOOKUP($A78,'PVC SCH80 Flange'!$A$8:$M$48,9,FALSE),
IF($A78&lt;'PVC SCH80 LD Flange'!$A$17,VLOOKUP($A78,'PVC SCH80 LD Flange'!$A$8:$M$16,9,FALSE),
IF($A78&lt;CPVC!$A$100,VLOOKUP($A78,CPVC!$A$8:$M$99,9,FALSE),
IF($A78&lt;InsertFittings!$A$237,VLOOKUP($A78,InsertFittings!$A$11:$M$236,9,FALSE),
IF($A78&lt;Valves!$A$132,VLOOKUP($A78,Valves!$A$8:$M$131,9,FALSE),
IF($A78&lt;SDR35SW!$A$124,VLOOKUP($A78,SDR35SW!$A$8:$M$123,9,FALSE),
IF($A78&lt;SDR35G!$A$143,VLOOKUP($A78, SDR35G!$A$8:$M$142,9,FALSE),
IF($A78&lt;SDR26G!$A$61,VLOOKUP($A78,SDR26G!$A$8:$N$60,10,FALSE),
IF($A78&lt;Cements!$A$100,VLOOKUP($A78,Cements!$A$8:$Q$99,13,FALSE),
IF($A78&lt;ValveBox!$A$143,VLOOKUP($A78,ValveBox!$A$10:$O$142,11,FALSE),
IF($A78&lt;'ValveBox Components'!$A$165,VLOOKUP($A78,'ValveBox Components'!$A$10:$O$164,11,FALSE),
IF($A78&lt;Drainage!$A$92,VLOOKUP($A78,Drainage!$A$8:$M$91,9,FALSE),
IF($A78&lt;Nipples!$A$82,VLOOKUP($A78,Nipples!$A$9:$Q$81,13,FALSE),
IF($A78&lt;Manifold!$A$33,VLOOKUP($A78,Manifold!$A$9:$M$32,9,FALSE),
IF($A78&lt;FlexibleRepairCouplings!$A$13,VLOOKUP($A78,FlexibleRepairCouplings!$A$10:$M$12,9,FALSE),
IF($A78&lt;DuraFix!$A$15,VLOOKUP($A78,DuraFix!$A$9:$M$14,9,FALSE),
IF($A78&lt;'Compression Fittings'!$A$16,VLOOKUP($A78,'Compression Fittings'!$A$8:$M$15,9,FALSE),
IF($A78&lt;'Hose Fittings'!$A$30,VLOOKUP($A78,'Hose Fittings'!$A$8:$M$29,9,FALSE),
IF($A78&lt;'Swing Joints'!$A$496,VLOOKUP($A78,'Swing Joints'!$A$9:$M$495,9,FALSE),
IF($A78&lt;'Swing Joints Components'!$A$135,VLOOKUP($A78,'Swing Joints Components'!$A$9:$M$134,9,FALSE),
IF($A78&lt;Nonstandard!$A$42,VLOOKUP($A78,Nonstandard!$A$31:$J$41,8,FALSE),"")))))))))))))))))))))))))))),"")</f>
        <v/>
      </c>
      <c r="G78" s="422" t="str">
        <f>IFERROR(IF($A78&lt;'DWV PVC'!$A$285,VLOOKUP($A78,'DWV PVC'!$A$8:$M$284,11,FALSE),
IF($A78&lt;'DWV ABS'!$A$117,VLOOKUP($A78,'DWV ABS'!$A$8:$M$116,11,FALSE),
IF($A78&lt;'PVC SCH40'!$A$376,VLOOKUP($A78,'PVC SCH40'!$A$8:$M$375,11,FALSE),
IF($A78&lt;'PVC SCH40 LD'!$A$22,VLOOKUP($A78,'PVC SCH40 LD'!$A$8:$M$21,11,FALSE),
IF($A78&lt;'Pool &amp; SPA Sweep Elbows'!$A$12,VLOOKUP($A78,'Pool &amp; SPA Sweep Elbows'!$A$8:$M$11,11,FALSE),
IF($A78&lt;'Pool &amp; SPA Pipe Extender'!$A$11,VLOOKUP($A78,'Pool &amp; SPA Pipe Extender'!$A$8:$M$10,11,FALSE),
IF($A78&lt;'PVC SCH80'!$A$250,VLOOKUP($A78,'PVC SCH80'!$A$8:$M$249,11,FALSE),
IF($A78&lt;'PVC SCH80 Flange'!$A$49,VLOOKUP($A78,'PVC SCH80 Flange'!$A$8:$M$48,11,FALSE),
IF($A78&lt;'PVC SCH80 LD Flange'!$A$17,VLOOKUP($A78,'PVC SCH80 LD Flange'!$A$8:$M$16,11,FALSE),
IF($A78&lt;CPVC!$A$100,VLOOKUP($A78,CPVC!$A$8:$M$99,11,FALSE),
IF($A78&lt;InsertFittings!$A$237,VLOOKUP($A78,InsertFittings!$A$11:$M$236,11,FALSE),
IF($A78&lt;Valves!$A$132,VLOOKUP($A78,Valves!$A$8:$M$131,11,FALSE),
IF($A78&lt;SDR35SW!$A$124,VLOOKUP($A78,SDR35SW!$A$8:$M$123,11,FALSE),
IF($A78&lt;SDR35G!$A$143,VLOOKUP($A78, SDR35G!$A$8:$M$142,11,FALSE),
IF($A78&lt;SDR26G!$A$61,VLOOKUP($A78,SDR26G!$A$8:$N$60,12,FALSE),
IF($A78&lt;Cements!$A$100,VLOOKUP($A78,Cements!$A$8:$Q$99,15,FALSE),
IF($A78&lt;ValveBox!$A$143,VLOOKUP($A78,ValveBox!$A$10:$O$142,13,FALSE),
IF($A78&lt;'ValveBox Components'!$A$165,VLOOKUP($A78,'ValveBox Components'!$A$10:$O$164,13,FALSE),
IF($A78&lt;Drainage!$A$92,VLOOKUP($A78,Drainage!$A$8:$M$91,11,FALSE),
IF($A78&lt;Nipples!$A$82,VLOOKUP($A78,Nipples!$A$9:$Q$81,15,FALSE),
IF($A78&lt;Manifold!$A$33,VLOOKUP($A78,Manifold!$A$9:$M$32,11,FALSE),
IF($A78&lt;FlexibleRepairCouplings!$A$13,VLOOKUP($A78,FlexibleRepairCouplings!$A$10:$M$12,11,FALSE),
IF($A78&lt;DuraFix!$A$15,VLOOKUP($A78,DuraFix!$A$9:$M$14,11,FALSE),
IF($A78&lt;'Compression Fittings'!$A$16,VLOOKUP($A78,'Compression Fittings'!$A$8:$M$15,11,FALSE),
IF($A78&lt;'Hose Fittings'!$A$30,VLOOKUP($A78,'Hose Fittings'!$A$8:$M$29,11,FALSE),
IF($A78&lt;'Swing Joints'!$A$496,VLOOKUP($A78,'Swing Joints'!$A$9:$M$495,11,FALSE),
IF($A78&lt;'Swing Joints Components'!$A$135,VLOOKUP($A78,'Swing Joints Components'!$A$9:$M$134,11,FALSE),
IF($A78&lt;Nonstandard!$A$42,VLOOKUP($A78,Nonstandard!$A$31:$J$41,3,FALSE),"")))))))))))))))))))))))))))),"")</f>
        <v/>
      </c>
      <c r="H78" s="588" t="str">
        <f>IFERROR(IF($A78&lt;'DWV PVC'!$A$285,VLOOKUP($A78,'DWV PVC'!$A$8:$M$284,7,FALSE),
IF($A78&lt;'DWV ABS'!$A$117,VLOOKUP($A78,'DWV ABS'!$A$8:$M$116,7,FALSE),
IF($A78&lt;'PVC SCH40'!$A$376,VLOOKUP($A78,'PVC SCH40'!$A$8:$M$375,7,FALSE),
IF($A78&lt;'PVC SCH40 LD'!$A$22,VLOOKUP($A78,'PVC SCH40 LD'!$A$8:$M$21,7,FALSE),
IF($A78&lt;'Pool &amp; SPA Sweep Elbows'!$A$12,VLOOKUP($A78,'Pool &amp; SPA Sweep Elbows'!$A$8:$M$11,7,FALSE),
IF($A78&lt;'Pool &amp; SPA Pipe Extender'!$A$11,VLOOKUP($A78,'Pool &amp; SPA Pipe Extender'!$A$8:$M$10,7,FALSE),
IF($A78&lt;'PVC SCH80'!$A$250,VLOOKUP($A78,'PVC SCH80'!$A$8:$M$249,7,FALSE),
IF($A78&lt;'PVC SCH80 Flange'!$A$49,VLOOKUP($A78,'PVC SCH80 Flange'!$A$8:$M$48,7,FALSE),
IF($A78&lt;'PVC SCH80 LD Flange'!$A$17,VLOOKUP($A78,'PVC SCH80 LD Flange'!$A$8:$M$16,7,FALSE),
IF($A78&lt;CPVC!$A$100,VLOOKUP($A78,CPVC!$A$8:$M$99,7,FALSE),
IF($A78&lt;InsertFittings!$A$237,VLOOKUP($A78,InsertFittings!$A$11:$M$236,7,FALSE),
IF($A78&lt;Valves!$A$132,VLOOKUP($A78,Valves!$A$8:$M$131,7,FALSE),
IF($A78&lt;SDR35SW!$A$124,VLOOKUP($A78,SDR35SW!$A$8:$M$123,7,FALSE),
IF($A78&lt;SDR35G!$A$143,VLOOKUP($A78, SDR35G!$A$8:$M$142,7,FALSE),
IF($A78&lt;SDR26G!$A$61,VLOOKUP($A78,SDR26G!$A$8:$N$60,10,FALSE),
IF($A78&lt;Cements!$A$100,VLOOKUP($A78,Cements!$A$8:$Q$99,13,FALSE),
IF($A78&lt;ValveBox!$A$143,VLOOKUP($A78,ValveBox!$A$10:$O$142,11,FALSE),
IF($A78&lt;'ValveBox Components'!$A$165,VLOOKUP($A78,'ValveBox Components'!$A$10:$O$164,11,FALSE),
IF($A78&lt;Drainage!$A$92,VLOOKUP($A78,Drainage!$A$8:$M$91,7,FALSE),
IF($A78&lt;Nipples!$A$82,VLOOKUP($A78,Nipples!$A$9:$Q$81,13,FALSE),
IF($A78&lt;Manifold!$A$33,VLOOKUP($A78,Manifold!$A$9:$M$32,7,FALSE),
IF($A78&lt;FlexibleRepairCouplings!$A$13,VLOOKUP($A78,FlexibleRepairCouplings!$A$10:$M$12,7,FALSE),
IF($A78&lt;DuraFix!$A$15,VLOOKUP($A78,DuraFix!$A$9:$M$14,7,FALSE),
IF($A78&lt;'Compression Fittings'!$A$16,VLOOKUP($A78,'Compression Fittings'!$A$8:$M$15,7,FALSE),
IF($A78&lt;'Hose Fittings'!$A$30,VLOOKUP($A78,'Hose Fittings'!$A$8:$M$29,7,FALSE),
IF($A78&lt;'Swing Joints'!$A$496,VLOOKUP($A78,'Swing Joints'!$A$9:$M$495,7,FALSE),
IF($A78&lt;'Swing Joints Components'!$A$135,VLOOKUP($A78,'Swing Joints Components'!$A$9:$M$134,7,FALSE),
IF($A78&lt;Nonstandard!$A$42,VLOOKUP($A78,Nonstandard!$A$31:$J$41,3,FALSE),"")))))))))))))))))))))))))))),"")</f>
        <v/>
      </c>
      <c r="I78" s="589"/>
      <c r="J78" s="423" t="str">
        <f t="shared" si="1"/>
        <v/>
      </c>
      <c r="K78" s="424" t="str">
        <f>IFERROR(IF($A78&lt;'DWV PVC'!$A$285,VLOOKUP($A78,'DWV PVC'!$A$8:$M$284,10,FALSE),
IF($A78&lt;'DWV ABS'!$A$117,VLOOKUP($A78,'DWV ABS'!$A$8:$M$116,10,FALSE),
IF($A78&lt;'PVC SCH40'!$A$376,VLOOKUP($A78,'PVC SCH40'!$A$8:$M$375,10,FALSE),
IF($A78&lt;'PVC SCH40 LD'!$A$22,VLOOKUP($A78,'PVC SCH40 LD'!$A$8:$M$21,10,FALSE),
IF($A78&lt;'Pool &amp; SPA Sweep Elbows'!$A$12,VLOOKUP($A78,'Pool &amp; SPA Sweep Elbows'!$A$8:$M$11,10,FALSE),
IF($A78&lt;'Pool &amp; SPA Pipe Extender'!$A$11,VLOOKUP($A78,'Pool &amp; SPA Pipe Extender'!$A$8:$M$10,10,FALSE),
IF($A78&lt;'PVC SCH80'!$A$250,VLOOKUP($A78,'PVC SCH80'!$A$8:$M$249,10,FALSE),
IF($A78&lt;'PVC SCH80 Flange'!$A$49,VLOOKUP($A78,'PVC SCH80 Flange'!$A$8:$M$48,10,FALSE),
IF($A78&lt;'PVC SCH80 LD Flange'!$A$17,VLOOKUP($A78,'PVC SCH80 LD Flange'!$A$8:$M$16,10,FALSE),
IF($A78&lt;CPVC!$A$100,VLOOKUP($A78,CPVC!$A$8:$M$99,10,FALSE),
IF($A78&lt;InsertFittings!$A$237,VLOOKUP($A78,InsertFittings!$A$11:$M$236,10,FALSE),
IF($A78&lt;Valves!$A$132,VLOOKUP($A78,Valves!$A$8:$M$131,10,FALSE),
IF($A78&lt;SDR35SW!$A$124,VLOOKUP($A78,SDR35SW!$A$8:$M$123,10,FALSE),
IF($A78&lt;SDR35G!$A$143,VLOOKUP($A78, SDR35G!$A$8:$M$142,10,FALSE),
IF($A78&lt;SDR26G!$A$61,VLOOKUP($A78,SDR26G!$A$8:$N$60,11,FALSE),
IF($A78&lt;Cements!$A$100,VLOOKUP($A78,Cements!$A$8:$Q$99,14,FALSE),
IF($A78&lt;ValveBox!$A$143,VLOOKUP($A78,ValveBox!$A$10:$O$142,12,FALSE),
IF($A78&lt;'ValveBox Components'!$A$165,VLOOKUP($A78,'ValveBox Components'!$A$10:$O$164,12,FALSE),
IF($A78&lt;Drainage!$A$92,VLOOKUP($A78,Drainage!$A$8:$M$91,10,FALSE),
IF($A78&lt;Nipples!$A$82,VLOOKUP($A78,Nipples!$A$9:$Q$81,14,FALSE),
IF($A78&lt;Manifold!$A$33,VLOOKUP($A78,Manifold!$A$9:$M$32,10,FALSE),
IF($A78&lt;FlexibleRepairCouplings!$A$13,VLOOKUP($A78,FlexibleRepairCouplings!$A$10:$M$12,10,FALSE),
IF($A78&lt;DuraFix!$A$15,VLOOKUP($A78,DuraFix!$A$9:$M$14,10,FALSE),
IF($A78&lt;'Compression Fittings'!$A$16,VLOOKUP($A78,'Compression Fittings'!$A$8:$M$15,10,FALSE),
IF($A78&lt;'Hose Fittings'!$A$30,VLOOKUP($A78,'Hose Fittings'!$A$8:$M$29,10,FALSE),
IF($A78&lt;'Swing Joints'!$A$496,VLOOKUP($A78,'Swing Joints'!$A$9:$M$495,10,FALSE),
IF($A78&lt;'Swing Joints Components'!$A$135,VLOOKUP($A78,'Swing Joints Components'!$A$9:$M$134,10,FALSE),
IF($A78&lt;Nonstandard!$A$42,VLOOKUP($A78,Nonstandard!$A$31:$J$41,10,FALSE),"")))))))))))))))))))))))))))),"")</f>
        <v/>
      </c>
      <c r="L78" s="421" t="str">
        <f t="shared" si="0"/>
        <v>-</v>
      </c>
      <c r="M78" s="425"/>
    </row>
    <row r="79" spans="1:13" ht="15.75">
      <c r="A79" s="415">
        <v>47</v>
      </c>
      <c r="B79" s="415" t="str">
        <f>IFERROR(IF($A79&lt;'DWV PVC'!$A$285,VLOOKUP($A79,'DWV PVC'!$A$8:$M$284,4,FALSE),
IF($A79&lt;'DWV ABS'!$A$117,VLOOKUP($A79,'DWV ABS'!$A$8:$M$116,4,FALSE),
IF($A79&lt;'PVC SCH40'!$A$376,VLOOKUP($A79,'PVC SCH40'!$A$8:$M$375,4,FALSE),
IF($A79&lt;'PVC SCH40 LD'!$A$22,VLOOKUP($A79,'PVC SCH40 LD'!$A$8:$M$21,4,FALSE),
IF($A79&lt;'Pool &amp; SPA Sweep Elbows'!$A$12,VLOOKUP($A79,'Pool &amp; SPA Sweep Elbows'!$A$8:$M$11,4,FALSE),
IF($A79&lt;'Pool &amp; SPA Pipe Extender'!$A$11,VLOOKUP($A79,'Pool &amp; SPA Pipe Extender'!$A$8:$M$10,4,FALSE),
IF($A79&lt;'PVC SCH80'!$A$250,VLOOKUP($A79,'PVC SCH80'!$A$8:$M$249,4,FALSE),
IF($A79&lt;'PVC SCH80 Flange'!$A$49,VLOOKUP($A79,'PVC SCH80 Flange'!$A$8:$M$48,4,FALSE),
IF($A79&lt;'PVC SCH80 LD Flange'!$A$17,VLOOKUP($A79,'PVC SCH80 LD Flange'!$A$8:$M$16,4,FALSE),
IF($A79&lt;CPVC!$A$100,VLOOKUP($A79,CPVC!$A$8:$M$99,4,FALSE),
IF($A79&lt;InsertFittings!$A$237,VLOOKUP($A79,InsertFittings!$A$11:$M$236,4,FALSE),
IF($A79&lt;Valves!$A$132,VLOOKUP($A79,Valves!$A$8:$M$131,4,FALSE),
IF($A79&lt;SDR35SW!$A$124,VLOOKUP($A79,SDR35SW!$A$8:$M$123,4,FALSE),
IF($A79&lt;SDR35G!$A$143,VLOOKUP($A79, SDR35G!$A$8:$M$142,4,FALSE),
IF($A79&lt;SDR26G!$A$61,VLOOKUP($A79,SDR26G!$A$8:$N$60,4,FALSE),
IF($A79&lt;Cements!$A$100,VLOOKUP($A79,Cements!$A$8:$Q$99,4,FALSE),
IF($A79&lt;ValveBox!$A$143,VLOOKUP($A79,ValveBox!$A$10:$O$142,4,FALSE),
IF($A79&lt;'ValveBox Components'!$A$165,VLOOKUP($A79,'ValveBox Components'!$A$10:$O$164,4,FALSE),
IF($A79&lt;Drainage!$A$92,VLOOKUP($A79,Drainage!$A$8:$M$91,4,FALSE),
IF($A79&lt;Nipples!$A$82,VLOOKUP($A79,Nipples!$A$9:$Q$81,4,FALSE),
IF($A79&lt;Manifold!$A$33,VLOOKUP($A79,Manifold!$A$9:$M$32,4,FALSE),
IF($A79&lt;FlexibleRepairCouplings!$A$13,VLOOKUP($A79,FlexibleRepairCouplings!$A$10:$M$12,4,FALSE),
IF($A79&lt;DuraFix!$A$15,VLOOKUP($A79,DuraFix!$A$9:$M$14,4,FALSE),
IF($A79&lt;'Compression Fittings'!$A$16,VLOOKUP($A79,'Compression Fittings'!$A$8:$M$15,4,FALSE),
IF($A79&lt;'Hose Fittings'!$A$30,VLOOKUP($A79,'Hose Fittings'!$A$8:$M$29,4,FALSE),
IF($A79&lt;'Swing Joints'!$A$496,VLOOKUP($A79,'Swing Joints'!$A$9:$M$495,4,FALSE),
IF($A79&lt;'Swing Joints Components'!$A$135,VLOOKUP($A79,'Swing Joints Components'!$A$9:$M$134,4,FALSE),
IF($A79&lt;Nonstandard!$A$42,VLOOKUP($A79,Nonstandard!$A$31:$J$41,5,FALSE),"")))))))))))))))))))))))))))),"")</f>
        <v/>
      </c>
      <c r="C79" s="415" t="str">
        <f>IFERROR(IF($A79&lt;'DWV PVC'!$A$285,VLOOKUP($A79,'DWV PVC'!$A$8:$M$284,5,FALSE),
IF($A79&lt;'DWV ABS'!$A$117,VLOOKUP($A79,'DWV ABS'!$A$8:$M$116,5,FALSE),
IF($A79&lt;'PVC SCH40'!$A$376,VLOOKUP($A79,'PVC SCH40'!$A$8:$M$375,5,FALSE),
IF($A79&lt;'PVC SCH40 LD'!$A$22,VLOOKUP($A79,'PVC SCH40 LD'!$A$8:$M$21,5,FALSE),
IF($A79&lt;'Pool &amp; SPA Sweep Elbows'!$A$12,VLOOKUP($A79,'Pool &amp; SPA Sweep Elbows'!$A$8:$M$11,5,FALSE),
IF($A79&lt;'Pool &amp; SPA Pipe Extender'!$A$11,VLOOKUP($A79,'Pool &amp; SPA Pipe Extender'!$A$8:$M$10,5,FALSE),
IF($A79&lt;'PVC SCH80'!$A$250,VLOOKUP($A79,'PVC SCH80'!$A$8:$M$249,5,FALSE),
IF($A79&lt;'PVC SCH80 Flange'!$A$49,VLOOKUP($A79,'PVC SCH80 Flange'!$A$8:$M$48,5,FALSE),
IF($A79&lt;'PVC SCH80 LD Flange'!$A$17,VLOOKUP($A79,'PVC SCH80 LD Flange'!$A$8:$M$16,5,FALSE),
IF($A79&lt;CPVC!$A$100,VLOOKUP($A79,CPVC!$A$8:$M$99,5,FALSE),
IF($A79&lt;InsertFittings!$A$237,VLOOKUP($A79,InsertFittings!$A$11:$M$236,5,FALSE),
IF($A79&lt;Valves!$A$132,VLOOKUP($A79,Valves!$A$8:$M$131,5,FALSE),
IF($A79&lt;SDR35SW!$A$124,VLOOKUP($A79,SDR35SW!$A$8:$M$123,5,FALSE),
IF($A79&lt;SDR35G!$A$143,VLOOKUP($A79, SDR35G!$A$8:$M$142,5,FALSE),
IF($A79&lt;SDR26G!$A$61,VLOOKUP($A79,SDR26G!$A$8:$N$60,5,FALSE),
IF($A79&lt;Cements!$A$100,VLOOKUP($A79,Cements!$A$8:$Q$99,5,FALSE),
IF($A79&lt;ValveBox!$A$143,VLOOKUP($A79,ValveBox!$A$10:$O$142,5,FALSE),
IF($A79&lt;'ValveBox Components'!$A$165,VLOOKUP($A79,'ValveBox Components'!$A$10:$O$164,5,FALSE),
IF($A79&lt;Drainage!$A$92,VLOOKUP($A79,Drainage!$A$8:$M$91,5,FALSE),
IF($A79&lt;Nipples!$A$82,VLOOKUP($A79,Nipples!$A$9:$Q$81,5,FALSE),
IF($A79&lt;Manifold!$A$33,VLOOKUP($A79,Manifold!$A$9:$M$32,5,FALSE),
IF($A79&lt;FlexibleRepairCouplings!$A$13,VLOOKUP($A79,FlexibleRepairCouplings!$A$10:$M$12,5,FALSE),
IF($A79&lt;DuraFix!$A$15,VLOOKUP($A79,DuraFix!$A$9:$M$14,5,FALSE),
IF($A79&lt;'Compression Fittings'!$A$16,VLOOKUP($A79,'Compression Fittings'!$A$8:$M$15,5,FALSE),
IF($A79&lt;'Hose Fittings'!$A$30,VLOOKUP($A79,'Hose Fittings'!$A$8:$M$29,5,FALSE),
IF($A79&lt;'Swing Joints'!$A$496,VLOOKUP($A79,'Swing Joints'!$A$9:$M$495,5,FALSE),
IF($A79&lt;'Swing Joints Components'!$A$135,VLOOKUP($A79,'Swing Joints Components'!$A$9:$M$134,5,FALSE),
IF($A79&lt;Nonstandard!$A$42,VLOOKUP($A79,Nonstandard!$A$31:$J$41,6,FALSE),"")))))))))))))))))))))))))))),"")</f>
        <v/>
      </c>
      <c r="D79" s="426" t="str">
        <f>IFERROR(IF($A79&lt;'DWV PVC'!$A$285,VLOOKUP($A79,'DWV PVC'!$A$8:$M$284,6,FALSE),
IF($A79&lt;'DWV ABS'!$A$117,VLOOKUP($A79,'DWV ABS'!$A$8:$M$116,6,FALSE),
IF($A79&lt;'PVC SCH40'!$A$376,VLOOKUP($A79,'PVC SCH40'!$A$8:$M$375,6,FALSE),
IF($A79&lt;'PVC SCH40 LD'!$A$22,VLOOKUP($A79,'PVC SCH40 LD'!$A$8:$M$21,6,FALSE),
IF($A79&lt;'Pool &amp; SPA Sweep Elbows'!$A$12,VLOOKUP($A79,'Pool &amp; SPA Sweep Elbows'!$A$8:$M$11,6,FALSE),
IF($A79&lt;'Pool &amp; SPA Pipe Extender'!$A$11,VLOOKUP($A79,'Pool &amp; SPA Pipe Extender'!$A$8:$M$10,6,FALSE),
IF($A79&lt;'PVC SCH80'!$A$250,VLOOKUP($A79,'PVC SCH80'!$A$8:$M$249,6,FALSE),
IF($A79&lt;'PVC SCH80 Flange'!$A$49,VLOOKUP($A79,'PVC SCH80 Flange'!$A$8:$M$48,6,FALSE),
IF($A79&lt;'PVC SCH80 LD Flange'!$A$17,VLOOKUP($A79,'PVC SCH80 LD Flange'!$A$8:$M$16,6,FALSE),
IF($A79&lt;CPVC!$A$100,VLOOKUP($A79,CPVC!$A$8:$M$99,6,FALSE),
IF($A79&lt;InsertFittings!$A$237,VLOOKUP($A79,InsertFittings!$A$11:$M$236,6,FALSE),
IF($A79&lt;Valves!$A$132,VLOOKUP($A79,Valves!$A$8:$M$131,6,FALSE),
IF($A79&lt;SDR35SW!$A$124,VLOOKUP($A79,SDR35SW!$A$8:$M$123,6,FALSE),
IF($A79&lt;SDR35G!$A$143,VLOOKUP($A79, SDR35G!$A$8:$M$142,6,FALSE),
IF($A79&lt;SDR26G!$A$61,VLOOKUP($A79,SDR26G!$A$8:$N$60,6,FALSE),
IF($A79&lt;Cements!$A$100,VLOOKUP($A79,Cements!$A$8:$Q$99,6,FALSE),
IF($A79&lt;ValveBox!$A$143,VLOOKUP($A79,ValveBox!$A$10:$O$142,6,FALSE),
IF($A79&lt;'ValveBox Components'!$A$165,VLOOKUP($A79,'ValveBox Components'!$A$10:$O$164,6,FALSE),
IF($A79&lt;Drainage!$A$92,VLOOKUP($A79,Drainage!$A$8:$M$91,6,FALSE),
IF($A79&lt;Nipples!$A$82,VLOOKUP($A79,Nipples!$A$9:$Q$81,6,FALSE),
IF($A79&lt;Manifold!$A$33,VLOOKUP($A79,Manifold!$A$9:$M$32,6,FALSE),
IF($A79&lt;FlexibleRepairCouplings!$A$13,VLOOKUP($A79,FlexibleRepairCouplings!$A$10:$M$12,6,FALSE),
IF($A79&lt;DuraFix!$A$15,VLOOKUP($A79,DuraFix!$A$9:$M$14,6,FALSE),
IF($A79&lt;'Compression Fittings'!$A$16,VLOOKUP($A79,'Compression Fittings'!$A$8:$M$15,6,FALSE),
IF($A79&lt;'Hose Fittings'!$A$30,VLOOKUP($A79,'Hose Fittings'!$A$8:$M$29,6,FALSE),
IF($A79&lt;'Swing Joints'!$A$496,VLOOKUP($A79,'Swing Joints'!$A$9:$M$495,6,FALSE),
IF($A79&lt;'Swing Joints Components'!$A$135,VLOOKUP($A79,'Swing Joints Components'!$A$9:$M$134,6,FALSE),
IF($A79&lt;Nonstandard!$A$42,VLOOKUP($A79,Nonstandard!$A$31:$J$41,7,FALSE),"")))))))))))))))))))))))))))),"")</f>
        <v/>
      </c>
      <c r="E79" s="427"/>
      <c r="F79" s="418" t="str">
        <f>IFERROR(IF($A79&lt;'DWV PVC'!$A$285,VLOOKUP($A79,'DWV PVC'!$A$8:$M$284,9,FALSE),
IF($A79&lt;'DWV ABS'!$A$117,VLOOKUP($A79,'DWV ABS'!$A$8:$M$116,9,FALSE),
IF($A79&lt;'PVC SCH40'!$A$376,VLOOKUP($A79,'PVC SCH40'!$A$8:$M$375,9,FALSE),
IF($A79&lt;'PVC SCH40 LD'!$A$22,VLOOKUP($A79,'PVC SCH40 LD'!$A$8:$M$21,9,FALSE),
IF($A79&lt;'Pool &amp; SPA Sweep Elbows'!$A$12,VLOOKUP($A79,'Pool &amp; SPA Sweep Elbows'!$A$8:$M$11,9,FALSE),
IF($A79&lt;'Pool &amp; SPA Pipe Extender'!$A$11,VLOOKUP($A79,'Pool &amp; SPA Pipe Extender'!$A$8:$M$10,9,FALSE),
IF($A79&lt;'PVC SCH80'!$A$250,VLOOKUP($A79,'PVC SCH80'!$A$8:$M$249,9,FALSE),
IF($A79&lt;'PVC SCH80 Flange'!$A$49,VLOOKUP($A79,'PVC SCH80 Flange'!$A$8:$M$48,9,FALSE),
IF($A79&lt;'PVC SCH80 LD Flange'!$A$17,VLOOKUP($A79,'PVC SCH80 LD Flange'!$A$8:$M$16,9,FALSE),
IF($A79&lt;CPVC!$A$100,VLOOKUP($A79,CPVC!$A$8:$M$99,9,FALSE),
IF($A79&lt;InsertFittings!$A$237,VLOOKUP($A79,InsertFittings!$A$11:$M$236,9,FALSE),
IF($A79&lt;Valves!$A$132,VLOOKUP($A79,Valves!$A$8:$M$131,9,FALSE),
IF($A79&lt;SDR35SW!$A$124,VLOOKUP($A79,SDR35SW!$A$8:$M$123,9,FALSE),
IF($A79&lt;SDR35G!$A$143,VLOOKUP($A79, SDR35G!$A$8:$M$142,9,FALSE),
IF($A79&lt;SDR26G!$A$61,VLOOKUP($A79,SDR26G!$A$8:$N$60,10,FALSE),
IF($A79&lt;Cements!$A$100,VLOOKUP($A79,Cements!$A$8:$Q$99,13,FALSE),
IF($A79&lt;ValveBox!$A$143,VLOOKUP($A79,ValveBox!$A$10:$O$142,11,FALSE),
IF($A79&lt;'ValveBox Components'!$A$165,VLOOKUP($A79,'ValveBox Components'!$A$10:$O$164,11,FALSE),
IF($A79&lt;Drainage!$A$92,VLOOKUP($A79,Drainage!$A$8:$M$91,9,FALSE),
IF($A79&lt;Nipples!$A$82,VLOOKUP($A79,Nipples!$A$9:$Q$81,13,FALSE),
IF($A79&lt;Manifold!$A$33,VLOOKUP($A79,Manifold!$A$9:$M$32,9,FALSE),
IF($A79&lt;FlexibleRepairCouplings!$A$13,VLOOKUP($A79,FlexibleRepairCouplings!$A$10:$M$12,9,FALSE),
IF($A79&lt;DuraFix!$A$15,VLOOKUP($A79,DuraFix!$A$9:$M$14,9,FALSE),
IF($A79&lt;'Compression Fittings'!$A$16,VLOOKUP($A79,'Compression Fittings'!$A$8:$M$15,9,FALSE),
IF($A79&lt;'Hose Fittings'!$A$30,VLOOKUP($A79,'Hose Fittings'!$A$8:$M$29,9,FALSE),
IF($A79&lt;'Swing Joints'!$A$496,VLOOKUP($A79,'Swing Joints'!$A$9:$M$495,9,FALSE),
IF($A79&lt;'Swing Joints Components'!$A$135,VLOOKUP($A79,'Swing Joints Components'!$A$9:$M$134,9,FALSE),
IF($A79&lt;Nonstandard!$A$42,VLOOKUP($A79,Nonstandard!$A$31:$J$41,8,FALSE),"")))))))))))))))))))))))))))),"")</f>
        <v/>
      </c>
      <c r="G79" s="416" t="str">
        <f>IFERROR(IF($A79&lt;'DWV PVC'!$A$285,VLOOKUP($A79,'DWV PVC'!$A$8:$M$284,11,FALSE),
IF($A79&lt;'DWV ABS'!$A$117,VLOOKUP($A79,'DWV ABS'!$A$8:$M$116,11,FALSE),
IF($A79&lt;'PVC SCH40'!$A$376,VLOOKUP($A79,'PVC SCH40'!$A$8:$M$375,11,FALSE),
IF($A79&lt;'PVC SCH40 LD'!$A$22,VLOOKUP($A79,'PVC SCH40 LD'!$A$8:$M$21,11,FALSE),
IF($A79&lt;'Pool &amp; SPA Sweep Elbows'!$A$12,VLOOKUP($A79,'Pool &amp; SPA Sweep Elbows'!$A$8:$M$11,11,FALSE),
IF($A79&lt;'Pool &amp; SPA Pipe Extender'!$A$11,VLOOKUP($A79,'Pool &amp; SPA Pipe Extender'!$A$8:$M$10,11,FALSE),
IF($A79&lt;'PVC SCH80'!$A$250,VLOOKUP($A79,'PVC SCH80'!$A$8:$M$249,11,FALSE),
IF($A79&lt;'PVC SCH80 Flange'!$A$49,VLOOKUP($A79,'PVC SCH80 Flange'!$A$8:$M$48,11,FALSE),
IF($A79&lt;'PVC SCH80 LD Flange'!$A$17,VLOOKUP($A79,'PVC SCH80 LD Flange'!$A$8:$M$16,11,FALSE),
IF($A79&lt;CPVC!$A$100,VLOOKUP($A79,CPVC!$A$8:$M$99,11,FALSE),
IF($A79&lt;InsertFittings!$A$237,VLOOKUP($A79,InsertFittings!$A$11:$M$236,11,FALSE),
IF($A79&lt;Valves!$A$132,VLOOKUP($A79,Valves!$A$8:$M$131,11,FALSE),
IF($A79&lt;SDR35SW!$A$124,VLOOKUP($A79,SDR35SW!$A$8:$M$123,11,FALSE),
IF($A79&lt;SDR35G!$A$143,VLOOKUP($A79, SDR35G!$A$8:$M$142,11,FALSE),
IF($A79&lt;SDR26G!$A$61,VLOOKUP($A79,SDR26G!$A$8:$N$60,12,FALSE),
IF($A79&lt;Cements!$A$100,VLOOKUP($A79,Cements!$A$8:$Q$99,15,FALSE),
IF($A79&lt;ValveBox!$A$143,VLOOKUP($A79,ValveBox!$A$10:$O$142,13,FALSE),
IF($A79&lt;'ValveBox Components'!$A$165,VLOOKUP($A79,'ValveBox Components'!$A$10:$O$164,13,FALSE),
IF($A79&lt;Drainage!$A$92,VLOOKUP($A79,Drainage!$A$8:$M$91,11,FALSE),
IF($A79&lt;Nipples!$A$82,VLOOKUP($A79,Nipples!$A$9:$Q$81,15,FALSE),
IF($A79&lt;Manifold!$A$33,VLOOKUP($A79,Manifold!$A$9:$M$32,11,FALSE),
IF($A79&lt;FlexibleRepairCouplings!$A$13,VLOOKUP($A79,FlexibleRepairCouplings!$A$10:$M$12,11,FALSE),
IF($A79&lt;DuraFix!$A$15,VLOOKUP($A79,DuraFix!$A$9:$M$14,11,FALSE),
IF($A79&lt;'Compression Fittings'!$A$16,VLOOKUP($A79,'Compression Fittings'!$A$8:$M$15,11,FALSE),
IF($A79&lt;'Hose Fittings'!$A$30,VLOOKUP($A79,'Hose Fittings'!$A$8:$M$29,11,FALSE),
IF($A79&lt;'Swing Joints'!$A$496,VLOOKUP($A79,'Swing Joints'!$A$9:$M$495,11,FALSE),
IF($A79&lt;'Swing Joints Components'!$A$135,VLOOKUP($A79,'Swing Joints Components'!$A$9:$M$134,11,FALSE),
IF($A79&lt;Nonstandard!$A$42,VLOOKUP($A79,Nonstandard!$A$31:$J$41,3,FALSE),"")))))))))))))))))))))))))))),"")</f>
        <v/>
      </c>
      <c r="H79" s="586" t="str">
        <f>IFERROR(IF($A79&lt;'DWV PVC'!$A$285,VLOOKUP($A79,'DWV PVC'!$A$8:$M$284,7,FALSE),
IF($A79&lt;'DWV ABS'!$A$117,VLOOKUP($A79,'DWV ABS'!$A$8:$M$116,7,FALSE),
IF($A79&lt;'PVC SCH40'!$A$376,VLOOKUP($A79,'PVC SCH40'!$A$8:$M$375,7,FALSE),
IF($A79&lt;'PVC SCH40 LD'!$A$22,VLOOKUP($A79,'PVC SCH40 LD'!$A$8:$M$21,7,FALSE),
IF($A79&lt;'Pool &amp; SPA Sweep Elbows'!$A$12,VLOOKUP($A79,'Pool &amp; SPA Sweep Elbows'!$A$8:$M$11,7,FALSE),
IF($A79&lt;'Pool &amp; SPA Pipe Extender'!$A$11,VLOOKUP($A79,'Pool &amp; SPA Pipe Extender'!$A$8:$M$10,7,FALSE),
IF($A79&lt;'PVC SCH80'!$A$250,VLOOKUP($A79,'PVC SCH80'!$A$8:$M$249,7,FALSE),
IF($A79&lt;'PVC SCH80 Flange'!$A$49,VLOOKUP($A79,'PVC SCH80 Flange'!$A$8:$M$48,7,FALSE),
IF($A79&lt;'PVC SCH80 LD Flange'!$A$17,VLOOKUP($A79,'PVC SCH80 LD Flange'!$A$8:$M$16,7,FALSE),
IF($A79&lt;CPVC!$A$100,VLOOKUP($A79,CPVC!$A$8:$M$99,7,FALSE),
IF($A79&lt;InsertFittings!$A$237,VLOOKUP($A79,InsertFittings!$A$11:$M$236,7,FALSE),
IF($A79&lt;Valves!$A$132,VLOOKUP($A79,Valves!$A$8:$M$131,7,FALSE),
IF($A79&lt;SDR35SW!$A$124,VLOOKUP($A79,SDR35SW!$A$8:$M$123,7,FALSE),
IF($A79&lt;SDR35G!$A$143,VLOOKUP($A79, SDR35G!$A$8:$M$142,7,FALSE),
IF($A79&lt;SDR26G!$A$61,VLOOKUP($A79,SDR26G!$A$8:$N$60,10,FALSE),
IF($A79&lt;Cements!$A$100,VLOOKUP($A79,Cements!$A$8:$Q$99,13,FALSE),
IF($A79&lt;ValveBox!$A$143,VLOOKUP($A79,ValveBox!$A$10:$O$142,11,FALSE),
IF($A79&lt;'ValveBox Components'!$A$165,VLOOKUP($A79,'ValveBox Components'!$A$10:$O$164,11,FALSE),
IF($A79&lt;Drainage!$A$92,VLOOKUP($A79,Drainage!$A$8:$M$91,7,FALSE),
IF($A79&lt;Nipples!$A$82,VLOOKUP($A79,Nipples!$A$9:$Q$81,13,FALSE),
IF($A79&lt;Manifold!$A$33,VLOOKUP($A79,Manifold!$A$9:$M$32,7,FALSE),
IF($A79&lt;FlexibleRepairCouplings!$A$13,VLOOKUP($A79,FlexibleRepairCouplings!$A$10:$M$12,7,FALSE),
IF($A79&lt;DuraFix!$A$15,VLOOKUP($A79,DuraFix!$A$9:$M$14,7,FALSE),
IF($A79&lt;'Compression Fittings'!$A$16,VLOOKUP($A79,'Compression Fittings'!$A$8:$M$15,7,FALSE),
IF($A79&lt;'Hose Fittings'!$A$30,VLOOKUP($A79,'Hose Fittings'!$A$8:$M$29,7,FALSE),
IF($A79&lt;'Swing Joints'!$A$496,VLOOKUP($A79,'Swing Joints'!$A$9:$M$495,7,FALSE),
IF($A79&lt;'Swing Joints Components'!$A$135,VLOOKUP($A79,'Swing Joints Components'!$A$9:$M$134,7,FALSE),
IF($A79&lt;Nonstandard!$A$42,VLOOKUP($A79,Nonstandard!$A$31:$J$41,3,FALSE),"")))))))))))))))))))))))))))),"")</f>
        <v/>
      </c>
      <c r="I79" s="587"/>
      <c r="J79" s="383" t="str">
        <f t="shared" si="1"/>
        <v/>
      </c>
      <c r="K79" s="417" t="str">
        <f>IFERROR(IF($A79&lt;'DWV PVC'!$A$285,VLOOKUP($A79,'DWV PVC'!$A$8:$M$284,10,FALSE),
IF($A79&lt;'DWV ABS'!$A$117,VLOOKUP($A79,'DWV ABS'!$A$8:$M$116,10,FALSE),
IF($A79&lt;'PVC SCH40'!$A$376,VLOOKUP($A79,'PVC SCH40'!$A$8:$M$375,10,FALSE),
IF($A79&lt;'PVC SCH40 LD'!$A$22,VLOOKUP($A79,'PVC SCH40 LD'!$A$8:$M$21,10,FALSE),
IF($A79&lt;'Pool &amp; SPA Sweep Elbows'!$A$12,VLOOKUP($A79,'Pool &amp; SPA Sweep Elbows'!$A$8:$M$11,10,FALSE),
IF($A79&lt;'Pool &amp; SPA Pipe Extender'!$A$11,VLOOKUP($A79,'Pool &amp; SPA Pipe Extender'!$A$8:$M$10,10,FALSE),
IF($A79&lt;'PVC SCH80'!$A$250,VLOOKUP($A79,'PVC SCH80'!$A$8:$M$249,10,FALSE),
IF($A79&lt;'PVC SCH80 Flange'!$A$49,VLOOKUP($A79,'PVC SCH80 Flange'!$A$8:$M$48,10,FALSE),
IF($A79&lt;'PVC SCH80 LD Flange'!$A$17,VLOOKUP($A79,'PVC SCH80 LD Flange'!$A$8:$M$16,10,FALSE),
IF($A79&lt;CPVC!$A$100,VLOOKUP($A79,CPVC!$A$8:$M$99,10,FALSE),
IF($A79&lt;InsertFittings!$A$237,VLOOKUP($A79,InsertFittings!$A$11:$M$236,10,FALSE),
IF($A79&lt;Valves!$A$132,VLOOKUP($A79,Valves!$A$8:$M$131,10,FALSE),
IF($A79&lt;SDR35SW!$A$124,VLOOKUP($A79,SDR35SW!$A$8:$M$123,10,FALSE),
IF($A79&lt;SDR35G!$A$143,VLOOKUP($A79, SDR35G!$A$8:$M$142,10,FALSE),
IF($A79&lt;SDR26G!$A$61,VLOOKUP($A79,SDR26G!$A$8:$N$60,11,FALSE),
IF($A79&lt;Cements!$A$100,VLOOKUP($A79,Cements!$A$8:$Q$99,14,FALSE),
IF($A79&lt;ValveBox!$A$143,VLOOKUP($A79,ValveBox!$A$10:$O$142,12,FALSE),
IF($A79&lt;'ValveBox Components'!$A$165,VLOOKUP($A79,'ValveBox Components'!$A$10:$O$164,12,FALSE),
IF($A79&lt;Drainage!$A$92,VLOOKUP($A79,Drainage!$A$8:$M$91,10,FALSE),
IF($A79&lt;Nipples!$A$82,VLOOKUP($A79,Nipples!$A$9:$Q$81,14,FALSE),
IF($A79&lt;Manifold!$A$33,VLOOKUP($A79,Manifold!$A$9:$M$32,10,FALSE),
IF($A79&lt;FlexibleRepairCouplings!$A$13,VLOOKUP($A79,FlexibleRepairCouplings!$A$10:$M$12,10,FALSE),
IF($A79&lt;DuraFix!$A$15,VLOOKUP($A79,DuraFix!$A$9:$M$14,10,FALSE),
IF($A79&lt;'Compression Fittings'!$A$16,VLOOKUP($A79,'Compression Fittings'!$A$8:$M$15,10,FALSE),
IF($A79&lt;'Hose Fittings'!$A$30,VLOOKUP($A79,'Hose Fittings'!$A$8:$M$29,10,FALSE),
IF($A79&lt;'Swing Joints'!$A$496,VLOOKUP($A79,'Swing Joints'!$A$9:$M$495,10,FALSE),
IF($A79&lt;'Swing Joints Components'!$A$135,VLOOKUP($A79,'Swing Joints Components'!$A$9:$M$134,10,FALSE),
IF($A79&lt;Nonstandard!$A$42,VLOOKUP($A79,Nonstandard!$A$31:$J$41,10,FALSE),"")))))))))))))))))))))))))))),"")</f>
        <v/>
      </c>
      <c r="L79" s="418" t="str">
        <f t="shared" si="0"/>
        <v>-</v>
      </c>
      <c r="M79" s="419"/>
    </row>
    <row r="80" spans="1:13" ht="15.75">
      <c r="A80" s="420">
        <v>48</v>
      </c>
      <c r="B80" s="420" t="str">
        <f>IFERROR(IF($A80&lt;'DWV PVC'!$A$285,VLOOKUP($A80,'DWV PVC'!$A$8:$M$284,4,FALSE),
IF($A80&lt;'DWV ABS'!$A$117,VLOOKUP($A80,'DWV ABS'!$A$8:$M$116,4,FALSE),
IF($A80&lt;'PVC SCH40'!$A$376,VLOOKUP($A80,'PVC SCH40'!$A$8:$M$375,4,FALSE),
IF($A80&lt;'PVC SCH40 LD'!$A$22,VLOOKUP($A80,'PVC SCH40 LD'!$A$8:$M$21,4,FALSE),
IF($A80&lt;'Pool &amp; SPA Sweep Elbows'!$A$12,VLOOKUP($A80,'Pool &amp; SPA Sweep Elbows'!$A$8:$M$11,4,FALSE),
IF($A80&lt;'Pool &amp; SPA Pipe Extender'!$A$11,VLOOKUP($A80,'Pool &amp; SPA Pipe Extender'!$A$8:$M$10,4,FALSE),
IF($A80&lt;'PVC SCH80'!$A$250,VLOOKUP($A80,'PVC SCH80'!$A$8:$M$249,4,FALSE),
IF($A80&lt;'PVC SCH80 Flange'!$A$49,VLOOKUP($A80,'PVC SCH80 Flange'!$A$8:$M$48,4,FALSE),
IF($A80&lt;'PVC SCH80 LD Flange'!$A$17,VLOOKUP($A80,'PVC SCH80 LD Flange'!$A$8:$M$16,4,FALSE),
IF($A80&lt;CPVC!$A$100,VLOOKUP($A80,CPVC!$A$8:$M$99,4,FALSE),
IF($A80&lt;InsertFittings!$A$237,VLOOKUP($A80,InsertFittings!$A$11:$M$236,4,FALSE),
IF($A80&lt;Valves!$A$132,VLOOKUP($A80,Valves!$A$8:$M$131,4,FALSE),
IF($A80&lt;SDR35SW!$A$124,VLOOKUP($A80,SDR35SW!$A$8:$M$123,4,FALSE),
IF($A80&lt;SDR35G!$A$143,VLOOKUP($A80, SDR35G!$A$8:$M$142,4,FALSE),
IF($A80&lt;SDR26G!$A$61,VLOOKUP($A80,SDR26G!$A$8:$N$60,4,FALSE),
IF($A80&lt;Cements!$A$100,VLOOKUP($A80,Cements!$A$8:$Q$99,4,FALSE),
IF($A80&lt;ValveBox!$A$143,VLOOKUP($A80,ValveBox!$A$10:$O$142,4,FALSE),
IF($A80&lt;'ValveBox Components'!$A$165,VLOOKUP($A80,'ValveBox Components'!$A$10:$O$164,4,FALSE),
IF($A80&lt;Drainage!$A$92,VLOOKUP($A80,Drainage!$A$8:$M$91,4,FALSE),
IF($A80&lt;Nipples!$A$82,VLOOKUP($A80,Nipples!$A$9:$Q$81,4,FALSE),
IF($A80&lt;Manifold!$A$33,VLOOKUP($A80,Manifold!$A$9:$M$32,4,FALSE),
IF($A80&lt;FlexibleRepairCouplings!$A$13,VLOOKUP($A80,FlexibleRepairCouplings!$A$10:$M$12,4,FALSE),
IF($A80&lt;DuraFix!$A$15,VLOOKUP($A80,DuraFix!$A$9:$M$14,4,FALSE),
IF($A80&lt;'Compression Fittings'!$A$16,VLOOKUP($A80,'Compression Fittings'!$A$8:$M$15,4,FALSE),
IF($A80&lt;'Hose Fittings'!$A$30,VLOOKUP($A80,'Hose Fittings'!$A$8:$M$29,4,FALSE),
IF($A80&lt;'Swing Joints'!$A$496,VLOOKUP($A80,'Swing Joints'!$A$9:$M$495,4,FALSE),
IF($A80&lt;'Swing Joints Components'!$A$135,VLOOKUP($A80,'Swing Joints Components'!$A$9:$M$134,4,FALSE),
IF($A80&lt;Nonstandard!$A$42,VLOOKUP($A80,Nonstandard!$A$31:$J$41,5,FALSE),"")))))))))))))))))))))))))))),"")</f>
        <v/>
      </c>
      <c r="C80" s="420" t="str">
        <f>IFERROR(IF($A80&lt;'DWV PVC'!$A$285,VLOOKUP($A80,'DWV PVC'!$A$8:$M$284,5,FALSE),
IF($A80&lt;'DWV ABS'!$A$117,VLOOKUP($A80,'DWV ABS'!$A$8:$M$116,5,FALSE),
IF($A80&lt;'PVC SCH40'!$A$376,VLOOKUP($A80,'PVC SCH40'!$A$8:$M$375,5,FALSE),
IF($A80&lt;'PVC SCH40 LD'!$A$22,VLOOKUP($A80,'PVC SCH40 LD'!$A$8:$M$21,5,FALSE),
IF($A80&lt;'Pool &amp; SPA Sweep Elbows'!$A$12,VLOOKUP($A80,'Pool &amp; SPA Sweep Elbows'!$A$8:$M$11,5,FALSE),
IF($A80&lt;'Pool &amp; SPA Pipe Extender'!$A$11,VLOOKUP($A80,'Pool &amp; SPA Pipe Extender'!$A$8:$M$10,5,FALSE),
IF($A80&lt;'PVC SCH80'!$A$250,VLOOKUP($A80,'PVC SCH80'!$A$8:$M$249,5,FALSE),
IF($A80&lt;'PVC SCH80 Flange'!$A$49,VLOOKUP($A80,'PVC SCH80 Flange'!$A$8:$M$48,5,FALSE),
IF($A80&lt;'PVC SCH80 LD Flange'!$A$17,VLOOKUP($A80,'PVC SCH80 LD Flange'!$A$8:$M$16,5,FALSE),
IF($A80&lt;CPVC!$A$100,VLOOKUP($A80,CPVC!$A$8:$M$99,5,FALSE),
IF($A80&lt;InsertFittings!$A$237,VLOOKUP($A80,InsertFittings!$A$11:$M$236,5,FALSE),
IF($A80&lt;Valves!$A$132,VLOOKUP($A80,Valves!$A$8:$M$131,5,FALSE),
IF($A80&lt;SDR35SW!$A$124,VLOOKUP($A80,SDR35SW!$A$8:$M$123,5,FALSE),
IF($A80&lt;SDR35G!$A$143,VLOOKUP($A80, SDR35G!$A$8:$M$142,5,FALSE),
IF($A80&lt;SDR26G!$A$61,VLOOKUP($A80,SDR26G!$A$8:$N$60,5,FALSE),
IF($A80&lt;Cements!$A$100,VLOOKUP($A80,Cements!$A$8:$Q$99,5,FALSE),
IF($A80&lt;ValveBox!$A$143,VLOOKUP($A80,ValveBox!$A$10:$O$142,5,FALSE),
IF($A80&lt;'ValveBox Components'!$A$165,VLOOKUP($A80,'ValveBox Components'!$A$10:$O$164,5,FALSE),
IF($A80&lt;Drainage!$A$92,VLOOKUP($A80,Drainage!$A$8:$M$91,5,FALSE),
IF($A80&lt;Nipples!$A$82,VLOOKUP($A80,Nipples!$A$9:$Q$81,5,FALSE),
IF($A80&lt;Manifold!$A$33,VLOOKUP($A80,Manifold!$A$9:$M$32,5,FALSE),
IF($A80&lt;FlexibleRepairCouplings!$A$13,VLOOKUP($A80,FlexibleRepairCouplings!$A$10:$M$12,5,FALSE),
IF($A80&lt;DuraFix!$A$15,VLOOKUP($A80,DuraFix!$A$9:$M$14,5,FALSE),
IF($A80&lt;'Compression Fittings'!$A$16,VLOOKUP($A80,'Compression Fittings'!$A$8:$M$15,5,FALSE),
IF($A80&lt;'Hose Fittings'!$A$30,VLOOKUP($A80,'Hose Fittings'!$A$8:$M$29,5,FALSE),
IF($A80&lt;'Swing Joints'!$A$496,VLOOKUP($A80,'Swing Joints'!$A$9:$M$495,5,FALSE),
IF($A80&lt;'Swing Joints Components'!$A$135,VLOOKUP($A80,'Swing Joints Components'!$A$9:$M$134,5,FALSE),
IF($A80&lt;Nonstandard!$A$42,VLOOKUP($A80,Nonstandard!$A$31:$J$41,6,FALSE),"")))))))))))))))))))))))))))),"")</f>
        <v/>
      </c>
      <c r="D80" s="428" t="str">
        <f>IFERROR(IF($A80&lt;'DWV PVC'!$A$285,VLOOKUP($A80,'DWV PVC'!$A$8:$M$284,6,FALSE),
IF($A80&lt;'DWV ABS'!$A$117,VLOOKUP($A80,'DWV ABS'!$A$8:$M$116,6,FALSE),
IF($A80&lt;'PVC SCH40'!$A$376,VLOOKUP($A80,'PVC SCH40'!$A$8:$M$375,6,FALSE),
IF($A80&lt;'PVC SCH40 LD'!$A$22,VLOOKUP($A80,'PVC SCH40 LD'!$A$8:$M$21,6,FALSE),
IF($A80&lt;'Pool &amp; SPA Sweep Elbows'!$A$12,VLOOKUP($A80,'Pool &amp; SPA Sweep Elbows'!$A$8:$M$11,6,FALSE),
IF($A80&lt;'Pool &amp; SPA Pipe Extender'!$A$11,VLOOKUP($A80,'Pool &amp; SPA Pipe Extender'!$A$8:$M$10,6,FALSE),
IF($A80&lt;'PVC SCH80'!$A$250,VLOOKUP($A80,'PVC SCH80'!$A$8:$M$249,6,FALSE),
IF($A80&lt;'PVC SCH80 Flange'!$A$49,VLOOKUP($A80,'PVC SCH80 Flange'!$A$8:$M$48,6,FALSE),
IF($A80&lt;'PVC SCH80 LD Flange'!$A$17,VLOOKUP($A80,'PVC SCH80 LD Flange'!$A$8:$M$16,6,FALSE),
IF($A80&lt;CPVC!$A$100,VLOOKUP($A80,CPVC!$A$8:$M$99,6,FALSE),
IF($A80&lt;InsertFittings!$A$237,VLOOKUP($A80,InsertFittings!$A$11:$M$236,6,FALSE),
IF($A80&lt;Valves!$A$132,VLOOKUP($A80,Valves!$A$8:$M$131,6,FALSE),
IF($A80&lt;SDR35SW!$A$124,VLOOKUP($A80,SDR35SW!$A$8:$M$123,6,FALSE),
IF($A80&lt;SDR35G!$A$143,VLOOKUP($A80, SDR35G!$A$8:$M$142,6,FALSE),
IF($A80&lt;SDR26G!$A$61,VLOOKUP($A80,SDR26G!$A$8:$N$60,6,FALSE),
IF($A80&lt;Cements!$A$100,VLOOKUP($A80,Cements!$A$8:$Q$99,6,FALSE),
IF($A80&lt;ValveBox!$A$143,VLOOKUP($A80,ValveBox!$A$10:$O$142,6,FALSE),
IF($A80&lt;'ValveBox Components'!$A$165,VLOOKUP($A80,'ValveBox Components'!$A$10:$O$164,6,FALSE),
IF($A80&lt;Drainage!$A$92,VLOOKUP($A80,Drainage!$A$8:$M$91,6,FALSE),
IF($A80&lt;Nipples!$A$82,VLOOKUP($A80,Nipples!$A$9:$Q$81,6,FALSE),
IF($A80&lt;Manifold!$A$33,VLOOKUP($A80,Manifold!$A$9:$M$32,6,FALSE),
IF($A80&lt;FlexibleRepairCouplings!$A$13,VLOOKUP($A80,FlexibleRepairCouplings!$A$10:$M$12,6,FALSE),
IF($A80&lt;DuraFix!$A$15,VLOOKUP($A80,DuraFix!$A$9:$M$14,6,FALSE),
IF($A80&lt;'Compression Fittings'!$A$16,VLOOKUP($A80,'Compression Fittings'!$A$8:$M$15,6,FALSE),
IF($A80&lt;'Hose Fittings'!$A$30,VLOOKUP($A80,'Hose Fittings'!$A$8:$M$29,6,FALSE),
IF($A80&lt;'Swing Joints'!$A$496,VLOOKUP($A80,'Swing Joints'!$A$9:$M$495,6,FALSE),
IF($A80&lt;'Swing Joints Components'!$A$135,VLOOKUP($A80,'Swing Joints Components'!$A$9:$M$134,6,FALSE),
IF($A80&lt;Nonstandard!$A$42,VLOOKUP($A80,Nonstandard!$A$31:$J$41,7,FALSE),"")))))))))))))))))))))))))))),"")</f>
        <v/>
      </c>
      <c r="E80" s="429"/>
      <c r="F80" s="421" t="str">
        <f>IFERROR(IF($A80&lt;'DWV PVC'!$A$285,VLOOKUP($A80,'DWV PVC'!$A$8:$M$284,9,FALSE),
IF($A80&lt;'DWV ABS'!$A$117,VLOOKUP($A80,'DWV ABS'!$A$8:$M$116,9,FALSE),
IF($A80&lt;'PVC SCH40'!$A$376,VLOOKUP($A80,'PVC SCH40'!$A$8:$M$375,9,FALSE),
IF($A80&lt;'PVC SCH40 LD'!$A$22,VLOOKUP($A80,'PVC SCH40 LD'!$A$8:$M$21,9,FALSE),
IF($A80&lt;'Pool &amp; SPA Sweep Elbows'!$A$12,VLOOKUP($A80,'Pool &amp; SPA Sweep Elbows'!$A$8:$M$11,9,FALSE),
IF($A80&lt;'Pool &amp; SPA Pipe Extender'!$A$11,VLOOKUP($A80,'Pool &amp; SPA Pipe Extender'!$A$8:$M$10,9,FALSE),
IF($A80&lt;'PVC SCH80'!$A$250,VLOOKUP($A80,'PVC SCH80'!$A$8:$M$249,9,FALSE),
IF($A80&lt;'PVC SCH80 Flange'!$A$49,VLOOKUP($A80,'PVC SCH80 Flange'!$A$8:$M$48,9,FALSE),
IF($A80&lt;'PVC SCH80 LD Flange'!$A$17,VLOOKUP($A80,'PVC SCH80 LD Flange'!$A$8:$M$16,9,FALSE),
IF($A80&lt;CPVC!$A$100,VLOOKUP($A80,CPVC!$A$8:$M$99,9,FALSE),
IF($A80&lt;InsertFittings!$A$237,VLOOKUP($A80,InsertFittings!$A$11:$M$236,9,FALSE),
IF($A80&lt;Valves!$A$132,VLOOKUP($A80,Valves!$A$8:$M$131,9,FALSE),
IF($A80&lt;SDR35SW!$A$124,VLOOKUP($A80,SDR35SW!$A$8:$M$123,9,FALSE),
IF($A80&lt;SDR35G!$A$143,VLOOKUP($A80, SDR35G!$A$8:$M$142,9,FALSE),
IF($A80&lt;SDR26G!$A$61,VLOOKUP($A80,SDR26G!$A$8:$N$60,10,FALSE),
IF($A80&lt;Cements!$A$100,VLOOKUP($A80,Cements!$A$8:$Q$99,13,FALSE),
IF($A80&lt;ValveBox!$A$143,VLOOKUP($A80,ValveBox!$A$10:$O$142,11,FALSE),
IF($A80&lt;'ValveBox Components'!$A$165,VLOOKUP($A80,'ValveBox Components'!$A$10:$O$164,11,FALSE),
IF($A80&lt;Drainage!$A$92,VLOOKUP($A80,Drainage!$A$8:$M$91,9,FALSE),
IF($A80&lt;Nipples!$A$82,VLOOKUP($A80,Nipples!$A$9:$Q$81,13,FALSE),
IF($A80&lt;Manifold!$A$33,VLOOKUP($A80,Manifold!$A$9:$M$32,9,FALSE),
IF($A80&lt;FlexibleRepairCouplings!$A$13,VLOOKUP($A80,FlexibleRepairCouplings!$A$10:$M$12,9,FALSE),
IF($A80&lt;DuraFix!$A$15,VLOOKUP($A80,DuraFix!$A$9:$M$14,9,FALSE),
IF($A80&lt;'Compression Fittings'!$A$16,VLOOKUP($A80,'Compression Fittings'!$A$8:$M$15,9,FALSE),
IF($A80&lt;'Hose Fittings'!$A$30,VLOOKUP($A80,'Hose Fittings'!$A$8:$M$29,9,FALSE),
IF($A80&lt;'Swing Joints'!$A$496,VLOOKUP($A80,'Swing Joints'!$A$9:$M$495,9,FALSE),
IF($A80&lt;'Swing Joints Components'!$A$135,VLOOKUP($A80,'Swing Joints Components'!$A$9:$M$134,9,FALSE),
IF($A80&lt;Nonstandard!$A$42,VLOOKUP($A80,Nonstandard!$A$31:$J$41,8,FALSE),"")))))))))))))))))))))))))))),"")</f>
        <v/>
      </c>
      <c r="G80" s="422" t="str">
        <f>IFERROR(IF($A80&lt;'DWV PVC'!$A$285,VLOOKUP($A80,'DWV PVC'!$A$8:$M$284,11,FALSE),
IF($A80&lt;'DWV ABS'!$A$117,VLOOKUP($A80,'DWV ABS'!$A$8:$M$116,11,FALSE),
IF($A80&lt;'PVC SCH40'!$A$376,VLOOKUP($A80,'PVC SCH40'!$A$8:$M$375,11,FALSE),
IF($A80&lt;'PVC SCH40 LD'!$A$22,VLOOKUP($A80,'PVC SCH40 LD'!$A$8:$M$21,11,FALSE),
IF($A80&lt;'Pool &amp; SPA Sweep Elbows'!$A$12,VLOOKUP($A80,'Pool &amp; SPA Sweep Elbows'!$A$8:$M$11,11,FALSE),
IF($A80&lt;'Pool &amp; SPA Pipe Extender'!$A$11,VLOOKUP($A80,'Pool &amp; SPA Pipe Extender'!$A$8:$M$10,11,FALSE),
IF($A80&lt;'PVC SCH80'!$A$250,VLOOKUP($A80,'PVC SCH80'!$A$8:$M$249,11,FALSE),
IF($A80&lt;'PVC SCH80 Flange'!$A$49,VLOOKUP($A80,'PVC SCH80 Flange'!$A$8:$M$48,11,FALSE),
IF($A80&lt;'PVC SCH80 LD Flange'!$A$17,VLOOKUP($A80,'PVC SCH80 LD Flange'!$A$8:$M$16,11,FALSE),
IF($A80&lt;CPVC!$A$100,VLOOKUP($A80,CPVC!$A$8:$M$99,11,FALSE),
IF($A80&lt;InsertFittings!$A$237,VLOOKUP($A80,InsertFittings!$A$11:$M$236,11,FALSE),
IF($A80&lt;Valves!$A$132,VLOOKUP($A80,Valves!$A$8:$M$131,11,FALSE),
IF($A80&lt;SDR35SW!$A$124,VLOOKUP($A80,SDR35SW!$A$8:$M$123,11,FALSE),
IF($A80&lt;SDR35G!$A$143,VLOOKUP($A80, SDR35G!$A$8:$M$142,11,FALSE),
IF($A80&lt;SDR26G!$A$61,VLOOKUP($A80,SDR26G!$A$8:$N$60,12,FALSE),
IF($A80&lt;Cements!$A$100,VLOOKUP($A80,Cements!$A$8:$Q$99,15,FALSE),
IF($A80&lt;ValveBox!$A$143,VLOOKUP($A80,ValveBox!$A$10:$O$142,13,FALSE),
IF($A80&lt;'ValveBox Components'!$A$165,VLOOKUP($A80,'ValveBox Components'!$A$10:$O$164,13,FALSE),
IF($A80&lt;Drainage!$A$92,VLOOKUP($A80,Drainage!$A$8:$M$91,11,FALSE),
IF($A80&lt;Nipples!$A$82,VLOOKUP($A80,Nipples!$A$9:$Q$81,15,FALSE),
IF($A80&lt;Manifold!$A$33,VLOOKUP($A80,Manifold!$A$9:$M$32,11,FALSE),
IF($A80&lt;FlexibleRepairCouplings!$A$13,VLOOKUP($A80,FlexibleRepairCouplings!$A$10:$M$12,11,FALSE),
IF($A80&lt;DuraFix!$A$15,VLOOKUP($A80,DuraFix!$A$9:$M$14,11,FALSE),
IF($A80&lt;'Compression Fittings'!$A$16,VLOOKUP($A80,'Compression Fittings'!$A$8:$M$15,11,FALSE),
IF($A80&lt;'Hose Fittings'!$A$30,VLOOKUP($A80,'Hose Fittings'!$A$8:$M$29,11,FALSE),
IF($A80&lt;'Swing Joints'!$A$496,VLOOKUP($A80,'Swing Joints'!$A$9:$M$495,11,FALSE),
IF($A80&lt;'Swing Joints Components'!$A$135,VLOOKUP($A80,'Swing Joints Components'!$A$9:$M$134,11,FALSE),
IF($A80&lt;Nonstandard!$A$42,VLOOKUP($A80,Nonstandard!$A$31:$J$41,3,FALSE),"")))))))))))))))))))))))))))),"")</f>
        <v/>
      </c>
      <c r="H80" s="588" t="str">
        <f>IFERROR(IF($A80&lt;'DWV PVC'!$A$285,VLOOKUP($A80,'DWV PVC'!$A$8:$M$284,7,FALSE),
IF($A80&lt;'DWV ABS'!$A$117,VLOOKUP($A80,'DWV ABS'!$A$8:$M$116,7,FALSE),
IF($A80&lt;'PVC SCH40'!$A$376,VLOOKUP($A80,'PVC SCH40'!$A$8:$M$375,7,FALSE),
IF($A80&lt;'PVC SCH40 LD'!$A$22,VLOOKUP($A80,'PVC SCH40 LD'!$A$8:$M$21,7,FALSE),
IF($A80&lt;'Pool &amp; SPA Sweep Elbows'!$A$12,VLOOKUP($A80,'Pool &amp; SPA Sweep Elbows'!$A$8:$M$11,7,FALSE),
IF($A80&lt;'Pool &amp; SPA Pipe Extender'!$A$11,VLOOKUP($A80,'Pool &amp; SPA Pipe Extender'!$A$8:$M$10,7,FALSE),
IF($A80&lt;'PVC SCH80'!$A$250,VLOOKUP($A80,'PVC SCH80'!$A$8:$M$249,7,FALSE),
IF($A80&lt;'PVC SCH80 Flange'!$A$49,VLOOKUP($A80,'PVC SCH80 Flange'!$A$8:$M$48,7,FALSE),
IF($A80&lt;'PVC SCH80 LD Flange'!$A$17,VLOOKUP($A80,'PVC SCH80 LD Flange'!$A$8:$M$16,7,FALSE),
IF($A80&lt;CPVC!$A$100,VLOOKUP($A80,CPVC!$A$8:$M$99,7,FALSE),
IF($A80&lt;InsertFittings!$A$237,VLOOKUP($A80,InsertFittings!$A$11:$M$236,7,FALSE),
IF($A80&lt;Valves!$A$132,VLOOKUP($A80,Valves!$A$8:$M$131,7,FALSE),
IF($A80&lt;SDR35SW!$A$124,VLOOKUP($A80,SDR35SW!$A$8:$M$123,7,FALSE),
IF($A80&lt;SDR35G!$A$143,VLOOKUP($A80, SDR35G!$A$8:$M$142,7,FALSE),
IF($A80&lt;SDR26G!$A$61,VLOOKUP($A80,SDR26G!$A$8:$N$60,10,FALSE),
IF($A80&lt;Cements!$A$100,VLOOKUP($A80,Cements!$A$8:$Q$99,13,FALSE),
IF($A80&lt;ValveBox!$A$143,VLOOKUP($A80,ValveBox!$A$10:$O$142,11,FALSE),
IF($A80&lt;'ValveBox Components'!$A$165,VLOOKUP($A80,'ValveBox Components'!$A$10:$O$164,11,FALSE),
IF($A80&lt;Drainage!$A$92,VLOOKUP($A80,Drainage!$A$8:$M$91,7,FALSE),
IF($A80&lt;Nipples!$A$82,VLOOKUP($A80,Nipples!$A$9:$Q$81,13,FALSE),
IF($A80&lt;Manifold!$A$33,VLOOKUP($A80,Manifold!$A$9:$M$32,7,FALSE),
IF($A80&lt;FlexibleRepairCouplings!$A$13,VLOOKUP($A80,FlexibleRepairCouplings!$A$10:$M$12,7,FALSE),
IF($A80&lt;DuraFix!$A$15,VLOOKUP($A80,DuraFix!$A$9:$M$14,7,FALSE),
IF($A80&lt;'Compression Fittings'!$A$16,VLOOKUP($A80,'Compression Fittings'!$A$8:$M$15,7,FALSE),
IF($A80&lt;'Hose Fittings'!$A$30,VLOOKUP($A80,'Hose Fittings'!$A$8:$M$29,7,FALSE),
IF($A80&lt;'Swing Joints'!$A$496,VLOOKUP($A80,'Swing Joints'!$A$9:$M$495,7,FALSE),
IF($A80&lt;'Swing Joints Components'!$A$135,VLOOKUP($A80,'Swing Joints Components'!$A$9:$M$134,7,FALSE),
IF($A80&lt;Nonstandard!$A$42,VLOOKUP($A80,Nonstandard!$A$31:$J$41,3,FALSE),"")))))))))))))))))))))))))))),"")</f>
        <v/>
      </c>
      <c r="I80" s="589"/>
      <c r="J80" s="423" t="str">
        <f t="shared" si="1"/>
        <v/>
      </c>
      <c r="K80" s="424" t="str">
        <f>IFERROR(IF($A80&lt;'DWV PVC'!$A$285,VLOOKUP($A80,'DWV PVC'!$A$8:$M$284,10,FALSE),
IF($A80&lt;'DWV ABS'!$A$117,VLOOKUP($A80,'DWV ABS'!$A$8:$M$116,10,FALSE),
IF($A80&lt;'PVC SCH40'!$A$376,VLOOKUP($A80,'PVC SCH40'!$A$8:$M$375,10,FALSE),
IF($A80&lt;'PVC SCH40 LD'!$A$22,VLOOKUP($A80,'PVC SCH40 LD'!$A$8:$M$21,10,FALSE),
IF($A80&lt;'Pool &amp; SPA Sweep Elbows'!$A$12,VLOOKUP($A80,'Pool &amp; SPA Sweep Elbows'!$A$8:$M$11,10,FALSE),
IF($A80&lt;'Pool &amp; SPA Pipe Extender'!$A$11,VLOOKUP($A80,'Pool &amp; SPA Pipe Extender'!$A$8:$M$10,10,FALSE),
IF($A80&lt;'PVC SCH80'!$A$250,VLOOKUP($A80,'PVC SCH80'!$A$8:$M$249,10,FALSE),
IF($A80&lt;'PVC SCH80 Flange'!$A$49,VLOOKUP($A80,'PVC SCH80 Flange'!$A$8:$M$48,10,FALSE),
IF($A80&lt;'PVC SCH80 LD Flange'!$A$17,VLOOKUP($A80,'PVC SCH80 LD Flange'!$A$8:$M$16,10,FALSE),
IF($A80&lt;CPVC!$A$100,VLOOKUP($A80,CPVC!$A$8:$M$99,10,FALSE),
IF($A80&lt;InsertFittings!$A$237,VLOOKUP($A80,InsertFittings!$A$11:$M$236,10,FALSE),
IF($A80&lt;Valves!$A$132,VLOOKUP($A80,Valves!$A$8:$M$131,10,FALSE),
IF($A80&lt;SDR35SW!$A$124,VLOOKUP($A80,SDR35SW!$A$8:$M$123,10,FALSE),
IF($A80&lt;SDR35G!$A$143,VLOOKUP($A80, SDR35G!$A$8:$M$142,10,FALSE),
IF($A80&lt;SDR26G!$A$61,VLOOKUP($A80,SDR26G!$A$8:$N$60,11,FALSE),
IF($A80&lt;Cements!$A$100,VLOOKUP($A80,Cements!$A$8:$Q$99,14,FALSE),
IF($A80&lt;ValveBox!$A$143,VLOOKUP($A80,ValveBox!$A$10:$O$142,12,FALSE),
IF($A80&lt;'ValveBox Components'!$A$165,VLOOKUP($A80,'ValveBox Components'!$A$10:$O$164,12,FALSE),
IF($A80&lt;Drainage!$A$92,VLOOKUP($A80,Drainage!$A$8:$M$91,10,FALSE),
IF($A80&lt;Nipples!$A$82,VLOOKUP($A80,Nipples!$A$9:$Q$81,14,FALSE),
IF($A80&lt;Manifold!$A$33,VLOOKUP($A80,Manifold!$A$9:$M$32,10,FALSE),
IF($A80&lt;FlexibleRepairCouplings!$A$13,VLOOKUP($A80,FlexibleRepairCouplings!$A$10:$M$12,10,FALSE),
IF($A80&lt;DuraFix!$A$15,VLOOKUP($A80,DuraFix!$A$9:$M$14,10,FALSE),
IF($A80&lt;'Compression Fittings'!$A$16,VLOOKUP($A80,'Compression Fittings'!$A$8:$M$15,10,FALSE),
IF($A80&lt;'Hose Fittings'!$A$30,VLOOKUP($A80,'Hose Fittings'!$A$8:$M$29,10,FALSE),
IF($A80&lt;'Swing Joints'!$A$496,VLOOKUP($A80,'Swing Joints'!$A$9:$M$495,10,FALSE),
IF($A80&lt;'Swing Joints Components'!$A$135,VLOOKUP($A80,'Swing Joints Components'!$A$9:$M$134,10,FALSE),
IF($A80&lt;Nonstandard!$A$42,VLOOKUP($A80,Nonstandard!$A$31:$J$41,10,FALSE),"")))))))))))))))))))))))))))),"")</f>
        <v/>
      </c>
      <c r="L80" s="421" t="str">
        <f t="shared" si="0"/>
        <v>-</v>
      </c>
      <c r="M80" s="425"/>
    </row>
    <row r="81" spans="1:13" ht="15.75">
      <c r="A81" s="415">
        <v>49</v>
      </c>
      <c r="B81" s="415" t="str">
        <f>IFERROR(IF($A81&lt;'DWV PVC'!$A$285,VLOOKUP($A81,'DWV PVC'!$A$8:$M$284,4,FALSE),
IF($A81&lt;'DWV ABS'!$A$117,VLOOKUP($A81,'DWV ABS'!$A$8:$M$116,4,FALSE),
IF($A81&lt;'PVC SCH40'!$A$376,VLOOKUP($A81,'PVC SCH40'!$A$8:$M$375,4,FALSE),
IF($A81&lt;'PVC SCH40 LD'!$A$22,VLOOKUP($A81,'PVC SCH40 LD'!$A$8:$M$21,4,FALSE),
IF($A81&lt;'Pool &amp; SPA Sweep Elbows'!$A$12,VLOOKUP($A81,'Pool &amp; SPA Sweep Elbows'!$A$8:$M$11,4,FALSE),
IF($A81&lt;'Pool &amp; SPA Pipe Extender'!$A$11,VLOOKUP($A81,'Pool &amp; SPA Pipe Extender'!$A$8:$M$10,4,FALSE),
IF($A81&lt;'PVC SCH80'!$A$250,VLOOKUP($A81,'PVC SCH80'!$A$8:$M$249,4,FALSE),
IF($A81&lt;'PVC SCH80 Flange'!$A$49,VLOOKUP($A81,'PVC SCH80 Flange'!$A$8:$M$48,4,FALSE),
IF($A81&lt;'PVC SCH80 LD Flange'!$A$17,VLOOKUP($A81,'PVC SCH80 LD Flange'!$A$8:$M$16,4,FALSE),
IF($A81&lt;CPVC!$A$100,VLOOKUP($A81,CPVC!$A$8:$M$99,4,FALSE),
IF($A81&lt;InsertFittings!$A$237,VLOOKUP($A81,InsertFittings!$A$11:$M$236,4,FALSE),
IF($A81&lt;Valves!$A$132,VLOOKUP($A81,Valves!$A$8:$M$131,4,FALSE),
IF($A81&lt;SDR35SW!$A$124,VLOOKUP($A81,SDR35SW!$A$8:$M$123,4,FALSE),
IF($A81&lt;SDR35G!$A$143,VLOOKUP($A81, SDR35G!$A$8:$M$142,4,FALSE),
IF($A81&lt;SDR26G!$A$61,VLOOKUP($A81,SDR26G!$A$8:$N$60,4,FALSE),
IF($A81&lt;Cements!$A$100,VLOOKUP($A81,Cements!$A$8:$Q$99,4,FALSE),
IF($A81&lt;ValveBox!$A$143,VLOOKUP($A81,ValveBox!$A$10:$O$142,4,FALSE),
IF($A81&lt;'ValveBox Components'!$A$165,VLOOKUP($A81,'ValveBox Components'!$A$10:$O$164,4,FALSE),
IF($A81&lt;Drainage!$A$92,VLOOKUP($A81,Drainage!$A$8:$M$91,4,FALSE),
IF($A81&lt;Nipples!$A$82,VLOOKUP($A81,Nipples!$A$9:$Q$81,4,FALSE),
IF($A81&lt;Manifold!$A$33,VLOOKUP($A81,Manifold!$A$9:$M$32,4,FALSE),
IF($A81&lt;FlexibleRepairCouplings!$A$13,VLOOKUP($A81,FlexibleRepairCouplings!$A$10:$M$12,4,FALSE),
IF($A81&lt;DuraFix!$A$15,VLOOKUP($A81,DuraFix!$A$9:$M$14,4,FALSE),
IF($A81&lt;'Compression Fittings'!$A$16,VLOOKUP($A81,'Compression Fittings'!$A$8:$M$15,4,FALSE),
IF($A81&lt;'Hose Fittings'!$A$30,VLOOKUP($A81,'Hose Fittings'!$A$8:$M$29,4,FALSE),
IF($A81&lt;'Swing Joints'!$A$496,VLOOKUP($A81,'Swing Joints'!$A$9:$M$495,4,FALSE),
IF($A81&lt;'Swing Joints Components'!$A$135,VLOOKUP($A81,'Swing Joints Components'!$A$9:$M$134,4,FALSE),
IF($A81&lt;Nonstandard!$A$42,VLOOKUP($A81,Nonstandard!$A$31:$J$41,5,FALSE),"")))))))))))))))))))))))))))),"")</f>
        <v/>
      </c>
      <c r="C81" s="415" t="str">
        <f>IFERROR(IF($A81&lt;'DWV PVC'!$A$285,VLOOKUP($A81,'DWV PVC'!$A$8:$M$284,5,FALSE),
IF($A81&lt;'DWV ABS'!$A$117,VLOOKUP($A81,'DWV ABS'!$A$8:$M$116,5,FALSE),
IF($A81&lt;'PVC SCH40'!$A$376,VLOOKUP($A81,'PVC SCH40'!$A$8:$M$375,5,FALSE),
IF($A81&lt;'PVC SCH40 LD'!$A$22,VLOOKUP($A81,'PVC SCH40 LD'!$A$8:$M$21,5,FALSE),
IF($A81&lt;'Pool &amp; SPA Sweep Elbows'!$A$12,VLOOKUP($A81,'Pool &amp; SPA Sweep Elbows'!$A$8:$M$11,5,FALSE),
IF($A81&lt;'Pool &amp; SPA Pipe Extender'!$A$11,VLOOKUP($A81,'Pool &amp; SPA Pipe Extender'!$A$8:$M$10,5,FALSE),
IF($A81&lt;'PVC SCH80'!$A$250,VLOOKUP($A81,'PVC SCH80'!$A$8:$M$249,5,FALSE),
IF($A81&lt;'PVC SCH80 Flange'!$A$49,VLOOKUP($A81,'PVC SCH80 Flange'!$A$8:$M$48,5,FALSE),
IF($A81&lt;'PVC SCH80 LD Flange'!$A$17,VLOOKUP($A81,'PVC SCH80 LD Flange'!$A$8:$M$16,5,FALSE),
IF($A81&lt;CPVC!$A$100,VLOOKUP($A81,CPVC!$A$8:$M$99,5,FALSE),
IF($A81&lt;InsertFittings!$A$237,VLOOKUP($A81,InsertFittings!$A$11:$M$236,5,FALSE),
IF($A81&lt;Valves!$A$132,VLOOKUP($A81,Valves!$A$8:$M$131,5,FALSE),
IF($A81&lt;SDR35SW!$A$124,VLOOKUP($A81,SDR35SW!$A$8:$M$123,5,FALSE),
IF($A81&lt;SDR35G!$A$143,VLOOKUP($A81, SDR35G!$A$8:$M$142,5,FALSE),
IF($A81&lt;SDR26G!$A$61,VLOOKUP($A81,SDR26G!$A$8:$N$60,5,FALSE),
IF($A81&lt;Cements!$A$100,VLOOKUP($A81,Cements!$A$8:$Q$99,5,FALSE),
IF($A81&lt;ValveBox!$A$143,VLOOKUP($A81,ValveBox!$A$10:$O$142,5,FALSE),
IF($A81&lt;'ValveBox Components'!$A$165,VLOOKUP($A81,'ValveBox Components'!$A$10:$O$164,5,FALSE),
IF($A81&lt;Drainage!$A$92,VLOOKUP($A81,Drainage!$A$8:$M$91,5,FALSE),
IF($A81&lt;Nipples!$A$82,VLOOKUP($A81,Nipples!$A$9:$Q$81,5,FALSE),
IF($A81&lt;Manifold!$A$33,VLOOKUP($A81,Manifold!$A$9:$M$32,5,FALSE),
IF($A81&lt;FlexibleRepairCouplings!$A$13,VLOOKUP($A81,FlexibleRepairCouplings!$A$10:$M$12,5,FALSE),
IF($A81&lt;DuraFix!$A$15,VLOOKUP($A81,DuraFix!$A$9:$M$14,5,FALSE),
IF($A81&lt;'Compression Fittings'!$A$16,VLOOKUP($A81,'Compression Fittings'!$A$8:$M$15,5,FALSE),
IF($A81&lt;'Hose Fittings'!$A$30,VLOOKUP($A81,'Hose Fittings'!$A$8:$M$29,5,FALSE),
IF($A81&lt;'Swing Joints'!$A$496,VLOOKUP($A81,'Swing Joints'!$A$9:$M$495,5,FALSE),
IF($A81&lt;'Swing Joints Components'!$A$135,VLOOKUP($A81,'Swing Joints Components'!$A$9:$M$134,5,FALSE),
IF($A81&lt;Nonstandard!$A$42,VLOOKUP($A81,Nonstandard!$A$31:$J$41,6,FALSE),"")))))))))))))))))))))))))))),"")</f>
        <v/>
      </c>
      <c r="D81" s="426" t="str">
        <f>IFERROR(IF($A81&lt;'DWV PVC'!$A$285,VLOOKUP($A81,'DWV PVC'!$A$8:$M$284,6,FALSE),
IF($A81&lt;'DWV ABS'!$A$117,VLOOKUP($A81,'DWV ABS'!$A$8:$M$116,6,FALSE),
IF($A81&lt;'PVC SCH40'!$A$376,VLOOKUP($A81,'PVC SCH40'!$A$8:$M$375,6,FALSE),
IF($A81&lt;'PVC SCH40 LD'!$A$22,VLOOKUP($A81,'PVC SCH40 LD'!$A$8:$M$21,6,FALSE),
IF($A81&lt;'Pool &amp; SPA Sweep Elbows'!$A$12,VLOOKUP($A81,'Pool &amp; SPA Sweep Elbows'!$A$8:$M$11,6,FALSE),
IF($A81&lt;'Pool &amp; SPA Pipe Extender'!$A$11,VLOOKUP($A81,'Pool &amp; SPA Pipe Extender'!$A$8:$M$10,6,FALSE),
IF($A81&lt;'PVC SCH80'!$A$250,VLOOKUP($A81,'PVC SCH80'!$A$8:$M$249,6,FALSE),
IF($A81&lt;'PVC SCH80 Flange'!$A$49,VLOOKUP($A81,'PVC SCH80 Flange'!$A$8:$M$48,6,FALSE),
IF($A81&lt;'PVC SCH80 LD Flange'!$A$17,VLOOKUP($A81,'PVC SCH80 LD Flange'!$A$8:$M$16,6,FALSE),
IF($A81&lt;CPVC!$A$100,VLOOKUP($A81,CPVC!$A$8:$M$99,6,FALSE),
IF($A81&lt;InsertFittings!$A$237,VLOOKUP($A81,InsertFittings!$A$11:$M$236,6,FALSE),
IF($A81&lt;Valves!$A$132,VLOOKUP($A81,Valves!$A$8:$M$131,6,FALSE),
IF($A81&lt;SDR35SW!$A$124,VLOOKUP($A81,SDR35SW!$A$8:$M$123,6,FALSE),
IF($A81&lt;SDR35G!$A$143,VLOOKUP($A81, SDR35G!$A$8:$M$142,6,FALSE),
IF($A81&lt;SDR26G!$A$61,VLOOKUP($A81,SDR26G!$A$8:$N$60,6,FALSE),
IF($A81&lt;Cements!$A$100,VLOOKUP($A81,Cements!$A$8:$Q$99,6,FALSE),
IF($A81&lt;ValveBox!$A$143,VLOOKUP($A81,ValveBox!$A$10:$O$142,6,FALSE),
IF($A81&lt;'ValveBox Components'!$A$165,VLOOKUP($A81,'ValveBox Components'!$A$10:$O$164,6,FALSE),
IF($A81&lt;Drainage!$A$92,VLOOKUP($A81,Drainage!$A$8:$M$91,6,FALSE),
IF($A81&lt;Nipples!$A$82,VLOOKUP($A81,Nipples!$A$9:$Q$81,6,FALSE),
IF($A81&lt;Manifold!$A$33,VLOOKUP($A81,Manifold!$A$9:$M$32,6,FALSE),
IF($A81&lt;FlexibleRepairCouplings!$A$13,VLOOKUP($A81,FlexibleRepairCouplings!$A$10:$M$12,6,FALSE),
IF($A81&lt;DuraFix!$A$15,VLOOKUP($A81,DuraFix!$A$9:$M$14,6,FALSE),
IF($A81&lt;'Compression Fittings'!$A$16,VLOOKUP($A81,'Compression Fittings'!$A$8:$M$15,6,FALSE),
IF($A81&lt;'Hose Fittings'!$A$30,VLOOKUP($A81,'Hose Fittings'!$A$8:$M$29,6,FALSE),
IF($A81&lt;'Swing Joints'!$A$496,VLOOKUP($A81,'Swing Joints'!$A$9:$M$495,6,FALSE),
IF($A81&lt;'Swing Joints Components'!$A$135,VLOOKUP($A81,'Swing Joints Components'!$A$9:$M$134,6,FALSE),
IF($A81&lt;Nonstandard!$A$42,VLOOKUP($A81,Nonstandard!$A$31:$J$41,7,FALSE),"")))))))))))))))))))))))))))),"")</f>
        <v/>
      </c>
      <c r="E81" s="427"/>
      <c r="F81" s="418" t="str">
        <f>IFERROR(IF($A81&lt;'DWV PVC'!$A$285,VLOOKUP($A81,'DWV PVC'!$A$8:$M$284,9,FALSE),
IF($A81&lt;'DWV ABS'!$A$117,VLOOKUP($A81,'DWV ABS'!$A$8:$M$116,9,FALSE),
IF($A81&lt;'PVC SCH40'!$A$376,VLOOKUP($A81,'PVC SCH40'!$A$8:$M$375,9,FALSE),
IF($A81&lt;'PVC SCH40 LD'!$A$22,VLOOKUP($A81,'PVC SCH40 LD'!$A$8:$M$21,9,FALSE),
IF($A81&lt;'Pool &amp; SPA Sweep Elbows'!$A$12,VLOOKUP($A81,'Pool &amp; SPA Sweep Elbows'!$A$8:$M$11,9,FALSE),
IF($A81&lt;'Pool &amp; SPA Pipe Extender'!$A$11,VLOOKUP($A81,'Pool &amp; SPA Pipe Extender'!$A$8:$M$10,9,FALSE),
IF($A81&lt;'PVC SCH80'!$A$250,VLOOKUP($A81,'PVC SCH80'!$A$8:$M$249,9,FALSE),
IF($A81&lt;'PVC SCH80 Flange'!$A$49,VLOOKUP($A81,'PVC SCH80 Flange'!$A$8:$M$48,9,FALSE),
IF($A81&lt;'PVC SCH80 LD Flange'!$A$17,VLOOKUP($A81,'PVC SCH80 LD Flange'!$A$8:$M$16,9,FALSE),
IF($A81&lt;CPVC!$A$100,VLOOKUP($A81,CPVC!$A$8:$M$99,9,FALSE),
IF($A81&lt;InsertFittings!$A$237,VLOOKUP($A81,InsertFittings!$A$11:$M$236,9,FALSE),
IF($A81&lt;Valves!$A$132,VLOOKUP($A81,Valves!$A$8:$M$131,9,FALSE),
IF($A81&lt;SDR35SW!$A$124,VLOOKUP($A81,SDR35SW!$A$8:$M$123,9,FALSE),
IF($A81&lt;SDR35G!$A$143,VLOOKUP($A81, SDR35G!$A$8:$M$142,9,FALSE),
IF($A81&lt;SDR26G!$A$61,VLOOKUP($A81,SDR26G!$A$8:$N$60,10,FALSE),
IF($A81&lt;Cements!$A$100,VLOOKUP($A81,Cements!$A$8:$Q$99,13,FALSE),
IF($A81&lt;ValveBox!$A$143,VLOOKUP($A81,ValveBox!$A$10:$O$142,11,FALSE),
IF($A81&lt;'ValveBox Components'!$A$165,VLOOKUP($A81,'ValveBox Components'!$A$10:$O$164,11,FALSE),
IF($A81&lt;Drainage!$A$92,VLOOKUP($A81,Drainage!$A$8:$M$91,9,FALSE),
IF($A81&lt;Nipples!$A$82,VLOOKUP($A81,Nipples!$A$9:$Q$81,13,FALSE),
IF($A81&lt;Manifold!$A$33,VLOOKUP($A81,Manifold!$A$9:$M$32,9,FALSE),
IF($A81&lt;FlexibleRepairCouplings!$A$13,VLOOKUP($A81,FlexibleRepairCouplings!$A$10:$M$12,9,FALSE),
IF($A81&lt;DuraFix!$A$15,VLOOKUP($A81,DuraFix!$A$9:$M$14,9,FALSE),
IF($A81&lt;'Compression Fittings'!$A$16,VLOOKUP($A81,'Compression Fittings'!$A$8:$M$15,9,FALSE),
IF($A81&lt;'Hose Fittings'!$A$30,VLOOKUP($A81,'Hose Fittings'!$A$8:$M$29,9,FALSE),
IF($A81&lt;'Swing Joints'!$A$496,VLOOKUP($A81,'Swing Joints'!$A$9:$M$495,9,FALSE),
IF($A81&lt;'Swing Joints Components'!$A$135,VLOOKUP($A81,'Swing Joints Components'!$A$9:$M$134,9,FALSE),
IF($A81&lt;Nonstandard!$A$42,VLOOKUP($A81,Nonstandard!$A$31:$J$41,8,FALSE),"")))))))))))))))))))))))))))),"")</f>
        <v/>
      </c>
      <c r="G81" s="416" t="str">
        <f>IFERROR(IF($A81&lt;'DWV PVC'!$A$285,VLOOKUP($A81,'DWV PVC'!$A$8:$M$284,11,FALSE),
IF($A81&lt;'DWV ABS'!$A$117,VLOOKUP($A81,'DWV ABS'!$A$8:$M$116,11,FALSE),
IF($A81&lt;'PVC SCH40'!$A$376,VLOOKUP($A81,'PVC SCH40'!$A$8:$M$375,11,FALSE),
IF($A81&lt;'PVC SCH40 LD'!$A$22,VLOOKUP($A81,'PVC SCH40 LD'!$A$8:$M$21,11,FALSE),
IF($A81&lt;'Pool &amp; SPA Sweep Elbows'!$A$12,VLOOKUP($A81,'Pool &amp; SPA Sweep Elbows'!$A$8:$M$11,11,FALSE),
IF($A81&lt;'Pool &amp; SPA Pipe Extender'!$A$11,VLOOKUP($A81,'Pool &amp; SPA Pipe Extender'!$A$8:$M$10,11,FALSE),
IF($A81&lt;'PVC SCH80'!$A$250,VLOOKUP($A81,'PVC SCH80'!$A$8:$M$249,11,FALSE),
IF($A81&lt;'PVC SCH80 Flange'!$A$49,VLOOKUP($A81,'PVC SCH80 Flange'!$A$8:$M$48,11,FALSE),
IF($A81&lt;'PVC SCH80 LD Flange'!$A$17,VLOOKUP($A81,'PVC SCH80 LD Flange'!$A$8:$M$16,11,FALSE),
IF($A81&lt;CPVC!$A$100,VLOOKUP($A81,CPVC!$A$8:$M$99,11,FALSE),
IF($A81&lt;InsertFittings!$A$237,VLOOKUP($A81,InsertFittings!$A$11:$M$236,11,FALSE),
IF($A81&lt;Valves!$A$132,VLOOKUP($A81,Valves!$A$8:$M$131,11,FALSE),
IF($A81&lt;SDR35SW!$A$124,VLOOKUP($A81,SDR35SW!$A$8:$M$123,11,FALSE),
IF($A81&lt;SDR35G!$A$143,VLOOKUP($A81, SDR35G!$A$8:$M$142,11,FALSE),
IF($A81&lt;SDR26G!$A$61,VLOOKUP($A81,SDR26G!$A$8:$N$60,12,FALSE),
IF($A81&lt;Cements!$A$100,VLOOKUP($A81,Cements!$A$8:$Q$99,15,FALSE),
IF($A81&lt;ValveBox!$A$143,VLOOKUP($A81,ValveBox!$A$10:$O$142,13,FALSE),
IF($A81&lt;'ValveBox Components'!$A$165,VLOOKUP($A81,'ValveBox Components'!$A$10:$O$164,13,FALSE),
IF($A81&lt;Drainage!$A$92,VLOOKUP($A81,Drainage!$A$8:$M$91,11,FALSE),
IF($A81&lt;Nipples!$A$82,VLOOKUP($A81,Nipples!$A$9:$Q$81,15,FALSE),
IF($A81&lt;Manifold!$A$33,VLOOKUP($A81,Manifold!$A$9:$M$32,11,FALSE),
IF($A81&lt;FlexibleRepairCouplings!$A$13,VLOOKUP($A81,FlexibleRepairCouplings!$A$10:$M$12,11,FALSE),
IF($A81&lt;DuraFix!$A$15,VLOOKUP($A81,DuraFix!$A$9:$M$14,11,FALSE),
IF($A81&lt;'Compression Fittings'!$A$16,VLOOKUP($A81,'Compression Fittings'!$A$8:$M$15,11,FALSE),
IF($A81&lt;'Hose Fittings'!$A$30,VLOOKUP($A81,'Hose Fittings'!$A$8:$M$29,11,FALSE),
IF($A81&lt;'Swing Joints'!$A$496,VLOOKUP($A81,'Swing Joints'!$A$9:$M$495,11,FALSE),
IF($A81&lt;'Swing Joints Components'!$A$135,VLOOKUP($A81,'Swing Joints Components'!$A$9:$M$134,11,FALSE),
IF($A81&lt;Nonstandard!$A$42,VLOOKUP($A81,Nonstandard!$A$31:$J$41,3,FALSE),"")))))))))))))))))))))))))))),"")</f>
        <v/>
      </c>
      <c r="H81" s="586" t="str">
        <f>IFERROR(IF($A81&lt;'DWV PVC'!$A$285,VLOOKUP($A81,'DWV PVC'!$A$8:$M$284,7,FALSE),
IF($A81&lt;'DWV ABS'!$A$117,VLOOKUP($A81,'DWV ABS'!$A$8:$M$116,7,FALSE),
IF($A81&lt;'PVC SCH40'!$A$376,VLOOKUP($A81,'PVC SCH40'!$A$8:$M$375,7,FALSE),
IF($A81&lt;'PVC SCH40 LD'!$A$22,VLOOKUP($A81,'PVC SCH40 LD'!$A$8:$M$21,7,FALSE),
IF($A81&lt;'Pool &amp; SPA Sweep Elbows'!$A$12,VLOOKUP($A81,'Pool &amp; SPA Sweep Elbows'!$A$8:$M$11,7,FALSE),
IF($A81&lt;'Pool &amp; SPA Pipe Extender'!$A$11,VLOOKUP($A81,'Pool &amp; SPA Pipe Extender'!$A$8:$M$10,7,FALSE),
IF($A81&lt;'PVC SCH80'!$A$250,VLOOKUP($A81,'PVC SCH80'!$A$8:$M$249,7,FALSE),
IF($A81&lt;'PVC SCH80 Flange'!$A$49,VLOOKUP($A81,'PVC SCH80 Flange'!$A$8:$M$48,7,FALSE),
IF($A81&lt;'PVC SCH80 LD Flange'!$A$17,VLOOKUP($A81,'PVC SCH80 LD Flange'!$A$8:$M$16,7,FALSE),
IF($A81&lt;CPVC!$A$100,VLOOKUP($A81,CPVC!$A$8:$M$99,7,FALSE),
IF($A81&lt;InsertFittings!$A$237,VLOOKUP($A81,InsertFittings!$A$11:$M$236,7,FALSE),
IF($A81&lt;Valves!$A$132,VLOOKUP($A81,Valves!$A$8:$M$131,7,FALSE),
IF($A81&lt;SDR35SW!$A$124,VLOOKUP($A81,SDR35SW!$A$8:$M$123,7,FALSE),
IF($A81&lt;SDR35G!$A$143,VLOOKUP($A81, SDR35G!$A$8:$M$142,7,FALSE),
IF($A81&lt;SDR26G!$A$61,VLOOKUP($A81,SDR26G!$A$8:$N$60,10,FALSE),
IF($A81&lt;Cements!$A$100,VLOOKUP($A81,Cements!$A$8:$Q$99,13,FALSE),
IF($A81&lt;ValveBox!$A$143,VLOOKUP($A81,ValveBox!$A$10:$O$142,11,FALSE),
IF($A81&lt;'ValveBox Components'!$A$165,VLOOKUP($A81,'ValveBox Components'!$A$10:$O$164,11,FALSE),
IF($A81&lt;Drainage!$A$92,VLOOKUP($A81,Drainage!$A$8:$M$91,7,FALSE),
IF($A81&lt;Nipples!$A$82,VLOOKUP($A81,Nipples!$A$9:$Q$81,13,FALSE),
IF($A81&lt;Manifold!$A$33,VLOOKUP($A81,Manifold!$A$9:$M$32,7,FALSE),
IF($A81&lt;FlexibleRepairCouplings!$A$13,VLOOKUP($A81,FlexibleRepairCouplings!$A$10:$M$12,7,FALSE),
IF($A81&lt;DuraFix!$A$15,VLOOKUP($A81,DuraFix!$A$9:$M$14,7,FALSE),
IF($A81&lt;'Compression Fittings'!$A$16,VLOOKUP($A81,'Compression Fittings'!$A$8:$M$15,7,FALSE),
IF($A81&lt;'Hose Fittings'!$A$30,VLOOKUP($A81,'Hose Fittings'!$A$8:$M$29,7,FALSE),
IF($A81&lt;'Swing Joints'!$A$496,VLOOKUP($A81,'Swing Joints'!$A$9:$M$495,7,FALSE),
IF($A81&lt;'Swing Joints Components'!$A$135,VLOOKUP($A81,'Swing Joints Components'!$A$9:$M$134,7,FALSE),
IF($A81&lt;Nonstandard!$A$42,VLOOKUP($A81,Nonstandard!$A$31:$J$41,3,FALSE),"")))))))))))))))))))))))))))),"")</f>
        <v/>
      </c>
      <c r="I81" s="587"/>
      <c r="J81" s="383" t="str">
        <f t="shared" si="1"/>
        <v/>
      </c>
      <c r="K81" s="417" t="str">
        <f>IFERROR(IF($A81&lt;'DWV PVC'!$A$285,VLOOKUP($A81,'DWV PVC'!$A$8:$M$284,10,FALSE),
IF($A81&lt;'DWV ABS'!$A$117,VLOOKUP($A81,'DWV ABS'!$A$8:$M$116,10,FALSE),
IF($A81&lt;'PVC SCH40'!$A$376,VLOOKUP($A81,'PVC SCH40'!$A$8:$M$375,10,FALSE),
IF($A81&lt;'PVC SCH40 LD'!$A$22,VLOOKUP($A81,'PVC SCH40 LD'!$A$8:$M$21,10,FALSE),
IF($A81&lt;'Pool &amp; SPA Sweep Elbows'!$A$12,VLOOKUP($A81,'Pool &amp; SPA Sweep Elbows'!$A$8:$M$11,10,FALSE),
IF($A81&lt;'Pool &amp; SPA Pipe Extender'!$A$11,VLOOKUP($A81,'Pool &amp; SPA Pipe Extender'!$A$8:$M$10,10,FALSE),
IF($A81&lt;'PVC SCH80'!$A$250,VLOOKUP($A81,'PVC SCH80'!$A$8:$M$249,10,FALSE),
IF($A81&lt;'PVC SCH80 Flange'!$A$49,VLOOKUP($A81,'PVC SCH80 Flange'!$A$8:$M$48,10,FALSE),
IF($A81&lt;'PVC SCH80 LD Flange'!$A$17,VLOOKUP($A81,'PVC SCH80 LD Flange'!$A$8:$M$16,10,FALSE),
IF($A81&lt;CPVC!$A$100,VLOOKUP($A81,CPVC!$A$8:$M$99,10,FALSE),
IF($A81&lt;InsertFittings!$A$237,VLOOKUP($A81,InsertFittings!$A$11:$M$236,10,FALSE),
IF($A81&lt;Valves!$A$132,VLOOKUP($A81,Valves!$A$8:$M$131,10,FALSE),
IF($A81&lt;SDR35SW!$A$124,VLOOKUP($A81,SDR35SW!$A$8:$M$123,10,FALSE),
IF($A81&lt;SDR35G!$A$143,VLOOKUP($A81, SDR35G!$A$8:$M$142,10,FALSE),
IF($A81&lt;SDR26G!$A$61,VLOOKUP($A81,SDR26G!$A$8:$N$60,11,FALSE),
IF($A81&lt;Cements!$A$100,VLOOKUP($A81,Cements!$A$8:$Q$99,14,FALSE),
IF($A81&lt;ValveBox!$A$143,VLOOKUP($A81,ValveBox!$A$10:$O$142,12,FALSE),
IF($A81&lt;'ValveBox Components'!$A$165,VLOOKUP($A81,'ValveBox Components'!$A$10:$O$164,12,FALSE),
IF($A81&lt;Drainage!$A$92,VLOOKUP($A81,Drainage!$A$8:$M$91,10,FALSE),
IF($A81&lt;Nipples!$A$82,VLOOKUP($A81,Nipples!$A$9:$Q$81,14,FALSE),
IF($A81&lt;Manifold!$A$33,VLOOKUP($A81,Manifold!$A$9:$M$32,10,FALSE),
IF($A81&lt;FlexibleRepairCouplings!$A$13,VLOOKUP($A81,FlexibleRepairCouplings!$A$10:$M$12,10,FALSE),
IF($A81&lt;DuraFix!$A$15,VLOOKUP($A81,DuraFix!$A$9:$M$14,10,FALSE),
IF($A81&lt;'Compression Fittings'!$A$16,VLOOKUP($A81,'Compression Fittings'!$A$8:$M$15,10,FALSE),
IF($A81&lt;'Hose Fittings'!$A$30,VLOOKUP($A81,'Hose Fittings'!$A$8:$M$29,10,FALSE),
IF($A81&lt;'Swing Joints'!$A$496,VLOOKUP($A81,'Swing Joints'!$A$9:$M$495,10,FALSE),
IF($A81&lt;'Swing Joints Components'!$A$135,VLOOKUP($A81,'Swing Joints Components'!$A$9:$M$134,10,FALSE),
IF($A81&lt;Nonstandard!$A$42,VLOOKUP($A81,Nonstandard!$A$31:$J$41,10,FALSE),"")))))))))))))))))))))))))))),"")</f>
        <v/>
      </c>
      <c r="L81" s="418" t="str">
        <f t="shared" si="0"/>
        <v>-</v>
      </c>
      <c r="M81" s="419"/>
    </row>
    <row r="82" spans="1:13" ht="15.75">
      <c r="A82" s="420">
        <v>50</v>
      </c>
      <c r="B82" s="420" t="str">
        <f>IFERROR(IF($A82&lt;'DWV PVC'!$A$285,VLOOKUP($A82,'DWV PVC'!$A$8:$M$284,4,FALSE),
IF($A82&lt;'DWV ABS'!$A$117,VLOOKUP($A82,'DWV ABS'!$A$8:$M$116,4,FALSE),
IF($A82&lt;'PVC SCH40'!$A$376,VLOOKUP($A82,'PVC SCH40'!$A$8:$M$375,4,FALSE),
IF($A82&lt;'PVC SCH40 LD'!$A$22,VLOOKUP($A82,'PVC SCH40 LD'!$A$8:$M$21,4,FALSE),
IF($A82&lt;'Pool &amp; SPA Sweep Elbows'!$A$12,VLOOKUP($A82,'Pool &amp; SPA Sweep Elbows'!$A$8:$M$11,4,FALSE),
IF($A82&lt;'Pool &amp; SPA Pipe Extender'!$A$11,VLOOKUP($A82,'Pool &amp; SPA Pipe Extender'!$A$8:$M$10,4,FALSE),
IF($A82&lt;'PVC SCH80'!$A$250,VLOOKUP($A82,'PVC SCH80'!$A$8:$M$249,4,FALSE),
IF($A82&lt;'PVC SCH80 Flange'!$A$49,VLOOKUP($A82,'PVC SCH80 Flange'!$A$8:$M$48,4,FALSE),
IF($A82&lt;'PVC SCH80 LD Flange'!$A$17,VLOOKUP($A82,'PVC SCH80 LD Flange'!$A$8:$M$16,4,FALSE),
IF($A82&lt;CPVC!$A$100,VLOOKUP($A82,CPVC!$A$8:$M$99,4,FALSE),
IF($A82&lt;InsertFittings!$A$237,VLOOKUP($A82,InsertFittings!$A$11:$M$236,4,FALSE),
IF($A82&lt;Valves!$A$132,VLOOKUP($A82,Valves!$A$8:$M$131,4,FALSE),
IF($A82&lt;SDR35SW!$A$124,VLOOKUP($A82,SDR35SW!$A$8:$M$123,4,FALSE),
IF($A82&lt;SDR35G!$A$143,VLOOKUP($A82, SDR35G!$A$8:$M$142,4,FALSE),
IF($A82&lt;SDR26G!$A$61,VLOOKUP($A82,SDR26G!$A$8:$N$60,4,FALSE),
IF($A82&lt;Cements!$A$100,VLOOKUP($A82,Cements!$A$8:$Q$99,4,FALSE),
IF($A82&lt;ValveBox!$A$143,VLOOKUP($A82,ValveBox!$A$10:$O$142,4,FALSE),
IF($A82&lt;'ValveBox Components'!$A$165,VLOOKUP($A82,'ValveBox Components'!$A$10:$O$164,4,FALSE),
IF($A82&lt;Drainage!$A$92,VLOOKUP($A82,Drainage!$A$8:$M$91,4,FALSE),
IF($A82&lt;Nipples!$A$82,VLOOKUP($A82,Nipples!$A$9:$Q$81,4,FALSE),
IF($A82&lt;Manifold!$A$33,VLOOKUP($A82,Manifold!$A$9:$M$32,4,FALSE),
IF($A82&lt;FlexibleRepairCouplings!$A$13,VLOOKUP($A82,FlexibleRepairCouplings!$A$10:$M$12,4,FALSE),
IF($A82&lt;DuraFix!$A$15,VLOOKUP($A82,DuraFix!$A$9:$M$14,4,FALSE),
IF($A82&lt;'Compression Fittings'!$A$16,VLOOKUP($A82,'Compression Fittings'!$A$8:$M$15,4,FALSE),
IF($A82&lt;'Hose Fittings'!$A$30,VLOOKUP($A82,'Hose Fittings'!$A$8:$M$29,4,FALSE),
IF($A82&lt;'Swing Joints'!$A$496,VLOOKUP($A82,'Swing Joints'!$A$9:$M$495,4,FALSE),
IF($A82&lt;'Swing Joints Components'!$A$135,VLOOKUP($A82,'Swing Joints Components'!$A$9:$M$134,4,FALSE),
IF($A82&lt;Nonstandard!$A$42,VLOOKUP($A82,Nonstandard!$A$31:$J$41,5,FALSE),"")))))))))))))))))))))))))))),"")</f>
        <v/>
      </c>
      <c r="C82" s="420" t="str">
        <f>IFERROR(IF($A82&lt;'DWV PVC'!$A$285,VLOOKUP($A82,'DWV PVC'!$A$8:$M$284,5,FALSE),
IF($A82&lt;'DWV ABS'!$A$117,VLOOKUP($A82,'DWV ABS'!$A$8:$M$116,5,FALSE),
IF($A82&lt;'PVC SCH40'!$A$376,VLOOKUP($A82,'PVC SCH40'!$A$8:$M$375,5,FALSE),
IF($A82&lt;'PVC SCH40 LD'!$A$22,VLOOKUP($A82,'PVC SCH40 LD'!$A$8:$M$21,5,FALSE),
IF($A82&lt;'Pool &amp; SPA Sweep Elbows'!$A$12,VLOOKUP($A82,'Pool &amp; SPA Sweep Elbows'!$A$8:$M$11,5,FALSE),
IF($A82&lt;'Pool &amp; SPA Pipe Extender'!$A$11,VLOOKUP($A82,'Pool &amp; SPA Pipe Extender'!$A$8:$M$10,5,FALSE),
IF($A82&lt;'PVC SCH80'!$A$250,VLOOKUP($A82,'PVC SCH80'!$A$8:$M$249,5,FALSE),
IF($A82&lt;'PVC SCH80 Flange'!$A$49,VLOOKUP($A82,'PVC SCH80 Flange'!$A$8:$M$48,5,FALSE),
IF($A82&lt;'PVC SCH80 LD Flange'!$A$17,VLOOKUP($A82,'PVC SCH80 LD Flange'!$A$8:$M$16,5,FALSE),
IF($A82&lt;CPVC!$A$100,VLOOKUP($A82,CPVC!$A$8:$M$99,5,FALSE),
IF($A82&lt;InsertFittings!$A$237,VLOOKUP($A82,InsertFittings!$A$11:$M$236,5,FALSE),
IF($A82&lt;Valves!$A$132,VLOOKUP($A82,Valves!$A$8:$M$131,5,FALSE),
IF($A82&lt;SDR35SW!$A$124,VLOOKUP($A82,SDR35SW!$A$8:$M$123,5,FALSE),
IF($A82&lt;SDR35G!$A$143,VLOOKUP($A82, SDR35G!$A$8:$M$142,5,FALSE),
IF($A82&lt;SDR26G!$A$61,VLOOKUP($A82,SDR26G!$A$8:$N$60,5,FALSE),
IF($A82&lt;Cements!$A$100,VLOOKUP($A82,Cements!$A$8:$Q$99,5,FALSE),
IF($A82&lt;ValveBox!$A$143,VLOOKUP($A82,ValveBox!$A$10:$O$142,5,FALSE),
IF($A82&lt;'ValveBox Components'!$A$165,VLOOKUP($A82,'ValveBox Components'!$A$10:$O$164,5,FALSE),
IF($A82&lt;Drainage!$A$92,VLOOKUP($A82,Drainage!$A$8:$M$91,5,FALSE),
IF($A82&lt;Nipples!$A$82,VLOOKUP($A82,Nipples!$A$9:$Q$81,5,FALSE),
IF($A82&lt;Manifold!$A$33,VLOOKUP($A82,Manifold!$A$9:$M$32,5,FALSE),
IF($A82&lt;FlexibleRepairCouplings!$A$13,VLOOKUP($A82,FlexibleRepairCouplings!$A$10:$M$12,5,FALSE),
IF($A82&lt;DuraFix!$A$15,VLOOKUP($A82,DuraFix!$A$9:$M$14,5,FALSE),
IF($A82&lt;'Compression Fittings'!$A$16,VLOOKUP($A82,'Compression Fittings'!$A$8:$M$15,5,FALSE),
IF($A82&lt;'Hose Fittings'!$A$30,VLOOKUP($A82,'Hose Fittings'!$A$8:$M$29,5,FALSE),
IF($A82&lt;'Swing Joints'!$A$496,VLOOKUP($A82,'Swing Joints'!$A$9:$M$495,5,FALSE),
IF($A82&lt;'Swing Joints Components'!$A$135,VLOOKUP($A82,'Swing Joints Components'!$A$9:$M$134,5,FALSE),
IF($A82&lt;Nonstandard!$A$42,VLOOKUP($A82,Nonstandard!$A$31:$J$41,6,FALSE),"")))))))))))))))))))))))))))),"")</f>
        <v/>
      </c>
      <c r="D82" s="428" t="str">
        <f>IFERROR(IF($A82&lt;'DWV PVC'!$A$285,VLOOKUP($A82,'DWV PVC'!$A$8:$M$284,6,FALSE),
IF($A82&lt;'DWV ABS'!$A$117,VLOOKUP($A82,'DWV ABS'!$A$8:$M$116,6,FALSE),
IF($A82&lt;'PVC SCH40'!$A$376,VLOOKUP($A82,'PVC SCH40'!$A$8:$M$375,6,FALSE),
IF($A82&lt;'PVC SCH40 LD'!$A$22,VLOOKUP($A82,'PVC SCH40 LD'!$A$8:$M$21,6,FALSE),
IF($A82&lt;'Pool &amp; SPA Sweep Elbows'!$A$12,VLOOKUP($A82,'Pool &amp; SPA Sweep Elbows'!$A$8:$M$11,6,FALSE),
IF($A82&lt;'Pool &amp; SPA Pipe Extender'!$A$11,VLOOKUP($A82,'Pool &amp; SPA Pipe Extender'!$A$8:$M$10,6,FALSE),
IF($A82&lt;'PVC SCH80'!$A$250,VLOOKUP($A82,'PVC SCH80'!$A$8:$M$249,6,FALSE),
IF($A82&lt;'PVC SCH80 Flange'!$A$49,VLOOKUP($A82,'PVC SCH80 Flange'!$A$8:$M$48,6,FALSE),
IF($A82&lt;'PVC SCH80 LD Flange'!$A$17,VLOOKUP($A82,'PVC SCH80 LD Flange'!$A$8:$M$16,6,FALSE),
IF($A82&lt;CPVC!$A$100,VLOOKUP($A82,CPVC!$A$8:$M$99,6,FALSE),
IF($A82&lt;InsertFittings!$A$237,VLOOKUP($A82,InsertFittings!$A$11:$M$236,6,FALSE),
IF($A82&lt;Valves!$A$132,VLOOKUP($A82,Valves!$A$8:$M$131,6,FALSE),
IF($A82&lt;SDR35SW!$A$124,VLOOKUP($A82,SDR35SW!$A$8:$M$123,6,FALSE),
IF($A82&lt;SDR35G!$A$143,VLOOKUP($A82, SDR35G!$A$8:$M$142,6,FALSE),
IF($A82&lt;SDR26G!$A$61,VLOOKUP($A82,SDR26G!$A$8:$N$60,6,FALSE),
IF($A82&lt;Cements!$A$100,VLOOKUP($A82,Cements!$A$8:$Q$99,6,FALSE),
IF($A82&lt;ValveBox!$A$143,VLOOKUP($A82,ValveBox!$A$10:$O$142,6,FALSE),
IF($A82&lt;'ValveBox Components'!$A$165,VLOOKUP($A82,'ValveBox Components'!$A$10:$O$164,6,FALSE),
IF($A82&lt;Drainage!$A$92,VLOOKUP($A82,Drainage!$A$8:$M$91,6,FALSE),
IF($A82&lt;Nipples!$A$82,VLOOKUP($A82,Nipples!$A$9:$Q$81,6,FALSE),
IF($A82&lt;Manifold!$A$33,VLOOKUP($A82,Manifold!$A$9:$M$32,6,FALSE),
IF($A82&lt;FlexibleRepairCouplings!$A$13,VLOOKUP($A82,FlexibleRepairCouplings!$A$10:$M$12,6,FALSE),
IF($A82&lt;DuraFix!$A$15,VLOOKUP($A82,DuraFix!$A$9:$M$14,6,FALSE),
IF($A82&lt;'Compression Fittings'!$A$16,VLOOKUP($A82,'Compression Fittings'!$A$8:$M$15,6,FALSE),
IF($A82&lt;'Hose Fittings'!$A$30,VLOOKUP($A82,'Hose Fittings'!$A$8:$M$29,6,FALSE),
IF($A82&lt;'Swing Joints'!$A$496,VLOOKUP($A82,'Swing Joints'!$A$9:$M$495,6,FALSE),
IF($A82&lt;'Swing Joints Components'!$A$135,VLOOKUP($A82,'Swing Joints Components'!$A$9:$M$134,6,FALSE),
IF($A82&lt;Nonstandard!$A$42,VLOOKUP($A82,Nonstandard!$A$31:$J$41,7,FALSE),"")))))))))))))))))))))))))))),"")</f>
        <v/>
      </c>
      <c r="E82" s="429"/>
      <c r="F82" s="421" t="str">
        <f>IFERROR(IF($A82&lt;'DWV PVC'!$A$285,VLOOKUP($A82,'DWV PVC'!$A$8:$M$284,9,FALSE),
IF($A82&lt;'DWV ABS'!$A$117,VLOOKUP($A82,'DWV ABS'!$A$8:$M$116,9,FALSE),
IF($A82&lt;'PVC SCH40'!$A$376,VLOOKUP($A82,'PVC SCH40'!$A$8:$M$375,9,FALSE),
IF($A82&lt;'PVC SCH40 LD'!$A$22,VLOOKUP($A82,'PVC SCH40 LD'!$A$8:$M$21,9,FALSE),
IF($A82&lt;'Pool &amp; SPA Sweep Elbows'!$A$12,VLOOKUP($A82,'Pool &amp; SPA Sweep Elbows'!$A$8:$M$11,9,FALSE),
IF($A82&lt;'Pool &amp; SPA Pipe Extender'!$A$11,VLOOKUP($A82,'Pool &amp; SPA Pipe Extender'!$A$8:$M$10,9,FALSE),
IF($A82&lt;'PVC SCH80'!$A$250,VLOOKUP($A82,'PVC SCH80'!$A$8:$M$249,9,FALSE),
IF($A82&lt;'PVC SCH80 Flange'!$A$49,VLOOKUP($A82,'PVC SCH80 Flange'!$A$8:$M$48,9,FALSE),
IF($A82&lt;'PVC SCH80 LD Flange'!$A$17,VLOOKUP($A82,'PVC SCH80 LD Flange'!$A$8:$M$16,9,FALSE),
IF($A82&lt;CPVC!$A$100,VLOOKUP($A82,CPVC!$A$8:$M$99,9,FALSE),
IF($A82&lt;InsertFittings!$A$237,VLOOKUP($A82,InsertFittings!$A$11:$M$236,9,FALSE),
IF($A82&lt;Valves!$A$132,VLOOKUP($A82,Valves!$A$8:$M$131,9,FALSE),
IF($A82&lt;SDR35SW!$A$124,VLOOKUP($A82,SDR35SW!$A$8:$M$123,9,FALSE),
IF($A82&lt;SDR35G!$A$143,VLOOKUP($A82, SDR35G!$A$8:$M$142,9,FALSE),
IF($A82&lt;SDR26G!$A$61,VLOOKUP($A82,SDR26G!$A$8:$N$60,10,FALSE),
IF($A82&lt;Cements!$A$100,VLOOKUP($A82,Cements!$A$8:$Q$99,13,FALSE),
IF($A82&lt;ValveBox!$A$143,VLOOKUP($A82,ValveBox!$A$10:$O$142,11,FALSE),
IF($A82&lt;'ValveBox Components'!$A$165,VLOOKUP($A82,'ValveBox Components'!$A$10:$O$164,11,FALSE),
IF($A82&lt;Drainage!$A$92,VLOOKUP($A82,Drainage!$A$8:$M$91,9,FALSE),
IF($A82&lt;Nipples!$A$82,VLOOKUP($A82,Nipples!$A$9:$Q$81,13,FALSE),
IF($A82&lt;Manifold!$A$33,VLOOKUP($A82,Manifold!$A$9:$M$32,9,FALSE),
IF($A82&lt;FlexibleRepairCouplings!$A$13,VLOOKUP($A82,FlexibleRepairCouplings!$A$10:$M$12,9,FALSE),
IF($A82&lt;DuraFix!$A$15,VLOOKUP($A82,DuraFix!$A$9:$M$14,9,FALSE),
IF($A82&lt;'Compression Fittings'!$A$16,VLOOKUP($A82,'Compression Fittings'!$A$8:$M$15,9,FALSE),
IF($A82&lt;'Hose Fittings'!$A$30,VLOOKUP($A82,'Hose Fittings'!$A$8:$M$29,9,FALSE),
IF($A82&lt;'Swing Joints'!$A$496,VLOOKUP($A82,'Swing Joints'!$A$9:$M$495,9,FALSE),
IF($A82&lt;'Swing Joints Components'!$A$135,VLOOKUP($A82,'Swing Joints Components'!$A$9:$M$134,9,FALSE),
IF($A82&lt;Nonstandard!$A$42,VLOOKUP($A82,Nonstandard!$A$31:$J$41,8,FALSE),"")))))))))))))))))))))))))))),"")</f>
        <v/>
      </c>
      <c r="G82" s="422" t="str">
        <f>IFERROR(IF($A82&lt;'DWV PVC'!$A$285,VLOOKUP($A82,'DWV PVC'!$A$8:$M$284,11,FALSE),
IF($A82&lt;'DWV ABS'!$A$117,VLOOKUP($A82,'DWV ABS'!$A$8:$M$116,11,FALSE),
IF($A82&lt;'PVC SCH40'!$A$376,VLOOKUP($A82,'PVC SCH40'!$A$8:$M$375,11,FALSE),
IF($A82&lt;'PVC SCH40 LD'!$A$22,VLOOKUP($A82,'PVC SCH40 LD'!$A$8:$M$21,11,FALSE),
IF($A82&lt;'Pool &amp; SPA Sweep Elbows'!$A$12,VLOOKUP($A82,'Pool &amp; SPA Sweep Elbows'!$A$8:$M$11,11,FALSE),
IF($A82&lt;'Pool &amp; SPA Pipe Extender'!$A$11,VLOOKUP($A82,'Pool &amp; SPA Pipe Extender'!$A$8:$M$10,11,FALSE),
IF($A82&lt;'PVC SCH80'!$A$250,VLOOKUP($A82,'PVC SCH80'!$A$8:$M$249,11,FALSE),
IF($A82&lt;'PVC SCH80 Flange'!$A$49,VLOOKUP($A82,'PVC SCH80 Flange'!$A$8:$M$48,11,FALSE),
IF($A82&lt;'PVC SCH80 LD Flange'!$A$17,VLOOKUP($A82,'PVC SCH80 LD Flange'!$A$8:$M$16,11,FALSE),
IF($A82&lt;CPVC!$A$100,VLOOKUP($A82,CPVC!$A$8:$M$99,11,FALSE),
IF($A82&lt;InsertFittings!$A$237,VLOOKUP($A82,InsertFittings!$A$11:$M$236,11,FALSE),
IF($A82&lt;Valves!$A$132,VLOOKUP($A82,Valves!$A$8:$M$131,11,FALSE),
IF($A82&lt;SDR35SW!$A$124,VLOOKUP($A82,SDR35SW!$A$8:$M$123,11,FALSE),
IF($A82&lt;SDR35G!$A$143,VLOOKUP($A82, SDR35G!$A$8:$M$142,11,FALSE),
IF($A82&lt;SDR26G!$A$61,VLOOKUP($A82,SDR26G!$A$8:$N$60,12,FALSE),
IF($A82&lt;Cements!$A$100,VLOOKUP($A82,Cements!$A$8:$Q$99,15,FALSE),
IF($A82&lt;ValveBox!$A$143,VLOOKUP($A82,ValveBox!$A$10:$O$142,13,FALSE),
IF($A82&lt;'ValveBox Components'!$A$165,VLOOKUP($A82,'ValveBox Components'!$A$10:$O$164,13,FALSE),
IF($A82&lt;Drainage!$A$92,VLOOKUP($A82,Drainage!$A$8:$M$91,11,FALSE),
IF($A82&lt;Nipples!$A$82,VLOOKUP($A82,Nipples!$A$9:$Q$81,15,FALSE),
IF($A82&lt;Manifold!$A$33,VLOOKUP($A82,Manifold!$A$9:$M$32,11,FALSE),
IF($A82&lt;FlexibleRepairCouplings!$A$13,VLOOKUP($A82,FlexibleRepairCouplings!$A$10:$M$12,11,FALSE),
IF($A82&lt;DuraFix!$A$15,VLOOKUP($A82,DuraFix!$A$9:$M$14,11,FALSE),
IF($A82&lt;'Compression Fittings'!$A$16,VLOOKUP($A82,'Compression Fittings'!$A$8:$M$15,11,FALSE),
IF($A82&lt;'Hose Fittings'!$A$30,VLOOKUP($A82,'Hose Fittings'!$A$8:$M$29,11,FALSE),
IF($A82&lt;'Swing Joints'!$A$496,VLOOKUP($A82,'Swing Joints'!$A$9:$M$495,11,FALSE),
IF($A82&lt;'Swing Joints Components'!$A$135,VLOOKUP($A82,'Swing Joints Components'!$A$9:$M$134,11,FALSE),
IF($A82&lt;Nonstandard!$A$42,VLOOKUP($A82,Nonstandard!$A$31:$J$41,3,FALSE),"")))))))))))))))))))))))))))),"")</f>
        <v/>
      </c>
      <c r="H82" s="588" t="str">
        <f>IFERROR(IF($A82&lt;'DWV PVC'!$A$285,VLOOKUP($A82,'DWV PVC'!$A$8:$M$284,7,FALSE),
IF($A82&lt;'DWV ABS'!$A$117,VLOOKUP($A82,'DWV ABS'!$A$8:$M$116,7,FALSE),
IF($A82&lt;'PVC SCH40'!$A$376,VLOOKUP($A82,'PVC SCH40'!$A$8:$M$375,7,FALSE),
IF($A82&lt;'PVC SCH40 LD'!$A$22,VLOOKUP($A82,'PVC SCH40 LD'!$A$8:$M$21,7,FALSE),
IF($A82&lt;'Pool &amp; SPA Sweep Elbows'!$A$12,VLOOKUP($A82,'Pool &amp; SPA Sweep Elbows'!$A$8:$M$11,7,FALSE),
IF($A82&lt;'Pool &amp; SPA Pipe Extender'!$A$11,VLOOKUP($A82,'Pool &amp; SPA Pipe Extender'!$A$8:$M$10,7,FALSE),
IF($A82&lt;'PVC SCH80'!$A$250,VLOOKUP($A82,'PVC SCH80'!$A$8:$M$249,7,FALSE),
IF($A82&lt;'PVC SCH80 Flange'!$A$49,VLOOKUP($A82,'PVC SCH80 Flange'!$A$8:$M$48,7,FALSE),
IF($A82&lt;'PVC SCH80 LD Flange'!$A$17,VLOOKUP($A82,'PVC SCH80 LD Flange'!$A$8:$M$16,7,FALSE),
IF($A82&lt;CPVC!$A$100,VLOOKUP($A82,CPVC!$A$8:$M$99,7,FALSE),
IF($A82&lt;InsertFittings!$A$237,VLOOKUP($A82,InsertFittings!$A$11:$M$236,7,FALSE),
IF($A82&lt;Valves!$A$132,VLOOKUP($A82,Valves!$A$8:$M$131,7,FALSE),
IF($A82&lt;SDR35SW!$A$124,VLOOKUP($A82,SDR35SW!$A$8:$M$123,7,FALSE),
IF($A82&lt;SDR35G!$A$143,VLOOKUP($A82, SDR35G!$A$8:$M$142,7,FALSE),
IF($A82&lt;SDR26G!$A$61,VLOOKUP($A82,SDR26G!$A$8:$N$60,10,FALSE),
IF($A82&lt;Cements!$A$100,VLOOKUP($A82,Cements!$A$8:$Q$99,13,FALSE),
IF($A82&lt;ValveBox!$A$143,VLOOKUP($A82,ValveBox!$A$10:$O$142,11,FALSE),
IF($A82&lt;'ValveBox Components'!$A$165,VLOOKUP($A82,'ValveBox Components'!$A$10:$O$164,11,FALSE),
IF($A82&lt;Drainage!$A$92,VLOOKUP($A82,Drainage!$A$8:$M$91,7,FALSE),
IF($A82&lt;Nipples!$A$82,VLOOKUP($A82,Nipples!$A$9:$Q$81,13,FALSE),
IF($A82&lt;Manifold!$A$33,VLOOKUP($A82,Manifold!$A$9:$M$32,7,FALSE),
IF($A82&lt;FlexibleRepairCouplings!$A$13,VLOOKUP($A82,FlexibleRepairCouplings!$A$10:$M$12,7,FALSE),
IF($A82&lt;DuraFix!$A$15,VLOOKUP($A82,DuraFix!$A$9:$M$14,7,FALSE),
IF($A82&lt;'Compression Fittings'!$A$16,VLOOKUP($A82,'Compression Fittings'!$A$8:$M$15,7,FALSE),
IF($A82&lt;'Hose Fittings'!$A$30,VLOOKUP($A82,'Hose Fittings'!$A$8:$M$29,7,FALSE),
IF($A82&lt;'Swing Joints'!$A$496,VLOOKUP($A82,'Swing Joints'!$A$9:$M$495,7,FALSE),
IF($A82&lt;'Swing Joints Components'!$A$135,VLOOKUP($A82,'Swing Joints Components'!$A$9:$M$134,7,FALSE),
IF($A82&lt;Nonstandard!$A$42,VLOOKUP($A82,Nonstandard!$A$31:$J$41,3,FALSE),"")))))))))))))))))))))))))))),"")</f>
        <v/>
      </c>
      <c r="I82" s="589"/>
      <c r="J82" s="423" t="str">
        <f t="shared" si="1"/>
        <v/>
      </c>
      <c r="K82" s="424" t="str">
        <f>IFERROR(IF($A82&lt;'DWV PVC'!$A$285,VLOOKUP($A82,'DWV PVC'!$A$8:$M$284,10,FALSE),
IF($A82&lt;'DWV ABS'!$A$117,VLOOKUP($A82,'DWV ABS'!$A$8:$M$116,10,FALSE),
IF($A82&lt;'PVC SCH40'!$A$376,VLOOKUP($A82,'PVC SCH40'!$A$8:$M$375,10,FALSE),
IF($A82&lt;'PVC SCH40 LD'!$A$22,VLOOKUP($A82,'PVC SCH40 LD'!$A$8:$M$21,10,FALSE),
IF($A82&lt;'Pool &amp; SPA Sweep Elbows'!$A$12,VLOOKUP($A82,'Pool &amp; SPA Sweep Elbows'!$A$8:$M$11,10,FALSE),
IF($A82&lt;'Pool &amp; SPA Pipe Extender'!$A$11,VLOOKUP($A82,'Pool &amp; SPA Pipe Extender'!$A$8:$M$10,10,FALSE),
IF($A82&lt;'PVC SCH80'!$A$250,VLOOKUP($A82,'PVC SCH80'!$A$8:$M$249,10,FALSE),
IF($A82&lt;'PVC SCH80 Flange'!$A$49,VLOOKUP($A82,'PVC SCH80 Flange'!$A$8:$M$48,10,FALSE),
IF($A82&lt;'PVC SCH80 LD Flange'!$A$17,VLOOKUP($A82,'PVC SCH80 LD Flange'!$A$8:$M$16,10,FALSE),
IF($A82&lt;CPVC!$A$100,VLOOKUP($A82,CPVC!$A$8:$M$99,10,FALSE),
IF($A82&lt;InsertFittings!$A$237,VLOOKUP($A82,InsertFittings!$A$11:$M$236,10,FALSE),
IF($A82&lt;Valves!$A$132,VLOOKUP($A82,Valves!$A$8:$M$131,10,FALSE),
IF($A82&lt;SDR35SW!$A$124,VLOOKUP($A82,SDR35SW!$A$8:$M$123,10,FALSE),
IF($A82&lt;SDR35G!$A$143,VLOOKUP($A82, SDR35G!$A$8:$M$142,10,FALSE),
IF($A82&lt;SDR26G!$A$61,VLOOKUP($A82,SDR26G!$A$8:$N$60,11,FALSE),
IF($A82&lt;Cements!$A$100,VLOOKUP($A82,Cements!$A$8:$Q$99,14,FALSE),
IF($A82&lt;ValveBox!$A$143,VLOOKUP($A82,ValveBox!$A$10:$O$142,12,FALSE),
IF($A82&lt;'ValveBox Components'!$A$165,VLOOKUP($A82,'ValveBox Components'!$A$10:$O$164,12,FALSE),
IF($A82&lt;Drainage!$A$92,VLOOKUP($A82,Drainage!$A$8:$M$91,10,FALSE),
IF($A82&lt;Nipples!$A$82,VLOOKUP($A82,Nipples!$A$9:$Q$81,14,FALSE),
IF($A82&lt;Manifold!$A$33,VLOOKUP($A82,Manifold!$A$9:$M$32,10,FALSE),
IF($A82&lt;FlexibleRepairCouplings!$A$13,VLOOKUP($A82,FlexibleRepairCouplings!$A$10:$M$12,10,FALSE),
IF($A82&lt;DuraFix!$A$15,VLOOKUP($A82,DuraFix!$A$9:$M$14,10,FALSE),
IF($A82&lt;'Compression Fittings'!$A$16,VLOOKUP($A82,'Compression Fittings'!$A$8:$M$15,10,FALSE),
IF($A82&lt;'Hose Fittings'!$A$30,VLOOKUP($A82,'Hose Fittings'!$A$8:$M$29,10,FALSE),
IF($A82&lt;'Swing Joints'!$A$496,VLOOKUP($A82,'Swing Joints'!$A$9:$M$495,10,FALSE),
IF($A82&lt;'Swing Joints Components'!$A$135,VLOOKUP($A82,'Swing Joints Components'!$A$9:$M$134,10,FALSE),
IF($A82&lt;Nonstandard!$A$42,VLOOKUP($A82,Nonstandard!$A$31:$J$41,10,FALSE),"")))))))))))))))))))))))))))),"")</f>
        <v/>
      </c>
      <c r="L82" s="421" t="str">
        <f t="shared" si="0"/>
        <v>-</v>
      </c>
      <c r="M82" s="425"/>
    </row>
    <row r="83" spans="1:13" ht="15.75">
      <c r="A83" s="415">
        <v>51</v>
      </c>
      <c r="B83" s="415" t="str">
        <f>IFERROR(IF($A83&lt;'DWV PVC'!$A$285,VLOOKUP($A83,'DWV PVC'!$A$8:$M$284,4,FALSE),
IF($A83&lt;'DWV ABS'!$A$117,VLOOKUP($A83,'DWV ABS'!$A$8:$M$116,4,FALSE),
IF($A83&lt;'PVC SCH40'!$A$376,VLOOKUP($A83,'PVC SCH40'!$A$8:$M$375,4,FALSE),
IF($A83&lt;'PVC SCH40 LD'!$A$22,VLOOKUP($A83,'PVC SCH40 LD'!$A$8:$M$21,4,FALSE),
IF($A83&lt;'Pool &amp; SPA Sweep Elbows'!$A$12,VLOOKUP($A83,'Pool &amp; SPA Sweep Elbows'!$A$8:$M$11,4,FALSE),
IF($A83&lt;'Pool &amp; SPA Pipe Extender'!$A$11,VLOOKUP($A83,'Pool &amp; SPA Pipe Extender'!$A$8:$M$10,4,FALSE),
IF($A83&lt;'PVC SCH80'!$A$250,VLOOKUP($A83,'PVC SCH80'!$A$8:$M$249,4,FALSE),
IF($A83&lt;'PVC SCH80 Flange'!$A$49,VLOOKUP($A83,'PVC SCH80 Flange'!$A$8:$M$48,4,FALSE),
IF($A83&lt;'PVC SCH80 LD Flange'!$A$17,VLOOKUP($A83,'PVC SCH80 LD Flange'!$A$8:$M$16,4,FALSE),
IF($A83&lt;CPVC!$A$100,VLOOKUP($A83,CPVC!$A$8:$M$99,4,FALSE),
IF($A83&lt;InsertFittings!$A$237,VLOOKUP($A83,InsertFittings!$A$11:$M$236,4,FALSE),
IF($A83&lt;Valves!$A$132,VLOOKUP($A83,Valves!$A$8:$M$131,4,FALSE),
IF($A83&lt;SDR35SW!$A$124,VLOOKUP($A83,SDR35SW!$A$8:$M$123,4,FALSE),
IF($A83&lt;SDR35G!$A$143,VLOOKUP($A83, SDR35G!$A$8:$M$142,4,FALSE),
IF($A83&lt;SDR26G!$A$61,VLOOKUP($A83,SDR26G!$A$8:$N$60,4,FALSE),
IF($A83&lt;Cements!$A$100,VLOOKUP($A83,Cements!$A$8:$Q$99,4,FALSE),
IF($A83&lt;ValveBox!$A$143,VLOOKUP($A83,ValveBox!$A$10:$O$142,4,FALSE),
IF($A83&lt;'ValveBox Components'!$A$165,VLOOKUP($A83,'ValveBox Components'!$A$10:$O$164,4,FALSE),
IF($A83&lt;Drainage!$A$92,VLOOKUP($A83,Drainage!$A$8:$M$91,4,FALSE),
IF($A83&lt;Nipples!$A$82,VLOOKUP($A83,Nipples!$A$9:$Q$81,4,FALSE),
IF($A83&lt;Manifold!$A$33,VLOOKUP($A83,Manifold!$A$9:$M$32,4,FALSE),
IF($A83&lt;FlexibleRepairCouplings!$A$13,VLOOKUP($A83,FlexibleRepairCouplings!$A$10:$M$12,4,FALSE),
IF($A83&lt;DuraFix!$A$15,VLOOKUP($A83,DuraFix!$A$9:$M$14,4,FALSE),
IF($A83&lt;'Compression Fittings'!$A$16,VLOOKUP($A83,'Compression Fittings'!$A$8:$M$15,4,FALSE),
IF($A83&lt;'Hose Fittings'!$A$30,VLOOKUP($A83,'Hose Fittings'!$A$8:$M$29,4,FALSE),
IF($A83&lt;'Swing Joints'!$A$496,VLOOKUP($A83,'Swing Joints'!$A$9:$M$495,4,FALSE),
IF($A83&lt;'Swing Joints Components'!$A$135,VLOOKUP($A83,'Swing Joints Components'!$A$9:$M$134,4,FALSE),
IF($A83&lt;Nonstandard!$A$42,VLOOKUP($A83,Nonstandard!$A$31:$J$41,5,FALSE),"")))))))))))))))))))))))))))),"")</f>
        <v/>
      </c>
      <c r="C83" s="415" t="str">
        <f>IFERROR(IF($A83&lt;'DWV PVC'!$A$285,VLOOKUP($A83,'DWV PVC'!$A$8:$M$284,5,FALSE),
IF($A83&lt;'DWV ABS'!$A$117,VLOOKUP($A83,'DWV ABS'!$A$8:$M$116,5,FALSE),
IF($A83&lt;'PVC SCH40'!$A$376,VLOOKUP($A83,'PVC SCH40'!$A$8:$M$375,5,FALSE),
IF($A83&lt;'PVC SCH40 LD'!$A$22,VLOOKUP($A83,'PVC SCH40 LD'!$A$8:$M$21,5,FALSE),
IF($A83&lt;'Pool &amp; SPA Sweep Elbows'!$A$12,VLOOKUP($A83,'Pool &amp; SPA Sweep Elbows'!$A$8:$M$11,5,FALSE),
IF($A83&lt;'Pool &amp; SPA Pipe Extender'!$A$11,VLOOKUP($A83,'Pool &amp; SPA Pipe Extender'!$A$8:$M$10,5,FALSE),
IF($A83&lt;'PVC SCH80'!$A$250,VLOOKUP($A83,'PVC SCH80'!$A$8:$M$249,5,FALSE),
IF($A83&lt;'PVC SCH80 Flange'!$A$49,VLOOKUP($A83,'PVC SCH80 Flange'!$A$8:$M$48,5,FALSE),
IF($A83&lt;'PVC SCH80 LD Flange'!$A$17,VLOOKUP($A83,'PVC SCH80 LD Flange'!$A$8:$M$16,5,FALSE),
IF($A83&lt;CPVC!$A$100,VLOOKUP($A83,CPVC!$A$8:$M$99,5,FALSE),
IF($A83&lt;InsertFittings!$A$237,VLOOKUP($A83,InsertFittings!$A$11:$M$236,5,FALSE),
IF($A83&lt;Valves!$A$132,VLOOKUP($A83,Valves!$A$8:$M$131,5,FALSE),
IF($A83&lt;SDR35SW!$A$124,VLOOKUP($A83,SDR35SW!$A$8:$M$123,5,FALSE),
IF($A83&lt;SDR35G!$A$143,VLOOKUP($A83, SDR35G!$A$8:$M$142,5,FALSE),
IF($A83&lt;SDR26G!$A$61,VLOOKUP($A83,SDR26G!$A$8:$N$60,5,FALSE),
IF($A83&lt;Cements!$A$100,VLOOKUP($A83,Cements!$A$8:$Q$99,5,FALSE),
IF($A83&lt;ValveBox!$A$143,VLOOKUP($A83,ValveBox!$A$10:$O$142,5,FALSE),
IF($A83&lt;'ValveBox Components'!$A$165,VLOOKUP($A83,'ValveBox Components'!$A$10:$O$164,5,FALSE),
IF($A83&lt;Drainage!$A$92,VLOOKUP($A83,Drainage!$A$8:$M$91,5,FALSE),
IF($A83&lt;Nipples!$A$82,VLOOKUP($A83,Nipples!$A$9:$Q$81,5,FALSE),
IF($A83&lt;Manifold!$A$33,VLOOKUP($A83,Manifold!$A$9:$M$32,5,FALSE),
IF($A83&lt;FlexibleRepairCouplings!$A$13,VLOOKUP($A83,FlexibleRepairCouplings!$A$10:$M$12,5,FALSE),
IF($A83&lt;DuraFix!$A$15,VLOOKUP($A83,DuraFix!$A$9:$M$14,5,FALSE),
IF($A83&lt;'Compression Fittings'!$A$16,VLOOKUP($A83,'Compression Fittings'!$A$8:$M$15,5,FALSE),
IF($A83&lt;'Hose Fittings'!$A$30,VLOOKUP($A83,'Hose Fittings'!$A$8:$M$29,5,FALSE),
IF($A83&lt;'Swing Joints'!$A$496,VLOOKUP($A83,'Swing Joints'!$A$9:$M$495,5,FALSE),
IF($A83&lt;'Swing Joints Components'!$A$135,VLOOKUP($A83,'Swing Joints Components'!$A$9:$M$134,5,FALSE),
IF($A83&lt;Nonstandard!$A$42,VLOOKUP($A83,Nonstandard!$A$31:$J$41,6,FALSE),"")))))))))))))))))))))))))))),"")</f>
        <v/>
      </c>
      <c r="D83" s="426" t="str">
        <f>IFERROR(IF($A83&lt;'DWV PVC'!$A$285,VLOOKUP($A83,'DWV PVC'!$A$8:$M$284,6,FALSE),
IF($A83&lt;'DWV ABS'!$A$117,VLOOKUP($A83,'DWV ABS'!$A$8:$M$116,6,FALSE),
IF($A83&lt;'PVC SCH40'!$A$376,VLOOKUP($A83,'PVC SCH40'!$A$8:$M$375,6,FALSE),
IF($A83&lt;'PVC SCH40 LD'!$A$22,VLOOKUP($A83,'PVC SCH40 LD'!$A$8:$M$21,6,FALSE),
IF($A83&lt;'Pool &amp; SPA Sweep Elbows'!$A$12,VLOOKUP($A83,'Pool &amp; SPA Sweep Elbows'!$A$8:$M$11,6,FALSE),
IF($A83&lt;'Pool &amp; SPA Pipe Extender'!$A$11,VLOOKUP($A83,'Pool &amp; SPA Pipe Extender'!$A$8:$M$10,6,FALSE),
IF($A83&lt;'PVC SCH80'!$A$250,VLOOKUP($A83,'PVC SCH80'!$A$8:$M$249,6,FALSE),
IF($A83&lt;'PVC SCH80 Flange'!$A$49,VLOOKUP($A83,'PVC SCH80 Flange'!$A$8:$M$48,6,FALSE),
IF($A83&lt;'PVC SCH80 LD Flange'!$A$17,VLOOKUP($A83,'PVC SCH80 LD Flange'!$A$8:$M$16,6,FALSE),
IF($A83&lt;CPVC!$A$100,VLOOKUP($A83,CPVC!$A$8:$M$99,6,FALSE),
IF($A83&lt;InsertFittings!$A$237,VLOOKUP($A83,InsertFittings!$A$11:$M$236,6,FALSE),
IF($A83&lt;Valves!$A$132,VLOOKUP($A83,Valves!$A$8:$M$131,6,FALSE),
IF($A83&lt;SDR35SW!$A$124,VLOOKUP($A83,SDR35SW!$A$8:$M$123,6,FALSE),
IF($A83&lt;SDR35G!$A$143,VLOOKUP($A83, SDR35G!$A$8:$M$142,6,FALSE),
IF($A83&lt;SDR26G!$A$61,VLOOKUP($A83,SDR26G!$A$8:$N$60,6,FALSE),
IF($A83&lt;Cements!$A$100,VLOOKUP($A83,Cements!$A$8:$Q$99,6,FALSE),
IF($A83&lt;ValveBox!$A$143,VLOOKUP($A83,ValveBox!$A$10:$O$142,6,FALSE),
IF($A83&lt;'ValveBox Components'!$A$165,VLOOKUP($A83,'ValveBox Components'!$A$10:$O$164,6,FALSE),
IF($A83&lt;Drainage!$A$92,VLOOKUP($A83,Drainage!$A$8:$M$91,6,FALSE),
IF($A83&lt;Nipples!$A$82,VLOOKUP($A83,Nipples!$A$9:$Q$81,6,FALSE),
IF($A83&lt;Manifold!$A$33,VLOOKUP($A83,Manifold!$A$9:$M$32,6,FALSE),
IF($A83&lt;FlexibleRepairCouplings!$A$13,VLOOKUP($A83,FlexibleRepairCouplings!$A$10:$M$12,6,FALSE),
IF($A83&lt;DuraFix!$A$15,VLOOKUP($A83,DuraFix!$A$9:$M$14,6,FALSE),
IF($A83&lt;'Compression Fittings'!$A$16,VLOOKUP($A83,'Compression Fittings'!$A$8:$M$15,6,FALSE),
IF($A83&lt;'Hose Fittings'!$A$30,VLOOKUP($A83,'Hose Fittings'!$A$8:$M$29,6,FALSE),
IF($A83&lt;'Swing Joints'!$A$496,VLOOKUP($A83,'Swing Joints'!$A$9:$M$495,6,FALSE),
IF($A83&lt;'Swing Joints Components'!$A$135,VLOOKUP($A83,'Swing Joints Components'!$A$9:$M$134,6,FALSE),
IF($A83&lt;Nonstandard!$A$42,VLOOKUP($A83,Nonstandard!$A$31:$J$41,7,FALSE),"")))))))))))))))))))))))))))),"")</f>
        <v/>
      </c>
      <c r="E83" s="427"/>
      <c r="F83" s="418" t="str">
        <f>IFERROR(IF($A83&lt;'DWV PVC'!$A$285,VLOOKUP($A83,'DWV PVC'!$A$8:$M$284,9,FALSE),
IF($A83&lt;'DWV ABS'!$A$117,VLOOKUP($A83,'DWV ABS'!$A$8:$M$116,9,FALSE),
IF($A83&lt;'PVC SCH40'!$A$376,VLOOKUP($A83,'PVC SCH40'!$A$8:$M$375,9,FALSE),
IF($A83&lt;'PVC SCH40 LD'!$A$22,VLOOKUP($A83,'PVC SCH40 LD'!$A$8:$M$21,9,FALSE),
IF($A83&lt;'Pool &amp; SPA Sweep Elbows'!$A$12,VLOOKUP($A83,'Pool &amp; SPA Sweep Elbows'!$A$8:$M$11,9,FALSE),
IF($A83&lt;'Pool &amp; SPA Pipe Extender'!$A$11,VLOOKUP($A83,'Pool &amp; SPA Pipe Extender'!$A$8:$M$10,9,FALSE),
IF($A83&lt;'PVC SCH80'!$A$250,VLOOKUP($A83,'PVC SCH80'!$A$8:$M$249,9,FALSE),
IF($A83&lt;'PVC SCH80 Flange'!$A$49,VLOOKUP($A83,'PVC SCH80 Flange'!$A$8:$M$48,9,FALSE),
IF($A83&lt;'PVC SCH80 LD Flange'!$A$17,VLOOKUP($A83,'PVC SCH80 LD Flange'!$A$8:$M$16,9,FALSE),
IF($A83&lt;CPVC!$A$100,VLOOKUP($A83,CPVC!$A$8:$M$99,9,FALSE),
IF($A83&lt;InsertFittings!$A$237,VLOOKUP($A83,InsertFittings!$A$11:$M$236,9,FALSE),
IF($A83&lt;Valves!$A$132,VLOOKUP($A83,Valves!$A$8:$M$131,9,FALSE),
IF($A83&lt;SDR35SW!$A$124,VLOOKUP($A83,SDR35SW!$A$8:$M$123,9,FALSE),
IF($A83&lt;SDR35G!$A$143,VLOOKUP($A83, SDR35G!$A$8:$M$142,9,FALSE),
IF($A83&lt;SDR26G!$A$61,VLOOKUP($A83,SDR26G!$A$8:$N$60,10,FALSE),
IF($A83&lt;Cements!$A$100,VLOOKUP($A83,Cements!$A$8:$Q$99,13,FALSE),
IF($A83&lt;ValveBox!$A$143,VLOOKUP($A83,ValveBox!$A$10:$O$142,11,FALSE),
IF($A83&lt;'ValveBox Components'!$A$165,VLOOKUP($A83,'ValveBox Components'!$A$10:$O$164,11,FALSE),
IF($A83&lt;Drainage!$A$92,VLOOKUP($A83,Drainage!$A$8:$M$91,9,FALSE),
IF($A83&lt;Nipples!$A$82,VLOOKUP($A83,Nipples!$A$9:$Q$81,13,FALSE),
IF($A83&lt;Manifold!$A$33,VLOOKUP($A83,Manifold!$A$9:$M$32,9,FALSE),
IF($A83&lt;FlexibleRepairCouplings!$A$13,VLOOKUP($A83,FlexibleRepairCouplings!$A$10:$M$12,9,FALSE),
IF($A83&lt;DuraFix!$A$15,VLOOKUP($A83,DuraFix!$A$9:$M$14,9,FALSE),
IF($A83&lt;'Compression Fittings'!$A$16,VLOOKUP($A83,'Compression Fittings'!$A$8:$M$15,9,FALSE),
IF($A83&lt;'Hose Fittings'!$A$30,VLOOKUP($A83,'Hose Fittings'!$A$8:$M$29,9,FALSE),
IF($A83&lt;'Swing Joints'!$A$496,VLOOKUP($A83,'Swing Joints'!$A$9:$M$495,9,FALSE),
IF($A83&lt;'Swing Joints Components'!$A$135,VLOOKUP($A83,'Swing Joints Components'!$A$9:$M$134,9,FALSE),
IF($A83&lt;Nonstandard!$A$42,VLOOKUP($A83,Nonstandard!$A$31:$J$41,8,FALSE),"")))))))))))))))))))))))))))),"")</f>
        <v/>
      </c>
      <c r="G83" s="416" t="str">
        <f>IFERROR(IF($A83&lt;'DWV PVC'!$A$285,VLOOKUP($A83,'DWV PVC'!$A$8:$M$284,11,FALSE),
IF($A83&lt;'DWV ABS'!$A$117,VLOOKUP($A83,'DWV ABS'!$A$8:$M$116,11,FALSE),
IF($A83&lt;'PVC SCH40'!$A$376,VLOOKUP($A83,'PVC SCH40'!$A$8:$M$375,11,FALSE),
IF($A83&lt;'PVC SCH40 LD'!$A$22,VLOOKUP($A83,'PVC SCH40 LD'!$A$8:$M$21,11,FALSE),
IF($A83&lt;'Pool &amp; SPA Sweep Elbows'!$A$12,VLOOKUP($A83,'Pool &amp; SPA Sweep Elbows'!$A$8:$M$11,11,FALSE),
IF($A83&lt;'Pool &amp; SPA Pipe Extender'!$A$11,VLOOKUP($A83,'Pool &amp; SPA Pipe Extender'!$A$8:$M$10,11,FALSE),
IF($A83&lt;'PVC SCH80'!$A$250,VLOOKUP($A83,'PVC SCH80'!$A$8:$M$249,11,FALSE),
IF($A83&lt;'PVC SCH80 Flange'!$A$49,VLOOKUP($A83,'PVC SCH80 Flange'!$A$8:$M$48,11,FALSE),
IF($A83&lt;'PVC SCH80 LD Flange'!$A$17,VLOOKUP($A83,'PVC SCH80 LD Flange'!$A$8:$M$16,11,FALSE),
IF($A83&lt;CPVC!$A$100,VLOOKUP($A83,CPVC!$A$8:$M$99,11,FALSE),
IF($A83&lt;InsertFittings!$A$237,VLOOKUP($A83,InsertFittings!$A$11:$M$236,11,FALSE),
IF($A83&lt;Valves!$A$132,VLOOKUP($A83,Valves!$A$8:$M$131,11,FALSE),
IF($A83&lt;SDR35SW!$A$124,VLOOKUP($A83,SDR35SW!$A$8:$M$123,11,FALSE),
IF($A83&lt;SDR35G!$A$143,VLOOKUP($A83, SDR35G!$A$8:$M$142,11,FALSE),
IF($A83&lt;SDR26G!$A$61,VLOOKUP($A83,SDR26G!$A$8:$N$60,12,FALSE),
IF($A83&lt;Cements!$A$100,VLOOKUP($A83,Cements!$A$8:$Q$99,15,FALSE),
IF($A83&lt;ValveBox!$A$143,VLOOKUP($A83,ValveBox!$A$10:$O$142,13,FALSE),
IF($A83&lt;'ValveBox Components'!$A$165,VLOOKUP($A83,'ValveBox Components'!$A$10:$O$164,13,FALSE),
IF($A83&lt;Drainage!$A$92,VLOOKUP($A83,Drainage!$A$8:$M$91,11,FALSE),
IF($A83&lt;Nipples!$A$82,VLOOKUP($A83,Nipples!$A$9:$Q$81,15,FALSE),
IF($A83&lt;Manifold!$A$33,VLOOKUP($A83,Manifold!$A$9:$M$32,11,FALSE),
IF($A83&lt;FlexibleRepairCouplings!$A$13,VLOOKUP($A83,FlexibleRepairCouplings!$A$10:$M$12,11,FALSE),
IF($A83&lt;DuraFix!$A$15,VLOOKUP($A83,DuraFix!$A$9:$M$14,11,FALSE),
IF($A83&lt;'Compression Fittings'!$A$16,VLOOKUP($A83,'Compression Fittings'!$A$8:$M$15,11,FALSE),
IF($A83&lt;'Hose Fittings'!$A$30,VLOOKUP($A83,'Hose Fittings'!$A$8:$M$29,11,FALSE),
IF($A83&lt;'Swing Joints'!$A$496,VLOOKUP($A83,'Swing Joints'!$A$9:$M$495,11,FALSE),
IF($A83&lt;'Swing Joints Components'!$A$135,VLOOKUP($A83,'Swing Joints Components'!$A$9:$M$134,11,FALSE),
IF($A83&lt;Nonstandard!$A$42,VLOOKUP($A83,Nonstandard!$A$31:$J$41,3,FALSE),"")))))))))))))))))))))))))))),"")</f>
        <v/>
      </c>
      <c r="H83" s="586" t="str">
        <f>IFERROR(IF($A83&lt;'DWV PVC'!$A$285,VLOOKUP($A83,'DWV PVC'!$A$8:$M$284,7,FALSE),
IF($A83&lt;'DWV ABS'!$A$117,VLOOKUP($A83,'DWV ABS'!$A$8:$M$116,7,FALSE),
IF($A83&lt;'PVC SCH40'!$A$376,VLOOKUP($A83,'PVC SCH40'!$A$8:$M$375,7,FALSE),
IF($A83&lt;'PVC SCH40 LD'!$A$22,VLOOKUP($A83,'PVC SCH40 LD'!$A$8:$M$21,7,FALSE),
IF($A83&lt;'Pool &amp; SPA Sweep Elbows'!$A$12,VLOOKUP($A83,'Pool &amp; SPA Sweep Elbows'!$A$8:$M$11,7,FALSE),
IF($A83&lt;'Pool &amp; SPA Pipe Extender'!$A$11,VLOOKUP($A83,'Pool &amp; SPA Pipe Extender'!$A$8:$M$10,7,FALSE),
IF($A83&lt;'PVC SCH80'!$A$250,VLOOKUP($A83,'PVC SCH80'!$A$8:$M$249,7,FALSE),
IF($A83&lt;'PVC SCH80 Flange'!$A$49,VLOOKUP($A83,'PVC SCH80 Flange'!$A$8:$M$48,7,FALSE),
IF($A83&lt;'PVC SCH80 LD Flange'!$A$17,VLOOKUP($A83,'PVC SCH80 LD Flange'!$A$8:$M$16,7,FALSE),
IF($A83&lt;CPVC!$A$100,VLOOKUP($A83,CPVC!$A$8:$M$99,7,FALSE),
IF($A83&lt;InsertFittings!$A$237,VLOOKUP($A83,InsertFittings!$A$11:$M$236,7,FALSE),
IF($A83&lt;Valves!$A$132,VLOOKUP($A83,Valves!$A$8:$M$131,7,FALSE),
IF($A83&lt;SDR35SW!$A$124,VLOOKUP($A83,SDR35SW!$A$8:$M$123,7,FALSE),
IF($A83&lt;SDR35G!$A$143,VLOOKUP($A83, SDR35G!$A$8:$M$142,7,FALSE),
IF($A83&lt;SDR26G!$A$61,VLOOKUP($A83,SDR26G!$A$8:$N$60,10,FALSE),
IF($A83&lt;Cements!$A$100,VLOOKUP($A83,Cements!$A$8:$Q$99,13,FALSE),
IF($A83&lt;ValveBox!$A$143,VLOOKUP($A83,ValveBox!$A$10:$O$142,11,FALSE),
IF($A83&lt;'ValveBox Components'!$A$165,VLOOKUP($A83,'ValveBox Components'!$A$10:$O$164,11,FALSE),
IF($A83&lt;Drainage!$A$92,VLOOKUP($A83,Drainage!$A$8:$M$91,7,FALSE),
IF($A83&lt;Nipples!$A$82,VLOOKUP($A83,Nipples!$A$9:$Q$81,13,FALSE),
IF($A83&lt;Manifold!$A$33,VLOOKUP($A83,Manifold!$A$9:$M$32,7,FALSE),
IF($A83&lt;FlexibleRepairCouplings!$A$13,VLOOKUP($A83,FlexibleRepairCouplings!$A$10:$M$12,7,FALSE),
IF($A83&lt;DuraFix!$A$15,VLOOKUP($A83,DuraFix!$A$9:$M$14,7,FALSE),
IF($A83&lt;'Compression Fittings'!$A$16,VLOOKUP($A83,'Compression Fittings'!$A$8:$M$15,7,FALSE),
IF($A83&lt;'Hose Fittings'!$A$30,VLOOKUP($A83,'Hose Fittings'!$A$8:$M$29,7,FALSE),
IF($A83&lt;'Swing Joints'!$A$496,VLOOKUP($A83,'Swing Joints'!$A$9:$M$495,7,FALSE),
IF($A83&lt;'Swing Joints Components'!$A$135,VLOOKUP($A83,'Swing Joints Components'!$A$9:$M$134,7,FALSE),
IF($A83&lt;Nonstandard!$A$42,VLOOKUP($A83,Nonstandard!$A$31:$J$41,3,FALSE),"")))))))))))))))))))))))))))),"")</f>
        <v/>
      </c>
      <c r="I83" s="587"/>
      <c r="J83" s="383" t="str">
        <f t="shared" si="1"/>
        <v/>
      </c>
      <c r="K83" s="417" t="str">
        <f>IFERROR(IF($A83&lt;'DWV PVC'!$A$285,VLOOKUP($A83,'DWV PVC'!$A$8:$M$284,10,FALSE),
IF($A83&lt;'DWV ABS'!$A$117,VLOOKUP($A83,'DWV ABS'!$A$8:$M$116,10,FALSE),
IF($A83&lt;'PVC SCH40'!$A$376,VLOOKUP($A83,'PVC SCH40'!$A$8:$M$375,10,FALSE),
IF($A83&lt;'PVC SCH40 LD'!$A$22,VLOOKUP($A83,'PVC SCH40 LD'!$A$8:$M$21,10,FALSE),
IF($A83&lt;'Pool &amp; SPA Sweep Elbows'!$A$12,VLOOKUP($A83,'Pool &amp; SPA Sweep Elbows'!$A$8:$M$11,10,FALSE),
IF($A83&lt;'Pool &amp; SPA Pipe Extender'!$A$11,VLOOKUP($A83,'Pool &amp; SPA Pipe Extender'!$A$8:$M$10,10,FALSE),
IF($A83&lt;'PVC SCH80'!$A$250,VLOOKUP($A83,'PVC SCH80'!$A$8:$M$249,10,FALSE),
IF($A83&lt;'PVC SCH80 Flange'!$A$49,VLOOKUP($A83,'PVC SCH80 Flange'!$A$8:$M$48,10,FALSE),
IF($A83&lt;'PVC SCH80 LD Flange'!$A$17,VLOOKUP($A83,'PVC SCH80 LD Flange'!$A$8:$M$16,10,FALSE),
IF($A83&lt;CPVC!$A$100,VLOOKUP($A83,CPVC!$A$8:$M$99,10,FALSE),
IF($A83&lt;InsertFittings!$A$237,VLOOKUP($A83,InsertFittings!$A$11:$M$236,10,FALSE),
IF($A83&lt;Valves!$A$132,VLOOKUP($A83,Valves!$A$8:$M$131,10,FALSE),
IF($A83&lt;SDR35SW!$A$124,VLOOKUP($A83,SDR35SW!$A$8:$M$123,10,FALSE),
IF($A83&lt;SDR35G!$A$143,VLOOKUP($A83, SDR35G!$A$8:$M$142,10,FALSE),
IF($A83&lt;SDR26G!$A$61,VLOOKUP($A83,SDR26G!$A$8:$N$60,11,FALSE),
IF($A83&lt;Cements!$A$100,VLOOKUP($A83,Cements!$A$8:$Q$99,14,FALSE),
IF($A83&lt;ValveBox!$A$143,VLOOKUP($A83,ValveBox!$A$10:$O$142,12,FALSE),
IF($A83&lt;'ValveBox Components'!$A$165,VLOOKUP($A83,'ValveBox Components'!$A$10:$O$164,12,FALSE),
IF($A83&lt;Drainage!$A$92,VLOOKUP($A83,Drainage!$A$8:$M$91,10,FALSE),
IF($A83&lt;Nipples!$A$82,VLOOKUP($A83,Nipples!$A$9:$Q$81,14,FALSE),
IF($A83&lt;Manifold!$A$33,VLOOKUP($A83,Manifold!$A$9:$M$32,10,FALSE),
IF($A83&lt;FlexibleRepairCouplings!$A$13,VLOOKUP($A83,FlexibleRepairCouplings!$A$10:$M$12,10,FALSE),
IF($A83&lt;DuraFix!$A$15,VLOOKUP($A83,DuraFix!$A$9:$M$14,10,FALSE),
IF($A83&lt;'Compression Fittings'!$A$16,VLOOKUP($A83,'Compression Fittings'!$A$8:$M$15,10,FALSE),
IF($A83&lt;'Hose Fittings'!$A$30,VLOOKUP($A83,'Hose Fittings'!$A$8:$M$29,10,FALSE),
IF($A83&lt;'Swing Joints'!$A$496,VLOOKUP($A83,'Swing Joints'!$A$9:$M$495,10,FALSE),
IF($A83&lt;'Swing Joints Components'!$A$135,VLOOKUP($A83,'Swing Joints Components'!$A$9:$M$134,10,FALSE),
IF($A83&lt;Nonstandard!$A$42,VLOOKUP($A83,Nonstandard!$A$31:$J$41,10,FALSE),"")))))))))))))))))))))))))))),"")</f>
        <v/>
      </c>
      <c r="L83" s="418" t="str">
        <f t="shared" si="0"/>
        <v>-</v>
      </c>
      <c r="M83" s="419"/>
    </row>
    <row r="84" spans="1:13" ht="15.75">
      <c r="A84" s="420">
        <v>52</v>
      </c>
      <c r="B84" s="420" t="str">
        <f>IFERROR(IF($A84&lt;'DWV PVC'!$A$285,VLOOKUP($A84,'DWV PVC'!$A$8:$M$284,4,FALSE),
IF($A84&lt;'DWV ABS'!$A$117,VLOOKUP($A84,'DWV ABS'!$A$8:$M$116,4,FALSE),
IF($A84&lt;'PVC SCH40'!$A$376,VLOOKUP($A84,'PVC SCH40'!$A$8:$M$375,4,FALSE),
IF($A84&lt;'PVC SCH40 LD'!$A$22,VLOOKUP($A84,'PVC SCH40 LD'!$A$8:$M$21,4,FALSE),
IF($A84&lt;'Pool &amp; SPA Sweep Elbows'!$A$12,VLOOKUP($A84,'Pool &amp; SPA Sweep Elbows'!$A$8:$M$11,4,FALSE),
IF($A84&lt;'Pool &amp; SPA Pipe Extender'!$A$11,VLOOKUP($A84,'Pool &amp; SPA Pipe Extender'!$A$8:$M$10,4,FALSE),
IF($A84&lt;'PVC SCH80'!$A$250,VLOOKUP($A84,'PVC SCH80'!$A$8:$M$249,4,FALSE),
IF($A84&lt;'PVC SCH80 Flange'!$A$49,VLOOKUP($A84,'PVC SCH80 Flange'!$A$8:$M$48,4,FALSE),
IF($A84&lt;'PVC SCH80 LD Flange'!$A$17,VLOOKUP($A84,'PVC SCH80 LD Flange'!$A$8:$M$16,4,FALSE),
IF($A84&lt;CPVC!$A$100,VLOOKUP($A84,CPVC!$A$8:$M$99,4,FALSE),
IF($A84&lt;InsertFittings!$A$237,VLOOKUP($A84,InsertFittings!$A$11:$M$236,4,FALSE),
IF($A84&lt;Valves!$A$132,VLOOKUP($A84,Valves!$A$8:$M$131,4,FALSE),
IF($A84&lt;SDR35SW!$A$124,VLOOKUP($A84,SDR35SW!$A$8:$M$123,4,FALSE),
IF($A84&lt;SDR35G!$A$143,VLOOKUP($A84, SDR35G!$A$8:$M$142,4,FALSE),
IF($A84&lt;SDR26G!$A$61,VLOOKUP($A84,SDR26G!$A$8:$N$60,4,FALSE),
IF($A84&lt;Cements!$A$100,VLOOKUP($A84,Cements!$A$8:$Q$99,4,FALSE),
IF($A84&lt;ValveBox!$A$143,VLOOKUP($A84,ValveBox!$A$10:$O$142,4,FALSE),
IF($A84&lt;'ValveBox Components'!$A$165,VLOOKUP($A84,'ValveBox Components'!$A$10:$O$164,4,FALSE),
IF($A84&lt;Drainage!$A$92,VLOOKUP($A84,Drainage!$A$8:$M$91,4,FALSE),
IF($A84&lt;Nipples!$A$82,VLOOKUP($A84,Nipples!$A$9:$Q$81,4,FALSE),
IF($A84&lt;Manifold!$A$33,VLOOKUP($A84,Manifold!$A$9:$M$32,4,FALSE),
IF($A84&lt;FlexibleRepairCouplings!$A$13,VLOOKUP($A84,FlexibleRepairCouplings!$A$10:$M$12,4,FALSE),
IF($A84&lt;DuraFix!$A$15,VLOOKUP($A84,DuraFix!$A$9:$M$14,4,FALSE),
IF($A84&lt;'Compression Fittings'!$A$16,VLOOKUP($A84,'Compression Fittings'!$A$8:$M$15,4,FALSE),
IF($A84&lt;'Hose Fittings'!$A$30,VLOOKUP($A84,'Hose Fittings'!$A$8:$M$29,4,FALSE),
IF($A84&lt;'Swing Joints'!$A$496,VLOOKUP($A84,'Swing Joints'!$A$9:$M$495,4,FALSE),
IF($A84&lt;'Swing Joints Components'!$A$135,VLOOKUP($A84,'Swing Joints Components'!$A$9:$M$134,4,FALSE),
IF($A84&lt;Nonstandard!$A$42,VLOOKUP($A84,Nonstandard!$A$31:$J$41,5,FALSE),"")))))))))))))))))))))))))))),"")</f>
        <v/>
      </c>
      <c r="C84" s="420" t="str">
        <f>IFERROR(IF($A84&lt;'DWV PVC'!$A$285,VLOOKUP($A84,'DWV PVC'!$A$8:$M$284,5,FALSE),
IF($A84&lt;'DWV ABS'!$A$117,VLOOKUP($A84,'DWV ABS'!$A$8:$M$116,5,FALSE),
IF($A84&lt;'PVC SCH40'!$A$376,VLOOKUP($A84,'PVC SCH40'!$A$8:$M$375,5,FALSE),
IF($A84&lt;'PVC SCH40 LD'!$A$22,VLOOKUP($A84,'PVC SCH40 LD'!$A$8:$M$21,5,FALSE),
IF($A84&lt;'Pool &amp; SPA Sweep Elbows'!$A$12,VLOOKUP($A84,'Pool &amp; SPA Sweep Elbows'!$A$8:$M$11,5,FALSE),
IF($A84&lt;'Pool &amp; SPA Pipe Extender'!$A$11,VLOOKUP($A84,'Pool &amp; SPA Pipe Extender'!$A$8:$M$10,5,FALSE),
IF($A84&lt;'PVC SCH80'!$A$250,VLOOKUP($A84,'PVC SCH80'!$A$8:$M$249,5,FALSE),
IF($A84&lt;'PVC SCH80 Flange'!$A$49,VLOOKUP($A84,'PVC SCH80 Flange'!$A$8:$M$48,5,FALSE),
IF($A84&lt;'PVC SCH80 LD Flange'!$A$17,VLOOKUP($A84,'PVC SCH80 LD Flange'!$A$8:$M$16,5,FALSE),
IF($A84&lt;CPVC!$A$100,VLOOKUP($A84,CPVC!$A$8:$M$99,5,FALSE),
IF($A84&lt;InsertFittings!$A$237,VLOOKUP($A84,InsertFittings!$A$11:$M$236,5,FALSE),
IF($A84&lt;Valves!$A$132,VLOOKUP($A84,Valves!$A$8:$M$131,5,FALSE),
IF($A84&lt;SDR35SW!$A$124,VLOOKUP($A84,SDR35SW!$A$8:$M$123,5,FALSE),
IF($A84&lt;SDR35G!$A$143,VLOOKUP($A84, SDR35G!$A$8:$M$142,5,FALSE),
IF($A84&lt;SDR26G!$A$61,VLOOKUP($A84,SDR26G!$A$8:$N$60,5,FALSE),
IF($A84&lt;Cements!$A$100,VLOOKUP($A84,Cements!$A$8:$Q$99,5,FALSE),
IF($A84&lt;ValveBox!$A$143,VLOOKUP($A84,ValveBox!$A$10:$O$142,5,FALSE),
IF($A84&lt;'ValveBox Components'!$A$165,VLOOKUP($A84,'ValveBox Components'!$A$10:$O$164,5,FALSE),
IF($A84&lt;Drainage!$A$92,VLOOKUP($A84,Drainage!$A$8:$M$91,5,FALSE),
IF($A84&lt;Nipples!$A$82,VLOOKUP($A84,Nipples!$A$9:$Q$81,5,FALSE),
IF($A84&lt;Manifold!$A$33,VLOOKUP($A84,Manifold!$A$9:$M$32,5,FALSE),
IF($A84&lt;FlexibleRepairCouplings!$A$13,VLOOKUP($A84,FlexibleRepairCouplings!$A$10:$M$12,5,FALSE),
IF($A84&lt;DuraFix!$A$15,VLOOKUP($A84,DuraFix!$A$9:$M$14,5,FALSE),
IF($A84&lt;'Compression Fittings'!$A$16,VLOOKUP($A84,'Compression Fittings'!$A$8:$M$15,5,FALSE),
IF($A84&lt;'Hose Fittings'!$A$30,VLOOKUP($A84,'Hose Fittings'!$A$8:$M$29,5,FALSE),
IF($A84&lt;'Swing Joints'!$A$496,VLOOKUP($A84,'Swing Joints'!$A$9:$M$495,5,FALSE),
IF($A84&lt;'Swing Joints Components'!$A$135,VLOOKUP($A84,'Swing Joints Components'!$A$9:$M$134,5,FALSE),
IF($A84&lt;Nonstandard!$A$42,VLOOKUP($A84,Nonstandard!$A$31:$J$41,6,FALSE),"")))))))))))))))))))))))))))),"")</f>
        <v/>
      </c>
      <c r="D84" s="428" t="str">
        <f>IFERROR(IF($A84&lt;'DWV PVC'!$A$285,VLOOKUP($A84,'DWV PVC'!$A$8:$M$284,6,FALSE),
IF($A84&lt;'DWV ABS'!$A$117,VLOOKUP($A84,'DWV ABS'!$A$8:$M$116,6,FALSE),
IF($A84&lt;'PVC SCH40'!$A$376,VLOOKUP($A84,'PVC SCH40'!$A$8:$M$375,6,FALSE),
IF($A84&lt;'PVC SCH40 LD'!$A$22,VLOOKUP($A84,'PVC SCH40 LD'!$A$8:$M$21,6,FALSE),
IF($A84&lt;'Pool &amp; SPA Sweep Elbows'!$A$12,VLOOKUP($A84,'Pool &amp; SPA Sweep Elbows'!$A$8:$M$11,6,FALSE),
IF($A84&lt;'Pool &amp; SPA Pipe Extender'!$A$11,VLOOKUP($A84,'Pool &amp; SPA Pipe Extender'!$A$8:$M$10,6,FALSE),
IF($A84&lt;'PVC SCH80'!$A$250,VLOOKUP($A84,'PVC SCH80'!$A$8:$M$249,6,FALSE),
IF($A84&lt;'PVC SCH80 Flange'!$A$49,VLOOKUP($A84,'PVC SCH80 Flange'!$A$8:$M$48,6,FALSE),
IF($A84&lt;'PVC SCH80 LD Flange'!$A$17,VLOOKUP($A84,'PVC SCH80 LD Flange'!$A$8:$M$16,6,FALSE),
IF($A84&lt;CPVC!$A$100,VLOOKUP($A84,CPVC!$A$8:$M$99,6,FALSE),
IF($A84&lt;InsertFittings!$A$237,VLOOKUP($A84,InsertFittings!$A$11:$M$236,6,FALSE),
IF($A84&lt;Valves!$A$132,VLOOKUP($A84,Valves!$A$8:$M$131,6,FALSE),
IF($A84&lt;SDR35SW!$A$124,VLOOKUP($A84,SDR35SW!$A$8:$M$123,6,FALSE),
IF($A84&lt;SDR35G!$A$143,VLOOKUP($A84, SDR35G!$A$8:$M$142,6,FALSE),
IF($A84&lt;SDR26G!$A$61,VLOOKUP($A84,SDR26G!$A$8:$N$60,6,FALSE),
IF($A84&lt;Cements!$A$100,VLOOKUP($A84,Cements!$A$8:$Q$99,6,FALSE),
IF($A84&lt;ValveBox!$A$143,VLOOKUP($A84,ValveBox!$A$10:$O$142,6,FALSE),
IF($A84&lt;'ValveBox Components'!$A$165,VLOOKUP($A84,'ValveBox Components'!$A$10:$O$164,6,FALSE),
IF($A84&lt;Drainage!$A$92,VLOOKUP($A84,Drainage!$A$8:$M$91,6,FALSE),
IF($A84&lt;Nipples!$A$82,VLOOKUP($A84,Nipples!$A$9:$Q$81,6,FALSE),
IF($A84&lt;Manifold!$A$33,VLOOKUP($A84,Manifold!$A$9:$M$32,6,FALSE),
IF($A84&lt;FlexibleRepairCouplings!$A$13,VLOOKUP($A84,FlexibleRepairCouplings!$A$10:$M$12,6,FALSE),
IF($A84&lt;DuraFix!$A$15,VLOOKUP($A84,DuraFix!$A$9:$M$14,6,FALSE),
IF($A84&lt;'Compression Fittings'!$A$16,VLOOKUP($A84,'Compression Fittings'!$A$8:$M$15,6,FALSE),
IF($A84&lt;'Hose Fittings'!$A$30,VLOOKUP($A84,'Hose Fittings'!$A$8:$M$29,6,FALSE),
IF($A84&lt;'Swing Joints'!$A$496,VLOOKUP($A84,'Swing Joints'!$A$9:$M$495,6,FALSE),
IF($A84&lt;'Swing Joints Components'!$A$135,VLOOKUP($A84,'Swing Joints Components'!$A$9:$M$134,6,FALSE),
IF($A84&lt;Nonstandard!$A$42,VLOOKUP($A84,Nonstandard!$A$31:$J$41,7,FALSE),"")))))))))))))))))))))))))))),"")</f>
        <v/>
      </c>
      <c r="E84" s="429"/>
      <c r="F84" s="421" t="str">
        <f>IFERROR(IF($A84&lt;'DWV PVC'!$A$285,VLOOKUP($A84,'DWV PVC'!$A$8:$M$284,9,FALSE),
IF($A84&lt;'DWV ABS'!$A$117,VLOOKUP($A84,'DWV ABS'!$A$8:$M$116,9,FALSE),
IF($A84&lt;'PVC SCH40'!$A$376,VLOOKUP($A84,'PVC SCH40'!$A$8:$M$375,9,FALSE),
IF($A84&lt;'PVC SCH40 LD'!$A$22,VLOOKUP($A84,'PVC SCH40 LD'!$A$8:$M$21,9,FALSE),
IF($A84&lt;'Pool &amp; SPA Sweep Elbows'!$A$12,VLOOKUP($A84,'Pool &amp; SPA Sweep Elbows'!$A$8:$M$11,9,FALSE),
IF($A84&lt;'Pool &amp; SPA Pipe Extender'!$A$11,VLOOKUP($A84,'Pool &amp; SPA Pipe Extender'!$A$8:$M$10,9,FALSE),
IF($A84&lt;'PVC SCH80'!$A$250,VLOOKUP($A84,'PVC SCH80'!$A$8:$M$249,9,FALSE),
IF($A84&lt;'PVC SCH80 Flange'!$A$49,VLOOKUP($A84,'PVC SCH80 Flange'!$A$8:$M$48,9,FALSE),
IF($A84&lt;'PVC SCH80 LD Flange'!$A$17,VLOOKUP($A84,'PVC SCH80 LD Flange'!$A$8:$M$16,9,FALSE),
IF($A84&lt;CPVC!$A$100,VLOOKUP($A84,CPVC!$A$8:$M$99,9,FALSE),
IF($A84&lt;InsertFittings!$A$237,VLOOKUP($A84,InsertFittings!$A$11:$M$236,9,FALSE),
IF($A84&lt;Valves!$A$132,VLOOKUP($A84,Valves!$A$8:$M$131,9,FALSE),
IF($A84&lt;SDR35SW!$A$124,VLOOKUP($A84,SDR35SW!$A$8:$M$123,9,FALSE),
IF($A84&lt;SDR35G!$A$143,VLOOKUP($A84, SDR35G!$A$8:$M$142,9,FALSE),
IF($A84&lt;SDR26G!$A$61,VLOOKUP($A84,SDR26G!$A$8:$N$60,10,FALSE),
IF($A84&lt;Cements!$A$100,VLOOKUP($A84,Cements!$A$8:$Q$99,13,FALSE),
IF($A84&lt;ValveBox!$A$143,VLOOKUP($A84,ValveBox!$A$10:$O$142,11,FALSE),
IF($A84&lt;'ValveBox Components'!$A$165,VLOOKUP($A84,'ValveBox Components'!$A$10:$O$164,11,FALSE),
IF($A84&lt;Drainage!$A$92,VLOOKUP($A84,Drainage!$A$8:$M$91,9,FALSE),
IF($A84&lt;Nipples!$A$82,VLOOKUP($A84,Nipples!$A$9:$Q$81,13,FALSE),
IF($A84&lt;Manifold!$A$33,VLOOKUP($A84,Manifold!$A$9:$M$32,9,FALSE),
IF($A84&lt;FlexibleRepairCouplings!$A$13,VLOOKUP($A84,FlexibleRepairCouplings!$A$10:$M$12,9,FALSE),
IF($A84&lt;DuraFix!$A$15,VLOOKUP($A84,DuraFix!$A$9:$M$14,9,FALSE),
IF($A84&lt;'Compression Fittings'!$A$16,VLOOKUP($A84,'Compression Fittings'!$A$8:$M$15,9,FALSE),
IF($A84&lt;'Hose Fittings'!$A$30,VLOOKUP($A84,'Hose Fittings'!$A$8:$M$29,9,FALSE),
IF($A84&lt;'Swing Joints'!$A$496,VLOOKUP($A84,'Swing Joints'!$A$9:$M$495,9,FALSE),
IF($A84&lt;'Swing Joints Components'!$A$135,VLOOKUP($A84,'Swing Joints Components'!$A$9:$M$134,9,FALSE),
IF($A84&lt;Nonstandard!$A$42,VLOOKUP($A84,Nonstandard!$A$31:$J$41,8,FALSE),"")))))))))))))))))))))))))))),"")</f>
        <v/>
      </c>
      <c r="G84" s="422" t="str">
        <f>IFERROR(IF($A84&lt;'DWV PVC'!$A$285,VLOOKUP($A84,'DWV PVC'!$A$8:$M$284,11,FALSE),
IF($A84&lt;'DWV ABS'!$A$117,VLOOKUP($A84,'DWV ABS'!$A$8:$M$116,11,FALSE),
IF($A84&lt;'PVC SCH40'!$A$376,VLOOKUP($A84,'PVC SCH40'!$A$8:$M$375,11,FALSE),
IF($A84&lt;'PVC SCH40 LD'!$A$22,VLOOKUP($A84,'PVC SCH40 LD'!$A$8:$M$21,11,FALSE),
IF($A84&lt;'Pool &amp; SPA Sweep Elbows'!$A$12,VLOOKUP($A84,'Pool &amp; SPA Sweep Elbows'!$A$8:$M$11,11,FALSE),
IF($A84&lt;'Pool &amp; SPA Pipe Extender'!$A$11,VLOOKUP($A84,'Pool &amp; SPA Pipe Extender'!$A$8:$M$10,11,FALSE),
IF($A84&lt;'PVC SCH80'!$A$250,VLOOKUP($A84,'PVC SCH80'!$A$8:$M$249,11,FALSE),
IF($A84&lt;'PVC SCH80 Flange'!$A$49,VLOOKUP($A84,'PVC SCH80 Flange'!$A$8:$M$48,11,FALSE),
IF($A84&lt;'PVC SCH80 LD Flange'!$A$17,VLOOKUP($A84,'PVC SCH80 LD Flange'!$A$8:$M$16,11,FALSE),
IF($A84&lt;CPVC!$A$100,VLOOKUP($A84,CPVC!$A$8:$M$99,11,FALSE),
IF($A84&lt;InsertFittings!$A$237,VLOOKUP($A84,InsertFittings!$A$11:$M$236,11,FALSE),
IF($A84&lt;Valves!$A$132,VLOOKUP($A84,Valves!$A$8:$M$131,11,FALSE),
IF($A84&lt;SDR35SW!$A$124,VLOOKUP($A84,SDR35SW!$A$8:$M$123,11,FALSE),
IF($A84&lt;SDR35G!$A$143,VLOOKUP($A84, SDR35G!$A$8:$M$142,11,FALSE),
IF($A84&lt;SDR26G!$A$61,VLOOKUP($A84,SDR26G!$A$8:$N$60,12,FALSE),
IF($A84&lt;Cements!$A$100,VLOOKUP($A84,Cements!$A$8:$Q$99,15,FALSE),
IF($A84&lt;ValveBox!$A$143,VLOOKUP($A84,ValveBox!$A$10:$O$142,13,FALSE),
IF($A84&lt;'ValveBox Components'!$A$165,VLOOKUP($A84,'ValveBox Components'!$A$10:$O$164,13,FALSE),
IF($A84&lt;Drainage!$A$92,VLOOKUP($A84,Drainage!$A$8:$M$91,11,FALSE),
IF($A84&lt;Nipples!$A$82,VLOOKUP($A84,Nipples!$A$9:$Q$81,15,FALSE),
IF($A84&lt;Manifold!$A$33,VLOOKUP($A84,Manifold!$A$9:$M$32,11,FALSE),
IF($A84&lt;FlexibleRepairCouplings!$A$13,VLOOKUP($A84,FlexibleRepairCouplings!$A$10:$M$12,11,FALSE),
IF($A84&lt;DuraFix!$A$15,VLOOKUP($A84,DuraFix!$A$9:$M$14,11,FALSE),
IF($A84&lt;'Compression Fittings'!$A$16,VLOOKUP($A84,'Compression Fittings'!$A$8:$M$15,11,FALSE),
IF($A84&lt;'Hose Fittings'!$A$30,VLOOKUP($A84,'Hose Fittings'!$A$8:$M$29,11,FALSE),
IF($A84&lt;'Swing Joints'!$A$496,VLOOKUP($A84,'Swing Joints'!$A$9:$M$495,11,FALSE),
IF($A84&lt;'Swing Joints Components'!$A$135,VLOOKUP($A84,'Swing Joints Components'!$A$9:$M$134,11,FALSE),
IF($A84&lt;Nonstandard!$A$42,VLOOKUP($A84,Nonstandard!$A$31:$J$41,3,FALSE),"")))))))))))))))))))))))))))),"")</f>
        <v/>
      </c>
      <c r="H84" s="588" t="str">
        <f>IFERROR(IF($A84&lt;'DWV PVC'!$A$285,VLOOKUP($A84,'DWV PVC'!$A$8:$M$284,7,FALSE),
IF($A84&lt;'DWV ABS'!$A$117,VLOOKUP($A84,'DWV ABS'!$A$8:$M$116,7,FALSE),
IF($A84&lt;'PVC SCH40'!$A$376,VLOOKUP($A84,'PVC SCH40'!$A$8:$M$375,7,FALSE),
IF($A84&lt;'PVC SCH40 LD'!$A$22,VLOOKUP($A84,'PVC SCH40 LD'!$A$8:$M$21,7,FALSE),
IF($A84&lt;'Pool &amp; SPA Sweep Elbows'!$A$12,VLOOKUP($A84,'Pool &amp; SPA Sweep Elbows'!$A$8:$M$11,7,FALSE),
IF($A84&lt;'Pool &amp; SPA Pipe Extender'!$A$11,VLOOKUP($A84,'Pool &amp; SPA Pipe Extender'!$A$8:$M$10,7,FALSE),
IF($A84&lt;'PVC SCH80'!$A$250,VLOOKUP($A84,'PVC SCH80'!$A$8:$M$249,7,FALSE),
IF($A84&lt;'PVC SCH80 Flange'!$A$49,VLOOKUP($A84,'PVC SCH80 Flange'!$A$8:$M$48,7,FALSE),
IF($A84&lt;'PVC SCH80 LD Flange'!$A$17,VLOOKUP($A84,'PVC SCH80 LD Flange'!$A$8:$M$16,7,FALSE),
IF($A84&lt;CPVC!$A$100,VLOOKUP($A84,CPVC!$A$8:$M$99,7,FALSE),
IF($A84&lt;InsertFittings!$A$237,VLOOKUP($A84,InsertFittings!$A$11:$M$236,7,FALSE),
IF($A84&lt;Valves!$A$132,VLOOKUP($A84,Valves!$A$8:$M$131,7,FALSE),
IF($A84&lt;SDR35SW!$A$124,VLOOKUP($A84,SDR35SW!$A$8:$M$123,7,FALSE),
IF($A84&lt;SDR35G!$A$143,VLOOKUP($A84, SDR35G!$A$8:$M$142,7,FALSE),
IF($A84&lt;SDR26G!$A$61,VLOOKUP($A84,SDR26G!$A$8:$N$60,10,FALSE),
IF($A84&lt;Cements!$A$100,VLOOKUP($A84,Cements!$A$8:$Q$99,13,FALSE),
IF($A84&lt;ValveBox!$A$143,VLOOKUP($A84,ValveBox!$A$10:$O$142,11,FALSE),
IF($A84&lt;'ValveBox Components'!$A$165,VLOOKUP($A84,'ValveBox Components'!$A$10:$O$164,11,FALSE),
IF($A84&lt;Drainage!$A$92,VLOOKUP($A84,Drainage!$A$8:$M$91,7,FALSE),
IF($A84&lt;Nipples!$A$82,VLOOKUP($A84,Nipples!$A$9:$Q$81,13,FALSE),
IF($A84&lt;Manifold!$A$33,VLOOKUP($A84,Manifold!$A$9:$M$32,7,FALSE),
IF($A84&lt;FlexibleRepairCouplings!$A$13,VLOOKUP($A84,FlexibleRepairCouplings!$A$10:$M$12,7,FALSE),
IF($A84&lt;DuraFix!$A$15,VLOOKUP($A84,DuraFix!$A$9:$M$14,7,FALSE),
IF($A84&lt;'Compression Fittings'!$A$16,VLOOKUP($A84,'Compression Fittings'!$A$8:$M$15,7,FALSE),
IF($A84&lt;'Hose Fittings'!$A$30,VLOOKUP($A84,'Hose Fittings'!$A$8:$M$29,7,FALSE),
IF($A84&lt;'Swing Joints'!$A$496,VLOOKUP($A84,'Swing Joints'!$A$9:$M$495,7,FALSE),
IF($A84&lt;'Swing Joints Components'!$A$135,VLOOKUP($A84,'Swing Joints Components'!$A$9:$M$134,7,FALSE),
IF($A84&lt;Nonstandard!$A$42,VLOOKUP($A84,Nonstandard!$A$31:$J$41,3,FALSE),"")))))))))))))))))))))))))))),"")</f>
        <v/>
      </c>
      <c r="I84" s="589"/>
      <c r="J84" s="423" t="str">
        <f t="shared" si="1"/>
        <v/>
      </c>
      <c r="K84" s="424" t="str">
        <f>IFERROR(IF($A84&lt;'DWV PVC'!$A$285,VLOOKUP($A84,'DWV PVC'!$A$8:$M$284,10,FALSE),
IF($A84&lt;'DWV ABS'!$A$117,VLOOKUP($A84,'DWV ABS'!$A$8:$M$116,10,FALSE),
IF($A84&lt;'PVC SCH40'!$A$376,VLOOKUP($A84,'PVC SCH40'!$A$8:$M$375,10,FALSE),
IF($A84&lt;'PVC SCH40 LD'!$A$22,VLOOKUP($A84,'PVC SCH40 LD'!$A$8:$M$21,10,FALSE),
IF($A84&lt;'Pool &amp; SPA Sweep Elbows'!$A$12,VLOOKUP($A84,'Pool &amp; SPA Sweep Elbows'!$A$8:$M$11,10,FALSE),
IF($A84&lt;'Pool &amp; SPA Pipe Extender'!$A$11,VLOOKUP($A84,'Pool &amp; SPA Pipe Extender'!$A$8:$M$10,10,FALSE),
IF($A84&lt;'PVC SCH80'!$A$250,VLOOKUP($A84,'PVC SCH80'!$A$8:$M$249,10,FALSE),
IF($A84&lt;'PVC SCH80 Flange'!$A$49,VLOOKUP($A84,'PVC SCH80 Flange'!$A$8:$M$48,10,FALSE),
IF($A84&lt;'PVC SCH80 LD Flange'!$A$17,VLOOKUP($A84,'PVC SCH80 LD Flange'!$A$8:$M$16,10,FALSE),
IF($A84&lt;CPVC!$A$100,VLOOKUP($A84,CPVC!$A$8:$M$99,10,FALSE),
IF($A84&lt;InsertFittings!$A$237,VLOOKUP($A84,InsertFittings!$A$11:$M$236,10,FALSE),
IF($A84&lt;Valves!$A$132,VLOOKUP($A84,Valves!$A$8:$M$131,10,FALSE),
IF($A84&lt;SDR35SW!$A$124,VLOOKUP($A84,SDR35SW!$A$8:$M$123,10,FALSE),
IF($A84&lt;SDR35G!$A$143,VLOOKUP($A84, SDR35G!$A$8:$M$142,10,FALSE),
IF($A84&lt;SDR26G!$A$61,VLOOKUP($A84,SDR26G!$A$8:$N$60,11,FALSE),
IF($A84&lt;Cements!$A$100,VLOOKUP($A84,Cements!$A$8:$Q$99,14,FALSE),
IF($A84&lt;ValveBox!$A$143,VLOOKUP($A84,ValveBox!$A$10:$O$142,12,FALSE),
IF($A84&lt;'ValveBox Components'!$A$165,VLOOKUP($A84,'ValveBox Components'!$A$10:$O$164,12,FALSE),
IF($A84&lt;Drainage!$A$92,VLOOKUP($A84,Drainage!$A$8:$M$91,10,FALSE),
IF($A84&lt;Nipples!$A$82,VLOOKUP($A84,Nipples!$A$9:$Q$81,14,FALSE),
IF($A84&lt;Manifold!$A$33,VLOOKUP($A84,Manifold!$A$9:$M$32,10,FALSE),
IF($A84&lt;FlexibleRepairCouplings!$A$13,VLOOKUP($A84,FlexibleRepairCouplings!$A$10:$M$12,10,FALSE),
IF($A84&lt;DuraFix!$A$15,VLOOKUP($A84,DuraFix!$A$9:$M$14,10,FALSE),
IF($A84&lt;'Compression Fittings'!$A$16,VLOOKUP($A84,'Compression Fittings'!$A$8:$M$15,10,FALSE),
IF($A84&lt;'Hose Fittings'!$A$30,VLOOKUP($A84,'Hose Fittings'!$A$8:$M$29,10,FALSE),
IF($A84&lt;'Swing Joints'!$A$496,VLOOKUP($A84,'Swing Joints'!$A$9:$M$495,10,FALSE),
IF($A84&lt;'Swing Joints Components'!$A$135,VLOOKUP($A84,'Swing Joints Components'!$A$9:$M$134,10,FALSE),
IF($A84&lt;Nonstandard!$A$42,VLOOKUP($A84,Nonstandard!$A$31:$J$41,10,FALSE),"")))))))))))))))))))))))))))),"")</f>
        <v/>
      </c>
      <c r="L84" s="421" t="str">
        <f t="shared" si="0"/>
        <v>-</v>
      </c>
      <c r="M84" s="425"/>
    </row>
    <row r="85" spans="1:13" ht="15.75">
      <c r="A85" s="415">
        <v>53</v>
      </c>
      <c r="B85" s="415" t="str">
        <f>IFERROR(IF($A85&lt;'DWV PVC'!$A$285,VLOOKUP($A85,'DWV PVC'!$A$8:$M$284,4,FALSE),
IF($A85&lt;'DWV ABS'!$A$117,VLOOKUP($A85,'DWV ABS'!$A$8:$M$116,4,FALSE),
IF($A85&lt;'PVC SCH40'!$A$376,VLOOKUP($A85,'PVC SCH40'!$A$8:$M$375,4,FALSE),
IF($A85&lt;'PVC SCH40 LD'!$A$22,VLOOKUP($A85,'PVC SCH40 LD'!$A$8:$M$21,4,FALSE),
IF($A85&lt;'Pool &amp; SPA Sweep Elbows'!$A$12,VLOOKUP($A85,'Pool &amp; SPA Sweep Elbows'!$A$8:$M$11,4,FALSE),
IF($A85&lt;'Pool &amp; SPA Pipe Extender'!$A$11,VLOOKUP($A85,'Pool &amp; SPA Pipe Extender'!$A$8:$M$10,4,FALSE),
IF($A85&lt;'PVC SCH80'!$A$250,VLOOKUP($A85,'PVC SCH80'!$A$8:$M$249,4,FALSE),
IF($A85&lt;'PVC SCH80 Flange'!$A$49,VLOOKUP($A85,'PVC SCH80 Flange'!$A$8:$M$48,4,FALSE),
IF($A85&lt;'PVC SCH80 LD Flange'!$A$17,VLOOKUP($A85,'PVC SCH80 LD Flange'!$A$8:$M$16,4,FALSE),
IF($A85&lt;CPVC!$A$100,VLOOKUP($A85,CPVC!$A$8:$M$99,4,FALSE),
IF($A85&lt;InsertFittings!$A$237,VLOOKUP($A85,InsertFittings!$A$11:$M$236,4,FALSE),
IF($A85&lt;Valves!$A$132,VLOOKUP($A85,Valves!$A$8:$M$131,4,FALSE),
IF($A85&lt;SDR35SW!$A$124,VLOOKUP($A85,SDR35SW!$A$8:$M$123,4,FALSE),
IF($A85&lt;SDR35G!$A$143,VLOOKUP($A85, SDR35G!$A$8:$M$142,4,FALSE),
IF($A85&lt;SDR26G!$A$61,VLOOKUP($A85,SDR26G!$A$8:$N$60,4,FALSE),
IF($A85&lt;Cements!$A$100,VLOOKUP($A85,Cements!$A$8:$Q$99,4,FALSE),
IF($A85&lt;ValveBox!$A$143,VLOOKUP($A85,ValveBox!$A$10:$O$142,4,FALSE),
IF($A85&lt;'ValveBox Components'!$A$165,VLOOKUP($A85,'ValveBox Components'!$A$10:$O$164,4,FALSE),
IF($A85&lt;Drainage!$A$92,VLOOKUP($A85,Drainage!$A$8:$M$91,4,FALSE),
IF($A85&lt;Nipples!$A$82,VLOOKUP($A85,Nipples!$A$9:$Q$81,4,FALSE),
IF($A85&lt;Manifold!$A$33,VLOOKUP($A85,Manifold!$A$9:$M$32,4,FALSE),
IF($A85&lt;FlexibleRepairCouplings!$A$13,VLOOKUP($A85,FlexibleRepairCouplings!$A$10:$M$12,4,FALSE),
IF($A85&lt;DuraFix!$A$15,VLOOKUP($A85,DuraFix!$A$9:$M$14,4,FALSE),
IF($A85&lt;'Compression Fittings'!$A$16,VLOOKUP($A85,'Compression Fittings'!$A$8:$M$15,4,FALSE),
IF($A85&lt;'Hose Fittings'!$A$30,VLOOKUP($A85,'Hose Fittings'!$A$8:$M$29,4,FALSE),
IF($A85&lt;'Swing Joints'!$A$496,VLOOKUP($A85,'Swing Joints'!$A$9:$M$495,4,FALSE),
IF($A85&lt;'Swing Joints Components'!$A$135,VLOOKUP($A85,'Swing Joints Components'!$A$9:$M$134,4,FALSE),
IF($A85&lt;Nonstandard!$A$42,VLOOKUP($A85,Nonstandard!$A$31:$J$41,5,FALSE),"")))))))))))))))))))))))))))),"")</f>
        <v/>
      </c>
      <c r="C85" s="415" t="str">
        <f>IFERROR(IF($A85&lt;'DWV PVC'!$A$285,VLOOKUP($A85,'DWV PVC'!$A$8:$M$284,5,FALSE),
IF($A85&lt;'DWV ABS'!$A$117,VLOOKUP($A85,'DWV ABS'!$A$8:$M$116,5,FALSE),
IF($A85&lt;'PVC SCH40'!$A$376,VLOOKUP($A85,'PVC SCH40'!$A$8:$M$375,5,FALSE),
IF($A85&lt;'PVC SCH40 LD'!$A$22,VLOOKUP($A85,'PVC SCH40 LD'!$A$8:$M$21,5,FALSE),
IF($A85&lt;'Pool &amp; SPA Sweep Elbows'!$A$12,VLOOKUP($A85,'Pool &amp; SPA Sweep Elbows'!$A$8:$M$11,5,FALSE),
IF($A85&lt;'Pool &amp; SPA Pipe Extender'!$A$11,VLOOKUP($A85,'Pool &amp; SPA Pipe Extender'!$A$8:$M$10,5,FALSE),
IF($A85&lt;'PVC SCH80'!$A$250,VLOOKUP($A85,'PVC SCH80'!$A$8:$M$249,5,FALSE),
IF($A85&lt;'PVC SCH80 Flange'!$A$49,VLOOKUP($A85,'PVC SCH80 Flange'!$A$8:$M$48,5,FALSE),
IF($A85&lt;'PVC SCH80 LD Flange'!$A$17,VLOOKUP($A85,'PVC SCH80 LD Flange'!$A$8:$M$16,5,FALSE),
IF($A85&lt;CPVC!$A$100,VLOOKUP($A85,CPVC!$A$8:$M$99,5,FALSE),
IF($A85&lt;InsertFittings!$A$237,VLOOKUP($A85,InsertFittings!$A$11:$M$236,5,FALSE),
IF($A85&lt;Valves!$A$132,VLOOKUP($A85,Valves!$A$8:$M$131,5,FALSE),
IF($A85&lt;SDR35SW!$A$124,VLOOKUP($A85,SDR35SW!$A$8:$M$123,5,FALSE),
IF($A85&lt;SDR35G!$A$143,VLOOKUP($A85, SDR35G!$A$8:$M$142,5,FALSE),
IF($A85&lt;SDR26G!$A$61,VLOOKUP($A85,SDR26G!$A$8:$N$60,5,FALSE),
IF($A85&lt;Cements!$A$100,VLOOKUP($A85,Cements!$A$8:$Q$99,5,FALSE),
IF($A85&lt;ValveBox!$A$143,VLOOKUP($A85,ValveBox!$A$10:$O$142,5,FALSE),
IF($A85&lt;'ValveBox Components'!$A$165,VLOOKUP($A85,'ValveBox Components'!$A$10:$O$164,5,FALSE),
IF($A85&lt;Drainage!$A$92,VLOOKUP($A85,Drainage!$A$8:$M$91,5,FALSE),
IF($A85&lt;Nipples!$A$82,VLOOKUP($A85,Nipples!$A$9:$Q$81,5,FALSE),
IF($A85&lt;Manifold!$A$33,VLOOKUP($A85,Manifold!$A$9:$M$32,5,FALSE),
IF($A85&lt;FlexibleRepairCouplings!$A$13,VLOOKUP($A85,FlexibleRepairCouplings!$A$10:$M$12,5,FALSE),
IF($A85&lt;DuraFix!$A$15,VLOOKUP($A85,DuraFix!$A$9:$M$14,5,FALSE),
IF($A85&lt;'Compression Fittings'!$A$16,VLOOKUP($A85,'Compression Fittings'!$A$8:$M$15,5,FALSE),
IF($A85&lt;'Hose Fittings'!$A$30,VLOOKUP($A85,'Hose Fittings'!$A$8:$M$29,5,FALSE),
IF($A85&lt;'Swing Joints'!$A$496,VLOOKUP($A85,'Swing Joints'!$A$9:$M$495,5,FALSE),
IF($A85&lt;'Swing Joints Components'!$A$135,VLOOKUP($A85,'Swing Joints Components'!$A$9:$M$134,5,FALSE),
IF($A85&lt;Nonstandard!$A$42,VLOOKUP($A85,Nonstandard!$A$31:$J$41,6,FALSE),"")))))))))))))))))))))))))))),"")</f>
        <v/>
      </c>
      <c r="D85" s="426" t="str">
        <f>IFERROR(IF($A85&lt;'DWV PVC'!$A$285,VLOOKUP($A85,'DWV PVC'!$A$8:$M$284,6,FALSE),
IF($A85&lt;'DWV ABS'!$A$117,VLOOKUP($A85,'DWV ABS'!$A$8:$M$116,6,FALSE),
IF($A85&lt;'PVC SCH40'!$A$376,VLOOKUP($A85,'PVC SCH40'!$A$8:$M$375,6,FALSE),
IF($A85&lt;'PVC SCH40 LD'!$A$22,VLOOKUP($A85,'PVC SCH40 LD'!$A$8:$M$21,6,FALSE),
IF($A85&lt;'Pool &amp; SPA Sweep Elbows'!$A$12,VLOOKUP($A85,'Pool &amp; SPA Sweep Elbows'!$A$8:$M$11,6,FALSE),
IF($A85&lt;'Pool &amp; SPA Pipe Extender'!$A$11,VLOOKUP($A85,'Pool &amp; SPA Pipe Extender'!$A$8:$M$10,6,FALSE),
IF($A85&lt;'PVC SCH80'!$A$250,VLOOKUP($A85,'PVC SCH80'!$A$8:$M$249,6,FALSE),
IF($A85&lt;'PVC SCH80 Flange'!$A$49,VLOOKUP($A85,'PVC SCH80 Flange'!$A$8:$M$48,6,FALSE),
IF($A85&lt;'PVC SCH80 LD Flange'!$A$17,VLOOKUP($A85,'PVC SCH80 LD Flange'!$A$8:$M$16,6,FALSE),
IF($A85&lt;CPVC!$A$100,VLOOKUP($A85,CPVC!$A$8:$M$99,6,FALSE),
IF($A85&lt;InsertFittings!$A$237,VLOOKUP($A85,InsertFittings!$A$11:$M$236,6,FALSE),
IF($A85&lt;Valves!$A$132,VLOOKUP($A85,Valves!$A$8:$M$131,6,FALSE),
IF($A85&lt;SDR35SW!$A$124,VLOOKUP($A85,SDR35SW!$A$8:$M$123,6,FALSE),
IF($A85&lt;SDR35G!$A$143,VLOOKUP($A85, SDR35G!$A$8:$M$142,6,FALSE),
IF($A85&lt;SDR26G!$A$61,VLOOKUP($A85,SDR26G!$A$8:$N$60,6,FALSE),
IF($A85&lt;Cements!$A$100,VLOOKUP($A85,Cements!$A$8:$Q$99,6,FALSE),
IF($A85&lt;ValveBox!$A$143,VLOOKUP($A85,ValveBox!$A$10:$O$142,6,FALSE),
IF($A85&lt;'ValveBox Components'!$A$165,VLOOKUP($A85,'ValveBox Components'!$A$10:$O$164,6,FALSE),
IF($A85&lt;Drainage!$A$92,VLOOKUP($A85,Drainage!$A$8:$M$91,6,FALSE),
IF($A85&lt;Nipples!$A$82,VLOOKUP($A85,Nipples!$A$9:$Q$81,6,FALSE),
IF($A85&lt;Manifold!$A$33,VLOOKUP($A85,Manifold!$A$9:$M$32,6,FALSE),
IF($A85&lt;FlexibleRepairCouplings!$A$13,VLOOKUP($A85,FlexibleRepairCouplings!$A$10:$M$12,6,FALSE),
IF($A85&lt;DuraFix!$A$15,VLOOKUP($A85,DuraFix!$A$9:$M$14,6,FALSE),
IF($A85&lt;'Compression Fittings'!$A$16,VLOOKUP($A85,'Compression Fittings'!$A$8:$M$15,6,FALSE),
IF($A85&lt;'Hose Fittings'!$A$30,VLOOKUP($A85,'Hose Fittings'!$A$8:$M$29,6,FALSE),
IF($A85&lt;'Swing Joints'!$A$496,VLOOKUP($A85,'Swing Joints'!$A$9:$M$495,6,FALSE),
IF($A85&lt;'Swing Joints Components'!$A$135,VLOOKUP($A85,'Swing Joints Components'!$A$9:$M$134,6,FALSE),
IF($A85&lt;Nonstandard!$A$42,VLOOKUP($A85,Nonstandard!$A$31:$J$41,7,FALSE),"")))))))))))))))))))))))))))),"")</f>
        <v/>
      </c>
      <c r="E85" s="427"/>
      <c r="F85" s="418" t="str">
        <f>IFERROR(IF($A85&lt;'DWV PVC'!$A$285,VLOOKUP($A85,'DWV PVC'!$A$8:$M$284,9,FALSE),
IF($A85&lt;'DWV ABS'!$A$117,VLOOKUP($A85,'DWV ABS'!$A$8:$M$116,9,FALSE),
IF($A85&lt;'PVC SCH40'!$A$376,VLOOKUP($A85,'PVC SCH40'!$A$8:$M$375,9,FALSE),
IF($A85&lt;'PVC SCH40 LD'!$A$22,VLOOKUP($A85,'PVC SCH40 LD'!$A$8:$M$21,9,FALSE),
IF($A85&lt;'Pool &amp; SPA Sweep Elbows'!$A$12,VLOOKUP($A85,'Pool &amp; SPA Sweep Elbows'!$A$8:$M$11,9,FALSE),
IF($A85&lt;'Pool &amp; SPA Pipe Extender'!$A$11,VLOOKUP($A85,'Pool &amp; SPA Pipe Extender'!$A$8:$M$10,9,FALSE),
IF($A85&lt;'PVC SCH80'!$A$250,VLOOKUP($A85,'PVC SCH80'!$A$8:$M$249,9,FALSE),
IF($A85&lt;'PVC SCH80 Flange'!$A$49,VLOOKUP($A85,'PVC SCH80 Flange'!$A$8:$M$48,9,FALSE),
IF($A85&lt;'PVC SCH80 LD Flange'!$A$17,VLOOKUP($A85,'PVC SCH80 LD Flange'!$A$8:$M$16,9,FALSE),
IF($A85&lt;CPVC!$A$100,VLOOKUP($A85,CPVC!$A$8:$M$99,9,FALSE),
IF($A85&lt;InsertFittings!$A$237,VLOOKUP($A85,InsertFittings!$A$11:$M$236,9,FALSE),
IF($A85&lt;Valves!$A$132,VLOOKUP($A85,Valves!$A$8:$M$131,9,FALSE),
IF($A85&lt;SDR35SW!$A$124,VLOOKUP($A85,SDR35SW!$A$8:$M$123,9,FALSE),
IF($A85&lt;SDR35G!$A$143,VLOOKUP($A85, SDR35G!$A$8:$M$142,9,FALSE),
IF($A85&lt;SDR26G!$A$61,VLOOKUP($A85,SDR26G!$A$8:$N$60,10,FALSE),
IF($A85&lt;Cements!$A$100,VLOOKUP($A85,Cements!$A$8:$Q$99,13,FALSE),
IF($A85&lt;ValveBox!$A$143,VLOOKUP($A85,ValveBox!$A$10:$O$142,11,FALSE),
IF($A85&lt;'ValveBox Components'!$A$165,VLOOKUP($A85,'ValveBox Components'!$A$10:$O$164,11,FALSE),
IF($A85&lt;Drainage!$A$92,VLOOKUP($A85,Drainage!$A$8:$M$91,9,FALSE),
IF($A85&lt;Nipples!$A$82,VLOOKUP($A85,Nipples!$A$9:$Q$81,13,FALSE),
IF($A85&lt;Manifold!$A$33,VLOOKUP($A85,Manifold!$A$9:$M$32,9,FALSE),
IF($A85&lt;FlexibleRepairCouplings!$A$13,VLOOKUP($A85,FlexibleRepairCouplings!$A$10:$M$12,9,FALSE),
IF($A85&lt;DuraFix!$A$15,VLOOKUP($A85,DuraFix!$A$9:$M$14,9,FALSE),
IF($A85&lt;'Compression Fittings'!$A$16,VLOOKUP($A85,'Compression Fittings'!$A$8:$M$15,9,FALSE),
IF($A85&lt;'Hose Fittings'!$A$30,VLOOKUP($A85,'Hose Fittings'!$A$8:$M$29,9,FALSE),
IF($A85&lt;'Swing Joints'!$A$496,VLOOKUP($A85,'Swing Joints'!$A$9:$M$495,9,FALSE),
IF($A85&lt;'Swing Joints Components'!$A$135,VLOOKUP($A85,'Swing Joints Components'!$A$9:$M$134,9,FALSE),
IF($A85&lt;Nonstandard!$A$42,VLOOKUP($A85,Nonstandard!$A$31:$J$41,8,FALSE),"")))))))))))))))))))))))))))),"")</f>
        <v/>
      </c>
      <c r="G85" s="416" t="str">
        <f>IFERROR(IF($A85&lt;'DWV PVC'!$A$285,VLOOKUP($A85,'DWV PVC'!$A$8:$M$284,11,FALSE),
IF($A85&lt;'DWV ABS'!$A$117,VLOOKUP($A85,'DWV ABS'!$A$8:$M$116,11,FALSE),
IF($A85&lt;'PVC SCH40'!$A$376,VLOOKUP($A85,'PVC SCH40'!$A$8:$M$375,11,FALSE),
IF($A85&lt;'PVC SCH40 LD'!$A$22,VLOOKUP($A85,'PVC SCH40 LD'!$A$8:$M$21,11,FALSE),
IF($A85&lt;'Pool &amp; SPA Sweep Elbows'!$A$12,VLOOKUP($A85,'Pool &amp; SPA Sweep Elbows'!$A$8:$M$11,11,FALSE),
IF($A85&lt;'Pool &amp; SPA Pipe Extender'!$A$11,VLOOKUP($A85,'Pool &amp; SPA Pipe Extender'!$A$8:$M$10,11,FALSE),
IF($A85&lt;'PVC SCH80'!$A$250,VLOOKUP($A85,'PVC SCH80'!$A$8:$M$249,11,FALSE),
IF($A85&lt;'PVC SCH80 Flange'!$A$49,VLOOKUP($A85,'PVC SCH80 Flange'!$A$8:$M$48,11,FALSE),
IF($A85&lt;'PVC SCH80 LD Flange'!$A$17,VLOOKUP($A85,'PVC SCH80 LD Flange'!$A$8:$M$16,11,FALSE),
IF($A85&lt;CPVC!$A$100,VLOOKUP($A85,CPVC!$A$8:$M$99,11,FALSE),
IF($A85&lt;InsertFittings!$A$237,VLOOKUP($A85,InsertFittings!$A$11:$M$236,11,FALSE),
IF($A85&lt;Valves!$A$132,VLOOKUP($A85,Valves!$A$8:$M$131,11,FALSE),
IF($A85&lt;SDR35SW!$A$124,VLOOKUP($A85,SDR35SW!$A$8:$M$123,11,FALSE),
IF($A85&lt;SDR35G!$A$143,VLOOKUP($A85, SDR35G!$A$8:$M$142,11,FALSE),
IF($A85&lt;SDR26G!$A$61,VLOOKUP($A85,SDR26G!$A$8:$N$60,12,FALSE),
IF($A85&lt;Cements!$A$100,VLOOKUP($A85,Cements!$A$8:$Q$99,15,FALSE),
IF($A85&lt;ValveBox!$A$143,VLOOKUP($A85,ValveBox!$A$10:$O$142,13,FALSE),
IF($A85&lt;'ValveBox Components'!$A$165,VLOOKUP($A85,'ValveBox Components'!$A$10:$O$164,13,FALSE),
IF($A85&lt;Drainage!$A$92,VLOOKUP($A85,Drainage!$A$8:$M$91,11,FALSE),
IF($A85&lt;Nipples!$A$82,VLOOKUP($A85,Nipples!$A$9:$Q$81,15,FALSE),
IF($A85&lt;Manifold!$A$33,VLOOKUP($A85,Manifold!$A$9:$M$32,11,FALSE),
IF($A85&lt;FlexibleRepairCouplings!$A$13,VLOOKUP($A85,FlexibleRepairCouplings!$A$10:$M$12,11,FALSE),
IF($A85&lt;DuraFix!$A$15,VLOOKUP($A85,DuraFix!$A$9:$M$14,11,FALSE),
IF($A85&lt;'Compression Fittings'!$A$16,VLOOKUP($A85,'Compression Fittings'!$A$8:$M$15,11,FALSE),
IF($A85&lt;'Hose Fittings'!$A$30,VLOOKUP($A85,'Hose Fittings'!$A$8:$M$29,11,FALSE),
IF($A85&lt;'Swing Joints'!$A$496,VLOOKUP($A85,'Swing Joints'!$A$9:$M$495,11,FALSE),
IF($A85&lt;'Swing Joints Components'!$A$135,VLOOKUP($A85,'Swing Joints Components'!$A$9:$M$134,11,FALSE),
IF($A85&lt;Nonstandard!$A$42,VLOOKUP($A85,Nonstandard!$A$31:$J$41,3,FALSE),"")))))))))))))))))))))))))))),"")</f>
        <v/>
      </c>
      <c r="H85" s="586" t="str">
        <f>IFERROR(IF($A85&lt;'DWV PVC'!$A$285,VLOOKUP($A85,'DWV PVC'!$A$8:$M$284,7,FALSE),
IF($A85&lt;'DWV ABS'!$A$117,VLOOKUP($A85,'DWV ABS'!$A$8:$M$116,7,FALSE),
IF($A85&lt;'PVC SCH40'!$A$376,VLOOKUP($A85,'PVC SCH40'!$A$8:$M$375,7,FALSE),
IF($A85&lt;'PVC SCH40 LD'!$A$22,VLOOKUP($A85,'PVC SCH40 LD'!$A$8:$M$21,7,FALSE),
IF($A85&lt;'Pool &amp; SPA Sweep Elbows'!$A$12,VLOOKUP($A85,'Pool &amp; SPA Sweep Elbows'!$A$8:$M$11,7,FALSE),
IF($A85&lt;'Pool &amp; SPA Pipe Extender'!$A$11,VLOOKUP($A85,'Pool &amp; SPA Pipe Extender'!$A$8:$M$10,7,FALSE),
IF($A85&lt;'PVC SCH80'!$A$250,VLOOKUP($A85,'PVC SCH80'!$A$8:$M$249,7,FALSE),
IF($A85&lt;'PVC SCH80 Flange'!$A$49,VLOOKUP($A85,'PVC SCH80 Flange'!$A$8:$M$48,7,FALSE),
IF($A85&lt;'PVC SCH80 LD Flange'!$A$17,VLOOKUP($A85,'PVC SCH80 LD Flange'!$A$8:$M$16,7,FALSE),
IF($A85&lt;CPVC!$A$100,VLOOKUP($A85,CPVC!$A$8:$M$99,7,FALSE),
IF($A85&lt;InsertFittings!$A$237,VLOOKUP($A85,InsertFittings!$A$11:$M$236,7,FALSE),
IF($A85&lt;Valves!$A$132,VLOOKUP($A85,Valves!$A$8:$M$131,7,FALSE),
IF($A85&lt;SDR35SW!$A$124,VLOOKUP($A85,SDR35SW!$A$8:$M$123,7,FALSE),
IF($A85&lt;SDR35G!$A$143,VLOOKUP($A85, SDR35G!$A$8:$M$142,7,FALSE),
IF($A85&lt;SDR26G!$A$61,VLOOKUP($A85,SDR26G!$A$8:$N$60,10,FALSE),
IF($A85&lt;Cements!$A$100,VLOOKUP($A85,Cements!$A$8:$Q$99,13,FALSE),
IF($A85&lt;ValveBox!$A$143,VLOOKUP($A85,ValveBox!$A$10:$O$142,11,FALSE),
IF($A85&lt;'ValveBox Components'!$A$165,VLOOKUP($A85,'ValveBox Components'!$A$10:$O$164,11,FALSE),
IF($A85&lt;Drainage!$A$92,VLOOKUP($A85,Drainage!$A$8:$M$91,7,FALSE),
IF($A85&lt;Nipples!$A$82,VLOOKUP($A85,Nipples!$A$9:$Q$81,13,FALSE),
IF($A85&lt;Manifold!$A$33,VLOOKUP($A85,Manifold!$A$9:$M$32,7,FALSE),
IF($A85&lt;FlexibleRepairCouplings!$A$13,VLOOKUP($A85,FlexibleRepairCouplings!$A$10:$M$12,7,FALSE),
IF($A85&lt;DuraFix!$A$15,VLOOKUP($A85,DuraFix!$A$9:$M$14,7,FALSE),
IF($A85&lt;'Compression Fittings'!$A$16,VLOOKUP($A85,'Compression Fittings'!$A$8:$M$15,7,FALSE),
IF($A85&lt;'Hose Fittings'!$A$30,VLOOKUP($A85,'Hose Fittings'!$A$8:$M$29,7,FALSE),
IF($A85&lt;'Swing Joints'!$A$496,VLOOKUP($A85,'Swing Joints'!$A$9:$M$495,7,FALSE),
IF($A85&lt;'Swing Joints Components'!$A$135,VLOOKUP($A85,'Swing Joints Components'!$A$9:$M$134,7,FALSE),
IF($A85&lt;Nonstandard!$A$42,VLOOKUP($A85,Nonstandard!$A$31:$J$41,3,FALSE),"")))))))))))))))))))))))))))),"")</f>
        <v/>
      </c>
      <c r="I85" s="587"/>
      <c r="J85" s="383" t="str">
        <f t="shared" si="1"/>
        <v/>
      </c>
      <c r="K85" s="417" t="str">
        <f>IFERROR(IF($A85&lt;'DWV PVC'!$A$285,VLOOKUP($A85,'DWV PVC'!$A$8:$M$284,10,FALSE),
IF($A85&lt;'DWV ABS'!$A$117,VLOOKUP($A85,'DWV ABS'!$A$8:$M$116,10,FALSE),
IF($A85&lt;'PVC SCH40'!$A$376,VLOOKUP($A85,'PVC SCH40'!$A$8:$M$375,10,FALSE),
IF($A85&lt;'PVC SCH40 LD'!$A$22,VLOOKUP($A85,'PVC SCH40 LD'!$A$8:$M$21,10,FALSE),
IF($A85&lt;'Pool &amp; SPA Sweep Elbows'!$A$12,VLOOKUP($A85,'Pool &amp; SPA Sweep Elbows'!$A$8:$M$11,10,FALSE),
IF($A85&lt;'Pool &amp; SPA Pipe Extender'!$A$11,VLOOKUP($A85,'Pool &amp; SPA Pipe Extender'!$A$8:$M$10,10,FALSE),
IF($A85&lt;'PVC SCH80'!$A$250,VLOOKUP($A85,'PVC SCH80'!$A$8:$M$249,10,FALSE),
IF($A85&lt;'PVC SCH80 Flange'!$A$49,VLOOKUP($A85,'PVC SCH80 Flange'!$A$8:$M$48,10,FALSE),
IF($A85&lt;'PVC SCH80 LD Flange'!$A$17,VLOOKUP($A85,'PVC SCH80 LD Flange'!$A$8:$M$16,10,FALSE),
IF($A85&lt;CPVC!$A$100,VLOOKUP($A85,CPVC!$A$8:$M$99,10,FALSE),
IF($A85&lt;InsertFittings!$A$237,VLOOKUP($A85,InsertFittings!$A$11:$M$236,10,FALSE),
IF($A85&lt;Valves!$A$132,VLOOKUP($A85,Valves!$A$8:$M$131,10,FALSE),
IF($A85&lt;SDR35SW!$A$124,VLOOKUP($A85,SDR35SW!$A$8:$M$123,10,FALSE),
IF($A85&lt;SDR35G!$A$143,VLOOKUP($A85, SDR35G!$A$8:$M$142,10,FALSE),
IF($A85&lt;SDR26G!$A$61,VLOOKUP($A85,SDR26G!$A$8:$N$60,11,FALSE),
IF($A85&lt;Cements!$A$100,VLOOKUP($A85,Cements!$A$8:$Q$99,14,FALSE),
IF($A85&lt;ValveBox!$A$143,VLOOKUP($A85,ValveBox!$A$10:$O$142,12,FALSE),
IF($A85&lt;'ValveBox Components'!$A$165,VLOOKUP($A85,'ValveBox Components'!$A$10:$O$164,12,FALSE),
IF($A85&lt;Drainage!$A$92,VLOOKUP($A85,Drainage!$A$8:$M$91,10,FALSE),
IF($A85&lt;Nipples!$A$82,VLOOKUP($A85,Nipples!$A$9:$Q$81,14,FALSE),
IF($A85&lt;Manifold!$A$33,VLOOKUP($A85,Manifold!$A$9:$M$32,10,FALSE),
IF($A85&lt;FlexibleRepairCouplings!$A$13,VLOOKUP($A85,FlexibleRepairCouplings!$A$10:$M$12,10,FALSE),
IF($A85&lt;DuraFix!$A$15,VLOOKUP($A85,DuraFix!$A$9:$M$14,10,FALSE),
IF($A85&lt;'Compression Fittings'!$A$16,VLOOKUP($A85,'Compression Fittings'!$A$8:$M$15,10,FALSE),
IF($A85&lt;'Hose Fittings'!$A$30,VLOOKUP($A85,'Hose Fittings'!$A$8:$M$29,10,FALSE),
IF($A85&lt;'Swing Joints'!$A$496,VLOOKUP($A85,'Swing Joints'!$A$9:$M$495,10,FALSE),
IF($A85&lt;'Swing Joints Components'!$A$135,VLOOKUP($A85,'Swing Joints Components'!$A$9:$M$134,10,FALSE),
IF($A85&lt;Nonstandard!$A$42,VLOOKUP($A85,Nonstandard!$A$31:$J$41,10,FALSE),"")))))))))))))))))))))))))))),"")</f>
        <v/>
      </c>
      <c r="L85" s="418" t="str">
        <f t="shared" si="0"/>
        <v>-</v>
      </c>
      <c r="M85" s="419"/>
    </row>
    <row r="86" spans="1:13" ht="15.75">
      <c r="A86" s="420">
        <v>54</v>
      </c>
      <c r="B86" s="420" t="str">
        <f>IFERROR(IF($A86&lt;'DWV PVC'!$A$285,VLOOKUP($A86,'DWV PVC'!$A$8:$M$284,4,FALSE),
IF($A86&lt;'DWV ABS'!$A$117,VLOOKUP($A86,'DWV ABS'!$A$8:$M$116,4,FALSE),
IF($A86&lt;'PVC SCH40'!$A$376,VLOOKUP($A86,'PVC SCH40'!$A$8:$M$375,4,FALSE),
IF($A86&lt;'PVC SCH40 LD'!$A$22,VLOOKUP($A86,'PVC SCH40 LD'!$A$8:$M$21,4,FALSE),
IF($A86&lt;'Pool &amp; SPA Sweep Elbows'!$A$12,VLOOKUP($A86,'Pool &amp; SPA Sweep Elbows'!$A$8:$M$11,4,FALSE),
IF($A86&lt;'Pool &amp; SPA Pipe Extender'!$A$11,VLOOKUP($A86,'Pool &amp; SPA Pipe Extender'!$A$8:$M$10,4,FALSE),
IF($A86&lt;'PVC SCH80'!$A$250,VLOOKUP($A86,'PVC SCH80'!$A$8:$M$249,4,FALSE),
IF($A86&lt;'PVC SCH80 Flange'!$A$49,VLOOKUP($A86,'PVC SCH80 Flange'!$A$8:$M$48,4,FALSE),
IF($A86&lt;'PVC SCH80 LD Flange'!$A$17,VLOOKUP($A86,'PVC SCH80 LD Flange'!$A$8:$M$16,4,FALSE),
IF($A86&lt;CPVC!$A$100,VLOOKUP($A86,CPVC!$A$8:$M$99,4,FALSE),
IF($A86&lt;InsertFittings!$A$237,VLOOKUP($A86,InsertFittings!$A$11:$M$236,4,FALSE),
IF($A86&lt;Valves!$A$132,VLOOKUP($A86,Valves!$A$8:$M$131,4,FALSE),
IF($A86&lt;SDR35SW!$A$124,VLOOKUP($A86,SDR35SW!$A$8:$M$123,4,FALSE),
IF($A86&lt;SDR35G!$A$143,VLOOKUP($A86, SDR35G!$A$8:$M$142,4,FALSE),
IF($A86&lt;SDR26G!$A$61,VLOOKUP($A86,SDR26G!$A$8:$N$60,4,FALSE),
IF($A86&lt;Cements!$A$100,VLOOKUP($A86,Cements!$A$8:$Q$99,4,FALSE),
IF($A86&lt;ValveBox!$A$143,VLOOKUP($A86,ValveBox!$A$10:$O$142,4,FALSE),
IF($A86&lt;'ValveBox Components'!$A$165,VLOOKUP($A86,'ValveBox Components'!$A$10:$O$164,4,FALSE),
IF($A86&lt;Drainage!$A$92,VLOOKUP($A86,Drainage!$A$8:$M$91,4,FALSE),
IF($A86&lt;Nipples!$A$82,VLOOKUP($A86,Nipples!$A$9:$Q$81,4,FALSE),
IF($A86&lt;Manifold!$A$33,VLOOKUP($A86,Manifold!$A$9:$M$32,4,FALSE),
IF($A86&lt;FlexibleRepairCouplings!$A$13,VLOOKUP($A86,FlexibleRepairCouplings!$A$10:$M$12,4,FALSE),
IF($A86&lt;DuraFix!$A$15,VLOOKUP($A86,DuraFix!$A$9:$M$14,4,FALSE),
IF($A86&lt;'Compression Fittings'!$A$16,VLOOKUP($A86,'Compression Fittings'!$A$8:$M$15,4,FALSE),
IF($A86&lt;'Hose Fittings'!$A$30,VLOOKUP($A86,'Hose Fittings'!$A$8:$M$29,4,FALSE),
IF($A86&lt;'Swing Joints'!$A$496,VLOOKUP($A86,'Swing Joints'!$A$9:$M$495,4,FALSE),
IF($A86&lt;'Swing Joints Components'!$A$135,VLOOKUP($A86,'Swing Joints Components'!$A$9:$M$134,4,FALSE),
IF($A86&lt;Nonstandard!$A$42,VLOOKUP($A86,Nonstandard!$A$31:$J$41,5,FALSE),"")))))))))))))))))))))))))))),"")</f>
        <v/>
      </c>
      <c r="C86" s="420" t="str">
        <f>IFERROR(IF($A86&lt;'DWV PVC'!$A$285,VLOOKUP($A86,'DWV PVC'!$A$8:$M$284,5,FALSE),
IF($A86&lt;'DWV ABS'!$A$117,VLOOKUP($A86,'DWV ABS'!$A$8:$M$116,5,FALSE),
IF($A86&lt;'PVC SCH40'!$A$376,VLOOKUP($A86,'PVC SCH40'!$A$8:$M$375,5,FALSE),
IF($A86&lt;'PVC SCH40 LD'!$A$22,VLOOKUP($A86,'PVC SCH40 LD'!$A$8:$M$21,5,FALSE),
IF($A86&lt;'Pool &amp; SPA Sweep Elbows'!$A$12,VLOOKUP($A86,'Pool &amp; SPA Sweep Elbows'!$A$8:$M$11,5,FALSE),
IF($A86&lt;'Pool &amp; SPA Pipe Extender'!$A$11,VLOOKUP($A86,'Pool &amp; SPA Pipe Extender'!$A$8:$M$10,5,FALSE),
IF($A86&lt;'PVC SCH80'!$A$250,VLOOKUP($A86,'PVC SCH80'!$A$8:$M$249,5,FALSE),
IF($A86&lt;'PVC SCH80 Flange'!$A$49,VLOOKUP($A86,'PVC SCH80 Flange'!$A$8:$M$48,5,FALSE),
IF($A86&lt;'PVC SCH80 LD Flange'!$A$17,VLOOKUP($A86,'PVC SCH80 LD Flange'!$A$8:$M$16,5,FALSE),
IF($A86&lt;CPVC!$A$100,VLOOKUP($A86,CPVC!$A$8:$M$99,5,FALSE),
IF($A86&lt;InsertFittings!$A$237,VLOOKUP($A86,InsertFittings!$A$11:$M$236,5,FALSE),
IF($A86&lt;Valves!$A$132,VLOOKUP($A86,Valves!$A$8:$M$131,5,FALSE),
IF($A86&lt;SDR35SW!$A$124,VLOOKUP($A86,SDR35SW!$A$8:$M$123,5,FALSE),
IF($A86&lt;SDR35G!$A$143,VLOOKUP($A86, SDR35G!$A$8:$M$142,5,FALSE),
IF($A86&lt;SDR26G!$A$61,VLOOKUP($A86,SDR26G!$A$8:$N$60,5,FALSE),
IF($A86&lt;Cements!$A$100,VLOOKUP($A86,Cements!$A$8:$Q$99,5,FALSE),
IF($A86&lt;ValveBox!$A$143,VLOOKUP($A86,ValveBox!$A$10:$O$142,5,FALSE),
IF($A86&lt;'ValveBox Components'!$A$165,VLOOKUP($A86,'ValveBox Components'!$A$10:$O$164,5,FALSE),
IF($A86&lt;Drainage!$A$92,VLOOKUP($A86,Drainage!$A$8:$M$91,5,FALSE),
IF($A86&lt;Nipples!$A$82,VLOOKUP($A86,Nipples!$A$9:$Q$81,5,FALSE),
IF($A86&lt;Manifold!$A$33,VLOOKUP($A86,Manifold!$A$9:$M$32,5,FALSE),
IF($A86&lt;FlexibleRepairCouplings!$A$13,VLOOKUP($A86,FlexibleRepairCouplings!$A$10:$M$12,5,FALSE),
IF($A86&lt;DuraFix!$A$15,VLOOKUP($A86,DuraFix!$A$9:$M$14,5,FALSE),
IF($A86&lt;'Compression Fittings'!$A$16,VLOOKUP($A86,'Compression Fittings'!$A$8:$M$15,5,FALSE),
IF($A86&lt;'Hose Fittings'!$A$30,VLOOKUP($A86,'Hose Fittings'!$A$8:$M$29,5,FALSE),
IF($A86&lt;'Swing Joints'!$A$496,VLOOKUP($A86,'Swing Joints'!$A$9:$M$495,5,FALSE),
IF($A86&lt;'Swing Joints Components'!$A$135,VLOOKUP($A86,'Swing Joints Components'!$A$9:$M$134,5,FALSE),
IF($A86&lt;Nonstandard!$A$42,VLOOKUP($A86,Nonstandard!$A$31:$J$41,6,FALSE),"")))))))))))))))))))))))))))),"")</f>
        <v/>
      </c>
      <c r="D86" s="428" t="str">
        <f>IFERROR(IF($A86&lt;'DWV PVC'!$A$285,VLOOKUP($A86,'DWV PVC'!$A$8:$M$284,6,FALSE),
IF($A86&lt;'DWV ABS'!$A$117,VLOOKUP($A86,'DWV ABS'!$A$8:$M$116,6,FALSE),
IF($A86&lt;'PVC SCH40'!$A$376,VLOOKUP($A86,'PVC SCH40'!$A$8:$M$375,6,FALSE),
IF($A86&lt;'PVC SCH40 LD'!$A$22,VLOOKUP($A86,'PVC SCH40 LD'!$A$8:$M$21,6,FALSE),
IF($A86&lt;'Pool &amp; SPA Sweep Elbows'!$A$12,VLOOKUP($A86,'Pool &amp; SPA Sweep Elbows'!$A$8:$M$11,6,FALSE),
IF($A86&lt;'Pool &amp; SPA Pipe Extender'!$A$11,VLOOKUP($A86,'Pool &amp; SPA Pipe Extender'!$A$8:$M$10,6,FALSE),
IF($A86&lt;'PVC SCH80'!$A$250,VLOOKUP($A86,'PVC SCH80'!$A$8:$M$249,6,FALSE),
IF($A86&lt;'PVC SCH80 Flange'!$A$49,VLOOKUP($A86,'PVC SCH80 Flange'!$A$8:$M$48,6,FALSE),
IF($A86&lt;'PVC SCH80 LD Flange'!$A$17,VLOOKUP($A86,'PVC SCH80 LD Flange'!$A$8:$M$16,6,FALSE),
IF($A86&lt;CPVC!$A$100,VLOOKUP($A86,CPVC!$A$8:$M$99,6,FALSE),
IF($A86&lt;InsertFittings!$A$237,VLOOKUP($A86,InsertFittings!$A$11:$M$236,6,FALSE),
IF($A86&lt;Valves!$A$132,VLOOKUP($A86,Valves!$A$8:$M$131,6,FALSE),
IF($A86&lt;SDR35SW!$A$124,VLOOKUP($A86,SDR35SW!$A$8:$M$123,6,FALSE),
IF($A86&lt;SDR35G!$A$143,VLOOKUP($A86, SDR35G!$A$8:$M$142,6,FALSE),
IF($A86&lt;SDR26G!$A$61,VLOOKUP($A86,SDR26G!$A$8:$N$60,6,FALSE),
IF($A86&lt;Cements!$A$100,VLOOKUP($A86,Cements!$A$8:$Q$99,6,FALSE),
IF($A86&lt;ValveBox!$A$143,VLOOKUP($A86,ValveBox!$A$10:$O$142,6,FALSE),
IF($A86&lt;'ValveBox Components'!$A$165,VLOOKUP($A86,'ValveBox Components'!$A$10:$O$164,6,FALSE),
IF($A86&lt;Drainage!$A$92,VLOOKUP($A86,Drainage!$A$8:$M$91,6,FALSE),
IF($A86&lt;Nipples!$A$82,VLOOKUP($A86,Nipples!$A$9:$Q$81,6,FALSE),
IF($A86&lt;Manifold!$A$33,VLOOKUP($A86,Manifold!$A$9:$M$32,6,FALSE),
IF($A86&lt;FlexibleRepairCouplings!$A$13,VLOOKUP($A86,FlexibleRepairCouplings!$A$10:$M$12,6,FALSE),
IF($A86&lt;DuraFix!$A$15,VLOOKUP($A86,DuraFix!$A$9:$M$14,6,FALSE),
IF($A86&lt;'Compression Fittings'!$A$16,VLOOKUP($A86,'Compression Fittings'!$A$8:$M$15,6,FALSE),
IF($A86&lt;'Hose Fittings'!$A$30,VLOOKUP($A86,'Hose Fittings'!$A$8:$M$29,6,FALSE),
IF($A86&lt;'Swing Joints'!$A$496,VLOOKUP($A86,'Swing Joints'!$A$9:$M$495,6,FALSE),
IF($A86&lt;'Swing Joints Components'!$A$135,VLOOKUP($A86,'Swing Joints Components'!$A$9:$M$134,6,FALSE),
IF($A86&lt;Nonstandard!$A$42,VLOOKUP($A86,Nonstandard!$A$31:$J$41,7,FALSE),"")))))))))))))))))))))))))))),"")</f>
        <v/>
      </c>
      <c r="E86" s="429"/>
      <c r="F86" s="421" t="str">
        <f>IFERROR(IF($A86&lt;'DWV PVC'!$A$285,VLOOKUP($A86,'DWV PVC'!$A$8:$M$284,9,FALSE),
IF($A86&lt;'DWV ABS'!$A$117,VLOOKUP($A86,'DWV ABS'!$A$8:$M$116,9,FALSE),
IF($A86&lt;'PVC SCH40'!$A$376,VLOOKUP($A86,'PVC SCH40'!$A$8:$M$375,9,FALSE),
IF($A86&lt;'PVC SCH40 LD'!$A$22,VLOOKUP($A86,'PVC SCH40 LD'!$A$8:$M$21,9,FALSE),
IF($A86&lt;'Pool &amp; SPA Sweep Elbows'!$A$12,VLOOKUP($A86,'Pool &amp; SPA Sweep Elbows'!$A$8:$M$11,9,FALSE),
IF($A86&lt;'Pool &amp; SPA Pipe Extender'!$A$11,VLOOKUP($A86,'Pool &amp; SPA Pipe Extender'!$A$8:$M$10,9,FALSE),
IF($A86&lt;'PVC SCH80'!$A$250,VLOOKUP($A86,'PVC SCH80'!$A$8:$M$249,9,FALSE),
IF($A86&lt;'PVC SCH80 Flange'!$A$49,VLOOKUP($A86,'PVC SCH80 Flange'!$A$8:$M$48,9,FALSE),
IF($A86&lt;'PVC SCH80 LD Flange'!$A$17,VLOOKUP($A86,'PVC SCH80 LD Flange'!$A$8:$M$16,9,FALSE),
IF($A86&lt;CPVC!$A$100,VLOOKUP($A86,CPVC!$A$8:$M$99,9,FALSE),
IF($A86&lt;InsertFittings!$A$237,VLOOKUP($A86,InsertFittings!$A$11:$M$236,9,FALSE),
IF($A86&lt;Valves!$A$132,VLOOKUP($A86,Valves!$A$8:$M$131,9,FALSE),
IF($A86&lt;SDR35SW!$A$124,VLOOKUP($A86,SDR35SW!$A$8:$M$123,9,FALSE),
IF($A86&lt;SDR35G!$A$143,VLOOKUP($A86, SDR35G!$A$8:$M$142,9,FALSE),
IF($A86&lt;SDR26G!$A$61,VLOOKUP($A86,SDR26G!$A$8:$N$60,10,FALSE),
IF($A86&lt;Cements!$A$100,VLOOKUP($A86,Cements!$A$8:$Q$99,13,FALSE),
IF($A86&lt;ValveBox!$A$143,VLOOKUP($A86,ValveBox!$A$10:$O$142,11,FALSE),
IF($A86&lt;'ValveBox Components'!$A$165,VLOOKUP($A86,'ValveBox Components'!$A$10:$O$164,11,FALSE),
IF($A86&lt;Drainage!$A$92,VLOOKUP($A86,Drainage!$A$8:$M$91,9,FALSE),
IF($A86&lt;Nipples!$A$82,VLOOKUP($A86,Nipples!$A$9:$Q$81,13,FALSE),
IF($A86&lt;Manifold!$A$33,VLOOKUP($A86,Manifold!$A$9:$M$32,9,FALSE),
IF($A86&lt;FlexibleRepairCouplings!$A$13,VLOOKUP($A86,FlexibleRepairCouplings!$A$10:$M$12,9,FALSE),
IF($A86&lt;DuraFix!$A$15,VLOOKUP($A86,DuraFix!$A$9:$M$14,9,FALSE),
IF($A86&lt;'Compression Fittings'!$A$16,VLOOKUP($A86,'Compression Fittings'!$A$8:$M$15,9,FALSE),
IF($A86&lt;'Hose Fittings'!$A$30,VLOOKUP($A86,'Hose Fittings'!$A$8:$M$29,9,FALSE),
IF($A86&lt;'Swing Joints'!$A$496,VLOOKUP($A86,'Swing Joints'!$A$9:$M$495,9,FALSE),
IF($A86&lt;'Swing Joints Components'!$A$135,VLOOKUP($A86,'Swing Joints Components'!$A$9:$M$134,9,FALSE),
IF($A86&lt;Nonstandard!$A$42,VLOOKUP($A86,Nonstandard!$A$31:$J$41,8,FALSE),"")))))))))))))))))))))))))))),"")</f>
        <v/>
      </c>
      <c r="G86" s="422" t="str">
        <f>IFERROR(IF($A86&lt;'DWV PVC'!$A$285,VLOOKUP($A86,'DWV PVC'!$A$8:$M$284,11,FALSE),
IF($A86&lt;'DWV ABS'!$A$117,VLOOKUP($A86,'DWV ABS'!$A$8:$M$116,11,FALSE),
IF($A86&lt;'PVC SCH40'!$A$376,VLOOKUP($A86,'PVC SCH40'!$A$8:$M$375,11,FALSE),
IF($A86&lt;'PVC SCH40 LD'!$A$22,VLOOKUP($A86,'PVC SCH40 LD'!$A$8:$M$21,11,FALSE),
IF($A86&lt;'Pool &amp; SPA Sweep Elbows'!$A$12,VLOOKUP($A86,'Pool &amp; SPA Sweep Elbows'!$A$8:$M$11,11,FALSE),
IF($A86&lt;'Pool &amp; SPA Pipe Extender'!$A$11,VLOOKUP($A86,'Pool &amp; SPA Pipe Extender'!$A$8:$M$10,11,FALSE),
IF($A86&lt;'PVC SCH80'!$A$250,VLOOKUP($A86,'PVC SCH80'!$A$8:$M$249,11,FALSE),
IF($A86&lt;'PVC SCH80 Flange'!$A$49,VLOOKUP($A86,'PVC SCH80 Flange'!$A$8:$M$48,11,FALSE),
IF($A86&lt;'PVC SCH80 LD Flange'!$A$17,VLOOKUP($A86,'PVC SCH80 LD Flange'!$A$8:$M$16,11,FALSE),
IF($A86&lt;CPVC!$A$100,VLOOKUP($A86,CPVC!$A$8:$M$99,11,FALSE),
IF($A86&lt;InsertFittings!$A$237,VLOOKUP($A86,InsertFittings!$A$11:$M$236,11,FALSE),
IF($A86&lt;Valves!$A$132,VLOOKUP($A86,Valves!$A$8:$M$131,11,FALSE),
IF($A86&lt;SDR35SW!$A$124,VLOOKUP($A86,SDR35SW!$A$8:$M$123,11,FALSE),
IF($A86&lt;SDR35G!$A$143,VLOOKUP($A86, SDR35G!$A$8:$M$142,11,FALSE),
IF($A86&lt;SDR26G!$A$61,VLOOKUP($A86,SDR26G!$A$8:$N$60,12,FALSE),
IF($A86&lt;Cements!$A$100,VLOOKUP($A86,Cements!$A$8:$Q$99,15,FALSE),
IF($A86&lt;ValveBox!$A$143,VLOOKUP($A86,ValveBox!$A$10:$O$142,13,FALSE),
IF($A86&lt;'ValveBox Components'!$A$165,VLOOKUP($A86,'ValveBox Components'!$A$10:$O$164,13,FALSE),
IF($A86&lt;Drainage!$A$92,VLOOKUP($A86,Drainage!$A$8:$M$91,11,FALSE),
IF($A86&lt;Nipples!$A$82,VLOOKUP($A86,Nipples!$A$9:$Q$81,15,FALSE),
IF($A86&lt;Manifold!$A$33,VLOOKUP($A86,Manifold!$A$9:$M$32,11,FALSE),
IF($A86&lt;FlexibleRepairCouplings!$A$13,VLOOKUP($A86,FlexibleRepairCouplings!$A$10:$M$12,11,FALSE),
IF($A86&lt;DuraFix!$A$15,VLOOKUP($A86,DuraFix!$A$9:$M$14,11,FALSE),
IF($A86&lt;'Compression Fittings'!$A$16,VLOOKUP($A86,'Compression Fittings'!$A$8:$M$15,11,FALSE),
IF($A86&lt;'Hose Fittings'!$A$30,VLOOKUP($A86,'Hose Fittings'!$A$8:$M$29,11,FALSE),
IF($A86&lt;'Swing Joints'!$A$496,VLOOKUP($A86,'Swing Joints'!$A$9:$M$495,11,FALSE),
IF($A86&lt;'Swing Joints Components'!$A$135,VLOOKUP($A86,'Swing Joints Components'!$A$9:$M$134,11,FALSE),
IF($A86&lt;Nonstandard!$A$42,VLOOKUP($A86,Nonstandard!$A$31:$J$41,3,FALSE),"")))))))))))))))))))))))))))),"")</f>
        <v/>
      </c>
      <c r="H86" s="588" t="str">
        <f>IFERROR(IF($A86&lt;'DWV PVC'!$A$285,VLOOKUP($A86,'DWV PVC'!$A$8:$M$284,7,FALSE),
IF($A86&lt;'DWV ABS'!$A$117,VLOOKUP($A86,'DWV ABS'!$A$8:$M$116,7,FALSE),
IF($A86&lt;'PVC SCH40'!$A$376,VLOOKUP($A86,'PVC SCH40'!$A$8:$M$375,7,FALSE),
IF($A86&lt;'PVC SCH40 LD'!$A$22,VLOOKUP($A86,'PVC SCH40 LD'!$A$8:$M$21,7,FALSE),
IF($A86&lt;'Pool &amp; SPA Sweep Elbows'!$A$12,VLOOKUP($A86,'Pool &amp; SPA Sweep Elbows'!$A$8:$M$11,7,FALSE),
IF($A86&lt;'Pool &amp; SPA Pipe Extender'!$A$11,VLOOKUP($A86,'Pool &amp; SPA Pipe Extender'!$A$8:$M$10,7,FALSE),
IF($A86&lt;'PVC SCH80'!$A$250,VLOOKUP($A86,'PVC SCH80'!$A$8:$M$249,7,FALSE),
IF($A86&lt;'PVC SCH80 Flange'!$A$49,VLOOKUP($A86,'PVC SCH80 Flange'!$A$8:$M$48,7,FALSE),
IF($A86&lt;'PVC SCH80 LD Flange'!$A$17,VLOOKUP($A86,'PVC SCH80 LD Flange'!$A$8:$M$16,7,FALSE),
IF($A86&lt;CPVC!$A$100,VLOOKUP($A86,CPVC!$A$8:$M$99,7,FALSE),
IF($A86&lt;InsertFittings!$A$237,VLOOKUP($A86,InsertFittings!$A$11:$M$236,7,FALSE),
IF($A86&lt;Valves!$A$132,VLOOKUP($A86,Valves!$A$8:$M$131,7,FALSE),
IF($A86&lt;SDR35SW!$A$124,VLOOKUP($A86,SDR35SW!$A$8:$M$123,7,FALSE),
IF($A86&lt;SDR35G!$A$143,VLOOKUP($A86, SDR35G!$A$8:$M$142,7,FALSE),
IF($A86&lt;SDR26G!$A$61,VLOOKUP($A86,SDR26G!$A$8:$N$60,10,FALSE),
IF($A86&lt;Cements!$A$100,VLOOKUP($A86,Cements!$A$8:$Q$99,13,FALSE),
IF($A86&lt;ValveBox!$A$143,VLOOKUP($A86,ValveBox!$A$10:$O$142,11,FALSE),
IF($A86&lt;'ValveBox Components'!$A$165,VLOOKUP($A86,'ValveBox Components'!$A$10:$O$164,11,FALSE),
IF($A86&lt;Drainage!$A$92,VLOOKUP($A86,Drainage!$A$8:$M$91,7,FALSE),
IF($A86&lt;Nipples!$A$82,VLOOKUP($A86,Nipples!$A$9:$Q$81,13,FALSE),
IF($A86&lt;Manifold!$A$33,VLOOKUP($A86,Manifold!$A$9:$M$32,7,FALSE),
IF($A86&lt;FlexibleRepairCouplings!$A$13,VLOOKUP($A86,FlexibleRepairCouplings!$A$10:$M$12,7,FALSE),
IF($A86&lt;DuraFix!$A$15,VLOOKUP($A86,DuraFix!$A$9:$M$14,7,FALSE),
IF($A86&lt;'Compression Fittings'!$A$16,VLOOKUP($A86,'Compression Fittings'!$A$8:$M$15,7,FALSE),
IF($A86&lt;'Hose Fittings'!$A$30,VLOOKUP($A86,'Hose Fittings'!$A$8:$M$29,7,FALSE),
IF($A86&lt;'Swing Joints'!$A$496,VLOOKUP($A86,'Swing Joints'!$A$9:$M$495,7,FALSE),
IF($A86&lt;'Swing Joints Components'!$A$135,VLOOKUP($A86,'Swing Joints Components'!$A$9:$M$134,7,FALSE),
IF($A86&lt;Nonstandard!$A$42,VLOOKUP($A86,Nonstandard!$A$31:$J$41,3,FALSE),"")))))))))))))))))))))))))))),"")</f>
        <v/>
      </c>
      <c r="I86" s="589"/>
      <c r="J86" s="423" t="str">
        <f t="shared" si="1"/>
        <v/>
      </c>
      <c r="K86" s="424" t="str">
        <f>IFERROR(IF($A86&lt;'DWV PVC'!$A$285,VLOOKUP($A86,'DWV PVC'!$A$8:$M$284,10,FALSE),
IF($A86&lt;'DWV ABS'!$A$117,VLOOKUP($A86,'DWV ABS'!$A$8:$M$116,10,FALSE),
IF($A86&lt;'PVC SCH40'!$A$376,VLOOKUP($A86,'PVC SCH40'!$A$8:$M$375,10,FALSE),
IF($A86&lt;'PVC SCH40 LD'!$A$22,VLOOKUP($A86,'PVC SCH40 LD'!$A$8:$M$21,10,FALSE),
IF($A86&lt;'Pool &amp; SPA Sweep Elbows'!$A$12,VLOOKUP($A86,'Pool &amp; SPA Sweep Elbows'!$A$8:$M$11,10,FALSE),
IF($A86&lt;'Pool &amp; SPA Pipe Extender'!$A$11,VLOOKUP($A86,'Pool &amp; SPA Pipe Extender'!$A$8:$M$10,10,FALSE),
IF($A86&lt;'PVC SCH80'!$A$250,VLOOKUP($A86,'PVC SCH80'!$A$8:$M$249,10,FALSE),
IF($A86&lt;'PVC SCH80 Flange'!$A$49,VLOOKUP($A86,'PVC SCH80 Flange'!$A$8:$M$48,10,FALSE),
IF($A86&lt;'PVC SCH80 LD Flange'!$A$17,VLOOKUP($A86,'PVC SCH80 LD Flange'!$A$8:$M$16,10,FALSE),
IF($A86&lt;CPVC!$A$100,VLOOKUP($A86,CPVC!$A$8:$M$99,10,FALSE),
IF($A86&lt;InsertFittings!$A$237,VLOOKUP($A86,InsertFittings!$A$11:$M$236,10,FALSE),
IF($A86&lt;Valves!$A$132,VLOOKUP($A86,Valves!$A$8:$M$131,10,FALSE),
IF($A86&lt;SDR35SW!$A$124,VLOOKUP($A86,SDR35SW!$A$8:$M$123,10,FALSE),
IF($A86&lt;SDR35G!$A$143,VLOOKUP($A86, SDR35G!$A$8:$M$142,10,FALSE),
IF($A86&lt;SDR26G!$A$61,VLOOKUP($A86,SDR26G!$A$8:$N$60,11,FALSE),
IF($A86&lt;Cements!$A$100,VLOOKUP($A86,Cements!$A$8:$Q$99,14,FALSE),
IF($A86&lt;ValveBox!$A$143,VLOOKUP($A86,ValveBox!$A$10:$O$142,12,FALSE),
IF($A86&lt;'ValveBox Components'!$A$165,VLOOKUP($A86,'ValveBox Components'!$A$10:$O$164,12,FALSE),
IF($A86&lt;Drainage!$A$92,VLOOKUP($A86,Drainage!$A$8:$M$91,10,FALSE),
IF($A86&lt;Nipples!$A$82,VLOOKUP($A86,Nipples!$A$9:$Q$81,14,FALSE),
IF($A86&lt;Manifold!$A$33,VLOOKUP($A86,Manifold!$A$9:$M$32,10,FALSE),
IF($A86&lt;FlexibleRepairCouplings!$A$13,VLOOKUP($A86,FlexibleRepairCouplings!$A$10:$M$12,10,FALSE),
IF($A86&lt;DuraFix!$A$15,VLOOKUP($A86,DuraFix!$A$9:$M$14,10,FALSE),
IF($A86&lt;'Compression Fittings'!$A$16,VLOOKUP($A86,'Compression Fittings'!$A$8:$M$15,10,FALSE),
IF($A86&lt;'Hose Fittings'!$A$30,VLOOKUP($A86,'Hose Fittings'!$A$8:$M$29,10,FALSE),
IF($A86&lt;'Swing Joints'!$A$496,VLOOKUP($A86,'Swing Joints'!$A$9:$M$495,10,FALSE),
IF($A86&lt;'Swing Joints Components'!$A$135,VLOOKUP($A86,'Swing Joints Components'!$A$9:$M$134,10,FALSE),
IF($A86&lt;Nonstandard!$A$42,VLOOKUP($A86,Nonstandard!$A$31:$J$41,10,FALSE),"")))))))))))))))))))))))))))),"")</f>
        <v/>
      </c>
      <c r="L86" s="421" t="str">
        <f t="shared" si="0"/>
        <v>-</v>
      </c>
      <c r="M86" s="425"/>
    </row>
    <row r="87" spans="1:13" ht="15.75">
      <c r="A87" s="415">
        <v>55</v>
      </c>
      <c r="B87" s="415" t="str">
        <f>IFERROR(IF($A87&lt;'DWV PVC'!$A$285,VLOOKUP($A87,'DWV PVC'!$A$8:$M$284,4,FALSE),
IF($A87&lt;'DWV ABS'!$A$117,VLOOKUP($A87,'DWV ABS'!$A$8:$M$116,4,FALSE),
IF($A87&lt;'PVC SCH40'!$A$376,VLOOKUP($A87,'PVC SCH40'!$A$8:$M$375,4,FALSE),
IF($A87&lt;'PVC SCH40 LD'!$A$22,VLOOKUP($A87,'PVC SCH40 LD'!$A$8:$M$21,4,FALSE),
IF($A87&lt;'Pool &amp; SPA Sweep Elbows'!$A$12,VLOOKUP($A87,'Pool &amp; SPA Sweep Elbows'!$A$8:$M$11,4,FALSE),
IF($A87&lt;'Pool &amp; SPA Pipe Extender'!$A$11,VLOOKUP($A87,'Pool &amp; SPA Pipe Extender'!$A$8:$M$10,4,FALSE),
IF($A87&lt;'PVC SCH80'!$A$250,VLOOKUP($A87,'PVC SCH80'!$A$8:$M$249,4,FALSE),
IF($A87&lt;'PVC SCH80 Flange'!$A$49,VLOOKUP($A87,'PVC SCH80 Flange'!$A$8:$M$48,4,FALSE),
IF($A87&lt;'PVC SCH80 LD Flange'!$A$17,VLOOKUP($A87,'PVC SCH80 LD Flange'!$A$8:$M$16,4,FALSE),
IF($A87&lt;CPVC!$A$100,VLOOKUP($A87,CPVC!$A$8:$M$99,4,FALSE),
IF($A87&lt;InsertFittings!$A$237,VLOOKUP($A87,InsertFittings!$A$11:$M$236,4,FALSE),
IF($A87&lt;Valves!$A$132,VLOOKUP($A87,Valves!$A$8:$M$131,4,FALSE),
IF($A87&lt;SDR35SW!$A$124,VLOOKUP($A87,SDR35SW!$A$8:$M$123,4,FALSE),
IF($A87&lt;SDR35G!$A$143,VLOOKUP($A87, SDR35G!$A$8:$M$142,4,FALSE),
IF($A87&lt;SDR26G!$A$61,VLOOKUP($A87,SDR26G!$A$8:$N$60,4,FALSE),
IF($A87&lt;Cements!$A$100,VLOOKUP($A87,Cements!$A$8:$Q$99,4,FALSE),
IF($A87&lt;ValveBox!$A$143,VLOOKUP($A87,ValveBox!$A$10:$O$142,4,FALSE),
IF($A87&lt;'ValveBox Components'!$A$165,VLOOKUP($A87,'ValveBox Components'!$A$10:$O$164,4,FALSE),
IF($A87&lt;Drainage!$A$92,VLOOKUP($A87,Drainage!$A$8:$M$91,4,FALSE),
IF($A87&lt;Nipples!$A$82,VLOOKUP($A87,Nipples!$A$9:$Q$81,4,FALSE),
IF($A87&lt;Manifold!$A$33,VLOOKUP($A87,Manifold!$A$9:$M$32,4,FALSE),
IF($A87&lt;FlexibleRepairCouplings!$A$13,VLOOKUP($A87,FlexibleRepairCouplings!$A$10:$M$12,4,FALSE),
IF($A87&lt;DuraFix!$A$15,VLOOKUP($A87,DuraFix!$A$9:$M$14,4,FALSE),
IF($A87&lt;'Compression Fittings'!$A$16,VLOOKUP($A87,'Compression Fittings'!$A$8:$M$15,4,FALSE),
IF($A87&lt;'Hose Fittings'!$A$30,VLOOKUP($A87,'Hose Fittings'!$A$8:$M$29,4,FALSE),
IF($A87&lt;'Swing Joints'!$A$496,VLOOKUP($A87,'Swing Joints'!$A$9:$M$495,4,FALSE),
IF($A87&lt;'Swing Joints Components'!$A$135,VLOOKUP($A87,'Swing Joints Components'!$A$9:$M$134,4,FALSE),
IF($A87&lt;Nonstandard!$A$42,VLOOKUP($A87,Nonstandard!$A$31:$J$41,5,FALSE),"")))))))))))))))))))))))))))),"")</f>
        <v/>
      </c>
      <c r="C87" s="415" t="str">
        <f>IFERROR(IF($A87&lt;'DWV PVC'!$A$285,VLOOKUP($A87,'DWV PVC'!$A$8:$M$284,5,FALSE),
IF($A87&lt;'DWV ABS'!$A$117,VLOOKUP($A87,'DWV ABS'!$A$8:$M$116,5,FALSE),
IF($A87&lt;'PVC SCH40'!$A$376,VLOOKUP($A87,'PVC SCH40'!$A$8:$M$375,5,FALSE),
IF($A87&lt;'PVC SCH40 LD'!$A$22,VLOOKUP($A87,'PVC SCH40 LD'!$A$8:$M$21,5,FALSE),
IF($A87&lt;'Pool &amp; SPA Sweep Elbows'!$A$12,VLOOKUP($A87,'Pool &amp; SPA Sweep Elbows'!$A$8:$M$11,5,FALSE),
IF($A87&lt;'Pool &amp; SPA Pipe Extender'!$A$11,VLOOKUP($A87,'Pool &amp; SPA Pipe Extender'!$A$8:$M$10,5,FALSE),
IF($A87&lt;'PVC SCH80'!$A$250,VLOOKUP($A87,'PVC SCH80'!$A$8:$M$249,5,FALSE),
IF($A87&lt;'PVC SCH80 Flange'!$A$49,VLOOKUP($A87,'PVC SCH80 Flange'!$A$8:$M$48,5,FALSE),
IF($A87&lt;'PVC SCH80 LD Flange'!$A$17,VLOOKUP($A87,'PVC SCH80 LD Flange'!$A$8:$M$16,5,FALSE),
IF($A87&lt;CPVC!$A$100,VLOOKUP($A87,CPVC!$A$8:$M$99,5,FALSE),
IF($A87&lt;InsertFittings!$A$237,VLOOKUP($A87,InsertFittings!$A$11:$M$236,5,FALSE),
IF($A87&lt;Valves!$A$132,VLOOKUP($A87,Valves!$A$8:$M$131,5,FALSE),
IF($A87&lt;SDR35SW!$A$124,VLOOKUP($A87,SDR35SW!$A$8:$M$123,5,FALSE),
IF($A87&lt;SDR35G!$A$143,VLOOKUP($A87, SDR35G!$A$8:$M$142,5,FALSE),
IF($A87&lt;SDR26G!$A$61,VLOOKUP($A87,SDR26G!$A$8:$N$60,5,FALSE),
IF($A87&lt;Cements!$A$100,VLOOKUP($A87,Cements!$A$8:$Q$99,5,FALSE),
IF($A87&lt;ValveBox!$A$143,VLOOKUP($A87,ValveBox!$A$10:$O$142,5,FALSE),
IF($A87&lt;'ValveBox Components'!$A$165,VLOOKUP($A87,'ValveBox Components'!$A$10:$O$164,5,FALSE),
IF($A87&lt;Drainage!$A$92,VLOOKUP($A87,Drainage!$A$8:$M$91,5,FALSE),
IF($A87&lt;Nipples!$A$82,VLOOKUP($A87,Nipples!$A$9:$Q$81,5,FALSE),
IF($A87&lt;Manifold!$A$33,VLOOKUP($A87,Manifold!$A$9:$M$32,5,FALSE),
IF($A87&lt;FlexibleRepairCouplings!$A$13,VLOOKUP($A87,FlexibleRepairCouplings!$A$10:$M$12,5,FALSE),
IF($A87&lt;DuraFix!$A$15,VLOOKUP($A87,DuraFix!$A$9:$M$14,5,FALSE),
IF($A87&lt;'Compression Fittings'!$A$16,VLOOKUP($A87,'Compression Fittings'!$A$8:$M$15,5,FALSE),
IF($A87&lt;'Hose Fittings'!$A$30,VLOOKUP($A87,'Hose Fittings'!$A$8:$M$29,5,FALSE),
IF($A87&lt;'Swing Joints'!$A$496,VLOOKUP($A87,'Swing Joints'!$A$9:$M$495,5,FALSE),
IF($A87&lt;'Swing Joints Components'!$A$135,VLOOKUP($A87,'Swing Joints Components'!$A$9:$M$134,5,FALSE),
IF($A87&lt;Nonstandard!$A$42,VLOOKUP($A87,Nonstandard!$A$31:$J$41,6,FALSE),"")))))))))))))))))))))))))))),"")</f>
        <v/>
      </c>
      <c r="D87" s="426" t="str">
        <f>IFERROR(IF($A87&lt;'DWV PVC'!$A$285,VLOOKUP($A87,'DWV PVC'!$A$8:$M$284,6,FALSE),
IF($A87&lt;'DWV ABS'!$A$117,VLOOKUP($A87,'DWV ABS'!$A$8:$M$116,6,FALSE),
IF($A87&lt;'PVC SCH40'!$A$376,VLOOKUP($A87,'PVC SCH40'!$A$8:$M$375,6,FALSE),
IF($A87&lt;'PVC SCH40 LD'!$A$22,VLOOKUP($A87,'PVC SCH40 LD'!$A$8:$M$21,6,FALSE),
IF($A87&lt;'Pool &amp; SPA Sweep Elbows'!$A$12,VLOOKUP($A87,'Pool &amp; SPA Sweep Elbows'!$A$8:$M$11,6,FALSE),
IF($A87&lt;'Pool &amp; SPA Pipe Extender'!$A$11,VLOOKUP($A87,'Pool &amp; SPA Pipe Extender'!$A$8:$M$10,6,FALSE),
IF($A87&lt;'PVC SCH80'!$A$250,VLOOKUP($A87,'PVC SCH80'!$A$8:$M$249,6,FALSE),
IF($A87&lt;'PVC SCH80 Flange'!$A$49,VLOOKUP($A87,'PVC SCH80 Flange'!$A$8:$M$48,6,FALSE),
IF($A87&lt;'PVC SCH80 LD Flange'!$A$17,VLOOKUP($A87,'PVC SCH80 LD Flange'!$A$8:$M$16,6,FALSE),
IF($A87&lt;CPVC!$A$100,VLOOKUP($A87,CPVC!$A$8:$M$99,6,FALSE),
IF($A87&lt;InsertFittings!$A$237,VLOOKUP($A87,InsertFittings!$A$11:$M$236,6,FALSE),
IF($A87&lt;Valves!$A$132,VLOOKUP($A87,Valves!$A$8:$M$131,6,FALSE),
IF($A87&lt;SDR35SW!$A$124,VLOOKUP($A87,SDR35SW!$A$8:$M$123,6,FALSE),
IF($A87&lt;SDR35G!$A$143,VLOOKUP($A87, SDR35G!$A$8:$M$142,6,FALSE),
IF($A87&lt;SDR26G!$A$61,VLOOKUP($A87,SDR26G!$A$8:$N$60,6,FALSE),
IF($A87&lt;Cements!$A$100,VLOOKUP($A87,Cements!$A$8:$Q$99,6,FALSE),
IF($A87&lt;ValveBox!$A$143,VLOOKUP($A87,ValveBox!$A$10:$O$142,6,FALSE),
IF($A87&lt;'ValveBox Components'!$A$165,VLOOKUP($A87,'ValveBox Components'!$A$10:$O$164,6,FALSE),
IF($A87&lt;Drainage!$A$92,VLOOKUP($A87,Drainage!$A$8:$M$91,6,FALSE),
IF($A87&lt;Nipples!$A$82,VLOOKUP($A87,Nipples!$A$9:$Q$81,6,FALSE),
IF($A87&lt;Manifold!$A$33,VLOOKUP($A87,Manifold!$A$9:$M$32,6,FALSE),
IF($A87&lt;FlexibleRepairCouplings!$A$13,VLOOKUP($A87,FlexibleRepairCouplings!$A$10:$M$12,6,FALSE),
IF($A87&lt;DuraFix!$A$15,VLOOKUP($A87,DuraFix!$A$9:$M$14,6,FALSE),
IF($A87&lt;'Compression Fittings'!$A$16,VLOOKUP($A87,'Compression Fittings'!$A$8:$M$15,6,FALSE),
IF($A87&lt;'Hose Fittings'!$A$30,VLOOKUP($A87,'Hose Fittings'!$A$8:$M$29,6,FALSE),
IF($A87&lt;'Swing Joints'!$A$496,VLOOKUP($A87,'Swing Joints'!$A$9:$M$495,6,FALSE),
IF($A87&lt;'Swing Joints Components'!$A$135,VLOOKUP($A87,'Swing Joints Components'!$A$9:$M$134,6,FALSE),
IF($A87&lt;Nonstandard!$A$42,VLOOKUP($A87,Nonstandard!$A$31:$J$41,7,FALSE),"")))))))))))))))))))))))))))),"")</f>
        <v/>
      </c>
      <c r="E87" s="427"/>
      <c r="F87" s="418" t="str">
        <f>IFERROR(IF($A87&lt;'DWV PVC'!$A$285,VLOOKUP($A87,'DWV PVC'!$A$8:$M$284,9,FALSE),
IF($A87&lt;'DWV ABS'!$A$117,VLOOKUP($A87,'DWV ABS'!$A$8:$M$116,9,FALSE),
IF($A87&lt;'PVC SCH40'!$A$376,VLOOKUP($A87,'PVC SCH40'!$A$8:$M$375,9,FALSE),
IF($A87&lt;'PVC SCH40 LD'!$A$22,VLOOKUP($A87,'PVC SCH40 LD'!$A$8:$M$21,9,FALSE),
IF($A87&lt;'Pool &amp; SPA Sweep Elbows'!$A$12,VLOOKUP($A87,'Pool &amp; SPA Sweep Elbows'!$A$8:$M$11,9,FALSE),
IF($A87&lt;'Pool &amp; SPA Pipe Extender'!$A$11,VLOOKUP($A87,'Pool &amp; SPA Pipe Extender'!$A$8:$M$10,9,FALSE),
IF($A87&lt;'PVC SCH80'!$A$250,VLOOKUP($A87,'PVC SCH80'!$A$8:$M$249,9,FALSE),
IF($A87&lt;'PVC SCH80 Flange'!$A$49,VLOOKUP($A87,'PVC SCH80 Flange'!$A$8:$M$48,9,FALSE),
IF($A87&lt;'PVC SCH80 LD Flange'!$A$17,VLOOKUP($A87,'PVC SCH80 LD Flange'!$A$8:$M$16,9,FALSE),
IF($A87&lt;CPVC!$A$100,VLOOKUP($A87,CPVC!$A$8:$M$99,9,FALSE),
IF($A87&lt;InsertFittings!$A$237,VLOOKUP($A87,InsertFittings!$A$11:$M$236,9,FALSE),
IF($A87&lt;Valves!$A$132,VLOOKUP($A87,Valves!$A$8:$M$131,9,FALSE),
IF($A87&lt;SDR35SW!$A$124,VLOOKUP($A87,SDR35SW!$A$8:$M$123,9,FALSE),
IF($A87&lt;SDR35G!$A$143,VLOOKUP($A87, SDR35G!$A$8:$M$142,9,FALSE),
IF($A87&lt;SDR26G!$A$61,VLOOKUP($A87,SDR26G!$A$8:$N$60,10,FALSE),
IF($A87&lt;Cements!$A$100,VLOOKUP($A87,Cements!$A$8:$Q$99,13,FALSE),
IF($A87&lt;ValveBox!$A$143,VLOOKUP($A87,ValveBox!$A$10:$O$142,11,FALSE),
IF($A87&lt;'ValveBox Components'!$A$165,VLOOKUP($A87,'ValveBox Components'!$A$10:$O$164,11,FALSE),
IF($A87&lt;Drainage!$A$92,VLOOKUP($A87,Drainage!$A$8:$M$91,9,FALSE),
IF($A87&lt;Nipples!$A$82,VLOOKUP($A87,Nipples!$A$9:$Q$81,13,FALSE),
IF($A87&lt;Manifold!$A$33,VLOOKUP($A87,Manifold!$A$9:$M$32,9,FALSE),
IF($A87&lt;FlexibleRepairCouplings!$A$13,VLOOKUP($A87,FlexibleRepairCouplings!$A$10:$M$12,9,FALSE),
IF($A87&lt;DuraFix!$A$15,VLOOKUP($A87,DuraFix!$A$9:$M$14,9,FALSE),
IF($A87&lt;'Compression Fittings'!$A$16,VLOOKUP($A87,'Compression Fittings'!$A$8:$M$15,9,FALSE),
IF($A87&lt;'Hose Fittings'!$A$30,VLOOKUP($A87,'Hose Fittings'!$A$8:$M$29,9,FALSE),
IF($A87&lt;'Swing Joints'!$A$496,VLOOKUP($A87,'Swing Joints'!$A$9:$M$495,9,FALSE),
IF($A87&lt;'Swing Joints Components'!$A$135,VLOOKUP($A87,'Swing Joints Components'!$A$9:$M$134,9,FALSE),
IF($A87&lt;Nonstandard!$A$42,VLOOKUP($A87,Nonstandard!$A$31:$J$41,8,FALSE),"")))))))))))))))))))))))))))),"")</f>
        <v/>
      </c>
      <c r="G87" s="416" t="str">
        <f>IFERROR(IF($A87&lt;'DWV PVC'!$A$285,VLOOKUP($A87,'DWV PVC'!$A$8:$M$284,11,FALSE),
IF($A87&lt;'DWV ABS'!$A$117,VLOOKUP($A87,'DWV ABS'!$A$8:$M$116,11,FALSE),
IF($A87&lt;'PVC SCH40'!$A$376,VLOOKUP($A87,'PVC SCH40'!$A$8:$M$375,11,FALSE),
IF($A87&lt;'PVC SCH40 LD'!$A$22,VLOOKUP($A87,'PVC SCH40 LD'!$A$8:$M$21,11,FALSE),
IF($A87&lt;'Pool &amp; SPA Sweep Elbows'!$A$12,VLOOKUP($A87,'Pool &amp; SPA Sweep Elbows'!$A$8:$M$11,11,FALSE),
IF($A87&lt;'Pool &amp; SPA Pipe Extender'!$A$11,VLOOKUP($A87,'Pool &amp; SPA Pipe Extender'!$A$8:$M$10,11,FALSE),
IF($A87&lt;'PVC SCH80'!$A$250,VLOOKUP($A87,'PVC SCH80'!$A$8:$M$249,11,FALSE),
IF($A87&lt;'PVC SCH80 Flange'!$A$49,VLOOKUP($A87,'PVC SCH80 Flange'!$A$8:$M$48,11,FALSE),
IF($A87&lt;'PVC SCH80 LD Flange'!$A$17,VLOOKUP($A87,'PVC SCH80 LD Flange'!$A$8:$M$16,11,FALSE),
IF($A87&lt;CPVC!$A$100,VLOOKUP($A87,CPVC!$A$8:$M$99,11,FALSE),
IF($A87&lt;InsertFittings!$A$237,VLOOKUP($A87,InsertFittings!$A$11:$M$236,11,FALSE),
IF($A87&lt;Valves!$A$132,VLOOKUP($A87,Valves!$A$8:$M$131,11,FALSE),
IF($A87&lt;SDR35SW!$A$124,VLOOKUP($A87,SDR35SW!$A$8:$M$123,11,FALSE),
IF($A87&lt;SDR35G!$A$143,VLOOKUP($A87, SDR35G!$A$8:$M$142,11,FALSE),
IF($A87&lt;SDR26G!$A$61,VLOOKUP($A87,SDR26G!$A$8:$N$60,12,FALSE),
IF($A87&lt;Cements!$A$100,VLOOKUP($A87,Cements!$A$8:$Q$99,15,FALSE),
IF($A87&lt;ValveBox!$A$143,VLOOKUP($A87,ValveBox!$A$10:$O$142,13,FALSE),
IF($A87&lt;'ValveBox Components'!$A$165,VLOOKUP($A87,'ValveBox Components'!$A$10:$O$164,13,FALSE),
IF($A87&lt;Drainage!$A$92,VLOOKUP($A87,Drainage!$A$8:$M$91,11,FALSE),
IF($A87&lt;Nipples!$A$82,VLOOKUP($A87,Nipples!$A$9:$Q$81,15,FALSE),
IF($A87&lt;Manifold!$A$33,VLOOKUP($A87,Manifold!$A$9:$M$32,11,FALSE),
IF($A87&lt;FlexibleRepairCouplings!$A$13,VLOOKUP($A87,FlexibleRepairCouplings!$A$10:$M$12,11,FALSE),
IF($A87&lt;DuraFix!$A$15,VLOOKUP($A87,DuraFix!$A$9:$M$14,11,FALSE),
IF($A87&lt;'Compression Fittings'!$A$16,VLOOKUP($A87,'Compression Fittings'!$A$8:$M$15,11,FALSE),
IF($A87&lt;'Hose Fittings'!$A$30,VLOOKUP($A87,'Hose Fittings'!$A$8:$M$29,11,FALSE),
IF($A87&lt;'Swing Joints'!$A$496,VLOOKUP($A87,'Swing Joints'!$A$9:$M$495,11,FALSE),
IF($A87&lt;'Swing Joints Components'!$A$135,VLOOKUP($A87,'Swing Joints Components'!$A$9:$M$134,11,FALSE),
IF($A87&lt;Nonstandard!$A$42,VLOOKUP($A87,Nonstandard!$A$31:$J$41,3,FALSE),"")))))))))))))))))))))))))))),"")</f>
        <v/>
      </c>
      <c r="H87" s="586" t="str">
        <f>IFERROR(IF($A87&lt;'DWV PVC'!$A$285,VLOOKUP($A87,'DWV PVC'!$A$8:$M$284,7,FALSE),
IF($A87&lt;'DWV ABS'!$A$117,VLOOKUP($A87,'DWV ABS'!$A$8:$M$116,7,FALSE),
IF($A87&lt;'PVC SCH40'!$A$376,VLOOKUP($A87,'PVC SCH40'!$A$8:$M$375,7,FALSE),
IF($A87&lt;'PVC SCH40 LD'!$A$22,VLOOKUP($A87,'PVC SCH40 LD'!$A$8:$M$21,7,FALSE),
IF($A87&lt;'Pool &amp; SPA Sweep Elbows'!$A$12,VLOOKUP($A87,'Pool &amp; SPA Sweep Elbows'!$A$8:$M$11,7,FALSE),
IF($A87&lt;'Pool &amp; SPA Pipe Extender'!$A$11,VLOOKUP($A87,'Pool &amp; SPA Pipe Extender'!$A$8:$M$10,7,FALSE),
IF($A87&lt;'PVC SCH80'!$A$250,VLOOKUP($A87,'PVC SCH80'!$A$8:$M$249,7,FALSE),
IF($A87&lt;'PVC SCH80 Flange'!$A$49,VLOOKUP($A87,'PVC SCH80 Flange'!$A$8:$M$48,7,FALSE),
IF($A87&lt;'PVC SCH80 LD Flange'!$A$17,VLOOKUP($A87,'PVC SCH80 LD Flange'!$A$8:$M$16,7,FALSE),
IF($A87&lt;CPVC!$A$100,VLOOKUP($A87,CPVC!$A$8:$M$99,7,FALSE),
IF($A87&lt;InsertFittings!$A$237,VLOOKUP($A87,InsertFittings!$A$11:$M$236,7,FALSE),
IF($A87&lt;Valves!$A$132,VLOOKUP($A87,Valves!$A$8:$M$131,7,FALSE),
IF($A87&lt;SDR35SW!$A$124,VLOOKUP($A87,SDR35SW!$A$8:$M$123,7,FALSE),
IF($A87&lt;SDR35G!$A$143,VLOOKUP($A87, SDR35G!$A$8:$M$142,7,FALSE),
IF($A87&lt;SDR26G!$A$61,VLOOKUP($A87,SDR26G!$A$8:$N$60,10,FALSE),
IF($A87&lt;Cements!$A$100,VLOOKUP($A87,Cements!$A$8:$Q$99,13,FALSE),
IF($A87&lt;ValveBox!$A$143,VLOOKUP($A87,ValveBox!$A$10:$O$142,11,FALSE),
IF($A87&lt;'ValveBox Components'!$A$165,VLOOKUP($A87,'ValveBox Components'!$A$10:$O$164,11,FALSE),
IF($A87&lt;Drainage!$A$92,VLOOKUP($A87,Drainage!$A$8:$M$91,7,FALSE),
IF($A87&lt;Nipples!$A$82,VLOOKUP($A87,Nipples!$A$9:$Q$81,13,FALSE),
IF($A87&lt;Manifold!$A$33,VLOOKUP($A87,Manifold!$A$9:$M$32,7,FALSE),
IF($A87&lt;FlexibleRepairCouplings!$A$13,VLOOKUP($A87,FlexibleRepairCouplings!$A$10:$M$12,7,FALSE),
IF($A87&lt;DuraFix!$A$15,VLOOKUP($A87,DuraFix!$A$9:$M$14,7,FALSE),
IF($A87&lt;'Compression Fittings'!$A$16,VLOOKUP($A87,'Compression Fittings'!$A$8:$M$15,7,FALSE),
IF($A87&lt;'Hose Fittings'!$A$30,VLOOKUP($A87,'Hose Fittings'!$A$8:$M$29,7,FALSE),
IF($A87&lt;'Swing Joints'!$A$496,VLOOKUP($A87,'Swing Joints'!$A$9:$M$495,7,FALSE),
IF($A87&lt;'Swing Joints Components'!$A$135,VLOOKUP($A87,'Swing Joints Components'!$A$9:$M$134,7,FALSE),
IF($A87&lt;Nonstandard!$A$42,VLOOKUP($A87,Nonstandard!$A$31:$J$41,3,FALSE),"")))))))))))))))))))))))))))),"")</f>
        <v/>
      </c>
      <c r="I87" s="587"/>
      <c r="J87" s="383" t="str">
        <f t="shared" si="1"/>
        <v/>
      </c>
      <c r="K87" s="417" t="str">
        <f>IFERROR(IF($A87&lt;'DWV PVC'!$A$285,VLOOKUP($A87,'DWV PVC'!$A$8:$M$284,10,FALSE),
IF($A87&lt;'DWV ABS'!$A$117,VLOOKUP($A87,'DWV ABS'!$A$8:$M$116,10,FALSE),
IF($A87&lt;'PVC SCH40'!$A$376,VLOOKUP($A87,'PVC SCH40'!$A$8:$M$375,10,FALSE),
IF($A87&lt;'PVC SCH40 LD'!$A$22,VLOOKUP($A87,'PVC SCH40 LD'!$A$8:$M$21,10,FALSE),
IF($A87&lt;'Pool &amp; SPA Sweep Elbows'!$A$12,VLOOKUP($A87,'Pool &amp; SPA Sweep Elbows'!$A$8:$M$11,10,FALSE),
IF($A87&lt;'Pool &amp; SPA Pipe Extender'!$A$11,VLOOKUP($A87,'Pool &amp; SPA Pipe Extender'!$A$8:$M$10,10,FALSE),
IF($A87&lt;'PVC SCH80'!$A$250,VLOOKUP($A87,'PVC SCH80'!$A$8:$M$249,10,FALSE),
IF($A87&lt;'PVC SCH80 Flange'!$A$49,VLOOKUP($A87,'PVC SCH80 Flange'!$A$8:$M$48,10,FALSE),
IF($A87&lt;'PVC SCH80 LD Flange'!$A$17,VLOOKUP($A87,'PVC SCH80 LD Flange'!$A$8:$M$16,10,FALSE),
IF($A87&lt;CPVC!$A$100,VLOOKUP($A87,CPVC!$A$8:$M$99,10,FALSE),
IF($A87&lt;InsertFittings!$A$237,VLOOKUP($A87,InsertFittings!$A$11:$M$236,10,FALSE),
IF($A87&lt;Valves!$A$132,VLOOKUP($A87,Valves!$A$8:$M$131,10,FALSE),
IF($A87&lt;SDR35SW!$A$124,VLOOKUP($A87,SDR35SW!$A$8:$M$123,10,FALSE),
IF($A87&lt;SDR35G!$A$143,VLOOKUP($A87, SDR35G!$A$8:$M$142,10,FALSE),
IF($A87&lt;SDR26G!$A$61,VLOOKUP($A87,SDR26G!$A$8:$N$60,11,FALSE),
IF($A87&lt;Cements!$A$100,VLOOKUP($A87,Cements!$A$8:$Q$99,14,FALSE),
IF($A87&lt;ValveBox!$A$143,VLOOKUP($A87,ValveBox!$A$10:$O$142,12,FALSE),
IF($A87&lt;'ValveBox Components'!$A$165,VLOOKUP($A87,'ValveBox Components'!$A$10:$O$164,12,FALSE),
IF($A87&lt;Drainage!$A$92,VLOOKUP($A87,Drainage!$A$8:$M$91,10,FALSE),
IF($A87&lt;Nipples!$A$82,VLOOKUP($A87,Nipples!$A$9:$Q$81,14,FALSE),
IF($A87&lt;Manifold!$A$33,VLOOKUP($A87,Manifold!$A$9:$M$32,10,FALSE),
IF($A87&lt;FlexibleRepairCouplings!$A$13,VLOOKUP($A87,FlexibleRepairCouplings!$A$10:$M$12,10,FALSE),
IF($A87&lt;DuraFix!$A$15,VLOOKUP($A87,DuraFix!$A$9:$M$14,10,FALSE),
IF($A87&lt;'Compression Fittings'!$A$16,VLOOKUP($A87,'Compression Fittings'!$A$8:$M$15,10,FALSE),
IF($A87&lt;'Hose Fittings'!$A$30,VLOOKUP($A87,'Hose Fittings'!$A$8:$M$29,10,FALSE),
IF($A87&lt;'Swing Joints'!$A$496,VLOOKUP($A87,'Swing Joints'!$A$9:$M$495,10,FALSE),
IF($A87&lt;'Swing Joints Components'!$A$135,VLOOKUP($A87,'Swing Joints Components'!$A$9:$M$134,10,FALSE),
IF($A87&lt;Nonstandard!$A$42,VLOOKUP($A87,Nonstandard!$A$31:$J$41,10,FALSE),"")))))))))))))))))))))))))))),"")</f>
        <v/>
      </c>
      <c r="L87" s="418" t="str">
        <f t="shared" si="0"/>
        <v>-</v>
      </c>
      <c r="M87" s="419"/>
    </row>
    <row r="88" spans="1:13" ht="15.75">
      <c r="A88" s="420">
        <v>56</v>
      </c>
      <c r="B88" s="420" t="str">
        <f>IFERROR(IF($A88&lt;'DWV PVC'!$A$285,VLOOKUP($A88,'DWV PVC'!$A$8:$M$284,4,FALSE),
IF($A88&lt;'DWV ABS'!$A$117,VLOOKUP($A88,'DWV ABS'!$A$8:$M$116,4,FALSE),
IF($A88&lt;'PVC SCH40'!$A$376,VLOOKUP($A88,'PVC SCH40'!$A$8:$M$375,4,FALSE),
IF($A88&lt;'PVC SCH40 LD'!$A$22,VLOOKUP($A88,'PVC SCH40 LD'!$A$8:$M$21,4,FALSE),
IF($A88&lt;'Pool &amp; SPA Sweep Elbows'!$A$12,VLOOKUP($A88,'Pool &amp; SPA Sweep Elbows'!$A$8:$M$11,4,FALSE),
IF($A88&lt;'Pool &amp; SPA Pipe Extender'!$A$11,VLOOKUP($A88,'Pool &amp; SPA Pipe Extender'!$A$8:$M$10,4,FALSE),
IF($A88&lt;'PVC SCH80'!$A$250,VLOOKUP($A88,'PVC SCH80'!$A$8:$M$249,4,FALSE),
IF($A88&lt;'PVC SCH80 Flange'!$A$49,VLOOKUP($A88,'PVC SCH80 Flange'!$A$8:$M$48,4,FALSE),
IF($A88&lt;'PVC SCH80 LD Flange'!$A$17,VLOOKUP($A88,'PVC SCH80 LD Flange'!$A$8:$M$16,4,FALSE),
IF($A88&lt;CPVC!$A$100,VLOOKUP($A88,CPVC!$A$8:$M$99,4,FALSE),
IF($A88&lt;InsertFittings!$A$237,VLOOKUP($A88,InsertFittings!$A$11:$M$236,4,FALSE),
IF($A88&lt;Valves!$A$132,VLOOKUP($A88,Valves!$A$8:$M$131,4,FALSE),
IF($A88&lt;SDR35SW!$A$124,VLOOKUP($A88,SDR35SW!$A$8:$M$123,4,FALSE),
IF($A88&lt;SDR35G!$A$143,VLOOKUP($A88, SDR35G!$A$8:$M$142,4,FALSE),
IF($A88&lt;SDR26G!$A$61,VLOOKUP($A88,SDR26G!$A$8:$N$60,4,FALSE),
IF($A88&lt;Cements!$A$100,VLOOKUP($A88,Cements!$A$8:$Q$99,4,FALSE),
IF($A88&lt;ValveBox!$A$143,VLOOKUP($A88,ValveBox!$A$10:$O$142,4,FALSE),
IF($A88&lt;'ValveBox Components'!$A$165,VLOOKUP($A88,'ValveBox Components'!$A$10:$O$164,4,FALSE),
IF($A88&lt;Drainage!$A$92,VLOOKUP($A88,Drainage!$A$8:$M$91,4,FALSE),
IF($A88&lt;Nipples!$A$82,VLOOKUP($A88,Nipples!$A$9:$Q$81,4,FALSE),
IF($A88&lt;Manifold!$A$33,VLOOKUP($A88,Manifold!$A$9:$M$32,4,FALSE),
IF($A88&lt;FlexibleRepairCouplings!$A$13,VLOOKUP($A88,FlexibleRepairCouplings!$A$10:$M$12,4,FALSE),
IF($A88&lt;DuraFix!$A$15,VLOOKUP($A88,DuraFix!$A$9:$M$14,4,FALSE),
IF($A88&lt;'Compression Fittings'!$A$16,VLOOKUP($A88,'Compression Fittings'!$A$8:$M$15,4,FALSE),
IF($A88&lt;'Hose Fittings'!$A$30,VLOOKUP($A88,'Hose Fittings'!$A$8:$M$29,4,FALSE),
IF($A88&lt;'Swing Joints'!$A$496,VLOOKUP($A88,'Swing Joints'!$A$9:$M$495,4,FALSE),
IF($A88&lt;'Swing Joints Components'!$A$135,VLOOKUP($A88,'Swing Joints Components'!$A$9:$M$134,4,FALSE),
IF($A88&lt;Nonstandard!$A$42,VLOOKUP($A88,Nonstandard!$A$31:$J$41,5,FALSE),"")))))))))))))))))))))))))))),"")</f>
        <v/>
      </c>
      <c r="C88" s="420" t="str">
        <f>IFERROR(IF($A88&lt;'DWV PVC'!$A$285,VLOOKUP($A88,'DWV PVC'!$A$8:$M$284,5,FALSE),
IF($A88&lt;'DWV ABS'!$A$117,VLOOKUP($A88,'DWV ABS'!$A$8:$M$116,5,FALSE),
IF($A88&lt;'PVC SCH40'!$A$376,VLOOKUP($A88,'PVC SCH40'!$A$8:$M$375,5,FALSE),
IF($A88&lt;'PVC SCH40 LD'!$A$22,VLOOKUP($A88,'PVC SCH40 LD'!$A$8:$M$21,5,FALSE),
IF($A88&lt;'Pool &amp; SPA Sweep Elbows'!$A$12,VLOOKUP($A88,'Pool &amp; SPA Sweep Elbows'!$A$8:$M$11,5,FALSE),
IF($A88&lt;'Pool &amp; SPA Pipe Extender'!$A$11,VLOOKUP($A88,'Pool &amp; SPA Pipe Extender'!$A$8:$M$10,5,FALSE),
IF($A88&lt;'PVC SCH80'!$A$250,VLOOKUP($A88,'PVC SCH80'!$A$8:$M$249,5,FALSE),
IF($A88&lt;'PVC SCH80 Flange'!$A$49,VLOOKUP($A88,'PVC SCH80 Flange'!$A$8:$M$48,5,FALSE),
IF($A88&lt;'PVC SCH80 LD Flange'!$A$17,VLOOKUP($A88,'PVC SCH80 LD Flange'!$A$8:$M$16,5,FALSE),
IF($A88&lt;CPVC!$A$100,VLOOKUP($A88,CPVC!$A$8:$M$99,5,FALSE),
IF($A88&lt;InsertFittings!$A$237,VLOOKUP($A88,InsertFittings!$A$11:$M$236,5,FALSE),
IF($A88&lt;Valves!$A$132,VLOOKUP($A88,Valves!$A$8:$M$131,5,FALSE),
IF($A88&lt;SDR35SW!$A$124,VLOOKUP($A88,SDR35SW!$A$8:$M$123,5,FALSE),
IF($A88&lt;SDR35G!$A$143,VLOOKUP($A88, SDR35G!$A$8:$M$142,5,FALSE),
IF($A88&lt;SDR26G!$A$61,VLOOKUP($A88,SDR26G!$A$8:$N$60,5,FALSE),
IF($A88&lt;Cements!$A$100,VLOOKUP($A88,Cements!$A$8:$Q$99,5,FALSE),
IF($A88&lt;ValveBox!$A$143,VLOOKUP($A88,ValveBox!$A$10:$O$142,5,FALSE),
IF($A88&lt;'ValveBox Components'!$A$165,VLOOKUP($A88,'ValveBox Components'!$A$10:$O$164,5,FALSE),
IF($A88&lt;Drainage!$A$92,VLOOKUP($A88,Drainage!$A$8:$M$91,5,FALSE),
IF($A88&lt;Nipples!$A$82,VLOOKUP($A88,Nipples!$A$9:$Q$81,5,FALSE),
IF($A88&lt;Manifold!$A$33,VLOOKUP($A88,Manifold!$A$9:$M$32,5,FALSE),
IF($A88&lt;FlexibleRepairCouplings!$A$13,VLOOKUP($A88,FlexibleRepairCouplings!$A$10:$M$12,5,FALSE),
IF($A88&lt;DuraFix!$A$15,VLOOKUP($A88,DuraFix!$A$9:$M$14,5,FALSE),
IF($A88&lt;'Compression Fittings'!$A$16,VLOOKUP($A88,'Compression Fittings'!$A$8:$M$15,5,FALSE),
IF($A88&lt;'Hose Fittings'!$A$30,VLOOKUP($A88,'Hose Fittings'!$A$8:$M$29,5,FALSE),
IF($A88&lt;'Swing Joints'!$A$496,VLOOKUP($A88,'Swing Joints'!$A$9:$M$495,5,FALSE),
IF($A88&lt;'Swing Joints Components'!$A$135,VLOOKUP($A88,'Swing Joints Components'!$A$9:$M$134,5,FALSE),
IF($A88&lt;Nonstandard!$A$42,VLOOKUP($A88,Nonstandard!$A$31:$J$41,6,FALSE),"")))))))))))))))))))))))))))),"")</f>
        <v/>
      </c>
      <c r="D88" s="428" t="str">
        <f>IFERROR(IF($A88&lt;'DWV PVC'!$A$285,VLOOKUP($A88,'DWV PVC'!$A$8:$M$284,6,FALSE),
IF($A88&lt;'DWV ABS'!$A$117,VLOOKUP($A88,'DWV ABS'!$A$8:$M$116,6,FALSE),
IF($A88&lt;'PVC SCH40'!$A$376,VLOOKUP($A88,'PVC SCH40'!$A$8:$M$375,6,FALSE),
IF($A88&lt;'PVC SCH40 LD'!$A$22,VLOOKUP($A88,'PVC SCH40 LD'!$A$8:$M$21,6,FALSE),
IF($A88&lt;'Pool &amp; SPA Sweep Elbows'!$A$12,VLOOKUP($A88,'Pool &amp; SPA Sweep Elbows'!$A$8:$M$11,6,FALSE),
IF($A88&lt;'Pool &amp; SPA Pipe Extender'!$A$11,VLOOKUP($A88,'Pool &amp; SPA Pipe Extender'!$A$8:$M$10,6,FALSE),
IF($A88&lt;'PVC SCH80'!$A$250,VLOOKUP($A88,'PVC SCH80'!$A$8:$M$249,6,FALSE),
IF($A88&lt;'PVC SCH80 Flange'!$A$49,VLOOKUP($A88,'PVC SCH80 Flange'!$A$8:$M$48,6,FALSE),
IF($A88&lt;'PVC SCH80 LD Flange'!$A$17,VLOOKUP($A88,'PVC SCH80 LD Flange'!$A$8:$M$16,6,FALSE),
IF($A88&lt;CPVC!$A$100,VLOOKUP($A88,CPVC!$A$8:$M$99,6,FALSE),
IF($A88&lt;InsertFittings!$A$237,VLOOKUP($A88,InsertFittings!$A$11:$M$236,6,FALSE),
IF($A88&lt;Valves!$A$132,VLOOKUP($A88,Valves!$A$8:$M$131,6,FALSE),
IF($A88&lt;SDR35SW!$A$124,VLOOKUP($A88,SDR35SW!$A$8:$M$123,6,FALSE),
IF($A88&lt;SDR35G!$A$143,VLOOKUP($A88, SDR35G!$A$8:$M$142,6,FALSE),
IF($A88&lt;SDR26G!$A$61,VLOOKUP($A88,SDR26G!$A$8:$N$60,6,FALSE),
IF($A88&lt;Cements!$A$100,VLOOKUP($A88,Cements!$A$8:$Q$99,6,FALSE),
IF($A88&lt;ValveBox!$A$143,VLOOKUP($A88,ValveBox!$A$10:$O$142,6,FALSE),
IF($A88&lt;'ValveBox Components'!$A$165,VLOOKUP($A88,'ValveBox Components'!$A$10:$O$164,6,FALSE),
IF($A88&lt;Drainage!$A$92,VLOOKUP($A88,Drainage!$A$8:$M$91,6,FALSE),
IF($A88&lt;Nipples!$A$82,VLOOKUP($A88,Nipples!$A$9:$Q$81,6,FALSE),
IF($A88&lt;Manifold!$A$33,VLOOKUP($A88,Manifold!$A$9:$M$32,6,FALSE),
IF($A88&lt;FlexibleRepairCouplings!$A$13,VLOOKUP($A88,FlexibleRepairCouplings!$A$10:$M$12,6,FALSE),
IF($A88&lt;DuraFix!$A$15,VLOOKUP($A88,DuraFix!$A$9:$M$14,6,FALSE),
IF($A88&lt;'Compression Fittings'!$A$16,VLOOKUP($A88,'Compression Fittings'!$A$8:$M$15,6,FALSE),
IF($A88&lt;'Hose Fittings'!$A$30,VLOOKUP($A88,'Hose Fittings'!$A$8:$M$29,6,FALSE),
IF($A88&lt;'Swing Joints'!$A$496,VLOOKUP($A88,'Swing Joints'!$A$9:$M$495,6,FALSE),
IF($A88&lt;'Swing Joints Components'!$A$135,VLOOKUP($A88,'Swing Joints Components'!$A$9:$M$134,6,FALSE),
IF($A88&lt;Nonstandard!$A$42,VLOOKUP($A88,Nonstandard!$A$31:$J$41,7,FALSE),"")))))))))))))))))))))))))))),"")</f>
        <v/>
      </c>
      <c r="E88" s="429"/>
      <c r="F88" s="421" t="str">
        <f>IFERROR(IF($A88&lt;'DWV PVC'!$A$285,VLOOKUP($A88,'DWV PVC'!$A$8:$M$284,9,FALSE),
IF($A88&lt;'DWV ABS'!$A$117,VLOOKUP($A88,'DWV ABS'!$A$8:$M$116,9,FALSE),
IF($A88&lt;'PVC SCH40'!$A$376,VLOOKUP($A88,'PVC SCH40'!$A$8:$M$375,9,FALSE),
IF($A88&lt;'PVC SCH40 LD'!$A$22,VLOOKUP($A88,'PVC SCH40 LD'!$A$8:$M$21,9,FALSE),
IF($A88&lt;'Pool &amp; SPA Sweep Elbows'!$A$12,VLOOKUP($A88,'Pool &amp; SPA Sweep Elbows'!$A$8:$M$11,9,FALSE),
IF($A88&lt;'Pool &amp; SPA Pipe Extender'!$A$11,VLOOKUP($A88,'Pool &amp; SPA Pipe Extender'!$A$8:$M$10,9,FALSE),
IF($A88&lt;'PVC SCH80'!$A$250,VLOOKUP($A88,'PVC SCH80'!$A$8:$M$249,9,FALSE),
IF($A88&lt;'PVC SCH80 Flange'!$A$49,VLOOKUP($A88,'PVC SCH80 Flange'!$A$8:$M$48,9,FALSE),
IF($A88&lt;'PVC SCH80 LD Flange'!$A$17,VLOOKUP($A88,'PVC SCH80 LD Flange'!$A$8:$M$16,9,FALSE),
IF($A88&lt;CPVC!$A$100,VLOOKUP($A88,CPVC!$A$8:$M$99,9,FALSE),
IF($A88&lt;InsertFittings!$A$237,VLOOKUP($A88,InsertFittings!$A$11:$M$236,9,FALSE),
IF($A88&lt;Valves!$A$132,VLOOKUP($A88,Valves!$A$8:$M$131,9,FALSE),
IF($A88&lt;SDR35SW!$A$124,VLOOKUP($A88,SDR35SW!$A$8:$M$123,9,FALSE),
IF($A88&lt;SDR35G!$A$143,VLOOKUP($A88, SDR35G!$A$8:$M$142,9,FALSE),
IF($A88&lt;SDR26G!$A$61,VLOOKUP($A88,SDR26G!$A$8:$N$60,10,FALSE),
IF($A88&lt;Cements!$A$100,VLOOKUP($A88,Cements!$A$8:$Q$99,13,FALSE),
IF($A88&lt;ValveBox!$A$143,VLOOKUP($A88,ValveBox!$A$10:$O$142,11,FALSE),
IF($A88&lt;'ValveBox Components'!$A$165,VLOOKUP($A88,'ValveBox Components'!$A$10:$O$164,11,FALSE),
IF($A88&lt;Drainage!$A$92,VLOOKUP($A88,Drainage!$A$8:$M$91,9,FALSE),
IF($A88&lt;Nipples!$A$82,VLOOKUP($A88,Nipples!$A$9:$Q$81,13,FALSE),
IF($A88&lt;Manifold!$A$33,VLOOKUP($A88,Manifold!$A$9:$M$32,9,FALSE),
IF($A88&lt;FlexibleRepairCouplings!$A$13,VLOOKUP($A88,FlexibleRepairCouplings!$A$10:$M$12,9,FALSE),
IF($A88&lt;DuraFix!$A$15,VLOOKUP($A88,DuraFix!$A$9:$M$14,9,FALSE),
IF($A88&lt;'Compression Fittings'!$A$16,VLOOKUP($A88,'Compression Fittings'!$A$8:$M$15,9,FALSE),
IF($A88&lt;'Hose Fittings'!$A$30,VLOOKUP($A88,'Hose Fittings'!$A$8:$M$29,9,FALSE),
IF($A88&lt;'Swing Joints'!$A$496,VLOOKUP($A88,'Swing Joints'!$A$9:$M$495,9,FALSE),
IF($A88&lt;'Swing Joints Components'!$A$135,VLOOKUP($A88,'Swing Joints Components'!$A$9:$M$134,9,FALSE),
IF($A88&lt;Nonstandard!$A$42,VLOOKUP($A88,Nonstandard!$A$31:$J$41,8,FALSE),"")))))))))))))))))))))))))))),"")</f>
        <v/>
      </c>
      <c r="G88" s="422" t="str">
        <f>IFERROR(IF($A88&lt;'DWV PVC'!$A$285,VLOOKUP($A88,'DWV PVC'!$A$8:$M$284,11,FALSE),
IF($A88&lt;'DWV ABS'!$A$117,VLOOKUP($A88,'DWV ABS'!$A$8:$M$116,11,FALSE),
IF($A88&lt;'PVC SCH40'!$A$376,VLOOKUP($A88,'PVC SCH40'!$A$8:$M$375,11,FALSE),
IF($A88&lt;'PVC SCH40 LD'!$A$22,VLOOKUP($A88,'PVC SCH40 LD'!$A$8:$M$21,11,FALSE),
IF($A88&lt;'Pool &amp; SPA Sweep Elbows'!$A$12,VLOOKUP($A88,'Pool &amp; SPA Sweep Elbows'!$A$8:$M$11,11,FALSE),
IF($A88&lt;'Pool &amp; SPA Pipe Extender'!$A$11,VLOOKUP($A88,'Pool &amp; SPA Pipe Extender'!$A$8:$M$10,11,FALSE),
IF($A88&lt;'PVC SCH80'!$A$250,VLOOKUP($A88,'PVC SCH80'!$A$8:$M$249,11,FALSE),
IF($A88&lt;'PVC SCH80 Flange'!$A$49,VLOOKUP($A88,'PVC SCH80 Flange'!$A$8:$M$48,11,FALSE),
IF($A88&lt;'PVC SCH80 LD Flange'!$A$17,VLOOKUP($A88,'PVC SCH80 LD Flange'!$A$8:$M$16,11,FALSE),
IF($A88&lt;CPVC!$A$100,VLOOKUP($A88,CPVC!$A$8:$M$99,11,FALSE),
IF($A88&lt;InsertFittings!$A$237,VLOOKUP($A88,InsertFittings!$A$11:$M$236,11,FALSE),
IF($A88&lt;Valves!$A$132,VLOOKUP($A88,Valves!$A$8:$M$131,11,FALSE),
IF($A88&lt;SDR35SW!$A$124,VLOOKUP($A88,SDR35SW!$A$8:$M$123,11,FALSE),
IF($A88&lt;SDR35G!$A$143,VLOOKUP($A88, SDR35G!$A$8:$M$142,11,FALSE),
IF($A88&lt;SDR26G!$A$61,VLOOKUP($A88,SDR26G!$A$8:$N$60,12,FALSE),
IF($A88&lt;Cements!$A$100,VLOOKUP($A88,Cements!$A$8:$Q$99,15,FALSE),
IF($A88&lt;ValveBox!$A$143,VLOOKUP($A88,ValveBox!$A$10:$O$142,13,FALSE),
IF($A88&lt;'ValveBox Components'!$A$165,VLOOKUP($A88,'ValveBox Components'!$A$10:$O$164,13,FALSE),
IF($A88&lt;Drainage!$A$92,VLOOKUP($A88,Drainage!$A$8:$M$91,11,FALSE),
IF($A88&lt;Nipples!$A$82,VLOOKUP($A88,Nipples!$A$9:$Q$81,15,FALSE),
IF($A88&lt;Manifold!$A$33,VLOOKUP($A88,Manifold!$A$9:$M$32,11,FALSE),
IF($A88&lt;FlexibleRepairCouplings!$A$13,VLOOKUP($A88,FlexibleRepairCouplings!$A$10:$M$12,11,FALSE),
IF($A88&lt;DuraFix!$A$15,VLOOKUP($A88,DuraFix!$A$9:$M$14,11,FALSE),
IF($A88&lt;'Compression Fittings'!$A$16,VLOOKUP($A88,'Compression Fittings'!$A$8:$M$15,11,FALSE),
IF($A88&lt;'Hose Fittings'!$A$30,VLOOKUP($A88,'Hose Fittings'!$A$8:$M$29,11,FALSE),
IF($A88&lt;'Swing Joints'!$A$496,VLOOKUP($A88,'Swing Joints'!$A$9:$M$495,11,FALSE),
IF($A88&lt;'Swing Joints Components'!$A$135,VLOOKUP($A88,'Swing Joints Components'!$A$9:$M$134,11,FALSE),
IF($A88&lt;Nonstandard!$A$42,VLOOKUP($A88,Nonstandard!$A$31:$J$41,3,FALSE),"")))))))))))))))))))))))))))),"")</f>
        <v/>
      </c>
      <c r="H88" s="588" t="str">
        <f>IFERROR(IF($A88&lt;'DWV PVC'!$A$285,VLOOKUP($A88,'DWV PVC'!$A$8:$M$284,7,FALSE),
IF($A88&lt;'DWV ABS'!$A$117,VLOOKUP($A88,'DWV ABS'!$A$8:$M$116,7,FALSE),
IF($A88&lt;'PVC SCH40'!$A$376,VLOOKUP($A88,'PVC SCH40'!$A$8:$M$375,7,FALSE),
IF($A88&lt;'PVC SCH40 LD'!$A$22,VLOOKUP($A88,'PVC SCH40 LD'!$A$8:$M$21,7,FALSE),
IF($A88&lt;'Pool &amp; SPA Sweep Elbows'!$A$12,VLOOKUP($A88,'Pool &amp; SPA Sweep Elbows'!$A$8:$M$11,7,FALSE),
IF($A88&lt;'Pool &amp; SPA Pipe Extender'!$A$11,VLOOKUP($A88,'Pool &amp; SPA Pipe Extender'!$A$8:$M$10,7,FALSE),
IF($A88&lt;'PVC SCH80'!$A$250,VLOOKUP($A88,'PVC SCH80'!$A$8:$M$249,7,FALSE),
IF($A88&lt;'PVC SCH80 Flange'!$A$49,VLOOKUP($A88,'PVC SCH80 Flange'!$A$8:$M$48,7,FALSE),
IF($A88&lt;'PVC SCH80 LD Flange'!$A$17,VLOOKUP($A88,'PVC SCH80 LD Flange'!$A$8:$M$16,7,FALSE),
IF($A88&lt;CPVC!$A$100,VLOOKUP($A88,CPVC!$A$8:$M$99,7,FALSE),
IF($A88&lt;InsertFittings!$A$237,VLOOKUP($A88,InsertFittings!$A$11:$M$236,7,FALSE),
IF($A88&lt;Valves!$A$132,VLOOKUP($A88,Valves!$A$8:$M$131,7,FALSE),
IF($A88&lt;SDR35SW!$A$124,VLOOKUP($A88,SDR35SW!$A$8:$M$123,7,FALSE),
IF($A88&lt;SDR35G!$A$143,VLOOKUP($A88, SDR35G!$A$8:$M$142,7,FALSE),
IF($A88&lt;SDR26G!$A$61,VLOOKUP($A88,SDR26G!$A$8:$N$60,10,FALSE),
IF($A88&lt;Cements!$A$100,VLOOKUP($A88,Cements!$A$8:$Q$99,13,FALSE),
IF($A88&lt;ValveBox!$A$143,VLOOKUP($A88,ValveBox!$A$10:$O$142,11,FALSE),
IF($A88&lt;'ValveBox Components'!$A$165,VLOOKUP($A88,'ValveBox Components'!$A$10:$O$164,11,FALSE),
IF($A88&lt;Drainage!$A$92,VLOOKUP($A88,Drainage!$A$8:$M$91,7,FALSE),
IF($A88&lt;Nipples!$A$82,VLOOKUP($A88,Nipples!$A$9:$Q$81,13,FALSE),
IF($A88&lt;Manifold!$A$33,VLOOKUP($A88,Manifold!$A$9:$M$32,7,FALSE),
IF($A88&lt;FlexibleRepairCouplings!$A$13,VLOOKUP($A88,FlexibleRepairCouplings!$A$10:$M$12,7,FALSE),
IF($A88&lt;DuraFix!$A$15,VLOOKUP($A88,DuraFix!$A$9:$M$14,7,FALSE),
IF($A88&lt;'Compression Fittings'!$A$16,VLOOKUP($A88,'Compression Fittings'!$A$8:$M$15,7,FALSE),
IF($A88&lt;'Hose Fittings'!$A$30,VLOOKUP($A88,'Hose Fittings'!$A$8:$M$29,7,FALSE),
IF($A88&lt;'Swing Joints'!$A$496,VLOOKUP($A88,'Swing Joints'!$A$9:$M$495,7,FALSE),
IF($A88&lt;'Swing Joints Components'!$A$135,VLOOKUP($A88,'Swing Joints Components'!$A$9:$M$134,7,FALSE),
IF($A88&lt;Nonstandard!$A$42,VLOOKUP($A88,Nonstandard!$A$31:$J$41,3,FALSE),"")))))))))))))))))))))))))))),"")</f>
        <v/>
      </c>
      <c r="I88" s="589"/>
      <c r="J88" s="423" t="str">
        <f t="shared" si="1"/>
        <v/>
      </c>
      <c r="K88" s="424" t="str">
        <f>IFERROR(IF($A88&lt;'DWV PVC'!$A$285,VLOOKUP($A88,'DWV PVC'!$A$8:$M$284,10,FALSE),
IF($A88&lt;'DWV ABS'!$A$117,VLOOKUP($A88,'DWV ABS'!$A$8:$M$116,10,FALSE),
IF($A88&lt;'PVC SCH40'!$A$376,VLOOKUP($A88,'PVC SCH40'!$A$8:$M$375,10,FALSE),
IF($A88&lt;'PVC SCH40 LD'!$A$22,VLOOKUP($A88,'PVC SCH40 LD'!$A$8:$M$21,10,FALSE),
IF($A88&lt;'Pool &amp; SPA Sweep Elbows'!$A$12,VLOOKUP($A88,'Pool &amp; SPA Sweep Elbows'!$A$8:$M$11,10,FALSE),
IF($A88&lt;'Pool &amp; SPA Pipe Extender'!$A$11,VLOOKUP($A88,'Pool &amp; SPA Pipe Extender'!$A$8:$M$10,10,FALSE),
IF($A88&lt;'PVC SCH80'!$A$250,VLOOKUP($A88,'PVC SCH80'!$A$8:$M$249,10,FALSE),
IF($A88&lt;'PVC SCH80 Flange'!$A$49,VLOOKUP($A88,'PVC SCH80 Flange'!$A$8:$M$48,10,FALSE),
IF($A88&lt;'PVC SCH80 LD Flange'!$A$17,VLOOKUP($A88,'PVC SCH80 LD Flange'!$A$8:$M$16,10,FALSE),
IF($A88&lt;CPVC!$A$100,VLOOKUP($A88,CPVC!$A$8:$M$99,10,FALSE),
IF($A88&lt;InsertFittings!$A$237,VLOOKUP($A88,InsertFittings!$A$11:$M$236,10,FALSE),
IF($A88&lt;Valves!$A$132,VLOOKUP($A88,Valves!$A$8:$M$131,10,FALSE),
IF($A88&lt;SDR35SW!$A$124,VLOOKUP($A88,SDR35SW!$A$8:$M$123,10,FALSE),
IF($A88&lt;SDR35G!$A$143,VLOOKUP($A88, SDR35G!$A$8:$M$142,10,FALSE),
IF($A88&lt;SDR26G!$A$61,VLOOKUP($A88,SDR26G!$A$8:$N$60,11,FALSE),
IF($A88&lt;Cements!$A$100,VLOOKUP($A88,Cements!$A$8:$Q$99,14,FALSE),
IF($A88&lt;ValveBox!$A$143,VLOOKUP($A88,ValveBox!$A$10:$O$142,12,FALSE),
IF($A88&lt;'ValveBox Components'!$A$165,VLOOKUP($A88,'ValveBox Components'!$A$10:$O$164,12,FALSE),
IF($A88&lt;Drainage!$A$92,VLOOKUP($A88,Drainage!$A$8:$M$91,10,FALSE),
IF($A88&lt;Nipples!$A$82,VLOOKUP($A88,Nipples!$A$9:$Q$81,14,FALSE),
IF($A88&lt;Manifold!$A$33,VLOOKUP($A88,Manifold!$A$9:$M$32,10,FALSE),
IF($A88&lt;FlexibleRepairCouplings!$A$13,VLOOKUP($A88,FlexibleRepairCouplings!$A$10:$M$12,10,FALSE),
IF($A88&lt;DuraFix!$A$15,VLOOKUP($A88,DuraFix!$A$9:$M$14,10,FALSE),
IF($A88&lt;'Compression Fittings'!$A$16,VLOOKUP($A88,'Compression Fittings'!$A$8:$M$15,10,FALSE),
IF($A88&lt;'Hose Fittings'!$A$30,VLOOKUP($A88,'Hose Fittings'!$A$8:$M$29,10,FALSE),
IF($A88&lt;'Swing Joints'!$A$496,VLOOKUP($A88,'Swing Joints'!$A$9:$M$495,10,FALSE),
IF($A88&lt;'Swing Joints Components'!$A$135,VLOOKUP($A88,'Swing Joints Components'!$A$9:$M$134,10,FALSE),
IF($A88&lt;Nonstandard!$A$42,VLOOKUP($A88,Nonstandard!$A$31:$J$41,10,FALSE),"")))))))))))))))))))))))))))),"")</f>
        <v/>
      </c>
      <c r="L88" s="421" t="str">
        <f t="shared" si="0"/>
        <v>-</v>
      </c>
      <c r="M88" s="425"/>
    </row>
    <row r="89" spans="1:13" ht="15.75">
      <c r="A89" s="415">
        <v>57</v>
      </c>
      <c r="B89" s="415" t="str">
        <f>IFERROR(IF($A89&lt;'DWV PVC'!$A$285,VLOOKUP($A89,'DWV PVC'!$A$8:$M$284,4,FALSE),
IF($A89&lt;'DWV ABS'!$A$117,VLOOKUP($A89,'DWV ABS'!$A$8:$M$116,4,FALSE),
IF($A89&lt;'PVC SCH40'!$A$376,VLOOKUP($A89,'PVC SCH40'!$A$8:$M$375,4,FALSE),
IF($A89&lt;'PVC SCH40 LD'!$A$22,VLOOKUP($A89,'PVC SCH40 LD'!$A$8:$M$21,4,FALSE),
IF($A89&lt;'Pool &amp; SPA Sweep Elbows'!$A$12,VLOOKUP($A89,'Pool &amp; SPA Sweep Elbows'!$A$8:$M$11,4,FALSE),
IF($A89&lt;'Pool &amp; SPA Pipe Extender'!$A$11,VLOOKUP($A89,'Pool &amp; SPA Pipe Extender'!$A$8:$M$10,4,FALSE),
IF($A89&lt;'PVC SCH80'!$A$250,VLOOKUP($A89,'PVC SCH80'!$A$8:$M$249,4,FALSE),
IF($A89&lt;'PVC SCH80 Flange'!$A$49,VLOOKUP($A89,'PVC SCH80 Flange'!$A$8:$M$48,4,FALSE),
IF($A89&lt;'PVC SCH80 LD Flange'!$A$17,VLOOKUP($A89,'PVC SCH80 LD Flange'!$A$8:$M$16,4,FALSE),
IF($A89&lt;CPVC!$A$100,VLOOKUP($A89,CPVC!$A$8:$M$99,4,FALSE),
IF($A89&lt;InsertFittings!$A$237,VLOOKUP($A89,InsertFittings!$A$11:$M$236,4,FALSE),
IF($A89&lt;Valves!$A$132,VLOOKUP($A89,Valves!$A$8:$M$131,4,FALSE),
IF($A89&lt;SDR35SW!$A$124,VLOOKUP($A89,SDR35SW!$A$8:$M$123,4,FALSE),
IF($A89&lt;SDR35G!$A$143,VLOOKUP($A89, SDR35G!$A$8:$M$142,4,FALSE),
IF($A89&lt;SDR26G!$A$61,VLOOKUP($A89,SDR26G!$A$8:$N$60,4,FALSE),
IF($A89&lt;Cements!$A$100,VLOOKUP($A89,Cements!$A$8:$Q$99,4,FALSE),
IF($A89&lt;ValveBox!$A$143,VLOOKUP($A89,ValveBox!$A$10:$O$142,4,FALSE),
IF($A89&lt;'ValveBox Components'!$A$165,VLOOKUP($A89,'ValveBox Components'!$A$10:$O$164,4,FALSE),
IF($A89&lt;Drainage!$A$92,VLOOKUP($A89,Drainage!$A$8:$M$91,4,FALSE),
IF($A89&lt;Nipples!$A$82,VLOOKUP($A89,Nipples!$A$9:$Q$81,4,FALSE),
IF($A89&lt;Manifold!$A$33,VLOOKUP($A89,Manifold!$A$9:$M$32,4,FALSE),
IF($A89&lt;FlexibleRepairCouplings!$A$13,VLOOKUP($A89,FlexibleRepairCouplings!$A$10:$M$12,4,FALSE),
IF($A89&lt;DuraFix!$A$15,VLOOKUP($A89,DuraFix!$A$9:$M$14,4,FALSE),
IF($A89&lt;'Compression Fittings'!$A$16,VLOOKUP($A89,'Compression Fittings'!$A$8:$M$15,4,FALSE),
IF($A89&lt;'Hose Fittings'!$A$30,VLOOKUP($A89,'Hose Fittings'!$A$8:$M$29,4,FALSE),
IF($A89&lt;'Swing Joints'!$A$496,VLOOKUP($A89,'Swing Joints'!$A$9:$M$495,4,FALSE),
IF($A89&lt;'Swing Joints Components'!$A$135,VLOOKUP($A89,'Swing Joints Components'!$A$9:$M$134,4,FALSE),
IF($A89&lt;Nonstandard!$A$42,VLOOKUP($A89,Nonstandard!$A$31:$J$41,5,FALSE),"")))))))))))))))))))))))))))),"")</f>
        <v/>
      </c>
      <c r="C89" s="415" t="str">
        <f>IFERROR(IF($A89&lt;'DWV PVC'!$A$285,VLOOKUP($A89,'DWV PVC'!$A$8:$M$284,5,FALSE),
IF($A89&lt;'DWV ABS'!$A$117,VLOOKUP($A89,'DWV ABS'!$A$8:$M$116,5,FALSE),
IF($A89&lt;'PVC SCH40'!$A$376,VLOOKUP($A89,'PVC SCH40'!$A$8:$M$375,5,FALSE),
IF($A89&lt;'PVC SCH40 LD'!$A$22,VLOOKUP($A89,'PVC SCH40 LD'!$A$8:$M$21,5,FALSE),
IF($A89&lt;'Pool &amp; SPA Sweep Elbows'!$A$12,VLOOKUP($A89,'Pool &amp; SPA Sweep Elbows'!$A$8:$M$11,5,FALSE),
IF($A89&lt;'Pool &amp; SPA Pipe Extender'!$A$11,VLOOKUP($A89,'Pool &amp; SPA Pipe Extender'!$A$8:$M$10,5,FALSE),
IF($A89&lt;'PVC SCH80'!$A$250,VLOOKUP($A89,'PVC SCH80'!$A$8:$M$249,5,FALSE),
IF($A89&lt;'PVC SCH80 Flange'!$A$49,VLOOKUP($A89,'PVC SCH80 Flange'!$A$8:$M$48,5,FALSE),
IF($A89&lt;'PVC SCH80 LD Flange'!$A$17,VLOOKUP($A89,'PVC SCH80 LD Flange'!$A$8:$M$16,5,FALSE),
IF($A89&lt;CPVC!$A$100,VLOOKUP($A89,CPVC!$A$8:$M$99,5,FALSE),
IF($A89&lt;InsertFittings!$A$237,VLOOKUP($A89,InsertFittings!$A$11:$M$236,5,FALSE),
IF($A89&lt;Valves!$A$132,VLOOKUP($A89,Valves!$A$8:$M$131,5,FALSE),
IF($A89&lt;SDR35SW!$A$124,VLOOKUP($A89,SDR35SW!$A$8:$M$123,5,FALSE),
IF($A89&lt;SDR35G!$A$143,VLOOKUP($A89, SDR35G!$A$8:$M$142,5,FALSE),
IF($A89&lt;SDR26G!$A$61,VLOOKUP($A89,SDR26G!$A$8:$N$60,5,FALSE),
IF($A89&lt;Cements!$A$100,VLOOKUP($A89,Cements!$A$8:$Q$99,5,FALSE),
IF($A89&lt;ValveBox!$A$143,VLOOKUP($A89,ValveBox!$A$10:$O$142,5,FALSE),
IF($A89&lt;'ValveBox Components'!$A$165,VLOOKUP($A89,'ValveBox Components'!$A$10:$O$164,5,FALSE),
IF($A89&lt;Drainage!$A$92,VLOOKUP($A89,Drainage!$A$8:$M$91,5,FALSE),
IF($A89&lt;Nipples!$A$82,VLOOKUP($A89,Nipples!$A$9:$Q$81,5,FALSE),
IF($A89&lt;Manifold!$A$33,VLOOKUP($A89,Manifold!$A$9:$M$32,5,FALSE),
IF($A89&lt;FlexibleRepairCouplings!$A$13,VLOOKUP($A89,FlexibleRepairCouplings!$A$10:$M$12,5,FALSE),
IF($A89&lt;DuraFix!$A$15,VLOOKUP($A89,DuraFix!$A$9:$M$14,5,FALSE),
IF($A89&lt;'Compression Fittings'!$A$16,VLOOKUP($A89,'Compression Fittings'!$A$8:$M$15,5,FALSE),
IF($A89&lt;'Hose Fittings'!$A$30,VLOOKUP($A89,'Hose Fittings'!$A$8:$M$29,5,FALSE),
IF($A89&lt;'Swing Joints'!$A$496,VLOOKUP($A89,'Swing Joints'!$A$9:$M$495,5,FALSE),
IF($A89&lt;'Swing Joints Components'!$A$135,VLOOKUP($A89,'Swing Joints Components'!$A$9:$M$134,5,FALSE),
IF($A89&lt;Nonstandard!$A$42,VLOOKUP($A89,Nonstandard!$A$31:$J$41,6,FALSE),"")))))))))))))))))))))))))))),"")</f>
        <v/>
      </c>
      <c r="D89" s="426" t="str">
        <f>IFERROR(IF($A89&lt;'DWV PVC'!$A$285,VLOOKUP($A89,'DWV PVC'!$A$8:$M$284,6,FALSE),
IF($A89&lt;'DWV ABS'!$A$117,VLOOKUP($A89,'DWV ABS'!$A$8:$M$116,6,FALSE),
IF($A89&lt;'PVC SCH40'!$A$376,VLOOKUP($A89,'PVC SCH40'!$A$8:$M$375,6,FALSE),
IF($A89&lt;'PVC SCH40 LD'!$A$22,VLOOKUP($A89,'PVC SCH40 LD'!$A$8:$M$21,6,FALSE),
IF($A89&lt;'Pool &amp; SPA Sweep Elbows'!$A$12,VLOOKUP($A89,'Pool &amp; SPA Sweep Elbows'!$A$8:$M$11,6,FALSE),
IF($A89&lt;'Pool &amp; SPA Pipe Extender'!$A$11,VLOOKUP($A89,'Pool &amp; SPA Pipe Extender'!$A$8:$M$10,6,FALSE),
IF($A89&lt;'PVC SCH80'!$A$250,VLOOKUP($A89,'PVC SCH80'!$A$8:$M$249,6,FALSE),
IF($A89&lt;'PVC SCH80 Flange'!$A$49,VLOOKUP($A89,'PVC SCH80 Flange'!$A$8:$M$48,6,FALSE),
IF($A89&lt;'PVC SCH80 LD Flange'!$A$17,VLOOKUP($A89,'PVC SCH80 LD Flange'!$A$8:$M$16,6,FALSE),
IF($A89&lt;CPVC!$A$100,VLOOKUP($A89,CPVC!$A$8:$M$99,6,FALSE),
IF($A89&lt;InsertFittings!$A$237,VLOOKUP($A89,InsertFittings!$A$11:$M$236,6,FALSE),
IF($A89&lt;Valves!$A$132,VLOOKUP($A89,Valves!$A$8:$M$131,6,FALSE),
IF($A89&lt;SDR35SW!$A$124,VLOOKUP($A89,SDR35SW!$A$8:$M$123,6,FALSE),
IF($A89&lt;SDR35G!$A$143,VLOOKUP($A89, SDR35G!$A$8:$M$142,6,FALSE),
IF($A89&lt;SDR26G!$A$61,VLOOKUP($A89,SDR26G!$A$8:$N$60,6,FALSE),
IF($A89&lt;Cements!$A$100,VLOOKUP($A89,Cements!$A$8:$Q$99,6,FALSE),
IF($A89&lt;ValveBox!$A$143,VLOOKUP($A89,ValveBox!$A$10:$O$142,6,FALSE),
IF($A89&lt;'ValveBox Components'!$A$165,VLOOKUP($A89,'ValveBox Components'!$A$10:$O$164,6,FALSE),
IF($A89&lt;Drainage!$A$92,VLOOKUP($A89,Drainage!$A$8:$M$91,6,FALSE),
IF($A89&lt;Nipples!$A$82,VLOOKUP($A89,Nipples!$A$9:$Q$81,6,FALSE),
IF($A89&lt;Manifold!$A$33,VLOOKUP($A89,Manifold!$A$9:$M$32,6,FALSE),
IF($A89&lt;FlexibleRepairCouplings!$A$13,VLOOKUP($A89,FlexibleRepairCouplings!$A$10:$M$12,6,FALSE),
IF($A89&lt;DuraFix!$A$15,VLOOKUP($A89,DuraFix!$A$9:$M$14,6,FALSE),
IF($A89&lt;'Compression Fittings'!$A$16,VLOOKUP($A89,'Compression Fittings'!$A$8:$M$15,6,FALSE),
IF($A89&lt;'Hose Fittings'!$A$30,VLOOKUP($A89,'Hose Fittings'!$A$8:$M$29,6,FALSE),
IF($A89&lt;'Swing Joints'!$A$496,VLOOKUP($A89,'Swing Joints'!$A$9:$M$495,6,FALSE),
IF($A89&lt;'Swing Joints Components'!$A$135,VLOOKUP($A89,'Swing Joints Components'!$A$9:$M$134,6,FALSE),
IF($A89&lt;Nonstandard!$A$42,VLOOKUP($A89,Nonstandard!$A$31:$J$41,7,FALSE),"")))))))))))))))))))))))))))),"")</f>
        <v/>
      </c>
      <c r="E89" s="427"/>
      <c r="F89" s="418" t="str">
        <f>IFERROR(IF($A89&lt;'DWV PVC'!$A$285,VLOOKUP($A89,'DWV PVC'!$A$8:$M$284,9,FALSE),
IF($A89&lt;'DWV ABS'!$A$117,VLOOKUP($A89,'DWV ABS'!$A$8:$M$116,9,FALSE),
IF($A89&lt;'PVC SCH40'!$A$376,VLOOKUP($A89,'PVC SCH40'!$A$8:$M$375,9,FALSE),
IF($A89&lt;'PVC SCH40 LD'!$A$22,VLOOKUP($A89,'PVC SCH40 LD'!$A$8:$M$21,9,FALSE),
IF($A89&lt;'Pool &amp; SPA Sweep Elbows'!$A$12,VLOOKUP($A89,'Pool &amp; SPA Sweep Elbows'!$A$8:$M$11,9,FALSE),
IF($A89&lt;'Pool &amp; SPA Pipe Extender'!$A$11,VLOOKUP($A89,'Pool &amp; SPA Pipe Extender'!$A$8:$M$10,9,FALSE),
IF($A89&lt;'PVC SCH80'!$A$250,VLOOKUP($A89,'PVC SCH80'!$A$8:$M$249,9,FALSE),
IF($A89&lt;'PVC SCH80 Flange'!$A$49,VLOOKUP($A89,'PVC SCH80 Flange'!$A$8:$M$48,9,FALSE),
IF($A89&lt;'PVC SCH80 LD Flange'!$A$17,VLOOKUP($A89,'PVC SCH80 LD Flange'!$A$8:$M$16,9,FALSE),
IF($A89&lt;CPVC!$A$100,VLOOKUP($A89,CPVC!$A$8:$M$99,9,FALSE),
IF($A89&lt;InsertFittings!$A$237,VLOOKUP($A89,InsertFittings!$A$11:$M$236,9,FALSE),
IF($A89&lt;Valves!$A$132,VLOOKUP($A89,Valves!$A$8:$M$131,9,FALSE),
IF($A89&lt;SDR35SW!$A$124,VLOOKUP($A89,SDR35SW!$A$8:$M$123,9,FALSE),
IF($A89&lt;SDR35G!$A$143,VLOOKUP($A89, SDR35G!$A$8:$M$142,9,FALSE),
IF($A89&lt;SDR26G!$A$61,VLOOKUP($A89,SDR26G!$A$8:$N$60,10,FALSE),
IF($A89&lt;Cements!$A$100,VLOOKUP($A89,Cements!$A$8:$Q$99,13,FALSE),
IF($A89&lt;ValveBox!$A$143,VLOOKUP($A89,ValveBox!$A$10:$O$142,11,FALSE),
IF($A89&lt;'ValveBox Components'!$A$165,VLOOKUP($A89,'ValveBox Components'!$A$10:$O$164,11,FALSE),
IF($A89&lt;Drainage!$A$92,VLOOKUP($A89,Drainage!$A$8:$M$91,9,FALSE),
IF($A89&lt;Nipples!$A$82,VLOOKUP($A89,Nipples!$A$9:$Q$81,13,FALSE),
IF($A89&lt;Manifold!$A$33,VLOOKUP($A89,Manifold!$A$9:$M$32,9,FALSE),
IF($A89&lt;FlexibleRepairCouplings!$A$13,VLOOKUP($A89,FlexibleRepairCouplings!$A$10:$M$12,9,FALSE),
IF($A89&lt;DuraFix!$A$15,VLOOKUP($A89,DuraFix!$A$9:$M$14,9,FALSE),
IF($A89&lt;'Compression Fittings'!$A$16,VLOOKUP($A89,'Compression Fittings'!$A$8:$M$15,9,FALSE),
IF($A89&lt;'Hose Fittings'!$A$30,VLOOKUP($A89,'Hose Fittings'!$A$8:$M$29,9,FALSE),
IF($A89&lt;'Swing Joints'!$A$496,VLOOKUP($A89,'Swing Joints'!$A$9:$M$495,9,FALSE),
IF($A89&lt;'Swing Joints Components'!$A$135,VLOOKUP($A89,'Swing Joints Components'!$A$9:$M$134,9,FALSE),
IF($A89&lt;Nonstandard!$A$42,VLOOKUP($A89,Nonstandard!$A$31:$J$41,8,FALSE),"")))))))))))))))))))))))))))),"")</f>
        <v/>
      </c>
      <c r="G89" s="416" t="str">
        <f>IFERROR(IF($A89&lt;'DWV PVC'!$A$285,VLOOKUP($A89,'DWV PVC'!$A$8:$M$284,11,FALSE),
IF($A89&lt;'DWV ABS'!$A$117,VLOOKUP($A89,'DWV ABS'!$A$8:$M$116,11,FALSE),
IF($A89&lt;'PVC SCH40'!$A$376,VLOOKUP($A89,'PVC SCH40'!$A$8:$M$375,11,FALSE),
IF($A89&lt;'PVC SCH40 LD'!$A$22,VLOOKUP($A89,'PVC SCH40 LD'!$A$8:$M$21,11,FALSE),
IF($A89&lt;'Pool &amp; SPA Sweep Elbows'!$A$12,VLOOKUP($A89,'Pool &amp; SPA Sweep Elbows'!$A$8:$M$11,11,FALSE),
IF($A89&lt;'Pool &amp; SPA Pipe Extender'!$A$11,VLOOKUP($A89,'Pool &amp; SPA Pipe Extender'!$A$8:$M$10,11,FALSE),
IF($A89&lt;'PVC SCH80'!$A$250,VLOOKUP($A89,'PVC SCH80'!$A$8:$M$249,11,FALSE),
IF($A89&lt;'PVC SCH80 Flange'!$A$49,VLOOKUP($A89,'PVC SCH80 Flange'!$A$8:$M$48,11,FALSE),
IF($A89&lt;'PVC SCH80 LD Flange'!$A$17,VLOOKUP($A89,'PVC SCH80 LD Flange'!$A$8:$M$16,11,FALSE),
IF($A89&lt;CPVC!$A$100,VLOOKUP($A89,CPVC!$A$8:$M$99,11,FALSE),
IF($A89&lt;InsertFittings!$A$237,VLOOKUP($A89,InsertFittings!$A$11:$M$236,11,FALSE),
IF($A89&lt;Valves!$A$132,VLOOKUP($A89,Valves!$A$8:$M$131,11,FALSE),
IF($A89&lt;SDR35SW!$A$124,VLOOKUP($A89,SDR35SW!$A$8:$M$123,11,FALSE),
IF($A89&lt;SDR35G!$A$143,VLOOKUP($A89, SDR35G!$A$8:$M$142,11,FALSE),
IF($A89&lt;SDR26G!$A$61,VLOOKUP($A89,SDR26G!$A$8:$N$60,12,FALSE),
IF($A89&lt;Cements!$A$100,VLOOKUP($A89,Cements!$A$8:$Q$99,15,FALSE),
IF($A89&lt;ValveBox!$A$143,VLOOKUP($A89,ValveBox!$A$10:$O$142,13,FALSE),
IF($A89&lt;'ValveBox Components'!$A$165,VLOOKUP($A89,'ValveBox Components'!$A$10:$O$164,13,FALSE),
IF($A89&lt;Drainage!$A$92,VLOOKUP($A89,Drainage!$A$8:$M$91,11,FALSE),
IF($A89&lt;Nipples!$A$82,VLOOKUP($A89,Nipples!$A$9:$Q$81,15,FALSE),
IF($A89&lt;Manifold!$A$33,VLOOKUP($A89,Manifold!$A$9:$M$32,11,FALSE),
IF($A89&lt;FlexibleRepairCouplings!$A$13,VLOOKUP($A89,FlexibleRepairCouplings!$A$10:$M$12,11,FALSE),
IF($A89&lt;DuraFix!$A$15,VLOOKUP($A89,DuraFix!$A$9:$M$14,11,FALSE),
IF($A89&lt;'Compression Fittings'!$A$16,VLOOKUP($A89,'Compression Fittings'!$A$8:$M$15,11,FALSE),
IF($A89&lt;'Hose Fittings'!$A$30,VLOOKUP($A89,'Hose Fittings'!$A$8:$M$29,11,FALSE),
IF($A89&lt;'Swing Joints'!$A$496,VLOOKUP($A89,'Swing Joints'!$A$9:$M$495,11,FALSE),
IF($A89&lt;'Swing Joints Components'!$A$135,VLOOKUP($A89,'Swing Joints Components'!$A$9:$M$134,11,FALSE),
IF($A89&lt;Nonstandard!$A$42,VLOOKUP($A89,Nonstandard!$A$31:$J$41,3,FALSE),"")))))))))))))))))))))))))))),"")</f>
        <v/>
      </c>
      <c r="H89" s="586" t="str">
        <f>IFERROR(IF($A89&lt;'DWV PVC'!$A$285,VLOOKUP($A89,'DWV PVC'!$A$8:$M$284,7,FALSE),
IF($A89&lt;'DWV ABS'!$A$117,VLOOKUP($A89,'DWV ABS'!$A$8:$M$116,7,FALSE),
IF($A89&lt;'PVC SCH40'!$A$376,VLOOKUP($A89,'PVC SCH40'!$A$8:$M$375,7,FALSE),
IF($A89&lt;'PVC SCH40 LD'!$A$22,VLOOKUP($A89,'PVC SCH40 LD'!$A$8:$M$21,7,FALSE),
IF($A89&lt;'Pool &amp; SPA Sweep Elbows'!$A$12,VLOOKUP($A89,'Pool &amp; SPA Sweep Elbows'!$A$8:$M$11,7,FALSE),
IF($A89&lt;'Pool &amp; SPA Pipe Extender'!$A$11,VLOOKUP($A89,'Pool &amp; SPA Pipe Extender'!$A$8:$M$10,7,FALSE),
IF($A89&lt;'PVC SCH80'!$A$250,VLOOKUP($A89,'PVC SCH80'!$A$8:$M$249,7,FALSE),
IF($A89&lt;'PVC SCH80 Flange'!$A$49,VLOOKUP($A89,'PVC SCH80 Flange'!$A$8:$M$48,7,FALSE),
IF($A89&lt;'PVC SCH80 LD Flange'!$A$17,VLOOKUP($A89,'PVC SCH80 LD Flange'!$A$8:$M$16,7,FALSE),
IF($A89&lt;CPVC!$A$100,VLOOKUP($A89,CPVC!$A$8:$M$99,7,FALSE),
IF($A89&lt;InsertFittings!$A$237,VLOOKUP($A89,InsertFittings!$A$11:$M$236,7,FALSE),
IF($A89&lt;Valves!$A$132,VLOOKUP($A89,Valves!$A$8:$M$131,7,FALSE),
IF($A89&lt;SDR35SW!$A$124,VLOOKUP($A89,SDR35SW!$A$8:$M$123,7,FALSE),
IF($A89&lt;SDR35G!$A$143,VLOOKUP($A89, SDR35G!$A$8:$M$142,7,FALSE),
IF($A89&lt;SDR26G!$A$61,VLOOKUP($A89,SDR26G!$A$8:$N$60,10,FALSE),
IF($A89&lt;Cements!$A$100,VLOOKUP($A89,Cements!$A$8:$Q$99,13,FALSE),
IF($A89&lt;ValveBox!$A$143,VLOOKUP($A89,ValveBox!$A$10:$O$142,11,FALSE),
IF($A89&lt;'ValveBox Components'!$A$165,VLOOKUP($A89,'ValveBox Components'!$A$10:$O$164,11,FALSE),
IF($A89&lt;Drainage!$A$92,VLOOKUP($A89,Drainage!$A$8:$M$91,7,FALSE),
IF($A89&lt;Nipples!$A$82,VLOOKUP($A89,Nipples!$A$9:$Q$81,13,FALSE),
IF($A89&lt;Manifold!$A$33,VLOOKUP($A89,Manifold!$A$9:$M$32,7,FALSE),
IF($A89&lt;FlexibleRepairCouplings!$A$13,VLOOKUP($A89,FlexibleRepairCouplings!$A$10:$M$12,7,FALSE),
IF($A89&lt;DuraFix!$A$15,VLOOKUP($A89,DuraFix!$A$9:$M$14,7,FALSE),
IF($A89&lt;'Compression Fittings'!$A$16,VLOOKUP($A89,'Compression Fittings'!$A$8:$M$15,7,FALSE),
IF($A89&lt;'Hose Fittings'!$A$30,VLOOKUP($A89,'Hose Fittings'!$A$8:$M$29,7,FALSE),
IF($A89&lt;'Swing Joints'!$A$496,VLOOKUP($A89,'Swing Joints'!$A$9:$M$495,7,FALSE),
IF($A89&lt;'Swing Joints Components'!$A$135,VLOOKUP($A89,'Swing Joints Components'!$A$9:$M$134,7,FALSE),
IF($A89&lt;Nonstandard!$A$42,VLOOKUP($A89,Nonstandard!$A$31:$J$41,3,FALSE),"")))))))))))))))))))))))))))),"")</f>
        <v/>
      </c>
      <c r="I89" s="587"/>
      <c r="J89" s="383" t="str">
        <f t="shared" si="1"/>
        <v/>
      </c>
      <c r="K89" s="417" t="str">
        <f>IFERROR(IF($A89&lt;'DWV PVC'!$A$285,VLOOKUP($A89,'DWV PVC'!$A$8:$M$284,10,FALSE),
IF($A89&lt;'DWV ABS'!$A$117,VLOOKUP($A89,'DWV ABS'!$A$8:$M$116,10,FALSE),
IF($A89&lt;'PVC SCH40'!$A$376,VLOOKUP($A89,'PVC SCH40'!$A$8:$M$375,10,FALSE),
IF($A89&lt;'PVC SCH40 LD'!$A$22,VLOOKUP($A89,'PVC SCH40 LD'!$A$8:$M$21,10,FALSE),
IF($A89&lt;'Pool &amp; SPA Sweep Elbows'!$A$12,VLOOKUP($A89,'Pool &amp; SPA Sweep Elbows'!$A$8:$M$11,10,FALSE),
IF($A89&lt;'Pool &amp; SPA Pipe Extender'!$A$11,VLOOKUP($A89,'Pool &amp; SPA Pipe Extender'!$A$8:$M$10,10,FALSE),
IF($A89&lt;'PVC SCH80'!$A$250,VLOOKUP($A89,'PVC SCH80'!$A$8:$M$249,10,FALSE),
IF($A89&lt;'PVC SCH80 Flange'!$A$49,VLOOKUP($A89,'PVC SCH80 Flange'!$A$8:$M$48,10,FALSE),
IF($A89&lt;'PVC SCH80 LD Flange'!$A$17,VLOOKUP($A89,'PVC SCH80 LD Flange'!$A$8:$M$16,10,FALSE),
IF($A89&lt;CPVC!$A$100,VLOOKUP($A89,CPVC!$A$8:$M$99,10,FALSE),
IF($A89&lt;InsertFittings!$A$237,VLOOKUP($A89,InsertFittings!$A$11:$M$236,10,FALSE),
IF($A89&lt;Valves!$A$132,VLOOKUP($A89,Valves!$A$8:$M$131,10,FALSE),
IF($A89&lt;SDR35SW!$A$124,VLOOKUP($A89,SDR35SW!$A$8:$M$123,10,FALSE),
IF($A89&lt;SDR35G!$A$143,VLOOKUP($A89, SDR35G!$A$8:$M$142,10,FALSE),
IF($A89&lt;SDR26G!$A$61,VLOOKUP($A89,SDR26G!$A$8:$N$60,11,FALSE),
IF($A89&lt;Cements!$A$100,VLOOKUP($A89,Cements!$A$8:$Q$99,14,FALSE),
IF($A89&lt;ValveBox!$A$143,VLOOKUP($A89,ValveBox!$A$10:$O$142,12,FALSE),
IF($A89&lt;'ValveBox Components'!$A$165,VLOOKUP($A89,'ValveBox Components'!$A$10:$O$164,12,FALSE),
IF($A89&lt;Drainage!$A$92,VLOOKUP($A89,Drainage!$A$8:$M$91,10,FALSE),
IF($A89&lt;Nipples!$A$82,VLOOKUP($A89,Nipples!$A$9:$Q$81,14,FALSE),
IF($A89&lt;Manifold!$A$33,VLOOKUP($A89,Manifold!$A$9:$M$32,10,FALSE),
IF($A89&lt;FlexibleRepairCouplings!$A$13,VLOOKUP($A89,FlexibleRepairCouplings!$A$10:$M$12,10,FALSE),
IF($A89&lt;DuraFix!$A$15,VLOOKUP($A89,DuraFix!$A$9:$M$14,10,FALSE),
IF($A89&lt;'Compression Fittings'!$A$16,VLOOKUP($A89,'Compression Fittings'!$A$8:$M$15,10,FALSE),
IF($A89&lt;'Hose Fittings'!$A$30,VLOOKUP($A89,'Hose Fittings'!$A$8:$M$29,10,FALSE),
IF($A89&lt;'Swing Joints'!$A$496,VLOOKUP($A89,'Swing Joints'!$A$9:$M$495,10,FALSE),
IF($A89&lt;'Swing Joints Components'!$A$135,VLOOKUP($A89,'Swing Joints Components'!$A$9:$M$134,10,FALSE),
IF($A89&lt;Nonstandard!$A$42,VLOOKUP($A89,Nonstandard!$A$31:$J$41,10,FALSE),"")))))))))))))))))))))))))))),"")</f>
        <v/>
      </c>
      <c r="L89" s="418" t="str">
        <f t="shared" si="0"/>
        <v>-</v>
      </c>
      <c r="M89" s="419"/>
    </row>
    <row r="90" spans="1:13" ht="15.75">
      <c r="A90" s="420">
        <v>58</v>
      </c>
      <c r="B90" s="420" t="str">
        <f>IFERROR(IF($A90&lt;'DWV PVC'!$A$285,VLOOKUP($A90,'DWV PVC'!$A$8:$M$284,4,FALSE),
IF($A90&lt;'DWV ABS'!$A$117,VLOOKUP($A90,'DWV ABS'!$A$8:$M$116,4,FALSE),
IF($A90&lt;'PVC SCH40'!$A$376,VLOOKUP($A90,'PVC SCH40'!$A$8:$M$375,4,FALSE),
IF($A90&lt;'PVC SCH40 LD'!$A$22,VLOOKUP($A90,'PVC SCH40 LD'!$A$8:$M$21,4,FALSE),
IF($A90&lt;'Pool &amp; SPA Sweep Elbows'!$A$12,VLOOKUP($A90,'Pool &amp; SPA Sweep Elbows'!$A$8:$M$11,4,FALSE),
IF($A90&lt;'Pool &amp; SPA Pipe Extender'!$A$11,VLOOKUP($A90,'Pool &amp; SPA Pipe Extender'!$A$8:$M$10,4,FALSE),
IF($A90&lt;'PVC SCH80'!$A$250,VLOOKUP($A90,'PVC SCH80'!$A$8:$M$249,4,FALSE),
IF($A90&lt;'PVC SCH80 Flange'!$A$49,VLOOKUP($A90,'PVC SCH80 Flange'!$A$8:$M$48,4,FALSE),
IF($A90&lt;'PVC SCH80 LD Flange'!$A$17,VLOOKUP($A90,'PVC SCH80 LD Flange'!$A$8:$M$16,4,FALSE),
IF($A90&lt;CPVC!$A$100,VLOOKUP($A90,CPVC!$A$8:$M$99,4,FALSE),
IF($A90&lt;InsertFittings!$A$237,VLOOKUP($A90,InsertFittings!$A$11:$M$236,4,FALSE),
IF($A90&lt;Valves!$A$132,VLOOKUP($A90,Valves!$A$8:$M$131,4,FALSE),
IF($A90&lt;SDR35SW!$A$124,VLOOKUP($A90,SDR35SW!$A$8:$M$123,4,FALSE),
IF($A90&lt;SDR35G!$A$143,VLOOKUP($A90, SDR35G!$A$8:$M$142,4,FALSE),
IF($A90&lt;SDR26G!$A$61,VLOOKUP($A90,SDR26G!$A$8:$N$60,4,FALSE),
IF($A90&lt;Cements!$A$100,VLOOKUP($A90,Cements!$A$8:$Q$99,4,FALSE),
IF($A90&lt;ValveBox!$A$143,VLOOKUP($A90,ValveBox!$A$10:$O$142,4,FALSE),
IF($A90&lt;'ValveBox Components'!$A$165,VLOOKUP($A90,'ValveBox Components'!$A$10:$O$164,4,FALSE),
IF($A90&lt;Drainage!$A$92,VLOOKUP($A90,Drainage!$A$8:$M$91,4,FALSE),
IF($A90&lt;Nipples!$A$82,VLOOKUP($A90,Nipples!$A$9:$Q$81,4,FALSE),
IF($A90&lt;Manifold!$A$33,VLOOKUP($A90,Manifold!$A$9:$M$32,4,FALSE),
IF($A90&lt;FlexibleRepairCouplings!$A$13,VLOOKUP($A90,FlexibleRepairCouplings!$A$10:$M$12,4,FALSE),
IF($A90&lt;DuraFix!$A$15,VLOOKUP($A90,DuraFix!$A$9:$M$14,4,FALSE),
IF($A90&lt;'Compression Fittings'!$A$16,VLOOKUP($A90,'Compression Fittings'!$A$8:$M$15,4,FALSE),
IF($A90&lt;'Hose Fittings'!$A$30,VLOOKUP($A90,'Hose Fittings'!$A$8:$M$29,4,FALSE),
IF($A90&lt;'Swing Joints'!$A$496,VLOOKUP($A90,'Swing Joints'!$A$9:$M$495,4,FALSE),
IF($A90&lt;'Swing Joints Components'!$A$135,VLOOKUP($A90,'Swing Joints Components'!$A$9:$M$134,4,FALSE),
IF($A90&lt;Nonstandard!$A$42,VLOOKUP($A90,Nonstandard!$A$31:$J$41,5,FALSE),"")))))))))))))))))))))))))))),"")</f>
        <v/>
      </c>
      <c r="C90" s="420" t="str">
        <f>IFERROR(IF($A90&lt;'DWV PVC'!$A$285,VLOOKUP($A90,'DWV PVC'!$A$8:$M$284,5,FALSE),
IF($A90&lt;'DWV ABS'!$A$117,VLOOKUP($A90,'DWV ABS'!$A$8:$M$116,5,FALSE),
IF($A90&lt;'PVC SCH40'!$A$376,VLOOKUP($A90,'PVC SCH40'!$A$8:$M$375,5,FALSE),
IF($A90&lt;'PVC SCH40 LD'!$A$22,VLOOKUP($A90,'PVC SCH40 LD'!$A$8:$M$21,5,FALSE),
IF($A90&lt;'Pool &amp; SPA Sweep Elbows'!$A$12,VLOOKUP($A90,'Pool &amp; SPA Sweep Elbows'!$A$8:$M$11,5,FALSE),
IF($A90&lt;'Pool &amp; SPA Pipe Extender'!$A$11,VLOOKUP($A90,'Pool &amp; SPA Pipe Extender'!$A$8:$M$10,5,FALSE),
IF($A90&lt;'PVC SCH80'!$A$250,VLOOKUP($A90,'PVC SCH80'!$A$8:$M$249,5,FALSE),
IF($A90&lt;'PVC SCH80 Flange'!$A$49,VLOOKUP($A90,'PVC SCH80 Flange'!$A$8:$M$48,5,FALSE),
IF($A90&lt;'PVC SCH80 LD Flange'!$A$17,VLOOKUP($A90,'PVC SCH80 LD Flange'!$A$8:$M$16,5,FALSE),
IF($A90&lt;CPVC!$A$100,VLOOKUP($A90,CPVC!$A$8:$M$99,5,FALSE),
IF($A90&lt;InsertFittings!$A$237,VLOOKUP($A90,InsertFittings!$A$11:$M$236,5,FALSE),
IF($A90&lt;Valves!$A$132,VLOOKUP($A90,Valves!$A$8:$M$131,5,FALSE),
IF($A90&lt;SDR35SW!$A$124,VLOOKUP($A90,SDR35SW!$A$8:$M$123,5,FALSE),
IF($A90&lt;SDR35G!$A$143,VLOOKUP($A90, SDR35G!$A$8:$M$142,5,FALSE),
IF($A90&lt;SDR26G!$A$61,VLOOKUP($A90,SDR26G!$A$8:$N$60,5,FALSE),
IF($A90&lt;Cements!$A$100,VLOOKUP($A90,Cements!$A$8:$Q$99,5,FALSE),
IF($A90&lt;ValveBox!$A$143,VLOOKUP($A90,ValveBox!$A$10:$O$142,5,FALSE),
IF($A90&lt;'ValveBox Components'!$A$165,VLOOKUP($A90,'ValveBox Components'!$A$10:$O$164,5,FALSE),
IF($A90&lt;Drainage!$A$92,VLOOKUP($A90,Drainage!$A$8:$M$91,5,FALSE),
IF($A90&lt;Nipples!$A$82,VLOOKUP($A90,Nipples!$A$9:$Q$81,5,FALSE),
IF($A90&lt;Manifold!$A$33,VLOOKUP($A90,Manifold!$A$9:$M$32,5,FALSE),
IF($A90&lt;FlexibleRepairCouplings!$A$13,VLOOKUP($A90,FlexibleRepairCouplings!$A$10:$M$12,5,FALSE),
IF($A90&lt;DuraFix!$A$15,VLOOKUP($A90,DuraFix!$A$9:$M$14,5,FALSE),
IF($A90&lt;'Compression Fittings'!$A$16,VLOOKUP($A90,'Compression Fittings'!$A$8:$M$15,5,FALSE),
IF($A90&lt;'Hose Fittings'!$A$30,VLOOKUP($A90,'Hose Fittings'!$A$8:$M$29,5,FALSE),
IF($A90&lt;'Swing Joints'!$A$496,VLOOKUP($A90,'Swing Joints'!$A$9:$M$495,5,FALSE),
IF($A90&lt;'Swing Joints Components'!$A$135,VLOOKUP($A90,'Swing Joints Components'!$A$9:$M$134,5,FALSE),
IF($A90&lt;Nonstandard!$A$42,VLOOKUP($A90,Nonstandard!$A$31:$J$41,6,FALSE),"")))))))))))))))))))))))))))),"")</f>
        <v/>
      </c>
      <c r="D90" s="428" t="str">
        <f>IFERROR(IF($A90&lt;'DWV PVC'!$A$285,VLOOKUP($A90,'DWV PVC'!$A$8:$M$284,6,FALSE),
IF($A90&lt;'DWV ABS'!$A$117,VLOOKUP($A90,'DWV ABS'!$A$8:$M$116,6,FALSE),
IF($A90&lt;'PVC SCH40'!$A$376,VLOOKUP($A90,'PVC SCH40'!$A$8:$M$375,6,FALSE),
IF($A90&lt;'PVC SCH40 LD'!$A$22,VLOOKUP($A90,'PVC SCH40 LD'!$A$8:$M$21,6,FALSE),
IF($A90&lt;'Pool &amp; SPA Sweep Elbows'!$A$12,VLOOKUP($A90,'Pool &amp; SPA Sweep Elbows'!$A$8:$M$11,6,FALSE),
IF($A90&lt;'Pool &amp; SPA Pipe Extender'!$A$11,VLOOKUP($A90,'Pool &amp; SPA Pipe Extender'!$A$8:$M$10,6,FALSE),
IF($A90&lt;'PVC SCH80'!$A$250,VLOOKUP($A90,'PVC SCH80'!$A$8:$M$249,6,FALSE),
IF($A90&lt;'PVC SCH80 Flange'!$A$49,VLOOKUP($A90,'PVC SCH80 Flange'!$A$8:$M$48,6,FALSE),
IF($A90&lt;'PVC SCH80 LD Flange'!$A$17,VLOOKUP($A90,'PVC SCH80 LD Flange'!$A$8:$M$16,6,FALSE),
IF($A90&lt;CPVC!$A$100,VLOOKUP($A90,CPVC!$A$8:$M$99,6,FALSE),
IF($A90&lt;InsertFittings!$A$237,VLOOKUP($A90,InsertFittings!$A$11:$M$236,6,FALSE),
IF($A90&lt;Valves!$A$132,VLOOKUP($A90,Valves!$A$8:$M$131,6,FALSE),
IF($A90&lt;SDR35SW!$A$124,VLOOKUP($A90,SDR35SW!$A$8:$M$123,6,FALSE),
IF($A90&lt;SDR35G!$A$143,VLOOKUP($A90, SDR35G!$A$8:$M$142,6,FALSE),
IF($A90&lt;SDR26G!$A$61,VLOOKUP($A90,SDR26G!$A$8:$N$60,6,FALSE),
IF($A90&lt;Cements!$A$100,VLOOKUP($A90,Cements!$A$8:$Q$99,6,FALSE),
IF($A90&lt;ValveBox!$A$143,VLOOKUP($A90,ValveBox!$A$10:$O$142,6,FALSE),
IF($A90&lt;'ValveBox Components'!$A$165,VLOOKUP($A90,'ValveBox Components'!$A$10:$O$164,6,FALSE),
IF($A90&lt;Drainage!$A$92,VLOOKUP($A90,Drainage!$A$8:$M$91,6,FALSE),
IF($A90&lt;Nipples!$A$82,VLOOKUP($A90,Nipples!$A$9:$Q$81,6,FALSE),
IF($A90&lt;Manifold!$A$33,VLOOKUP($A90,Manifold!$A$9:$M$32,6,FALSE),
IF($A90&lt;FlexibleRepairCouplings!$A$13,VLOOKUP($A90,FlexibleRepairCouplings!$A$10:$M$12,6,FALSE),
IF($A90&lt;DuraFix!$A$15,VLOOKUP($A90,DuraFix!$A$9:$M$14,6,FALSE),
IF($A90&lt;'Compression Fittings'!$A$16,VLOOKUP($A90,'Compression Fittings'!$A$8:$M$15,6,FALSE),
IF($A90&lt;'Hose Fittings'!$A$30,VLOOKUP($A90,'Hose Fittings'!$A$8:$M$29,6,FALSE),
IF($A90&lt;'Swing Joints'!$A$496,VLOOKUP($A90,'Swing Joints'!$A$9:$M$495,6,FALSE),
IF($A90&lt;'Swing Joints Components'!$A$135,VLOOKUP($A90,'Swing Joints Components'!$A$9:$M$134,6,FALSE),
IF($A90&lt;Nonstandard!$A$42,VLOOKUP($A90,Nonstandard!$A$31:$J$41,7,FALSE),"")))))))))))))))))))))))))))),"")</f>
        <v/>
      </c>
      <c r="E90" s="429"/>
      <c r="F90" s="421" t="str">
        <f>IFERROR(IF($A90&lt;'DWV PVC'!$A$285,VLOOKUP($A90,'DWV PVC'!$A$8:$M$284,9,FALSE),
IF($A90&lt;'DWV ABS'!$A$117,VLOOKUP($A90,'DWV ABS'!$A$8:$M$116,9,FALSE),
IF($A90&lt;'PVC SCH40'!$A$376,VLOOKUP($A90,'PVC SCH40'!$A$8:$M$375,9,FALSE),
IF($A90&lt;'PVC SCH40 LD'!$A$22,VLOOKUP($A90,'PVC SCH40 LD'!$A$8:$M$21,9,FALSE),
IF($A90&lt;'Pool &amp; SPA Sweep Elbows'!$A$12,VLOOKUP($A90,'Pool &amp; SPA Sweep Elbows'!$A$8:$M$11,9,FALSE),
IF($A90&lt;'Pool &amp; SPA Pipe Extender'!$A$11,VLOOKUP($A90,'Pool &amp; SPA Pipe Extender'!$A$8:$M$10,9,FALSE),
IF($A90&lt;'PVC SCH80'!$A$250,VLOOKUP($A90,'PVC SCH80'!$A$8:$M$249,9,FALSE),
IF($A90&lt;'PVC SCH80 Flange'!$A$49,VLOOKUP($A90,'PVC SCH80 Flange'!$A$8:$M$48,9,FALSE),
IF($A90&lt;'PVC SCH80 LD Flange'!$A$17,VLOOKUP($A90,'PVC SCH80 LD Flange'!$A$8:$M$16,9,FALSE),
IF($A90&lt;CPVC!$A$100,VLOOKUP($A90,CPVC!$A$8:$M$99,9,FALSE),
IF($A90&lt;InsertFittings!$A$237,VLOOKUP($A90,InsertFittings!$A$11:$M$236,9,FALSE),
IF($A90&lt;Valves!$A$132,VLOOKUP($A90,Valves!$A$8:$M$131,9,FALSE),
IF($A90&lt;SDR35SW!$A$124,VLOOKUP($A90,SDR35SW!$A$8:$M$123,9,FALSE),
IF($A90&lt;SDR35G!$A$143,VLOOKUP($A90, SDR35G!$A$8:$M$142,9,FALSE),
IF($A90&lt;SDR26G!$A$61,VLOOKUP($A90,SDR26G!$A$8:$N$60,10,FALSE),
IF($A90&lt;Cements!$A$100,VLOOKUP($A90,Cements!$A$8:$Q$99,13,FALSE),
IF($A90&lt;ValveBox!$A$143,VLOOKUP($A90,ValveBox!$A$10:$O$142,11,FALSE),
IF($A90&lt;'ValveBox Components'!$A$165,VLOOKUP($A90,'ValveBox Components'!$A$10:$O$164,11,FALSE),
IF($A90&lt;Drainage!$A$92,VLOOKUP($A90,Drainage!$A$8:$M$91,9,FALSE),
IF($A90&lt;Nipples!$A$82,VLOOKUP($A90,Nipples!$A$9:$Q$81,13,FALSE),
IF($A90&lt;Manifold!$A$33,VLOOKUP($A90,Manifold!$A$9:$M$32,9,FALSE),
IF($A90&lt;FlexibleRepairCouplings!$A$13,VLOOKUP($A90,FlexibleRepairCouplings!$A$10:$M$12,9,FALSE),
IF($A90&lt;DuraFix!$A$15,VLOOKUP($A90,DuraFix!$A$9:$M$14,9,FALSE),
IF($A90&lt;'Compression Fittings'!$A$16,VLOOKUP($A90,'Compression Fittings'!$A$8:$M$15,9,FALSE),
IF($A90&lt;'Hose Fittings'!$A$30,VLOOKUP($A90,'Hose Fittings'!$A$8:$M$29,9,FALSE),
IF($A90&lt;'Swing Joints'!$A$496,VLOOKUP($A90,'Swing Joints'!$A$9:$M$495,9,FALSE),
IF($A90&lt;'Swing Joints Components'!$A$135,VLOOKUP($A90,'Swing Joints Components'!$A$9:$M$134,9,FALSE),
IF($A90&lt;Nonstandard!$A$42,VLOOKUP($A90,Nonstandard!$A$31:$J$41,8,FALSE),"")))))))))))))))))))))))))))),"")</f>
        <v/>
      </c>
      <c r="G90" s="422" t="str">
        <f>IFERROR(IF($A90&lt;'DWV PVC'!$A$285,VLOOKUP($A90,'DWV PVC'!$A$8:$M$284,11,FALSE),
IF($A90&lt;'DWV ABS'!$A$117,VLOOKUP($A90,'DWV ABS'!$A$8:$M$116,11,FALSE),
IF($A90&lt;'PVC SCH40'!$A$376,VLOOKUP($A90,'PVC SCH40'!$A$8:$M$375,11,FALSE),
IF($A90&lt;'PVC SCH40 LD'!$A$22,VLOOKUP($A90,'PVC SCH40 LD'!$A$8:$M$21,11,FALSE),
IF($A90&lt;'Pool &amp; SPA Sweep Elbows'!$A$12,VLOOKUP($A90,'Pool &amp; SPA Sweep Elbows'!$A$8:$M$11,11,FALSE),
IF($A90&lt;'Pool &amp; SPA Pipe Extender'!$A$11,VLOOKUP($A90,'Pool &amp; SPA Pipe Extender'!$A$8:$M$10,11,FALSE),
IF($A90&lt;'PVC SCH80'!$A$250,VLOOKUP($A90,'PVC SCH80'!$A$8:$M$249,11,FALSE),
IF($A90&lt;'PVC SCH80 Flange'!$A$49,VLOOKUP($A90,'PVC SCH80 Flange'!$A$8:$M$48,11,FALSE),
IF($A90&lt;'PVC SCH80 LD Flange'!$A$17,VLOOKUP($A90,'PVC SCH80 LD Flange'!$A$8:$M$16,11,FALSE),
IF($A90&lt;CPVC!$A$100,VLOOKUP($A90,CPVC!$A$8:$M$99,11,FALSE),
IF($A90&lt;InsertFittings!$A$237,VLOOKUP($A90,InsertFittings!$A$11:$M$236,11,FALSE),
IF($A90&lt;Valves!$A$132,VLOOKUP($A90,Valves!$A$8:$M$131,11,FALSE),
IF($A90&lt;SDR35SW!$A$124,VLOOKUP($A90,SDR35SW!$A$8:$M$123,11,FALSE),
IF($A90&lt;SDR35G!$A$143,VLOOKUP($A90, SDR35G!$A$8:$M$142,11,FALSE),
IF($A90&lt;SDR26G!$A$61,VLOOKUP($A90,SDR26G!$A$8:$N$60,12,FALSE),
IF($A90&lt;Cements!$A$100,VLOOKUP($A90,Cements!$A$8:$Q$99,15,FALSE),
IF($A90&lt;ValveBox!$A$143,VLOOKUP($A90,ValveBox!$A$10:$O$142,13,FALSE),
IF($A90&lt;'ValveBox Components'!$A$165,VLOOKUP($A90,'ValveBox Components'!$A$10:$O$164,13,FALSE),
IF($A90&lt;Drainage!$A$92,VLOOKUP($A90,Drainage!$A$8:$M$91,11,FALSE),
IF($A90&lt;Nipples!$A$82,VLOOKUP($A90,Nipples!$A$9:$Q$81,15,FALSE),
IF($A90&lt;Manifold!$A$33,VLOOKUP($A90,Manifold!$A$9:$M$32,11,FALSE),
IF($A90&lt;FlexibleRepairCouplings!$A$13,VLOOKUP($A90,FlexibleRepairCouplings!$A$10:$M$12,11,FALSE),
IF($A90&lt;DuraFix!$A$15,VLOOKUP($A90,DuraFix!$A$9:$M$14,11,FALSE),
IF($A90&lt;'Compression Fittings'!$A$16,VLOOKUP($A90,'Compression Fittings'!$A$8:$M$15,11,FALSE),
IF($A90&lt;'Hose Fittings'!$A$30,VLOOKUP($A90,'Hose Fittings'!$A$8:$M$29,11,FALSE),
IF($A90&lt;'Swing Joints'!$A$496,VLOOKUP($A90,'Swing Joints'!$A$9:$M$495,11,FALSE),
IF($A90&lt;'Swing Joints Components'!$A$135,VLOOKUP($A90,'Swing Joints Components'!$A$9:$M$134,11,FALSE),
IF($A90&lt;Nonstandard!$A$42,VLOOKUP($A90,Nonstandard!$A$31:$J$41,3,FALSE),"")))))))))))))))))))))))))))),"")</f>
        <v/>
      </c>
      <c r="H90" s="588" t="str">
        <f>IFERROR(IF($A90&lt;'DWV PVC'!$A$285,VLOOKUP($A90,'DWV PVC'!$A$8:$M$284,7,FALSE),
IF($A90&lt;'DWV ABS'!$A$117,VLOOKUP($A90,'DWV ABS'!$A$8:$M$116,7,FALSE),
IF($A90&lt;'PVC SCH40'!$A$376,VLOOKUP($A90,'PVC SCH40'!$A$8:$M$375,7,FALSE),
IF($A90&lt;'PVC SCH40 LD'!$A$22,VLOOKUP($A90,'PVC SCH40 LD'!$A$8:$M$21,7,FALSE),
IF($A90&lt;'Pool &amp; SPA Sweep Elbows'!$A$12,VLOOKUP($A90,'Pool &amp; SPA Sweep Elbows'!$A$8:$M$11,7,FALSE),
IF($A90&lt;'Pool &amp; SPA Pipe Extender'!$A$11,VLOOKUP($A90,'Pool &amp; SPA Pipe Extender'!$A$8:$M$10,7,FALSE),
IF($A90&lt;'PVC SCH80'!$A$250,VLOOKUP($A90,'PVC SCH80'!$A$8:$M$249,7,FALSE),
IF($A90&lt;'PVC SCH80 Flange'!$A$49,VLOOKUP($A90,'PVC SCH80 Flange'!$A$8:$M$48,7,FALSE),
IF($A90&lt;'PVC SCH80 LD Flange'!$A$17,VLOOKUP($A90,'PVC SCH80 LD Flange'!$A$8:$M$16,7,FALSE),
IF($A90&lt;CPVC!$A$100,VLOOKUP($A90,CPVC!$A$8:$M$99,7,FALSE),
IF($A90&lt;InsertFittings!$A$237,VLOOKUP($A90,InsertFittings!$A$11:$M$236,7,FALSE),
IF($A90&lt;Valves!$A$132,VLOOKUP($A90,Valves!$A$8:$M$131,7,FALSE),
IF($A90&lt;SDR35SW!$A$124,VLOOKUP($A90,SDR35SW!$A$8:$M$123,7,FALSE),
IF($A90&lt;SDR35G!$A$143,VLOOKUP($A90, SDR35G!$A$8:$M$142,7,FALSE),
IF($A90&lt;SDR26G!$A$61,VLOOKUP($A90,SDR26G!$A$8:$N$60,10,FALSE),
IF($A90&lt;Cements!$A$100,VLOOKUP($A90,Cements!$A$8:$Q$99,13,FALSE),
IF($A90&lt;ValveBox!$A$143,VLOOKUP($A90,ValveBox!$A$10:$O$142,11,FALSE),
IF($A90&lt;'ValveBox Components'!$A$165,VLOOKUP($A90,'ValveBox Components'!$A$10:$O$164,11,FALSE),
IF($A90&lt;Drainage!$A$92,VLOOKUP($A90,Drainage!$A$8:$M$91,7,FALSE),
IF($A90&lt;Nipples!$A$82,VLOOKUP($A90,Nipples!$A$9:$Q$81,13,FALSE),
IF($A90&lt;Manifold!$A$33,VLOOKUP($A90,Manifold!$A$9:$M$32,7,FALSE),
IF($A90&lt;FlexibleRepairCouplings!$A$13,VLOOKUP($A90,FlexibleRepairCouplings!$A$10:$M$12,7,FALSE),
IF($A90&lt;DuraFix!$A$15,VLOOKUP($A90,DuraFix!$A$9:$M$14,7,FALSE),
IF($A90&lt;'Compression Fittings'!$A$16,VLOOKUP($A90,'Compression Fittings'!$A$8:$M$15,7,FALSE),
IF($A90&lt;'Hose Fittings'!$A$30,VLOOKUP($A90,'Hose Fittings'!$A$8:$M$29,7,FALSE),
IF($A90&lt;'Swing Joints'!$A$496,VLOOKUP($A90,'Swing Joints'!$A$9:$M$495,7,FALSE),
IF($A90&lt;'Swing Joints Components'!$A$135,VLOOKUP($A90,'Swing Joints Components'!$A$9:$M$134,7,FALSE),
IF($A90&lt;Nonstandard!$A$42,VLOOKUP($A90,Nonstandard!$A$31:$J$41,3,FALSE),"")))))))))))))))))))))))))))),"")</f>
        <v/>
      </c>
      <c r="I90" s="589"/>
      <c r="J90" s="423" t="str">
        <f t="shared" si="1"/>
        <v/>
      </c>
      <c r="K90" s="424" t="str">
        <f>IFERROR(IF($A90&lt;'DWV PVC'!$A$285,VLOOKUP($A90,'DWV PVC'!$A$8:$M$284,10,FALSE),
IF($A90&lt;'DWV ABS'!$A$117,VLOOKUP($A90,'DWV ABS'!$A$8:$M$116,10,FALSE),
IF($A90&lt;'PVC SCH40'!$A$376,VLOOKUP($A90,'PVC SCH40'!$A$8:$M$375,10,FALSE),
IF($A90&lt;'PVC SCH40 LD'!$A$22,VLOOKUP($A90,'PVC SCH40 LD'!$A$8:$M$21,10,FALSE),
IF($A90&lt;'Pool &amp; SPA Sweep Elbows'!$A$12,VLOOKUP($A90,'Pool &amp; SPA Sweep Elbows'!$A$8:$M$11,10,FALSE),
IF($A90&lt;'Pool &amp; SPA Pipe Extender'!$A$11,VLOOKUP($A90,'Pool &amp; SPA Pipe Extender'!$A$8:$M$10,10,FALSE),
IF($A90&lt;'PVC SCH80'!$A$250,VLOOKUP($A90,'PVC SCH80'!$A$8:$M$249,10,FALSE),
IF($A90&lt;'PVC SCH80 Flange'!$A$49,VLOOKUP($A90,'PVC SCH80 Flange'!$A$8:$M$48,10,FALSE),
IF($A90&lt;'PVC SCH80 LD Flange'!$A$17,VLOOKUP($A90,'PVC SCH80 LD Flange'!$A$8:$M$16,10,FALSE),
IF($A90&lt;CPVC!$A$100,VLOOKUP($A90,CPVC!$A$8:$M$99,10,FALSE),
IF($A90&lt;InsertFittings!$A$237,VLOOKUP($A90,InsertFittings!$A$11:$M$236,10,FALSE),
IF($A90&lt;Valves!$A$132,VLOOKUP($A90,Valves!$A$8:$M$131,10,FALSE),
IF($A90&lt;SDR35SW!$A$124,VLOOKUP($A90,SDR35SW!$A$8:$M$123,10,FALSE),
IF($A90&lt;SDR35G!$A$143,VLOOKUP($A90, SDR35G!$A$8:$M$142,10,FALSE),
IF($A90&lt;SDR26G!$A$61,VLOOKUP($A90,SDR26G!$A$8:$N$60,11,FALSE),
IF($A90&lt;Cements!$A$100,VLOOKUP($A90,Cements!$A$8:$Q$99,14,FALSE),
IF($A90&lt;ValveBox!$A$143,VLOOKUP($A90,ValveBox!$A$10:$O$142,12,FALSE),
IF($A90&lt;'ValveBox Components'!$A$165,VLOOKUP($A90,'ValveBox Components'!$A$10:$O$164,12,FALSE),
IF($A90&lt;Drainage!$A$92,VLOOKUP($A90,Drainage!$A$8:$M$91,10,FALSE),
IF($A90&lt;Nipples!$A$82,VLOOKUP($A90,Nipples!$A$9:$Q$81,14,FALSE),
IF($A90&lt;Manifold!$A$33,VLOOKUP($A90,Manifold!$A$9:$M$32,10,FALSE),
IF($A90&lt;FlexibleRepairCouplings!$A$13,VLOOKUP($A90,FlexibleRepairCouplings!$A$10:$M$12,10,FALSE),
IF($A90&lt;DuraFix!$A$15,VLOOKUP($A90,DuraFix!$A$9:$M$14,10,FALSE),
IF($A90&lt;'Compression Fittings'!$A$16,VLOOKUP($A90,'Compression Fittings'!$A$8:$M$15,10,FALSE),
IF($A90&lt;'Hose Fittings'!$A$30,VLOOKUP($A90,'Hose Fittings'!$A$8:$M$29,10,FALSE),
IF($A90&lt;'Swing Joints'!$A$496,VLOOKUP($A90,'Swing Joints'!$A$9:$M$495,10,FALSE),
IF($A90&lt;'Swing Joints Components'!$A$135,VLOOKUP($A90,'Swing Joints Components'!$A$9:$M$134,10,FALSE),
IF($A90&lt;Nonstandard!$A$42,VLOOKUP($A90,Nonstandard!$A$31:$J$41,10,FALSE),"")))))))))))))))))))))))))))),"")</f>
        <v/>
      </c>
      <c r="L90" s="421" t="str">
        <f t="shared" si="0"/>
        <v>-</v>
      </c>
      <c r="M90" s="425"/>
    </row>
    <row r="91" spans="1:13" ht="15.75">
      <c r="A91" s="415">
        <v>59</v>
      </c>
      <c r="B91" s="415" t="str">
        <f>IFERROR(IF($A91&lt;'DWV PVC'!$A$285,VLOOKUP($A91,'DWV PVC'!$A$8:$M$284,4,FALSE),
IF($A91&lt;'DWV ABS'!$A$117,VLOOKUP($A91,'DWV ABS'!$A$8:$M$116,4,FALSE),
IF($A91&lt;'PVC SCH40'!$A$376,VLOOKUP($A91,'PVC SCH40'!$A$8:$M$375,4,FALSE),
IF($A91&lt;'PVC SCH40 LD'!$A$22,VLOOKUP($A91,'PVC SCH40 LD'!$A$8:$M$21,4,FALSE),
IF($A91&lt;'Pool &amp; SPA Sweep Elbows'!$A$12,VLOOKUP($A91,'Pool &amp; SPA Sweep Elbows'!$A$8:$M$11,4,FALSE),
IF($A91&lt;'Pool &amp; SPA Pipe Extender'!$A$11,VLOOKUP($A91,'Pool &amp; SPA Pipe Extender'!$A$8:$M$10,4,FALSE),
IF($A91&lt;'PVC SCH80'!$A$250,VLOOKUP($A91,'PVC SCH80'!$A$8:$M$249,4,FALSE),
IF($A91&lt;'PVC SCH80 Flange'!$A$49,VLOOKUP($A91,'PVC SCH80 Flange'!$A$8:$M$48,4,FALSE),
IF($A91&lt;'PVC SCH80 LD Flange'!$A$17,VLOOKUP($A91,'PVC SCH80 LD Flange'!$A$8:$M$16,4,FALSE),
IF($A91&lt;CPVC!$A$100,VLOOKUP($A91,CPVC!$A$8:$M$99,4,FALSE),
IF($A91&lt;InsertFittings!$A$237,VLOOKUP($A91,InsertFittings!$A$11:$M$236,4,FALSE),
IF($A91&lt;Valves!$A$132,VLOOKUP($A91,Valves!$A$8:$M$131,4,FALSE),
IF($A91&lt;SDR35SW!$A$124,VLOOKUP($A91,SDR35SW!$A$8:$M$123,4,FALSE),
IF($A91&lt;SDR35G!$A$143,VLOOKUP($A91, SDR35G!$A$8:$M$142,4,FALSE),
IF($A91&lt;SDR26G!$A$61,VLOOKUP($A91,SDR26G!$A$8:$N$60,4,FALSE),
IF($A91&lt;Cements!$A$100,VLOOKUP($A91,Cements!$A$8:$Q$99,4,FALSE),
IF($A91&lt;ValveBox!$A$143,VLOOKUP($A91,ValveBox!$A$10:$O$142,4,FALSE),
IF($A91&lt;'ValveBox Components'!$A$165,VLOOKUP($A91,'ValveBox Components'!$A$10:$O$164,4,FALSE),
IF($A91&lt;Drainage!$A$92,VLOOKUP($A91,Drainage!$A$8:$M$91,4,FALSE),
IF($A91&lt;Nipples!$A$82,VLOOKUP($A91,Nipples!$A$9:$Q$81,4,FALSE),
IF($A91&lt;Manifold!$A$33,VLOOKUP($A91,Manifold!$A$9:$M$32,4,FALSE),
IF($A91&lt;FlexibleRepairCouplings!$A$13,VLOOKUP($A91,FlexibleRepairCouplings!$A$10:$M$12,4,FALSE),
IF($A91&lt;DuraFix!$A$15,VLOOKUP($A91,DuraFix!$A$9:$M$14,4,FALSE),
IF($A91&lt;'Compression Fittings'!$A$16,VLOOKUP($A91,'Compression Fittings'!$A$8:$M$15,4,FALSE),
IF($A91&lt;'Hose Fittings'!$A$30,VLOOKUP($A91,'Hose Fittings'!$A$8:$M$29,4,FALSE),
IF($A91&lt;'Swing Joints'!$A$496,VLOOKUP($A91,'Swing Joints'!$A$9:$M$495,4,FALSE),
IF($A91&lt;'Swing Joints Components'!$A$135,VLOOKUP($A91,'Swing Joints Components'!$A$9:$M$134,4,FALSE),
IF($A91&lt;Nonstandard!$A$42,VLOOKUP($A91,Nonstandard!$A$31:$J$41,5,FALSE),"")))))))))))))))))))))))))))),"")</f>
        <v/>
      </c>
      <c r="C91" s="415" t="str">
        <f>IFERROR(IF($A91&lt;'DWV PVC'!$A$285,VLOOKUP($A91,'DWV PVC'!$A$8:$M$284,5,FALSE),
IF($A91&lt;'DWV ABS'!$A$117,VLOOKUP($A91,'DWV ABS'!$A$8:$M$116,5,FALSE),
IF($A91&lt;'PVC SCH40'!$A$376,VLOOKUP($A91,'PVC SCH40'!$A$8:$M$375,5,FALSE),
IF($A91&lt;'PVC SCH40 LD'!$A$22,VLOOKUP($A91,'PVC SCH40 LD'!$A$8:$M$21,5,FALSE),
IF($A91&lt;'Pool &amp; SPA Sweep Elbows'!$A$12,VLOOKUP($A91,'Pool &amp; SPA Sweep Elbows'!$A$8:$M$11,5,FALSE),
IF($A91&lt;'Pool &amp; SPA Pipe Extender'!$A$11,VLOOKUP($A91,'Pool &amp; SPA Pipe Extender'!$A$8:$M$10,5,FALSE),
IF($A91&lt;'PVC SCH80'!$A$250,VLOOKUP($A91,'PVC SCH80'!$A$8:$M$249,5,FALSE),
IF($A91&lt;'PVC SCH80 Flange'!$A$49,VLOOKUP($A91,'PVC SCH80 Flange'!$A$8:$M$48,5,FALSE),
IF($A91&lt;'PVC SCH80 LD Flange'!$A$17,VLOOKUP($A91,'PVC SCH80 LD Flange'!$A$8:$M$16,5,FALSE),
IF($A91&lt;CPVC!$A$100,VLOOKUP($A91,CPVC!$A$8:$M$99,5,FALSE),
IF($A91&lt;InsertFittings!$A$237,VLOOKUP($A91,InsertFittings!$A$11:$M$236,5,FALSE),
IF($A91&lt;Valves!$A$132,VLOOKUP($A91,Valves!$A$8:$M$131,5,FALSE),
IF($A91&lt;SDR35SW!$A$124,VLOOKUP($A91,SDR35SW!$A$8:$M$123,5,FALSE),
IF($A91&lt;SDR35G!$A$143,VLOOKUP($A91, SDR35G!$A$8:$M$142,5,FALSE),
IF($A91&lt;SDR26G!$A$61,VLOOKUP($A91,SDR26G!$A$8:$N$60,5,FALSE),
IF($A91&lt;Cements!$A$100,VLOOKUP($A91,Cements!$A$8:$Q$99,5,FALSE),
IF($A91&lt;ValveBox!$A$143,VLOOKUP($A91,ValveBox!$A$10:$O$142,5,FALSE),
IF($A91&lt;'ValveBox Components'!$A$165,VLOOKUP($A91,'ValveBox Components'!$A$10:$O$164,5,FALSE),
IF($A91&lt;Drainage!$A$92,VLOOKUP($A91,Drainage!$A$8:$M$91,5,FALSE),
IF($A91&lt;Nipples!$A$82,VLOOKUP($A91,Nipples!$A$9:$Q$81,5,FALSE),
IF($A91&lt;Manifold!$A$33,VLOOKUP($A91,Manifold!$A$9:$M$32,5,FALSE),
IF($A91&lt;FlexibleRepairCouplings!$A$13,VLOOKUP($A91,FlexibleRepairCouplings!$A$10:$M$12,5,FALSE),
IF($A91&lt;DuraFix!$A$15,VLOOKUP($A91,DuraFix!$A$9:$M$14,5,FALSE),
IF($A91&lt;'Compression Fittings'!$A$16,VLOOKUP($A91,'Compression Fittings'!$A$8:$M$15,5,FALSE),
IF($A91&lt;'Hose Fittings'!$A$30,VLOOKUP($A91,'Hose Fittings'!$A$8:$M$29,5,FALSE),
IF($A91&lt;'Swing Joints'!$A$496,VLOOKUP($A91,'Swing Joints'!$A$9:$M$495,5,FALSE),
IF($A91&lt;'Swing Joints Components'!$A$135,VLOOKUP($A91,'Swing Joints Components'!$A$9:$M$134,5,FALSE),
IF($A91&lt;Nonstandard!$A$42,VLOOKUP($A91,Nonstandard!$A$31:$J$41,6,FALSE),"")))))))))))))))))))))))))))),"")</f>
        <v/>
      </c>
      <c r="D91" s="426" t="str">
        <f>IFERROR(IF($A91&lt;'DWV PVC'!$A$285,VLOOKUP($A91,'DWV PVC'!$A$8:$M$284,6,FALSE),
IF($A91&lt;'DWV ABS'!$A$117,VLOOKUP($A91,'DWV ABS'!$A$8:$M$116,6,FALSE),
IF($A91&lt;'PVC SCH40'!$A$376,VLOOKUP($A91,'PVC SCH40'!$A$8:$M$375,6,FALSE),
IF($A91&lt;'PVC SCH40 LD'!$A$22,VLOOKUP($A91,'PVC SCH40 LD'!$A$8:$M$21,6,FALSE),
IF($A91&lt;'Pool &amp; SPA Sweep Elbows'!$A$12,VLOOKUP($A91,'Pool &amp; SPA Sweep Elbows'!$A$8:$M$11,6,FALSE),
IF($A91&lt;'Pool &amp; SPA Pipe Extender'!$A$11,VLOOKUP($A91,'Pool &amp; SPA Pipe Extender'!$A$8:$M$10,6,FALSE),
IF($A91&lt;'PVC SCH80'!$A$250,VLOOKUP($A91,'PVC SCH80'!$A$8:$M$249,6,FALSE),
IF($A91&lt;'PVC SCH80 Flange'!$A$49,VLOOKUP($A91,'PVC SCH80 Flange'!$A$8:$M$48,6,FALSE),
IF($A91&lt;'PVC SCH80 LD Flange'!$A$17,VLOOKUP($A91,'PVC SCH80 LD Flange'!$A$8:$M$16,6,FALSE),
IF($A91&lt;CPVC!$A$100,VLOOKUP($A91,CPVC!$A$8:$M$99,6,FALSE),
IF($A91&lt;InsertFittings!$A$237,VLOOKUP($A91,InsertFittings!$A$11:$M$236,6,FALSE),
IF($A91&lt;Valves!$A$132,VLOOKUP($A91,Valves!$A$8:$M$131,6,FALSE),
IF($A91&lt;SDR35SW!$A$124,VLOOKUP($A91,SDR35SW!$A$8:$M$123,6,FALSE),
IF($A91&lt;SDR35G!$A$143,VLOOKUP($A91, SDR35G!$A$8:$M$142,6,FALSE),
IF($A91&lt;SDR26G!$A$61,VLOOKUP($A91,SDR26G!$A$8:$N$60,6,FALSE),
IF($A91&lt;Cements!$A$100,VLOOKUP($A91,Cements!$A$8:$Q$99,6,FALSE),
IF($A91&lt;ValveBox!$A$143,VLOOKUP($A91,ValveBox!$A$10:$O$142,6,FALSE),
IF($A91&lt;'ValveBox Components'!$A$165,VLOOKUP($A91,'ValveBox Components'!$A$10:$O$164,6,FALSE),
IF($A91&lt;Drainage!$A$92,VLOOKUP($A91,Drainage!$A$8:$M$91,6,FALSE),
IF($A91&lt;Nipples!$A$82,VLOOKUP($A91,Nipples!$A$9:$Q$81,6,FALSE),
IF($A91&lt;Manifold!$A$33,VLOOKUP($A91,Manifold!$A$9:$M$32,6,FALSE),
IF($A91&lt;FlexibleRepairCouplings!$A$13,VLOOKUP($A91,FlexibleRepairCouplings!$A$10:$M$12,6,FALSE),
IF($A91&lt;DuraFix!$A$15,VLOOKUP($A91,DuraFix!$A$9:$M$14,6,FALSE),
IF($A91&lt;'Compression Fittings'!$A$16,VLOOKUP($A91,'Compression Fittings'!$A$8:$M$15,6,FALSE),
IF($A91&lt;'Hose Fittings'!$A$30,VLOOKUP($A91,'Hose Fittings'!$A$8:$M$29,6,FALSE),
IF($A91&lt;'Swing Joints'!$A$496,VLOOKUP($A91,'Swing Joints'!$A$9:$M$495,6,FALSE),
IF($A91&lt;'Swing Joints Components'!$A$135,VLOOKUP($A91,'Swing Joints Components'!$A$9:$M$134,6,FALSE),
IF($A91&lt;Nonstandard!$A$42,VLOOKUP($A91,Nonstandard!$A$31:$J$41,7,FALSE),"")))))))))))))))))))))))))))),"")</f>
        <v/>
      </c>
      <c r="E91" s="427"/>
      <c r="F91" s="418" t="str">
        <f>IFERROR(IF($A91&lt;'DWV PVC'!$A$285,VLOOKUP($A91,'DWV PVC'!$A$8:$M$284,9,FALSE),
IF($A91&lt;'DWV ABS'!$A$117,VLOOKUP($A91,'DWV ABS'!$A$8:$M$116,9,FALSE),
IF($A91&lt;'PVC SCH40'!$A$376,VLOOKUP($A91,'PVC SCH40'!$A$8:$M$375,9,FALSE),
IF($A91&lt;'PVC SCH40 LD'!$A$22,VLOOKUP($A91,'PVC SCH40 LD'!$A$8:$M$21,9,FALSE),
IF($A91&lt;'Pool &amp; SPA Sweep Elbows'!$A$12,VLOOKUP($A91,'Pool &amp; SPA Sweep Elbows'!$A$8:$M$11,9,FALSE),
IF($A91&lt;'Pool &amp; SPA Pipe Extender'!$A$11,VLOOKUP($A91,'Pool &amp; SPA Pipe Extender'!$A$8:$M$10,9,FALSE),
IF($A91&lt;'PVC SCH80'!$A$250,VLOOKUP($A91,'PVC SCH80'!$A$8:$M$249,9,FALSE),
IF($A91&lt;'PVC SCH80 Flange'!$A$49,VLOOKUP($A91,'PVC SCH80 Flange'!$A$8:$M$48,9,FALSE),
IF($A91&lt;'PVC SCH80 LD Flange'!$A$17,VLOOKUP($A91,'PVC SCH80 LD Flange'!$A$8:$M$16,9,FALSE),
IF($A91&lt;CPVC!$A$100,VLOOKUP($A91,CPVC!$A$8:$M$99,9,FALSE),
IF($A91&lt;InsertFittings!$A$237,VLOOKUP($A91,InsertFittings!$A$11:$M$236,9,FALSE),
IF($A91&lt;Valves!$A$132,VLOOKUP($A91,Valves!$A$8:$M$131,9,FALSE),
IF($A91&lt;SDR35SW!$A$124,VLOOKUP($A91,SDR35SW!$A$8:$M$123,9,FALSE),
IF($A91&lt;SDR35G!$A$143,VLOOKUP($A91, SDR35G!$A$8:$M$142,9,FALSE),
IF($A91&lt;SDR26G!$A$61,VLOOKUP($A91,SDR26G!$A$8:$N$60,10,FALSE),
IF($A91&lt;Cements!$A$100,VLOOKUP($A91,Cements!$A$8:$Q$99,13,FALSE),
IF($A91&lt;ValveBox!$A$143,VLOOKUP($A91,ValveBox!$A$10:$O$142,11,FALSE),
IF($A91&lt;'ValveBox Components'!$A$165,VLOOKUP($A91,'ValveBox Components'!$A$10:$O$164,11,FALSE),
IF($A91&lt;Drainage!$A$92,VLOOKUP($A91,Drainage!$A$8:$M$91,9,FALSE),
IF($A91&lt;Nipples!$A$82,VLOOKUP($A91,Nipples!$A$9:$Q$81,13,FALSE),
IF($A91&lt;Manifold!$A$33,VLOOKUP($A91,Manifold!$A$9:$M$32,9,FALSE),
IF($A91&lt;FlexibleRepairCouplings!$A$13,VLOOKUP($A91,FlexibleRepairCouplings!$A$10:$M$12,9,FALSE),
IF($A91&lt;DuraFix!$A$15,VLOOKUP($A91,DuraFix!$A$9:$M$14,9,FALSE),
IF($A91&lt;'Compression Fittings'!$A$16,VLOOKUP($A91,'Compression Fittings'!$A$8:$M$15,9,FALSE),
IF($A91&lt;'Hose Fittings'!$A$30,VLOOKUP($A91,'Hose Fittings'!$A$8:$M$29,9,FALSE),
IF($A91&lt;'Swing Joints'!$A$496,VLOOKUP($A91,'Swing Joints'!$A$9:$M$495,9,FALSE),
IF($A91&lt;'Swing Joints Components'!$A$135,VLOOKUP($A91,'Swing Joints Components'!$A$9:$M$134,9,FALSE),
IF($A91&lt;Nonstandard!$A$42,VLOOKUP($A91,Nonstandard!$A$31:$J$41,8,FALSE),"")))))))))))))))))))))))))))),"")</f>
        <v/>
      </c>
      <c r="G91" s="416" t="str">
        <f>IFERROR(IF($A91&lt;'DWV PVC'!$A$285,VLOOKUP($A91,'DWV PVC'!$A$8:$M$284,11,FALSE),
IF($A91&lt;'DWV ABS'!$A$117,VLOOKUP($A91,'DWV ABS'!$A$8:$M$116,11,FALSE),
IF($A91&lt;'PVC SCH40'!$A$376,VLOOKUP($A91,'PVC SCH40'!$A$8:$M$375,11,FALSE),
IF($A91&lt;'PVC SCH40 LD'!$A$22,VLOOKUP($A91,'PVC SCH40 LD'!$A$8:$M$21,11,FALSE),
IF($A91&lt;'Pool &amp; SPA Sweep Elbows'!$A$12,VLOOKUP($A91,'Pool &amp; SPA Sweep Elbows'!$A$8:$M$11,11,FALSE),
IF($A91&lt;'Pool &amp; SPA Pipe Extender'!$A$11,VLOOKUP($A91,'Pool &amp; SPA Pipe Extender'!$A$8:$M$10,11,FALSE),
IF($A91&lt;'PVC SCH80'!$A$250,VLOOKUP($A91,'PVC SCH80'!$A$8:$M$249,11,FALSE),
IF($A91&lt;'PVC SCH80 Flange'!$A$49,VLOOKUP($A91,'PVC SCH80 Flange'!$A$8:$M$48,11,FALSE),
IF($A91&lt;'PVC SCH80 LD Flange'!$A$17,VLOOKUP($A91,'PVC SCH80 LD Flange'!$A$8:$M$16,11,FALSE),
IF($A91&lt;CPVC!$A$100,VLOOKUP($A91,CPVC!$A$8:$M$99,11,FALSE),
IF($A91&lt;InsertFittings!$A$237,VLOOKUP($A91,InsertFittings!$A$11:$M$236,11,FALSE),
IF($A91&lt;Valves!$A$132,VLOOKUP($A91,Valves!$A$8:$M$131,11,FALSE),
IF($A91&lt;SDR35SW!$A$124,VLOOKUP($A91,SDR35SW!$A$8:$M$123,11,FALSE),
IF($A91&lt;SDR35G!$A$143,VLOOKUP($A91, SDR35G!$A$8:$M$142,11,FALSE),
IF($A91&lt;SDR26G!$A$61,VLOOKUP($A91,SDR26G!$A$8:$N$60,12,FALSE),
IF($A91&lt;Cements!$A$100,VLOOKUP($A91,Cements!$A$8:$Q$99,15,FALSE),
IF($A91&lt;ValveBox!$A$143,VLOOKUP($A91,ValveBox!$A$10:$O$142,13,FALSE),
IF($A91&lt;'ValveBox Components'!$A$165,VLOOKUP($A91,'ValveBox Components'!$A$10:$O$164,13,FALSE),
IF($A91&lt;Drainage!$A$92,VLOOKUP($A91,Drainage!$A$8:$M$91,11,FALSE),
IF($A91&lt;Nipples!$A$82,VLOOKUP($A91,Nipples!$A$9:$Q$81,15,FALSE),
IF($A91&lt;Manifold!$A$33,VLOOKUP($A91,Manifold!$A$9:$M$32,11,FALSE),
IF($A91&lt;FlexibleRepairCouplings!$A$13,VLOOKUP($A91,FlexibleRepairCouplings!$A$10:$M$12,11,FALSE),
IF($A91&lt;DuraFix!$A$15,VLOOKUP($A91,DuraFix!$A$9:$M$14,11,FALSE),
IF($A91&lt;'Compression Fittings'!$A$16,VLOOKUP($A91,'Compression Fittings'!$A$8:$M$15,11,FALSE),
IF($A91&lt;'Hose Fittings'!$A$30,VLOOKUP($A91,'Hose Fittings'!$A$8:$M$29,11,FALSE),
IF($A91&lt;'Swing Joints'!$A$496,VLOOKUP($A91,'Swing Joints'!$A$9:$M$495,11,FALSE),
IF($A91&lt;'Swing Joints Components'!$A$135,VLOOKUP($A91,'Swing Joints Components'!$A$9:$M$134,11,FALSE),
IF($A91&lt;Nonstandard!$A$42,VLOOKUP($A91,Nonstandard!$A$31:$J$41,3,FALSE),"")))))))))))))))))))))))))))),"")</f>
        <v/>
      </c>
      <c r="H91" s="586" t="str">
        <f>IFERROR(IF($A91&lt;'DWV PVC'!$A$285,VLOOKUP($A91,'DWV PVC'!$A$8:$M$284,7,FALSE),
IF($A91&lt;'DWV ABS'!$A$117,VLOOKUP($A91,'DWV ABS'!$A$8:$M$116,7,FALSE),
IF($A91&lt;'PVC SCH40'!$A$376,VLOOKUP($A91,'PVC SCH40'!$A$8:$M$375,7,FALSE),
IF($A91&lt;'PVC SCH40 LD'!$A$22,VLOOKUP($A91,'PVC SCH40 LD'!$A$8:$M$21,7,FALSE),
IF($A91&lt;'Pool &amp; SPA Sweep Elbows'!$A$12,VLOOKUP($A91,'Pool &amp; SPA Sweep Elbows'!$A$8:$M$11,7,FALSE),
IF($A91&lt;'Pool &amp; SPA Pipe Extender'!$A$11,VLOOKUP($A91,'Pool &amp; SPA Pipe Extender'!$A$8:$M$10,7,FALSE),
IF($A91&lt;'PVC SCH80'!$A$250,VLOOKUP($A91,'PVC SCH80'!$A$8:$M$249,7,FALSE),
IF($A91&lt;'PVC SCH80 Flange'!$A$49,VLOOKUP($A91,'PVC SCH80 Flange'!$A$8:$M$48,7,FALSE),
IF($A91&lt;'PVC SCH80 LD Flange'!$A$17,VLOOKUP($A91,'PVC SCH80 LD Flange'!$A$8:$M$16,7,FALSE),
IF($A91&lt;CPVC!$A$100,VLOOKUP($A91,CPVC!$A$8:$M$99,7,FALSE),
IF($A91&lt;InsertFittings!$A$237,VLOOKUP($A91,InsertFittings!$A$11:$M$236,7,FALSE),
IF($A91&lt;Valves!$A$132,VLOOKUP($A91,Valves!$A$8:$M$131,7,FALSE),
IF($A91&lt;SDR35SW!$A$124,VLOOKUP($A91,SDR35SW!$A$8:$M$123,7,FALSE),
IF($A91&lt;SDR35G!$A$143,VLOOKUP($A91, SDR35G!$A$8:$M$142,7,FALSE),
IF($A91&lt;SDR26G!$A$61,VLOOKUP($A91,SDR26G!$A$8:$N$60,10,FALSE),
IF($A91&lt;Cements!$A$100,VLOOKUP($A91,Cements!$A$8:$Q$99,13,FALSE),
IF($A91&lt;ValveBox!$A$143,VLOOKUP($A91,ValveBox!$A$10:$O$142,11,FALSE),
IF($A91&lt;'ValveBox Components'!$A$165,VLOOKUP($A91,'ValveBox Components'!$A$10:$O$164,11,FALSE),
IF($A91&lt;Drainage!$A$92,VLOOKUP($A91,Drainage!$A$8:$M$91,7,FALSE),
IF($A91&lt;Nipples!$A$82,VLOOKUP($A91,Nipples!$A$9:$Q$81,13,FALSE),
IF($A91&lt;Manifold!$A$33,VLOOKUP($A91,Manifold!$A$9:$M$32,7,FALSE),
IF($A91&lt;FlexibleRepairCouplings!$A$13,VLOOKUP($A91,FlexibleRepairCouplings!$A$10:$M$12,7,FALSE),
IF($A91&lt;DuraFix!$A$15,VLOOKUP($A91,DuraFix!$A$9:$M$14,7,FALSE),
IF($A91&lt;'Compression Fittings'!$A$16,VLOOKUP($A91,'Compression Fittings'!$A$8:$M$15,7,FALSE),
IF($A91&lt;'Hose Fittings'!$A$30,VLOOKUP($A91,'Hose Fittings'!$A$8:$M$29,7,FALSE),
IF($A91&lt;'Swing Joints'!$A$496,VLOOKUP($A91,'Swing Joints'!$A$9:$M$495,7,FALSE),
IF($A91&lt;'Swing Joints Components'!$A$135,VLOOKUP($A91,'Swing Joints Components'!$A$9:$M$134,7,FALSE),
IF($A91&lt;Nonstandard!$A$42,VLOOKUP($A91,Nonstandard!$A$31:$J$41,3,FALSE),"")))))))))))))))))))))))))))),"")</f>
        <v/>
      </c>
      <c r="I91" s="587"/>
      <c r="J91" s="383" t="str">
        <f t="shared" si="1"/>
        <v/>
      </c>
      <c r="K91" s="417" t="str">
        <f>IFERROR(IF($A91&lt;'DWV PVC'!$A$285,VLOOKUP($A91,'DWV PVC'!$A$8:$M$284,10,FALSE),
IF($A91&lt;'DWV ABS'!$A$117,VLOOKUP($A91,'DWV ABS'!$A$8:$M$116,10,FALSE),
IF($A91&lt;'PVC SCH40'!$A$376,VLOOKUP($A91,'PVC SCH40'!$A$8:$M$375,10,FALSE),
IF($A91&lt;'PVC SCH40 LD'!$A$22,VLOOKUP($A91,'PVC SCH40 LD'!$A$8:$M$21,10,FALSE),
IF($A91&lt;'Pool &amp; SPA Sweep Elbows'!$A$12,VLOOKUP($A91,'Pool &amp; SPA Sweep Elbows'!$A$8:$M$11,10,FALSE),
IF($A91&lt;'Pool &amp; SPA Pipe Extender'!$A$11,VLOOKUP($A91,'Pool &amp; SPA Pipe Extender'!$A$8:$M$10,10,FALSE),
IF($A91&lt;'PVC SCH80'!$A$250,VLOOKUP($A91,'PVC SCH80'!$A$8:$M$249,10,FALSE),
IF($A91&lt;'PVC SCH80 Flange'!$A$49,VLOOKUP($A91,'PVC SCH80 Flange'!$A$8:$M$48,10,FALSE),
IF($A91&lt;'PVC SCH80 LD Flange'!$A$17,VLOOKUP($A91,'PVC SCH80 LD Flange'!$A$8:$M$16,10,FALSE),
IF($A91&lt;CPVC!$A$100,VLOOKUP($A91,CPVC!$A$8:$M$99,10,FALSE),
IF($A91&lt;InsertFittings!$A$237,VLOOKUP($A91,InsertFittings!$A$11:$M$236,10,FALSE),
IF($A91&lt;Valves!$A$132,VLOOKUP($A91,Valves!$A$8:$M$131,10,FALSE),
IF($A91&lt;SDR35SW!$A$124,VLOOKUP($A91,SDR35SW!$A$8:$M$123,10,FALSE),
IF($A91&lt;SDR35G!$A$143,VLOOKUP($A91, SDR35G!$A$8:$M$142,10,FALSE),
IF($A91&lt;SDR26G!$A$61,VLOOKUP($A91,SDR26G!$A$8:$N$60,11,FALSE),
IF($A91&lt;Cements!$A$100,VLOOKUP($A91,Cements!$A$8:$Q$99,14,FALSE),
IF($A91&lt;ValveBox!$A$143,VLOOKUP($A91,ValveBox!$A$10:$O$142,12,FALSE),
IF($A91&lt;'ValveBox Components'!$A$165,VLOOKUP($A91,'ValveBox Components'!$A$10:$O$164,12,FALSE),
IF($A91&lt;Drainage!$A$92,VLOOKUP($A91,Drainage!$A$8:$M$91,10,FALSE),
IF($A91&lt;Nipples!$A$82,VLOOKUP($A91,Nipples!$A$9:$Q$81,14,FALSE),
IF($A91&lt;Manifold!$A$33,VLOOKUP($A91,Manifold!$A$9:$M$32,10,FALSE),
IF($A91&lt;FlexibleRepairCouplings!$A$13,VLOOKUP($A91,FlexibleRepairCouplings!$A$10:$M$12,10,FALSE),
IF($A91&lt;DuraFix!$A$15,VLOOKUP($A91,DuraFix!$A$9:$M$14,10,FALSE),
IF($A91&lt;'Compression Fittings'!$A$16,VLOOKUP($A91,'Compression Fittings'!$A$8:$M$15,10,FALSE),
IF($A91&lt;'Hose Fittings'!$A$30,VLOOKUP($A91,'Hose Fittings'!$A$8:$M$29,10,FALSE),
IF($A91&lt;'Swing Joints'!$A$496,VLOOKUP($A91,'Swing Joints'!$A$9:$M$495,10,FALSE),
IF($A91&lt;'Swing Joints Components'!$A$135,VLOOKUP($A91,'Swing Joints Components'!$A$9:$M$134,10,FALSE),
IF($A91&lt;Nonstandard!$A$42,VLOOKUP($A91,Nonstandard!$A$31:$J$41,10,FALSE),"")))))))))))))))))))))))))))),"")</f>
        <v/>
      </c>
      <c r="L91" s="418" t="str">
        <f t="shared" ref="L91:L154" si="2">IF(G91="","-",K91*G91)</f>
        <v>-</v>
      </c>
      <c r="M91" s="419"/>
    </row>
    <row r="92" spans="1:13" ht="15.75">
      <c r="A92" s="420">
        <v>60</v>
      </c>
      <c r="B92" s="420" t="str">
        <f>IFERROR(IF($A92&lt;'DWV PVC'!$A$285,VLOOKUP($A92,'DWV PVC'!$A$8:$M$284,4,FALSE),
IF($A92&lt;'DWV ABS'!$A$117,VLOOKUP($A92,'DWV ABS'!$A$8:$M$116,4,FALSE),
IF($A92&lt;'PVC SCH40'!$A$376,VLOOKUP($A92,'PVC SCH40'!$A$8:$M$375,4,FALSE),
IF($A92&lt;'PVC SCH40 LD'!$A$22,VLOOKUP($A92,'PVC SCH40 LD'!$A$8:$M$21,4,FALSE),
IF($A92&lt;'Pool &amp; SPA Sweep Elbows'!$A$12,VLOOKUP($A92,'Pool &amp; SPA Sweep Elbows'!$A$8:$M$11,4,FALSE),
IF($A92&lt;'Pool &amp; SPA Pipe Extender'!$A$11,VLOOKUP($A92,'Pool &amp; SPA Pipe Extender'!$A$8:$M$10,4,FALSE),
IF($A92&lt;'PVC SCH80'!$A$250,VLOOKUP($A92,'PVC SCH80'!$A$8:$M$249,4,FALSE),
IF($A92&lt;'PVC SCH80 Flange'!$A$49,VLOOKUP($A92,'PVC SCH80 Flange'!$A$8:$M$48,4,FALSE),
IF($A92&lt;'PVC SCH80 LD Flange'!$A$17,VLOOKUP($A92,'PVC SCH80 LD Flange'!$A$8:$M$16,4,FALSE),
IF($A92&lt;CPVC!$A$100,VLOOKUP($A92,CPVC!$A$8:$M$99,4,FALSE),
IF($A92&lt;InsertFittings!$A$237,VLOOKUP($A92,InsertFittings!$A$11:$M$236,4,FALSE),
IF($A92&lt;Valves!$A$132,VLOOKUP($A92,Valves!$A$8:$M$131,4,FALSE),
IF($A92&lt;SDR35SW!$A$124,VLOOKUP($A92,SDR35SW!$A$8:$M$123,4,FALSE),
IF($A92&lt;SDR35G!$A$143,VLOOKUP($A92, SDR35G!$A$8:$M$142,4,FALSE),
IF($A92&lt;SDR26G!$A$61,VLOOKUP($A92,SDR26G!$A$8:$N$60,4,FALSE),
IF($A92&lt;Cements!$A$100,VLOOKUP($A92,Cements!$A$8:$Q$99,4,FALSE),
IF($A92&lt;ValveBox!$A$143,VLOOKUP($A92,ValveBox!$A$10:$O$142,4,FALSE),
IF($A92&lt;'ValveBox Components'!$A$165,VLOOKUP($A92,'ValveBox Components'!$A$10:$O$164,4,FALSE),
IF($A92&lt;Drainage!$A$92,VLOOKUP($A92,Drainage!$A$8:$M$91,4,FALSE),
IF($A92&lt;Nipples!$A$82,VLOOKUP($A92,Nipples!$A$9:$Q$81,4,FALSE),
IF($A92&lt;Manifold!$A$33,VLOOKUP($A92,Manifold!$A$9:$M$32,4,FALSE),
IF($A92&lt;FlexibleRepairCouplings!$A$13,VLOOKUP($A92,FlexibleRepairCouplings!$A$10:$M$12,4,FALSE),
IF($A92&lt;DuraFix!$A$15,VLOOKUP($A92,DuraFix!$A$9:$M$14,4,FALSE),
IF($A92&lt;'Compression Fittings'!$A$16,VLOOKUP($A92,'Compression Fittings'!$A$8:$M$15,4,FALSE),
IF($A92&lt;'Hose Fittings'!$A$30,VLOOKUP($A92,'Hose Fittings'!$A$8:$M$29,4,FALSE),
IF($A92&lt;'Swing Joints'!$A$496,VLOOKUP($A92,'Swing Joints'!$A$9:$M$495,4,FALSE),
IF($A92&lt;'Swing Joints Components'!$A$135,VLOOKUP($A92,'Swing Joints Components'!$A$9:$M$134,4,FALSE),
IF($A92&lt;Nonstandard!$A$42,VLOOKUP($A92,Nonstandard!$A$31:$J$41,5,FALSE),"")))))))))))))))))))))))))))),"")</f>
        <v/>
      </c>
      <c r="C92" s="420" t="str">
        <f>IFERROR(IF($A92&lt;'DWV PVC'!$A$285,VLOOKUP($A92,'DWV PVC'!$A$8:$M$284,5,FALSE),
IF($A92&lt;'DWV ABS'!$A$117,VLOOKUP($A92,'DWV ABS'!$A$8:$M$116,5,FALSE),
IF($A92&lt;'PVC SCH40'!$A$376,VLOOKUP($A92,'PVC SCH40'!$A$8:$M$375,5,FALSE),
IF($A92&lt;'PVC SCH40 LD'!$A$22,VLOOKUP($A92,'PVC SCH40 LD'!$A$8:$M$21,5,FALSE),
IF($A92&lt;'Pool &amp; SPA Sweep Elbows'!$A$12,VLOOKUP($A92,'Pool &amp; SPA Sweep Elbows'!$A$8:$M$11,5,FALSE),
IF($A92&lt;'Pool &amp; SPA Pipe Extender'!$A$11,VLOOKUP($A92,'Pool &amp; SPA Pipe Extender'!$A$8:$M$10,5,FALSE),
IF($A92&lt;'PVC SCH80'!$A$250,VLOOKUP($A92,'PVC SCH80'!$A$8:$M$249,5,FALSE),
IF($A92&lt;'PVC SCH80 Flange'!$A$49,VLOOKUP($A92,'PVC SCH80 Flange'!$A$8:$M$48,5,FALSE),
IF($A92&lt;'PVC SCH80 LD Flange'!$A$17,VLOOKUP($A92,'PVC SCH80 LD Flange'!$A$8:$M$16,5,FALSE),
IF($A92&lt;CPVC!$A$100,VLOOKUP($A92,CPVC!$A$8:$M$99,5,FALSE),
IF($A92&lt;InsertFittings!$A$237,VLOOKUP($A92,InsertFittings!$A$11:$M$236,5,FALSE),
IF($A92&lt;Valves!$A$132,VLOOKUP($A92,Valves!$A$8:$M$131,5,FALSE),
IF($A92&lt;SDR35SW!$A$124,VLOOKUP($A92,SDR35SW!$A$8:$M$123,5,FALSE),
IF($A92&lt;SDR35G!$A$143,VLOOKUP($A92, SDR35G!$A$8:$M$142,5,FALSE),
IF($A92&lt;SDR26G!$A$61,VLOOKUP($A92,SDR26G!$A$8:$N$60,5,FALSE),
IF($A92&lt;Cements!$A$100,VLOOKUP($A92,Cements!$A$8:$Q$99,5,FALSE),
IF($A92&lt;ValveBox!$A$143,VLOOKUP($A92,ValveBox!$A$10:$O$142,5,FALSE),
IF($A92&lt;'ValveBox Components'!$A$165,VLOOKUP($A92,'ValveBox Components'!$A$10:$O$164,5,FALSE),
IF($A92&lt;Drainage!$A$92,VLOOKUP($A92,Drainage!$A$8:$M$91,5,FALSE),
IF($A92&lt;Nipples!$A$82,VLOOKUP($A92,Nipples!$A$9:$Q$81,5,FALSE),
IF($A92&lt;Manifold!$A$33,VLOOKUP($A92,Manifold!$A$9:$M$32,5,FALSE),
IF($A92&lt;FlexibleRepairCouplings!$A$13,VLOOKUP($A92,FlexibleRepairCouplings!$A$10:$M$12,5,FALSE),
IF($A92&lt;DuraFix!$A$15,VLOOKUP($A92,DuraFix!$A$9:$M$14,5,FALSE),
IF($A92&lt;'Compression Fittings'!$A$16,VLOOKUP($A92,'Compression Fittings'!$A$8:$M$15,5,FALSE),
IF($A92&lt;'Hose Fittings'!$A$30,VLOOKUP($A92,'Hose Fittings'!$A$8:$M$29,5,FALSE),
IF($A92&lt;'Swing Joints'!$A$496,VLOOKUP($A92,'Swing Joints'!$A$9:$M$495,5,FALSE),
IF($A92&lt;'Swing Joints Components'!$A$135,VLOOKUP($A92,'Swing Joints Components'!$A$9:$M$134,5,FALSE),
IF($A92&lt;Nonstandard!$A$42,VLOOKUP($A92,Nonstandard!$A$31:$J$41,6,FALSE),"")))))))))))))))))))))))))))),"")</f>
        <v/>
      </c>
      <c r="D92" s="428" t="str">
        <f>IFERROR(IF($A92&lt;'DWV PVC'!$A$285,VLOOKUP($A92,'DWV PVC'!$A$8:$M$284,6,FALSE),
IF($A92&lt;'DWV ABS'!$A$117,VLOOKUP($A92,'DWV ABS'!$A$8:$M$116,6,FALSE),
IF($A92&lt;'PVC SCH40'!$A$376,VLOOKUP($A92,'PVC SCH40'!$A$8:$M$375,6,FALSE),
IF($A92&lt;'PVC SCH40 LD'!$A$22,VLOOKUP($A92,'PVC SCH40 LD'!$A$8:$M$21,6,FALSE),
IF($A92&lt;'Pool &amp; SPA Sweep Elbows'!$A$12,VLOOKUP($A92,'Pool &amp; SPA Sweep Elbows'!$A$8:$M$11,6,FALSE),
IF($A92&lt;'Pool &amp; SPA Pipe Extender'!$A$11,VLOOKUP($A92,'Pool &amp; SPA Pipe Extender'!$A$8:$M$10,6,FALSE),
IF($A92&lt;'PVC SCH80'!$A$250,VLOOKUP($A92,'PVC SCH80'!$A$8:$M$249,6,FALSE),
IF($A92&lt;'PVC SCH80 Flange'!$A$49,VLOOKUP($A92,'PVC SCH80 Flange'!$A$8:$M$48,6,FALSE),
IF($A92&lt;'PVC SCH80 LD Flange'!$A$17,VLOOKUP($A92,'PVC SCH80 LD Flange'!$A$8:$M$16,6,FALSE),
IF($A92&lt;CPVC!$A$100,VLOOKUP($A92,CPVC!$A$8:$M$99,6,FALSE),
IF($A92&lt;InsertFittings!$A$237,VLOOKUP($A92,InsertFittings!$A$11:$M$236,6,FALSE),
IF($A92&lt;Valves!$A$132,VLOOKUP($A92,Valves!$A$8:$M$131,6,FALSE),
IF($A92&lt;SDR35SW!$A$124,VLOOKUP($A92,SDR35SW!$A$8:$M$123,6,FALSE),
IF($A92&lt;SDR35G!$A$143,VLOOKUP($A92, SDR35G!$A$8:$M$142,6,FALSE),
IF($A92&lt;SDR26G!$A$61,VLOOKUP($A92,SDR26G!$A$8:$N$60,6,FALSE),
IF($A92&lt;Cements!$A$100,VLOOKUP($A92,Cements!$A$8:$Q$99,6,FALSE),
IF($A92&lt;ValveBox!$A$143,VLOOKUP($A92,ValveBox!$A$10:$O$142,6,FALSE),
IF($A92&lt;'ValveBox Components'!$A$165,VLOOKUP($A92,'ValveBox Components'!$A$10:$O$164,6,FALSE),
IF($A92&lt;Drainage!$A$92,VLOOKUP($A92,Drainage!$A$8:$M$91,6,FALSE),
IF($A92&lt;Nipples!$A$82,VLOOKUP($A92,Nipples!$A$9:$Q$81,6,FALSE),
IF($A92&lt;Manifold!$A$33,VLOOKUP($A92,Manifold!$A$9:$M$32,6,FALSE),
IF($A92&lt;FlexibleRepairCouplings!$A$13,VLOOKUP($A92,FlexibleRepairCouplings!$A$10:$M$12,6,FALSE),
IF($A92&lt;DuraFix!$A$15,VLOOKUP($A92,DuraFix!$A$9:$M$14,6,FALSE),
IF($A92&lt;'Compression Fittings'!$A$16,VLOOKUP($A92,'Compression Fittings'!$A$8:$M$15,6,FALSE),
IF($A92&lt;'Hose Fittings'!$A$30,VLOOKUP($A92,'Hose Fittings'!$A$8:$M$29,6,FALSE),
IF($A92&lt;'Swing Joints'!$A$496,VLOOKUP($A92,'Swing Joints'!$A$9:$M$495,6,FALSE),
IF($A92&lt;'Swing Joints Components'!$A$135,VLOOKUP($A92,'Swing Joints Components'!$A$9:$M$134,6,FALSE),
IF($A92&lt;Nonstandard!$A$42,VLOOKUP($A92,Nonstandard!$A$31:$J$41,7,FALSE),"")))))))))))))))))))))))))))),"")</f>
        <v/>
      </c>
      <c r="E92" s="429"/>
      <c r="F92" s="421" t="str">
        <f>IFERROR(IF($A92&lt;'DWV PVC'!$A$285,VLOOKUP($A92,'DWV PVC'!$A$8:$M$284,9,FALSE),
IF($A92&lt;'DWV ABS'!$A$117,VLOOKUP($A92,'DWV ABS'!$A$8:$M$116,9,FALSE),
IF($A92&lt;'PVC SCH40'!$A$376,VLOOKUP($A92,'PVC SCH40'!$A$8:$M$375,9,FALSE),
IF($A92&lt;'PVC SCH40 LD'!$A$22,VLOOKUP($A92,'PVC SCH40 LD'!$A$8:$M$21,9,FALSE),
IF($A92&lt;'Pool &amp; SPA Sweep Elbows'!$A$12,VLOOKUP($A92,'Pool &amp; SPA Sweep Elbows'!$A$8:$M$11,9,FALSE),
IF($A92&lt;'Pool &amp; SPA Pipe Extender'!$A$11,VLOOKUP($A92,'Pool &amp; SPA Pipe Extender'!$A$8:$M$10,9,FALSE),
IF($A92&lt;'PVC SCH80'!$A$250,VLOOKUP($A92,'PVC SCH80'!$A$8:$M$249,9,FALSE),
IF($A92&lt;'PVC SCH80 Flange'!$A$49,VLOOKUP($A92,'PVC SCH80 Flange'!$A$8:$M$48,9,FALSE),
IF($A92&lt;'PVC SCH80 LD Flange'!$A$17,VLOOKUP($A92,'PVC SCH80 LD Flange'!$A$8:$M$16,9,FALSE),
IF($A92&lt;CPVC!$A$100,VLOOKUP($A92,CPVC!$A$8:$M$99,9,FALSE),
IF($A92&lt;InsertFittings!$A$237,VLOOKUP($A92,InsertFittings!$A$11:$M$236,9,FALSE),
IF($A92&lt;Valves!$A$132,VLOOKUP($A92,Valves!$A$8:$M$131,9,FALSE),
IF($A92&lt;SDR35SW!$A$124,VLOOKUP($A92,SDR35SW!$A$8:$M$123,9,FALSE),
IF($A92&lt;SDR35G!$A$143,VLOOKUP($A92, SDR35G!$A$8:$M$142,9,FALSE),
IF($A92&lt;SDR26G!$A$61,VLOOKUP($A92,SDR26G!$A$8:$N$60,10,FALSE),
IF($A92&lt;Cements!$A$100,VLOOKUP($A92,Cements!$A$8:$Q$99,13,FALSE),
IF($A92&lt;ValveBox!$A$143,VLOOKUP($A92,ValveBox!$A$10:$O$142,11,FALSE),
IF($A92&lt;'ValveBox Components'!$A$165,VLOOKUP($A92,'ValveBox Components'!$A$10:$O$164,11,FALSE),
IF($A92&lt;Drainage!$A$92,VLOOKUP($A92,Drainage!$A$8:$M$91,9,FALSE),
IF($A92&lt;Nipples!$A$82,VLOOKUP($A92,Nipples!$A$9:$Q$81,13,FALSE),
IF($A92&lt;Manifold!$A$33,VLOOKUP($A92,Manifold!$A$9:$M$32,9,FALSE),
IF($A92&lt;FlexibleRepairCouplings!$A$13,VLOOKUP($A92,FlexibleRepairCouplings!$A$10:$M$12,9,FALSE),
IF($A92&lt;DuraFix!$A$15,VLOOKUP($A92,DuraFix!$A$9:$M$14,9,FALSE),
IF($A92&lt;'Compression Fittings'!$A$16,VLOOKUP($A92,'Compression Fittings'!$A$8:$M$15,9,FALSE),
IF($A92&lt;'Hose Fittings'!$A$30,VLOOKUP($A92,'Hose Fittings'!$A$8:$M$29,9,FALSE),
IF($A92&lt;'Swing Joints'!$A$496,VLOOKUP($A92,'Swing Joints'!$A$9:$M$495,9,FALSE),
IF($A92&lt;'Swing Joints Components'!$A$135,VLOOKUP($A92,'Swing Joints Components'!$A$9:$M$134,9,FALSE),
IF($A92&lt;Nonstandard!$A$42,VLOOKUP($A92,Nonstandard!$A$31:$J$41,8,FALSE),"")))))))))))))))))))))))))))),"")</f>
        <v/>
      </c>
      <c r="G92" s="422" t="str">
        <f>IFERROR(IF($A92&lt;'DWV PVC'!$A$285,VLOOKUP($A92,'DWV PVC'!$A$8:$M$284,11,FALSE),
IF($A92&lt;'DWV ABS'!$A$117,VLOOKUP($A92,'DWV ABS'!$A$8:$M$116,11,FALSE),
IF($A92&lt;'PVC SCH40'!$A$376,VLOOKUP($A92,'PVC SCH40'!$A$8:$M$375,11,FALSE),
IF($A92&lt;'PVC SCH40 LD'!$A$22,VLOOKUP($A92,'PVC SCH40 LD'!$A$8:$M$21,11,FALSE),
IF($A92&lt;'Pool &amp; SPA Sweep Elbows'!$A$12,VLOOKUP($A92,'Pool &amp; SPA Sweep Elbows'!$A$8:$M$11,11,FALSE),
IF($A92&lt;'Pool &amp; SPA Pipe Extender'!$A$11,VLOOKUP($A92,'Pool &amp; SPA Pipe Extender'!$A$8:$M$10,11,FALSE),
IF($A92&lt;'PVC SCH80'!$A$250,VLOOKUP($A92,'PVC SCH80'!$A$8:$M$249,11,FALSE),
IF($A92&lt;'PVC SCH80 Flange'!$A$49,VLOOKUP($A92,'PVC SCH80 Flange'!$A$8:$M$48,11,FALSE),
IF($A92&lt;'PVC SCH80 LD Flange'!$A$17,VLOOKUP($A92,'PVC SCH80 LD Flange'!$A$8:$M$16,11,FALSE),
IF($A92&lt;CPVC!$A$100,VLOOKUP($A92,CPVC!$A$8:$M$99,11,FALSE),
IF($A92&lt;InsertFittings!$A$237,VLOOKUP($A92,InsertFittings!$A$11:$M$236,11,FALSE),
IF($A92&lt;Valves!$A$132,VLOOKUP($A92,Valves!$A$8:$M$131,11,FALSE),
IF($A92&lt;SDR35SW!$A$124,VLOOKUP($A92,SDR35SW!$A$8:$M$123,11,FALSE),
IF($A92&lt;SDR35G!$A$143,VLOOKUP($A92, SDR35G!$A$8:$M$142,11,FALSE),
IF($A92&lt;SDR26G!$A$61,VLOOKUP($A92,SDR26G!$A$8:$N$60,12,FALSE),
IF($A92&lt;Cements!$A$100,VLOOKUP($A92,Cements!$A$8:$Q$99,15,FALSE),
IF($A92&lt;ValveBox!$A$143,VLOOKUP($A92,ValveBox!$A$10:$O$142,13,FALSE),
IF($A92&lt;'ValveBox Components'!$A$165,VLOOKUP($A92,'ValveBox Components'!$A$10:$O$164,13,FALSE),
IF($A92&lt;Drainage!$A$92,VLOOKUP($A92,Drainage!$A$8:$M$91,11,FALSE),
IF($A92&lt;Nipples!$A$82,VLOOKUP($A92,Nipples!$A$9:$Q$81,15,FALSE),
IF($A92&lt;Manifold!$A$33,VLOOKUP($A92,Manifold!$A$9:$M$32,11,FALSE),
IF($A92&lt;FlexibleRepairCouplings!$A$13,VLOOKUP($A92,FlexibleRepairCouplings!$A$10:$M$12,11,FALSE),
IF($A92&lt;DuraFix!$A$15,VLOOKUP($A92,DuraFix!$A$9:$M$14,11,FALSE),
IF($A92&lt;'Compression Fittings'!$A$16,VLOOKUP($A92,'Compression Fittings'!$A$8:$M$15,11,FALSE),
IF($A92&lt;'Hose Fittings'!$A$30,VLOOKUP($A92,'Hose Fittings'!$A$8:$M$29,11,FALSE),
IF($A92&lt;'Swing Joints'!$A$496,VLOOKUP($A92,'Swing Joints'!$A$9:$M$495,11,FALSE),
IF($A92&lt;'Swing Joints Components'!$A$135,VLOOKUP($A92,'Swing Joints Components'!$A$9:$M$134,11,FALSE),
IF($A92&lt;Nonstandard!$A$42,VLOOKUP($A92,Nonstandard!$A$31:$J$41,3,FALSE),"")))))))))))))))))))))))))))),"")</f>
        <v/>
      </c>
      <c r="H92" s="588" t="str">
        <f>IFERROR(IF($A92&lt;'DWV PVC'!$A$285,VLOOKUP($A92,'DWV PVC'!$A$8:$M$284,7,FALSE),
IF($A92&lt;'DWV ABS'!$A$117,VLOOKUP($A92,'DWV ABS'!$A$8:$M$116,7,FALSE),
IF($A92&lt;'PVC SCH40'!$A$376,VLOOKUP($A92,'PVC SCH40'!$A$8:$M$375,7,FALSE),
IF($A92&lt;'PVC SCH40 LD'!$A$22,VLOOKUP($A92,'PVC SCH40 LD'!$A$8:$M$21,7,FALSE),
IF($A92&lt;'Pool &amp; SPA Sweep Elbows'!$A$12,VLOOKUP($A92,'Pool &amp; SPA Sweep Elbows'!$A$8:$M$11,7,FALSE),
IF($A92&lt;'Pool &amp; SPA Pipe Extender'!$A$11,VLOOKUP($A92,'Pool &amp; SPA Pipe Extender'!$A$8:$M$10,7,FALSE),
IF($A92&lt;'PVC SCH80'!$A$250,VLOOKUP($A92,'PVC SCH80'!$A$8:$M$249,7,FALSE),
IF($A92&lt;'PVC SCH80 Flange'!$A$49,VLOOKUP($A92,'PVC SCH80 Flange'!$A$8:$M$48,7,FALSE),
IF($A92&lt;'PVC SCH80 LD Flange'!$A$17,VLOOKUP($A92,'PVC SCH80 LD Flange'!$A$8:$M$16,7,FALSE),
IF($A92&lt;CPVC!$A$100,VLOOKUP($A92,CPVC!$A$8:$M$99,7,FALSE),
IF($A92&lt;InsertFittings!$A$237,VLOOKUP($A92,InsertFittings!$A$11:$M$236,7,FALSE),
IF($A92&lt;Valves!$A$132,VLOOKUP($A92,Valves!$A$8:$M$131,7,FALSE),
IF($A92&lt;SDR35SW!$A$124,VLOOKUP($A92,SDR35SW!$A$8:$M$123,7,FALSE),
IF($A92&lt;SDR35G!$A$143,VLOOKUP($A92, SDR35G!$A$8:$M$142,7,FALSE),
IF($A92&lt;SDR26G!$A$61,VLOOKUP($A92,SDR26G!$A$8:$N$60,10,FALSE),
IF($A92&lt;Cements!$A$100,VLOOKUP($A92,Cements!$A$8:$Q$99,13,FALSE),
IF($A92&lt;ValveBox!$A$143,VLOOKUP($A92,ValveBox!$A$10:$O$142,11,FALSE),
IF($A92&lt;'ValveBox Components'!$A$165,VLOOKUP($A92,'ValveBox Components'!$A$10:$O$164,11,FALSE),
IF($A92&lt;Drainage!$A$92,VLOOKUP($A92,Drainage!$A$8:$M$91,7,FALSE),
IF($A92&lt;Nipples!$A$82,VLOOKUP($A92,Nipples!$A$9:$Q$81,13,FALSE),
IF($A92&lt;Manifold!$A$33,VLOOKUP($A92,Manifold!$A$9:$M$32,7,FALSE),
IF($A92&lt;FlexibleRepairCouplings!$A$13,VLOOKUP($A92,FlexibleRepairCouplings!$A$10:$M$12,7,FALSE),
IF($A92&lt;DuraFix!$A$15,VLOOKUP($A92,DuraFix!$A$9:$M$14,7,FALSE),
IF($A92&lt;'Compression Fittings'!$A$16,VLOOKUP($A92,'Compression Fittings'!$A$8:$M$15,7,FALSE),
IF($A92&lt;'Hose Fittings'!$A$30,VLOOKUP($A92,'Hose Fittings'!$A$8:$M$29,7,FALSE),
IF($A92&lt;'Swing Joints'!$A$496,VLOOKUP($A92,'Swing Joints'!$A$9:$M$495,7,FALSE),
IF($A92&lt;'Swing Joints Components'!$A$135,VLOOKUP($A92,'Swing Joints Components'!$A$9:$M$134,7,FALSE),
IF($A92&lt;Nonstandard!$A$42,VLOOKUP($A92,Nonstandard!$A$31:$J$41,3,FALSE),"")))))))))))))))))))))))))))),"")</f>
        <v/>
      </c>
      <c r="I92" s="589"/>
      <c r="J92" s="423" t="str">
        <f t="shared" si="1"/>
        <v/>
      </c>
      <c r="K92" s="424" t="str">
        <f>IFERROR(IF($A92&lt;'DWV PVC'!$A$285,VLOOKUP($A92,'DWV PVC'!$A$8:$M$284,10,FALSE),
IF($A92&lt;'DWV ABS'!$A$117,VLOOKUP($A92,'DWV ABS'!$A$8:$M$116,10,FALSE),
IF($A92&lt;'PVC SCH40'!$A$376,VLOOKUP($A92,'PVC SCH40'!$A$8:$M$375,10,FALSE),
IF($A92&lt;'PVC SCH40 LD'!$A$22,VLOOKUP($A92,'PVC SCH40 LD'!$A$8:$M$21,10,FALSE),
IF($A92&lt;'Pool &amp; SPA Sweep Elbows'!$A$12,VLOOKUP($A92,'Pool &amp; SPA Sweep Elbows'!$A$8:$M$11,10,FALSE),
IF($A92&lt;'Pool &amp; SPA Pipe Extender'!$A$11,VLOOKUP($A92,'Pool &amp; SPA Pipe Extender'!$A$8:$M$10,10,FALSE),
IF($A92&lt;'PVC SCH80'!$A$250,VLOOKUP($A92,'PVC SCH80'!$A$8:$M$249,10,FALSE),
IF($A92&lt;'PVC SCH80 Flange'!$A$49,VLOOKUP($A92,'PVC SCH80 Flange'!$A$8:$M$48,10,FALSE),
IF($A92&lt;'PVC SCH80 LD Flange'!$A$17,VLOOKUP($A92,'PVC SCH80 LD Flange'!$A$8:$M$16,10,FALSE),
IF($A92&lt;CPVC!$A$100,VLOOKUP($A92,CPVC!$A$8:$M$99,10,FALSE),
IF($A92&lt;InsertFittings!$A$237,VLOOKUP($A92,InsertFittings!$A$11:$M$236,10,FALSE),
IF($A92&lt;Valves!$A$132,VLOOKUP($A92,Valves!$A$8:$M$131,10,FALSE),
IF($A92&lt;SDR35SW!$A$124,VLOOKUP($A92,SDR35SW!$A$8:$M$123,10,FALSE),
IF($A92&lt;SDR35G!$A$143,VLOOKUP($A92, SDR35G!$A$8:$M$142,10,FALSE),
IF($A92&lt;SDR26G!$A$61,VLOOKUP($A92,SDR26G!$A$8:$N$60,11,FALSE),
IF($A92&lt;Cements!$A$100,VLOOKUP($A92,Cements!$A$8:$Q$99,14,FALSE),
IF($A92&lt;ValveBox!$A$143,VLOOKUP($A92,ValveBox!$A$10:$O$142,12,FALSE),
IF($A92&lt;'ValveBox Components'!$A$165,VLOOKUP($A92,'ValveBox Components'!$A$10:$O$164,12,FALSE),
IF($A92&lt;Drainage!$A$92,VLOOKUP($A92,Drainage!$A$8:$M$91,10,FALSE),
IF($A92&lt;Nipples!$A$82,VLOOKUP($A92,Nipples!$A$9:$Q$81,14,FALSE),
IF($A92&lt;Manifold!$A$33,VLOOKUP($A92,Manifold!$A$9:$M$32,10,FALSE),
IF($A92&lt;FlexibleRepairCouplings!$A$13,VLOOKUP($A92,FlexibleRepairCouplings!$A$10:$M$12,10,FALSE),
IF($A92&lt;DuraFix!$A$15,VLOOKUP($A92,DuraFix!$A$9:$M$14,10,FALSE),
IF($A92&lt;'Compression Fittings'!$A$16,VLOOKUP($A92,'Compression Fittings'!$A$8:$M$15,10,FALSE),
IF($A92&lt;'Hose Fittings'!$A$30,VLOOKUP($A92,'Hose Fittings'!$A$8:$M$29,10,FALSE),
IF($A92&lt;'Swing Joints'!$A$496,VLOOKUP($A92,'Swing Joints'!$A$9:$M$495,10,FALSE),
IF($A92&lt;'Swing Joints Components'!$A$135,VLOOKUP($A92,'Swing Joints Components'!$A$9:$M$134,10,FALSE),
IF($A92&lt;Nonstandard!$A$42,VLOOKUP($A92,Nonstandard!$A$31:$J$41,10,FALSE),"")))))))))))))))))))))))))))),"")</f>
        <v/>
      </c>
      <c r="L92" s="421" t="str">
        <f t="shared" si="2"/>
        <v>-</v>
      </c>
      <c r="M92" s="425"/>
    </row>
    <row r="93" spans="1:13" ht="15.75">
      <c r="A93" s="415">
        <v>61</v>
      </c>
      <c r="B93" s="415" t="str">
        <f>IFERROR(IF($A93&lt;'DWV PVC'!$A$285,VLOOKUP($A93,'DWV PVC'!$A$8:$M$284,4,FALSE),
IF($A93&lt;'DWV ABS'!$A$117,VLOOKUP($A93,'DWV ABS'!$A$8:$M$116,4,FALSE),
IF($A93&lt;'PVC SCH40'!$A$376,VLOOKUP($A93,'PVC SCH40'!$A$8:$M$375,4,FALSE),
IF($A93&lt;'PVC SCH40 LD'!$A$22,VLOOKUP($A93,'PVC SCH40 LD'!$A$8:$M$21,4,FALSE),
IF($A93&lt;'Pool &amp; SPA Sweep Elbows'!$A$12,VLOOKUP($A93,'Pool &amp; SPA Sweep Elbows'!$A$8:$M$11,4,FALSE),
IF($A93&lt;'Pool &amp; SPA Pipe Extender'!$A$11,VLOOKUP($A93,'Pool &amp; SPA Pipe Extender'!$A$8:$M$10,4,FALSE),
IF($A93&lt;'PVC SCH80'!$A$250,VLOOKUP($A93,'PVC SCH80'!$A$8:$M$249,4,FALSE),
IF($A93&lt;'PVC SCH80 Flange'!$A$49,VLOOKUP($A93,'PVC SCH80 Flange'!$A$8:$M$48,4,FALSE),
IF($A93&lt;'PVC SCH80 LD Flange'!$A$17,VLOOKUP($A93,'PVC SCH80 LD Flange'!$A$8:$M$16,4,FALSE),
IF($A93&lt;CPVC!$A$100,VLOOKUP($A93,CPVC!$A$8:$M$99,4,FALSE),
IF($A93&lt;InsertFittings!$A$237,VLOOKUP($A93,InsertFittings!$A$11:$M$236,4,FALSE),
IF($A93&lt;Valves!$A$132,VLOOKUP($A93,Valves!$A$8:$M$131,4,FALSE),
IF($A93&lt;SDR35SW!$A$124,VLOOKUP($A93,SDR35SW!$A$8:$M$123,4,FALSE),
IF($A93&lt;SDR35G!$A$143,VLOOKUP($A93, SDR35G!$A$8:$M$142,4,FALSE),
IF($A93&lt;SDR26G!$A$61,VLOOKUP($A93,SDR26G!$A$8:$N$60,4,FALSE),
IF($A93&lt;Cements!$A$100,VLOOKUP($A93,Cements!$A$8:$Q$99,4,FALSE),
IF($A93&lt;ValveBox!$A$143,VLOOKUP($A93,ValveBox!$A$10:$O$142,4,FALSE),
IF($A93&lt;'ValveBox Components'!$A$165,VLOOKUP($A93,'ValveBox Components'!$A$10:$O$164,4,FALSE),
IF($A93&lt;Drainage!$A$92,VLOOKUP($A93,Drainage!$A$8:$M$91,4,FALSE),
IF($A93&lt;Nipples!$A$82,VLOOKUP($A93,Nipples!$A$9:$Q$81,4,FALSE),
IF($A93&lt;Manifold!$A$33,VLOOKUP($A93,Manifold!$A$9:$M$32,4,FALSE),
IF($A93&lt;FlexibleRepairCouplings!$A$13,VLOOKUP($A93,FlexibleRepairCouplings!$A$10:$M$12,4,FALSE),
IF($A93&lt;DuraFix!$A$15,VLOOKUP($A93,DuraFix!$A$9:$M$14,4,FALSE),
IF($A93&lt;'Compression Fittings'!$A$16,VLOOKUP($A93,'Compression Fittings'!$A$8:$M$15,4,FALSE),
IF($A93&lt;'Hose Fittings'!$A$30,VLOOKUP($A93,'Hose Fittings'!$A$8:$M$29,4,FALSE),
IF($A93&lt;'Swing Joints'!$A$496,VLOOKUP($A93,'Swing Joints'!$A$9:$M$495,4,FALSE),
IF($A93&lt;'Swing Joints Components'!$A$135,VLOOKUP($A93,'Swing Joints Components'!$A$9:$M$134,4,FALSE),
IF($A93&lt;Nonstandard!$A$42,VLOOKUP($A93,Nonstandard!$A$31:$J$41,5,FALSE),"")))))))))))))))))))))))))))),"")</f>
        <v/>
      </c>
      <c r="C93" s="415" t="str">
        <f>IFERROR(IF($A93&lt;'DWV PVC'!$A$285,VLOOKUP($A93,'DWV PVC'!$A$8:$M$284,5,FALSE),
IF($A93&lt;'DWV ABS'!$A$117,VLOOKUP($A93,'DWV ABS'!$A$8:$M$116,5,FALSE),
IF($A93&lt;'PVC SCH40'!$A$376,VLOOKUP($A93,'PVC SCH40'!$A$8:$M$375,5,FALSE),
IF($A93&lt;'PVC SCH40 LD'!$A$22,VLOOKUP($A93,'PVC SCH40 LD'!$A$8:$M$21,5,FALSE),
IF($A93&lt;'Pool &amp; SPA Sweep Elbows'!$A$12,VLOOKUP($A93,'Pool &amp; SPA Sweep Elbows'!$A$8:$M$11,5,FALSE),
IF($A93&lt;'Pool &amp; SPA Pipe Extender'!$A$11,VLOOKUP($A93,'Pool &amp; SPA Pipe Extender'!$A$8:$M$10,5,FALSE),
IF($A93&lt;'PVC SCH80'!$A$250,VLOOKUP($A93,'PVC SCH80'!$A$8:$M$249,5,FALSE),
IF($A93&lt;'PVC SCH80 Flange'!$A$49,VLOOKUP($A93,'PVC SCH80 Flange'!$A$8:$M$48,5,FALSE),
IF($A93&lt;'PVC SCH80 LD Flange'!$A$17,VLOOKUP($A93,'PVC SCH80 LD Flange'!$A$8:$M$16,5,FALSE),
IF($A93&lt;CPVC!$A$100,VLOOKUP($A93,CPVC!$A$8:$M$99,5,FALSE),
IF($A93&lt;InsertFittings!$A$237,VLOOKUP($A93,InsertFittings!$A$11:$M$236,5,FALSE),
IF($A93&lt;Valves!$A$132,VLOOKUP($A93,Valves!$A$8:$M$131,5,FALSE),
IF($A93&lt;SDR35SW!$A$124,VLOOKUP($A93,SDR35SW!$A$8:$M$123,5,FALSE),
IF($A93&lt;SDR35G!$A$143,VLOOKUP($A93, SDR35G!$A$8:$M$142,5,FALSE),
IF($A93&lt;SDR26G!$A$61,VLOOKUP($A93,SDR26G!$A$8:$N$60,5,FALSE),
IF($A93&lt;Cements!$A$100,VLOOKUP($A93,Cements!$A$8:$Q$99,5,FALSE),
IF($A93&lt;ValveBox!$A$143,VLOOKUP($A93,ValveBox!$A$10:$O$142,5,FALSE),
IF($A93&lt;'ValveBox Components'!$A$165,VLOOKUP($A93,'ValveBox Components'!$A$10:$O$164,5,FALSE),
IF($A93&lt;Drainage!$A$92,VLOOKUP($A93,Drainage!$A$8:$M$91,5,FALSE),
IF($A93&lt;Nipples!$A$82,VLOOKUP($A93,Nipples!$A$9:$Q$81,5,FALSE),
IF($A93&lt;Manifold!$A$33,VLOOKUP($A93,Manifold!$A$9:$M$32,5,FALSE),
IF($A93&lt;FlexibleRepairCouplings!$A$13,VLOOKUP($A93,FlexibleRepairCouplings!$A$10:$M$12,5,FALSE),
IF($A93&lt;DuraFix!$A$15,VLOOKUP($A93,DuraFix!$A$9:$M$14,5,FALSE),
IF($A93&lt;'Compression Fittings'!$A$16,VLOOKUP($A93,'Compression Fittings'!$A$8:$M$15,5,FALSE),
IF($A93&lt;'Hose Fittings'!$A$30,VLOOKUP($A93,'Hose Fittings'!$A$8:$M$29,5,FALSE),
IF($A93&lt;'Swing Joints'!$A$496,VLOOKUP($A93,'Swing Joints'!$A$9:$M$495,5,FALSE),
IF($A93&lt;'Swing Joints Components'!$A$135,VLOOKUP($A93,'Swing Joints Components'!$A$9:$M$134,5,FALSE),
IF($A93&lt;Nonstandard!$A$42,VLOOKUP($A93,Nonstandard!$A$31:$J$41,6,FALSE),"")))))))))))))))))))))))))))),"")</f>
        <v/>
      </c>
      <c r="D93" s="426" t="str">
        <f>IFERROR(IF($A93&lt;'DWV PVC'!$A$285,VLOOKUP($A93,'DWV PVC'!$A$8:$M$284,6,FALSE),
IF($A93&lt;'DWV ABS'!$A$117,VLOOKUP($A93,'DWV ABS'!$A$8:$M$116,6,FALSE),
IF($A93&lt;'PVC SCH40'!$A$376,VLOOKUP($A93,'PVC SCH40'!$A$8:$M$375,6,FALSE),
IF($A93&lt;'PVC SCH40 LD'!$A$22,VLOOKUP($A93,'PVC SCH40 LD'!$A$8:$M$21,6,FALSE),
IF($A93&lt;'Pool &amp; SPA Sweep Elbows'!$A$12,VLOOKUP($A93,'Pool &amp; SPA Sweep Elbows'!$A$8:$M$11,6,FALSE),
IF($A93&lt;'Pool &amp; SPA Pipe Extender'!$A$11,VLOOKUP($A93,'Pool &amp; SPA Pipe Extender'!$A$8:$M$10,6,FALSE),
IF($A93&lt;'PVC SCH80'!$A$250,VLOOKUP($A93,'PVC SCH80'!$A$8:$M$249,6,FALSE),
IF($A93&lt;'PVC SCH80 Flange'!$A$49,VLOOKUP($A93,'PVC SCH80 Flange'!$A$8:$M$48,6,FALSE),
IF($A93&lt;'PVC SCH80 LD Flange'!$A$17,VLOOKUP($A93,'PVC SCH80 LD Flange'!$A$8:$M$16,6,FALSE),
IF($A93&lt;CPVC!$A$100,VLOOKUP($A93,CPVC!$A$8:$M$99,6,FALSE),
IF($A93&lt;InsertFittings!$A$237,VLOOKUP($A93,InsertFittings!$A$11:$M$236,6,FALSE),
IF($A93&lt;Valves!$A$132,VLOOKUP($A93,Valves!$A$8:$M$131,6,FALSE),
IF($A93&lt;SDR35SW!$A$124,VLOOKUP($A93,SDR35SW!$A$8:$M$123,6,FALSE),
IF($A93&lt;SDR35G!$A$143,VLOOKUP($A93, SDR35G!$A$8:$M$142,6,FALSE),
IF($A93&lt;SDR26G!$A$61,VLOOKUP($A93,SDR26G!$A$8:$N$60,6,FALSE),
IF($A93&lt;Cements!$A$100,VLOOKUP($A93,Cements!$A$8:$Q$99,6,FALSE),
IF($A93&lt;ValveBox!$A$143,VLOOKUP($A93,ValveBox!$A$10:$O$142,6,FALSE),
IF($A93&lt;'ValveBox Components'!$A$165,VLOOKUP($A93,'ValveBox Components'!$A$10:$O$164,6,FALSE),
IF($A93&lt;Drainage!$A$92,VLOOKUP($A93,Drainage!$A$8:$M$91,6,FALSE),
IF($A93&lt;Nipples!$A$82,VLOOKUP($A93,Nipples!$A$9:$Q$81,6,FALSE),
IF($A93&lt;Manifold!$A$33,VLOOKUP($A93,Manifold!$A$9:$M$32,6,FALSE),
IF($A93&lt;FlexibleRepairCouplings!$A$13,VLOOKUP($A93,FlexibleRepairCouplings!$A$10:$M$12,6,FALSE),
IF($A93&lt;DuraFix!$A$15,VLOOKUP($A93,DuraFix!$A$9:$M$14,6,FALSE),
IF($A93&lt;'Compression Fittings'!$A$16,VLOOKUP($A93,'Compression Fittings'!$A$8:$M$15,6,FALSE),
IF($A93&lt;'Hose Fittings'!$A$30,VLOOKUP($A93,'Hose Fittings'!$A$8:$M$29,6,FALSE),
IF($A93&lt;'Swing Joints'!$A$496,VLOOKUP($A93,'Swing Joints'!$A$9:$M$495,6,FALSE),
IF($A93&lt;'Swing Joints Components'!$A$135,VLOOKUP($A93,'Swing Joints Components'!$A$9:$M$134,6,FALSE),
IF($A93&lt;Nonstandard!$A$42,VLOOKUP($A93,Nonstandard!$A$31:$J$41,7,FALSE),"")))))))))))))))))))))))))))),"")</f>
        <v/>
      </c>
      <c r="E93" s="427"/>
      <c r="F93" s="418" t="str">
        <f>IFERROR(IF($A93&lt;'DWV PVC'!$A$285,VLOOKUP($A93,'DWV PVC'!$A$8:$M$284,9,FALSE),
IF($A93&lt;'DWV ABS'!$A$117,VLOOKUP($A93,'DWV ABS'!$A$8:$M$116,9,FALSE),
IF($A93&lt;'PVC SCH40'!$A$376,VLOOKUP($A93,'PVC SCH40'!$A$8:$M$375,9,FALSE),
IF($A93&lt;'PVC SCH40 LD'!$A$22,VLOOKUP($A93,'PVC SCH40 LD'!$A$8:$M$21,9,FALSE),
IF($A93&lt;'Pool &amp; SPA Sweep Elbows'!$A$12,VLOOKUP($A93,'Pool &amp; SPA Sweep Elbows'!$A$8:$M$11,9,FALSE),
IF($A93&lt;'Pool &amp; SPA Pipe Extender'!$A$11,VLOOKUP($A93,'Pool &amp; SPA Pipe Extender'!$A$8:$M$10,9,FALSE),
IF($A93&lt;'PVC SCH80'!$A$250,VLOOKUP($A93,'PVC SCH80'!$A$8:$M$249,9,FALSE),
IF($A93&lt;'PVC SCH80 Flange'!$A$49,VLOOKUP($A93,'PVC SCH80 Flange'!$A$8:$M$48,9,FALSE),
IF($A93&lt;'PVC SCH80 LD Flange'!$A$17,VLOOKUP($A93,'PVC SCH80 LD Flange'!$A$8:$M$16,9,FALSE),
IF($A93&lt;CPVC!$A$100,VLOOKUP($A93,CPVC!$A$8:$M$99,9,FALSE),
IF($A93&lt;InsertFittings!$A$237,VLOOKUP($A93,InsertFittings!$A$11:$M$236,9,FALSE),
IF($A93&lt;Valves!$A$132,VLOOKUP($A93,Valves!$A$8:$M$131,9,FALSE),
IF($A93&lt;SDR35SW!$A$124,VLOOKUP($A93,SDR35SW!$A$8:$M$123,9,FALSE),
IF($A93&lt;SDR35G!$A$143,VLOOKUP($A93, SDR35G!$A$8:$M$142,9,FALSE),
IF($A93&lt;SDR26G!$A$61,VLOOKUP($A93,SDR26G!$A$8:$N$60,10,FALSE),
IF($A93&lt;Cements!$A$100,VLOOKUP($A93,Cements!$A$8:$Q$99,13,FALSE),
IF($A93&lt;ValveBox!$A$143,VLOOKUP($A93,ValveBox!$A$10:$O$142,11,FALSE),
IF($A93&lt;'ValveBox Components'!$A$165,VLOOKUP($A93,'ValveBox Components'!$A$10:$O$164,11,FALSE),
IF($A93&lt;Drainage!$A$92,VLOOKUP($A93,Drainage!$A$8:$M$91,9,FALSE),
IF($A93&lt;Nipples!$A$82,VLOOKUP($A93,Nipples!$A$9:$Q$81,13,FALSE),
IF($A93&lt;Manifold!$A$33,VLOOKUP($A93,Manifold!$A$9:$M$32,9,FALSE),
IF($A93&lt;FlexibleRepairCouplings!$A$13,VLOOKUP($A93,FlexibleRepairCouplings!$A$10:$M$12,9,FALSE),
IF($A93&lt;DuraFix!$A$15,VLOOKUP($A93,DuraFix!$A$9:$M$14,9,FALSE),
IF($A93&lt;'Compression Fittings'!$A$16,VLOOKUP($A93,'Compression Fittings'!$A$8:$M$15,9,FALSE),
IF($A93&lt;'Hose Fittings'!$A$30,VLOOKUP($A93,'Hose Fittings'!$A$8:$M$29,9,FALSE),
IF($A93&lt;'Swing Joints'!$A$496,VLOOKUP($A93,'Swing Joints'!$A$9:$M$495,9,FALSE),
IF($A93&lt;'Swing Joints Components'!$A$135,VLOOKUP($A93,'Swing Joints Components'!$A$9:$M$134,9,FALSE),
IF($A93&lt;Nonstandard!$A$42,VLOOKUP($A93,Nonstandard!$A$31:$J$41,8,FALSE),"")))))))))))))))))))))))))))),"")</f>
        <v/>
      </c>
      <c r="G93" s="416" t="str">
        <f>IFERROR(IF($A93&lt;'DWV PVC'!$A$285,VLOOKUP($A93,'DWV PVC'!$A$8:$M$284,11,FALSE),
IF($A93&lt;'DWV ABS'!$A$117,VLOOKUP($A93,'DWV ABS'!$A$8:$M$116,11,FALSE),
IF($A93&lt;'PVC SCH40'!$A$376,VLOOKUP($A93,'PVC SCH40'!$A$8:$M$375,11,FALSE),
IF($A93&lt;'PVC SCH40 LD'!$A$22,VLOOKUP($A93,'PVC SCH40 LD'!$A$8:$M$21,11,FALSE),
IF($A93&lt;'Pool &amp; SPA Sweep Elbows'!$A$12,VLOOKUP($A93,'Pool &amp; SPA Sweep Elbows'!$A$8:$M$11,11,FALSE),
IF($A93&lt;'Pool &amp; SPA Pipe Extender'!$A$11,VLOOKUP($A93,'Pool &amp; SPA Pipe Extender'!$A$8:$M$10,11,FALSE),
IF($A93&lt;'PVC SCH80'!$A$250,VLOOKUP($A93,'PVC SCH80'!$A$8:$M$249,11,FALSE),
IF($A93&lt;'PVC SCH80 Flange'!$A$49,VLOOKUP($A93,'PVC SCH80 Flange'!$A$8:$M$48,11,FALSE),
IF($A93&lt;'PVC SCH80 LD Flange'!$A$17,VLOOKUP($A93,'PVC SCH80 LD Flange'!$A$8:$M$16,11,FALSE),
IF($A93&lt;CPVC!$A$100,VLOOKUP($A93,CPVC!$A$8:$M$99,11,FALSE),
IF($A93&lt;InsertFittings!$A$237,VLOOKUP($A93,InsertFittings!$A$11:$M$236,11,FALSE),
IF($A93&lt;Valves!$A$132,VLOOKUP($A93,Valves!$A$8:$M$131,11,FALSE),
IF($A93&lt;SDR35SW!$A$124,VLOOKUP($A93,SDR35SW!$A$8:$M$123,11,FALSE),
IF($A93&lt;SDR35G!$A$143,VLOOKUP($A93, SDR35G!$A$8:$M$142,11,FALSE),
IF($A93&lt;SDR26G!$A$61,VLOOKUP($A93,SDR26G!$A$8:$N$60,12,FALSE),
IF($A93&lt;Cements!$A$100,VLOOKUP($A93,Cements!$A$8:$Q$99,15,FALSE),
IF($A93&lt;ValveBox!$A$143,VLOOKUP($A93,ValveBox!$A$10:$O$142,13,FALSE),
IF($A93&lt;'ValveBox Components'!$A$165,VLOOKUP($A93,'ValveBox Components'!$A$10:$O$164,13,FALSE),
IF($A93&lt;Drainage!$A$92,VLOOKUP($A93,Drainage!$A$8:$M$91,11,FALSE),
IF($A93&lt;Nipples!$A$82,VLOOKUP($A93,Nipples!$A$9:$Q$81,15,FALSE),
IF($A93&lt;Manifold!$A$33,VLOOKUP($A93,Manifold!$A$9:$M$32,11,FALSE),
IF($A93&lt;FlexibleRepairCouplings!$A$13,VLOOKUP($A93,FlexibleRepairCouplings!$A$10:$M$12,11,FALSE),
IF($A93&lt;DuraFix!$A$15,VLOOKUP($A93,DuraFix!$A$9:$M$14,11,FALSE),
IF($A93&lt;'Compression Fittings'!$A$16,VLOOKUP($A93,'Compression Fittings'!$A$8:$M$15,11,FALSE),
IF($A93&lt;'Hose Fittings'!$A$30,VLOOKUP($A93,'Hose Fittings'!$A$8:$M$29,11,FALSE),
IF($A93&lt;'Swing Joints'!$A$496,VLOOKUP($A93,'Swing Joints'!$A$9:$M$495,11,FALSE),
IF($A93&lt;'Swing Joints Components'!$A$135,VLOOKUP($A93,'Swing Joints Components'!$A$9:$M$134,11,FALSE),
IF($A93&lt;Nonstandard!$A$42,VLOOKUP($A93,Nonstandard!$A$31:$J$41,3,FALSE),"")))))))))))))))))))))))))))),"")</f>
        <v/>
      </c>
      <c r="H93" s="586" t="str">
        <f>IFERROR(IF($A93&lt;'DWV PVC'!$A$285,VLOOKUP($A93,'DWV PVC'!$A$8:$M$284,7,FALSE),
IF($A93&lt;'DWV ABS'!$A$117,VLOOKUP($A93,'DWV ABS'!$A$8:$M$116,7,FALSE),
IF($A93&lt;'PVC SCH40'!$A$376,VLOOKUP($A93,'PVC SCH40'!$A$8:$M$375,7,FALSE),
IF($A93&lt;'PVC SCH40 LD'!$A$22,VLOOKUP($A93,'PVC SCH40 LD'!$A$8:$M$21,7,FALSE),
IF($A93&lt;'Pool &amp; SPA Sweep Elbows'!$A$12,VLOOKUP($A93,'Pool &amp; SPA Sweep Elbows'!$A$8:$M$11,7,FALSE),
IF($A93&lt;'Pool &amp; SPA Pipe Extender'!$A$11,VLOOKUP($A93,'Pool &amp; SPA Pipe Extender'!$A$8:$M$10,7,FALSE),
IF($A93&lt;'PVC SCH80'!$A$250,VLOOKUP($A93,'PVC SCH80'!$A$8:$M$249,7,FALSE),
IF($A93&lt;'PVC SCH80 Flange'!$A$49,VLOOKUP($A93,'PVC SCH80 Flange'!$A$8:$M$48,7,FALSE),
IF($A93&lt;'PVC SCH80 LD Flange'!$A$17,VLOOKUP($A93,'PVC SCH80 LD Flange'!$A$8:$M$16,7,FALSE),
IF($A93&lt;CPVC!$A$100,VLOOKUP($A93,CPVC!$A$8:$M$99,7,FALSE),
IF($A93&lt;InsertFittings!$A$237,VLOOKUP($A93,InsertFittings!$A$11:$M$236,7,FALSE),
IF($A93&lt;Valves!$A$132,VLOOKUP($A93,Valves!$A$8:$M$131,7,FALSE),
IF($A93&lt;SDR35SW!$A$124,VLOOKUP($A93,SDR35SW!$A$8:$M$123,7,FALSE),
IF($A93&lt;SDR35G!$A$143,VLOOKUP($A93, SDR35G!$A$8:$M$142,7,FALSE),
IF($A93&lt;SDR26G!$A$61,VLOOKUP($A93,SDR26G!$A$8:$N$60,10,FALSE),
IF($A93&lt;Cements!$A$100,VLOOKUP($A93,Cements!$A$8:$Q$99,13,FALSE),
IF($A93&lt;ValveBox!$A$143,VLOOKUP($A93,ValveBox!$A$10:$O$142,11,FALSE),
IF($A93&lt;'ValveBox Components'!$A$165,VLOOKUP($A93,'ValveBox Components'!$A$10:$O$164,11,FALSE),
IF($A93&lt;Drainage!$A$92,VLOOKUP($A93,Drainage!$A$8:$M$91,7,FALSE),
IF($A93&lt;Nipples!$A$82,VLOOKUP($A93,Nipples!$A$9:$Q$81,13,FALSE),
IF($A93&lt;Manifold!$A$33,VLOOKUP($A93,Manifold!$A$9:$M$32,7,FALSE),
IF($A93&lt;FlexibleRepairCouplings!$A$13,VLOOKUP($A93,FlexibleRepairCouplings!$A$10:$M$12,7,FALSE),
IF($A93&lt;DuraFix!$A$15,VLOOKUP($A93,DuraFix!$A$9:$M$14,7,FALSE),
IF($A93&lt;'Compression Fittings'!$A$16,VLOOKUP($A93,'Compression Fittings'!$A$8:$M$15,7,FALSE),
IF($A93&lt;'Hose Fittings'!$A$30,VLOOKUP($A93,'Hose Fittings'!$A$8:$M$29,7,FALSE),
IF($A93&lt;'Swing Joints'!$A$496,VLOOKUP($A93,'Swing Joints'!$A$9:$M$495,7,FALSE),
IF($A93&lt;'Swing Joints Components'!$A$135,VLOOKUP($A93,'Swing Joints Components'!$A$9:$M$134,7,FALSE),
IF($A93&lt;Nonstandard!$A$42,VLOOKUP($A93,Nonstandard!$A$31:$J$41,3,FALSE),"")))))))))))))))))))))))))))),"")</f>
        <v/>
      </c>
      <c r="I93" s="587"/>
      <c r="J93" s="383" t="str">
        <f t="shared" si="1"/>
        <v/>
      </c>
      <c r="K93" s="417" t="str">
        <f>IFERROR(IF($A93&lt;'DWV PVC'!$A$285,VLOOKUP($A93,'DWV PVC'!$A$8:$M$284,10,FALSE),
IF($A93&lt;'DWV ABS'!$A$117,VLOOKUP($A93,'DWV ABS'!$A$8:$M$116,10,FALSE),
IF($A93&lt;'PVC SCH40'!$A$376,VLOOKUP($A93,'PVC SCH40'!$A$8:$M$375,10,FALSE),
IF($A93&lt;'PVC SCH40 LD'!$A$22,VLOOKUP($A93,'PVC SCH40 LD'!$A$8:$M$21,10,FALSE),
IF($A93&lt;'Pool &amp; SPA Sweep Elbows'!$A$12,VLOOKUP($A93,'Pool &amp; SPA Sweep Elbows'!$A$8:$M$11,10,FALSE),
IF($A93&lt;'Pool &amp; SPA Pipe Extender'!$A$11,VLOOKUP($A93,'Pool &amp; SPA Pipe Extender'!$A$8:$M$10,10,FALSE),
IF($A93&lt;'PVC SCH80'!$A$250,VLOOKUP($A93,'PVC SCH80'!$A$8:$M$249,10,FALSE),
IF($A93&lt;'PVC SCH80 Flange'!$A$49,VLOOKUP($A93,'PVC SCH80 Flange'!$A$8:$M$48,10,FALSE),
IF($A93&lt;'PVC SCH80 LD Flange'!$A$17,VLOOKUP($A93,'PVC SCH80 LD Flange'!$A$8:$M$16,10,FALSE),
IF($A93&lt;CPVC!$A$100,VLOOKUP($A93,CPVC!$A$8:$M$99,10,FALSE),
IF($A93&lt;InsertFittings!$A$237,VLOOKUP($A93,InsertFittings!$A$11:$M$236,10,FALSE),
IF($A93&lt;Valves!$A$132,VLOOKUP($A93,Valves!$A$8:$M$131,10,FALSE),
IF($A93&lt;SDR35SW!$A$124,VLOOKUP($A93,SDR35SW!$A$8:$M$123,10,FALSE),
IF($A93&lt;SDR35G!$A$143,VLOOKUP($A93, SDR35G!$A$8:$M$142,10,FALSE),
IF($A93&lt;SDR26G!$A$61,VLOOKUP($A93,SDR26G!$A$8:$N$60,11,FALSE),
IF($A93&lt;Cements!$A$100,VLOOKUP($A93,Cements!$A$8:$Q$99,14,FALSE),
IF($A93&lt;ValveBox!$A$143,VLOOKUP($A93,ValveBox!$A$10:$O$142,12,FALSE),
IF($A93&lt;'ValveBox Components'!$A$165,VLOOKUP($A93,'ValveBox Components'!$A$10:$O$164,12,FALSE),
IF($A93&lt;Drainage!$A$92,VLOOKUP($A93,Drainage!$A$8:$M$91,10,FALSE),
IF($A93&lt;Nipples!$A$82,VLOOKUP($A93,Nipples!$A$9:$Q$81,14,FALSE),
IF($A93&lt;Manifold!$A$33,VLOOKUP($A93,Manifold!$A$9:$M$32,10,FALSE),
IF($A93&lt;FlexibleRepairCouplings!$A$13,VLOOKUP($A93,FlexibleRepairCouplings!$A$10:$M$12,10,FALSE),
IF($A93&lt;DuraFix!$A$15,VLOOKUP($A93,DuraFix!$A$9:$M$14,10,FALSE),
IF($A93&lt;'Compression Fittings'!$A$16,VLOOKUP($A93,'Compression Fittings'!$A$8:$M$15,10,FALSE),
IF($A93&lt;'Hose Fittings'!$A$30,VLOOKUP($A93,'Hose Fittings'!$A$8:$M$29,10,FALSE),
IF($A93&lt;'Swing Joints'!$A$496,VLOOKUP($A93,'Swing Joints'!$A$9:$M$495,10,FALSE),
IF($A93&lt;'Swing Joints Components'!$A$135,VLOOKUP($A93,'Swing Joints Components'!$A$9:$M$134,10,FALSE),
IF($A93&lt;Nonstandard!$A$42,VLOOKUP($A93,Nonstandard!$A$31:$J$41,10,FALSE),"")))))))))))))))))))))))))))),"")</f>
        <v/>
      </c>
      <c r="L93" s="418" t="str">
        <f t="shared" si="2"/>
        <v>-</v>
      </c>
      <c r="M93" s="419"/>
    </row>
    <row r="94" spans="1:13" ht="15.75">
      <c r="A94" s="420">
        <v>62</v>
      </c>
      <c r="B94" s="420" t="str">
        <f>IFERROR(IF($A94&lt;'DWV PVC'!$A$285,VLOOKUP($A94,'DWV PVC'!$A$8:$M$284,4,FALSE),
IF($A94&lt;'DWV ABS'!$A$117,VLOOKUP($A94,'DWV ABS'!$A$8:$M$116,4,FALSE),
IF($A94&lt;'PVC SCH40'!$A$376,VLOOKUP($A94,'PVC SCH40'!$A$8:$M$375,4,FALSE),
IF($A94&lt;'PVC SCH40 LD'!$A$22,VLOOKUP($A94,'PVC SCH40 LD'!$A$8:$M$21,4,FALSE),
IF($A94&lt;'Pool &amp; SPA Sweep Elbows'!$A$12,VLOOKUP($A94,'Pool &amp; SPA Sweep Elbows'!$A$8:$M$11,4,FALSE),
IF($A94&lt;'Pool &amp; SPA Pipe Extender'!$A$11,VLOOKUP($A94,'Pool &amp; SPA Pipe Extender'!$A$8:$M$10,4,FALSE),
IF($A94&lt;'PVC SCH80'!$A$250,VLOOKUP($A94,'PVC SCH80'!$A$8:$M$249,4,FALSE),
IF($A94&lt;'PVC SCH80 Flange'!$A$49,VLOOKUP($A94,'PVC SCH80 Flange'!$A$8:$M$48,4,FALSE),
IF($A94&lt;'PVC SCH80 LD Flange'!$A$17,VLOOKUP($A94,'PVC SCH80 LD Flange'!$A$8:$M$16,4,FALSE),
IF($A94&lt;CPVC!$A$100,VLOOKUP($A94,CPVC!$A$8:$M$99,4,FALSE),
IF($A94&lt;InsertFittings!$A$237,VLOOKUP($A94,InsertFittings!$A$11:$M$236,4,FALSE),
IF($A94&lt;Valves!$A$132,VLOOKUP($A94,Valves!$A$8:$M$131,4,FALSE),
IF($A94&lt;SDR35SW!$A$124,VLOOKUP($A94,SDR35SW!$A$8:$M$123,4,FALSE),
IF($A94&lt;SDR35G!$A$143,VLOOKUP($A94, SDR35G!$A$8:$M$142,4,FALSE),
IF($A94&lt;SDR26G!$A$61,VLOOKUP($A94,SDR26G!$A$8:$N$60,4,FALSE),
IF($A94&lt;Cements!$A$100,VLOOKUP($A94,Cements!$A$8:$Q$99,4,FALSE),
IF($A94&lt;ValveBox!$A$143,VLOOKUP($A94,ValveBox!$A$10:$O$142,4,FALSE),
IF($A94&lt;'ValveBox Components'!$A$165,VLOOKUP($A94,'ValveBox Components'!$A$10:$O$164,4,FALSE),
IF($A94&lt;Drainage!$A$92,VLOOKUP($A94,Drainage!$A$8:$M$91,4,FALSE),
IF($A94&lt;Nipples!$A$82,VLOOKUP($A94,Nipples!$A$9:$Q$81,4,FALSE),
IF($A94&lt;Manifold!$A$33,VLOOKUP($A94,Manifold!$A$9:$M$32,4,FALSE),
IF($A94&lt;FlexibleRepairCouplings!$A$13,VLOOKUP($A94,FlexibleRepairCouplings!$A$10:$M$12,4,FALSE),
IF($A94&lt;DuraFix!$A$15,VLOOKUP($A94,DuraFix!$A$9:$M$14,4,FALSE),
IF($A94&lt;'Compression Fittings'!$A$16,VLOOKUP($A94,'Compression Fittings'!$A$8:$M$15,4,FALSE),
IF($A94&lt;'Hose Fittings'!$A$30,VLOOKUP($A94,'Hose Fittings'!$A$8:$M$29,4,FALSE),
IF($A94&lt;'Swing Joints'!$A$496,VLOOKUP($A94,'Swing Joints'!$A$9:$M$495,4,FALSE),
IF($A94&lt;'Swing Joints Components'!$A$135,VLOOKUP($A94,'Swing Joints Components'!$A$9:$M$134,4,FALSE),
IF($A94&lt;Nonstandard!$A$42,VLOOKUP($A94,Nonstandard!$A$31:$J$41,5,FALSE),"")))))))))))))))))))))))))))),"")</f>
        <v/>
      </c>
      <c r="C94" s="420" t="str">
        <f>IFERROR(IF($A94&lt;'DWV PVC'!$A$285,VLOOKUP($A94,'DWV PVC'!$A$8:$M$284,5,FALSE),
IF($A94&lt;'DWV ABS'!$A$117,VLOOKUP($A94,'DWV ABS'!$A$8:$M$116,5,FALSE),
IF($A94&lt;'PVC SCH40'!$A$376,VLOOKUP($A94,'PVC SCH40'!$A$8:$M$375,5,FALSE),
IF($A94&lt;'PVC SCH40 LD'!$A$22,VLOOKUP($A94,'PVC SCH40 LD'!$A$8:$M$21,5,FALSE),
IF($A94&lt;'Pool &amp; SPA Sweep Elbows'!$A$12,VLOOKUP($A94,'Pool &amp; SPA Sweep Elbows'!$A$8:$M$11,5,FALSE),
IF($A94&lt;'Pool &amp; SPA Pipe Extender'!$A$11,VLOOKUP($A94,'Pool &amp; SPA Pipe Extender'!$A$8:$M$10,5,FALSE),
IF($A94&lt;'PVC SCH80'!$A$250,VLOOKUP($A94,'PVC SCH80'!$A$8:$M$249,5,FALSE),
IF($A94&lt;'PVC SCH80 Flange'!$A$49,VLOOKUP($A94,'PVC SCH80 Flange'!$A$8:$M$48,5,FALSE),
IF($A94&lt;'PVC SCH80 LD Flange'!$A$17,VLOOKUP($A94,'PVC SCH80 LD Flange'!$A$8:$M$16,5,FALSE),
IF($A94&lt;CPVC!$A$100,VLOOKUP($A94,CPVC!$A$8:$M$99,5,FALSE),
IF($A94&lt;InsertFittings!$A$237,VLOOKUP($A94,InsertFittings!$A$11:$M$236,5,FALSE),
IF($A94&lt;Valves!$A$132,VLOOKUP($A94,Valves!$A$8:$M$131,5,FALSE),
IF($A94&lt;SDR35SW!$A$124,VLOOKUP($A94,SDR35SW!$A$8:$M$123,5,FALSE),
IF($A94&lt;SDR35G!$A$143,VLOOKUP($A94, SDR35G!$A$8:$M$142,5,FALSE),
IF($A94&lt;SDR26G!$A$61,VLOOKUP($A94,SDR26G!$A$8:$N$60,5,FALSE),
IF($A94&lt;Cements!$A$100,VLOOKUP($A94,Cements!$A$8:$Q$99,5,FALSE),
IF($A94&lt;ValveBox!$A$143,VLOOKUP($A94,ValveBox!$A$10:$O$142,5,FALSE),
IF($A94&lt;'ValveBox Components'!$A$165,VLOOKUP($A94,'ValveBox Components'!$A$10:$O$164,5,FALSE),
IF($A94&lt;Drainage!$A$92,VLOOKUP($A94,Drainage!$A$8:$M$91,5,FALSE),
IF($A94&lt;Nipples!$A$82,VLOOKUP($A94,Nipples!$A$9:$Q$81,5,FALSE),
IF($A94&lt;Manifold!$A$33,VLOOKUP($A94,Manifold!$A$9:$M$32,5,FALSE),
IF($A94&lt;FlexibleRepairCouplings!$A$13,VLOOKUP($A94,FlexibleRepairCouplings!$A$10:$M$12,5,FALSE),
IF($A94&lt;DuraFix!$A$15,VLOOKUP($A94,DuraFix!$A$9:$M$14,5,FALSE),
IF($A94&lt;'Compression Fittings'!$A$16,VLOOKUP($A94,'Compression Fittings'!$A$8:$M$15,5,FALSE),
IF($A94&lt;'Hose Fittings'!$A$30,VLOOKUP($A94,'Hose Fittings'!$A$8:$M$29,5,FALSE),
IF($A94&lt;'Swing Joints'!$A$496,VLOOKUP($A94,'Swing Joints'!$A$9:$M$495,5,FALSE),
IF($A94&lt;'Swing Joints Components'!$A$135,VLOOKUP($A94,'Swing Joints Components'!$A$9:$M$134,5,FALSE),
IF($A94&lt;Nonstandard!$A$42,VLOOKUP($A94,Nonstandard!$A$31:$J$41,6,FALSE),"")))))))))))))))))))))))))))),"")</f>
        <v/>
      </c>
      <c r="D94" s="428" t="str">
        <f>IFERROR(IF($A94&lt;'DWV PVC'!$A$285,VLOOKUP($A94,'DWV PVC'!$A$8:$M$284,6,FALSE),
IF($A94&lt;'DWV ABS'!$A$117,VLOOKUP($A94,'DWV ABS'!$A$8:$M$116,6,FALSE),
IF($A94&lt;'PVC SCH40'!$A$376,VLOOKUP($A94,'PVC SCH40'!$A$8:$M$375,6,FALSE),
IF($A94&lt;'PVC SCH40 LD'!$A$22,VLOOKUP($A94,'PVC SCH40 LD'!$A$8:$M$21,6,FALSE),
IF($A94&lt;'Pool &amp; SPA Sweep Elbows'!$A$12,VLOOKUP($A94,'Pool &amp; SPA Sweep Elbows'!$A$8:$M$11,6,FALSE),
IF($A94&lt;'Pool &amp; SPA Pipe Extender'!$A$11,VLOOKUP($A94,'Pool &amp; SPA Pipe Extender'!$A$8:$M$10,6,FALSE),
IF($A94&lt;'PVC SCH80'!$A$250,VLOOKUP($A94,'PVC SCH80'!$A$8:$M$249,6,FALSE),
IF($A94&lt;'PVC SCH80 Flange'!$A$49,VLOOKUP($A94,'PVC SCH80 Flange'!$A$8:$M$48,6,FALSE),
IF($A94&lt;'PVC SCH80 LD Flange'!$A$17,VLOOKUP($A94,'PVC SCH80 LD Flange'!$A$8:$M$16,6,FALSE),
IF($A94&lt;CPVC!$A$100,VLOOKUP($A94,CPVC!$A$8:$M$99,6,FALSE),
IF($A94&lt;InsertFittings!$A$237,VLOOKUP($A94,InsertFittings!$A$11:$M$236,6,FALSE),
IF($A94&lt;Valves!$A$132,VLOOKUP($A94,Valves!$A$8:$M$131,6,FALSE),
IF($A94&lt;SDR35SW!$A$124,VLOOKUP($A94,SDR35SW!$A$8:$M$123,6,FALSE),
IF($A94&lt;SDR35G!$A$143,VLOOKUP($A94, SDR35G!$A$8:$M$142,6,FALSE),
IF($A94&lt;SDR26G!$A$61,VLOOKUP($A94,SDR26G!$A$8:$N$60,6,FALSE),
IF($A94&lt;Cements!$A$100,VLOOKUP($A94,Cements!$A$8:$Q$99,6,FALSE),
IF($A94&lt;ValveBox!$A$143,VLOOKUP($A94,ValveBox!$A$10:$O$142,6,FALSE),
IF($A94&lt;'ValveBox Components'!$A$165,VLOOKUP($A94,'ValveBox Components'!$A$10:$O$164,6,FALSE),
IF($A94&lt;Drainage!$A$92,VLOOKUP($A94,Drainage!$A$8:$M$91,6,FALSE),
IF($A94&lt;Nipples!$A$82,VLOOKUP($A94,Nipples!$A$9:$Q$81,6,FALSE),
IF($A94&lt;Manifold!$A$33,VLOOKUP($A94,Manifold!$A$9:$M$32,6,FALSE),
IF($A94&lt;FlexibleRepairCouplings!$A$13,VLOOKUP($A94,FlexibleRepairCouplings!$A$10:$M$12,6,FALSE),
IF($A94&lt;DuraFix!$A$15,VLOOKUP($A94,DuraFix!$A$9:$M$14,6,FALSE),
IF($A94&lt;'Compression Fittings'!$A$16,VLOOKUP($A94,'Compression Fittings'!$A$8:$M$15,6,FALSE),
IF($A94&lt;'Hose Fittings'!$A$30,VLOOKUP($A94,'Hose Fittings'!$A$8:$M$29,6,FALSE),
IF($A94&lt;'Swing Joints'!$A$496,VLOOKUP($A94,'Swing Joints'!$A$9:$M$495,6,FALSE),
IF($A94&lt;'Swing Joints Components'!$A$135,VLOOKUP($A94,'Swing Joints Components'!$A$9:$M$134,6,FALSE),
IF($A94&lt;Nonstandard!$A$42,VLOOKUP($A94,Nonstandard!$A$31:$J$41,7,FALSE),"")))))))))))))))))))))))))))),"")</f>
        <v/>
      </c>
      <c r="E94" s="429"/>
      <c r="F94" s="421" t="str">
        <f>IFERROR(IF($A94&lt;'DWV PVC'!$A$285,VLOOKUP($A94,'DWV PVC'!$A$8:$M$284,9,FALSE),
IF($A94&lt;'DWV ABS'!$A$117,VLOOKUP($A94,'DWV ABS'!$A$8:$M$116,9,FALSE),
IF($A94&lt;'PVC SCH40'!$A$376,VLOOKUP($A94,'PVC SCH40'!$A$8:$M$375,9,FALSE),
IF($A94&lt;'PVC SCH40 LD'!$A$22,VLOOKUP($A94,'PVC SCH40 LD'!$A$8:$M$21,9,FALSE),
IF($A94&lt;'Pool &amp; SPA Sweep Elbows'!$A$12,VLOOKUP($A94,'Pool &amp; SPA Sweep Elbows'!$A$8:$M$11,9,FALSE),
IF($A94&lt;'Pool &amp; SPA Pipe Extender'!$A$11,VLOOKUP($A94,'Pool &amp; SPA Pipe Extender'!$A$8:$M$10,9,FALSE),
IF($A94&lt;'PVC SCH80'!$A$250,VLOOKUP($A94,'PVC SCH80'!$A$8:$M$249,9,FALSE),
IF($A94&lt;'PVC SCH80 Flange'!$A$49,VLOOKUP($A94,'PVC SCH80 Flange'!$A$8:$M$48,9,FALSE),
IF($A94&lt;'PVC SCH80 LD Flange'!$A$17,VLOOKUP($A94,'PVC SCH80 LD Flange'!$A$8:$M$16,9,FALSE),
IF($A94&lt;CPVC!$A$100,VLOOKUP($A94,CPVC!$A$8:$M$99,9,FALSE),
IF($A94&lt;InsertFittings!$A$237,VLOOKUP($A94,InsertFittings!$A$11:$M$236,9,FALSE),
IF($A94&lt;Valves!$A$132,VLOOKUP($A94,Valves!$A$8:$M$131,9,FALSE),
IF($A94&lt;SDR35SW!$A$124,VLOOKUP($A94,SDR35SW!$A$8:$M$123,9,FALSE),
IF($A94&lt;SDR35G!$A$143,VLOOKUP($A94, SDR35G!$A$8:$M$142,9,FALSE),
IF($A94&lt;SDR26G!$A$61,VLOOKUP($A94,SDR26G!$A$8:$N$60,10,FALSE),
IF($A94&lt;Cements!$A$100,VLOOKUP($A94,Cements!$A$8:$Q$99,13,FALSE),
IF($A94&lt;ValveBox!$A$143,VLOOKUP($A94,ValveBox!$A$10:$O$142,11,FALSE),
IF($A94&lt;'ValveBox Components'!$A$165,VLOOKUP($A94,'ValveBox Components'!$A$10:$O$164,11,FALSE),
IF($A94&lt;Drainage!$A$92,VLOOKUP($A94,Drainage!$A$8:$M$91,9,FALSE),
IF($A94&lt;Nipples!$A$82,VLOOKUP($A94,Nipples!$A$9:$Q$81,13,FALSE),
IF($A94&lt;Manifold!$A$33,VLOOKUP($A94,Manifold!$A$9:$M$32,9,FALSE),
IF($A94&lt;FlexibleRepairCouplings!$A$13,VLOOKUP($A94,FlexibleRepairCouplings!$A$10:$M$12,9,FALSE),
IF($A94&lt;DuraFix!$A$15,VLOOKUP($A94,DuraFix!$A$9:$M$14,9,FALSE),
IF($A94&lt;'Compression Fittings'!$A$16,VLOOKUP($A94,'Compression Fittings'!$A$8:$M$15,9,FALSE),
IF($A94&lt;'Hose Fittings'!$A$30,VLOOKUP($A94,'Hose Fittings'!$A$8:$M$29,9,FALSE),
IF($A94&lt;'Swing Joints'!$A$496,VLOOKUP($A94,'Swing Joints'!$A$9:$M$495,9,FALSE),
IF($A94&lt;'Swing Joints Components'!$A$135,VLOOKUP($A94,'Swing Joints Components'!$A$9:$M$134,9,FALSE),
IF($A94&lt;Nonstandard!$A$42,VLOOKUP($A94,Nonstandard!$A$31:$J$41,8,FALSE),"")))))))))))))))))))))))))))),"")</f>
        <v/>
      </c>
      <c r="G94" s="422" t="str">
        <f>IFERROR(IF($A94&lt;'DWV PVC'!$A$285,VLOOKUP($A94,'DWV PVC'!$A$8:$M$284,11,FALSE),
IF($A94&lt;'DWV ABS'!$A$117,VLOOKUP($A94,'DWV ABS'!$A$8:$M$116,11,FALSE),
IF($A94&lt;'PVC SCH40'!$A$376,VLOOKUP($A94,'PVC SCH40'!$A$8:$M$375,11,FALSE),
IF($A94&lt;'PVC SCH40 LD'!$A$22,VLOOKUP($A94,'PVC SCH40 LD'!$A$8:$M$21,11,FALSE),
IF($A94&lt;'Pool &amp; SPA Sweep Elbows'!$A$12,VLOOKUP($A94,'Pool &amp; SPA Sweep Elbows'!$A$8:$M$11,11,FALSE),
IF($A94&lt;'Pool &amp; SPA Pipe Extender'!$A$11,VLOOKUP($A94,'Pool &amp; SPA Pipe Extender'!$A$8:$M$10,11,FALSE),
IF($A94&lt;'PVC SCH80'!$A$250,VLOOKUP($A94,'PVC SCH80'!$A$8:$M$249,11,FALSE),
IF($A94&lt;'PVC SCH80 Flange'!$A$49,VLOOKUP($A94,'PVC SCH80 Flange'!$A$8:$M$48,11,FALSE),
IF($A94&lt;'PVC SCH80 LD Flange'!$A$17,VLOOKUP($A94,'PVC SCH80 LD Flange'!$A$8:$M$16,11,FALSE),
IF($A94&lt;CPVC!$A$100,VLOOKUP($A94,CPVC!$A$8:$M$99,11,FALSE),
IF($A94&lt;InsertFittings!$A$237,VLOOKUP($A94,InsertFittings!$A$11:$M$236,11,FALSE),
IF($A94&lt;Valves!$A$132,VLOOKUP($A94,Valves!$A$8:$M$131,11,FALSE),
IF($A94&lt;SDR35SW!$A$124,VLOOKUP($A94,SDR35SW!$A$8:$M$123,11,FALSE),
IF($A94&lt;SDR35G!$A$143,VLOOKUP($A94, SDR35G!$A$8:$M$142,11,FALSE),
IF($A94&lt;SDR26G!$A$61,VLOOKUP($A94,SDR26G!$A$8:$N$60,12,FALSE),
IF($A94&lt;Cements!$A$100,VLOOKUP($A94,Cements!$A$8:$Q$99,15,FALSE),
IF($A94&lt;ValveBox!$A$143,VLOOKUP($A94,ValveBox!$A$10:$O$142,13,FALSE),
IF($A94&lt;'ValveBox Components'!$A$165,VLOOKUP($A94,'ValveBox Components'!$A$10:$O$164,13,FALSE),
IF($A94&lt;Drainage!$A$92,VLOOKUP($A94,Drainage!$A$8:$M$91,11,FALSE),
IF($A94&lt;Nipples!$A$82,VLOOKUP($A94,Nipples!$A$9:$Q$81,15,FALSE),
IF($A94&lt;Manifold!$A$33,VLOOKUP($A94,Manifold!$A$9:$M$32,11,FALSE),
IF($A94&lt;FlexibleRepairCouplings!$A$13,VLOOKUP($A94,FlexibleRepairCouplings!$A$10:$M$12,11,FALSE),
IF($A94&lt;DuraFix!$A$15,VLOOKUP($A94,DuraFix!$A$9:$M$14,11,FALSE),
IF($A94&lt;'Compression Fittings'!$A$16,VLOOKUP($A94,'Compression Fittings'!$A$8:$M$15,11,FALSE),
IF($A94&lt;'Hose Fittings'!$A$30,VLOOKUP($A94,'Hose Fittings'!$A$8:$M$29,11,FALSE),
IF($A94&lt;'Swing Joints'!$A$496,VLOOKUP($A94,'Swing Joints'!$A$9:$M$495,11,FALSE),
IF($A94&lt;'Swing Joints Components'!$A$135,VLOOKUP($A94,'Swing Joints Components'!$A$9:$M$134,11,FALSE),
IF($A94&lt;Nonstandard!$A$42,VLOOKUP($A94,Nonstandard!$A$31:$J$41,3,FALSE),"")))))))))))))))))))))))))))),"")</f>
        <v/>
      </c>
      <c r="H94" s="588" t="str">
        <f>IFERROR(IF($A94&lt;'DWV PVC'!$A$285,VLOOKUP($A94,'DWV PVC'!$A$8:$M$284,7,FALSE),
IF($A94&lt;'DWV ABS'!$A$117,VLOOKUP($A94,'DWV ABS'!$A$8:$M$116,7,FALSE),
IF($A94&lt;'PVC SCH40'!$A$376,VLOOKUP($A94,'PVC SCH40'!$A$8:$M$375,7,FALSE),
IF($A94&lt;'PVC SCH40 LD'!$A$22,VLOOKUP($A94,'PVC SCH40 LD'!$A$8:$M$21,7,FALSE),
IF($A94&lt;'Pool &amp; SPA Sweep Elbows'!$A$12,VLOOKUP($A94,'Pool &amp; SPA Sweep Elbows'!$A$8:$M$11,7,FALSE),
IF($A94&lt;'Pool &amp; SPA Pipe Extender'!$A$11,VLOOKUP($A94,'Pool &amp; SPA Pipe Extender'!$A$8:$M$10,7,FALSE),
IF($A94&lt;'PVC SCH80'!$A$250,VLOOKUP($A94,'PVC SCH80'!$A$8:$M$249,7,FALSE),
IF($A94&lt;'PVC SCH80 Flange'!$A$49,VLOOKUP($A94,'PVC SCH80 Flange'!$A$8:$M$48,7,FALSE),
IF($A94&lt;'PVC SCH80 LD Flange'!$A$17,VLOOKUP($A94,'PVC SCH80 LD Flange'!$A$8:$M$16,7,FALSE),
IF($A94&lt;CPVC!$A$100,VLOOKUP($A94,CPVC!$A$8:$M$99,7,FALSE),
IF($A94&lt;InsertFittings!$A$237,VLOOKUP($A94,InsertFittings!$A$11:$M$236,7,FALSE),
IF($A94&lt;Valves!$A$132,VLOOKUP($A94,Valves!$A$8:$M$131,7,FALSE),
IF($A94&lt;SDR35SW!$A$124,VLOOKUP($A94,SDR35SW!$A$8:$M$123,7,FALSE),
IF($A94&lt;SDR35G!$A$143,VLOOKUP($A94, SDR35G!$A$8:$M$142,7,FALSE),
IF($A94&lt;SDR26G!$A$61,VLOOKUP($A94,SDR26G!$A$8:$N$60,10,FALSE),
IF($A94&lt;Cements!$A$100,VLOOKUP($A94,Cements!$A$8:$Q$99,13,FALSE),
IF($A94&lt;ValveBox!$A$143,VLOOKUP($A94,ValveBox!$A$10:$O$142,11,FALSE),
IF($A94&lt;'ValveBox Components'!$A$165,VLOOKUP($A94,'ValveBox Components'!$A$10:$O$164,11,FALSE),
IF($A94&lt;Drainage!$A$92,VLOOKUP($A94,Drainage!$A$8:$M$91,7,FALSE),
IF($A94&lt;Nipples!$A$82,VLOOKUP($A94,Nipples!$A$9:$Q$81,13,FALSE),
IF($A94&lt;Manifold!$A$33,VLOOKUP($A94,Manifold!$A$9:$M$32,7,FALSE),
IF($A94&lt;FlexibleRepairCouplings!$A$13,VLOOKUP($A94,FlexibleRepairCouplings!$A$10:$M$12,7,FALSE),
IF($A94&lt;DuraFix!$A$15,VLOOKUP($A94,DuraFix!$A$9:$M$14,7,FALSE),
IF($A94&lt;'Compression Fittings'!$A$16,VLOOKUP($A94,'Compression Fittings'!$A$8:$M$15,7,FALSE),
IF($A94&lt;'Hose Fittings'!$A$30,VLOOKUP($A94,'Hose Fittings'!$A$8:$M$29,7,FALSE),
IF($A94&lt;'Swing Joints'!$A$496,VLOOKUP($A94,'Swing Joints'!$A$9:$M$495,7,FALSE),
IF($A94&lt;'Swing Joints Components'!$A$135,VLOOKUP($A94,'Swing Joints Components'!$A$9:$M$134,7,FALSE),
IF($A94&lt;Nonstandard!$A$42,VLOOKUP($A94,Nonstandard!$A$31:$J$41,3,FALSE),"")))))))))))))))))))))))))))),"")</f>
        <v/>
      </c>
      <c r="I94" s="589"/>
      <c r="J94" s="423" t="str">
        <f t="shared" si="1"/>
        <v/>
      </c>
      <c r="K94" s="424" t="str">
        <f>IFERROR(IF($A94&lt;'DWV PVC'!$A$285,VLOOKUP($A94,'DWV PVC'!$A$8:$M$284,10,FALSE),
IF($A94&lt;'DWV ABS'!$A$117,VLOOKUP($A94,'DWV ABS'!$A$8:$M$116,10,FALSE),
IF($A94&lt;'PVC SCH40'!$A$376,VLOOKUP($A94,'PVC SCH40'!$A$8:$M$375,10,FALSE),
IF($A94&lt;'PVC SCH40 LD'!$A$22,VLOOKUP($A94,'PVC SCH40 LD'!$A$8:$M$21,10,FALSE),
IF($A94&lt;'Pool &amp; SPA Sweep Elbows'!$A$12,VLOOKUP($A94,'Pool &amp; SPA Sweep Elbows'!$A$8:$M$11,10,FALSE),
IF($A94&lt;'Pool &amp; SPA Pipe Extender'!$A$11,VLOOKUP($A94,'Pool &amp; SPA Pipe Extender'!$A$8:$M$10,10,FALSE),
IF($A94&lt;'PVC SCH80'!$A$250,VLOOKUP($A94,'PVC SCH80'!$A$8:$M$249,10,FALSE),
IF($A94&lt;'PVC SCH80 Flange'!$A$49,VLOOKUP($A94,'PVC SCH80 Flange'!$A$8:$M$48,10,FALSE),
IF($A94&lt;'PVC SCH80 LD Flange'!$A$17,VLOOKUP($A94,'PVC SCH80 LD Flange'!$A$8:$M$16,10,FALSE),
IF($A94&lt;CPVC!$A$100,VLOOKUP($A94,CPVC!$A$8:$M$99,10,FALSE),
IF($A94&lt;InsertFittings!$A$237,VLOOKUP($A94,InsertFittings!$A$11:$M$236,10,FALSE),
IF($A94&lt;Valves!$A$132,VLOOKUP($A94,Valves!$A$8:$M$131,10,FALSE),
IF($A94&lt;SDR35SW!$A$124,VLOOKUP($A94,SDR35SW!$A$8:$M$123,10,FALSE),
IF($A94&lt;SDR35G!$A$143,VLOOKUP($A94, SDR35G!$A$8:$M$142,10,FALSE),
IF($A94&lt;SDR26G!$A$61,VLOOKUP($A94,SDR26G!$A$8:$N$60,11,FALSE),
IF($A94&lt;Cements!$A$100,VLOOKUP($A94,Cements!$A$8:$Q$99,14,FALSE),
IF($A94&lt;ValveBox!$A$143,VLOOKUP($A94,ValveBox!$A$10:$O$142,12,FALSE),
IF($A94&lt;'ValveBox Components'!$A$165,VLOOKUP($A94,'ValveBox Components'!$A$10:$O$164,12,FALSE),
IF($A94&lt;Drainage!$A$92,VLOOKUP($A94,Drainage!$A$8:$M$91,10,FALSE),
IF($A94&lt;Nipples!$A$82,VLOOKUP($A94,Nipples!$A$9:$Q$81,14,FALSE),
IF($A94&lt;Manifold!$A$33,VLOOKUP($A94,Manifold!$A$9:$M$32,10,FALSE),
IF($A94&lt;FlexibleRepairCouplings!$A$13,VLOOKUP($A94,FlexibleRepairCouplings!$A$10:$M$12,10,FALSE),
IF($A94&lt;DuraFix!$A$15,VLOOKUP($A94,DuraFix!$A$9:$M$14,10,FALSE),
IF($A94&lt;'Compression Fittings'!$A$16,VLOOKUP($A94,'Compression Fittings'!$A$8:$M$15,10,FALSE),
IF($A94&lt;'Hose Fittings'!$A$30,VLOOKUP($A94,'Hose Fittings'!$A$8:$M$29,10,FALSE),
IF($A94&lt;'Swing Joints'!$A$496,VLOOKUP($A94,'Swing Joints'!$A$9:$M$495,10,FALSE),
IF($A94&lt;'Swing Joints Components'!$A$135,VLOOKUP($A94,'Swing Joints Components'!$A$9:$M$134,10,FALSE),
IF($A94&lt;Nonstandard!$A$42,VLOOKUP($A94,Nonstandard!$A$31:$J$41,10,FALSE),"")))))))))))))))))))))))))))),"")</f>
        <v/>
      </c>
      <c r="L94" s="421" t="str">
        <f t="shared" si="2"/>
        <v>-</v>
      </c>
      <c r="M94" s="425"/>
    </row>
    <row r="95" spans="1:13" ht="15.75">
      <c r="A95" s="415">
        <v>63</v>
      </c>
      <c r="B95" s="415" t="str">
        <f>IFERROR(IF($A95&lt;'DWV PVC'!$A$285,VLOOKUP($A95,'DWV PVC'!$A$8:$M$284,4,FALSE),
IF($A95&lt;'DWV ABS'!$A$117,VLOOKUP($A95,'DWV ABS'!$A$8:$M$116,4,FALSE),
IF($A95&lt;'PVC SCH40'!$A$376,VLOOKUP($A95,'PVC SCH40'!$A$8:$M$375,4,FALSE),
IF($A95&lt;'PVC SCH40 LD'!$A$22,VLOOKUP($A95,'PVC SCH40 LD'!$A$8:$M$21,4,FALSE),
IF($A95&lt;'Pool &amp; SPA Sweep Elbows'!$A$12,VLOOKUP($A95,'Pool &amp; SPA Sweep Elbows'!$A$8:$M$11,4,FALSE),
IF($A95&lt;'Pool &amp; SPA Pipe Extender'!$A$11,VLOOKUP($A95,'Pool &amp; SPA Pipe Extender'!$A$8:$M$10,4,FALSE),
IF($A95&lt;'PVC SCH80'!$A$250,VLOOKUP($A95,'PVC SCH80'!$A$8:$M$249,4,FALSE),
IF($A95&lt;'PVC SCH80 Flange'!$A$49,VLOOKUP($A95,'PVC SCH80 Flange'!$A$8:$M$48,4,FALSE),
IF($A95&lt;'PVC SCH80 LD Flange'!$A$17,VLOOKUP($A95,'PVC SCH80 LD Flange'!$A$8:$M$16,4,FALSE),
IF($A95&lt;CPVC!$A$100,VLOOKUP($A95,CPVC!$A$8:$M$99,4,FALSE),
IF($A95&lt;InsertFittings!$A$237,VLOOKUP($A95,InsertFittings!$A$11:$M$236,4,FALSE),
IF($A95&lt;Valves!$A$132,VLOOKUP($A95,Valves!$A$8:$M$131,4,FALSE),
IF($A95&lt;SDR35SW!$A$124,VLOOKUP($A95,SDR35SW!$A$8:$M$123,4,FALSE),
IF($A95&lt;SDR35G!$A$143,VLOOKUP($A95, SDR35G!$A$8:$M$142,4,FALSE),
IF($A95&lt;SDR26G!$A$61,VLOOKUP($A95,SDR26G!$A$8:$N$60,4,FALSE),
IF($A95&lt;Cements!$A$100,VLOOKUP($A95,Cements!$A$8:$Q$99,4,FALSE),
IF($A95&lt;ValveBox!$A$143,VLOOKUP($A95,ValveBox!$A$10:$O$142,4,FALSE),
IF($A95&lt;'ValveBox Components'!$A$165,VLOOKUP($A95,'ValveBox Components'!$A$10:$O$164,4,FALSE),
IF($A95&lt;Drainage!$A$92,VLOOKUP($A95,Drainage!$A$8:$M$91,4,FALSE),
IF($A95&lt;Nipples!$A$82,VLOOKUP($A95,Nipples!$A$9:$Q$81,4,FALSE),
IF($A95&lt;Manifold!$A$33,VLOOKUP($A95,Manifold!$A$9:$M$32,4,FALSE),
IF($A95&lt;FlexibleRepairCouplings!$A$13,VLOOKUP($A95,FlexibleRepairCouplings!$A$10:$M$12,4,FALSE),
IF($A95&lt;DuraFix!$A$15,VLOOKUP($A95,DuraFix!$A$9:$M$14,4,FALSE),
IF($A95&lt;'Compression Fittings'!$A$16,VLOOKUP($A95,'Compression Fittings'!$A$8:$M$15,4,FALSE),
IF($A95&lt;'Hose Fittings'!$A$30,VLOOKUP($A95,'Hose Fittings'!$A$8:$M$29,4,FALSE),
IF($A95&lt;'Swing Joints'!$A$496,VLOOKUP($A95,'Swing Joints'!$A$9:$M$495,4,FALSE),
IF($A95&lt;'Swing Joints Components'!$A$135,VLOOKUP($A95,'Swing Joints Components'!$A$9:$M$134,4,FALSE),
IF($A95&lt;Nonstandard!$A$42,VLOOKUP($A95,Nonstandard!$A$31:$J$41,5,FALSE),"")))))))))))))))))))))))))))),"")</f>
        <v/>
      </c>
      <c r="C95" s="415" t="str">
        <f>IFERROR(IF($A95&lt;'DWV PVC'!$A$285,VLOOKUP($A95,'DWV PVC'!$A$8:$M$284,5,FALSE),
IF($A95&lt;'DWV ABS'!$A$117,VLOOKUP($A95,'DWV ABS'!$A$8:$M$116,5,FALSE),
IF($A95&lt;'PVC SCH40'!$A$376,VLOOKUP($A95,'PVC SCH40'!$A$8:$M$375,5,FALSE),
IF($A95&lt;'PVC SCH40 LD'!$A$22,VLOOKUP($A95,'PVC SCH40 LD'!$A$8:$M$21,5,FALSE),
IF($A95&lt;'Pool &amp; SPA Sweep Elbows'!$A$12,VLOOKUP($A95,'Pool &amp; SPA Sweep Elbows'!$A$8:$M$11,5,FALSE),
IF($A95&lt;'Pool &amp; SPA Pipe Extender'!$A$11,VLOOKUP($A95,'Pool &amp; SPA Pipe Extender'!$A$8:$M$10,5,FALSE),
IF($A95&lt;'PVC SCH80'!$A$250,VLOOKUP($A95,'PVC SCH80'!$A$8:$M$249,5,FALSE),
IF($A95&lt;'PVC SCH80 Flange'!$A$49,VLOOKUP($A95,'PVC SCH80 Flange'!$A$8:$M$48,5,FALSE),
IF($A95&lt;'PVC SCH80 LD Flange'!$A$17,VLOOKUP($A95,'PVC SCH80 LD Flange'!$A$8:$M$16,5,FALSE),
IF($A95&lt;CPVC!$A$100,VLOOKUP($A95,CPVC!$A$8:$M$99,5,FALSE),
IF($A95&lt;InsertFittings!$A$237,VLOOKUP($A95,InsertFittings!$A$11:$M$236,5,FALSE),
IF($A95&lt;Valves!$A$132,VLOOKUP($A95,Valves!$A$8:$M$131,5,FALSE),
IF($A95&lt;SDR35SW!$A$124,VLOOKUP($A95,SDR35SW!$A$8:$M$123,5,FALSE),
IF($A95&lt;SDR35G!$A$143,VLOOKUP($A95, SDR35G!$A$8:$M$142,5,FALSE),
IF($A95&lt;SDR26G!$A$61,VLOOKUP($A95,SDR26G!$A$8:$N$60,5,FALSE),
IF($A95&lt;Cements!$A$100,VLOOKUP($A95,Cements!$A$8:$Q$99,5,FALSE),
IF($A95&lt;ValveBox!$A$143,VLOOKUP($A95,ValveBox!$A$10:$O$142,5,FALSE),
IF($A95&lt;'ValveBox Components'!$A$165,VLOOKUP($A95,'ValveBox Components'!$A$10:$O$164,5,FALSE),
IF($A95&lt;Drainage!$A$92,VLOOKUP($A95,Drainage!$A$8:$M$91,5,FALSE),
IF($A95&lt;Nipples!$A$82,VLOOKUP($A95,Nipples!$A$9:$Q$81,5,FALSE),
IF($A95&lt;Manifold!$A$33,VLOOKUP($A95,Manifold!$A$9:$M$32,5,FALSE),
IF($A95&lt;FlexibleRepairCouplings!$A$13,VLOOKUP($A95,FlexibleRepairCouplings!$A$10:$M$12,5,FALSE),
IF($A95&lt;DuraFix!$A$15,VLOOKUP($A95,DuraFix!$A$9:$M$14,5,FALSE),
IF($A95&lt;'Compression Fittings'!$A$16,VLOOKUP($A95,'Compression Fittings'!$A$8:$M$15,5,FALSE),
IF($A95&lt;'Hose Fittings'!$A$30,VLOOKUP($A95,'Hose Fittings'!$A$8:$M$29,5,FALSE),
IF($A95&lt;'Swing Joints'!$A$496,VLOOKUP($A95,'Swing Joints'!$A$9:$M$495,5,FALSE),
IF($A95&lt;'Swing Joints Components'!$A$135,VLOOKUP($A95,'Swing Joints Components'!$A$9:$M$134,5,FALSE),
IF($A95&lt;Nonstandard!$A$42,VLOOKUP($A95,Nonstandard!$A$31:$J$41,6,FALSE),"")))))))))))))))))))))))))))),"")</f>
        <v/>
      </c>
      <c r="D95" s="426" t="str">
        <f>IFERROR(IF($A95&lt;'DWV PVC'!$A$285,VLOOKUP($A95,'DWV PVC'!$A$8:$M$284,6,FALSE),
IF($A95&lt;'DWV ABS'!$A$117,VLOOKUP($A95,'DWV ABS'!$A$8:$M$116,6,FALSE),
IF($A95&lt;'PVC SCH40'!$A$376,VLOOKUP($A95,'PVC SCH40'!$A$8:$M$375,6,FALSE),
IF($A95&lt;'PVC SCH40 LD'!$A$22,VLOOKUP($A95,'PVC SCH40 LD'!$A$8:$M$21,6,FALSE),
IF($A95&lt;'Pool &amp; SPA Sweep Elbows'!$A$12,VLOOKUP($A95,'Pool &amp; SPA Sweep Elbows'!$A$8:$M$11,6,FALSE),
IF($A95&lt;'Pool &amp; SPA Pipe Extender'!$A$11,VLOOKUP($A95,'Pool &amp; SPA Pipe Extender'!$A$8:$M$10,6,FALSE),
IF($A95&lt;'PVC SCH80'!$A$250,VLOOKUP($A95,'PVC SCH80'!$A$8:$M$249,6,FALSE),
IF($A95&lt;'PVC SCH80 Flange'!$A$49,VLOOKUP($A95,'PVC SCH80 Flange'!$A$8:$M$48,6,FALSE),
IF($A95&lt;'PVC SCH80 LD Flange'!$A$17,VLOOKUP($A95,'PVC SCH80 LD Flange'!$A$8:$M$16,6,FALSE),
IF($A95&lt;CPVC!$A$100,VLOOKUP($A95,CPVC!$A$8:$M$99,6,FALSE),
IF($A95&lt;InsertFittings!$A$237,VLOOKUP($A95,InsertFittings!$A$11:$M$236,6,FALSE),
IF($A95&lt;Valves!$A$132,VLOOKUP($A95,Valves!$A$8:$M$131,6,FALSE),
IF($A95&lt;SDR35SW!$A$124,VLOOKUP($A95,SDR35SW!$A$8:$M$123,6,FALSE),
IF($A95&lt;SDR35G!$A$143,VLOOKUP($A95, SDR35G!$A$8:$M$142,6,FALSE),
IF($A95&lt;SDR26G!$A$61,VLOOKUP($A95,SDR26G!$A$8:$N$60,6,FALSE),
IF($A95&lt;Cements!$A$100,VLOOKUP($A95,Cements!$A$8:$Q$99,6,FALSE),
IF($A95&lt;ValveBox!$A$143,VLOOKUP($A95,ValveBox!$A$10:$O$142,6,FALSE),
IF($A95&lt;'ValveBox Components'!$A$165,VLOOKUP($A95,'ValveBox Components'!$A$10:$O$164,6,FALSE),
IF($A95&lt;Drainage!$A$92,VLOOKUP($A95,Drainage!$A$8:$M$91,6,FALSE),
IF($A95&lt;Nipples!$A$82,VLOOKUP($A95,Nipples!$A$9:$Q$81,6,FALSE),
IF($A95&lt;Manifold!$A$33,VLOOKUP($A95,Manifold!$A$9:$M$32,6,FALSE),
IF($A95&lt;FlexibleRepairCouplings!$A$13,VLOOKUP($A95,FlexibleRepairCouplings!$A$10:$M$12,6,FALSE),
IF($A95&lt;DuraFix!$A$15,VLOOKUP($A95,DuraFix!$A$9:$M$14,6,FALSE),
IF($A95&lt;'Compression Fittings'!$A$16,VLOOKUP($A95,'Compression Fittings'!$A$8:$M$15,6,FALSE),
IF($A95&lt;'Hose Fittings'!$A$30,VLOOKUP($A95,'Hose Fittings'!$A$8:$M$29,6,FALSE),
IF($A95&lt;'Swing Joints'!$A$496,VLOOKUP($A95,'Swing Joints'!$A$9:$M$495,6,FALSE),
IF($A95&lt;'Swing Joints Components'!$A$135,VLOOKUP($A95,'Swing Joints Components'!$A$9:$M$134,6,FALSE),
IF($A95&lt;Nonstandard!$A$42,VLOOKUP($A95,Nonstandard!$A$31:$J$41,7,FALSE),"")))))))))))))))))))))))))))),"")</f>
        <v/>
      </c>
      <c r="E95" s="427"/>
      <c r="F95" s="418" t="str">
        <f>IFERROR(IF($A95&lt;'DWV PVC'!$A$285,VLOOKUP($A95,'DWV PVC'!$A$8:$M$284,9,FALSE),
IF($A95&lt;'DWV ABS'!$A$117,VLOOKUP($A95,'DWV ABS'!$A$8:$M$116,9,FALSE),
IF($A95&lt;'PVC SCH40'!$A$376,VLOOKUP($A95,'PVC SCH40'!$A$8:$M$375,9,FALSE),
IF($A95&lt;'PVC SCH40 LD'!$A$22,VLOOKUP($A95,'PVC SCH40 LD'!$A$8:$M$21,9,FALSE),
IF($A95&lt;'Pool &amp; SPA Sweep Elbows'!$A$12,VLOOKUP($A95,'Pool &amp; SPA Sweep Elbows'!$A$8:$M$11,9,FALSE),
IF($A95&lt;'Pool &amp; SPA Pipe Extender'!$A$11,VLOOKUP($A95,'Pool &amp; SPA Pipe Extender'!$A$8:$M$10,9,FALSE),
IF($A95&lt;'PVC SCH80'!$A$250,VLOOKUP($A95,'PVC SCH80'!$A$8:$M$249,9,FALSE),
IF($A95&lt;'PVC SCH80 Flange'!$A$49,VLOOKUP($A95,'PVC SCH80 Flange'!$A$8:$M$48,9,FALSE),
IF($A95&lt;'PVC SCH80 LD Flange'!$A$17,VLOOKUP($A95,'PVC SCH80 LD Flange'!$A$8:$M$16,9,FALSE),
IF($A95&lt;CPVC!$A$100,VLOOKUP($A95,CPVC!$A$8:$M$99,9,FALSE),
IF($A95&lt;InsertFittings!$A$237,VLOOKUP($A95,InsertFittings!$A$11:$M$236,9,FALSE),
IF($A95&lt;Valves!$A$132,VLOOKUP($A95,Valves!$A$8:$M$131,9,FALSE),
IF($A95&lt;SDR35SW!$A$124,VLOOKUP($A95,SDR35SW!$A$8:$M$123,9,FALSE),
IF($A95&lt;SDR35G!$A$143,VLOOKUP($A95, SDR35G!$A$8:$M$142,9,FALSE),
IF($A95&lt;SDR26G!$A$61,VLOOKUP($A95,SDR26G!$A$8:$N$60,10,FALSE),
IF($A95&lt;Cements!$A$100,VLOOKUP($A95,Cements!$A$8:$Q$99,13,FALSE),
IF($A95&lt;ValveBox!$A$143,VLOOKUP($A95,ValveBox!$A$10:$O$142,11,FALSE),
IF($A95&lt;'ValveBox Components'!$A$165,VLOOKUP($A95,'ValveBox Components'!$A$10:$O$164,11,FALSE),
IF($A95&lt;Drainage!$A$92,VLOOKUP($A95,Drainage!$A$8:$M$91,9,FALSE),
IF($A95&lt;Nipples!$A$82,VLOOKUP($A95,Nipples!$A$9:$Q$81,13,FALSE),
IF($A95&lt;Manifold!$A$33,VLOOKUP($A95,Manifold!$A$9:$M$32,9,FALSE),
IF($A95&lt;FlexibleRepairCouplings!$A$13,VLOOKUP($A95,FlexibleRepairCouplings!$A$10:$M$12,9,FALSE),
IF($A95&lt;DuraFix!$A$15,VLOOKUP($A95,DuraFix!$A$9:$M$14,9,FALSE),
IF($A95&lt;'Compression Fittings'!$A$16,VLOOKUP($A95,'Compression Fittings'!$A$8:$M$15,9,FALSE),
IF($A95&lt;'Hose Fittings'!$A$30,VLOOKUP($A95,'Hose Fittings'!$A$8:$M$29,9,FALSE),
IF($A95&lt;'Swing Joints'!$A$496,VLOOKUP($A95,'Swing Joints'!$A$9:$M$495,9,FALSE),
IF($A95&lt;'Swing Joints Components'!$A$135,VLOOKUP($A95,'Swing Joints Components'!$A$9:$M$134,9,FALSE),
IF($A95&lt;Nonstandard!$A$42,VLOOKUP($A95,Nonstandard!$A$31:$J$41,8,FALSE),"")))))))))))))))))))))))))))),"")</f>
        <v/>
      </c>
      <c r="G95" s="416" t="str">
        <f>IFERROR(IF($A95&lt;'DWV PVC'!$A$285,VLOOKUP($A95,'DWV PVC'!$A$8:$M$284,11,FALSE),
IF($A95&lt;'DWV ABS'!$A$117,VLOOKUP($A95,'DWV ABS'!$A$8:$M$116,11,FALSE),
IF($A95&lt;'PVC SCH40'!$A$376,VLOOKUP($A95,'PVC SCH40'!$A$8:$M$375,11,FALSE),
IF($A95&lt;'PVC SCH40 LD'!$A$22,VLOOKUP($A95,'PVC SCH40 LD'!$A$8:$M$21,11,FALSE),
IF($A95&lt;'Pool &amp; SPA Sweep Elbows'!$A$12,VLOOKUP($A95,'Pool &amp; SPA Sweep Elbows'!$A$8:$M$11,11,FALSE),
IF($A95&lt;'Pool &amp; SPA Pipe Extender'!$A$11,VLOOKUP($A95,'Pool &amp; SPA Pipe Extender'!$A$8:$M$10,11,FALSE),
IF($A95&lt;'PVC SCH80'!$A$250,VLOOKUP($A95,'PVC SCH80'!$A$8:$M$249,11,FALSE),
IF($A95&lt;'PVC SCH80 Flange'!$A$49,VLOOKUP($A95,'PVC SCH80 Flange'!$A$8:$M$48,11,FALSE),
IF($A95&lt;'PVC SCH80 LD Flange'!$A$17,VLOOKUP($A95,'PVC SCH80 LD Flange'!$A$8:$M$16,11,FALSE),
IF($A95&lt;CPVC!$A$100,VLOOKUP($A95,CPVC!$A$8:$M$99,11,FALSE),
IF($A95&lt;InsertFittings!$A$237,VLOOKUP($A95,InsertFittings!$A$11:$M$236,11,FALSE),
IF($A95&lt;Valves!$A$132,VLOOKUP($A95,Valves!$A$8:$M$131,11,FALSE),
IF($A95&lt;SDR35SW!$A$124,VLOOKUP($A95,SDR35SW!$A$8:$M$123,11,FALSE),
IF($A95&lt;SDR35G!$A$143,VLOOKUP($A95, SDR35G!$A$8:$M$142,11,FALSE),
IF($A95&lt;SDR26G!$A$61,VLOOKUP($A95,SDR26G!$A$8:$N$60,12,FALSE),
IF($A95&lt;Cements!$A$100,VLOOKUP($A95,Cements!$A$8:$Q$99,15,FALSE),
IF($A95&lt;ValveBox!$A$143,VLOOKUP($A95,ValveBox!$A$10:$O$142,13,FALSE),
IF($A95&lt;'ValveBox Components'!$A$165,VLOOKUP($A95,'ValveBox Components'!$A$10:$O$164,13,FALSE),
IF($A95&lt;Drainage!$A$92,VLOOKUP($A95,Drainage!$A$8:$M$91,11,FALSE),
IF($A95&lt;Nipples!$A$82,VLOOKUP($A95,Nipples!$A$9:$Q$81,15,FALSE),
IF($A95&lt;Manifold!$A$33,VLOOKUP($A95,Manifold!$A$9:$M$32,11,FALSE),
IF($A95&lt;FlexibleRepairCouplings!$A$13,VLOOKUP($A95,FlexibleRepairCouplings!$A$10:$M$12,11,FALSE),
IF($A95&lt;DuraFix!$A$15,VLOOKUP($A95,DuraFix!$A$9:$M$14,11,FALSE),
IF($A95&lt;'Compression Fittings'!$A$16,VLOOKUP($A95,'Compression Fittings'!$A$8:$M$15,11,FALSE),
IF($A95&lt;'Hose Fittings'!$A$30,VLOOKUP($A95,'Hose Fittings'!$A$8:$M$29,11,FALSE),
IF($A95&lt;'Swing Joints'!$A$496,VLOOKUP($A95,'Swing Joints'!$A$9:$M$495,11,FALSE),
IF($A95&lt;'Swing Joints Components'!$A$135,VLOOKUP($A95,'Swing Joints Components'!$A$9:$M$134,11,FALSE),
IF($A95&lt;Nonstandard!$A$42,VLOOKUP($A95,Nonstandard!$A$31:$J$41,3,FALSE),"")))))))))))))))))))))))))))),"")</f>
        <v/>
      </c>
      <c r="H95" s="586" t="str">
        <f>IFERROR(IF($A95&lt;'DWV PVC'!$A$285,VLOOKUP($A95,'DWV PVC'!$A$8:$M$284,7,FALSE),
IF($A95&lt;'DWV ABS'!$A$117,VLOOKUP($A95,'DWV ABS'!$A$8:$M$116,7,FALSE),
IF($A95&lt;'PVC SCH40'!$A$376,VLOOKUP($A95,'PVC SCH40'!$A$8:$M$375,7,FALSE),
IF($A95&lt;'PVC SCH40 LD'!$A$22,VLOOKUP($A95,'PVC SCH40 LD'!$A$8:$M$21,7,FALSE),
IF($A95&lt;'Pool &amp; SPA Sweep Elbows'!$A$12,VLOOKUP($A95,'Pool &amp; SPA Sweep Elbows'!$A$8:$M$11,7,FALSE),
IF($A95&lt;'Pool &amp; SPA Pipe Extender'!$A$11,VLOOKUP($A95,'Pool &amp; SPA Pipe Extender'!$A$8:$M$10,7,FALSE),
IF($A95&lt;'PVC SCH80'!$A$250,VLOOKUP($A95,'PVC SCH80'!$A$8:$M$249,7,FALSE),
IF($A95&lt;'PVC SCH80 Flange'!$A$49,VLOOKUP($A95,'PVC SCH80 Flange'!$A$8:$M$48,7,FALSE),
IF($A95&lt;'PVC SCH80 LD Flange'!$A$17,VLOOKUP($A95,'PVC SCH80 LD Flange'!$A$8:$M$16,7,FALSE),
IF($A95&lt;CPVC!$A$100,VLOOKUP($A95,CPVC!$A$8:$M$99,7,FALSE),
IF($A95&lt;InsertFittings!$A$237,VLOOKUP($A95,InsertFittings!$A$11:$M$236,7,FALSE),
IF($A95&lt;Valves!$A$132,VLOOKUP($A95,Valves!$A$8:$M$131,7,FALSE),
IF($A95&lt;SDR35SW!$A$124,VLOOKUP($A95,SDR35SW!$A$8:$M$123,7,FALSE),
IF($A95&lt;SDR35G!$A$143,VLOOKUP($A95, SDR35G!$A$8:$M$142,7,FALSE),
IF($A95&lt;SDR26G!$A$61,VLOOKUP($A95,SDR26G!$A$8:$N$60,10,FALSE),
IF($A95&lt;Cements!$A$100,VLOOKUP($A95,Cements!$A$8:$Q$99,13,FALSE),
IF($A95&lt;ValveBox!$A$143,VLOOKUP($A95,ValveBox!$A$10:$O$142,11,FALSE),
IF($A95&lt;'ValveBox Components'!$A$165,VLOOKUP($A95,'ValveBox Components'!$A$10:$O$164,11,FALSE),
IF($A95&lt;Drainage!$A$92,VLOOKUP($A95,Drainage!$A$8:$M$91,7,FALSE),
IF($A95&lt;Nipples!$A$82,VLOOKUP($A95,Nipples!$A$9:$Q$81,13,FALSE),
IF($A95&lt;Manifold!$A$33,VLOOKUP($A95,Manifold!$A$9:$M$32,7,FALSE),
IF($A95&lt;FlexibleRepairCouplings!$A$13,VLOOKUP($A95,FlexibleRepairCouplings!$A$10:$M$12,7,FALSE),
IF($A95&lt;DuraFix!$A$15,VLOOKUP($A95,DuraFix!$A$9:$M$14,7,FALSE),
IF($A95&lt;'Compression Fittings'!$A$16,VLOOKUP($A95,'Compression Fittings'!$A$8:$M$15,7,FALSE),
IF($A95&lt;'Hose Fittings'!$A$30,VLOOKUP($A95,'Hose Fittings'!$A$8:$M$29,7,FALSE),
IF($A95&lt;'Swing Joints'!$A$496,VLOOKUP($A95,'Swing Joints'!$A$9:$M$495,7,FALSE),
IF($A95&lt;'Swing Joints Components'!$A$135,VLOOKUP($A95,'Swing Joints Components'!$A$9:$M$134,7,FALSE),
IF($A95&lt;Nonstandard!$A$42,VLOOKUP($A95,Nonstandard!$A$31:$J$41,3,FALSE),"")))))))))))))))))))))))))))),"")</f>
        <v/>
      </c>
      <c r="I95" s="587"/>
      <c r="J95" s="383" t="str">
        <f t="shared" si="1"/>
        <v/>
      </c>
      <c r="K95" s="417" t="str">
        <f>IFERROR(IF($A95&lt;'DWV PVC'!$A$285,VLOOKUP($A95,'DWV PVC'!$A$8:$M$284,10,FALSE),
IF($A95&lt;'DWV ABS'!$A$117,VLOOKUP($A95,'DWV ABS'!$A$8:$M$116,10,FALSE),
IF($A95&lt;'PVC SCH40'!$A$376,VLOOKUP($A95,'PVC SCH40'!$A$8:$M$375,10,FALSE),
IF($A95&lt;'PVC SCH40 LD'!$A$22,VLOOKUP($A95,'PVC SCH40 LD'!$A$8:$M$21,10,FALSE),
IF($A95&lt;'Pool &amp; SPA Sweep Elbows'!$A$12,VLOOKUP($A95,'Pool &amp; SPA Sweep Elbows'!$A$8:$M$11,10,FALSE),
IF($A95&lt;'Pool &amp; SPA Pipe Extender'!$A$11,VLOOKUP($A95,'Pool &amp; SPA Pipe Extender'!$A$8:$M$10,10,FALSE),
IF($A95&lt;'PVC SCH80'!$A$250,VLOOKUP($A95,'PVC SCH80'!$A$8:$M$249,10,FALSE),
IF($A95&lt;'PVC SCH80 Flange'!$A$49,VLOOKUP($A95,'PVC SCH80 Flange'!$A$8:$M$48,10,FALSE),
IF($A95&lt;'PVC SCH80 LD Flange'!$A$17,VLOOKUP($A95,'PVC SCH80 LD Flange'!$A$8:$M$16,10,FALSE),
IF($A95&lt;CPVC!$A$100,VLOOKUP($A95,CPVC!$A$8:$M$99,10,FALSE),
IF($A95&lt;InsertFittings!$A$237,VLOOKUP($A95,InsertFittings!$A$11:$M$236,10,FALSE),
IF($A95&lt;Valves!$A$132,VLOOKUP($A95,Valves!$A$8:$M$131,10,FALSE),
IF($A95&lt;SDR35SW!$A$124,VLOOKUP($A95,SDR35SW!$A$8:$M$123,10,FALSE),
IF($A95&lt;SDR35G!$A$143,VLOOKUP($A95, SDR35G!$A$8:$M$142,10,FALSE),
IF($A95&lt;SDR26G!$A$61,VLOOKUP($A95,SDR26G!$A$8:$N$60,11,FALSE),
IF($A95&lt;Cements!$A$100,VLOOKUP($A95,Cements!$A$8:$Q$99,14,FALSE),
IF($A95&lt;ValveBox!$A$143,VLOOKUP($A95,ValveBox!$A$10:$O$142,12,FALSE),
IF($A95&lt;'ValveBox Components'!$A$165,VLOOKUP($A95,'ValveBox Components'!$A$10:$O$164,12,FALSE),
IF($A95&lt;Drainage!$A$92,VLOOKUP($A95,Drainage!$A$8:$M$91,10,FALSE),
IF($A95&lt;Nipples!$A$82,VLOOKUP($A95,Nipples!$A$9:$Q$81,14,FALSE),
IF($A95&lt;Manifold!$A$33,VLOOKUP($A95,Manifold!$A$9:$M$32,10,FALSE),
IF($A95&lt;FlexibleRepairCouplings!$A$13,VLOOKUP($A95,FlexibleRepairCouplings!$A$10:$M$12,10,FALSE),
IF($A95&lt;DuraFix!$A$15,VLOOKUP($A95,DuraFix!$A$9:$M$14,10,FALSE),
IF($A95&lt;'Compression Fittings'!$A$16,VLOOKUP($A95,'Compression Fittings'!$A$8:$M$15,10,FALSE),
IF($A95&lt;'Hose Fittings'!$A$30,VLOOKUP($A95,'Hose Fittings'!$A$8:$M$29,10,FALSE),
IF($A95&lt;'Swing Joints'!$A$496,VLOOKUP($A95,'Swing Joints'!$A$9:$M$495,10,FALSE),
IF($A95&lt;'Swing Joints Components'!$A$135,VLOOKUP($A95,'Swing Joints Components'!$A$9:$M$134,10,FALSE),
IF($A95&lt;Nonstandard!$A$42,VLOOKUP($A95,Nonstandard!$A$31:$J$41,10,FALSE),"")))))))))))))))))))))))))))),"")</f>
        <v/>
      </c>
      <c r="L95" s="418" t="str">
        <f t="shared" si="2"/>
        <v>-</v>
      </c>
      <c r="M95" s="419"/>
    </row>
    <row r="96" spans="1:13" ht="15.75">
      <c r="A96" s="420">
        <v>64</v>
      </c>
      <c r="B96" s="420" t="str">
        <f>IFERROR(IF($A96&lt;'DWV PVC'!$A$285,VLOOKUP($A96,'DWV PVC'!$A$8:$M$284,4,FALSE),
IF($A96&lt;'DWV ABS'!$A$117,VLOOKUP($A96,'DWV ABS'!$A$8:$M$116,4,FALSE),
IF($A96&lt;'PVC SCH40'!$A$376,VLOOKUP($A96,'PVC SCH40'!$A$8:$M$375,4,FALSE),
IF($A96&lt;'PVC SCH40 LD'!$A$22,VLOOKUP($A96,'PVC SCH40 LD'!$A$8:$M$21,4,FALSE),
IF($A96&lt;'Pool &amp; SPA Sweep Elbows'!$A$12,VLOOKUP($A96,'Pool &amp; SPA Sweep Elbows'!$A$8:$M$11,4,FALSE),
IF($A96&lt;'Pool &amp; SPA Pipe Extender'!$A$11,VLOOKUP($A96,'Pool &amp; SPA Pipe Extender'!$A$8:$M$10,4,FALSE),
IF($A96&lt;'PVC SCH80'!$A$250,VLOOKUP($A96,'PVC SCH80'!$A$8:$M$249,4,FALSE),
IF($A96&lt;'PVC SCH80 Flange'!$A$49,VLOOKUP($A96,'PVC SCH80 Flange'!$A$8:$M$48,4,FALSE),
IF($A96&lt;'PVC SCH80 LD Flange'!$A$17,VLOOKUP($A96,'PVC SCH80 LD Flange'!$A$8:$M$16,4,FALSE),
IF($A96&lt;CPVC!$A$100,VLOOKUP($A96,CPVC!$A$8:$M$99,4,FALSE),
IF($A96&lt;InsertFittings!$A$237,VLOOKUP($A96,InsertFittings!$A$11:$M$236,4,FALSE),
IF($A96&lt;Valves!$A$132,VLOOKUP($A96,Valves!$A$8:$M$131,4,FALSE),
IF($A96&lt;SDR35SW!$A$124,VLOOKUP($A96,SDR35SW!$A$8:$M$123,4,FALSE),
IF($A96&lt;SDR35G!$A$143,VLOOKUP($A96, SDR35G!$A$8:$M$142,4,FALSE),
IF($A96&lt;SDR26G!$A$61,VLOOKUP($A96,SDR26G!$A$8:$N$60,4,FALSE),
IF($A96&lt;Cements!$A$100,VLOOKUP($A96,Cements!$A$8:$Q$99,4,FALSE),
IF($A96&lt;ValveBox!$A$143,VLOOKUP($A96,ValveBox!$A$10:$O$142,4,FALSE),
IF($A96&lt;'ValveBox Components'!$A$165,VLOOKUP($A96,'ValveBox Components'!$A$10:$O$164,4,FALSE),
IF($A96&lt;Drainage!$A$92,VLOOKUP($A96,Drainage!$A$8:$M$91,4,FALSE),
IF($A96&lt;Nipples!$A$82,VLOOKUP($A96,Nipples!$A$9:$Q$81,4,FALSE),
IF($A96&lt;Manifold!$A$33,VLOOKUP($A96,Manifold!$A$9:$M$32,4,FALSE),
IF($A96&lt;FlexibleRepairCouplings!$A$13,VLOOKUP($A96,FlexibleRepairCouplings!$A$10:$M$12,4,FALSE),
IF($A96&lt;DuraFix!$A$15,VLOOKUP($A96,DuraFix!$A$9:$M$14,4,FALSE),
IF($A96&lt;'Compression Fittings'!$A$16,VLOOKUP($A96,'Compression Fittings'!$A$8:$M$15,4,FALSE),
IF($A96&lt;'Hose Fittings'!$A$30,VLOOKUP($A96,'Hose Fittings'!$A$8:$M$29,4,FALSE),
IF($A96&lt;'Swing Joints'!$A$496,VLOOKUP($A96,'Swing Joints'!$A$9:$M$495,4,FALSE),
IF($A96&lt;'Swing Joints Components'!$A$135,VLOOKUP($A96,'Swing Joints Components'!$A$9:$M$134,4,FALSE),
IF($A96&lt;Nonstandard!$A$42,VLOOKUP($A96,Nonstandard!$A$31:$J$41,5,FALSE),"")))))))))))))))))))))))))))),"")</f>
        <v/>
      </c>
      <c r="C96" s="420" t="str">
        <f>IFERROR(IF($A96&lt;'DWV PVC'!$A$285,VLOOKUP($A96,'DWV PVC'!$A$8:$M$284,5,FALSE),
IF($A96&lt;'DWV ABS'!$A$117,VLOOKUP($A96,'DWV ABS'!$A$8:$M$116,5,FALSE),
IF($A96&lt;'PVC SCH40'!$A$376,VLOOKUP($A96,'PVC SCH40'!$A$8:$M$375,5,FALSE),
IF($A96&lt;'PVC SCH40 LD'!$A$22,VLOOKUP($A96,'PVC SCH40 LD'!$A$8:$M$21,5,FALSE),
IF($A96&lt;'Pool &amp; SPA Sweep Elbows'!$A$12,VLOOKUP($A96,'Pool &amp; SPA Sweep Elbows'!$A$8:$M$11,5,FALSE),
IF($A96&lt;'Pool &amp; SPA Pipe Extender'!$A$11,VLOOKUP($A96,'Pool &amp; SPA Pipe Extender'!$A$8:$M$10,5,FALSE),
IF($A96&lt;'PVC SCH80'!$A$250,VLOOKUP($A96,'PVC SCH80'!$A$8:$M$249,5,FALSE),
IF($A96&lt;'PVC SCH80 Flange'!$A$49,VLOOKUP($A96,'PVC SCH80 Flange'!$A$8:$M$48,5,FALSE),
IF($A96&lt;'PVC SCH80 LD Flange'!$A$17,VLOOKUP($A96,'PVC SCH80 LD Flange'!$A$8:$M$16,5,FALSE),
IF($A96&lt;CPVC!$A$100,VLOOKUP($A96,CPVC!$A$8:$M$99,5,FALSE),
IF($A96&lt;InsertFittings!$A$237,VLOOKUP($A96,InsertFittings!$A$11:$M$236,5,FALSE),
IF($A96&lt;Valves!$A$132,VLOOKUP($A96,Valves!$A$8:$M$131,5,FALSE),
IF($A96&lt;SDR35SW!$A$124,VLOOKUP($A96,SDR35SW!$A$8:$M$123,5,FALSE),
IF($A96&lt;SDR35G!$A$143,VLOOKUP($A96, SDR35G!$A$8:$M$142,5,FALSE),
IF($A96&lt;SDR26G!$A$61,VLOOKUP($A96,SDR26G!$A$8:$N$60,5,FALSE),
IF($A96&lt;Cements!$A$100,VLOOKUP($A96,Cements!$A$8:$Q$99,5,FALSE),
IF($A96&lt;ValveBox!$A$143,VLOOKUP($A96,ValveBox!$A$10:$O$142,5,FALSE),
IF($A96&lt;'ValveBox Components'!$A$165,VLOOKUP($A96,'ValveBox Components'!$A$10:$O$164,5,FALSE),
IF($A96&lt;Drainage!$A$92,VLOOKUP($A96,Drainage!$A$8:$M$91,5,FALSE),
IF($A96&lt;Nipples!$A$82,VLOOKUP($A96,Nipples!$A$9:$Q$81,5,FALSE),
IF($A96&lt;Manifold!$A$33,VLOOKUP($A96,Manifold!$A$9:$M$32,5,FALSE),
IF($A96&lt;FlexibleRepairCouplings!$A$13,VLOOKUP($A96,FlexibleRepairCouplings!$A$10:$M$12,5,FALSE),
IF($A96&lt;DuraFix!$A$15,VLOOKUP($A96,DuraFix!$A$9:$M$14,5,FALSE),
IF($A96&lt;'Compression Fittings'!$A$16,VLOOKUP($A96,'Compression Fittings'!$A$8:$M$15,5,FALSE),
IF($A96&lt;'Hose Fittings'!$A$30,VLOOKUP($A96,'Hose Fittings'!$A$8:$M$29,5,FALSE),
IF($A96&lt;'Swing Joints'!$A$496,VLOOKUP($A96,'Swing Joints'!$A$9:$M$495,5,FALSE),
IF($A96&lt;'Swing Joints Components'!$A$135,VLOOKUP($A96,'Swing Joints Components'!$A$9:$M$134,5,FALSE),
IF($A96&lt;Nonstandard!$A$42,VLOOKUP($A96,Nonstandard!$A$31:$J$41,6,FALSE),"")))))))))))))))))))))))))))),"")</f>
        <v/>
      </c>
      <c r="D96" s="428" t="str">
        <f>IFERROR(IF($A96&lt;'DWV PVC'!$A$285,VLOOKUP($A96,'DWV PVC'!$A$8:$M$284,6,FALSE),
IF($A96&lt;'DWV ABS'!$A$117,VLOOKUP($A96,'DWV ABS'!$A$8:$M$116,6,FALSE),
IF($A96&lt;'PVC SCH40'!$A$376,VLOOKUP($A96,'PVC SCH40'!$A$8:$M$375,6,FALSE),
IF($A96&lt;'PVC SCH40 LD'!$A$22,VLOOKUP($A96,'PVC SCH40 LD'!$A$8:$M$21,6,FALSE),
IF($A96&lt;'Pool &amp; SPA Sweep Elbows'!$A$12,VLOOKUP($A96,'Pool &amp; SPA Sweep Elbows'!$A$8:$M$11,6,FALSE),
IF($A96&lt;'Pool &amp; SPA Pipe Extender'!$A$11,VLOOKUP($A96,'Pool &amp; SPA Pipe Extender'!$A$8:$M$10,6,FALSE),
IF($A96&lt;'PVC SCH80'!$A$250,VLOOKUP($A96,'PVC SCH80'!$A$8:$M$249,6,FALSE),
IF($A96&lt;'PVC SCH80 Flange'!$A$49,VLOOKUP($A96,'PVC SCH80 Flange'!$A$8:$M$48,6,FALSE),
IF($A96&lt;'PVC SCH80 LD Flange'!$A$17,VLOOKUP($A96,'PVC SCH80 LD Flange'!$A$8:$M$16,6,FALSE),
IF($A96&lt;CPVC!$A$100,VLOOKUP($A96,CPVC!$A$8:$M$99,6,FALSE),
IF($A96&lt;InsertFittings!$A$237,VLOOKUP($A96,InsertFittings!$A$11:$M$236,6,FALSE),
IF($A96&lt;Valves!$A$132,VLOOKUP($A96,Valves!$A$8:$M$131,6,FALSE),
IF($A96&lt;SDR35SW!$A$124,VLOOKUP($A96,SDR35SW!$A$8:$M$123,6,FALSE),
IF($A96&lt;SDR35G!$A$143,VLOOKUP($A96, SDR35G!$A$8:$M$142,6,FALSE),
IF($A96&lt;SDR26G!$A$61,VLOOKUP($A96,SDR26G!$A$8:$N$60,6,FALSE),
IF($A96&lt;Cements!$A$100,VLOOKUP($A96,Cements!$A$8:$Q$99,6,FALSE),
IF($A96&lt;ValveBox!$A$143,VLOOKUP($A96,ValveBox!$A$10:$O$142,6,FALSE),
IF($A96&lt;'ValveBox Components'!$A$165,VLOOKUP($A96,'ValveBox Components'!$A$10:$O$164,6,FALSE),
IF($A96&lt;Drainage!$A$92,VLOOKUP($A96,Drainage!$A$8:$M$91,6,FALSE),
IF($A96&lt;Nipples!$A$82,VLOOKUP($A96,Nipples!$A$9:$Q$81,6,FALSE),
IF($A96&lt;Manifold!$A$33,VLOOKUP($A96,Manifold!$A$9:$M$32,6,FALSE),
IF($A96&lt;FlexibleRepairCouplings!$A$13,VLOOKUP($A96,FlexibleRepairCouplings!$A$10:$M$12,6,FALSE),
IF($A96&lt;DuraFix!$A$15,VLOOKUP($A96,DuraFix!$A$9:$M$14,6,FALSE),
IF($A96&lt;'Compression Fittings'!$A$16,VLOOKUP($A96,'Compression Fittings'!$A$8:$M$15,6,FALSE),
IF($A96&lt;'Hose Fittings'!$A$30,VLOOKUP($A96,'Hose Fittings'!$A$8:$M$29,6,FALSE),
IF($A96&lt;'Swing Joints'!$A$496,VLOOKUP($A96,'Swing Joints'!$A$9:$M$495,6,FALSE),
IF($A96&lt;'Swing Joints Components'!$A$135,VLOOKUP($A96,'Swing Joints Components'!$A$9:$M$134,6,FALSE),
IF($A96&lt;Nonstandard!$A$42,VLOOKUP($A96,Nonstandard!$A$31:$J$41,7,FALSE),"")))))))))))))))))))))))))))),"")</f>
        <v/>
      </c>
      <c r="E96" s="429"/>
      <c r="F96" s="421" t="str">
        <f>IFERROR(IF($A96&lt;'DWV PVC'!$A$285,VLOOKUP($A96,'DWV PVC'!$A$8:$M$284,9,FALSE),
IF($A96&lt;'DWV ABS'!$A$117,VLOOKUP($A96,'DWV ABS'!$A$8:$M$116,9,FALSE),
IF($A96&lt;'PVC SCH40'!$A$376,VLOOKUP($A96,'PVC SCH40'!$A$8:$M$375,9,FALSE),
IF($A96&lt;'PVC SCH40 LD'!$A$22,VLOOKUP($A96,'PVC SCH40 LD'!$A$8:$M$21,9,FALSE),
IF($A96&lt;'Pool &amp; SPA Sweep Elbows'!$A$12,VLOOKUP($A96,'Pool &amp; SPA Sweep Elbows'!$A$8:$M$11,9,FALSE),
IF($A96&lt;'Pool &amp; SPA Pipe Extender'!$A$11,VLOOKUP($A96,'Pool &amp; SPA Pipe Extender'!$A$8:$M$10,9,FALSE),
IF($A96&lt;'PVC SCH80'!$A$250,VLOOKUP($A96,'PVC SCH80'!$A$8:$M$249,9,FALSE),
IF($A96&lt;'PVC SCH80 Flange'!$A$49,VLOOKUP($A96,'PVC SCH80 Flange'!$A$8:$M$48,9,FALSE),
IF($A96&lt;'PVC SCH80 LD Flange'!$A$17,VLOOKUP($A96,'PVC SCH80 LD Flange'!$A$8:$M$16,9,FALSE),
IF($A96&lt;CPVC!$A$100,VLOOKUP($A96,CPVC!$A$8:$M$99,9,FALSE),
IF($A96&lt;InsertFittings!$A$237,VLOOKUP($A96,InsertFittings!$A$11:$M$236,9,FALSE),
IF($A96&lt;Valves!$A$132,VLOOKUP($A96,Valves!$A$8:$M$131,9,FALSE),
IF($A96&lt;SDR35SW!$A$124,VLOOKUP($A96,SDR35SW!$A$8:$M$123,9,FALSE),
IF($A96&lt;SDR35G!$A$143,VLOOKUP($A96, SDR35G!$A$8:$M$142,9,FALSE),
IF($A96&lt;SDR26G!$A$61,VLOOKUP($A96,SDR26G!$A$8:$N$60,10,FALSE),
IF($A96&lt;Cements!$A$100,VLOOKUP($A96,Cements!$A$8:$Q$99,13,FALSE),
IF($A96&lt;ValveBox!$A$143,VLOOKUP($A96,ValveBox!$A$10:$O$142,11,FALSE),
IF($A96&lt;'ValveBox Components'!$A$165,VLOOKUP($A96,'ValveBox Components'!$A$10:$O$164,11,FALSE),
IF($A96&lt;Drainage!$A$92,VLOOKUP($A96,Drainage!$A$8:$M$91,9,FALSE),
IF($A96&lt;Nipples!$A$82,VLOOKUP($A96,Nipples!$A$9:$Q$81,13,FALSE),
IF($A96&lt;Manifold!$A$33,VLOOKUP($A96,Manifold!$A$9:$M$32,9,FALSE),
IF($A96&lt;FlexibleRepairCouplings!$A$13,VLOOKUP($A96,FlexibleRepairCouplings!$A$10:$M$12,9,FALSE),
IF($A96&lt;DuraFix!$A$15,VLOOKUP($A96,DuraFix!$A$9:$M$14,9,FALSE),
IF($A96&lt;'Compression Fittings'!$A$16,VLOOKUP($A96,'Compression Fittings'!$A$8:$M$15,9,FALSE),
IF($A96&lt;'Hose Fittings'!$A$30,VLOOKUP($A96,'Hose Fittings'!$A$8:$M$29,9,FALSE),
IF($A96&lt;'Swing Joints'!$A$496,VLOOKUP($A96,'Swing Joints'!$A$9:$M$495,9,FALSE),
IF($A96&lt;'Swing Joints Components'!$A$135,VLOOKUP($A96,'Swing Joints Components'!$A$9:$M$134,9,FALSE),
IF($A96&lt;Nonstandard!$A$42,VLOOKUP($A96,Nonstandard!$A$31:$J$41,8,FALSE),"")))))))))))))))))))))))))))),"")</f>
        <v/>
      </c>
      <c r="G96" s="422" t="str">
        <f>IFERROR(IF($A96&lt;'DWV PVC'!$A$285,VLOOKUP($A96,'DWV PVC'!$A$8:$M$284,11,FALSE),
IF($A96&lt;'DWV ABS'!$A$117,VLOOKUP($A96,'DWV ABS'!$A$8:$M$116,11,FALSE),
IF($A96&lt;'PVC SCH40'!$A$376,VLOOKUP($A96,'PVC SCH40'!$A$8:$M$375,11,FALSE),
IF($A96&lt;'PVC SCH40 LD'!$A$22,VLOOKUP($A96,'PVC SCH40 LD'!$A$8:$M$21,11,FALSE),
IF($A96&lt;'Pool &amp; SPA Sweep Elbows'!$A$12,VLOOKUP($A96,'Pool &amp; SPA Sweep Elbows'!$A$8:$M$11,11,FALSE),
IF($A96&lt;'Pool &amp; SPA Pipe Extender'!$A$11,VLOOKUP($A96,'Pool &amp; SPA Pipe Extender'!$A$8:$M$10,11,FALSE),
IF($A96&lt;'PVC SCH80'!$A$250,VLOOKUP($A96,'PVC SCH80'!$A$8:$M$249,11,FALSE),
IF($A96&lt;'PVC SCH80 Flange'!$A$49,VLOOKUP($A96,'PVC SCH80 Flange'!$A$8:$M$48,11,FALSE),
IF($A96&lt;'PVC SCH80 LD Flange'!$A$17,VLOOKUP($A96,'PVC SCH80 LD Flange'!$A$8:$M$16,11,FALSE),
IF($A96&lt;CPVC!$A$100,VLOOKUP($A96,CPVC!$A$8:$M$99,11,FALSE),
IF($A96&lt;InsertFittings!$A$237,VLOOKUP($A96,InsertFittings!$A$11:$M$236,11,FALSE),
IF($A96&lt;Valves!$A$132,VLOOKUP($A96,Valves!$A$8:$M$131,11,FALSE),
IF($A96&lt;SDR35SW!$A$124,VLOOKUP($A96,SDR35SW!$A$8:$M$123,11,FALSE),
IF($A96&lt;SDR35G!$A$143,VLOOKUP($A96, SDR35G!$A$8:$M$142,11,FALSE),
IF($A96&lt;SDR26G!$A$61,VLOOKUP($A96,SDR26G!$A$8:$N$60,12,FALSE),
IF($A96&lt;Cements!$A$100,VLOOKUP($A96,Cements!$A$8:$Q$99,15,FALSE),
IF($A96&lt;ValveBox!$A$143,VLOOKUP($A96,ValveBox!$A$10:$O$142,13,FALSE),
IF($A96&lt;'ValveBox Components'!$A$165,VLOOKUP($A96,'ValveBox Components'!$A$10:$O$164,13,FALSE),
IF($A96&lt;Drainage!$A$92,VLOOKUP($A96,Drainage!$A$8:$M$91,11,FALSE),
IF($A96&lt;Nipples!$A$82,VLOOKUP($A96,Nipples!$A$9:$Q$81,15,FALSE),
IF($A96&lt;Manifold!$A$33,VLOOKUP($A96,Manifold!$A$9:$M$32,11,FALSE),
IF($A96&lt;FlexibleRepairCouplings!$A$13,VLOOKUP($A96,FlexibleRepairCouplings!$A$10:$M$12,11,FALSE),
IF($A96&lt;DuraFix!$A$15,VLOOKUP($A96,DuraFix!$A$9:$M$14,11,FALSE),
IF($A96&lt;'Compression Fittings'!$A$16,VLOOKUP($A96,'Compression Fittings'!$A$8:$M$15,11,FALSE),
IF($A96&lt;'Hose Fittings'!$A$30,VLOOKUP($A96,'Hose Fittings'!$A$8:$M$29,11,FALSE),
IF($A96&lt;'Swing Joints'!$A$496,VLOOKUP($A96,'Swing Joints'!$A$9:$M$495,11,FALSE),
IF($A96&lt;'Swing Joints Components'!$A$135,VLOOKUP($A96,'Swing Joints Components'!$A$9:$M$134,11,FALSE),
IF($A96&lt;Nonstandard!$A$42,VLOOKUP($A96,Nonstandard!$A$31:$J$41,3,FALSE),"")))))))))))))))))))))))))))),"")</f>
        <v/>
      </c>
      <c r="H96" s="588" t="str">
        <f>IFERROR(IF($A96&lt;'DWV PVC'!$A$285,VLOOKUP($A96,'DWV PVC'!$A$8:$M$284,7,FALSE),
IF($A96&lt;'DWV ABS'!$A$117,VLOOKUP($A96,'DWV ABS'!$A$8:$M$116,7,FALSE),
IF($A96&lt;'PVC SCH40'!$A$376,VLOOKUP($A96,'PVC SCH40'!$A$8:$M$375,7,FALSE),
IF($A96&lt;'PVC SCH40 LD'!$A$22,VLOOKUP($A96,'PVC SCH40 LD'!$A$8:$M$21,7,FALSE),
IF($A96&lt;'Pool &amp; SPA Sweep Elbows'!$A$12,VLOOKUP($A96,'Pool &amp; SPA Sweep Elbows'!$A$8:$M$11,7,FALSE),
IF($A96&lt;'Pool &amp; SPA Pipe Extender'!$A$11,VLOOKUP($A96,'Pool &amp; SPA Pipe Extender'!$A$8:$M$10,7,FALSE),
IF($A96&lt;'PVC SCH80'!$A$250,VLOOKUP($A96,'PVC SCH80'!$A$8:$M$249,7,FALSE),
IF($A96&lt;'PVC SCH80 Flange'!$A$49,VLOOKUP($A96,'PVC SCH80 Flange'!$A$8:$M$48,7,FALSE),
IF($A96&lt;'PVC SCH80 LD Flange'!$A$17,VLOOKUP($A96,'PVC SCH80 LD Flange'!$A$8:$M$16,7,FALSE),
IF($A96&lt;CPVC!$A$100,VLOOKUP($A96,CPVC!$A$8:$M$99,7,FALSE),
IF($A96&lt;InsertFittings!$A$237,VLOOKUP($A96,InsertFittings!$A$11:$M$236,7,FALSE),
IF($A96&lt;Valves!$A$132,VLOOKUP($A96,Valves!$A$8:$M$131,7,FALSE),
IF($A96&lt;SDR35SW!$A$124,VLOOKUP($A96,SDR35SW!$A$8:$M$123,7,FALSE),
IF($A96&lt;SDR35G!$A$143,VLOOKUP($A96, SDR35G!$A$8:$M$142,7,FALSE),
IF($A96&lt;SDR26G!$A$61,VLOOKUP($A96,SDR26G!$A$8:$N$60,10,FALSE),
IF($A96&lt;Cements!$A$100,VLOOKUP($A96,Cements!$A$8:$Q$99,13,FALSE),
IF($A96&lt;ValveBox!$A$143,VLOOKUP($A96,ValveBox!$A$10:$O$142,11,FALSE),
IF($A96&lt;'ValveBox Components'!$A$165,VLOOKUP($A96,'ValveBox Components'!$A$10:$O$164,11,FALSE),
IF($A96&lt;Drainage!$A$92,VLOOKUP($A96,Drainage!$A$8:$M$91,7,FALSE),
IF($A96&lt;Nipples!$A$82,VLOOKUP($A96,Nipples!$A$9:$Q$81,13,FALSE),
IF($A96&lt;Manifold!$A$33,VLOOKUP($A96,Manifold!$A$9:$M$32,7,FALSE),
IF($A96&lt;FlexibleRepairCouplings!$A$13,VLOOKUP($A96,FlexibleRepairCouplings!$A$10:$M$12,7,FALSE),
IF($A96&lt;DuraFix!$A$15,VLOOKUP($A96,DuraFix!$A$9:$M$14,7,FALSE),
IF($A96&lt;'Compression Fittings'!$A$16,VLOOKUP($A96,'Compression Fittings'!$A$8:$M$15,7,FALSE),
IF($A96&lt;'Hose Fittings'!$A$30,VLOOKUP($A96,'Hose Fittings'!$A$8:$M$29,7,FALSE),
IF($A96&lt;'Swing Joints'!$A$496,VLOOKUP($A96,'Swing Joints'!$A$9:$M$495,7,FALSE),
IF($A96&lt;'Swing Joints Components'!$A$135,VLOOKUP($A96,'Swing Joints Components'!$A$9:$M$134,7,FALSE),
IF($A96&lt;Nonstandard!$A$42,VLOOKUP($A96,Nonstandard!$A$31:$J$41,3,FALSE),"")))))))))))))))))))))))))))),"")</f>
        <v/>
      </c>
      <c r="I96" s="589"/>
      <c r="J96" s="423" t="str">
        <f t="shared" si="1"/>
        <v/>
      </c>
      <c r="K96" s="424" t="str">
        <f>IFERROR(IF($A96&lt;'DWV PVC'!$A$285,VLOOKUP($A96,'DWV PVC'!$A$8:$M$284,10,FALSE),
IF($A96&lt;'DWV ABS'!$A$117,VLOOKUP($A96,'DWV ABS'!$A$8:$M$116,10,FALSE),
IF($A96&lt;'PVC SCH40'!$A$376,VLOOKUP($A96,'PVC SCH40'!$A$8:$M$375,10,FALSE),
IF($A96&lt;'PVC SCH40 LD'!$A$22,VLOOKUP($A96,'PVC SCH40 LD'!$A$8:$M$21,10,FALSE),
IF($A96&lt;'Pool &amp; SPA Sweep Elbows'!$A$12,VLOOKUP($A96,'Pool &amp; SPA Sweep Elbows'!$A$8:$M$11,10,FALSE),
IF($A96&lt;'Pool &amp; SPA Pipe Extender'!$A$11,VLOOKUP($A96,'Pool &amp; SPA Pipe Extender'!$A$8:$M$10,10,FALSE),
IF($A96&lt;'PVC SCH80'!$A$250,VLOOKUP($A96,'PVC SCH80'!$A$8:$M$249,10,FALSE),
IF($A96&lt;'PVC SCH80 Flange'!$A$49,VLOOKUP($A96,'PVC SCH80 Flange'!$A$8:$M$48,10,FALSE),
IF($A96&lt;'PVC SCH80 LD Flange'!$A$17,VLOOKUP($A96,'PVC SCH80 LD Flange'!$A$8:$M$16,10,FALSE),
IF($A96&lt;CPVC!$A$100,VLOOKUP($A96,CPVC!$A$8:$M$99,10,FALSE),
IF($A96&lt;InsertFittings!$A$237,VLOOKUP($A96,InsertFittings!$A$11:$M$236,10,FALSE),
IF($A96&lt;Valves!$A$132,VLOOKUP($A96,Valves!$A$8:$M$131,10,FALSE),
IF($A96&lt;SDR35SW!$A$124,VLOOKUP($A96,SDR35SW!$A$8:$M$123,10,FALSE),
IF($A96&lt;SDR35G!$A$143,VLOOKUP($A96, SDR35G!$A$8:$M$142,10,FALSE),
IF($A96&lt;SDR26G!$A$61,VLOOKUP($A96,SDR26G!$A$8:$N$60,11,FALSE),
IF($A96&lt;Cements!$A$100,VLOOKUP($A96,Cements!$A$8:$Q$99,14,FALSE),
IF($A96&lt;ValveBox!$A$143,VLOOKUP($A96,ValveBox!$A$10:$O$142,12,FALSE),
IF($A96&lt;'ValveBox Components'!$A$165,VLOOKUP($A96,'ValveBox Components'!$A$10:$O$164,12,FALSE),
IF($A96&lt;Drainage!$A$92,VLOOKUP($A96,Drainage!$A$8:$M$91,10,FALSE),
IF($A96&lt;Nipples!$A$82,VLOOKUP($A96,Nipples!$A$9:$Q$81,14,FALSE),
IF($A96&lt;Manifold!$A$33,VLOOKUP($A96,Manifold!$A$9:$M$32,10,FALSE),
IF($A96&lt;FlexibleRepairCouplings!$A$13,VLOOKUP($A96,FlexibleRepairCouplings!$A$10:$M$12,10,FALSE),
IF($A96&lt;DuraFix!$A$15,VLOOKUP($A96,DuraFix!$A$9:$M$14,10,FALSE),
IF($A96&lt;'Compression Fittings'!$A$16,VLOOKUP($A96,'Compression Fittings'!$A$8:$M$15,10,FALSE),
IF($A96&lt;'Hose Fittings'!$A$30,VLOOKUP($A96,'Hose Fittings'!$A$8:$M$29,10,FALSE),
IF($A96&lt;'Swing Joints'!$A$496,VLOOKUP($A96,'Swing Joints'!$A$9:$M$495,10,FALSE),
IF($A96&lt;'Swing Joints Components'!$A$135,VLOOKUP($A96,'Swing Joints Components'!$A$9:$M$134,10,FALSE),
IF($A96&lt;Nonstandard!$A$42,VLOOKUP($A96,Nonstandard!$A$31:$J$41,10,FALSE),"")))))))))))))))))))))))))))),"")</f>
        <v/>
      </c>
      <c r="L96" s="421" t="str">
        <f t="shared" si="2"/>
        <v>-</v>
      </c>
      <c r="M96" s="425"/>
    </row>
    <row r="97" spans="1:13" ht="15.75">
      <c r="A97" s="415">
        <v>65</v>
      </c>
      <c r="B97" s="415" t="str">
        <f>IFERROR(IF($A97&lt;'DWV PVC'!$A$285,VLOOKUP($A97,'DWV PVC'!$A$8:$M$284,4,FALSE),
IF($A97&lt;'DWV ABS'!$A$117,VLOOKUP($A97,'DWV ABS'!$A$8:$M$116,4,FALSE),
IF($A97&lt;'PVC SCH40'!$A$376,VLOOKUP($A97,'PVC SCH40'!$A$8:$M$375,4,FALSE),
IF($A97&lt;'PVC SCH40 LD'!$A$22,VLOOKUP($A97,'PVC SCH40 LD'!$A$8:$M$21,4,FALSE),
IF($A97&lt;'Pool &amp; SPA Sweep Elbows'!$A$12,VLOOKUP($A97,'Pool &amp; SPA Sweep Elbows'!$A$8:$M$11,4,FALSE),
IF($A97&lt;'Pool &amp; SPA Pipe Extender'!$A$11,VLOOKUP($A97,'Pool &amp; SPA Pipe Extender'!$A$8:$M$10,4,FALSE),
IF($A97&lt;'PVC SCH80'!$A$250,VLOOKUP($A97,'PVC SCH80'!$A$8:$M$249,4,FALSE),
IF($A97&lt;'PVC SCH80 Flange'!$A$49,VLOOKUP($A97,'PVC SCH80 Flange'!$A$8:$M$48,4,FALSE),
IF($A97&lt;'PVC SCH80 LD Flange'!$A$17,VLOOKUP($A97,'PVC SCH80 LD Flange'!$A$8:$M$16,4,FALSE),
IF($A97&lt;CPVC!$A$100,VLOOKUP($A97,CPVC!$A$8:$M$99,4,FALSE),
IF($A97&lt;InsertFittings!$A$237,VLOOKUP($A97,InsertFittings!$A$11:$M$236,4,FALSE),
IF($A97&lt;Valves!$A$132,VLOOKUP($A97,Valves!$A$8:$M$131,4,FALSE),
IF($A97&lt;SDR35SW!$A$124,VLOOKUP($A97,SDR35SW!$A$8:$M$123,4,FALSE),
IF($A97&lt;SDR35G!$A$143,VLOOKUP($A97, SDR35G!$A$8:$M$142,4,FALSE),
IF($A97&lt;SDR26G!$A$61,VLOOKUP($A97,SDR26G!$A$8:$N$60,4,FALSE),
IF($A97&lt;Cements!$A$100,VLOOKUP($A97,Cements!$A$8:$Q$99,4,FALSE),
IF($A97&lt;ValveBox!$A$143,VLOOKUP($A97,ValveBox!$A$10:$O$142,4,FALSE),
IF($A97&lt;'ValveBox Components'!$A$165,VLOOKUP($A97,'ValveBox Components'!$A$10:$O$164,4,FALSE),
IF($A97&lt;Drainage!$A$92,VLOOKUP($A97,Drainage!$A$8:$M$91,4,FALSE),
IF($A97&lt;Nipples!$A$82,VLOOKUP($A97,Nipples!$A$9:$Q$81,4,FALSE),
IF($A97&lt;Manifold!$A$33,VLOOKUP($A97,Manifold!$A$9:$M$32,4,FALSE),
IF($A97&lt;FlexibleRepairCouplings!$A$13,VLOOKUP($A97,FlexibleRepairCouplings!$A$10:$M$12,4,FALSE),
IF($A97&lt;DuraFix!$A$15,VLOOKUP($A97,DuraFix!$A$9:$M$14,4,FALSE),
IF($A97&lt;'Compression Fittings'!$A$16,VLOOKUP($A97,'Compression Fittings'!$A$8:$M$15,4,FALSE),
IF($A97&lt;'Hose Fittings'!$A$30,VLOOKUP($A97,'Hose Fittings'!$A$8:$M$29,4,FALSE),
IF($A97&lt;'Swing Joints'!$A$496,VLOOKUP($A97,'Swing Joints'!$A$9:$M$495,4,FALSE),
IF($A97&lt;'Swing Joints Components'!$A$135,VLOOKUP($A97,'Swing Joints Components'!$A$9:$M$134,4,FALSE),
IF($A97&lt;Nonstandard!$A$42,VLOOKUP($A97,Nonstandard!$A$31:$J$41,5,FALSE),"")))))))))))))))))))))))))))),"")</f>
        <v/>
      </c>
      <c r="C97" s="415" t="str">
        <f>IFERROR(IF($A97&lt;'DWV PVC'!$A$285,VLOOKUP($A97,'DWV PVC'!$A$8:$M$284,5,FALSE),
IF($A97&lt;'DWV ABS'!$A$117,VLOOKUP($A97,'DWV ABS'!$A$8:$M$116,5,FALSE),
IF($A97&lt;'PVC SCH40'!$A$376,VLOOKUP($A97,'PVC SCH40'!$A$8:$M$375,5,FALSE),
IF($A97&lt;'PVC SCH40 LD'!$A$22,VLOOKUP($A97,'PVC SCH40 LD'!$A$8:$M$21,5,FALSE),
IF($A97&lt;'Pool &amp; SPA Sweep Elbows'!$A$12,VLOOKUP($A97,'Pool &amp; SPA Sweep Elbows'!$A$8:$M$11,5,FALSE),
IF($A97&lt;'Pool &amp; SPA Pipe Extender'!$A$11,VLOOKUP($A97,'Pool &amp; SPA Pipe Extender'!$A$8:$M$10,5,FALSE),
IF($A97&lt;'PVC SCH80'!$A$250,VLOOKUP($A97,'PVC SCH80'!$A$8:$M$249,5,FALSE),
IF($A97&lt;'PVC SCH80 Flange'!$A$49,VLOOKUP($A97,'PVC SCH80 Flange'!$A$8:$M$48,5,FALSE),
IF($A97&lt;'PVC SCH80 LD Flange'!$A$17,VLOOKUP($A97,'PVC SCH80 LD Flange'!$A$8:$M$16,5,FALSE),
IF($A97&lt;CPVC!$A$100,VLOOKUP($A97,CPVC!$A$8:$M$99,5,FALSE),
IF($A97&lt;InsertFittings!$A$237,VLOOKUP($A97,InsertFittings!$A$11:$M$236,5,FALSE),
IF($A97&lt;Valves!$A$132,VLOOKUP($A97,Valves!$A$8:$M$131,5,FALSE),
IF($A97&lt;SDR35SW!$A$124,VLOOKUP($A97,SDR35SW!$A$8:$M$123,5,FALSE),
IF($A97&lt;SDR35G!$A$143,VLOOKUP($A97, SDR35G!$A$8:$M$142,5,FALSE),
IF($A97&lt;SDR26G!$A$61,VLOOKUP($A97,SDR26G!$A$8:$N$60,5,FALSE),
IF($A97&lt;Cements!$A$100,VLOOKUP($A97,Cements!$A$8:$Q$99,5,FALSE),
IF($A97&lt;ValveBox!$A$143,VLOOKUP($A97,ValveBox!$A$10:$O$142,5,FALSE),
IF($A97&lt;'ValveBox Components'!$A$165,VLOOKUP($A97,'ValveBox Components'!$A$10:$O$164,5,FALSE),
IF($A97&lt;Drainage!$A$92,VLOOKUP($A97,Drainage!$A$8:$M$91,5,FALSE),
IF($A97&lt;Nipples!$A$82,VLOOKUP($A97,Nipples!$A$9:$Q$81,5,FALSE),
IF($A97&lt;Manifold!$A$33,VLOOKUP($A97,Manifold!$A$9:$M$32,5,FALSE),
IF($A97&lt;FlexibleRepairCouplings!$A$13,VLOOKUP($A97,FlexibleRepairCouplings!$A$10:$M$12,5,FALSE),
IF($A97&lt;DuraFix!$A$15,VLOOKUP($A97,DuraFix!$A$9:$M$14,5,FALSE),
IF($A97&lt;'Compression Fittings'!$A$16,VLOOKUP($A97,'Compression Fittings'!$A$8:$M$15,5,FALSE),
IF($A97&lt;'Hose Fittings'!$A$30,VLOOKUP($A97,'Hose Fittings'!$A$8:$M$29,5,FALSE),
IF($A97&lt;'Swing Joints'!$A$496,VLOOKUP($A97,'Swing Joints'!$A$9:$M$495,5,FALSE),
IF($A97&lt;'Swing Joints Components'!$A$135,VLOOKUP($A97,'Swing Joints Components'!$A$9:$M$134,5,FALSE),
IF($A97&lt;Nonstandard!$A$42,VLOOKUP($A97,Nonstandard!$A$31:$J$41,6,FALSE),"")))))))))))))))))))))))))))),"")</f>
        <v/>
      </c>
      <c r="D97" s="426" t="str">
        <f>IFERROR(IF($A97&lt;'DWV PVC'!$A$285,VLOOKUP($A97,'DWV PVC'!$A$8:$M$284,6,FALSE),
IF($A97&lt;'DWV ABS'!$A$117,VLOOKUP($A97,'DWV ABS'!$A$8:$M$116,6,FALSE),
IF($A97&lt;'PVC SCH40'!$A$376,VLOOKUP($A97,'PVC SCH40'!$A$8:$M$375,6,FALSE),
IF($A97&lt;'PVC SCH40 LD'!$A$22,VLOOKUP($A97,'PVC SCH40 LD'!$A$8:$M$21,6,FALSE),
IF($A97&lt;'Pool &amp; SPA Sweep Elbows'!$A$12,VLOOKUP($A97,'Pool &amp; SPA Sweep Elbows'!$A$8:$M$11,6,FALSE),
IF($A97&lt;'Pool &amp; SPA Pipe Extender'!$A$11,VLOOKUP($A97,'Pool &amp; SPA Pipe Extender'!$A$8:$M$10,6,FALSE),
IF($A97&lt;'PVC SCH80'!$A$250,VLOOKUP($A97,'PVC SCH80'!$A$8:$M$249,6,FALSE),
IF($A97&lt;'PVC SCH80 Flange'!$A$49,VLOOKUP($A97,'PVC SCH80 Flange'!$A$8:$M$48,6,FALSE),
IF($A97&lt;'PVC SCH80 LD Flange'!$A$17,VLOOKUP($A97,'PVC SCH80 LD Flange'!$A$8:$M$16,6,FALSE),
IF($A97&lt;CPVC!$A$100,VLOOKUP($A97,CPVC!$A$8:$M$99,6,FALSE),
IF($A97&lt;InsertFittings!$A$237,VLOOKUP($A97,InsertFittings!$A$11:$M$236,6,FALSE),
IF($A97&lt;Valves!$A$132,VLOOKUP($A97,Valves!$A$8:$M$131,6,FALSE),
IF($A97&lt;SDR35SW!$A$124,VLOOKUP($A97,SDR35SW!$A$8:$M$123,6,FALSE),
IF($A97&lt;SDR35G!$A$143,VLOOKUP($A97, SDR35G!$A$8:$M$142,6,FALSE),
IF($A97&lt;SDR26G!$A$61,VLOOKUP($A97,SDR26G!$A$8:$N$60,6,FALSE),
IF($A97&lt;Cements!$A$100,VLOOKUP($A97,Cements!$A$8:$Q$99,6,FALSE),
IF($A97&lt;ValveBox!$A$143,VLOOKUP($A97,ValveBox!$A$10:$O$142,6,FALSE),
IF($A97&lt;'ValveBox Components'!$A$165,VLOOKUP($A97,'ValveBox Components'!$A$10:$O$164,6,FALSE),
IF($A97&lt;Drainage!$A$92,VLOOKUP($A97,Drainage!$A$8:$M$91,6,FALSE),
IF($A97&lt;Nipples!$A$82,VLOOKUP($A97,Nipples!$A$9:$Q$81,6,FALSE),
IF($A97&lt;Manifold!$A$33,VLOOKUP($A97,Manifold!$A$9:$M$32,6,FALSE),
IF($A97&lt;FlexibleRepairCouplings!$A$13,VLOOKUP($A97,FlexibleRepairCouplings!$A$10:$M$12,6,FALSE),
IF($A97&lt;DuraFix!$A$15,VLOOKUP($A97,DuraFix!$A$9:$M$14,6,FALSE),
IF($A97&lt;'Compression Fittings'!$A$16,VLOOKUP($A97,'Compression Fittings'!$A$8:$M$15,6,FALSE),
IF($A97&lt;'Hose Fittings'!$A$30,VLOOKUP($A97,'Hose Fittings'!$A$8:$M$29,6,FALSE),
IF($A97&lt;'Swing Joints'!$A$496,VLOOKUP($A97,'Swing Joints'!$A$9:$M$495,6,FALSE),
IF($A97&lt;'Swing Joints Components'!$A$135,VLOOKUP($A97,'Swing Joints Components'!$A$9:$M$134,6,FALSE),
IF($A97&lt;Nonstandard!$A$42,VLOOKUP($A97,Nonstandard!$A$31:$J$41,7,FALSE),"")))))))))))))))))))))))))))),"")</f>
        <v/>
      </c>
      <c r="E97" s="427"/>
      <c r="F97" s="418" t="str">
        <f>IFERROR(IF($A97&lt;'DWV PVC'!$A$285,VLOOKUP($A97,'DWV PVC'!$A$8:$M$284,9,FALSE),
IF($A97&lt;'DWV ABS'!$A$117,VLOOKUP($A97,'DWV ABS'!$A$8:$M$116,9,FALSE),
IF($A97&lt;'PVC SCH40'!$A$376,VLOOKUP($A97,'PVC SCH40'!$A$8:$M$375,9,FALSE),
IF($A97&lt;'PVC SCH40 LD'!$A$22,VLOOKUP($A97,'PVC SCH40 LD'!$A$8:$M$21,9,FALSE),
IF($A97&lt;'Pool &amp; SPA Sweep Elbows'!$A$12,VLOOKUP($A97,'Pool &amp; SPA Sweep Elbows'!$A$8:$M$11,9,FALSE),
IF($A97&lt;'Pool &amp; SPA Pipe Extender'!$A$11,VLOOKUP($A97,'Pool &amp; SPA Pipe Extender'!$A$8:$M$10,9,FALSE),
IF($A97&lt;'PVC SCH80'!$A$250,VLOOKUP($A97,'PVC SCH80'!$A$8:$M$249,9,FALSE),
IF($A97&lt;'PVC SCH80 Flange'!$A$49,VLOOKUP($A97,'PVC SCH80 Flange'!$A$8:$M$48,9,FALSE),
IF($A97&lt;'PVC SCH80 LD Flange'!$A$17,VLOOKUP($A97,'PVC SCH80 LD Flange'!$A$8:$M$16,9,FALSE),
IF($A97&lt;CPVC!$A$100,VLOOKUP($A97,CPVC!$A$8:$M$99,9,FALSE),
IF($A97&lt;InsertFittings!$A$237,VLOOKUP($A97,InsertFittings!$A$11:$M$236,9,FALSE),
IF($A97&lt;Valves!$A$132,VLOOKUP($A97,Valves!$A$8:$M$131,9,FALSE),
IF($A97&lt;SDR35SW!$A$124,VLOOKUP($A97,SDR35SW!$A$8:$M$123,9,FALSE),
IF($A97&lt;SDR35G!$A$143,VLOOKUP($A97, SDR35G!$A$8:$M$142,9,FALSE),
IF($A97&lt;SDR26G!$A$61,VLOOKUP($A97,SDR26G!$A$8:$N$60,10,FALSE),
IF($A97&lt;Cements!$A$100,VLOOKUP($A97,Cements!$A$8:$Q$99,13,FALSE),
IF($A97&lt;ValveBox!$A$143,VLOOKUP($A97,ValveBox!$A$10:$O$142,11,FALSE),
IF($A97&lt;'ValveBox Components'!$A$165,VLOOKUP($A97,'ValveBox Components'!$A$10:$O$164,11,FALSE),
IF($A97&lt;Drainage!$A$92,VLOOKUP($A97,Drainage!$A$8:$M$91,9,FALSE),
IF($A97&lt;Nipples!$A$82,VLOOKUP($A97,Nipples!$A$9:$Q$81,13,FALSE),
IF($A97&lt;Manifold!$A$33,VLOOKUP($A97,Manifold!$A$9:$M$32,9,FALSE),
IF($A97&lt;FlexibleRepairCouplings!$A$13,VLOOKUP($A97,FlexibleRepairCouplings!$A$10:$M$12,9,FALSE),
IF($A97&lt;DuraFix!$A$15,VLOOKUP($A97,DuraFix!$A$9:$M$14,9,FALSE),
IF($A97&lt;'Compression Fittings'!$A$16,VLOOKUP($A97,'Compression Fittings'!$A$8:$M$15,9,FALSE),
IF($A97&lt;'Hose Fittings'!$A$30,VLOOKUP($A97,'Hose Fittings'!$A$8:$M$29,9,FALSE),
IF($A97&lt;'Swing Joints'!$A$496,VLOOKUP($A97,'Swing Joints'!$A$9:$M$495,9,FALSE),
IF($A97&lt;'Swing Joints Components'!$A$135,VLOOKUP($A97,'Swing Joints Components'!$A$9:$M$134,9,FALSE),
IF($A97&lt;Nonstandard!$A$42,VLOOKUP($A97,Nonstandard!$A$31:$J$41,8,FALSE),"")))))))))))))))))))))))))))),"")</f>
        <v/>
      </c>
      <c r="G97" s="416" t="str">
        <f>IFERROR(IF($A97&lt;'DWV PVC'!$A$285,VLOOKUP($A97,'DWV PVC'!$A$8:$M$284,11,FALSE),
IF($A97&lt;'DWV ABS'!$A$117,VLOOKUP($A97,'DWV ABS'!$A$8:$M$116,11,FALSE),
IF($A97&lt;'PVC SCH40'!$A$376,VLOOKUP($A97,'PVC SCH40'!$A$8:$M$375,11,FALSE),
IF($A97&lt;'PVC SCH40 LD'!$A$22,VLOOKUP($A97,'PVC SCH40 LD'!$A$8:$M$21,11,FALSE),
IF($A97&lt;'Pool &amp; SPA Sweep Elbows'!$A$12,VLOOKUP($A97,'Pool &amp; SPA Sweep Elbows'!$A$8:$M$11,11,FALSE),
IF($A97&lt;'Pool &amp; SPA Pipe Extender'!$A$11,VLOOKUP($A97,'Pool &amp; SPA Pipe Extender'!$A$8:$M$10,11,FALSE),
IF($A97&lt;'PVC SCH80'!$A$250,VLOOKUP($A97,'PVC SCH80'!$A$8:$M$249,11,FALSE),
IF($A97&lt;'PVC SCH80 Flange'!$A$49,VLOOKUP($A97,'PVC SCH80 Flange'!$A$8:$M$48,11,FALSE),
IF($A97&lt;'PVC SCH80 LD Flange'!$A$17,VLOOKUP($A97,'PVC SCH80 LD Flange'!$A$8:$M$16,11,FALSE),
IF($A97&lt;CPVC!$A$100,VLOOKUP($A97,CPVC!$A$8:$M$99,11,FALSE),
IF($A97&lt;InsertFittings!$A$237,VLOOKUP($A97,InsertFittings!$A$11:$M$236,11,FALSE),
IF($A97&lt;Valves!$A$132,VLOOKUP($A97,Valves!$A$8:$M$131,11,FALSE),
IF($A97&lt;SDR35SW!$A$124,VLOOKUP($A97,SDR35SW!$A$8:$M$123,11,FALSE),
IF($A97&lt;SDR35G!$A$143,VLOOKUP($A97, SDR35G!$A$8:$M$142,11,FALSE),
IF($A97&lt;SDR26G!$A$61,VLOOKUP($A97,SDR26G!$A$8:$N$60,12,FALSE),
IF($A97&lt;Cements!$A$100,VLOOKUP($A97,Cements!$A$8:$Q$99,15,FALSE),
IF($A97&lt;ValveBox!$A$143,VLOOKUP($A97,ValveBox!$A$10:$O$142,13,FALSE),
IF($A97&lt;'ValveBox Components'!$A$165,VLOOKUP($A97,'ValveBox Components'!$A$10:$O$164,13,FALSE),
IF($A97&lt;Drainage!$A$92,VLOOKUP($A97,Drainage!$A$8:$M$91,11,FALSE),
IF($A97&lt;Nipples!$A$82,VLOOKUP($A97,Nipples!$A$9:$Q$81,15,FALSE),
IF($A97&lt;Manifold!$A$33,VLOOKUP($A97,Manifold!$A$9:$M$32,11,FALSE),
IF($A97&lt;FlexibleRepairCouplings!$A$13,VLOOKUP($A97,FlexibleRepairCouplings!$A$10:$M$12,11,FALSE),
IF($A97&lt;DuraFix!$A$15,VLOOKUP($A97,DuraFix!$A$9:$M$14,11,FALSE),
IF($A97&lt;'Compression Fittings'!$A$16,VLOOKUP($A97,'Compression Fittings'!$A$8:$M$15,11,FALSE),
IF($A97&lt;'Hose Fittings'!$A$30,VLOOKUP($A97,'Hose Fittings'!$A$8:$M$29,11,FALSE),
IF($A97&lt;'Swing Joints'!$A$496,VLOOKUP($A97,'Swing Joints'!$A$9:$M$495,11,FALSE),
IF($A97&lt;'Swing Joints Components'!$A$135,VLOOKUP($A97,'Swing Joints Components'!$A$9:$M$134,11,FALSE),
IF($A97&lt;Nonstandard!$A$42,VLOOKUP($A97,Nonstandard!$A$31:$J$41,3,FALSE),"")))))))))))))))))))))))))))),"")</f>
        <v/>
      </c>
      <c r="H97" s="586" t="str">
        <f>IFERROR(IF($A97&lt;'DWV PVC'!$A$285,VLOOKUP($A97,'DWV PVC'!$A$8:$M$284,7,FALSE),
IF($A97&lt;'DWV ABS'!$A$117,VLOOKUP($A97,'DWV ABS'!$A$8:$M$116,7,FALSE),
IF($A97&lt;'PVC SCH40'!$A$376,VLOOKUP($A97,'PVC SCH40'!$A$8:$M$375,7,FALSE),
IF($A97&lt;'PVC SCH40 LD'!$A$22,VLOOKUP($A97,'PVC SCH40 LD'!$A$8:$M$21,7,FALSE),
IF($A97&lt;'Pool &amp; SPA Sweep Elbows'!$A$12,VLOOKUP($A97,'Pool &amp; SPA Sweep Elbows'!$A$8:$M$11,7,FALSE),
IF($A97&lt;'Pool &amp; SPA Pipe Extender'!$A$11,VLOOKUP($A97,'Pool &amp; SPA Pipe Extender'!$A$8:$M$10,7,FALSE),
IF($A97&lt;'PVC SCH80'!$A$250,VLOOKUP($A97,'PVC SCH80'!$A$8:$M$249,7,FALSE),
IF($A97&lt;'PVC SCH80 Flange'!$A$49,VLOOKUP($A97,'PVC SCH80 Flange'!$A$8:$M$48,7,FALSE),
IF($A97&lt;'PVC SCH80 LD Flange'!$A$17,VLOOKUP($A97,'PVC SCH80 LD Flange'!$A$8:$M$16,7,FALSE),
IF($A97&lt;CPVC!$A$100,VLOOKUP($A97,CPVC!$A$8:$M$99,7,FALSE),
IF($A97&lt;InsertFittings!$A$237,VLOOKUP($A97,InsertFittings!$A$11:$M$236,7,FALSE),
IF($A97&lt;Valves!$A$132,VLOOKUP($A97,Valves!$A$8:$M$131,7,FALSE),
IF($A97&lt;SDR35SW!$A$124,VLOOKUP($A97,SDR35SW!$A$8:$M$123,7,FALSE),
IF($A97&lt;SDR35G!$A$143,VLOOKUP($A97, SDR35G!$A$8:$M$142,7,FALSE),
IF($A97&lt;SDR26G!$A$61,VLOOKUP($A97,SDR26G!$A$8:$N$60,10,FALSE),
IF($A97&lt;Cements!$A$100,VLOOKUP($A97,Cements!$A$8:$Q$99,13,FALSE),
IF($A97&lt;ValveBox!$A$143,VLOOKUP($A97,ValveBox!$A$10:$O$142,11,FALSE),
IF($A97&lt;'ValveBox Components'!$A$165,VLOOKUP($A97,'ValveBox Components'!$A$10:$O$164,11,FALSE),
IF($A97&lt;Drainage!$A$92,VLOOKUP($A97,Drainage!$A$8:$M$91,7,FALSE),
IF($A97&lt;Nipples!$A$82,VLOOKUP($A97,Nipples!$A$9:$Q$81,13,FALSE),
IF($A97&lt;Manifold!$A$33,VLOOKUP($A97,Manifold!$A$9:$M$32,7,FALSE),
IF($A97&lt;FlexibleRepairCouplings!$A$13,VLOOKUP($A97,FlexibleRepairCouplings!$A$10:$M$12,7,FALSE),
IF($A97&lt;DuraFix!$A$15,VLOOKUP($A97,DuraFix!$A$9:$M$14,7,FALSE),
IF($A97&lt;'Compression Fittings'!$A$16,VLOOKUP($A97,'Compression Fittings'!$A$8:$M$15,7,FALSE),
IF($A97&lt;'Hose Fittings'!$A$30,VLOOKUP($A97,'Hose Fittings'!$A$8:$M$29,7,FALSE),
IF($A97&lt;'Swing Joints'!$A$496,VLOOKUP($A97,'Swing Joints'!$A$9:$M$495,7,FALSE),
IF($A97&lt;'Swing Joints Components'!$A$135,VLOOKUP($A97,'Swing Joints Components'!$A$9:$M$134,7,FALSE),
IF($A97&lt;Nonstandard!$A$42,VLOOKUP($A97,Nonstandard!$A$31:$J$41,3,FALSE),"")))))))))))))))))))))))))))),"")</f>
        <v/>
      </c>
      <c r="I97" s="587"/>
      <c r="J97" s="383" t="str">
        <f t="shared" si="1"/>
        <v/>
      </c>
      <c r="K97" s="417" t="str">
        <f>IFERROR(IF($A97&lt;'DWV PVC'!$A$285,VLOOKUP($A97,'DWV PVC'!$A$8:$M$284,10,FALSE),
IF($A97&lt;'DWV ABS'!$A$117,VLOOKUP($A97,'DWV ABS'!$A$8:$M$116,10,FALSE),
IF($A97&lt;'PVC SCH40'!$A$376,VLOOKUP($A97,'PVC SCH40'!$A$8:$M$375,10,FALSE),
IF($A97&lt;'PVC SCH40 LD'!$A$22,VLOOKUP($A97,'PVC SCH40 LD'!$A$8:$M$21,10,FALSE),
IF($A97&lt;'Pool &amp; SPA Sweep Elbows'!$A$12,VLOOKUP($A97,'Pool &amp; SPA Sweep Elbows'!$A$8:$M$11,10,FALSE),
IF($A97&lt;'Pool &amp; SPA Pipe Extender'!$A$11,VLOOKUP($A97,'Pool &amp; SPA Pipe Extender'!$A$8:$M$10,10,FALSE),
IF($A97&lt;'PVC SCH80'!$A$250,VLOOKUP($A97,'PVC SCH80'!$A$8:$M$249,10,FALSE),
IF($A97&lt;'PVC SCH80 Flange'!$A$49,VLOOKUP($A97,'PVC SCH80 Flange'!$A$8:$M$48,10,FALSE),
IF($A97&lt;'PVC SCH80 LD Flange'!$A$17,VLOOKUP($A97,'PVC SCH80 LD Flange'!$A$8:$M$16,10,FALSE),
IF($A97&lt;CPVC!$A$100,VLOOKUP($A97,CPVC!$A$8:$M$99,10,FALSE),
IF($A97&lt;InsertFittings!$A$237,VLOOKUP($A97,InsertFittings!$A$11:$M$236,10,FALSE),
IF($A97&lt;Valves!$A$132,VLOOKUP($A97,Valves!$A$8:$M$131,10,FALSE),
IF($A97&lt;SDR35SW!$A$124,VLOOKUP($A97,SDR35SW!$A$8:$M$123,10,FALSE),
IF($A97&lt;SDR35G!$A$143,VLOOKUP($A97, SDR35G!$A$8:$M$142,10,FALSE),
IF($A97&lt;SDR26G!$A$61,VLOOKUP($A97,SDR26G!$A$8:$N$60,11,FALSE),
IF($A97&lt;Cements!$A$100,VLOOKUP($A97,Cements!$A$8:$Q$99,14,FALSE),
IF($A97&lt;ValveBox!$A$143,VLOOKUP($A97,ValveBox!$A$10:$O$142,12,FALSE),
IF($A97&lt;'ValveBox Components'!$A$165,VLOOKUP($A97,'ValveBox Components'!$A$10:$O$164,12,FALSE),
IF($A97&lt;Drainage!$A$92,VLOOKUP($A97,Drainage!$A$8:$M$91,10,FALSE),
IF($A97&lt;Nipples!$A$82,VLOOKUP($A97,Nipples!$A$9:$Q$81,14,FALSE),
IF($A97&lt;Manifold!$A$33,VLOOKUP($A97,Manifold!$A$9:$M$32,10,FALSE),
IF($A97&lt;FlexibleRepairCouplings!$A$13,VLOOKUP($A97,FlexibleRepairCouplings!$A$10:$M$12,10,FALSE),
IF($A97&lt;DuraFix!$A$15,VLOOKUP($A97,DuraFix!$A$9:$M$14,10,FALSE),
IF($A97&lt;'Compression Fittings'!$A$16,VLOOKUP($A97,'Compression Fittings'!$A$8:$M$15,10,FALSE),
IF($A97&lt;'Hose Fittings'!$A$30,VLOOKUP($A97,'Hose Fittings'!$A$8:$M$29,10,FALSE),
IF($A97&lt;'Swing Joints'!$A$496,VLOOKUP($A97,'Swing Joints'!$A$9:$M$495,10,FALSE),
IF($A97&lt;'Swing Joints Components'!$A$135,VLOOKUP($A97,'Swing Joints Components'!$A$9:$M$134,10,FALSE),
IF($A97&lt;Nonstandard!$A$42,VLOOKUP($A97,Nonstandard!$A$31:$J$41,10,FALSE),"")))))))))))))))))))))))))))),"")</f>
        <v/>
      </c>
      <c r="L97" s="418" t="str">
        <f t="shared" si="2"/>
        <v>-</v>
      </c>
      <c r="M97" s="419"/>
    </row>
    <row r="98" spans="1:13" ht="15.75">
      <c r="A98" s="420">
        <v>66</v>
      </c>
      <c r="B98" s="420" t="str">
        <f>IFERROR(IF($A98&lt;'DWV PVC'!$A$285,VLOOKUP($A98,'DWV PVC'!$A$8:$M$284,4,FALSE),
IF($A98&lt;'DWV ABS'!$A$117,VLOOKUP($A98,'DWV ABS'!$A$8:$M$116,4,FALSE),
IF($A98&lt;'PVC SCH40'!$A$376,VLOOKUP($A98,'PVC SCH40'!$A$8:$M$375,4,FALSE),
IF($A98&lt;'PVC SCH40 LD'!$A$22,VLOOKUP($A98,'PVC SCH40 LD'!$A$8:$M$21,4,FALSE),
IF($A98&lt;'Pool &amp; SPA Sweep Elbows'!$A$12,VLOOKUP($A98,'Pool &amp; SPA Sweep Elbows'!$A$8:$M$11,4,FALSE),
IF($A98&lt;'Pool &amp; SPA Pipe Extender'!$A$11,VLOOKUP($A98,'Pool &amp; SPA Pipe Extender'!$A$8:$M$10,4,FALSE),
IF($A98&lt;'PVC SCH80'!$A$250,VLOOKUP($A98,'PVC SCH80'!$A$8:$M$249,4,FALSE),
IF($A98&lt;'PVC SCH80 Flange'!$A$49,VLOOKUP($A98,'PVC SCH80 Flange'!$A$8:$M$48,4,FALSE),
IF($A98&lt;'PVC SCH80 LD Flange'!$A$17,VLOOKUP($A98,'PVC SCH80 LD Flange'!$A$8:$M$16,4,FALSE),
IF($A98&lt;CPVC!$A$100,VLOOKUP($A98,CPVC!$A$8:$M$99,4,FALSE),
IF($A98&lt;InsertFittings!$A$237,VLOOKUP($A98,InsertFittings!$A$11:$M$236,4,FALSE),
IF($A98&lt;Valves!$A$132,VLOOKUP($A98,Valves!$A$8:$M$131,4,FALSE),
IF($A98&lt;SDR35SW!$A$124,VLOOKUP($A98,SDR35SW!$A$8:$M$123,4,FALSE),
IF($A98&lt;SDR35G!$A$143,VLOOKUP($A98, SDR35G!$A$8:$M$142,4,FALSE),
IF($A98&lt;SDR26G!$A$61,VLOOKUP($A98,SDR26G!$A$8:$N$60,4,FALSE),
IF($A98&lt;Cements!$A$100,VLOOKUP($A98,Cements!$A$8:$Q$99,4,FALSE),
IF($A98&lt;ValveBox!$A$143,VLOOKUP($A98,ValveBox!$A$10:$O$142,4,FALSE),
IF($A98&lt;'ValveBox Components'!$A$165,VLOOKUP($A98,'ValveBox Components'!$A$10:$O$164,4,FALSE),
IF($A98&lt;Drainage!$A$92,VLOOKUP($A98,Drainage!$A$8:$M$91,4,FALSE),
IF($A98&lt;Nipples!$A$82,VLOOKUP($A98,Nipples!$A$9:$Q$81,4,FALSE),
IF($A98&lt;Manifold!$A$33,VLOOKUP($A98,Manifold!$A$9:$M$32,4,FALSE),
IF($A98&lt;FlexibleRepairCouplings!$A$13,VLOOKUP($A98,FlexibleRepairCouplings!$A$10:$M$12,4,FALSE),
IF($A98&lt;DuraFix!$A$15,VLOOKUP($A98,DuraFix!$A$9:$M$14,4,FALSE),
IF($A98&lt;'Compression Fittings'!$A$16,VLOOKUP($A98,'Compression Fittings'!$A$8:$M$15,4,FALSE),
IF($A98&lt;'Hose Fittings'!$A$30,VLOOKUP($A98,'Hose Fittings'!$A$8:$M$29,4,FALSE),
IF($A98&lt;'Swing Joints'!$A$496,VLOOKUP($A98,'Swing Joints'!$A$9:$M$495,4,FALSE),
IF($A98&lt;'Swing Joints Components'!$A$135,VLOOKUP($A98,'Swing Joints Components'!$A$9:$M$134,4,FALSE),
IF($A98&lt;Nonstandard!$A$42,VLOOKUP($A98,Nonstandard!$A$31:$J$41,5,FALSE),"")))))))))))))))))))))))))))),"")</f>
        <v/>
      </c>
      <c r="C98" s="420" t="str">
        <f>IFERROR(IF($A98&lt;'DWV PVC'!$A$285,VLOOKUP($A98,'DWV PVC'!$A$8:$M$284,5,FALSE),
IF($A98&lt;'DWV ABS'!$A$117,VLOOKUP($A98,'DWV ABS'!$A$8:$M$116,5,FALSE),
IF($A98&lt;'PVC SCH40'!$A$376,VLOOKUP($A98,'PVC SCH40'!$A$8:$M$375,5,FALSE),
IF($A98&lt;'PVC SCH40 LD'!$A$22,VLOOKUP($A98,'PVC SCH40 LD'!$A$8:$M$21,5,FALSE),
IF($A98&lt;'Pool &amp; SPA Sweep Elbows'!$A$12,VLOOKUP($A98,'Pool &amp; SPA Sweep Elbows'!$A$8:$M$11,5,FALSE),
IF($A98&lt;'Pool &amp; SPA Pipe Extender'!$A$11,VLOOKUP($A98,'Pool &amp; SPA Pipe Extender'!$A$8:$M$10,5,FALSE),
IF($A98&lt;'PVC SCH80'!$A$250,VLOOKUP($A98,'PVC SCH80'!$A$8:$M$249,5,FALSE),
IF($A98&lt;'PVC SCH80 Flange'!$A$49,VLOOKUP($A98,'PVC SCH80 Flange'!$A$8:$M$48,5,FALSE),
IF($A98&lt;'PVC SCH80 LD Flange'!$A$17,VLOOKUP($A98,'PVC SCH80 LD Flange'!$A$8:$M$16,5,FALSE),
IF($A98&lt;CPVC!$A$100,VLOOKUP($A98,CPVC!$A$8:$M$99,5,FALSE),
IF($A98&lt;InsertFittings!$A$237,VLOOKUP($A98,InsertFittings!$A$11:$M$236,5,FALSE),
IF($A98&lt;Valves!$A$132,VLOOKUP($A98,Valves!$A$8:$M$131,5,FALSE),
IF($A98&lt;SDR35SW!$A$124,VLOOKUP($A98,SDR35SW!$A$8:$M$123,5,FALSE),
IF($A98&lt;SDR35G!$A$143,VLOOKUP($A98, SDR35G!$A$8:$M$142,5,FALSE),
IF($A98&lt;SDR26G!$A$61,VLOOKUP($A98,SDR26G!$A$8:$N$60,5,FALSE),
IF($A98&lt;Cements!$A$100,VLOOKUP($A98,Cements!$A$8:$Q$99,5,FALSE),
IF($A98&lt;ValveBox!$A$143,VLOOKUP($A98,ValveBox!$A$10:$O$142,5,FALSE),
IF($A98&lt;'ValveBox Components'!$A$165,VLOOKUP($A98,'ValveBox Components'!$A$10:$O$164,5,FALSE),
IF($A98&lt;Drainage!$A$92,VLOOKUP($A98,Drainage!$A$8:$M$91,5,FALSE),
IF($A98&lt;Nipples!$A$82,VLOOKUP($A98,Nipples!$A$9:$Q$81,5,FALSE),
IF($A98&lt;Manifold!$A$33,VLOOKUP($A98,Manifold!$A$9:$M$32,5,FALSE),
IF($A98&lt;FlexibleRepairCouplings!$A$13,VLOOKUP($A98,FlexibleRepairCouplings!$A$10:$M$12,5,FALSE),
IF($A98&lt;DuraFix!$A$15,VLOOKUP($A98,DuraFix!$A$9:$M$14,5,FALSE),
IF($A98&lt;'Compression Fittings'!$A$16,VLOOKUP($A98,'Compression Fittings'!$A$8:$M$15,5,FALSE),
IF($A98&lt;'Hose Fittings'!$A$30,VLOOKUP($A98,'Hose Fittings'!$A$8:$M$29,5,FALSE),
IF($A98&lt;'Swing Joints'!$A$496,VLOOKUP($A98,'Swing Joints'!$A$9:$M$495,5,FALSE),
IF($A98&lt;'Swing Joints Components'!$A$135,VLOOKUP($A98,'Swing Joints Components'!$A$9:$M$134,5,FALSE),
IF($A98&lt;Nonstandard!$A$42,VLOOKUP($A98,Nonstandard!$A$31:$J$41,6,FALSE),"")))))))))))))))))))))))))))),"")</f>
        <v/>
      </c>
      <c r="D98" s="428" t="str">
        <f>IFERROR(IF($A98&lt;'DWV PVC'!$A$285,VLOOKUP($A98,'DWV PVC'!$A$8:$M$284,6,FALSE),
IF($A98&lt;'DWV ABS'!$A$117,VLOOKUP($A98,'DWV ABS'!$A$8:$M$116,6,FALSE),
IF($A98&lt;'PVC SCH40'!$A$376,VLOOKUP($A98,'PVC SCH40'!$A$8:$M$375,6,FALSE),
IF($A98&lt;'PVC SCH40 LD'!$A$22,VLOOKUP($A98,'PVC SCH40 LD'!$A$8:$M$21,6,FALSE),
IF($A98&lt;'Pool &amp; SPA Sweep Elbows'!$A$12,VLOOKUP($A98,'Pool &amp; SPA Sweep Elbows'!$A$8:$M$11,6,FALSE),
IF($A98&lt;'Pool &amp; SPA Pipe Extender'!$A$11,VLOOKUP($A98,'Pool &amp; SPA Pipe Extender'!$A$8:$M$10,6,FALSE),
IF($A98&lt;'PVC SCH80'!$A$250,VLOOKUP($A98,'PVC SCH80'!$A$8:$M$249,6,FALSE),
IF($A98&lt;'PVC SCH80 Flange'!$A$49,VLOOKUP($A98,'PVC SCH80 Flange'!$A$8:$M$48,6,FALSE),
IF($A98&lt;'PVC SCH80 LD Flange'!$A$17,VLOOKUP($A98,'PVC SCH80 LD Flange'!$A$8:$M$16,6,FALSE),
IF($A98&lt;CPVC!$A$100,VLOOKUP($A98,CPVC!$A$8:$M$99,6,FALSE),
IF($A98&lt;InsertFittings!$A$237,VLOOKUP($A98,InsertFittings!$A$11:$M$236,6,FALSE),
IF($A98&lt;Valves!$A$132,VLOOKUP($A98,Valves!$A$8:$M$131,6,FALSE),
IF($A98&lt;SDR35SW!$A$124,VLOOKUP($A98,SDR35SW!$A$8:$M$123,6,FALSE),
IF($A98&lt;SDR35G!$A$143,VLOOKUP($A98, SDR35G!$A$8:$M$142,6,FALSE),
IF($A98&lt;SDR26G!$A$61,VLOOKUP($A98,SDR26G!$A$8:$N$60,6,FALSE),
IF($A98&lt;Cements!$A$100,VLOOKUP($A98,Cements!$A$8:$Q$99,6,FALSE),
IF($A98&lt;ValveBox!$A$143,VLOOKUP($A98,ValveBox!$A$10:$O$142,6,FALSE),
IF($A98&lt;'ValveBox Components'!$A$165,VLOOKUP($A98,'ValveBox Components'!$A$10:$O$164,6,FALSE),
IF($A98&lt;Drainage!$A$92,VLOOKUP($A98,Drainage!$A$8:$M$91,6,FALSE),
IF($A98&lt;Nipples!$A$82,VLOOKUP($A98,Nipples!$A$9:$Q$81,6,FALSE),
IF($A98&lt;Manifold!$A$33,VLOOKUP($A98,Manifold!$A$9:$M$32,6,FALSE),
IF($A98&lt;FlexibleRepairCouplings!$A$13,VLOOKUP($A98,FlexibleRepairCouplings!$A$10:$M$12,6,FALSE),
IF($A98&lt;DuraFix!$A$15,VLOOKUP($A98,DuraFix!$A$9:$M$14,6,FALSE),
IF($A98&lt;'Compression Fittings'!$A$16,VLOOKUP($A98,'Compression Fittings'!$A$8:$M$15,6,FALSE),
IF($A98&lt;'Hose Fittings'!$A$30,VLOOKUP($A98,'Hose Fittings'!$A$8:$M$29,6,FALSE),
IF($A98&lt;'Swing Joints'!$A$496,VLOOKUP($A98,'Swing Joints'!$A$9:$M$495,6,FALSE),
IF($A98&lt;'Swing Joints Components'!$A$135,VLOOKUP($A98,'Swing Joints Components'!$A$9:$M$134,6,FALSE),
IF($A98&lt;Nonstandard!$A$42,VLOOKUP($A98,Nonstandard!$A$31:$J$41,7,FALSE),"")))))))))))))))))))))))))))),"")</f>
        <v/>
      </c>
      <c r="E98" s="429"/>
      <c r="F98" s="421" t="str">
        <f>IFERROR(IF($A98&lt;'DWV PVC'!$A$285,VLOOKUP($A98,'DWV PVC'!$A$8:$M$284,9,FALSE),
IF($A98&lt;'DWV ABS'!$A$117,VLOOKUP($A98,'DWV ABS'!$A$8:$M$116,9,FALSE),
IF($A98&lt;'PVC SCH40'!$A$376,VLOOKUP($A98,'PVC SCH40'!$A$8:$M$375,9,FALSE),
IF($A98&lt;'PVC SCH40 LD'!$A$22,VLOOKUP($A98,'PVC SCH40 LD'!$A$8:$M$21,9,FALSE),
IF($A98&lt;'Pool &amp; SPA Sweep Elbows'!$A$12,VLOOKUP($A98,'Pool &amp; SPA Sweep Elbows'!$A$8:$M$11,9,FALSE),
IF($A98&lt;'Pool &amp; SPA Pipe Extender'!$A$11,VLOOKUP($A98,'Pool &amp; SPA Pipe Extender'!$A$8:$M$10,9,FALSE),
IF($A98&lt;'PVC SCH80'!$A$250,VLOOKUP($A98,'PVC SCH80'!$A$8:$M$249,9,FALSE),
IF($A98&lt;'PVC SCH80 Flange'!$A$49,VLOOKUP($A98,'PVC SCH80 Flange'!$A$8:$M$48,9,FALSE),
IF($A98&lt;'PVC SCH80 LD Flange'!$A$17,VLOOKUP($A98,'PVC SCH80 LD Flange'!$A$8:$M$16,9,FALSE),
IF($A98&lt;CPVC!$A$100,VLOOKUP($A98,CPVC!$A$8:$M$99,9,FALSE),
IF($A98&lt;InsertFittings!$A$237,VLOOKUP($A98,InsertFittings!$A$11:$M$236,9,FALSE),
IF($A98&lt;Valves!$A$132,VLOOKUP($A98,Valves!$A$8:$M$131,9,FALSE),
IF($A98&lt;SDR35SW!$A$124,VLOOKUP($A98,SDR35SW!$A$8:$M$123,9,FALSE),
IF($A98&lt;SDR35G!$A$143,VLOOKUP($A98, SDR35G!$A$8:$M$142,9,FALSE),
IF($A98&lt;SDR26G!$A$61,VLOOKUP($A98,SDR26G!$A$8:$N$60,10,FALSE),
IF($A98&lt;Cements!$A$100,VLOOKUP($A98,Cements!$A$8:$Q$99,13,FALSE),
IF($A98&lt;ValveBox!$A$143,VLOOKUP($A98,ValveBox!$A$10:$O$142,11,FALSE),
IF($A98&lt;'ValveBox Components'!$A$165,VLOOKUP($A98,'ValveBox Components'!$A$10:$O$164,11,FALSE),
IF($A98&lt;Drainage!$A$92,VLOOKUP($A98,Drainage!$A$8:$M$91,9,FALSE),
IF($A98&lt;Nipples!$A$82,VLOOKUP($A98,Nipples!$A$9:$Q$81,13,FALSE),
IF($A98&lt;Manifold!$A$33,VLOOKUP($A98,Manifold!$A$9:$M$32,9,FALSE),
IF($A98&lt;FlexibleRepairCouplings!$A$13,VLOOKUP($A98,FlexibleRepairCouplings!$A$10:$M$12,9,FALSE),
IF($A98&lt;DuraFix!$A$15,VLOOKUP($A98,DuraFix!$A$9:$M$14,9,FALSE),
IF($A98&lt;'Compression Fittings'!$A$16,VLOOKUP($A98,'Compression Fittings'!$A$8:$M$15,9,FALSE),
IF($A98&lt;'Hose Fittings'!$A$30,VLOOKUP($A98,'Hose Fittings'!$A$8:$M$29,9,FALSE),
IF($A98&lt;'Swing Joints'!$A$496,VLOOKUP($A98,'Swing Joints'!$A$9:$M$495,9,FALSE),
IF($A98&lt;'Swing Joints Components'!$A$135,VLOOKUP($A98,'Swing Joints Components'!$A$9:$M$134,9,FALSE),
IF($A98&lt;Nonstandard!$A$42,VLOOKUP($A98,Nonstandard!$A$31:$J$41,8,FALSE),"")))))))))))))))))))))))))))),"")</f>
        <v/>
      </c>
      <c r="G98" s="422" t="str">
        <f>IFERROR(IF($A98&lt;'DWV PVC'!$A$285,VLOOKUP($A98,'DWV PVC'!$A$8:$M$284,11,FALSE),
IF($A98&lt;'DWV ABS'!$A$117,VLOOKUP($A98,'DWV ABS'!$A$8:$M$116,11,FALSE),
IF($A98&lt;'PVC SCH40'!$A$376,VLOOKUP($A98,'PVC SCH40'!$A$8:$M$375,11,FALSE),
IF($A98&lt;'PVC SCH40 LD'!$A$22,VLOOKUP($A98,'PVC SCH40 LD'!$A$8:$M$21,11,FALSE),
IF($A98&lt;'Pool &amp; SPA Sweep Elbows'!$A$12,VLOOKUP($A98,'Pool &amp; SPA Sweep Elbows'!$A$8:$M$11,11,FALSE),
IF($A98&lt;'Pool &amp; SPA Pipe Extender'!$A$11,VLOOKUP($A98,'Pool &amp; SPA Pipe Extender'!$A$8:$M$10,11,FALSE),
IF($A98&lt;'PVC SCH80'!$A$250,VLOOKUP($A98,'PVC SCH80'!$A$8:$M$249,11,FALSE),
IF($A98&lt;'PVC SCH80 Flange'!$A$49,VLOOKUP($A98,'PVC SCH80 Flange'!$A$8:$M$48,11,FALSE),
IF($A98&lt;'PVC SCH80 LD Flange'!$A$17,VLOOKUP($A98,'PVC SCH80 LD Flange'!$A$8:$M$16,11,FALSE),
IF($A98&lt;CPVC!$A$100,VLOOKUP($A98,CPVC!$A$8:$M$99,11,FALSE),
IF($A98&lt;InsertFittings!$A$237,VLOOKUP($A98,InsertFittings!$A$11:$M$236,11,FALSE),
IF($A98&lt;Valves!$A$132,VLOOKUP($A98,Valves!$A$8:$M$131,11,FALSE),
IF($A98&lt;SDR35SW!$A$124,VLOOKUP($A98,SDR35SW!$A$8:$M$123,11,FALSE),
IF($A98&lt;SDR35G!$A$143,VLOOKUP($A98, SDR35G!$A$8:$M$142,11,FALSE),
IF($A98&lt;SDR26G!$A$61,VLOOKUP($A98,SDR26G!$A$8:$N$60,12,FALSE),
IF($A98&lt;Cements!$A$100,VLOOKUP($A98,Cements!$A$8:$Q$99,15,FALSE),
IF($A98&lt;ValveBox!$A$143,VLOOKUP($A98,ValveBox!$A$10:$O$142,13,FALSE),
IF($A98&lt;'ValveBox Components'!$A$165,VLOOKUP($A98,'ValveBox Components'!$A$10:$O$164,13,FALSE),
IF($A98&lt;Drainage!$A$92,VLOOKUP($A98,Drainage!$A$8:$M$91,11,FALSE),
IF($A98&lt;Nipples!$A$82,VLOOKUP($A98,Nipples!$A$9:$Q$81,15,FALSE),
IF($A98&lt;Manifold!$A$33,VLOOKUP($A98,Manifold!$A$9:$M$32,11,FALSE),
IF($A98&lt;FlexibleRepairCouplings!$A$13,VLOOKUP($A98,FlexibleRepairCouplings!$A$10:$M$12,11,FALSE),
IF($A98&lt;DuraFix!$A$15,VLOOKUP($A98,DuraFix!$A$9:$M$14,11,FALSE),
IF($A98&lt;'Compression Fittings'!$A$16,VLOOKUP($A98,'Compression Fittings'!$A$8:$M$15,11,FALSE),
IF($A98&lt;'Hose Fittings'!$A$30,VLOOKUP($A98,'Hose Fittings'!$A$8:$M$29,11,FALSE),
IF($A98&lt;'Swing Joints'!$A$496,VLOOKUP($A98,'Swing Joints'!$A$9:$M$495,11,FALSE),
IF($A98&lt;'Swing Joints Components'!$A$135,VLOOKUP($A98,'Swing Joints Components'!$A$9:$M$134,11,FALSE),
IF($A98&lt;Nonstandard!$A$42,VLOOKUP($A98,Nonstandard!$A$31:$J$41,3,FALSE),"")))))))))))))))))))))))))))),"")</f>
        <v/>
      </c>
      <c r="H98" s="588" t="str">
        <f>IFERROR(IF($A98&lt;'DWV PVC'!$A$285,VLOOKUP($A98,'DWV PVC'!$A$8:$M$284,7,FALSE),
IF($A98&lt;'DWV ABS'!$A$117,VLOOKUP($A98,'DWV ABS'!$A$8:$M$116,7,FALSE),
IF($A98&lt;'PVC SCH40'!$A$376,VLOOKUP($A98,'PVC SCH40'!$A$8:$M$375,7,FALSE),
IF($A98&lt;'PVC SCH40 LD'!$A$22,VLOOKUP($A98,'PVC SCH40 LD'!$A$8:$M$21,7,FALSE),
IF($A98&lt;'Pool &amp; SPA Sweep Elbows'!$A$12,VLOOKUP($A98,'Pool &amp; SPA Sweep Elbows'!$A$8:$M$11,7,FALSE),
IF($A98&lt;'Pool &amp; SPA Pipe Extender'!$A$11,VLOOKUP($A98,'Pool &amp; SPA Pipe Extender'!$A$8:$M$10,7,FALSE),
IF($A98&lt;'PVC SCH80'!$A$250,VLOOKUP($A98,'PVC SCH80'!$A$8:$M$249,7,FALSE),
IF($A98&lt;'PVC SCH80 Flange'!$A$49,VLOOKUP($A98,'PVC SCH80 Flange'!$A$8:$M$48,7,FALSE),
IF($A98&lt;'PVC SCH80 LD Flange'!$A$17,VLOOKUP($A98,'PVC SCH80 LD Flange'!$A$8:$M$16,7,FALSE),
IF($A98&lt;CPVC!$A$100,VLOOKUP($A98,CPVC!$A$8:$M$99,7,FALSE),
IF($A98&lt;InsertFittings!$A$237,VLOOKUP($A98,InsertFittings!$A$11:$M$236,7,FALSE),
IF($A98&lt;Valves!$A$132,VLOOKUP($A98,Valves!$A$8:$M$131,7,FALSE),
IF($A98&lt;SDR35SW!$A$124,VLOOKUP($A98,SDR35SW!$A$8:$M$123,7,FALSE),
IF($A98&lt;SDR35G!$A$143,VLOOKUP($A98, SDR35G!$A$8:$M$142,7,FALSE),
IF($A98&lt;SDR26G!$A$61,VLOOKUP($A98,SDR26G!$A$8:$N$60,10,FALSE),
IF($A98&lt;Cements!$A$100,VLOOKUP($A98,Cements!$A$8:$Q$99,13,FALSE),
IF($A98&lt;ValveBox!$A$143,VLOOKUP($A98,ValveBox!$A$10:$O$142,11,FALSE),
IF($A98&lt;'ValveBox Components'!$A$165,VLOOKUP($A98,'ValveBox Components'!$A$10:$O$164,11,FALSE),
IF($A98&lt;Drainage!$A$92,VLOOKUP($A98,Drainage!$A$8:$M$91,7,FALSE),
IF($A98&lt;Nipples!$A$82,VLOOKUP($A98,Nipples!$A$9:$Q$81,13,FALSE),
IF($A98&lt;Manifold!$A$33,VLOOKUP($A98,Manifold!$A$9:$M$32,7,FALSE),
IF($A98&lt;FlexibleRepairCouplings!$A$13,VLOOKUP($A98,FlexibleRepairCouplings!$A$10:$M$12,7,FALSE),
IF($A98&lt;DuraFix!$A$15,VLOOKUP($A98,DuraFix!$A$9:$M$14,7,FALSE),
IF($A98&lt;'Compression Fittings'!$A$16,VLOOKUP($A98,'Compression Fittings'!$A$8:$M$15,7,FALSE),
IF($A98&lt;'Hose Fittings'!$A$30,VLOOKUP($A98,'Hose Fittings'!$A$8:$M$29,7,FALSE),
IF($A98&lt;'Swing Joints'!$A$496,VLOOKUP($A98,'Swing Joints'!$A$9:$M$495,7,FALSE),
IF($A98&lt;'Swing Joints Components'!$A$135,VLOOKUP($A98,'Swing Joints Components'!$A$9:$M$134,7,FALSE),
IF($A98&lt;Nonstandard!$A$42,VLOOKUP($A98,Nonstandard!$A$31:$J$41,3,FALSE),"")))))))))))))))))))))))))))),"")</f>
        <v/>
      </c>
      <c r="I98" s="589"/>
      <c r="J98" s="423" t="str">
        <f t="shared" ref="J98:J161" si="3">IFERROR(G98/H98,"")</f>
        <v/>
      </c>
      <c r="K98" s="424" t="str">
        <f>IFERROR(IF($A98&lt;'DWV PVC'!$A$285,VLOOKUP($A98,'DWV PVC'!$A$8:$M$284,10,FALSE),
IF($A98&lt;'DWV ABS'!$A$117,VLOOKUP($A98,'DWV ABS'!$A$8:$M$116,10,FALSE),
IF($A98&lt;'PVC SCH40'!$A$376,VLOOKUP($A98,'PVC SCH40'!$A$8:$M$375,10,FALSE),
IF($A98&lt;'PVC SCH40 LD'!$A$22,VLOOKUP($A98,'PVC SCH40 LD'!$A$8:$M$21,10,FALSE),
IF($A98&lt;'Pool &amp; SPA Sweep Elbows'!$A$12,VLOOKUP($A98,'Pool &amp; SPA Sweep Elbows'!$A$8:$M$11,10,FALSE),
IF($A98&lt;'Pool &amp; SPA Pipe Extender'!$A$11,VLOOKUP($A98,'Pool &amp; SPA Pipe Extender'!$A$8:$M$10,10,FALSE),
IF($A98&lt;'PVC SCH80'!$A$250,VLOOKUP($A98,'PVC SCH80'!$A$8:$M$249,10,FALSE),
IF($A98&lt;'PVC SCH80 Flange'!$A$49,VLOOKUP($A98,'PVC SCH80 Flange'!$A$8:$M$48,10,FALSE),
IF($A98&lt;'PVC SCH80 LD Flange'!$A$17,VLOOKUP($A98,'PVC SCH80 LD Flange'!$A$8:$M$16,10,FALSE),
IF($A98&lt;CPVC!$A$100,VLOOKUP($A98,CPVC!$A$8:$M$99,10,FALSE),
IF($A98&lt;InsertFittings!$A$237,VLOOKUP($A98,InsertFittings!$A$11:$M$236,10,FALSE),
IF($A98&lt;Valves!$A$132,VLOOKUP($A98,Valves!$A$8:$M$131,10,FALSE),
IF($A98&lt;SDR35SW!$A$124,VLOOKUP($A98,SDR35SW!$A$8:$M$123,10,FALSE),
IF($A98&lt;SDR35G!$A$143,VLOOKUP($A98, SDR35G!$A$8:$M$142,10,FALSE),
IF($A98&lt;SDR26G!$A$61,VLOOKUP($A98,SDR26G!$A$8:$N$60,11,FALSE),
IF($A98&lt;Cements!$A$100,VLOOKUP($A98,Cements!$A$8:$Q$99,14,FALSE),
IF($A98&lt;ValveBox!$A$143,VLOOKUP($A98,ValveBox!$A$10:$O$142,12,FALSE),
IF($A98&lt;'ValveBox Components'!$A$165,VLOOKUP($A98,'ValveBox Components'!$A$10:$O$164,12,FALSE),
IF($A98&lt;Drainage!$A$92,VLOOKUP($A98,Drainage!$A$8:$M$91,10,FALSE),
IF($A98&lt;Nipples!$A$82,VLOOKUP($A98,Nipples!$A$9:$Q$81,14,FALSE),
IF($A98&lt;Manifold!$A$33,VLOOKUP($A98,Manifold!$A$9:$M$32,10,FALSE),
IF($A98&lt;FlexibleRepairCouplings!$A$13,VLOOKUP($A98,FlexibleRepairCouplings!$A$10:$M$12,10,FALSE),
IF($A98&lt;DuraFix!$A$15,VLOOKUP($A98,DuraFix!$A$9:$M$14,10,FALSE),
IF($A98&lt;'Compression Fittings'!$A$16,VLOOKUP($A98,'Compression Fittings'!$A$8:$M$15,10,FALSE),
IF($A98&lt;'Hose Fittings'!$A$30,VLOOKUP($A98,'Hose Fittings'!$A$8:$M$29,10,FALSE),
IF($A98&lt;'Swing Joints'!$A$496,VLOOKUP($A98,'Swing Joints'!$A$9:$M$495,10,FALSE),
IF($A98&lt;'Swing Joints Components'!$A$135,VLOOKUP($A98,'Swing Joints Components'!$A$9:$M$134,10,FALSE),
IF($A98&lt;Nonstandard!$A$42,VLOOKUP($A98,Nonstandard!$A$31:$J$41,10,FALSE),"")))))))))))))))))))))))))))),"")</f>
        <v/>
      </c>
      <c r="L98" s="421" t="str">
        <f t="shared" si="2"/>
        <v>-</v>
      </c>
      <c r="M98" s="425"/>
    </row>
    <row r="99" spans="1:13" ht="15.75">
      <c r="A99" s="415">
        <v>67</v>
      </c>
      <c r="B99" s="415" t="str">
        <f>IFERROR(IF($A99&lt;'DWV PVC'!$A$285,VLOOKUP($A99,'DWV PVC'!$A$8:$M$284,4,FALSE),
IF($A99&lt;'DWV ABS'!$A$117,VLOOKUP($A99,'DWV ABS'!$A$8:$M$116,4,FALSE),
IF($A99&lt;'PVC SCH40'!$A$376,VLOOKUP($A99,'PVC SCH40'!$A$8:$M$375,4,FALSE),
IF($A99&lt;'PVC SCH40 LD'!$A$22,VLOOKUP($A99,'PVC SCH40 LD'!$A$8:$M$21,4,FALSE),
IF($A99&lt;'Pool &amp; SPA Sweep Elbows'!$A$12,VLOOKUP($A99,'Pool &amp; SPA Sweep Elbows'!$A$8:$M$11,4,FALSE),
IF($A99&lt;'Pool &amp; SPA Pipe Extender'!$A$11,VLOOKUP($A99,'Pool &amp; SPA Pipe Extender'!$A$8:$M$10,4,FALSE),
IF($A99&lt;'PVC SCH80'!$A$250,VLOOKUP($A99,'PVC SCH80'!$A$8:$M$249,4,FALSE),
IF($A99&lt;'PVC SCH80 Flange'!$A$49,VLOOKUP($A99,'PVC SCH80 Flange'!$A$8:$M$48,4,FALSE),
IF($A99&lt;'PVC SCH80 LD Flange'!$A$17,VLOOKUP($A99,'PVC SCH80 LD Flange'!$A$8:$M$16,4,FALSE),
IF($A99&lt;CPVC!$A$100,VLOOKUP($A99,CPVC!$A$8:$M$99,4,FALSE),
IF($A99&lt;InsertFittings!$A$237,VLOOKUP($A99,InsertFittings!$A$11:$M$236,4,FALSE),
IF($A99&lt;Valves!$A$132,VLOOKUP($A99,Valves!$A$8:$M$131,4,FALSE),
IF($A99&lt;SDR35SW!$A$124,VLOOKUP($A99,SDR35SW!$A$8:$M$123,4,FALSE),
IF($A99&lt;SDR35G!$A$143,VLOOKUP($A99, SDR35G!$A$8:$M$142,4,FALSE),
IF($A99&lt;SDR26G!$A$61,VLOOKUP($A99,SDR26G!$A$8:$N$60,4,FALSE),
IF($A99&lt;Cements!$A$100,VLOOKUP($A99,Cements!$A$8:$Q$99,4,FALSE),
IF($A99&lt;ValveBox!$A$143,VLOOKUP($A99,ValveBox!$A$10:$O$142,4,FALSE),
IF($A99&lt;'ValveBox Components'!$A$165,VLOOKUP($A99,'ValveBox Components'!$A$10:$O$164,4,FALSE),
IF($A99&lt;Drainage!$A$92,VLOOKUP($A99,Drainage!$A$8:$M$91,4,FALSE),
IF($A99&lt;Nipples!$A$82,VLOOKUP($A99,Nipples!$A$9:$Q$81,4,FALSE),
IF($A99&lt;Manifold!$A$33,VLOOKUP($A99,Manifold!$A$9:$M$32,4,FALSE),
IF($A99&lt;FlexibleRepairCouplings!$A$13,VLOOKUP($A99,FlexibleRepairCouplings!$A$10:$M$12,4,FALSE),
IF($A99&lt;DuraFix!$A$15,VLOOKUP($A99,DuraFix!$A$9:$M$14,4,FALSE),
IF($A99&lt;'Compression Fittings'!$A$16,VLOOKUP($A99,'Compression Fittings'!$A$8:$M$15,4,FALSE),
IF($A99&lt;'Hose Fittings'!$A$30,VLOOKUP($A99,'Hose Fittings'!$A$8:$M$29,4,FALSE),
IF($A99&lt;'Swing Joints'!$A$496,VLOOKUP($A99,'Swing Joints'!$A$9:$M$495,4,FALSE),
IF($A99&lt;'Swing Joints Components'!$A$135,VLOOKUP($A99,'Swing Joints Components'!$A$9:$M$134,4,FALSE),
IF($A99&lt;Nonstandard!$A$42,VLOOKUP($A99,Nonstandard!$A$31:$J$41,5,FALSE),"")))))))))))))))))))))))))))),"")</f>
        <v/>
      </c>
      <c r="C99" s="415" t="str">
        <f>IFERROR(IF($A99&lt;'DWV PVC'!$A$285,VLOOKUP($A99,'DWV PVC'!$A$8:$M$284,5,FALSE),
IF($A99&lt;'DWV ABS'!$A$117,VLOOKUP($A99,'DWV ABS'!$A$8:$M$116,5,FALSE),
IF($A99&lt;'PVC SCH40'!$A$376,VLOOKUP($A99,'PVC SCH40'!$A$8:$M$375,5,FALSE),
IF($A99&lt;'PVC SCH40 LD'!$A$22,VLOOKUP($A99,'PVC SCH40 LD'!$A$8:$M$21,5,FALSE),
IF($A99&lt;'Pool &amp; SPA Sweep Elbows'!$A$12,VLOOKUP($A99,'Pool &amp; SPA Sweep Elbows'!$A$8:$M$11,5,FALSE),
IF($A99&lt;'Pool &amp; SPA Pipe Extender'!$A$11,VLOOKUP($A99,'Pool &amp; SPA Pipe Extender'!$A$8:$M$10,5,FALSE),
IF($A99&lt;'PVC SCH80'!$A$250,VLOOKUP($A99,'PVC SCH80'!$A$8:$M$249,5,FALSE),
IF($A99&lt;'PVC SCH80 Flange'!$A$49,VLOOKUP($A99,'PVC SCH80 Flange'!$A$8:$M$48,5,FALSE),
IF($A99&lt;'PVC SCH80 LD Flange'!$A$17,VLOOKUP($A99,'PVC SCH80 LD Flange'!$A$8:$M$16,5,FALSE),
IF($A99&lt;CPVC!$A$100,VLOOKUP($A99,CPVC!$A$8:$M$99,5,FALSE),
IF($A99&lt;InsertFittings!$A$237,VLOOKUP($A99,InsertFittings!$A$11:$M$236,5,FALSE),
IF($A99&lt;Valves!$A$132,VLOOKUP($A99,Valves!$A$8:$M$131,5,FALSE),
IF($A99&lt;SDR35SW!$A$124,VLOOKUP($A99,SDR35SW!$A$8:$M$123,5,FALSE),
IF($A99&lt;SDR35G!$A$143,VLOOKUP($A99, SDR35G!$A$8:$M$142,5,FALSE),
IF($A99&lt;SDR26G!$A$61,VLOOKUP($A99,SDR26G!$A$8:$N$60,5,FALSE),
IF($A99&lt;Cements!$A$100,VLOOKUP($A99,Cements!$A$8:$Q$99,5,FALSE),
IF($A99&lt;ValveBox!$A$143,VLOOKUP($A99,ValveBox!$A$10:$O$142,5,FALSE),
IF($A99&lt;'ValveBox Components'!$A$165,VLOOKUP($A99,'ValveBox Components'!$A$10:$O$164,5,FALSE),
IF($A99&lt;Drainage!$A$92,VLOOKUP($A99,Drainage!$A$8:$M$91,5,FALSE),
IF($A99&lt;Nipples!$A$82,VLOOKUP($A99,Nipples!$A$9:$Q$81,5,FALSE),
IF($A99&lt;Manifold!$A$33,VLOOKUP($A99,Manifold!$A$9:$M$32,5,FALSE),
IF($A99&lt;FlexibleRepairCouplings!$A$13,VLOOKUP($A99,FlexibleRepairCouplings!$A$10:$M$12,5,FALSE),
IF($A99&lt;DuraFix!$A$15,VLOOKUP($A99,DuraFix!$A$9:$M$14,5,FALSE),
IF($A99&lt;'Compression Fittings'!$A$16,VLOOKUP($A99,'Compression Fittings'!$A$8:$M$15,5,FALSE),
IF($A99&lt;'Hose Fittings'!$A$30,VLOOKUP($A99,'Hose Fittings'!$A$8:$M$29,5,FALSE),
IF($A99&lt;'Swing Joints'!$A$496,VLOOKUP($A99,'Swing Joints'!$A$9:$M$495,5,FALSE),
IF($A99&lt;'Swing Joints Components'!$A$135,VLOOKUP($A99,'Swing Joints Components'!$A$9:$M$134,5,FALSE),
IF($A99&lt;Nonstandard!$A$42,VLOOKUP($A99,Nonstandard!$A$31:$J$41,6,FALSE),"")))))))))))))))))))))))))))),"")</f>
        <v/>
      </c>
      <c r="D99" s="426" t="str">
        <f>IFERROR(IF($A99&lt;'DWV PVC'!$A$285,VLOOKUP($A99,'DWV PVC'!$A$8:$M$284,6,FALSE),
IF($A99&lt;'DWV ABS'!$A$117,VLOOKUP($A99,'DWV ABS'!$A$8:$M$116,6,FALSE),
IF($A99&lt;'PVC SCH40'!$A$376,VLOOKUP($A99,'PVC SCH40'!$A$8:$M$375,6,FALSE),
IF($A99&lt;'PVC SCH40 LD'!$A$22,VLOOKUP($A99,'PVC SCH40 LD'!$A$8:$M$21,6,FALSE),
IF($A99&lt;'Pool &amp; SPA Sweep Elbows'!$A$12,VLOOKUP($A99,'Pool &amp; SPA Sweep Elbows'!$A$8:$M$11,6,FALSE),
IF($A99&lt;'Pool &amp; SPA Pipe Extender'!$A$11,VLOOKUP($A99,'Pool &amp; SPA Pipe Extender'!$A$8:$M$10,6,FALSE),
IF($A99&lt;'PVC SCH80'!$A$250,VLOOKUP($A99,'PVC SCH80'!$A$8:$M$249,6,FALSE),
IF($A99&lt;'PVC SCH80 Flange'!$A$49,VLOOKUP($A99,'PVC SCH80 Flange'!$A$8:$M$48,6,FALSE),
IF($A99&lt;'PVC SCH80 LD Flange'!$A$17,VLOOKUP($A99,'PVC SCH80 LD Flange'!$A$8:$M$16,6,FALSE),
IF($A99&lt;CPVC!$A$100,VLOOKUP($A99,CPVC!$A$8:$M$99,6,FALSE),
IF($A99&lt;InsertFittings!$A$237,VLOOKUP($A99,InsertFittings!$A$11:$M$236,6,FALSE),
IF($A99&lt;Valves!$A$132,VLOOKUP($A99,Valves!$A$8:$M$131,6,FALSE),
IF($A99&lt;SDR35SW!$A$124,VLOOKUP($A99,SDR35SW!$A$8:$M$123,6,FALSE),
IF($A99&lt;SDR35G!$A$143,VLOOKUP($A99, SDR35G!$A$8:$M$142,6,FALSE),
IF($A99&lt;SDR26G!$A$61,VLOOKUP($A99,SDR26G!$A$8:$N$60,6,FALSE),
IF($A99&lt;Cements!$A$100,VLOOKUP($A99,Cements!$A$8:$Q$99,6,FALSE),
IF($A99&lt;ValveBox!$A$143,VLOOKUP($A99,ValveBox!$A$10:$O$142,6,FALSE),
IF($A99&lt;'ValveBox Components'!$A$165,VLOOKUP($A99,'ValveBox Components'!$A$10:$O$164,6,FALSE),
IF($A99&lt;Drainage!$A$92,VLOOKUP($A99,Drainage!$A$8:$M$91,6,FALSE),
IF($A99&lt;Nipples!$A$82,VLOOKUP($A99,Nipples!$A$9:$Q$81,6,FALSE),
IF($A99&lt;Manifold!$A$33,VLOOKUP($A99,Manifold!$A$9:$M$32,6,FALSE),
IF($A99&lt;FlexibleRepairCouplings!$A$13,VLOOKUP($A99,FlexibleRepairCouplings!$A$10:$M$12,6,FALSE),
IF($A99&lt;DuraFix!$A$15,VLOOKUP($A99,DuraFix!$A$9:$M$14,6,FALSE),
IF($A99&lt;'Compression Fittings'!$A$16,VLOOKUP($A99,'Compression Fittings'!$A$8:$M$15,6,FALSE),
IF($A99&lt;'Hose Fittings'!$A$30,VLOOKUP($A99,'Hose Fittings'!$A$8:$M$29,6,FALSE),
IF($A99&lt;'Swing Joints'!$A$496,VLOOKUP($A99,'Swing Joints'!$A$9:$M$495,6,FALSE),
IF($A99&lt;'Swing Joints Components'!$A$135,VLOOKUP($A99,'Swing Joints Components'!$A$9:$M$134,6,FALSE),
IF($A99&lt;Nonstandard!$A$42,VLOOKUP($A99,Nonstandard!$A$31:$J$41,7,FALSE),"")))))))))))))))))))))))))))),"")</f>
        <v/>
      </c>
      <c r="E99" s="427"/>
      <c r="F99" s="418" t="str">
        <f>IFERROR(IF($A99&lt;'DWV PVC'!$A$285,VLOOKUP($A99,'DWV PVC'!$A$8:$M$284,9,FALSE),
IF($A99&lt;'DWV ABS'!$A$117,VLOOKUP($A99,'DWV ABS'!$A$8:$M$116,9,FALSE),
IF($A99&lt;'PVC SCH40'!$A$376,VLOOKUP($A99,'PVC SCH40'!$A$8:$M$375,9,FALSE),
IF($A99&lt;'PVC SCH40 LD'!$A$22,VLOOKUP($A99,'PVC SCH40 LD'!$A$8:$M$21,9,FALSE),
IF($A99&lt;'Pool &amp; SPA Sweep Elbows'!$A$12,VLOOKUP($A99,'Pool &amp; SPA Sweep Elbows'!$A$8:$M$11,9,FALSE),
IF($A99&lt;'Pool &amp; SPA Pipe Extender'!$A$11,VLOOKUP($A99,'Pool &amp; SPA Pipe Extender'!$A$8:$M$10,9,FALSE),
IF($A99&lt;'PVC SCH80'!$A$250,VLOOKUP($A99,'PVC SCH80'!$A$8:$M$249,9,FALSE),
IF($A99&lt;'PVC SCH80 Flange'!$A$49,VLOOKUP($A99,'PVC SCH80 Flange'!$A$8:$M$48,9,FALSE),
IF($A99&lt;'PVC SCH80 LD Flange'!$A$17,VLOOKUP($A99,'PVC SCH80 LD Flange'!$A$8:$M$16,9,FALSE),
IF($A99&lt;CPVC!$A$100,VLOOKUP($A99,CPVC!$A$8:$M$99,9,FALSE),
IF($A99&lt;InsertFittings!$A$237,VLOOKUP($A99,InsertFittings!$A$11:$M$236,9,FALSE),
IF($A99&lt;Valves!$A$132,VLOOKUP($A99,Valves!$A$8:$M$131,9,FALSE),
IF($A99&lt;SDR35SW!$A$124,VLOOKUP($A99,SDR35SW!$A$8:$M$123,9,FALSE),
IF($A99&lt;SDR35G!$A$143,VLOOKUP($A99, SDR35G!$A$8:$M$142,9,FALSE),
IF($A99&lt;SDR26G!$A$61,VLOOKUP($A99,SDR26G!$A$8:$N$60,10,FALSE),
IF($A99&lt;Cements!$A$100,VLOOKUP($A99,Cements!$A$8:$Q$99,13,FALSE),
IF($A99&lt;ValveBox!$A$143,VLOOKUP($A99,ValveBox!$A$10:$O$142,11,FALSE),
IF($A99&lt;'ValveBox Components'!$A$165,VLOOKUP($A99,'ValveBox Components'!$A$10:$O$164,11,FALSE),
IF($A99&lt;Drainage!$A$92,VLOOKUP($A99,Drainage!$A$8:$M$91,9,FALSE),
IF($A99&lt;Nipples!$A$82,VLOOKUP($A99,Nipples!$A$9:$Q$81,13,FALSE),
IF($A99&lt;Manifold!$A$33,VLOOKUP($A99,Manifold!$A$9:$M$32,9,FALSE),
IF($A99&lt;FlexibleRepairCouplings!$A$13,VLOOKUP($A99,FlexibleRepairCouplings!$A$10:$M$12,9,FALSE),
IF($A99&lt;DuraFix!$A$15,VLOOKUP($A99,DuraFix!$A$9:$M$14,9,FALSE),
IF($A99&lt;'Compression Fittings'!$A$16,VLOOKUP($A99,'Compression Fittings'!$A$8:$M$15,9,FALSE),
IF($A99&lt;'Hose Fittings'!$A$30,VLOOKUP($A99,'Hose Fittings'!$A$8:$M$29,9,FALSE),
IF($A99&lt;'Swing Joints'!$A$496,VLOOKUP($A99,'Swing Joints'!$A$9:$M$495,9,FALSE),
IF($A99&lt;'Swing Joints Components'!$A$135,VLOOKUP($A99,'Swing Joints Components'!$A$9:$M$134,9,FALSE),
IF($A99&lt;Nonstandard!$A$42,VLOOKUP($A99,Nonstandard!$A$31:$J$41,8,FALSE),"")))))))))))))))))))))))))))),"")</f>
        <v/>
      </c>
      <c r="G99" s="416" t="str">
        <f>IFERROR(IF($A99&lt;'DWV PVC'!$A$285,VLOOKUP($A99,'DWV PVC'!$A$8:$M$284,11,FALSE),
IF($A99&lt;'DWV ABS'!$A$117,VLOOKUP($A99,'DWV ABS'!$A$8:$M$116,11,FALSE),
IF($A99&lt;'PVC SCH40'!$A$376,VLOOKUP($A99,'PVC SCH40'!$A$8:$M$375,11,FALSE),
IF($A99&lt;'PVC SCH40 LD'!$A$22,VLOOKUP($A99,'PVC SCH40 LD'!$A$8:$M$21,11,FALSE),
IF($A99&lt;'Pool &amp; SPA Sweep Elbows'!$A$12,VLOOKUP($A99,'Pool &amp; SPA Sweep Elbows'!$A$8:$M$11,11,FALSE),
IF($A99&lt;'Pool &amp; SPA Pipe Extender'!$A$11,VLOOKUP($A99,'Pool &amp; SPA Pipe Extender'!$A$8:$M$10,11,FALSE),
IF($A99&lt;'PVC SCH80'!$A$250,VLOOKUP($A99,'PVC SCH80'!$A$8:$M$249,11,FALSE),
IF($A99&lt;'PVC SCH80 Flange'!$A$49,VLOOKUP($A99,'PVC SCH80 Flange'!$A$8:$M$48,11,FALSE),
IF($A99&lt;'PVC SCH80 LD Flange'!$A$17,VLOOKUP($A99,'PVC SCH80 LD Flange'!$A$8:$M$16,11,FALSE),
IF($A99&lt;CPVC!$A$100,VLOOKUP($A99,CPVC!$A$8:$M$99,11,FALSE),
IF($A99&lt;InsertFittings!$A$237,VLOOKUP($A99,InsertFittings!$A$11:$M$236,11,FALSE),
IF($A99&lt;Valves!$A$132,VLOOKUP($A99,Valves!$A$8:$M$131,11,FALSE),
IF($A99&lt;SDR35SW!$A$124,VLOOKUP($A99,SDR35SW!$A$8:$M$123,11,FALSE),
IF($A99&lt;SDR35G!$A$143,VLOOKUP($A99, SDR35G!$A$8:$M$142,11,FALSE),
IF($A99&lt;SDR26G!$A$61,VLOOKUP($A99,SDR26G!$A$8:$N$60,12,FALSE),
IF($A99&lt;Cements!$A$100,VLOOKUP($A99,Cements!$A$8:$Q$99,15,FALSE),
IF($A99&lt;ValveBox!$A$143,VLOOKUP($A99,ValveBox!$A$10:$O$142,13,FALSE),
IF($A99&lt;'ValveBox Components'!$A$165,VLOOKUP($A99,'ValveBox Components'!$A$10:$O$164,13,FALSE),
IF($A99&lt;Drainage!$A$92,VLOOKUP($A99,Drainage!$A$8:$M$91,11,FALSE),
IF($A99&lt;Nipples!$A$82,VLOOKUP($A99,Nipples!$A$9:$Q$81,15,FALSE),
IF($A99&lt;Manifold!$A$33,VLOOKUP($A99,Manifold!$A$9:$M$32,11,FALSE),
IF($A99&lt;FlexibleRepairCouplings!$A$13,VLOOKUP($A99,FlexibleRepairCouplings!$A$10:$M$12,11,FALSE),
IF($A99&lt;DuraFix!$A$15,VLOOKUP($A99,DuraFix!$A$9:$M$14,11,FALSE),
IF($A99&lt;'Compression Fittings'!$A$16,VLOOKUP($A99,'Compression Fittings'!$A$8:$M$15,11,FALSE),
IF($A99&lt;'Hose Fittings'!$A$30,VLOOKUP($A99,'Hose Fittings'!$A$8:$M$29,11,FALSE),
IF($A99&lt;'Swing Joints'!$A$496,VLOOKUP($A99,'Swing Joints'!$A$9:$M$495,11,FALSE),
IF($A99&lt;'Swing Joints Components'!$A$135,VLOOKUP($A99,'Swing Joints Components'!$A$9:$M$134,11,FALSE),
IF($A99&lt;Nonstandard!$A$42,VLOOKUP($A99,Nonstandard!$A$31:$J$41,3,FALSE),"")))))))))))))))))))))))))))),"")</f>
        <v/>
      </c>
      <c r="H99" s="586" t="str">
        <f>IFERROR(IF($A99&lt;'DWV PVC'!$A$285,VLOOKUP($A99,'DWV PVC'!$A$8:$M$284,7,FALSE),
IF($A99&lt;'DWV ABS'!$A$117,VLOOKUP($A99,'DWV ABS'!$A$8:$M$116,7,FALSE),
IF($A99&lt;'PVC SCH40'!$A$376,VLOOKUP($A99,'PVC SCH40'!$A$8:$M$375,7,FALSE),
IF($A99&lt;'PVC SCH40 LD'!$A$22,VLOOKUP($A99,'PVC SCH40 LD'!$A$8:$M$21,7,FALSE),
IF($A99&lt;'Pool &amp; SPA Sweep Elbows'!$A$12,VLOOKUP($A99,'Pool &amp; SPA Sweep Elbows'!$A$8:$M$11,7,FALSE),
IF($A99&lt;'Pool &amp; SPA Pipe Extender'!$A$11,VLOOKUP($A99,'Pool &amp; SPA Pipe Extender'!$A$8:$M$10,7,FALSE),
IF($A99&lt;'PVC SCH80'!$A$250,VLOOKUP($A99,'PVC SCH80'!$A$8:$M$249,7,FALSE),
IF($A99&lt;'PVC SCH80 Flange'!$A$49,VLOOKUP($A99,'PVC SCH80 Flange'!$A$8:$M$48,7,FALSE),
IF($A99&lt;'PVC SCH80 LD Flange'!$A$17,VLOOKUP($A99,'PVC SCH80 LD Flange'!$A$8:$M$16,7,FALSE),
IF($A99&lt;CPVC!$A$100,VLOOKUP($A99,CPVC!$A$8:$M$99,7,FALSE),
IF($A99&lt;InsertFittings!$A$237,VLOOKUP($A99,InsertFittings!$A$11:$M$236,7,FALSE),
IF($A99&lt;Valves!$A$132,VLOOKUP($A99,Valves!$A$8:$M$131,7,FALSE),
IF($A99&lt;SDR35SW!$A$124,VLOOKUP($A99,SDR35SW!$A$8:$M$123,7,FALSE),
IF($A99&lt;SDR35G!$A$143,VLOOKUP($A99, SDR35G!$A$8:$M$142,7,FALSE),
IF($A99&lt;SDR26G!$A$61,VLOOKUP($A99,SDR26G!$A$8:$N$60,10,FALSE),
IF($A99&lt;Cements!$A$100,VLOOKUP($A99,Cements!$A$8:$Q$99,13,FALSE),
IF($A99&lt;ValveBox!$A$143,VLOOKUP($A99,ValveBox!$A$10:$O$142,11,FALSE),
IF($A99&lt;'ValveBox Components'!$A$165,VLOOKUP($A99,'ValveBox Components'!$A$10:$O$164,11,FALSE),
IF($A99&lt;Drainage!$A$92,VLOOKUP($A99,Drainage!$A$8:$M$91,7,FALSE),
IF($A99&lt;Nipples!$A$82,VLOOKUP($A99,Nipples!$A$9:$Q$81,13,FALSE),
IF($A99&lt;Manifold!$A$33,VLOOKUP($A99,Manifold!$A$9:$M$32,7,FALSE),
IF($A99&lt;FlexibleRepairCouplings!$A$13,VLOOKUP($A99,FlexibleRepairCouplings!$A$10:$M$12,7,FALSE),
IF($A99&lt;DuraFix!$A$15,VLOOKUP($A99,DuraFix!$A$9:$M$14,7,FALSE),
IF($A99&lt;'Compression Fittings'!$A$16,VLOOKUP($A99,'Compression Fittings'!$A$8:$M$15,7,FALSE),
IF($A99&lt;'Hose Fittings'!$A$30,VLOOKUP($A99,'Hose Fittings'!$A$8:$M$29,7,FALSE),
IF($A99&lt;'Swing Joints'!$A$496,VLOOKUP($A99,'Swing Joints'!$A$9:$M$495,7,FALSE),
IF($A99&lt;'Swing Joints Components'!$A$135,VLOOKUP($A99,'Swing Joints Components'!$A$9:$M$134,7,FALSE),
IF($A99&lt;Nonstandard!$A$42,VLOOKUP($A99,Nonstandard!$A$31:$J$41,3,FALSE),"")))))))))))))))))))))))))))),"")</f>
        <v/>
      </c>
      <c r="I99" s="587"/>
      <c r="J99" s="383" t="str">
        <f t="shared" si="3"/>
        <v/>
      </c>
      <c r="K99" s="417" t="str">
        <f>IFERROR(IF($A99&lt;'DWV PVC'!$A$285,VLOOKUP($A99,'DWV PVC'!$A$8:$M$284,10,FALSE),
IF($A99&lt;'DWV ABS'!$A$117,VLOOKUP($A99,'DWV ABS'!$A$8:$M$116,10,FALSE),
IF($A99&lt;'PVC SCH40'!$A$376,VLOOKUP($A99,'PVC SCH40'!$A$8:$M$375,10,FALSE),
IF($A99&lt;'PVC SCH40 LD'!$A$22,VLOOKUP($A99,'PVC SCH40 LD'!$A$8:$M$21,10,FALSE),
IF($A99&lt;'Pool &amp; SPA Sweep Elbows'!$A$12,VLOOKUP($A99,'Pool &amp; SPA Sweep Elbows'!$A$8:$M$11,10,FALSE),
IF($A99&lt;'Pool &amp; SPA Pipe Extender'!$A$11,VLOOKUP($A99,'Pool &amp; SPA Pipe Extender'!$A$8:$M$10,10,FALSE),
IF($A99&lt;'PVC SCH80'!$A$250,VLOOKUP($A99,'PVC SCH80'!$A$8:$M$249,10,FALSE),
IF($A99&lt;'PVC SCH80 Flange'!$A$49,VLOOKUP($A99,'PVC SCH80 Flange'!$A$8:$M$48,10,FALSE),
IF($A99&lt;'PVC SCH80 LD Flange'!$A$17,VLOOKUP($A99,'PVC SCH80 LD Flange'!$A$8:$M$16,10,FALSE),
IF($A99&lt;CPVC!$A$100,VLOOKUP($A99,CPVC!$A$8:$M$99,10,FALSE),
IF($A99&lt;InsertFittings!$A$237,VLOOKUP($A99,InsertFittings!$A$11:$M$236,10,FALSE),
IF($A99&lt;Valves!$A$132,VLOOKUP($A99,Valves!$A$8:$M$131,10,FALSE),
IF($A99&lt;SDR35SW!$A$124,VLOOKUP($A99,SDR35SW!$A$8:$M$123,10,FALSE),
IF($A99&lt;SDR35G!$A$143,VLOOKUP($A99, SDR35G!$A$8:$M$142,10,FALSE),
IF($A99&lt;SDR26G!$A$61,VLOOKUP($A99,SDR26G!$A$8:$N$60,11,FALSE),
IF($A99&lt;Cements!$A$100,VLOOKUP($A99,Cements!$A$8:$Q$99,14,FALSE),
IF($A99&lt;ValveBox!$A$143,VLOOKUP($A99,ValveBox!$A$10:$O$142,12,FALSE),
IF($A99&lt;'ValveBox Components'!$A$165,VLOOKUP($A99,'ValveBox Components'!$A$10:$O$164,12,FALSE),
IF($A99&lt;Drainage!$A$92,VLOOKUP($A99,Drainage!$A$8:$M$91,10,FALSE),
IF($A99&lt;Nipples!$A$82,VLOOKUP($A99,Nipples!$A$9:$Q$81,14,FALSE),
IF($A99&lt;Manifold!$A$33,VLOOKUP($A99,Manifold!$A$9:$M$32,10,FALSE),
IF($A99&lt;FlexibleRepairCouplings!$A$13,VLOOKUP($A99,FlexibleRepairCouplings!$A$10:$M$12,10,FALSE),
IF($A99&lt;DuraFix!$A$15,VLOOKUP($A99,DuraFix!$A$9:$M$14,10,FALSE),
IF($A99&lt;'Compression Fittings'!$A$16,VLOOKUP($A99,'Compression Fittings'!$A$8:$M$15,10,FALSE),
IF($A99&lt;'Hose Fittings'!$A$30,VLOOKUP($A99,'Hose Fittings'!$A$8:$M$29,10,FALSE),
IF($A99&lt;'Swing Joints'!$A$496,VLOOKUP($A99,'Swing Joints'!$A$9:$M$495,10,FALSE),
IF($A99&lt;'Swing Joints Components'!$A$135,VLOOKUP($A99,'Swing Joints Components'!$A$9:$M$134,10,FALSE),
IF($A99&lt;Nonstandard!$A$42,VLOOKUP($A99,Nonstandard!$A$31:$J$41,10,FALSE),"")))))))))))))))))))))))))))),"")</f>
        <v/>
      </c>
      <c r="L99" s="418" t="str">
        <f t="shared" si="2"/>
        <v>-</v>
      </c>
      <c r="M99" s="419"/>
    </row>
    <row r="100" spans="1:13" ht="15.75">
      <c r="A100" s="420">
        <v>68</v>
      </c>
      <c r="B100" s="420" t="str">
        <f>IFERROR(IF($A100&lt;'DWV PVC'!$A$285,VLOOKUP($A100,'DWV PVC'!$A$8:$M$284,4,FALSE),
IF($A100&lt;'DWV ABS'!$A$117,VLOOKUP($A100,'DWV ABS'!$A$8:$M$116,4,FALSE),
IF($A100&lt;'PVC SCH40'!$A$376,VLOOKUP($A100,'PVC SCH40'!$A$8:$M$375,4,FALSE),
IF($A100&lt;'PVC SCH40 LD'!$A$22,VLOOKUP($A100,'PVC SCH40 LD'!$A$8:$M$21,4,FALSE),
IF($A100&lt;'Pool &amp; SPA Sweep Elbows'!$A$12,VLOOKUP($A100,'Pool &amp; SPA Sweep Elbows'!$A$8:$M$11,4,FALSE),
IF($A100&lt;'Pool &amp; SPA Pipe Extender'!$A$11,VLOOKUP($A100,'Pool &amp; SPA Pipe Extender'!$A$8:$M$10,4,FALSE),
IF($A100&lt;'PVC SCH80'!$A$250,VLOOKUP($A100,'PVC SCH80'!$A$8:$M$249,4,FALSE),
IF($A100&lt;'PVC SCH80 Flange'!$A$49,VLOOKUP($A100,'PVC SCH80 Flange'!$A$8:$M$48,4,FALSE),
IF($A100&lt;'PVC SCH80 LD Flange'!$A$17,VLOOKUP($A100,'PVC SCH80 LD Flange'!$A$8:$M$16,4,FALSE),
IF($A100&lt;CPVC!$A$100,VLOOKUP($A100,CPVC!$A$8:$M$99,4,FALSE),
IF($A100&lt;InsertFittings!$A$237,VLOOKUP($A100,InsertFittings!$A$11:$M$236,4,FALSE),
IF($A100&lt;Valves!$A$132,VLOOKUP($A100,Valves!$A$8:$M$131,4,FALSE),
IF($A100&lt;SDR35SW!$A$124,VLOOKUP($A100,SDR35SW!$A$8:$M$123,4,FALSE),
IF($A100&lt;SDR35G!$A$143,VLOOKUP($A100, SDR35G!$A$8:$M$142,4,FALSE),
IF($A100&lt;SDR26G!$A$61,VLOOKUP($A100,SDR26G!$A$8:$N$60,4,FALSE),
IF($A100&lt;Cements!$A$100,VLOOKUP($A100,Cements!$A$8:$Q$99,4,FALSE),
IF($A100&lt;ValveBox!$A$143,VLOOKUP($A100,ValveBox!$A$10:$O$142,4,FALSE),
IF($A100&lt;'ValveBox Components'!$A$165,VLOOKUP($A100,'ValveBox Components'!$A$10:$O$164,4,FALSE),
IF($A100&lt;Drainage!$A$92,VLOOKUP($A100,Drainage!$A$8:$M$91,4,FALSE),
IF($A100&lt;Nipples!$A$82,VLOOKUP($A100,Nipples!$A$9:$Q$81,4,FALSE),
IF($A100&lt;Manifold!$A$33,VLOOKUP($A100,Manifold!$A$9:$M$32,4,FALSE),
IF($A100&lt;FlexibleRepairCouplings!$A$13,VLOOKUP($A100,FlexibleRepairCouplings!$A$10:$M$12,4,FALSE),
IF($A100&lt;DuraFix!$A$15,VLOOKUP($A100,DuraFix!$A$9:$M$14,4,FALSE),
IF($A100&lt;'Compression Fittings'!$A$16,VLOOKUP($A100,'Compression Fittings'!$A$8:$M$15,4,FALSE),
IF($A100&lt;'Hose Fittings'!$A$30,VLOOKUP($A100,'Hose Fittings'!$A$8:$M$29,4,FALSE),
IF($A100&lt;'Swing Joints'!$A$496,VLOOKUP($A100,'Swing Joints'!$A$9:$M$495,4,FALSE),
IF($A100&lt;'Swing Joints Components'!$A$135,VLOOKUP($A100,'Swing Joints Components'!$A$9:$M$134,4,FALSE),
IF($A100&lt;Nonstandard!$A$42,VLOOKUP($A100,Nonstandard!$A$31:$J$41,5,FALSE),"")))))))))))))))))))))))))))),"")</f>
        <v/>
      </c>
      <c r="C100" s="420" t="str">
        <f>IFERROR(IF($A100&lt;'DWV PVC'!$A$285,VLOOKUP($A100,'DWV PVC'!$A$8:$M$284,5,FALSE),
IF($A100&lt;'DWV ABS'!$A$117,VLOOKUP($A100,'DWV ABS'!$A$8:$M$116,5,FALSE),
IF($A100&lt;'PVC SCH40'!$A$376,VLOOKUP($A100,'PVC SCH40'!$A$8:$M$375,5,FALSE),
IF($A100&lt;'PVC SCH40 LD'!$A$22,VLOOKUP($A100,'PVC SCH40 LD'!$A$8:$M$21,5,FALSE),
IF($A100&lt;'Pool &amp; SPA Sweep Elbows'!$A$12,VLOOKUP($A100,'Pool &amp; SPA Sweep Elbows'!$A$8:$M$11,5,FALSE),
IF($A100&lt;'Pool &amp; SPA Pipe Extender'!$A$11,VLOOKUP($A100,'Pool &amp; SPA Pipe Extender'!$A$8:$M$10,5,FALSE),
IF($A100&lt;'PVC SCH80'!$A$250,VLOOKUP($A100,'PVC SCH80'!$A$8:$M$249,5,FALSE),
IF($A100&lt;'PVC SCH80 Flange'!$A$49,VLOOKUP($A100,'PVC SCH80 Flange'!$A$8:$M$48,5,FALSE),
IF($A100&lt;'PVC SCH80 LD Flange'!$A$17,VLOOKUP($A100,'PVC SCH80 LD Flange'!$A$8:$M$16,5,FALSE),
IF($A100&lt;CPVC!$A$100,VLOOKUP($A100,CPVC!$A$8:$M$99,5,FALSE),
IF($A100&lt;InsertFittings!$A$237,VLOOKUP($A100,InsertFittings!$A$11:$M$236,5,FALSE),
IF($A100&lt;Valves!$A$132,VLOOKUP($A100,Valves!$A$8:$M$131,5,FALSE),
IF($A100&lt;SDR35SW!$A$124,VLOOKUP($A100,SDR35SW!$A$8:$M$123,5,FALSE),
IF($A100&lt;SDR35G!$A$143,VLOOKUP($A100, SDR35G!$A$8:$M$142,5,FALSE),
IF($A100&lt;SDR26G!$A$61,VLOOKUP($A100,SDR26G!$A$8:$N$60,5,FALSE),
IF($A100&lt;Cements!$A$100,VLOOKUP($A100,Cements!$A$8:$Q$99,5,FALSE),
IF($A100&lt;ValveBox!$A$143,VLOOKUP($A100,ValveBox!$A$10:$O$142,5,FALSE),
IF($A100&lt;'ValveBox Components'!$A$165,VLOOKUP($A100,'ValveBox Components'!$A$10:$O$164,5,FALSE),
IF($A100&lt;Drainage!$A$92,VLOOKUP($A100,Drainage!$A$8:$M$91,5,FALSE),
IF($A100&lt;Nipples!$A$82,VLOOKUP($A100,Nipples!$A$9:$Q$81,5,FALSE),
IF($A100&lt;Manifold!$A$33,VLOOKUP($A100,Manifold!$A$9:$M$32,5,FALSE),
IF($A100&lt;FlexibleRepairCouplings!$A$13,VLOOKUP($A100,FlexibleRepairCouplings!$A$10:$M$12,5,FALSE),
IF($A100&lt;DuraFix!$A$15,VLOOKUP($A100,DuraFix!$A$9:$M$14,5,FALSE),
IF($A100&lt;'Compression Fittings'!$A$16,VLOOKUP($A100,'Compression Fittings'!$A$8:$M$15,5,FALSE),
IF($A100&lt;'Hose Fittings'!$A$30,VLOOKUP($A100,'Hose Fittings'!$A$8:$M$29,5,FALSE),
IF($A100&lt;'Swing Joints'!$A$496,VLOOKUP($A100,'Swing Joints'!$A$9:$M$495,5,FALSE),
IF($A100&lt;'Swing Joints Components'!$A$135,VLOOKUP($A100,'Swing Joints Components'!$A$9:$M$134,5,FALSE),
IF($A100&lt;Nonstandard!$A$42,VLOOKUP($A100,Nonstandard!$A$31:$J$41,6,FALSE),"")))))))))))))))))))))))))))),"")</f>
        <v/>
      </c>
      <c r="D100" s="428" t="str">
        <f>IFERROR(IF($A100&lt;'DWV PVC'!$A$285,VLOOKUP($A100,'DWV PVC'!$A$8:$M$284,6,FALSE),
IF($A100&lt;'DWV ABS'!$A$117,VLOOKUP($A100,'DWV ABS'!$A$8:$M$116,6,FALSE),
IF($A100&lt;'PVC SCH40'!$A$376,VLOOKUP($A100,'PVC SCH40'!$A$8:$M$375,6,FALSE),
IF($A100&lt;'PVC SCH40 LD'!$A$22,VLOOKUP($A100,'PVC SCH40 LD'!$A$8:$M$21,6,FALSE),
IF($A100&lt;'Pool &amp; SPA Sweep Elbows'!$A$12,VLOOKUP($A100,'Pool &amp; SPA Sweep Elbows'!$A$8:$M$11,6,FALSE),
IF($A100&lt;'Pool &amp; SPA Pipe Extender'!$A$11,VLOOKUP($A100,'Pool &amp; SPA Pipe Extender'!$A$8:$M$10,6,FALSE),
IF($A100&lt;'PVC SCH80'!$A$250,VLOOKUP($A100,'PVC SCH80'!$A$8:$M$249,6,FALSE),
IF($A100&lt;'PVC SCH80 Flange'!$A$49,VLOOKUP($A100,'PVC SCH80 Flange'!$A$8:$M$48,6,FALSE),
IF($A100&lt;'PVC SCH80 LD Flange'!$A$17,VLOOKUP($A100,'PVC SCH80 LD Flange'!$A$8:$M$16,6,FALSE),
IF($A100&lt;CPVC!$A$100,VLOOKUP($A100,CPVC!$A$8:$M$99,6,FALSE),
IF($A100&lt;InsertFittings!$A$237,VLOOKUP($A100,InsertFittings!$A$11:$M$236,6,FALSE),
IF($A100&lt;Valves!$A$132,VLOOKUP($A100,Valves!$A$8:$M$131,6,FALSE),
IF($A100&lt;SDR35SW!$A$124,VLOOKUP($A100,SDR35SW!$A$8:$M$123,6,FALSE),
IF($A100&lt;SDR35G!$A$143,VLOOKUP($A100, SDR35G!$A$8:$M$142,6,FALSE),
IF($A100&lt;SDR26G!$A$61,VLOOKUP($A100,SDR26G!$A$8:$N$60,6,FALSE),
IF($A100&lt;Cements!$A$100,VLOOKUP($A100,Cements!$A$8:$Q$99,6,FALSE),
IF($A100&lt;ValveBox!$A$143,VLOOKUP($A100,ValveBox!$A$10:$O$142,6,FALSE),
IF($A100&lt;'ValveBox Components'!$A$165,VLOOKUP($A100,'ValveBox Components'!$A$10:$O$164,6,FALSE),
IF($A100&lt;Drainage!$A$92,VLOOKUP($A100,Drainage!$A$8:$M$91,6,FALSE),
IF($A100&lt;Nipples!$A$82,VLOOKUP($A100,Nipples!$A$9:$Q$81,6,FALSE),
IF($A100&lt;Manifold!$A$33,VLOOKUP($A100,Manifold!$A$9:$M$32,6,FALSE),
IF($A100&lt;FlexibleRepairCouplings!$A$13,VLOOKUP($A100,FlexibleRepairCouplings!$A$10:$M$12,6,FALSE),
IF($A100&lt;DuraFix!$A$15,VLOOKUP($A100,DuraFix!$A$9:$M$14,6,FALSE),
IF($A100&lt;'Compression Fittings'!$A$16,VLOOKUP($A100,'Compression Fittings'!$A$8:$M$15,6,FALSE),
IF($A100&lt;'Hose Fittings'!$A$30,VLOOKUP($A100,'Hose Fittings'!$A$8:$M$29,6,FALSE),
IF($A100&lt;'Swing Joints'!$A$496,VLOOKUP($A100,'Swing Joints'!$A$9:$M$495,6,FALSE),
IF($A100&lt;'Swing Joints Components'!$A$135,VLOOKUP($A100,'Swing Joints Components'!$A$9:$M$134,6,FALSE),
IF($A100&lt;Nonstandard!$A$42,VLOOKUP($A100,Nonstandard!$A$31:$J$41,7,FALSE),"")))))))))))))))))))))))))))),"")</f>
        <v/>
      </c>
      <c r="E100" s="429"/>
      <c r="F100" s="421" t="str">
        <f>IFERROR(IF($A100&lt;'DWV PVC'!$A$285,VLOOKUP($A100,'DWV PVC'!$A$8:$M$284,9,FALSE),
IF($A100&lt;'DWV ABS'!$A$117,VLOOKUP($A100,'DWV ABS'!$A$8:$M$116,9,FALSE),
IF($A100&lt;'PVC SCH40'!$A$376,VLOOKUP($A100,'PVC SCH40'!$A$8:$M$375,9,FALSE),
IF($A100&lt;'PVC SCH40 LD'!$A$22,VLOOKUP($A100,'PVC SCH40 LD'!$A$8:$M$21,9,FALSE),
IF($A100&lt;'Pool &amp; SPA Sweep Elbows'!$A$12,VLOOKUP($A100,'Pool &amp; SPA Sweep Elbows'!$A$8:$M$11,9,FALSE),
IF($A100&lt;'Pool &amp; SPA Pipe Extender'!$A$11,VLOOKUP($A100,'Pool &amp; SPA Pipe Extender'!$A$8:$M$10,9,FALSE),
IF($A100&lt;'PVC SCH80'!$A$250,VLOOKUP($A100,'PVC SCH80'!$A$8:$M$249,9,FALSE),
IF($A100&lt;'PVC SCH80 Flange'!$A$49,VLOOKUP($A100,'PVC SCH80 Flange'!$A$8:$M$48,9,FALSE),
IF($A100&lt;'PVC SCH80 LD Flange'!$A$17,VLOOKUP($A100,'PVC SCH80 LD Flange'!$A$8:$M$16,9,FALSE),
IF($A100&lt;CPVC!$A$100,VLOOKUP($A100,CPVC!$A$8:$M$99,9,FALSE),
IF($A100&lt;InsertFittings!$A$237,VLOOKUP($A100,InsertFittings!$A$11:$M$236,9,FALSE),
IF($A100&lt;Valves!$A$132,VLOOKUP($A100,Valves!$A$8:$M$131,9,FALSE),
IF($A100&lt;SDR35SW!$A$124,VLOOKUP($A100,SDR35SW!$A$8:$M$123,9,FALSE),
IF($A100&lt;SDR35G!$A$143,VLOOKUP($A100, SDR35G!$A$8:$M$142,9,FALSE),
IF($A100&lt;SDR26G!$A$61,VLOOKUP($A100,SDR26G!$A$8:$N$60,10,FALSE),
IF($A100&lt;Cements!$A$100,VLOOKUP($A100,Cements!$A$8:$Q$99,13,FALSE),
IF($A100&lt;ValveBox!$A$143,VLOOKUP($A100,ValveBox!$A$10:$O$142,11,FALSE),
IF($A100&lt;'ValveBox Components'!$A$165,VLOOKUP($A100,'ValveBox Components'!$A$10:$O$164,11,FALSE),
IF($A100&lt;Drainage!$A$92,VLOOKUP($A100,Drainage!$A$8:$M$91,9,FALSE),
IF($A100&lt;Nipples!$A$82,VLOOKUP($A100,Nipples!$A$9:$Q$81,13,FALSE),
IF($A100&lt;Manifold!$A$33,VLOOKUP($A100,Manifold!$A$9:$M$32,9,FALSE),
IF($A100&lt;FlexibleRepairCouplings!$A$13,VLOOKUP($A100,FlexibleRepairCouplings!$A$10:$M$12,9,FALSE),
IF($A100&lt;DuraFix!$A$15,VLOOKUP($A100,DuraFix!$A$9:$M$14,9,FALSE),
IF($A100&lt;'Compression Fittings'!$A$16,VLOOKUP($A100,'Compression Fittings'!$A$8:$M$15,9,FALSE),
IF($A100&lt;'Hose Fittings'!$A$30,VLOOKUP($A100,'Hose Fittings'!$A$8:$M$29,9,FALSE),
IF($A100&lt;'Swing Joints'!$A$496,VLOOKUP($A100,'Swing Joints'!$A$9:$M$495,9,FALSE),
IF($A100&lt;'Swing Joints Components'!$A$135,VLOOKUP($A100,'Swing Joints Components'!$A$9:$M$134,9,FALSE),
IF($A100&lt;Nonstandard!$A$42,VLOOKUP($A100,Nonstandard!$A$31:$J$41,8,FALSE),"")))))))))))))))))))))))))))),"")</f>
        <v/>
      </c>
      <c r="G100" s="422" t="str">
        <f>IFERROR(IF($A100&lt;'DWV PVC'!$A$285,VLOOKUP($A100,'DWV PVC'!$A$8:$M$284,11,FALSE),
IF($A100&lt;'DWV ABS'!$A$117,VLOOKUP($A100,'DWV ABS'!$A$8:$M$116,11,FALSE),
IF($A100&lt;'PVC SCH40'!$A$376,VLOOKUP($A100,'PVC SCH40'!$A$8:$M$375,11,FALSE),
IF($A100&lt;'PVC SCH40 LD'!$A$22,VLOOKUP($A100,'PVC SCH40 LD'!$A$8:$M$21,11,FALSE),
IF($A100&lt;'Pool &amp; SPA Sweep Elbows'!$A$12,VLOOKUP($A100,'Pool &amp; SPA Sweep Elbows'!$A$8:$M$11,11,FALSE),
IF($A100&lt;'Pool &amp; SPA Pipe Extender'!$A$11,VLOOKUP($A100,'Pool &amp; SPA Pipe Extender'!$A$8:$M$10,11,FALSE),
IF($A100&lt;'PVC SCH80'!$A$250,VLOOKUP($A100,'PVC SCH80'!$A$8:$M$249,11,FALSE),
IF($A100&lt;'PVC SCH80 Flange'!$A$49,VLOOKUP($A100,'PVC SCH80 Flange'!$A$8:$M$48,11,FALSE),
IF($A100&lt;'PVC SCH80 LD Flange'!$A$17,VLOOKUP($A100,'PVC SCH80 LD Flange'!$A$8:$M$16,11,FALSE),
IF($A100&lt;CPVC!$A$100,VLOOKUP($A100,CPVC!$A$8:$M$99,11,FALSE),
IF($A100&lt;InsertFittings!$A$237,VLOOKUP($A100,InsertFittings!$A$11:$M$236,11,FALSE),
IF($A100&lt;Valves!$A$132,VLOOKUP($A100,Valves!$A$8:$M$131,11,FALSE),
IF($A100&lt;SDR35SW!$A$124,VLOOKUP($A100,SDR35SW!$A$8:$M$123,11,FALSE),
IF($A100&lt;SDR35G!$A$143,VLOOKUP($A100, SDR35G!$A$8:$M$142,11,FALSE),
IF($A100&lt;SDR26G!$A$61,VLOOKUP($A100,SDR26G!$A$8:$N$60,12,FALSE),
IF($A100&lt;Cements!$A$100,VLOOKUP($A100,Cements!$A$8:$Q$99,15,FALSE),
IF($A100&lt;ValveBox!$A$143,VLOOKUP($A100,ValveBox!$A$10:$O$142,13,FALSE),
IF($A100&lt;'ValveBox Components'!$A$165,VLOOKUP($A100,'ValveBox Components'!$A$10:$O$164,13,FALSE),
IF($A100&lt;Drainage!$A$92,VLOOKUP($A100,Drainage!$A$8:$M$91,11,FALSE),
IF($A100&lt;Nipples!$A$82,VLOOKUP($A100,Nipples!$A$9:$Q$81,15,FALSE),
IF($A100&lt;Manifold!$A$33,VLOOKUP($A100,Manifold!$A$9:$M$32,11,FALSE),
IF($A100&lt;FlexibleRepairCouplings!$A$13,VLOOKUP($A100,FlexibleRepairCouplings!$A$10:$M$12,11,FALSE),
IF($A100&lt;DuraFix!$A$15,VLOOKUP($A100,DuraFix!$A$9:$M$14,11,FALSE),
IF($A100&lt;'Compression Fittings'!$A$16,VLOOKUP($A100,'Compression Fittings'!$A$8:$M$15,11,FALSE),
IF($A100&lt;'Hose Fittings'!$A$30,VLOOKUP($A100,'Hose Fittings'!$A$8:$M$29,11,FALSE),
IF($A100&lt;'Swing Joints'!$A$496,VLOOKUP($A100,'Swing Joints'!$A$9:$M$495,11,FALSE),
IF($A100&lt;'Swing Joints Components'!$A$135,VLOOKUP($A100,'Swing Joints Components'!$A$9:$M$134,11,FALSE),
IF($A100&lt;Nonstandard!$A$42,VLOOKUP($A100,Nonstandard!$A$31:$J$41,3,FALSE),"")))))))))))))))))))))))))))),"")</f>
        <v/>
      </c>
      <c r="H100" s="588" t="str">
        <f>IFERROR(IF($A100&lt;'DWV PVC'!$A$285,VLOOKUP($A100,'DWV PVC'!$A$8:$M$284,7,FALSE),
IF($A100&lt;'DWV ABS'!$A$117,VLOOKUP($A100,'DWV ABS'!$A$8:$M$116,7,FALSE),
IF($A100&lt;'PVC SCH40'!$A$376,VLOOKUP($A100,'PVC SCH40'!$A$8:$M$375,7,FALSE),
IF($A100&lt;'PVC SCH40 LD'!$A$22,VLOOKUP($A100,'PVC SCH40 LD'!$A$8:$M$21,7,FALSE),
IF($A100&lt;'Pool &amp; SPA Sweep Elbows'!$A$12,VLOOKUP($A100,'Pool &amp; SPA Sweep Elbows'!$A$8:$M$11,7,FALSE),
IF($A100&lt;'Pool &amp; SPA Pipe Extender'!$A$11,VLOOKUP($A100,'Pool &amp; SPA Pipe Extender'!$A$8:$M$10,7,FALSE),
IF($A100&lt;'PVC SCH80'!$A$250,VLOOKUP($A100,'PVC SCH80'!$A$8:$M$249,7,FALSE),
IF($A100&lt;'PVC SCH80 Flange'!$A$49,VLOOKUP($A100,'PVC SCH80 Flange'!$A$8:$M$48,7,FALSE),
IF($A100&lt;'PVC SCH80 LD Flange'!$A$17,VLOOKUP($A100,'PVC SCH80 LD Flange'!$A$8:$M$16,7,FALSE),
IF($A100&lt;CPVC!$A$100,VLOOKUP($A100,CPVC!$A$8:$M$99,7,FALSE),
IF($A100&lt;InsertFittings!$A$237,VLOOKUP($A100,InsertFittings!$A$11:$M$236,7,FALSE),
IF($A100&lt;Valves!$A$132,VLOOKUP($A100,Valves!$A$8:$M$131,7,FALSE),
IF($A100&lt;SDR35SW!$A$124,VLOOKUP($A100,SDR35SW!$A$8:$M$123,7,FALSE),
IF($A100&lt;SDR35G!$A$143,VLOOKUP($A100, SDR35G!$A$8:$M$142,7,FALSE),
IF($A100&lt;SDR26G!$A$61,VLOOKUP($A100,SDR26G!$A$8:$N$60,10,FALSE),
IF($A100&lt;Cements!$A$100,VLOOKUP($A100,Cements!$A$8:$Q$99,13,FALSE),
IF($A100&lt;ValveBox!$A$143,VLOOKUP($A100,ValveBox!$A$10:$O$142,11,FALSE),
IF($A100&lt;'ValveBox Components'!$A$165,VLOOKUP($A100,'ValveBox Components'!$A$10:$O$164,11,FALSE),
IF($A100&lt;Drainage!$A$92,VLOOKUP($A100,Drainage!$A$8:$M$91,7,FALSE),
IF($A100&lt;Nipples!$A$82,VLOOKUP($A100,Nipples!$A$9:$Q$81,13,FALSE),
IF($A100&lt;Manifold!$A$33,VLOOKUP($A100,Manifold!$A$9:$M$32,7,FALSE),
IF($A100&lt;FlexibleRepairCouplings!$A$13,VLOOKUP($A100,FlexibleRepairCouplings!$A$10:$M$12,7,FALSE),
IF($A100&lt;DuraFix!$A$15,VLOOKUP($A100,DuraFix!$A$9:$M$14,7,FALSE),
IF($A100&lt;'Compression Fittings'!$A$16,VLOOKUP($A100,'Compression Fittings'!$A$8:$M$15,7,FALSE),
IF($A100&lt;'Hose Fittings'!$A$30,VLOOKUP($A100,'Hose Fittings'!$A$8:$M$29,7,FALSE),
IF($A100&lt;'Swing Joints'!$A$496,VLOOKUP($A100,'Swing Joints'!$A$9:$M$495,7,FALSE),
IF($A100&lt;'Swing Joints Components'!$A$135,VLOOKUP($A100,'Swing Joints Components'!$A$9:$M$134,7,FALSE),
IF($A100&lt;Nonstandard!$A$42,VLOOKUP($A100,Nonstandard!$A$31:$J$41,3,FALSE),"")))))))))))))))))))))))))))),"")</f>
        <v/>
      </c>
      <c r="I100" s="589"/>
      <c r="J100" s="423" t="str">
        <f t="shared" si="3"/>
        <v/>
      </c>
      <c r="K100" s="424" t="str">
        <f>IFERROR(IF($A100&lt;'DWV PVC'!$A$285,VLOOKUP($A100,'DWV PVC'!$A$8:$M$284,10,FALSE),
IF($A100&lt;'DWV ABS'!$A$117,VLOOKUP($A100,'DWV ABS'!$A$8:$M$116,10,FALSE),
IF($A100&lt;'PVC SCH40'!$A$376,VLOOKUP($A100,'PVC SCH40'!$A$8:$M$375,10,FALSE),
IF($A100&lt;'PVC SCH40 LD'!$A$22,VLOOKUP($A100,'PVC SCH40 LD'!$A$8:$M$21,10,FALSE),
IF($A100&lt;'Pool &amp; SPA Sweep Elbows'!$A$12,VLOOKUP($A100,'Pool &amp; SPA Sweep Elbows'!$A$8:$M$11,10,FALSE),
IF($A100&lt;'Pool &amp; SPA Pipe Extender'!$A$11,VLOOKUP($A100,'Pool &amp; SPA Pipe Extender'!$A$8:$M$10,10,FALSE),
IF($A100&lt;'PVC SCH80'!$A$250,VLOOKUP($A100,'PVC SCH80'!$A$8:$M$249,10,FALSE),
IF($A100&lt;'PVC SCH80 Flange'!$A$49,VLOOKUP($A100,'PVC SCH80 Flange'!$A$8:$M$48,10,FALSE),
IF($A100&lt;'PVC SCH80 LD Flange'!$A$17,VLOOKUP($A100,'PVC SCH80 LD Flange'!$A$8:$M$16,10,FALSE),
IF($A100&lt;CPVC!$A$100,VLOOKUP($A100,CPVC!$A$8:$M$99,10,FALSE),
IF($A100&lt;InsertFittings!$A$237,VLOOKUP($A100,InsertFittings!$A$11:$M$236,10,FALSE),
IF($A100&lt;Valves!$A$132,VLOOKUP($A100,Valves!$A$8:$M$131,10,FALSE),
IF($A100&lt;SDR35SW!$A$124,VLOOKUP($A100,SDR35SW!$A$8:$M$123,10,FALSE),
IF($A100&lt;SDR35G!$A$143,VLOOKUP($A100, SDR35G!$A$8:$M$142,10,FALSE),
IF($A100&lt;SDR26G!$A$61,VLOOKUP($A100,SDR26G!$A$8:$N$60,11,FALSE),
IF($A100&lt;Cements!$A$100,VLOOKUP($A100,Cements!$A$8:$Q$99,14,FALSE),
IF($A100&lt;ValveBox!$A$143,VLOOKUP($A100,ValveBox!$A$10:$O$142,12,FALSE),
IF($A100&lt;'ValveBox Components'!$A$165,VLOOKUP($A100,'ValveBox Components'!$A$10:$O$164,12,FALSE),
IF($A100&lt;Drainage!$A$92,VLOOKUP($A100,Drainage!$A$8:$M$91,10,FALSE),
IF($A100&lt;Nipples!$A$82,VLOOKUP($A100,Nipples!$A$9:$Q$81,14,FALSE),
IF($A100&lt;Manifold!$A$33,VLOOKUP($A100,Manifold!$A$9:$M$32,10,FALSE),
IF($A100&lt;FlexibleRepairCouplings!$A$13,VLOOKUP($A100,FlexibleRepairCouplings!$A$10:$M$12,10,FALSE),
IF($A100&lt;DuraFix!$A$15,VLOOKUP($A100,DuraFix!$A$9:$M$14,10,FALSE),
IF($A100&lt;'Compression Fittings'!$A$16,VLOOKUP($A100,'Compression Fittings'!$A$8:$M$15,10,FALSE),
IF($A100&lt;'Hose Fittings'!$A$30,VLOOKUP($A100,'Hose Fittings'!$A$8:$M$29,10,FALSE),
IF($A100&lt;'Swing Joints'!$A$496,VLOOKUP($A100,'Swing Joints'!$A$9:$M$495,10,FALSE),
IF($A100&lt;'Swing Joints Components'!$A$135,VLOOKUP($A100,'Swing Joints Components'!$A$9:$M$134,10,FALSE),
IF($A100&lt;Nonstandard!$A$42,VLOOKUP($A100,Nonstandard!$A$31:$J$41,10,FALSE),"")))))))))))))))))))))))))))),"")</f>
        <v/>
      </c>
      <c r="L100" s="421" t="str">
        <f t="shared" si="2"/>
        <v>-</v>
      </c>
      <c r="M100" s="425"/>
    </row>
    <row r="101" spans="1:13" ht="15.75">
      <c r="A101" s="415">
        <v>69</v>
      </c>
      <c r="B101" s="415" t="str">
        <f>IFERROR(IF($A101&lt;'DWV PVC'!$A$285,VLOOKUP($A101,'DWV PVC'!$A$8:$M$284,4,FALSE),
IF($A101&lt;'DWV ABS'!$A$117,VLOOKUP($A101,'DWV ABS'!$A$8:$M$116,4,FALSE),
IF($A101&lt;'PVC SCH40'!$A$376,VLOOKUP($A101,'PVC SCH40'!$A$8:$M$375,4,FALSE),
IF($A101&lt;'PVC SCH40 LD'!$A$22,VLOOKUP($A101,'PVC SCH40 LD'!$A$8:$M$21,4,FALSE),
IF($A101&lt;'Pool &amp; SPA Sweep Elbows'!$A$12,VLOOKUP($A101,'Pool &amp; SPA Sweep Elbows'!$A$8:$M$11,4,FALSE),
IF($A101&lt;'Pool &amp; SPA Pipe Extender'!$A$11,VLOOKUP($A101,'Pool &amp; SPA Pipe Extender'!$A$8:$M$10,4,FALSE),
IF($A101&lt;'PVC SCH80'!$A$250,VLOOKUP($A101,'PVC SCH80'!$A$8:$M$249,4,FALSE),
IF($A101&lt;'PVC SCH80 Flange'!$A$49,VLOOKUP($A101,'PVC SCH80 Flange'!$A$8:$M$48,4,FALSE),
IF($A101&lt;'PVC SCH80 LD Flange'!$A$17,VLOOKUP($A101,'PVC SCH80 LD Flange'!$A$8:$M$16,4,FALSE),
IF($A101&lt;CPVC!$A$100,VLOOKUP($A101,CPVC!$A$8:$M$99,4,FALSE),
IF($A101&lt;InsertFittings!$A$237,VLOOKUP($A101,InsertFittings!$A$11:$M$236,4,FALSE),
IF($A101&lt;Valves!$A$132,VLOOKUP($A101,Valves!$A$8:$M$131,4,FALSE),
IF($A101&lt;SDR35SW!$A$124,VLOOKUP($A101,SDR35SW!$A$8:$M$123,4,FALSE),
IF($A101&lt;SDR35G!$A$143,VLOOKUP($A101, SDR35G!$A$8:$M$142,4,FALSE),
IF($A101&lt;SDR26G!$A$61,VLOOKUP($A101,SDR26G!$A$8:$N$60,4,FALSE),
IF($A101&lt;Cements!$A$100,VLOOKUP($A101,Cements!$A$8:$Q$99,4,FALSE),
IF($A101&lt;ValveBox!$A$143,VLOOKUP($A101,ValveBox!$A$10:$O$142,4,FALSE),
IF($A101&lt;'ValveBox Components'!$A$165,VLOOKUP($A101,'ValveBox Components'!$A$10:$O$164,4,FALSE),
IF($A101&lt;Drainage!$A$92,VLOOKUP($A101,Drainage!$A$8:$M$91,4,FALSE),
IF($A101&lt;Nipples!$A$82,VLOOKUP($A101,Nipples!$A$9:$Q$81,4,FALSE),
IF($A101&lt;Manifold!$A$33,VLOOKUP($A101,Manifold!$A$9:$M$32,4,FALSE),
IF($A101&lt;FlexibleRepairCouplings!$A$13,VLOOKUP($A101,FlexibleRepairCouplings!$A$10:$M$12,4,FALSE),
IF($A101&lt;DuraFix!$A$15,VLOOKUP($A101,DuraFix!$A$9:$M$14,4,FALSE),
IF($A101&lt;'Compression Fittings'!$A$16,VLOOKUP($A101,'Compression Fittings'!$A$8:$M$15,4,FALSE),
IF($A101&lt;'Hose Fittings'!$A$30,VLOOKUP($A101,'Hose Fittings'!$A$8:$M$29,4,FALSE),
IF($A101&lt;'Swing Joints'!$A$496,VLOOKUP($A101,'Swing Joints'!$A$9:$M$495,4,FALSE),
IF($A101&lt;'Swing Joints Components'!$A$135,VLOOKUP($A101,'Swing Joints Components'!$A$9:$M$134,4,FALSE),
IF($A101&lt;Nonstandard!$A$42,VLOOKUP($A101,Nonstandard!$A$31:$J$41,5,FALSE),"")))))))))))))))))))))))))))),"")</f>
        <v/>
      </c>
      <c r="C101" s="415" t="str">
        <f>IFERROR(IF($A101&lt;'DWV PVC'!$A$285,VLOOKUP($A101,'DWV PVC'!$A$8:$M$284,5,FALSE),
IF($A101&lt;'DWV ABS'!$A$117,VLOOKUP($A101,'DWV ABS'!$A$8:$M$116,5,FALSE),
IF($A101&lt;'PVC SCH40'!$A$376,VLOOKUP($A101,'PVC SCH40'!$A$8:$M$375,5,FALSE),
IF($A101&lt;'PVC SCH40 LD'!$A$22,VLOOKUP($A101,'PVC SCH40 LD'!$A$8:$M$21,5,FALSE),
IF($A101&lt;'Pool &amp; SPA Sweep Elbows'!$A$12,VLOOKUP($A101,'Pool &amp; SPA Sweep Elbows'!$A$8:$M$11,5,FALSE),
IF($A101&lt;'Pool &amp; SPA Pipe Extender'!$A$11,VLOOKUP($A101,'Pool &amp; SPA Pipe Extender'!$A$8:$M$10,5,FALSE),
IF($A101&lt;'PVC SCH80'!$A$250,VLOOKUP($A101,'PVC SCH80'!$A$8:$M$249,5,FALSE),
IF($A101&lt;'PVC SCH80 Flange'!$A$49,VLOOKUP($A101,'PVC SCH80 Flange'!$A$8:$M$48,5,FALSE),
IF($A101&lt;'PVC SCH80 LD Flange'!$A$17,VLOOKUP($A101,'PVC SCH80 LD Flange'!$A$8:$M$16,5,FALSE),
IF($A101&lt;CPVC!$A$100,VLOOKUP($A101,CPVC!$A$8:$M$99,5,FALSE),
IF($A101&lt;InsertFittings!$A$237,VLOOKUP($A101,InsertFittings!$A$11:$M$236,5,FALSE),
IF($A101&lt;Valves!$A$132,VLOOKUP($A101,Valves!$A$8:$M$131,5,FALSE),
IF($A101&lt;SDR35SW!$A$124,VLOOKUP($A101,SDR35SW!$A$8:$M$123,5,FALSE),
IF($A101&lt;SDR35G!$A$143,VLOOKUP($A101, SDR35G!$A$8:$M$142,5,FALSE),
IF($A101&lt;SDR26G!$A$61,VLOOKUP($A101,SDR26G!$A$8:$N$60,5,FALSE),
IF($A101&lt;Cements!$A$100,VLOOKUP($A101,Cements!$A$8:$Q$99,5,FALSE),
IF($A101&lt;ValveBox!$A$143,VLOOKUP($A101,ValveBox!$A$10:$O$142,5,FALSE),
IF($A101&lt;'ValveBox Components'!$A$165,VLOOKUP($A101,'ValveBox Components'!$A$10:$O$164,5,FALSE),
IF($A101&lt;Drainage!$A$92,VLOOKUP($A101,Drainage!$A$8:$M$91,5,FALSE),
IF($A101&lt;Nipples!$A$82,VLOOKUP($A101,Nipples!$A$9:$Q$81,5,FALSE),
IF($A101&lt;Manifold!$A$33,VLOOKUP($A101,Manifold!$A$9:$M$32,5,FALSE),
IF($A101&lt;FlexibleRepairCouplings!$A$13,VLOOKUP($A101,FlexibleRepairCouplings!$A$10:$M$12,5,FALSE),
IF($A101&lt;DuraFix!$A$15,VLOOKUP($A101,DuraFix!$A$9:$M$14,5,FALSE),
IF($A101&lt;'Compression Fittings'!$A$16,VLOOKUP($A101,'Compression Fittings'!$A$8:$M$15,5,FALSE),
IF($A101&lt;'Hose Fittings'!$A$30,VLOOKUP($A101,'Hose Fittings'!$A$8:$M$29,5,FALSE),
IF($A101&lt;'Swing Joints'!$A$496,VLOOKUP($A101,'Swing Joints'!$A$9:$M$495,5,FALSE),
IF($A101&lt;'Swing Joints Components'!$A$135,VLOOKUP($A101,'Swing Joints Components'!$A$9:$M$134,5,FALSE),
IF($A101&lt;Nonstandard!$A$42,VLOOKUP($A101,Nonstandard!$A$31:$J$41,6,FALSE),"")))))))))))))))))))))))))))),"")</f>
        <v/>
      </c>
      <c r="D101" s="426" t="str">
        <f>IFERROR(IF($A101&lt;'DWV PVC'!$A$285,VLOOKUP($A101,'DWV PVC'!$A$8:$M$284,6,FALSE),
IF($A101&lt;'DWV ABS'!$A$117,VLOOKUP($A101,'DWV ABS'!$A$8:$M$116,6,FALSE),
IF($A101&lt;'PVC SCH40'!$A$376,VLOOKUP($A101,'PVC SCH40'!$A$8:$M$375,6,FALSE),
IF($A101&lt;'PVC SCH40 LD'!$A$22,VLOOKUP($A101,'PVC SCH40 LD'!$A$8:$M$21,6,FALSE),
IF($A101&lt;'Pool &amp; SPA Sweep Elbows'!$A$12,VLOOKUP($A101,'Pool &amp; SPA Sweep Elbows'!$A$8:$M$11,6,FALSE),
IF($A101&lt;'Pool &amp; SPA Pipe Extender'!$A$11,VLOOKUP($A101,'Pool &amp; SPA Pipe Extender'!$A$8:$M$10,6,FALSE),
IF($A101&lt;'PVC SCH80'!$A$250,VLOOKUP($A101,'PVC SCH80'!$A$8:$M$249,6,FALSE),
IF($A101&lt;'PVC SCH80 Flange'!$A$49,VLOOKUP($A101,'PVC SCH80 Flange'!$A$8:$M$48,6,FALSE),
IF($A101&lt;'PVC SCH80 LD Flange'!$A$17,VLOOKUP($A101,'PVC SCH80 LD Flange'!$A$8:$M$16,6,FALSE),
IF($A101&lt;CPVC!$A$100,VLOOKUP($A101,CPVC!$A$8:$M$99,6,FALSE),
IF($A101&lt;InsertFittings!$A$237,VLOOKUP($A101,InsertFittings!$A$11:$M$236,6,FALSE),
IF($A101&lt;Valves!$A$132,VLOOKUP($A101,Valves!$A$8:$M$131,6,FALSE),
IF($A101&lt;SDR35SW!$A$124,VLOOKUP($A101,SDR35SW!$A$8:$M$123,6,FALSE),
IF($A101&lt;SDR35G!$A$143,VLOOKUP($A101, SDR35G!$A$8:$M$142,6,FALSE),
IF($A101&lt;SDR26G!$A$61,VLOOKUP($A101,SDR26G!$A$8:$N$60,6,FALSE),
IF($A101&lt;Cements!$A$100,VLOOKUP($A101,Cements!$A$8:$Q$99,6,FALSE),
IF($A101&lt;ValveBox!$A$143,VLOOKUP($A101,ValveBox!$A$10:$O$142,6,FALSE),
IF($A101&lt;'ValveBox Components'!$A$165,VLOOKUP($A101,'ValveBox Components'!$A$10:$O$164,6,FALSE),
IF($A101&lt;Drainage!$A$92,VLOOKUP($A101,Drainage!$A$8:$M$91,6,FALSE),
IF($A101&lt;Nipples!$A$82,VLOOKUP($A101,Nipples!$A$9:$Q$81,6,FALSE),
IF($A101&lt;Manifold!$A$33,VLOOKUP($A101,Manifold!$A$9:$M$32,6,FALSE),
IF($A101&lt;FlexibleRepairCouplings!$A$13,VLOOKUP($A101,FlexibleRepairCouplings!$A$10:$M$12,6,FALSE),
IF($A101&lt;DuraFix!$A$15,VLOOKUP($A101,DuraFix!$A$9:$M$14,6,FALSE),
IF($A101&lt;'Compression Fittings'!$A$16,VLOOKUP($A101,'Compression Fittings'!$A$8:$M$15,6,FALSE),
IF($A101&lt;'Hose Fittings'!$A$30,VLOOKUP($A101,'Hose Fittings'!$A$8:$M$29,6,FALSE),
IF($A101&lt;'Swing Joints'!$A$496,VLOOKUP($A101,'Swing Joints'!$A$9:$M$495,6,FALSE),
IF($A101&lt;'Swing Joints Components'!$A$135,VLOOKUP($A101,'Swing Joints Components'!$A$9:$M$134,6,FALSE),
IF($A101&lt;Nonstandard!$A$42,VLOOKUP($A101,Nonstandard!$A$31:$J$41,7,FALSE),"")))))))))))))))))))))))))))),"")</f>
        <v/>
      </c>
      <c r="E101" s="427"/>
      <c r="F101" s="418" t="str">
        <f>IFERROR(IF($A101&lt;'DWV PVC'!$A$285,VLOOKUP($A101,'DWV PVC'!$A$8:$M$284,9,FALSE),
IF($A101&lt;'DWV ABS'!$A$117,VLOOKUP($A101,'DWV ABS'!$A$8:$M$116,9,FALSE),
IF($A101&lt;'PVC SCH40'!$A$376,VLOOKUP($A101,'PVC SCH40'!$A$8:$M$375,9,FALSE),
IF($A101&lt;'PVC SCH40 LD'!$A$22,VLOOKUP($A101,'PVC SCH40 LD'!$A$8:$M$21,9,FALSE),
IF($A101&lt;'Pool &amp; SPA Sweep Elbows'!$A$12,VLOOKUP($A101,'Pool &amp; SPA Sweep Elbows'!$A$8:$M$11,9,FALSE),
IF($A101&lt;'Pool &amp; SPA Pipe Extender'!$A$11,VLOOKUP($A101,'Pool &amp; SPA Pipe Extender'!$A$8:$M$10,9,FALSE),
IF($A101&lt;'PVC SCH80'!$A$250,VLOOKUP($A101,'PVC SCH80'!$A$8:$M$249,9,FALSE),
IF($A101&lt;'PVC SCH80 Flange'!$A$49,VLOOKUP($A101,'PVC SCH80 Flange'!$A$8:$M$48,9,FALSE),
IF($A101&lt;'PVC SCH80 LD Flange'!$A$17,VLOOKUP($A101,'PVC SCH80 LD Flange'!$A$8:$M$16,9,FALSE),
IF($A101&lt;CPVC!$A$100,VLOOKUP($A101,CPVC!$A$8:$M$99,9,FALSE),
IF($A101&lt;InsertFittings!$A$237,VLOOKUP($A101,InsertFittings!$A$11:$M$236,9,FALSE),
IF($A101&lt;Valves!$A$132,VLOOKUP($A101,Valves!$A$8:$M$131,9,FALSE),
IF($A101&lt;SDR35SW!$A$124,VLOOKUP($A101,SDR35SW!$A$8:$M$123,9,FALSE),
IF($A101&lt;SDR35G!$A$143,VLOOKUP($A101, SDR35G!$A$8:$M$142,9,FALSE),
IF($A101&lt;SDR26G!$A$61,VLOOKUP($A101,SDR26G!$A$8:$N$60,10,FALSE),
IF($A101&lt;Cements!$A$100,VLOOKUP($A101,Cements!$A$8:$Q$99,13,FALSE),
IF($A101&lt;ValveBox!$A$143,VLOOKUP($A101,ValveBox!$A$10:$O$142,11,FALSE),
IF($A101&lt;'ValveBox Components'!$A$165,VLOOKUP($A101,'ValveBox Components'!$A$10:$O$164,11,FALSE),
IF($A101&lt;Drainage!$A$92,VLOOKUP($A101,Drainage!$A$8:$M$91,9,FALSE),
IF($A101&lt;Nipples!$A$82,VLOOKUP($A101,Nipples!$A$9:$Q$81,13,FALSE),
IF($A101&lt;Manifold!$A$33,VLOOKUP($A101,Manifold!$A$9:$M$32,9,FALSE),
IF($A101&lt;FlexibleRepairCouplings!$A$13,VLOOKUP($A101,FlexibleRepairCouplings!$A$10:$M$12,9,FALSE),
IF($A101&lt;DuraFix!$A$15,VLOOKUP($A101,DuraFix!$A$9:$M$14,9,FALSE),
IF($A101&lt;'Compression Fittings'!$A$16,VLOOKUP($A101,'Compression Fittings'!$A$8:$M$15,9,FALSE),
IF($A101&lt;'Hose Fittings'!$A$30,VLOOKUP($A101,'Hose Fittings'!$A$8:$M$29,9,FALSE),
IF($A101&lt;'Swing Joints'!$A$496,VLOOKUP($A101,'Swing Joints'!$A$9:$M$495,9,FALSE),
IF($A101&lt;'Swing Joints Components'!$A$135,VLOOKUP($A101,'Swing Joints Components'!$A$9:$M$134,9,FALSE),
IF($A101&lt;Nonstandard!$A$42,VLOOKUP($A101,Nonstandard!$A$31:$J$41,8,FALSE),"")))))))))))))))))))))))))))),"")</f>
        <v/>
      </c>
      <c r="G101" s="416" t="str">
        <f>IFERROR(IF($A101&lt;'DWV PVC'!$A$285,VLOOKUP($A101,'DWV PVC'!$A$8:$M$284,11,FALSE),
IF($A101&lt;'DWV ABS'!$A$117,VLOOKUP($A101,'DWV ABS'!$A$8:$M$116,11,FALSE),
IF($A101&lt;'PVC SCH40'!$A$376,VLOOKUP($A101,'PVC SCH40'!$A$8:$M$375,11,FALSE),
IF($A101&lt;'PVC SCH40 LD'!$A$22,VLOOKUP($A101,'PVC SCH40 LD'!$A$8:$M$21,11,FALSE),
IF($A101&lt;'Pool &amp; SPA Sweep Elbows'!$A$12,VLOOKUP($A101,'Pool &amp; SPA Sweep Elbows'!$A$8:$M$11,11,FALSE),
IF($A101&lt;'Pool &amp; SPA Pipe Extender'!$A$11,VLOOKUP($A101,'Pool &amp; SPA Pipe Extender'!$A$8:$M$10,11,FALSE),
IF($A101&lt;'PVC SCH80'!$A$250,VLOOKUP($A101,'PVC SCH80'!$A$8:$M$249,11,FALSE),
IF($A101&lt;'PVC SCH80 Flange'!$A$49,VLOOKUP($A101,'PVC SCH80 Flange'!$A$8:$M$48,11,FALSE),
IF($A101&lt;'PVC SCH80 LD Flange'!$A$17,VLOOKUP($A101,'PVC SCH80 LD Flange'!$A$8:$M$16,11,FALSE),
IF($A101&lt;CPVC!$A$100,VLOOKUP($A101,CPVC!$A$8:$M$99,11,FALSE),
IF($A101&lt;InsertFittings!$A$237,VLOOKUP($A101,InsertFittings!$A$11:$M$236,11,FALSE),
IF($A101&lt;Valves!$A$132,VLOOKUP($A101,Valves!$A$8:$M$131,11,FALSE),
IF($A101&lt;SDR35SW!$A$124,VLOOKUP($A101,SDR35SW!$A$8:$M$123,11,FALSE),
IF($A101&lt;SDR35G!$A$143,VLOOKUP($A101, SDR35G!$A$8:$M$142,11,FALSE),
IF($A101&lt;SDR26G!$A$61,VLOOKUP($A101,SDR26G!$A$8:$N$60,12,FALSE),
IF($A101&lt;Cements!$A$100,VLOOKUP($A101,Cements!$A$8:$Q$99,15,FALSE),
IF($A101&lt;ValveBox!$A$143,VLOOKUP($A101,ValveBox!$A$10:$O$142,13,FALSE),
IF($A101&lt;'ValveBox Components'!$A$165,VLOOKUP($A101,'ValveBox Components'!$A$10:$O$164,13,FALSE),
IF($A101&lt;Drainage!$A$92,VLOOKUP($A101,Drainage!$A$8:$M$91,11,FALSE),
IF($A101&lt;Nipples!$A$82,VLOOKUP($A101,Nipples!$A$9:$Q$81,15,FALSE),
IF($A101&lt;Manifold!$A$33,VLOOKUP($A101,Manifold!$A$9:$M$32,11,FALSE),
IF($A101&lt;FlexibleRepairCouplings!$A$13,VLOOKUP($A101,FlexibleRepairCouplings!$A$10:$M$12,11,FALSE),
IF($A101&lt;DuraFix!$A$15,VLOOKUP($A101,DuraFix!$A$9:$M$14,11,FALSE),
IF($A101&lt;'Compression Fittings'!$A$16,VLOOKUP($A101,'Compression Fittings'!$A$8:$M$15,11,FALSE),
IF($A101&lt;'Hose Fittings'!$A$30,VLOOKUP($A101,'Hose Fittings'!$A$8:$M$29,11,FALSE),
IF($A101&lt;'Swing Joints'!$A$496,VLOOKUP($A101,'Swing Joints'!$A$9:$M$495,11,FALSE),
IF($A101&lt;'Swing Joints Components'!$A$135,VLOOKUP($A101,'Swing Joints Components'!$A$9:$M$134,11,FALSE),
IF($A101&lt;Nonstandard!$A$42,VLOOKUP($A101,Nonstandard!$A$31:$J$41,3,FALSE),"")))))))))))))))))))))))))))),"")</f>
        <v/>
      </c>
      <c r="H101" s="586" t="str">
        <f>IFERROR(IF($A101&lt;'DWV PVC'!$A$285,VLOOKUP($A101,'DWV PVC'!$A$8:$M$284,7,FALSE),
IF($A101&lt;'DWV ABS'!$A$117,VLOOKUP($A101,'DWV ABS'!$A$8:$M$116,7,FALSE),
IF($A101&lt;'PVC SCH40'!$A$376,VLOOKUP($A101,'PVC SCH40'!$A$8:$M$375,7,FALSE),
IF($A101&lt;'PVC SCH40 LD'!$A$22,VLOOKUP($A101,'PVC SCH40 LD'!$A$8:$M$21,7,FALSE),
IF($A101&lt;'Pool &amp; SPA Sweep Elbows'!$A$12,VLOOKUP($A101,'Pool &amp; SPA Sweep Elbows'!$A$8:$M$11,7,FALSE),
IF($A101&lt;'Pool &amp; SPA Pipe Extender'!$A$11,VLOOKUP($A101,'Pool &amp; SPA Pipe Extender'!$A$8:$M$10,7,FALSE),
IF($A101&lt;'PVC SCH80'!$A$250,VLOOKUP($A101,'PVC SCH80'!$A$8:$M$249,7,FALSE),
IF($A101&lt;'PVC SCH80 Flange'!$A$49,VLOOKUP($A101,'PVC SCH80 Flange'!$A$8:$M$48,7,FALSE),
IF($A101&lt;'PVC SCH80 LD Flange'!$A$17,VLOOKUP($A101,'PVC SCH80 LD Flange'!$A$8:$M$16,7,FALSE),
IF($A101&lt;CPVC!$A$100,VLOOKUP($A101,CPVC!$A$8:$M$99,7,FALSE),
IF($A101&lt;InsertFittings!$A$237,VLOOKUP($A101,InsertFittings!$A$11:$M$236,7,FALSE),
IF($A101&lt;Valves!$A$132,VLOOKUP($A101,Valves!$A$8:$M$131,7,FALSE),
IF($A101&lt;SDR35SW!$A$124,VLOOKUP($A101,SDR35SW!$A$8:$M$123,7,FALSE),
IF($A101&lt;SDR35G!$A$143,VLOOKUP($A101, SDR35G!$A$8:$M$142,7,FALSE),
IF($A101&lt;SDR26G!$A$61,VLOOKUP($A101,SDR26G!$A$8:$N$60,10,FALSE),
IF($A101&lt;Cements!$A$100,VLOOKUP($A101,Cements!$A$8:$Q$99,13,FALSE),
IF($A101&lt;ValveBox!$A$143,VLOOKUP($A101,ValveBox!$A$10:$O$142,11,FALSE),
IF($A101&lt;'ValveBox Components'!$A$165,VLOOKUP($A101,'ValveBox Components'!$A$10:$O$164,11,FALSE),
IF($A101&lt;Drainage!$A$92,VLOOKUP($A101,Drainage!$A$8:$M$91,7,FALSE),
IF($A101&lt;Nipples!$A$82,VLOOKUP($A101,Nipples!$A$9:$Q$81,13,FALSE),
IF($A101&lt;Manifold!$A$33,VLOOKUP($A101,Manifold!$A$9:$M$32,7,FALSE),
IF($A101&lt;FlexibleRepairCouplings!$A$13,VLOOKUP($A101,FlexibleRepairCouplings!$A$10:$M$12,7,FALSE),
IF($A101&lt;DuraFix!$A$15,VLOOKUP($A101,DuraFix!$A$9:$M$14,7,FALSE),
IF($A101&lt;'Compression Fittings'!$A$16,VLOOKUP($A101,'Compression Fittings'!$A$8:$M$15,7,FALSE),
IF($A101&lt;'Hose Fittings'!$A$30,VLOOKUP($A101,'Hose Fittings'!$A$8:$M$29,7,FALSE),
IF($A101&lt;'Swing Joints'!$A$496,VLOOKUP($A101,'Swing Joints'!$A$9:$M$495,7,FALSE),
IF($A101&lt;'Swing Joints Components'!$A$135,VLOOKUP($A101,'Swing Joints Components'!$A$9:$M$134,7,FALSE),
IF($A101&lt;Nonstandard!$A$42,VLOOKUP($A101,Nonstandard!$A$31:$J$41,3,FALSE),"")))))))))))))))))))))))))))),"")</f>
        <v/>
      </c>
      <c r="I101" s="587"/>
      <c r="J101" s="383" t="str">
        <f t="shared" si="3"/>
        <v/>
      </c>
      <c r="K101" s="417" t="str">
        <f>IFERROR(IF($A101&lt;'DWV PVC'!$A$285,VLOOKUP($A101,'DWV PVC'!$A$8:$M$284,10,FALSE),
IF($A101&lt;'DWV ABS'!$A$117,VLOOKUP($A101,'DWV ABS'!$A$8:$M$116,10,FALSE),
IF($A101&lt;'PVC SCH40'!$A$376,VLOOKUP($A101,'PVC SCH40'!$A$8:$M$375,10,FALSE),
IF($A101&lt;'PVC SCH40 LD'!$A$22,VLOOKUP($A101,'PVC SCH40 LD'!$A$8:$M$21,10,FALSE),
IF($A101&lt;'Pool &amp; SPA Sweep Elbows'!$A$12,VLOOKUP($A101,'Pool &amp; SPA Sweep Elbows'!$A$8:$M$11,10,FALSE),
IF($A101&lt;'Pool &amp; SPA Pipe Extender'!$A$11,VLOOKUP($A101,'Pool &amp; SPA Pipe Extender'!$A$8:$M$10,10,FALSE),
IF($A101&lt;'PVC SCH80'!$A$250,VLOOKUP($A101,'PVC SCH80'!$A$8:$M$249,10,FALSE),
IF($A101&lt;'PVC SCH80 Flange'!$A$49,VLOOKUP($A101,'PVC SCH80 Flange'!$A$8:$M$48,10,FALSE),
IF($A101&lt;'PVC SCH80 LD Flange'!$A$17,VLOOKUP($A101,'PVC SCH80 LD Flange'!$A$8:$M$16,10,FALSE),
IF($A101&lt;CPVC!$A$100,VLOOKUP($A101,CPVC!$A$8:$M$99,10,FALSE),
IF($A101&lt;InsertFittings!$A$237,VLOOKUP($A101,InsertFittings!$A$11:$M$236,10,FALSE),
IF($A101&lt;Valves!$A$132,VLOOKUP($A101,Valves!$A$8:$M$131,10,FALSE),
IF($A101&lt;SDR35SW!$A$124,VLOOKUP($A101,SDR35SW!$A$8:$M$123,10,FALSE),
IF($A101&lt;SDR35G!$A$143,VLOOKUP($A101, SDR35G!$A$8:$M$142,10,FALSE),
IF($A101&lt;SDR26G!$A$61,VLOOKUP($A101,SDR26G!$A$8:$N$60,11,FALSE),
IF($A101&lt;Cements!$A$100,VLOOKUP($A101,Cements!$A$8:$Q$99,14,FALSE),
IF($A101&lt;ValveBox!$A$143,VLOOKUP($A101,ValveBox!$A$10:$O$142,12,FALSE),
IF($A101&lt;'ValveBox Components'!$A$165,VLOOKUP($A101,'ValveBox Components'!$A$10:$O$164,12,FALSE),
IF($A101&lt;Drainage!$A$92,VLOOKUP($A101,Drainage!$A$8:$M$91,10,FALSE),
IF($A101&lt;Nipples!$A$82,VLOOKUP($A101,Nipples!$A$9:$Q$81,14,FALSE),
IF($A101&lt;Manifold!$A$33,VLOOKUP($A101,Manifold!$A$9:$M$32,10,FALSE),
IF($A101&lt;FlexibleRepairCouplings!$A$13,VLOOKUP($A101,FlexibleRepairCouplings!$A$10:$M$12,10,FALSE),
IF($A101&lt;DuraFix!$A$15,VLOOKUP($A101,DuraFix!$A$9:$M$14,10,FALSE),
IF($A101&lt;'Compression Fittings'!$A$16,VLOOKUP($A101,'Compression Fittings'!$A$8:$M$15,10,FALSE),
IF($A101&lt;'Hose Fittings'!$A$30,VLOOKUP($A101,'Hose Fittings'!$A$8:$M$29,10,FALSE),
IF($A101&lt;'Swing Joints'!$A$496,VLOOKUP($A101,'Swing Joints'!$A$9:$M$495,10,FALSE),
IF($A101&lt;'Swing Joints Components'!$A$135,VLOOKUP($A101,'Swing Joints Components'!$A$9:$M$134,10,FALSE),
IF($A101&lt;Nonstandard!$A$42,VLOOKUP($A101,Nonstandard!$A$31:$J$41,10,FALSE),"")))))))))))))))))))))))))))),"")</f>
        <v/>
      </c>
      <c r="L101" s="418" t="str">
        <f t="shared" si="2"/>
        <v>-</v>
      </c>
      <c r="M101" s="419"/>
    </row>
    <row r="102" spans="1:13" ht="15.75">
      <c r="A102" s="420">
        <v>70</v>
      </c>
      <c r="B102" s="420" t="str">
        <f>IFERROR(IF($A102&lt;'DWV PVC'!$A$285,VLOOKUP($A102,'DWV PVC'!$A$8:$M$284,4,FALSE),
IF($A102&lt;'DWV ABS'!$A$117,VLOOKUP($A102,'DWV ABS'!$A$8:$M$116,4,FALSE),
IF($A102&lt;'PVC SCH40'!$A$376,VLOOKUP($A102,'PVC SCH40'!$A$8:$M$375,4,FALSE),
IF($A102&lt;'PVC SCH40 LD'!$A$22,VLOOKUP($A102,'PVC SCH40 LD'!$A$8:$M$21,4,FALSE),
IF($A102&lt;'Pool &amp; SPA Sweep Elbows'!$A$12,VLOOKUP($A102,'Pool &amp; SPA Sweep Elbows'!$A$8:$M$11,4,FALSE),
IF($A102&lt;'Pool &amp; SPA Pipe Extender'!$A$11,VLOOKUP($A102,'Pool &amp; SPA Pipe Extender'!$A$8:$M$10,4,FALSE),
IF($A102&lt;'PVC SCH80'!$A$250,VLOOKUP($A102,'PVC SCH80'!$A$8:$M$249,4,FALSE),
IF($A102&lt;'PVC SCH80 Flange'!$A$49,VLOOKUP($A102,'PVC SCH80 Flange'!$A$8:$M$48,4,FALSE),
IF($A102&lt;'PVC SCH80 LD Flange'!$A$17,VLOOKUP($A102,'PVC SCH80 LD Flange'!$A$8:$M$16,4,FALSE),
IF($A102&lt;CPVC!$A$100,VLOOKUP($A102,CPVC!$A$8:$M$99,4,FALSE),
IF($A102&lt;InsertFittings!$A$237,VLOOKUP($A102,InsertFittings!$A$11:$M$236,4,FALSE),
IF($A102&lt;Valves!$A$132,VLOOKUP($A102,Valves!$A$8:$M$131,4,FALSE),
IF($A102&lt;SDR35SW!$A$124,VLOOKUP($A102,SDR35SW!$A$8:$M$123,4,FALSE),
IF($A102&lt;SDR35G!$A$143,VLOOKUP($A102, SDR35G!$A$8:$M$142,4,FALSE),
IF($A102&lt;SDR26G!$A$61,VLOOKUP($A102,SDR26G!$A$8:$N$60,4,FALSE),
IF($A102&lt;Cements!$A$100,VLOOKUP($A102,Cements!$A$8:$Q$99,4,FALSE),
IF($A102&lt;ValveBox!$A$143,VLOOKUP($A102,ValveBox!$A$10:$O$142,4,FALSE),
IF($A102&lt;'ValveBox Components'!$A$165,VLOOKUP($A102,'ValveBox Components'!$A$10:$O$164,4,FALSE),
IF($A102&lt;Drainage!$A$92,VLOOKUP($A102,Drainage!$A$8:$M$91,4,FALSE),
IF($A102&lt;Nipples!$A$82,VLOOKUP($A102,Nipples!$A$9:$Q$81,4,FALSE),
IF($A102&lt;Manifold!$A$33,VLOOKUP($A102,Manifold!$A$9:$M$32,4,FALSE),
IF($A102&lt;FlexibleRepairCouplings!$A$13,VLOOKUP($A102,FlexibleRepairCouplings!$A$10:$M$12,4,FALSE),
IF($A102&lt;DuraFix!$A$15,VLOOKUP($A102,DuraFix!$A$9:$M$14,4,FALSE),
IF($A102&lt;'Compression Fittings'!$A$16,VLOOKUP($A102,'Compression Fittings'!$A$8:$M$15,4,FALSE),
IF($A102&lt;'Hose Fittings'!$A$30,VLOOKUP($A102,'Hose Fittings'!$A$8:$M$29,4,FALSE),
IF($A102&lt;'Swing Joints'!$A$496,VLOOKUP($A102,'Swing Joints'!$A$9:$M$495,4,FALSE),
IF($A102&lt;'Swing Joints Components'!$A$135,VLOOKUP($A102,'Swing Joints Components'!$A$9:$M$134,4,FALSE),
IF($A102&lt;Nonstandard!$A$42,VLOOKUP($A102,Nonstandard!$A$31:$J$41,5,FALSE),"")))))))))))))))))))))))))))),"")</f>
        <v/>
      </c>
      <c r="C102" s="420" t="str">
        <f>IFERROR(IF($A102&lt;'DWV PVC'!$A$285,VLOOKUP($A102,'DWV PVC'!$A$8:$M$284,5,FALSE),
IF($A102&lt;'DWV ABS'!$A$117,VLOOKUP($A102,'DWV ABS'!$A$8:$M$116,5,FALSE),
IF($A102&lt;'PVC SCH40'!$A$376,VLOOKUP($A102,'PVC SCH40'!$A$8:$M$375,5,FALSE),
IF($A102&lt;'PVC SCH40 LD'!$A$22,VLOOKUP($A102,'PVC SCH40 LD'!$A$8:$M$21,5,FALSE),
IF($A102&lt;'Pool &amp; SPA Sweep Elbows'!$A$12,VLOOKUP($A102,'Pool &amp; SPA Sweep Elbows'!$A$8:$M$11,5,FALSE),
IF($A102&lt;'Pool &amp; SPA Pipe Extender'!$A$11,VLOOKUP($A102,'Pool &amp; SPA Pipe Extender'!$A$8:$M$10,5,FALSE),
IF($A102&lt;'PVC SCH80'!$A$250,VLOOKUP($A102,'PVC SCH80'!$A$8:$M$249,5,FALSE),
IF($A102&lt;'PVC SCH80 Flange'!$A$49,VLOOKUP($A102,'PVC SCH80 Flange'!$A$8:$M$48,5,FALSE),
IF($A102&lt;'PVC SCH80 LD Flange'!$A$17,VLOOKUP($A102,'PVC SCH80 LD Flange'!$A$8:$M$16,5,FALSE),
IF($A102&lt;CPVC!$A$100,VLOOKUP($A102,CPVC!$A$8:$M$99,5,FALSE),
IF($A102&lt;InsertFittings!$A$237,VLOOKUP($A102,InsertFittings!$A$11:$M$236,5,FALSE),
IF($A102&lt;Valves!$A$132,VLOOKUP($A102,Valves!$A$8:$M$131,5,FALSE),
IF($A102&lt;SDR35SW!$A$124,VLOOKUP($A102,SDR35SW!$A$8:$M$123,5,FALSE),
IF($A102&lt;SDR35G!$A$143,VLOOKUP($A102, SDR35G!$A$8:$M$142,5,FALSE),
IF($A102&lt;SDR26G!$A$61,VLOOKUP($A102,SDR26G!$A$8:$N$60,5,FALSE),
IF($A102&lt;Cements!$A$100,VLOOKUP($A102,Cements!$A$8:$Q$99,5,FALSE),
IF($A102&lt;ValveBox!$A$143,VLOOKUP($A102,ValveBox!$A$10:$O$142,5,FALSE),
IF($A102&lt;'ValveBox Components'!$A$165,VLOOKUP($A102,'ValveBox Components'!$A$10:$O$164,5,FALSE),
IF($A102&lt;Drainage!$A$92,VLOOKUP($A102,Drainage!$A$8:$M$91,5,FALSE),
IF($A102&lt;Nipples!$A$82,VLOOKUP($A102,Nipples!$A$9:$Q$81,5,FALSE),
IF($A102&lt;Manifold!$A$33,VLOOKUP($A102,Manifold!$A$9:$M$32,5,FALSE),
IF($A102&lt;FlexibleRepairCouplings!$A$13,VLOOKUP($A102,FlexibleRepairCouplings!$A$10:$M$12,5,FALSE),
IF($A102&lt;DuraFix!$A$15,VLOOKUP($A102,DuraFix!$A$9:$M$14,5,FALSE),
IF($A102&lt;'Compression Fittings'!$A$16,VLOOKUP($A102,'Compression Fittings'!$A$8:$M$15,5,FALSE),
IF($A102&lt;'Hose Fittings'!$A$30,VLOOKUP($A102,'Hose Fittings'!$A$8:$M$29,5,FALSE),
IF($A102&lt;'Swing Joints'!$A$496,VLOOKUP($A102,'Swing Joints'!$A$9:$M$495,5,FALSE),
IF($A102&lt;'Swing Joints Components'!$A$135,VLOOKUP($A102,'Swing Joints Components'!$A$9:$M$134,5,FALSE),
IF($A102&lt;Nonstandard!$A$42,VLOOKUP($A102,Nonstandard!$A$31:$J$41,6,FALSE),"")))))))))))))))))))))))))))),"")</f>
        <v/>
      </c>
      <c r="D102" s="428" t="str">
        <f>IFERROR(IF($A102&lt;'DWV PVC'!$A$285,VLOOKUP($A102,'DWV PVC'!$A$8:$M$284,6,FALSE),
IF($A102&lt;'DWV ABS'!$A$117,VLOOKUP($A102,'DWV ABS'!$A$8:$M$116,6,FALSE),
IF($A102&lt;'PVC SCH40'!$A$376,VLOOKUP($A102,'PVC SCH40'!$A$8:$M$375,6,FALSE),
IF($A102&lt;'PVC SCH40 LD'!$A$22,VLOOKUP($A102,'PVC SCH40 LD'!$A$8:$M$21,6,FALSE),
IF($A102&lt;'Pool &amp; SPA Sweep Elbows'!$A$12,VLOOKUP($A102,'Pool &amp; SPA Sweep Elbows'!$A$8:$M$11,6,FALSE),
IF($A102&lt;'Pool &amp; SPA Pipe Extender'!$A$11,VLOOKUP($A102,'Pool &amp; SPA Pipe Extender'!$A$8:$M$10,6,FALSE),
IF($A102&lt;'PVC SCH80'!$A$250,VLOOKUP($A102,'PVC SCH80'!$A$8:$M$249,6,FALSE),
IF($A102&lt;'PVC SCH80 Flange'!$A$49,VLOOKUP($A102,'PVC SCH80 Flange'!$A$8:$M$48,6,FALSE),
IF($A102&lt;'PVC SCH80 LD Flange'!$A$17,VLOOKUP($A102,'PVC SCH80 LD Flange'!$A$8:$M$16,6,FALSE),
IF($A102&lt;CPVC!$A$100,VLOOKUP($A102,CPVC!$A$8:$M$99,6,FALSE),
IF($A102&lt;InsertFittings!$A$237,VLOOKUP($A102,InsertFittings!$A$11:$M$236,6,FALSE),
IF($A102&lt;Valves!$A$132,VLOOKUP($A102,Valves!$A$8:$M$131,6,FALSE),
IF($A102&lt;SDR35SW!$A$124,VLOOKUP($A102,SDR35SW!$A$8:$M$123,6,FALSE),
IF($A102&lt;SDR35G!$A$143,VLOOKUP($A102, SDR35G!$A$8:$M$142,6,FALSE),
IF($A102&lt;SDR26G!$A$61,VLOOKUP($A102,SDR26G!$A$8:$N$60,6,FALSE),
IF($A102&lt;Cements!$A$100,VLOOKUP($A102,Cements!$A$8:$Q$99,6,FALSE),
IF($A102&lt;ValveBox!$A$143,VLOOKUP($A102,ValveBox!$A$10:$O$142,6,FALSE),
IF($A102&lt;'ValveBox Components'!$A$165,VLOOKUP($A102,'ValveBox Components'!$A$10:$O$164,6,FALSE),
IF($A102&lt;Drainage!$A$92,VLOOKUP($A102,Drainage!$A$8:$M$91,6,FALSE),
IF($A102&lt;Nipples!$A$82,VLOOKUP($A102,Nipples!$A$9:$Q$81,6,FALSE),
IF($A102&lt;Manifold!$A$33,VLOOKUP($A102,Manifold!$A$9:$M$32,6,FALSE),
IF($A102&lt;FlexibleRepairCouplings!$A$13,VLOOKUP($A102,FlexibleRepairCouplings!$A$10:$M$12,6,FALSE),
IF($A102&lt;DuraFix!$A$15,VLOOKUP($A102,DuraFix!$A$9:$M$14,6,FALSE),
IF($A102&lt;'Compression Fittings'!$A$16,VLOOKUP($A102,'Compression Fittings'!$A$8:$M$15,6,FALSE),
IF($A102&lt;'Hose Fittings'!$A$30,VLOOKUP($A102,'Hose Fittings'!$A$8:$M$29,6,FALSE),
IF($A102&lt;'Swing Joints'!$A$496,VLOOKUP($A102,'Swing Joints'!$A$9:$M$495,6,FALSE),
IF($A102&lt;'Swing Joints Components'!$A$135,VLOOKUP($A102,'Swing Joints Components'!$A$9:$M$134,6,FALSE),
IF($A102&lt;Nonstandard!$A$42,VLOOKUP($A102,Nonstandard!$A$31:$J$41,7,FALSE),"")))))))))))))))))))))))))))),"")</f>
        <v/>
      </c>
      <c r="E102" s="429"/>
      <c r="F102" s="421" t="str">
        <f>IFERROR(IF($A102&lt;'DWV PVC'!$A$285,VLOOKUP($A102,'DWV PVC'!$A$8:$M$284,9,FALSE),
IF($A102&lt;'DWV ABS'!$A$117,VLOOKUP($A102,'DWV ABS'!$A$8:$M$116,9,FALSE),
IF($A102&lt;'PVC SCH40'!$A$376,VLOOKUP($A102,'PVC SCH40'!$A$8:$M$375,9,FALSE),
IF($A102&lt;'PVC SCH40 LD'!$A$22,VLOOKUP($A102,'PVC SCH40 LD'!$A$8:$M$21,9,FALSE),
IF($A102&lt;'Pool &amp; SPA Sweep Elbows'!$A$12,VLOOKUP($A102,'Pool &amp; SPA Sweep Elbows'!$A$8:$M$11,9,FALSE),
IF($A102&lt;'Pool &amp; SPA Pipe Extender'!$A$11,VLOOKUP($A102,'Pool &amp; SPA Pipe Extender'!$A$8:$M$10,9,FALSE),
IF($A102&lt;'PVC SCH80'!$A$250,VLOOKUP($A102,'PVC SCH80'!$A$8:$M$249,9,FALSE),
IF($A102&lt;'PVC SCH80 Flange'!$A$49,VLOOKUP($A102,'PVC SCH80 Flange'!$A$8:$M$48,9,FALSE),
IF($A102&lt;'PVC SCH80 LD Flange'!$A$17,VLOOKUP($A102,'PVC SCH80 LD Flange'!$A$8:$M$16,9,FALSE),
IF($A102&lt;CPVC!$A$100,VLOOKUP($A102,CPVC!$A$8:$M$99,9,FALSE),
IF($A102&lt;InsertFittings!$A$237,VLOOKUP($A102,InsertFittings!$A$11:$M$236,9,FALSE),
IF($A102&lt;Valves!$A$132,VLOOKUP($A102,Valves!$A$8:$M$131,9,FALSE),
IF($A102&lt;SDR35SW!$A$124,VLOOKUP($A102,SDR35SW!$A$8:$M$123,9,FALSE),
IF($A102&lt;SDR35G!$A$143,VLOOKUP($A102, SDR35G!$A$8:$M$142,9,FALSE),
IF($A102&lt;SDR26G!$A$61,VLOOKUP($A102,SDR26G!$A$8:$N$60,10,FALSE),
IF($A102&lt;Cements!$A$100,VLOOKUP($A102,Cements!$A$8:$Q$99,13,FALSE),
IF($A102&lt;ValveBox!$A$143,VLOOKUP($A102,ValveBox!$A$10:$O$142,11,FALSE),
IF($A102&lt;'ValveBox Components'!$A$165,VLOOKUP($A102,'ValveBox Components'!$A$10:$O$164,11,FALSE),
IF($A102&lt;Drainage!$A$92,VLOOKUP($A102,Drainage!$A$8:$M$91,9,FALSE),
IF($A102&lt;Nipples!$A$82,VLOOKUP($A102,Nipples!$A$9:$Q$81,13,FALSE),
IF($A102&lt;Manifold!$A$33,VLOOKUP($A102,Manifold!$A$9:$M$32,9,FALSE),
IF($A102&lt;FlexibleRepairCouplings!$A$13,VLOOKUP($A102,FlexibleRepairCouplings!$A$10:$M$12,9,FALSE),
IF($A102&lt;DuraFix!$A$15,VLOOKUP($A102,DuraFix!$A$9:$M$14,9,FALSE),
IF($A102&lt;'Compression Fittings'!$A$16,VLOOKUP($A102,'Compression Fittings'!$A$8:$M$15,9,FALSE),
IF($A102&lt;'Hose Fittings'!$A$30,VLOOKUP($A102,'Hose Fittings'!$A$8:$M$29,9,FALSE),
IF($A102&lt;'Swing Joints'!$A$496,VLOOKUP($A102,'Swing Joints'!$A$9:$M$495,9,FALSE),
IF($A102&lt;'Swing Joints Components'!$A$135,VLOOKUP($A102,'Swing Joints Components'!$A$9:$M$134,9,FALSE),
IF($A102&lt;Nonstandard!$A$42,VLOOKUP($A102,Nonstandard!$A$31:$J$41,8,FALSE),"")))))))))))))))))))))))))))),"")</f>
        <v/>
      </c>
      <c r="G102" s="422" t="str">
        <f>IFERROR(IF($A102&lt;'DWV PVC'!$A$285,VLOOKUP($A102,'DWV PVC'!$A$8:$M$284,11,FALSE),
IF($A102&lt;'DWV ABS'!$A$117,VLOOKUP($A102,'DWV ABS'!$A$8:$M$116,11,FALSE),
IF($A102&lt;'PVC SCH40'!$A$376,VLOOKUP($A102,'PVC SCH40'!$A$8:$M$375,11,FALSE),
IF($A102&lt;'PVC SCH40 LD'!$A$22,VLOOKUP($A102,'PVC SCH40 LD'!$A$8:$M$21,11,FALSE),
IF($A102&lt;'Pool &amp; SPA Sweep Elbows'!$A$12,VLOOKUP($A102,'Pool &amp; SPA Sweep Elbows'!$A$8:$M$11,11,FALSE),
IF($A102&lt;'Pool &amp; SPA Pipe Extender'!$A$11,VLOOKUP($A102,'Pool &amp; SPA Pipe Extender'!$A$8:$M$10,11,FALSE),
IF($A102&lt;'PVC SCH80'!$A$250,VLOOKUP($A102,'PVC SCH80'!$A$8:$M$249,11,FALSE),
IF($A102&lt;'PVC SCH80 Flange'!$A$49,VLOOKUP($A102,'PVC SCH80 Flange'!$A$8:$M$48,11,FALSE),
IF($A102&lt;'PVC SCH80 LD Flange'!$A$17,VLOOKUP($A102,'PVC SCH80 LD Flange'!$A$8:$M$16,11,FALSE),
IF($A102&lt;CPVC!$A$100,VLOOKUP($A102,CPVC!$A$8:$M$99,11,FALSE),
IF($A102&lt;InsertFittings!$A$237,VLOOKUP($A102,InsertFittings!$A$11:$M$236,11,FALSE),
IF($A102&lt;Valves!$A$132,VLOOKUP($A102,Valves!$A$8:$M$131,11,FALSE),
IF($A102&lt;SDR35SW!$A$124,VLOOKUP($A102,SDR35SW!$A$8:$M$123,11,FALSE),
IF($A102&lt;SDR35G!$A$143,VLOOKUP($A102, SDR35G!$A$8:$M$142,11,FALSE),
IF($A102&lt;SDR26G!$A$61,VLOOKUP($A102,SDR26G!$A$8:$N$60,12,FALSE),
IF($A102&lt;Cements!$A$100,VLOOKUP($A102,Cements!$A$8:$Q$99,15,FALSE),
IF($A102&lt;ValveBox!$A$143,VLOOKUP($A102,ValveBox!$A$10:$O$142,13,FALSE),
IF($A102&lt;'ValveBox Components'!$A$165,VLOOKUP($A102,'ValveBox Components'!$A$10:$O$164,13,FALSE),
IF($A102&lt;Drainage!$A$92,VLOOKUP($A102,Drainage!$A$8:$M$91,11,FALSE),
IF($A102&lt;Nipples!$A$82,VLOOKUP($A102,Nipples!$A$9:$Q$81,15,FALSE),
IF($A102&lt;Manifold!$A$33,VLOOKUP($A102,Manifold!$A$9:$M$32,11,FALSE),
IF($A102&lt;FlexibleRepairCouplings!$A$13,VLOOKUP($A102,FlexibleRepairCouplings!$A$10:$M$12,11,FALSE),
IF($A102&lt;DuraFix!$A$15,VLOOKUP($A102,DuraFix!$A$9:$M$14,11,FALSE),
IF($A102&lt;'Compression Fittings'!$A$16,VLOOKUP($A102,'Compression Fittings'!$A$8:$M$15,11,FALSE),
IF($A102&lt;'Hose Fittings'!$A$30,VLOOKUP($A102,'Hose Fittings'!$A$8:$M$29,11,FALSE),
IF($A102&lt;'Swing Joints'!$A$496,VLOOKUP($A102,'Swing Joints'!$A$9:$M$495,11,FALSE),
IF($A102&lt;'Swing Joints Components'!$A$135,VLOOKUP($A102,'Swing Joints Components'!$A$9:$M$134,11,FALSE),
IF($A102&lt;Nonstandard!$A$42,VLOOKUP($A102,Nonstandard!$A$31:$J$41,3,FALSE),"")))))))))))))))))))))))))))),"")</f>
        <v/>
      </c>
      <c r="H102" s="588" t="str">
        <f>IFERROR(IF($A102&lt;'DWV PVC'!$A$285,VLOOKUP($A102,'DWV PVC'!$A$8:$M$284,7,FALSE),
IF($A102&lt;'DWV ABS'!$A$117,VLOOKUP($A102,'DWV ABS'!$A$8:$M$116,7,FALSE),
IF($A102&lt;'PVC SCH40'!$A$376,VLOOKUP($A102,'PVC SCH40'!$A$8:$M$375,7,FALSE),
IF($A102&lt;'PVC SCH40 LD'!$A$22,VLOOKUP($A102,'PVC SCH40 LD'!$A$8:$M$21,7,FALSE),
IF($A102&lt;'Pool &amp; SPA Sweep Elbows'!$A$12,VLOOKUP($A102,'Pool &amp; SPA Sweep Elbows'!$A$8:$M$11,7,FALSE),
IF($A102&lt;'Pool &amp; SPA Pipe Extender'!$A$11,VLOOKUP($A102,'Pool &amp; SPA Pipe Extender'!$A$8:$M$10,7,FALSE),
IF($A102&lt;'PVC SCH80'!$A$250,VLOOKUP($A102,'PVC SCH80'!$A$8:$M$249,7,FALSE),
IF($A102&lt;'PVC SCH80 Flange'!$A$49,VLOOKUP($A102,'PVC SCH80 Flange'!$A$8:$M$48,7,FALSE),
IF($A102&lt;'PVC SCH80 LD Flange'!$A$17,VLOOKUP($A102,'PVC SCH80 LD Flange'!$A$8:$M$16,7,FALSE),
IF($A102&lt;CPVC!$A$100,VLOOKUP($A102,CPVC!$A$8:$M$99,7,FALSE),
IF($A102&lt;InsertFittings!$A$237,VLOOKUP($A102,InsertFittings!$A$11:$M$236,7,FALSE),
IF($A102&lt;Valves!$A$132,VLOOKUP($A102,Valves!$A$8:$M$131,7,FALSE),
IF($A102&lt;SDR35SW!$A$124,VLOOKUP($A102,SDR35SW!$A$8:$M$123,7,FALSE),
IF($A102&lt;SDR35G!$A$143,VLOOKUP($A102, SDR35G!$A$8:$M$142,7,FALSE),
IF($A102&lt;SDR26G!$A$61,VLOOKUP($A102,SDR26G!$A$8:$N$60,10,FALSE),
IF($A102&lt;Cements!$A$100,VLOOKUP($A102,Cements!$A$8:$Q$99,13,FALSE),
IF($A102&lt;ValveBox!$A$143,VLOOKUP($A102,ValveBox!$A$10:$O$142,11,FALSE),
IF($A102&lt;'ValveBox Components'!$A$165,VLOOKUP($A102,'ValveBox Components'!$A$10:$O$164,11,FALSE),
IF($A102&lt;Drainage!$A$92,VLOOKUP($A102,Drainage!$A$8:$M$91,7,FALSE),
IF($A102&lt;Nipples!$A$82,VLOOKUP($A102,Nipples!$A$9:$Q$81,13,FALSE),
IF($A102&lt;Manifold!$A$33,VLOOKUP($A102,Manifold!$A$9:$M$32,7,FALSE),
IF($A102&lt;FlexibleRepairCouplings!$A$13,VLOOKUP($A102,FlexibleRepairCouplings!$A$10:$M$12,7,FALSE),
IF($A102&lt;DuraFix!$A$15,VLOOKUP($A102,DuraFix!$A$9:$M$14,7,FALSE),
IF($A102&lt;'Compression Fittings'!$A$16,VLOOKUP($A102,'Compression Fittings'!$A$8:$M$15,7,FALSE),
IF($A102&lt;'Hose Fittings'!$A$30,VLOOKUP($A102,'Hose Fittings'!$A$8:$M$29,7,FALSE),
IF($A102&lt;'Swing Joints'!$A$496,VLOOKUP($A102,'Swing Joints'!$A$9:$M$495,7,FALSE),
IF($A102&lt;'Swing Joints Components'!$A$135,VLOOKUP($A102,'Swing Joints Components'!$A$9:$M$134,7,FALSE),
IF($A102&lt;Nonstandard!$A$42,VLOOKUP($A102,Nonstandard!$A$31:$J$41,3,FALSE),"")))))))))))))))))))))))))))),"")</f>
        <v/>
      </c>
      <c r="I102" s="589"/>
      <c r="J102" s="423" t="str">
        <f t="shared" si="3"/>
        <v/>
      </c>
      <c r="K102" s="424" t="str">
        <f>IFERROR(IF($A102&lt;'DWV PVC'!$A$285,VLOOKUP($A102,'DWV PVC'!$A$8:$M$284,10,FALSE),
IF($A102&lt;'DWV ABS'!$A$117,VLOOKUP($A102,'DWV ABS'!$A$8:$M$116,10,FALSE),
IF($A102&lt;'PVC SCH40'!$A$376,VLOOKUP($A102,'PVC SCH40'!$A$8:$M$375,10,FALSE),
IF($A102&lt;'PVC SCH40 LD'!$A$22,VLOOKUP($A102,'PVC SCH40 LD'!$A$8:$M$21,10,FALSE),
IF($A102&lt;'Pool &amp; SPA Sweep Elbows'!$A$12,VLOOKUP($A102,'Pool &amp; SPA Sweep Elbows'!$A$8:$M$11,10,FALSE),
IF($A102&lt;'Pool &amp; SPA Pipe Extender'!$A$11,VLOOKUP($A102,'Pool &amp; SPA Pipe Extender'!$A$8:$M$10,10,FALSE),
IF($A102&lt;'PVC SCH80'!$A$250,VLOOKUP($A102,'PVC SCH80'!$A$8:$M$249,10,FALSE),
IF($A102&lt;'PVC SCH80 Flange'!$A$49,VLOOKUP($A102,'PVC SCH80 Flange'!$A$8:$M$48,10,FALSE),
IF($A102&lt;'PVC SCH80 LD Flange'!$A$17,VLOOKUP($A102,'PVC SCH80 LD Flange'!$A$8:$M$16,10,FALSE),
IF($A102&lt;CPVC!$A$100,VLOOKUP($A102,CPVC!$A$8:$M$99,10,FALSE),
IF($A102&lt;InsertFittings!$A$237,VLOOKUP($A102,InsertFittings!$A$11:$M$236,10,FALSE),
IF($A102&lt;Valves!$A$132,VLOOKUP($A102,Valves!$A$8:$M$131,10,FALSE),
IF($A102&lt;SDR35SW!$A$124,VLOOKUP($A102,SDR35SW!$A$8:$M$123,10,FALSE),
IF($A102&lt;SDR35G!$A$143,VLOOKUP($A102, SDR35G!$A$8:$M$142,10,FALSE),
IF($A102&lt;SDR26G!$A$61,VLOOKUP($A102,SDR26G!$A$8:$N$60,11,FALSE),
IF($A102&lt;Cements!$A$100,VLOOKUP($A102,Cements!$A$8:$Q$99,14,FALSE),
IF($A102&lt;ValveBox!$A$143,VLOOKUP($A102,ValveBox!$A$10:$O$142,12,FALSE),
IF($A102&lt;'ValveBox Components'!$A$165,VLOOKUP($A102,'ValveBox Components'!$A$10:$O$164,12,FALSE),
IF($A102&lt;Drainage!$A$92,VLOOKUP($A102,Drainage!$A$8:$M$91,10,FALSE),
IF($A102&lt;Nipples!$A$82,VLOOKUP($A102,Nipples!$A$9:$Q$81,14,FALSE),
IF($A102&lt;Manifold!$A$33,VLOOKUP($A102,Manifold!$A$9:$M$32,10,FALSE),
IF($A102&lt;FlexibleRepairCouplings!$A$13,VLOOKUP($A102,FlexibleRepairCouplings!$A$10:$M$12,10,FALSE),
IF($A102&lt;DuraFix!$A$15,VLOOKUP($A102,DuraFix!$A$9:$M$14,10,FALSE),
IF($A102&lt;'Compression Fittings'!$A$16,VLOOKUP($A102,'Compression Fittings'!$A$8:$M$15,10,FALSE),
IF($A102&lt;'Hose Fittings'!$A$30,VLOOKUP($A102,'Hose Fittings'!$A$8:$M$29,10,FALSE),
IF($A102&lt;'Swing Joints'!$A$496,VLOOKUP($A102,'Swing Joints'!$A$9:$M$495,10,FALSE),
IF($A102&lt;'Swing Joints Components'!$A$135,VLOOKUP($A102,'Swing Joints Components'!$A$9:$M$134,10,FALSE),
IF($A102&lt;Nonstandard!$A$42,VLOOKUP($A102,Nonstandard!$A$31:$J$41,10,FALSE),"")))))))))))))))))))))))))))),"")</f>
        <v/>
      </c>
      <c r="L102" s="421" t="str">
        <f t="shared" si="2"/>
        <v>-</v>
      </c>
      <c r="M102" s="425"/>
    </row>
    <row r="103" spans="1:13" ht="15.75">
      <c r="A103" s="415">
        <v>71</v>
      </c>
      <c r="B103" s="415" t="str">
        <f>IFERROR(IF($A103&lt;'DWV PVC'!$A$285,VLOOKUP($A103,'DWV PVC'!$A$8:$M$284,4,FALSE),
IF($A103&lt;'DWV ABS'!$A$117,VLOOKUP($A103,'DWV ABS'!$A$8:$M$116,4,FALSE),
IF($A103&lt;'PVC SCH40'!$A$376,VLOOKUP($A103,'PVC SCH40'!$A$8:$M$375,4,FALSE),
IF($A103&lt;'PVC SCH40 LD'!$A$22,VLOOKUP($A103,'PVC SCH40 LD'!$A$8:$M$21,4,FALSE),
IF($A103&lt;'Pool &amp; SPA Sweep Elbows'!$A$12,VLOOKUP($A103,'Pool &amp; SPA Sweep Elbows'!$A$8:$M$11,4,FALSE),
IF($A103&lt;'Pool &amp; SPA Pipe Extender'!$A$11,VLOOKUP($A103,'Pool &amp; SPA Pipe Extender'!$A$8:$M$10,4,FALSE),
IF($A103&lt;'PVC SCH80'!$A$250,VLOOKUP($A103,'PVC SCH80'!$A$8:$M$249,4,FALSE),
IF($A103&lt;'PVC SCH80 Flange'!$A$49,VLOOKUP($A103,'PVC SCH80 Flange'!$A$8:$M$48,4,FALSE),
IF($A103&lt;'PVC SCH80 LD Flange'!$A$17,VLOOKUP($A103,'PVC SCH80 LD Flange'!$A$8:$M$16,4,FALSE),
IF($A103&lt;CPVC!$A$100,VLOOKUP($A103,CPVC!$A$8:$M$99,4,FALSE),
IF($A103&lt;InsertFittings!$A$237,VLOOKUP($A103,InsertFittings!$A$11:$M$236,4,FALSE),
IF($A103&lt;Valves!$A$132,VLOOKUP($A103,Valves!$A$8:$M$131,4,FALSE),
IF($A103&lt;SDR35SW!$A$124,VLOOKUP($A103,SDR35SW!$A$8:$M$123,4,FALSE),
IF($A103&lt;SDR35G!$A$143,VLOOKUP($A103, SDR35G!$A$8:$M$142,4,FALSE),
IF($A103&lt;SDR26G!$A$61,VLOOKUP($A103,SDR26G!$A$8:$N$60,4,FALSE),
IF($A103&lt;Cements!$A$100,VLOOKUP($A103,Cements!$A$8:$Q$99,4,FALSE),
IF($A103&lt;ValveBox!$A$143,VLOOKUP($A103,ValveBox!$A$10:$O$142,4,FALSE),
IF($A103&lt;'ValveBox Components'!$A$165,VLOOKUP($A103,'ValveBox Components'!$A$10:$O$164,4,FALSE),
IF($A103&lt;Drainage!$A$92,VLOOKUP($A103,Drainage!$A$8:$M$91,4,FALSE),
IF($A103&lt;Nipples!$A$82,VLOOKUP($A103,Nipples!$A$9:$Q$81,4,FALSE),
IF($A103&lt;Manifold!$A$33,VLOOKUP($A103,Manifold!$A$9:$M$32,4,FALSE),
IF($A103&lt;FlexibleRepairCouplings!$A$13,VLOOKUP($A103,FlexibleRepairCouplings!$A$10:$M$12,4,FALSE),
IF($A103&lt;DuraFix!$A$15,VLOOKUP($A103,DuraFix!$A$9:$M$14,4,FALSE),
IF($A103&lt;'Compression Fittings'!$A$16,VLOOKUP($A103,'Compression Fittings'!$A$8:$M$15,4,FALSE),
IF($A103&lt;'Hose Fittings'!$A$30,VLOOKUP($A103,'Hose Fittings'!$A$8:$M$29,4,FALSE),
IF($A103&lt;'Swing Joints'!$A$496,VLOOKUP($A103,'Swing Joints'!$A$9:$M$495,4,FALSE),
IF($A103&lt;'Swing Joints Components'!$A$135,VLOOKUP($A103,'Swing Joints Components'!$A$9:$M$134,4,FALSE),
IF($A103&lt;Nonstandard!$A$42,VLOOKUP($A103,Nonstandard!$A$31:$J$41,5,FALSE),"")))))))))))))))))))))))))))),"")</f>
        <v/>
      </c>
      <c r="C103" s="415" t="str">
        <f>IFERROR(IF($A103&lt;'DWV PVC'!$A$285,VLOOKUP($A103,'DWV PVC'!$A$8:$M$284,5,FALSE),
IF($A103&lt;'DWV ABS'!$A$117,VLOOKUP($A103,'DWV ABS'!$A$8:$M$116,5,FALSE),
IF($A103&lt;'PVC SCH40'!$A$376,VLOOKUP($A103,'PVC SCH40'!$A$8:$M$375,5,FALSE),
IF($A103&lt;'PVC SCH40 LD'!$A$22,VLOOKUP($A103,'PVC SCH40 LD'!$A$8:$M$21,5,FALSE),
IF($A103&lt;'Pool &amp; SPA Sweep Elbows'!$A$12,VLOOKUP($A103,'Pool &amp; SPA Sweep Elbows'!$A$8:$M$11,5,FALSE),
IF($A103&lt;'Pool &amp; SPA Pipe Extender'!$A$11,VLOOKUP($A103,'Pool &amp; SPA Pipe Extender'!$A$8:$M$10,5,FALSE),
IF($A103&lt;'PVC SCH80'!$A$250,VLOOKUP($A103,'PVC SCH80'!$A$8:$M$249,5,FALSE),
IF($A103&lt;'PVC SCH80 Flange'!$A$49,VLOOKUP($A103,'PVC SCH80 Flange'!$A$8:$M$48,5,FALSE),
IF($A103&lt;'PVC SCH80 LD Flange'!$A$17,VLOOKUP($A103,'PVC SCH80 LD Flange'!$A$8:$M$16,5,FALSE),
IF($A103&lt;CPVC!$A$100,VLOOKUP($A103,CPVC!$A$8:$M$99,5,FALSE),
IF($A103&lt;InsertFittings!$A$237,VLOOKUP($A103,InsertFittings!$A$11:$M$236,5,FALSE),
IF($A103&lt;Valves!$A$132,VLOOKUP($A103,Valves!$A$8:$M$131,5,FALSE),
IF($A103&lt;SDR35SW!$A$124,VLOOKUP($A103,SDR35SW!$A$8:$M$123,5,FALSE),
IF($A103&lt;SDR35G!$A$143,VLOOKUP($A103, SDR35G!$A$8:$M$142,5,FALSE),
IF($A103&lt;SDR26G!$A$61,VLOOKUP($A103,SDR26G!$A$8:$N$60,5,FALSE),
IF($A103&lt;Cements!$A$100,VLOOKUP($A103,Cements!$A$8:$Q$99,5,FALSE),
IF($A103&lt;ValveBox!$A$143,VLOOKUP($A103,ValveBox!$A$10:$O$142,5,FALSE),
IF($A103&lt;'ValveBox Components'!$A$165,VLOOKUP($A103,'ValveBox Components'!$A$10:$O$164,5,FALSE),
IF($A103&lt;Drainage!$A$92,VLOOKUP($A103,Drainage!$A$8:$M$91,5,FALSE),
IF($A103&lt;Nipples!$A$82,VLOOKUP($A103,Nipples!$A$9:$Q$81,5,FALSE),
IF($A103&lt;Manifold!$A$33,VLOOKUP($A103,Manifold!$A$9:$M$32,5,FALSE),
IF($A103&lt;FlexibleRepairCouplings!$A$13,VLOOKUP($A103,FlexibleRepairCouplings!$A$10:$M$12,5,FALSE),
IF($A103&lt;DuraFix!$A$15,VLOOKUP($A103,DuraFix!$A$9:$M$14,5,FALSE),
IF($A103&lt;'Compression Fittings'!$A$16,VLOOKUP($A103,'Compression Fittings'!$A$8:$M$15,5,FALSE),
IF($A103&lt;'Hose Fittings'!$A$30,VLOOKUP($A103,'Hose Fittings'!$A$8:$M$29,5,FALSE),
IF($A103&lt;'Swing Joints'!$A$496,VLOOKUP($A103,'Swing Joints'!$A$9:$M$495,5,FALSE),
IF($A103&lt;'Swing Joints Components'!$A$135,VLOOKUP($A103,'Swing Joints Components'!$A$9:$M$134,5,FALSE),
IF($A103&lt;Nonstandard!$A$42,VLOOKUP($A103,Nonstandard!$A$31:$J$41,6,FALSE),"")))))))))))))))))))))))))))),"")</f>
        <v/>
      </c>
      <c r="D103" s="426" t="str">
        <f>IFERROR(IF($A103&lt;'DWV PVC'!$A$285,VLOOKUP($A103,'DWV PVC'!$A$8:$M$284,6,FALSE),
IF($A103&lt;'DWV ABS'!$A$117,VLOOKUP($A103,'DWV ABS'!$A$8:$M$116,6,FALSE),
IF($A103&lt;'PVC SCH40'!$A$376,VLOOKUP($A103,'PVC SCH40'!$A$8:$M$375,6,FALSE),
IF($A103&lt;'PVC SCH40 LD'!$A$22,VLOOKUP($A103,'PVC SCH40 LD'!$A$8:$M$21,6,FALSE),
IF($A103&lt;'Pool &amp; SPA Sweep Elbows'!$A$12,VLOOKUP($A103,'Pool &amp; SPA Sweep Elbows'!$A$8:$M$11,6,FALSE),
IF($A103&lt;'Pool &amp; SPA Pipe Extender'!$A$11,VLOOKUP($A103,'Pool &amp; SPA Pipe Extender'!$A$8:$M$10,6,FALSE),
IF($A103&lt;'PVC SCH80'!$A$250,VLOOKUP($A103,'PVC SCH80'!$A$8:$M$249,6,FALSE),
IF($A103&lt;'PVC SCH80 Flange'!$A$49,VLOOKUP($A103,'PVC SCH80 Flange'!$A$8:$M$48,6,FALSE),
IF($A103&lt;'PVC SCH80 LD Flange'!$A$17,VLOOKUP($A103,'PVC SCH80 LD Flange'!$A$8:$M$16,6,FALSE),
IF($A103&lt;CPVC!$A$100,VLOOKUP($A103,CPVC!$A$8:$M$99,6,FALSE),
IF($A103&lt;InsertFittings!$A$237,VLOOKUP($A103,InsertFittings!$A$11:$M$236,6,FALSE),
IF($A103&lt;Valves!$A$132,VLOOKUP($A103,Valves!$A$8:$M$131,6,FALSE),
IF($A103&lt;SDR35SW!$A$124,VLOOKUP($A103,SDR35SW!$A$8:$M$123,6,FALSE),
IF($A103&lt;SDR35G!$A$143,VLOOKUP($A103, SDR35G!$A$8:$M$142,6,FALSE),
IF($A103&lt;SDR26G!$A$61,VLOOKUP($A103,SDR26G!$A$8:$N$60,6,FALSE),
IF($A103&lt;Cements!$A$100,VLOOKUP($A103,Cements!$A$8:$Q$99,6,FALSE),
IF($A103&lt;ValveBox!$A$143,VLOOKUP($A103,ValveBox!$A$10:$O$142,6,FALSE),
IF($A103&lt;'ValveBox Components'!$A$165,VLOOKUP($A103,'ValveBox Components'!$A$10:$O$164,6,FALSE),
IF($A103&lt;Drainage!$A$92,VLOOKUP($A103,Drainage!$A$8:$M$91,6,FALSE),
IF($A103&lt;Nipples!$A$82,VLOOKUP($A103,Nipples!$A$9:$Q$81,6,FALSE),
IF($A103&lt;Manifold!$A$33,VLOOKUP($A103,Manifold!$A$9:$M$32,6,FALSE),
IF($A103&lt;FlexibleRepairCouplings!$A$13,VLOOKUP($A103,FlexibleRepairCouplings!$A$10:$M$12,6,FALSE),
IF($A103&lt;DuraFix!$A$15,VLOOKUP($A103,DuraFix!$A$9:$M$14,6,FALSE),
IF($A103&lt;'Compression Fittings'!$A$16,VLOOKUP($A103,'Compression Fittings'!$A$8:$M$15,6,FALSE),
IF($A103&lt;'Hose Fittings'!$A$30,VLOOKUP($A103,'Hose Fittings'!$A$8:$M$29,6,FALSE),
IF($A103&lt;'Swing Joints'!$A$496,VLOOKUP($A103,'Swing Joints'!$A$9:$M$495,6,FALSE),
IF($A103&lt;'Swing Joints Components'!$A$135,VLOOKUP($A103,'Swing Joints Components'!$A$9:$M$134,6,FALSE),
IF($A103&lt;Nonstandard!$A$42,VLOOKUP($A103,Nonstandard!$A$31:$J$41,7,FALSE),"")))))))))))))))))))))))))))),"")</f>
        <v/>
      </c>
      <c r="E103" s="427"/>
      <c r="F103" s="418" t="str">
        <f>IFERROR(IF($A103&lt;'DWV PVC'!$A$285,VLOOKUP($A103,'DWV PVC'!$A$8:$M$284,9,FALSE),
IF($A103&lt;'DWV ABS'!$A$117,VLOOKUP($A103,'DWV ABS'!$A$8:$M$116,9,FALSE),
IF($A103&lt;'PVC SCH40'!$A$376,VLOOKUP($A103,'PVC SCH40'!$A$8:$M$375,9,FALSE),
IF($A103&lt;'PVC SCH40 LD'!$A$22,VLOOKUP($A103,'PVC SCH40 LD'!$A$8:$M$21,9,FALSE),
IF($A103&lt;'Pool &amp; SPA Sweep Elbows'!$A$12,VLOOKUP($A103,'Pool &amp; SPA Sweep Elbows'!$A$8:$M$11,9,FALSE),
IF($A103&lt;'Pool &amp; SPA Pipe Extender'!$A$11,VLOOKUP($A103,'Pool &amp; SPA Pipe Extender'!$A$8:$M$10,9,FALSE),
IF($A103&lt;'PVC SCH80'!$A$250,VLOOKUP($A103,'PVC SCH80'!$A$8:$M$249,9,FALSE),
IF($A103&lt;'PVC SCH80 Flange'!$A$49,VLOOKUP($A103,'PVC SCH80 Flange'!$A$8:$M$48,9,FALSE),
IF($A103&lt;'PVC SCH80 LD Flange'!$A$17,VLOOKUP($A103,'PVC SCH80 LD Flange'!$A$8:$M$16,9,FALSE),
IF($A103&lt;CPVC!$A$100,VLOOKUP($A103,CPVC!$A$8:$M$99,9,FALSE),
IF($A103&lt;InsertFittings!$A$237,VLOOKUP($A103,InsertFittings!$A$11:$M$236,9,FALSE),
IF($A103&lt;Valves!$A$132,VLOOKUP($A103,Valves!$A$8:$M$131,9,FALSE),
IF($A103&lt;SDR35SW!$A$124,VLOOKUP($A103,SDR35SW!$A$8:$M$123,9,FALSE),
IF($A103&lt;SDR35G!$A$143,VLOOKUP($A103, SDR35G!$A$8:$M$142,9,FALSE),
IF($A103&lt;SDR26G!$A$61,VLOOKUP($A103,SDR26G!$A$8:$N$60,10,FALSE),
IF($A103&lt;Cements!$A$100,VLOOKUP($A103,Cements!$A$8:$Q$99,13,FALSE),
IF($A103&lt;ValveBox!$A$143,VLOOKUP($A103,ValveBox!$A$10:$O$142,11,FALSE),
IF($A103&lt;'ValveBox Components'!$A$165,VLOOKUP($A103,'ValveBox Components'!$A$10:$O$164,11,FALSE),
IF($A103&lt;Drainage!$A$92,VLOOKUP($A103,Drainage!$A$8:$M$91,9,FALSE),
IF($A103&lt;Nipples!$A$82,VLOOKUP($A103,Nipples!$A$9:$Q$81,13,FALSE),
IF($A103&lt;Manifold!$A$33,VLOOKUP($A103,Manifold!$A$9:$M$32,9,FALSE),
IF($A103&lt;FlexibleRepairCouplings!$A$13,VLOOKUP($A103,FlexibleRepairCouplings!$A$10:$M$12,9,FALSE),
IF($A103&lt;DuraFix!$A$15,VLOOKUP($A103,DuraFix!$A$9:$M$14,9,FALSE),
IF($A103&lt;'Compression Fittings'!$A$16,VLOOKUP($A103,'Compression Fittings'!$A$8:$M$15,9,FALSE),
IF($A103&lt;'Hose Fittings'!$A$30,VLOOKUP($A103,'Hose Fittings'!$A$8:$M$29,9,FALSE),
IF($A103&lt;'Swing Joints'!$A$496,VLOOKUP($A103,'Swing Joints'!$A$9:$M$495,9,FALSE),
IF($A103&lt;'Swing Joints Components'!$A$135,VLOOKUP($A103,'Swing Joints Components'!$A$9:$M$134,9,FALSE),
IF($A103&lt;Nonstandard!$A$42,VLOOKUP($A103,Nonstandard!$A$31:$J$41,8,FALSE),"")))))))))))))))))))))))))))),"")</f>
        <v/>
      </c>
      <c r="G103" s="416" t="str">
        <f>IFERROR(IF($A103&lt;'DWV PVC'!$A$285,VLOOKUP($A103,'DWV PVC'!$A$8:$M$284,11,FALSE),
IF($A103&lt;'DWV ABS'!$A$117,VLOOKUP($A103,'DWV ABS'!$A$8:$M$116,11,FALSE),
IF($A103&lt;'PVC SCH40'!$A$376,VLOOKUP($A103,'PVC SCH40'!$A$8:$M$375,11,FALSE),
IF($A103&lt;'PVC SCH40 LD'!$A$22,VLOOKUP($A103,'PVC SCH40 LD'!$A$8:$M$21,11,FALSE),
IF($A103&lt;'Pool &amp; SPA Sweep Elbows'!$A$12,VLOOKUP($A103,'Pool &amp; SPA Sweep Elbows'!$A$8:$M$11,11,FALSE),
IF($A103&lt;'Pool &amp; SPA Pipe Extender'!$A$11,VLOOKUP($A103,'Pool &amp; SPA Pipe Extender'!$A$8:$M$10,11,FALSE),
IF($A103&lt;'PVC SCH80'!$A$250,VLOOKUP($A103,'PVC SCH80'!$A$8:$M$249,11,FALSE),
IF($A103&lt;'PVC SCH80 Flange'!$A$49,VLOOKUP($A103,'PVC SCH80 Flange'!$A$8:$M$48,11,FALSE),
IF($A103&lt;'PVC SCH80 LD Flange'!$A$17,VLOOKUP($A103,'PVC SCH80 LD Flange'!$A$8:$M$16,11,FALSE),
IF($A103&lt;CPVC!$A$100,VLOOKUP($A103,CPVC!$A$8:$M$99,11,FALSE),
IF($A103&lt;InsertFittings!$A$237,VLOOKUP($A103,InsertFittings!$A$11:$M$236,11,FALSE),
IF($A103&lt;Valves!$A$132,VLOOKUP($A103,Valves!$A$8:$M$131,11,FALSE),
IF($A103&lt;SDR35SW!$A$124,VLOOKUP($A103,SDR35SW!$A$8:$M$123,11,FALSE),
IF($A103&lt;SDR35G!$A$143,VLOOKUP($A103, SDR35G!$A$8:$M$142,11,FALSE),
IF($A103&lt;SDR26G!$A$61,VLOOKUP($A103,SDR26G!$A$8:$N$60,12,FALSE),
IF($A103&lt;Cements!$A$100,VLOOKUP($A103,Cements!$A$8:$Q$99,15,FALSE),
IF($A103&lt;ValveBox!$A$143,VLOOKUP($A103,ValveBox!$A$10:$O$142,13,FALSE),
IF($A103&lt;'ValveBox Components'!$A$165,VLOOKUP($A103,'ValveBox Components'!$A$10:$O$164,13,FALSE),
IF($A103&lt;Drainage!$A$92,VLOOKUP($A103,Drainage!$A$8:$M$91,11,FALSE),
IF($A103&lt;Nipples!$A$82,VLOOKUP($A103,Nipples!$A$9:$Q$81,15,FALSE),
IF($A103&lt;Manifold!$A$33,VLOOKUP($A103,Manifold!$A$9:$M$32,11,FALSE),
IF($A103&lt;FlexibleRepairCouplings!$A$13,VLOOKUP($A103,FlexibleRepairCouplings!$A$10:$M$12,11,FALSE),
IF($A103&lt;DuraFix!$A$15,VLOOKUP($A103,DuraFix!$A$9:$M$14,11,FALSE),
IF($A103&lt;'Compression Fittings'!$A$16,VLOOKUP($A103,'Compression Fittings'!$A$8:$M$15,11,FALSE),
IF($A103&lt;'Hose Fittings'!$A$30,VLOOKUP($A103,'Hose Fittings'!$A$8:$M$29,11,FALSE),
IF($A103&lt;'Swing Joints'!$A$496,VLOOKUP($A103,'Swing Joints'!$A$9:$M$495,11,FALSE),
IF($A103&lt;'Swing Joints Components'!$A$135,VLOOKUP($A103,'Swing Joints Components'!$A$9:$M$134,11,FALSE),
IF($A103&lt;Nonstandard!$A$42,VLOOKUP($A103,Nonstandard!$A$31:$J$41,3,FALSE),"")))))))))))))))))))))))))))),"")</f>
        <v/>
      </c>
      <c r="H103" s="586" t="str">
        <f>IFERROR(IF($A103&lt;'DWV PVC'!$A$285,VLOOKUP($A103,'DWV PVC'!$A$8:$M$284,7,FALSE),
IF($A103&lt;'DWV ABS'!$A$117,VLOOKUP($A103,'DWV ABS'!$A$8:$M$116,7,FALSE),
IF($A103&lt;'PVC SCH40'!$A$376,VLOOKUP($A103,'PVC SCH40'!$A$8:$M$375,7,FALSE),
IF($A103&lt;'PVC SCH40 LD'!$A$22,VLOOKUP($A103,'PVC SCH40 LD'!$A$8:$M$21,7,FALSE),
IF($A103&lt;'Pool &amp; SPA Sweep Elbows'!$A$12,VLOOKUP($A103,'Pool &amp; SPA Sweep Elbows'!$A$8:$M$11,7,FALSE),
IF($A103&lt;'Pool &amp; SPA Pipe Extender'!$A$11,VLOOKUP($A103,'Pool &amp; SPA Pipe Extender'!$A$8:$M$10,7,FALSE),
IF($A103&lt;'PVC SCH80'!$A$250,VLOOKUP($A103,'PVC SCH80'!$A$8:$M$249,7,FALSE),
IF($A103&lt;'PVC SCH80 Flange'!$A$49,VLOOKUP($A103,'PVC SCH80 Flange'!$A$8:$M$48,7,FALSE),
IF($A103&lt;'PVC SCH80 LD Flange'!$A$17,VLOOKUP($A103,'PVC SCH80 LD Flange'!$A$8:$M$16,7,FALSE),
IF($A103&lt;CPVC!$A$100,VLOOKUP($A103,CPVC!$A$8:$M$99,7,FALSE),
IF($A103&lt;InsertFittings!$A$237,VLOOKUP($A103,InsertFittings!$A$11:$M$236,7,FALSE),
IF($A103&lt;Valves!$A$132,VLOOKUP($A103,Valves!$A$8:$M$131,7,FALSE),
IF($A103&lt;SDR35SW!$A$124,VLOOKUP($A103,SDR35SW!$A$8:$M$123,7,FALSE),
IF($A103&lt;SDR35G!$A$143,VLOOKUP($A103, SDR35G!$A$8:$M$142,7,FALSE),
IF($A103&lt;SDR26G!$A$61,VLOOKUP($A103,SDR26G!$A$8:$N$60,10,FALSE),
IF($A103&lt;Cements!$A$100,VLOOKUP($A103,Cements!$A$8:$Q$99,13,FALSE),
IF($A103&lt;ValveBox!$A$143,VLOOKUP($A103,ValveBox!$A$10:$O$142,11,FALSE),
IF($A103&lt;'ValveBox Components'!$A$165,VLOOKUP($A103,'ValveBox Components'!$A$10:$O$164,11,FALSE),
IF($A103&lt;Drainage!$A$92,VLOOKUP($A103,Drainage!$A$8:$M$91,7,FALSE),
IF($A103&lt;Nipples!$A$82,VLOOKUP($A103,Nipples!$A$9:$Q$81,13,FALSE),
IF($A103&lt;Manifold!$A$33,VLOOKUP($A103,Manifold!$A$9:$M$32,7,FALSE),
IF($A103&lt;FlexibleRepairCouplings!$A$13,VLOOKUP($A103,FlexibleRepairCouplings!$A$10:$M$12,7,FALSE),
IF($A103&lt;DuraFix!$A$15,VLOOKUP($A103,DuraFix!$A$9:$M$14,7,FALSE),
IF($A103&lt;'Compression Fittings'!$A$16,VLOOKUP($A103,'Compression Fittings'!$A$8:$M$15,7,FALSE),
IF($A103&lt;'Hose Fittings'!$A$30,VLOOKUP($A103,'Hose Fittings'!$A$8:$M$29,7,FALSE),
IF($A103&lt;'Swing Joints'!$A$496,VLOOKUP($A103,'Swing Joints'!$A$9:$M$495,7,FALSE),
IF($A103&lt;'Swing Joints Components'!$A$135,VLOOKUP($A103,'Swing Joints Components'!$A$9:$M$134,7,FALSE),
IF($A103&lt;Nonstandard!$A$42,VLOOKUP($A103,Nonstandard!$A$31:$J$41,3,FALSE),"")))))))))))))))))))))))))))),"")</f>
        <v/>
      </c>
      <c r="I103" s="587"/>
      <c r="J103" s="383" t="str">
        <f t="shared" si="3"/>
        <v/>
      </c>
      <c r="K103" s="417" t="str">
        <f>IFERROR(IF($A103&lt;'DWV PVC'!$A$285,VLOOKUP($A103,'DWV PVC'!$A$8:$M$284,10,FALSE),
IF($A103&lt;'DWV ABS'!$A$117,VLOOKUP($A103,'DWV ABS'!$A$8:$M$116,10,FALSE),
IF($A103&lt;'PVC SCH40'!$A$376,VLOOKUP($A103,'PVC SCH40'!$A$8:$M$375,10,FALSE),
IF($A103&lt;'PVC SCH40 LD'!$A$22,VLOOKUP($A103,'PVC SCH40 LD'!$A$8:$M$21,10,FALSE),
IF($A103&lt;'Pool &amp; SPA Sweep Elbows'!$A$12,VLOOKUP($A103,'Pool &amp; SPA Sweep Elbows'!$A$8:$M$11,10,FALSE),
IF($A103&lt;'Pool &amp; SPA Pipe Extender'!$A$11,VLOOKUP($A103,'Pool &amp; SPA Pipe Extender'!$A$8:$M$10,10,FALSE),
IF($A103&lt;'PVC SCH80'!$A$250,VLOOKUP($A103,'PVC SCH80'!$A$8:$M$249,10,FALSE),
IF($A103&lt;'PVC SCH80 Flange'!$A$49,VLOOKUP($A103,'PVC SCH80 Flange'!$A$8:$M$48,10,FALSE),
IF($A103&lt;'PVC SCH80 LD Flange'!$A$17,VLOOKUP($A103,'PVC SCH80 LD Flange'!$A$8:$M$16,10,FALSE),
IF($A103&lt;CPVC!$A$100,VLOOKUP($A103,CPVC!$A$8:$M$99,10,FALSE),
IF($A103&lt;InsertFittings!$A$237,VLOOKUP($A103,InsertFittings!$A$11:$M$236,10,FALSE),
IF($A103&lt;Valves!$A$132,VLOOKUP($A103,Valves!$A$8:$M$131,10,FALSE),
IF($A103&lt;SDR35SW!$A$124,VLOOKUP($A103,SDR35SW!$A$8:$M$123,10,FALSE),
IF($A103&lt;SDR35G!$A$143,VLOOKUP($A103, SDR35G!$A$8:$M$142,10,FALSE),
IF($A103&lt;SDR26G!$A$61,VLOOKUP($A103,SDR26G!$A$8:$N$60,11,FALSE),
IF($A103&lt;Cements!$A$100,VLOOKUP($A103,Cements!$A$8:$Q$99,14,FALSE),
IF($A103&lt;ValveBox!$A$143,VLOOKUP($A103,ValveBox!$A$10:$O$142,12,FALSE),
IF($A103&lt;'ValveBox Components'!$A$165,VLOOKUP($A103,'ValveBox Components'!$A$10:$O$164,12,FALSE),
IF($A103&lt;Drainage!$A$92,VLOOKUP($A103,Drainage!$A$8:$M$91,10,FALSE),
IF($A103&lt;Nipples!$A$82,VLOOKUP($A103,Nipples!$A$9:$Q$81,14,FALSE),
IF($A103&lt;Manifold!$A$33,VLOOKUP($A103,Manifold!$A$9:$M$32,10,FALSE),
IF($A103&lt;FlexibleRepairCouplings!$A$13,VLOOKUP($A103,FlexibleRepairCouplings!$A$10:$M$12,10,FALSE),
IF($A103&lt;DuraFix!$A$15,VLOOKUP($A103,DuraFix!$A$9:$M$14,10,FALSE),
IF($A103&lt;'Compression Fittings'!$A$16,VLOOKUP($A103,'Compression Fittings'!$A$8:$M$15,10,FALSE),
IF($A103&lt;'Hose Fittings'!$A$30,VLOOKUP($A103,'Hose Fittings'!$A$8:$M$29,10,FALSE),
IF($A103&lt;'Swing Joints'!$A$496,VLOOKUP($A103,'Swing Joints'!$A$9:$M$495,10,FALSE),
IF($A103&lt;'Swing Joints Components'!$A$135,VLOOKUP($A103,'Swing Joints Components'!$A$9:$M$134,10,FALSE),
IF($A103&lt;Nonstandard!$A$42,VLOOKUP($A103,Nonstandard!$A$31:$J$41,10,FALSE),"")))))))))))))))))))))))))))),"")</f>
        <v/>
      </c>
      <c r="L103" s="418" t="str">
        <f t="shared" si="2"/>
        <v>-</v>
      </c>
      <c r="M103" s="419"/>
    </row>
    <row r="104" spans="1:13" ht="15.75">
      <c r="A104" s="420">
        <v>72</v>
      </c>
      <c r="B104" s="420" t="str">
        <f>IFERROR(IF($A104&lt;'DWV PVC'!$A$285,VLOOKUP($A104,'DWV PVC'!$A$8:$M$284,4,FALSE),
IF($A104&lt;'DWV ABS'!$A$117,VLOOKUP($A104,'DWV ABS'!$A$8:$M$116,4,FALSE),
IF($A104&lt;'PVC SCH40'!$A$376,VLOOKUP($A104,'PVC SCH40'!$A$8:$M$375,4,FALSE),
IF($A104&lt;'PVC SCH40 LD'!$A$22,VLOOKUP($A104,'PVC SCH40 LD'!$A$8:$M$21,4,FALSE),
IF($A104&lt;'Pool &amp; SPA Sweep Elbows'!$A$12,VLOOKUP($A104,'Pool &amp; SPA Sweep Elbows'!$A$8:$M$11,4,FALSE),
IF($A104&lt;'Pool &amp; SPA Pipe Extender'!$A$11,VLOOKUP($A104,'Pool &amp; SPA Pipe Extender'!$A$8:$M$10,4,FALSE),
IF($A104&lt;'PVC SCH80'!$A$250,VLOOKUP($A104,'PVC SCH80'!$A$8:$M$249,4,FALSE),
IF($A104&lt;'PVC SCH80 Flange'!$A$49,VLOOKUP($A104,'PVC SCH80 Flange'!$A$8:$M$48,4,FALSE),
IF($A104&lt;'PVC SCH80 LD Flange'!$A$17,VLOOKUP($A104,'PVC SCH80 LD Flange'!$A$8:$M$16,4,FALSE),
IF($A104&lt;CPVC!$A$100,VLOOKUP($A104,CPVC!$A$8:$M$99,4,FALSE),
IF($A104&lt;InsertFittings!$A$237,VLOOKUP($A104,InsertFittings!$A$11:$M$236,4,FALSE),
IF($A104&lt;Valves!$A$132,VLOOKUP($A104,Valves!$A$8:$M$131,4,FALSE),
IF($A104&lt;SDR35SW!$A$124,VLOOKUP($A104,SDR35SW!$A$8:$M$123,4,FALSE),
IF($A104&lt;SDR35G!$A$143,VLOOKUP($A104, SDR35G!$A$8:$M$142,4,FALSE),
IF($A104&lt;SDR26G!$A$61,VLOOKUP($A104,SDR26G!$A$8:$N$60,4,FALSE),
IF($A104&lt;Cements!$A$100,VLOOKUP($A104,Cements!$A$8:$Q$99,4,FALSE),
IF($A104&lt;ValveBox!$A$143,VLOOKUP($A104,ValveBox!$A$10:$O$142,4,FALSE),
IF($A104&lt;'ValveBox Components'!$A$165,VLOOKUP($A104,'ValveBox Components'!$A$10:$O$164,4,FALSE),
IF($A104&lt;Drainage!$A$92,VLOOKUP($A104,Drainage!$A$8:$M$91,4,FALSE),
IF($A104&lt;Nipples!$A$82,VLOOKUP($A104,Nipples!$A$9:$Q$81,4,FALSE),
IF($A104&lt;Manifold!$A$33,VLOOKUP($A104,Manifold!$A$9:$M$32,4,FALSE),
IF($A104&lt;FlexibleRepairCouplings!$A$13,VLOOKUP($A104,FlexibleRepairCouplings!$A$10:$M$12,4,FALSE),
IF($A104&lt;DuraFix!$A$15,VLOOKUP($A104,DuraFix!$A$9:$M$14,4,FALSE),
IF($A104&lt;'Compression Fittings'!$A$16,VLOOKUP($A104,'Compression Fittings'!$A$8:$M$15,4,FALSE),
IF($A104&lt;'Hose Fittings'!$A$30,VLOOKUP($A104,'Hose Fittings'!$A$8:$M$29,4,FALSE),
IF($A104&lt;'Swing Joints'!$A$496,VLOOKUP($A104,'Swing Joints'!$A$9:$M$495,4,FALSE),
IF($A104&lt;'Swing Joints Components'!$A$135,VLOOKUP($A104,'Swing Joints Components'!$A$9:$M$134,4,FALSE),
IF($A104&lt;Nonstandard!$A$42,VLOOKUP($A104,Nonstandard!$A$31:$J$41,5,FALSE),"")))))))))))))))))))))))))))),"")</f>
        <v/>
      </c>
      <c r="C104" s="420" t="str">
        <f>IFERROR(IF($A104&lt;'DWV PVC'!$A$285,VLOOKUP($A104,'DWV PVC'!$A$8:$M$284,5,FALSE),
IF($A104&lt;'DWV ABS'!$A$117,VLOOKUP($A104,'DWV ABS'!$A$8:$M$116,5,FALSE),
IF($A104&lt;'PVC SCH40'!$A$376,VLOOKUP($A104,'PVC SCH40'!$A$8:$M$375,5,FALSE),
IF($A104&lt;'PVC SCH40 LD'!$A$22,VLOOKUP($A104,'PVC SCH40 LD'!$A$8:$M$21,5,FALSE),
IF($A104&lt;'Pool &amp; SPA Sweep Elbows'!$A$12,VLOOKUP($A104,'Pool &amp; SPA Sweep Elbows'!$A$8:$M$11,5,FALSE),
IF($A104&lt;'Pool &amp; SPA Pipe Extender'!$A$11,VLOOKUP($A104,'Pool &amp; SPA Pipe Extender'!$A$8:$M$10,5,FALSE),
IF($A104&lt;'PVC SCH80'!$A$250,VLOOKUP($A104,'PVC SCH80'!$A$8:$M$249,5,FALSE),
IF($A104&lt;'PVC SCH80 Flange'!$A$49,VLOOKUP($A104,'PVC SCH80 Flange'!$A$8:$M$48,5,FALSE),
IF($A104&lt;'PVC SCH80 LD Flange'!$A$17,VLOOKUP($A104,'PVC SCH80 LD Flange'!$A$8:$M$16,5,FALSE),
IF($A104&lt;CPVC!$A$100,VLOOKUP($A104,CPVC!$A$8:$M$99,5,FALSE),
IF($A104&lt;InsertFittings!$A$237,VLOOKUP($A104,InsertFittings!$A$11:$M$236,5,FALSE),
IF($A104&lt;Valves!$A$132,VLOOKUP($A104,Valves!$A$8:$M$131,5,FALSE),
IF($A104&lt;SDR35SW!$A$124,VLOOKUP($A104,SDR35SW!$A$8:$M$123,5,FALSE),
IF($A104&lt;SDR35G!$A$143,VLOOKUP($A104, SDR35G!$A$8:$M$142,5,FALSE),
IF($A104&lt;SDR26G!$A$61,VLOOKUP($A104,SDR26G!$A$8:$N$60,5,FALSE),
IF($A104&lt;Cements!$A$100,VLOOKUP($A104,Cements!$A$8:$Q$99,5,FALSE),
IF($A104&lt;ValveBox!$A$143,VLOOKUP($A104,ValveBox!$A$10:$O$142,5,FALSE),
IF($A104&lt;'ValveBox Components'!$A$165,VLOOKUP($A104,'ValveBox Components'!$A$10:$O$164,5,FALSE),
IF($A104&lt;Drainage!$A$92,VLOOKUP($A104,Drainage!$A$8:$M$91,5,FALSE),
IF($A104&lt;Nipples!$A$82,VLOOKUP($A104,Nipples!$A$9:$Q$81,5,FALSE),
IF($A104&lt;Manifold!$A$33,VLOOKUP($A104,Manifold!$A$9:$M$32,5,FALSE),
IF($A104&lt;FlexibleRepairCouplings!$A$13,VLOOKUP($A104,FlexibleRepairCouplings!$A$10:$M$12,5,FALSE),
IF($A104&lt;DuraFix!$A$15,VLOOKUP($A104,DuraFix!$A$9:$M$14,5,FALSE),
IF($A104&lt;'Compression Fittings'!$A$16,VLOOKUP($A104,'Compression Fittings'!$A$8:$M$15,5,FALSE),
IF($A104&lt;'Hose Fittings'!$A$30,VLOOKUP($A104,'Hose Fittings'!$A$8:$M$29,5,FALSE),
IF($A104&lt;'Swing Joints'!$A$496,VLOOKUP($A104,'Swing Joints'!$A$9:$M$495,5,FALSE),
IF($A104&lt;'Swing Joints Components'!$A$135,VLOOKUP($A104,'Swing Joints Components'!$A$9:$M$134,5,FALSE),
IF($A104&lt;Nonstandard!$A$42,VLOOKUP($A104,Nonstandard!$A$31:$J$41,6,FALSE),"")))))))))))))))))))))))))))),"")</f>
        <v/>
      </c>
      <c r="D104" s="428" t="str">
        <f>IFERROR(IF($A104&lt;'DWV PVC'!$A$285,VLOOKUP($A104,'DWV PVC'!$A$8:$M$284,6,FALSE),
IF($A104&lt;'DWV ABS'!$A$117,VLOOKUP($A104,'DWV ABS'!$A$8:$M$116,6,FALSE),
IF($A104&lt;'PVC SCH40'!$A$376,VLOOKUP($A104,'PVC SCH40'!$A$8:$M$375,6,FALSE),
IF($A104&lt;'PVC SCH40 LD'!$A$22,VLOOKUP($A104,'PVC SCH40 LD'!$A$8:$M$21,6,FALSE),
IF($A104&lt;'Pool &amp; SPA Sweep Elbows'!$A$12,VLOOKUP($A104,'Pool &amp; SPA Sweep Elbows'!$A$8:$M$11,6,FALSE),
IF($A104&lt;'Pool &amp; SPA Pipe Extender'!$A$11,VLOOKUP($A104,'Pool &amp; SPA Pipe Extender'!$A$8:$M$10,6,FALSE),
IF($A104&lt;'PVC SCH80'!$A$250,VLOOKUP($A104,'PVC SCH80'!$A$8:$M$249,6,FALSE),
IF($A104&lt;'PVC SCH80 Flange'!$A$49,VLOOKUP($A104,'PVC SCH80 Flange'!$A$8:$M$48,6,FALSE),
IF($A104&lt;'PVC SCH80 LD Flange'!$A$17,VLOOKUP($A104,'PVC SCH80 LD Flange'!$A$8:$M$16,6,FALSE),
IF($A104&lt;CPVC!$A$100,VLOOKUP($A104,CPVC!$A$8:$M$99,6,FALSE),
IF($A104&lt;InsertFittings!$A$237,VLOOKUP($A104,InsertFittings!$A$11:$M$236,6,FALSE),
IF($A104&lt;Valves!$A$132,VLOOKUP($A104,Valves!$A$8:$M$131,6,FALSE),
IF($A104&lt;SDR35SW!$A$124,VLOOKUP($A104,SDR35SW!$A$8:$M$123,6,FALSE),
IF($A104&lt;SDR35G!$A$143,VLOOKUP($A104, SDR35G!$A$8:$M$142,6,FALSE),
IF($A104&lt;SDR26G!$A$61,VLOOKUP($A104,SDR26G!$A$8:$N$60,6,FALSE),
IF($A104&lt;Cements!$A$100,VLOOKUP($A104,Cements!$A$8:$Q$99,6,FALSE),
IF($A104&lt;ValveBox!$A$143,VLOOKUP($A104,ValveBox!$A$10:$O$142,6,FALSE),
IF($A104&lt;'ValveBox Components'!$A$165,VLOOKUP($A104,'ValveBox Components'!$A$10:$O$164,6,FALSE),
IF($A104&lt;Drainage!$A$92,VLOOKUP($A104,Drainage!$A$8:$M$91,6,FALSE),
IF($A104&lt;Nipples!$A$82,VLOOKUP($A104,Nipples!$A$9:$Q$81,6,FALSE),
IF($A104&lt;Manifold!$A$33,VLOOKUP($A104,Manifold!$A$9:$M$32,6,FALSE),
IF($A104&lt;FlexibleRepairCouplings!$A$13,VLOOKUP($A104,FlexibleRepairCouplings!$A$10:$M$12,6,FALSE),
IF($A104&lt;DuraFix!$A$15,VLOOKUP($A104,DuraFix!$A$9:$M$14,6,FALSE),
IF($A104&lt;'Compression Fittings'!$A$16,VLOOKUP($A104,'Compression Fittings'!$A$8:$M$15,6,FALSE),
IF($A104&lt;'Hose Fittings'!$A$30,VLOOKUP($A104,'Hose Fittings'!$A$8:$M$29,6,FALSE),
IF($A104&lt;'Swing Joints'!$A$496,VLOOKUP($A104,'Swing Joints'!$A$9:$M$495,6,FALSE),
IF($A104&lt;'Swing Joints Components'!$A$135,VLOOKUP($A104,'Swing Joints Components'!$A$9:$M$134,6,FALSE),
IF($A104&lt;Nonstandard!$A$42,VLOOKUP($A104,Nonstandard!$A$31:$J$41,7,FALSE),"")))))))))))))))))))))))))))),"")</f>
        <v/>
      </c>
      <c r="E104" s="429"/>
      <c r="F104" s="421" t="str">
        <f>IFERROR(IF($A104&lt;'DWV PVC'!$A$285,VLOOKUP($A104,'DWV PVC'!$A$8:$M$284,9,FALSE),
IF($A104&lt;'DWV ABS'!$A$117,VLOOKUP($A104,'DWV ABS'!$A$8:$M$116,9,FALSE),
IF($A104&lt;'PVC SCH40'!$A$376,VLOOKUP($A104,'PVC SCH40'!$A$8:$M$375,9,FALSE),
IF($A104&lt;'PVC SCH40 LD'!$A$22,VLOOKUP($A104,'PVC SCH40 LD'!$A$8:$M$21,9,FALSE),
IF($A104&lt;'Pool &amp; SPA Sweep Elbows'!$A$12,VLOOKUP($A104,'Pool &amp; SPA Sweep Elbows'!$A$8:$M$11,9,FALSE),
IF($A104&lt;'Pool &amp; SPA Pipe Extender'!$A$11,VLOOKUP($A104,'Pool &amp; SPA Pipe Extender'!$A$8:$M$10,9,FALSE),
IF($A104&lt;'PVC SCH80'!$A$250,VLOOKUP($A104,'PVC SCH80'!$A$8:$M$249,9,FALSE),
IF($A104&lt;'PVC SCH80 Flange'!$A$49,VLOOKUP($A104,'PVC SCH80 Flange'!$A$8:$M$48,9,FALSE),
IF($A104&lt;'PVC SCH80 LD Flange'!$A$17,VLOOKUP($A104,'PVC SCH80 LD Flange'!$A$8:$M$16,9,FALSE),
IF($A104&lt;CPVC!$A$100,VLOOKUP($A104,CPVC!$A$8:$M$99,9,FALSE),
IF($A104&lt;InsertFittings!$A$237,VLOOKUP($A104,InsertFittings!$A$11:$M$236,9,FALSE),
IF($A104&lt;Valves!$A$132,VLOOKUP($A104,Valves!$A$8:$M$131,9,FALSE),
IF($A104&lt;SDR35SW!$A$124,VLOOKUP($A104,SDR35SW!$A$8:$M$123,9,FALSE),
IF($A104&lt;SDR35G!$A$143,VLOOKUP($A104, SDR35G!$A$8:$M$142,9,FALSE),
IF($A104&lt;SDR26G!$A$61,VLOOKUP($A104,SDR26G!$A$8:$N$60,10,FALSE),
IF($A104&lt;Cements!$A$100,VLOOKUP($A104,Cements!$A$8:$Q$99,13,FALSE),
IF($A104&lt;ValveBox!$A$143,VLOOKUP($A104,ValveBox!$A$10:$O$142,11,FALSE),
IF($A104&lt;'ValveBox Components'!$A$165,VLOOKUP($A104,'ValveBox Components'!$A$10:$O$164,11,FALSE),
IF($A104&lt;Drainage!$A$92,VLOOKUP($A104,Drainage!$A$8:$M$91,9,FALSE),
IF($A104&lt;Nipples!$A$82,VLOOKUP($A104,Nipples!$A$9:$Q$81,13,FALSE),
IF($A104&lt;Manifold!$A$33,VLOOKUP($A104,Manifold!$A$9:$M$32,9,FALSE),
IF($A104&lt;FlexibleRepairCouplings!$A$13,VLOOKUP($A104,FlexibleRepairCouplings!$A$10:$M$12,9,FALSE),
IF($A104&lt;DuraFix!$A$15,VLOOKUP($A104,DuraFix!$A$9:$M$14,9,FALSE),
IF($A104&lt;'Compression Fittings'!$A$16,VLOOKUP($A104,'Compression Fittings'!$A$8:$M$15,9,FALSE),
IF($A104&lt;'Hose Fittings'!$A$30,VLOOKUP($A104,'Hose Fittings'!$A$8:$M$29,9,FALSE),
IF($A104&lt;'Swing Joints'!$A$496,VLOOKUP($A104,'Swing Joints'!$A$9:$M$495,9,FALSE),
IF($A104&lt;'Swing Joints Components'!$A$135,VLOOKUP($A104,'Swing Joints Components'!$A$9:$M$134,9,FALSE),
IF($A104&lt;Nonstandard!$A$42,VLOOKUP($A104,Nonstandard!$A$31:$J$41,8,FALSE),"")))))))))))))))))))))))))))),"")</f>
        <v/>
      </c>
      <c r="G104" s="422" t="str">
        <f>IFERROR(IF($A104&lt;'DWV PVC'!$A$285,VLOOKUP($A104,'DWV PVC'!$A$8:$M$284,11,FALSE),
IF($A104&lt;'DWV ABS'!$A$117,VLOOKUP($A104,'DWV ABS'!$A$8:$M$116,11,FALSE),
IF($A104&lt;'PVC SCH40'!$A$376,VLOOKUP($A104,'PVC SCH40'!$A$8:$M$375,11,FALSE),
IF($A104&lt;'PVC SCH40 LD'!$A$22,VLOOKUP($A104,'PVC SCH40 LD'!$A$8:$M$21,11,FALSE),
IF($A104&lt;'Pool &amp; SPA Sweep Elbows'!$A$12,VLOOKUP($A104,'Pool &amp; SPA Sweep Elbows'!$A$8:$M$11,11,FALSE),
IF($A104&lt;'Pool &amp; SPA Pipe Extender'!$A$11,VLOOKUP($A104,'Pool &amp; SPA Pipe Extender'!$A$8:$M$10,11,FALSE),
IF($A104&lt;'PVC SCH80'!$A$250,VLOOKUP($A104,'PVC SCH80'!$A$8:$M$249,11,FALSE),
IF($A104&lt;'PVC SCH80 Flange'!$A$49,VLOOKUP($A104,'PVC SCH80 Flange'!$A$8:$M$48,11,FALSE),
IF($A104&lt;'PVC SCH80 LD Flange'!$A$17,VLOOKUP($A104,'PVC SCH80 LD Flange'!$A$8:$M$16,11,FALSE),
IF($A104&lt;CPVC!$A$100,VLOOKUP($A104,CPVC!$A$8:$M$99,11,FALSE),
IF($A104&lt;InsertFittings!$A$237,VLOOKUP($A104,InsertFittings!$A$11:$M$236,11,FALSE),
IF($A104&lt;Valves!$A$132,VLOOKUP($A104,Valves!$A$8:$M$131,11,FALSE),
IF($A104&lt;SDR35SW!$A$124,VLOOKUP($A104,SDR35SW!$A$8:$M$123,11,FALSE),
IF($A104&lt;SDR35G!$A$143,VLOOKUP($A104, SDR35G!$A$8:$M$142,11,FALSE),
IF($A104&lt;SDR26G!$A$61,VLOOKUP($A104,SDR26G!$A$8:$N$60,12,FALSE),
IF($A104&lt;Cements!$A$100,VLOOKUP($A104,Cements!$A$8:$Q$99,15,FALSE),
IF($A104&lt;ValveBox!$A$143,VLOOKUP($A104,ValveBox!$A$10:$O$142,13,FALSE),
IF($A104&lt;'ValveBox Components'!$A$165,VLOOKUP($A104,'ValveBox Components'!$A$10:$O$164,13,FALSE),
IF($A104&lt;Drainage!$A$92,VLOOKUP($A104,Drainage!$A$8:$M$91,11,FALSE),
IF($A104&lt;Nipples!$A$82,VLOOKUP($A104,Nipples!$A$9:$Q$81,15,FALSE),
IF($A104&lt;Manifold!$A$33,VLOOKUP($A104,Manifold!$A$9:$M$32,11,FALSE),
IF($A104&lt;FlexibleRepairCouplings!$A$13,VLOOKUP($A104,FlexibleRepairCouplings!$A$10:$M$12,11,FALSE),
IF($A104&lt;DuraFix!$A$15,VLOOKUP($A104,DuraFix!$A$9:$M$14,11,FALSE),
IF($A104&lt;'Compression Fittings'!$A$16,VLOOKUP($A104,'Compression Fittings'!$A$8:$M$15,11,FALSE),
IF($A104&lt;'Hose Fittings'!$A$30,VLOOKUP($A104,'Hose Fittings'!$A$8:$M$29,11,FALSE),
IF($A104&lt;'Swing Joints'!$A$496,VLOOKUP($A104,'Swing Joints'!$A$9:$M$495,11,FALSE),
IF($A104&lt;'Swing Joints Components'!$A$135,VLOOKUP($A104,'Swing Joints Components'!$A$9:$M$134,11,FALSE),
IF($A104&lt;Nonstandard!$A$42,VLOOKUP($A104,Nonstandard!$A$31:$J$41,3,FALSE),"")))))))))))))))))))))))))))),"")</f>
        <v/>
      </c>
      <c r="H104" s="588" t="str">
        <f>IFERROR(IF($A104&lt;'DWV PVC'!$A$285,VLOOKUP($A104,'DWV PVC'!$A$8:$M$284,7,FALSE),
IF($A104&lt;'DWV ABS'!$A$117,VLOOKUP($A104,'DWV ABS'!$A$8:$M$116,7,FALSE),
IF($A104&lt;'PVC SCH40'!$A$376,VLOOKUP($A104,'PVC SCH40'!$A$8:$M$375,7,FALSE),
IF($A104&lt;'PVC SCH40 LD'!$A$22,VLOOKUP($A104,'PVC SCH40 LD'!$A$8:$M$21,7,FALSE),
IF($A104&lt;'Pool &amp; SPA Sweep Elbows'!$A$12,VLOOKUP($A104,'Pool &amp; SPA Sweep Elbows'!$A$8:$M$11,7,FALSE),
IF($A104&lt;'Pool &amp; SPA Pipe Extender'!$A$11,VLOOKUP($A104,'Pool &amp; SPA Pipe Extender'!$A$8:$M$10,7,FALSE),
IF($A104&lt;'PVC SCH80'!$A$250,VLOOKUP($A104,'PVC SCH80'!$A$8:$M$249,7,FALSE),
IF($A104&lt;'PVC SCH80 Flange'!$A$49,VLOOKUP($A104,'PVC SCH80 Flange'!$A$8:$M$48,7,FALSE),
IF($A104&lt;'PVC SCH80 LD Flange'!$A$17,VLOOKUP($A104,'PVC SCH80 LD Flange'!$A$8:$M$16,7,FALSE),
IF($A104&lt;CPVC!$A$100,VLOOKUP($A104,CPVC!$A$8:$M$99,7,FALSE),
IF($A104&lt;InsertFittings!$A$237,VLOOKUP($A104,InsertFittings!$A$11:$M$236,7,FALSE),
IF($A104&lt;Valves!$A$132,VLOOKUP($A104,Valves!$A$8:$M$131,7,FALSE),
IF($A104&lt;SDR35SW!$A$124,VLOOKUP($A104,SDR35SW!$A$8:$M$123,7,FALSE),
IF($A104&lt;SDR35G!$A$143,VLOOKUP($A104, SDR35G!$A$8:$M$142,7,FALSE),
IF($A104&lt;SDR26G!$A$61,VLOOKUP($A104,SDR26G!$A$8:$N$60,10,FALSE),
IF($A104&lt;Cements!$A$100,VLOOKUP($A104,Cements!$A$8:$Q$99,13,FALSE),
IF($A104&lt;ValveBox!$A$143,VLOOKUP($A104,ValveBox!$A$10:$O$142,11,FALSE),
IF($A104&lt;'ValveBox Components'!$A$165,VLOOKUP($A104,'ValveBox Components'!$A$10:$O$164,11,FALSE),
IF($A104&lt;Drainage!$A$92,VLOOKUP($A104,Drainage!$A$8:$M$91,7,FALSE),
IF($A104&lt;Nipples!$A$82,VLOOKUP($A104,Nipples!$A$9:$Q$81,13,FALSE),
IF($A104&lt;Manifold!$A$33,VLOOKUP($A104,Manifold!$A$9:$M$32,7,FALSE),
IF($A104&lt;FlexibleRepairCouplings!$A$13,VLOOKUP($A104,FlexibleRepairCouplings!$A$10:$M$12,7,FALSE),
IF($A104&lt;DuraFix!$A$15,VLOOKUP($A104,DuraFix!$A$9:$M$14,7,FALSE),
IF($A104&lt;'Compression Fittings'!$A$16,VLOOKUP($A104,'Compression Fittings'!$A$8:$M$15,7,FALSE),
IF($A104&lt;'Hose Fittings'!$A$30,VLOOKUP($A104,'Hose Fittings'!$A$8:$M$29,7,FALSE),
IF($A104&lt;'Swing Joints'!$A$496,VLOOKUP($A104,'Swing Joints'!$A$9:$M$495,7,FALSE),
IF($A104&lt;'Swing Joints Components'!$A$135,VLOOKUP($A104,'Swing Joints Components'!$A$9:$M$134,7,FALSE),
IF($A104&lt;Nonstandard!$A$42,VLOOKUP($A104,Nonstandard!$A$31:$J$41,3,FALSE),"")))))))))))))))))))))))))))),"")</f>
        <v/>
      </c>
      <c r="I104" s="589"/>
      <c r="J104" s="423" t="str">
        <f t="shared" si="3"/>
        <v/>
      </c>
      <c r="K104" s="424" t="str">
        <f>IFERROR(IF($A104&lt;'DWV PVC'!$A$285,VLOOKUP($A104,'DWV PVC'!$A$8:$M$284,10,FALSE),
IF($A104&lt;'DWV ABS'!$A$117,VLOOKUP($A104,'DWV ABS'!$A$8:$M$116,10,FALSE),
IF($A104&lt;'PVC SCH40'!$A$376,VLOOKUP($A104,'PVC SCH40'!$A$8:$M$375,10,FALSE),
IF($A104&lt;'PVC SCH40 LD'!$A$22,VLOOKUP($A104,'PVC SCH40 LD'!$A$8:$M$21,10,FALSE),
IF($A104&lt;'Pool &amp; SPA Sweep Elbows'!$A$12,VLOOKUP($A104,'Pool &amp; SPA Sweep Elbows'!$A$8:$M$11,10,FALSE),
IF($A104&lt;'Pool &amp; SPA Pipe Extender'!$A$11,VLOOKUP($A104,'Pool &amp; SPA Pipe Extender'!$A$8:$M$10,10,FALSE),
IF($A104&lt;'PVC SCH80'!$A$250,VLOOKUP($A104,'PVC SCH80'!$A$8:$M$249,10,FALSE),
IF($A104&lt;'PVC SCH80 Flange'!$A$49,VLOOKUP($A104,'PVC SCH80 Flange'!$A$8:$M$48,10,FALSE),
IF($A104&lt;'PVC SCH80 LD Flange'!$A$17,VLOOKUP($A104,'PVC SCH80 LD Flange'!$A$8:$M$16,10,FALSE),
IF($A104&lt;CPVC!$A$100,VLOOKUP($A104,CPVC!$A$8:$M$99,10,FALSE),
IF($A104&lt;InsertFittings!$A$237,VLOOKUP($A104,InsertFittings!$A$11:$M$236,10,FALSE),
IF($A104&lt;Valves!$A$132,VLOOKUP($A104,Valves!$A$8:$M$131,10,FALSE),
IF($A104&lt;SDR35SW!$A$124,VLOOKUP($A104,SDR35SW!$A$8:$M$123,10,FALSE),
IF($A104&lt;SDR35G!$A$143,VLOOKUP($A104, SDR35G!$A$8:$M$142,10,FALSE),
IF($A104&lt;SDR26G!$A$61,VLOOKUP($A104,SDR26G!$A$8:$N$60,11,FALSE),
IF($A104&lt;Cements!$A$100,VLOOKUP($A104,Cements!$A$8:$Q$99,14,FALSE),
IF($A104&lt;ValveBox!$A$143,VLOOKUP($A104,ValveBox!$A$10:$O$142,12,FALSE),
IF($A104&lt;'ValveBox Components'!$A$165,VLOOKUP($A104,'ValveBox Components'!$A$10:$O$164,12,FALSE),
IF($A104&lt;Drainage!$A$92,VLOOKUP($A104,Drainage!$A$8:$M$91,10,FALSE),
IF($A104&lt;Nipples!$A$82,VLOOKUP($A104,Nipples!$A$9:$Q$81,14,FALSE),
IF($A104&lt;Manifold!$A$33,VLOOKUP($A104,Manifold!$A$9:$M$32,10,FALSE),
IF($A104&lt;FlexibleRepairCouplings!$A$13,VLOOKUP($A104,FlexibleRepairCouplings!$A$10:$M$12,10,FALSE),
IF($A104&lt;DuraFix!$A$15,VLOOKUP($A104,DuraFix!$A$9:$M$14,10,FALSE),
IF($A104&lt;'Compression Fittings'!$A$16,VLOOKUP($A104,'Compression Fittings'!$A$8:$M$15,10,FALSE),
IF($A104&lt;'Hose Fittings'!$A$30,VLOOKUP($A104,'Hose Fittings'!$A$8:$M$29,10,FALSE),
IF($A104&lt;'Swing Joints'!$A$496,VLOOKUP($A104,'Swing Joints'!$A$9:$M$495,10,FALSE),
IF($A104&lt;'Swing Joints Components'!$A$135,VLOOKUP($A104,'Swing Joints Components'!$A$9:$M$134,10,FALSE),
IF($A104&lt;Nonstandard!$A$42,VLOOKUP($A104,Nonstandard!$A$31:$J$41,10,FALSE),"")))))))))))))))))))))))))))),"")</f>
        <v/>
      </c>
      <c r="L104" s="421" t="str">
        <f t="shared" si="2"/>
        <v>-</v>
      </c>
      <c r="M104" s="425"/>
    </row>
    <row r="105" spans="1:13" ht="15.75">
      <c r="A105" s="415">
        <v>73</v>
      </c>
      <c r="B105" s="415" t="str">
        <f>IFERROR(IF($A105&lt;'DWV PVC'!$A$285,VLOOKUP($A105,'DWV PVC'!$A$8:$M$284,4,FALSE),
IF($A105&lt;'DWV ABS'!$A$117,VLOOKUP($A105,'DWV ABS'!$A$8:$M$116,4,FALSE),
IF($A105&lt;'PVC SCH40'!$A$376,VLOOKUP($A105,'PVC SCH40'!$A$8:$M$375,4,FALSE),
IF($A105&lt;'PVC SCH40 LD'!$A$22,VLOOKUP($A105,'PVC SCH40 LD'!$A$8:$M$21,4,FALSE),
IF($A105&lt;'Pool &amp; SPA Sweep Elbows'!$A$12,VLOOKUP($A105,'Pool &amp; SPA Sweep Elbows'!$A$8:$M$11,4,FALSE),
IF($A105&lt;'Pool &amp; SPA Pipe Extender'!$A$11,VLOOKUP($A105,'Pool &amp; SPA Pipe Extender'!$A$8:$M$10,4,FALSE),
IF($A105&lt;'PVC SCH80'!$A$250,VLOOKUP($A105,'PVC SCH80'!$A$8:$M$249,4,FALSE),
IF($A105&lt;'PVC SCH80 Flange'!$A$49,VLOOKUP($A105,'PVC SCH80 Flange'!$A$8:$M$48,4,FALSE),
IF($A105&lt;'PVC SCH80 LD Flange'!$A$17,VLOOKUP($A105,'PVC SCH80 LD Flange'!$A$8:$M$16,4,FALSE),
IF($A105&lt;CPVC!$A$100,VLOOKUP($A105,CPVC!$A$8:$M$99,4,FALSE),
IF($A105&lt;InsertFittings!$A$237,VLOOKUP($A105,InsertFittings!$A$11:$M$236,4,FALSE),
IF($A105&lt;Valves!$A$132,VLOOKUP($A105,Valves!$A$8:$M$131,4,FALSE),
IF($A105&lt;SDR35SW!$A$124,VLOOKUP($A105,SDR35SW!$A$8:$M$123,4,FALSE),
IF($A105&lt;SDR35G!$A$143,VLOOKUP($A105, SDR35G!$A$8:$M$142,4,FALSE),
IF($A105&lt;SDR26G!$A$61,VLOOKUP($A105,SDR26G!$A$8:$N$60,4,FALSE),
IF($A105&lt;Cements!$A$100,VLOOKUP($A105,Cements!$A$8:$Q$99,4,FALSE),
IF($A105&lt;ValveBox!$A$143,VLOOKUP($A105,ValveBox!$A$10:$O$142,4,FALSE),
IF($A105&lt;'ValveBox Components'!$A$165,VLOOKUP($A105,'ValveBox Components'!$A$10:$O$164,4,FALSE),
IF($A105&lt;Drainage!$A$92,VLOOKUP($A105,Drainage!$A$8:$M$91,4,FALSE),
IF($A105&lt;Nipples!$A$82,VLOOKUP($A105,Nipples!$A$9:$Q$81,4,FALSE),
IF($A105&lt;Manifold!$A$33,VLOOKUP($A105,Manifold!$A$9:$M$32,4,FALSE),
IF($A105&lt;FlexibleRepairCouplings!$A$13,VLOOKUP($A105,FlexibleRepairCouplings!$A$10:$M$12,4,FALSE),
IF($A105&lt;DuraFix!$A$15,VLOOKUP($A105,DuraFix!$A$9:$M$14,4,FALSE),
IF($A105&lt;'Compression Fittings'!$A$16,VLOOKUP($A105,'Compression Fittings'!$A$8:$M$15,4,FALSE),
IF($A105&lt;'Hose Fittings'!$A$30,VLOOKUP($A105,'Hose Fittings'!$A$8:$M$29,4,FALSE),
IF($A105&lt;'Swing Joints'!$A$496,VLOOKUP($A105,'Swing Joints'!$A$9:$M$495,4,FALSE),
IF($A105&lt;'Swing Joints Components'!$A$135,VLOOKUP($A105,'Swing Joints Components'!$A$9:$M$134,4,FALSE),
IF($A105&lt;Nonstandard!$A$42,VLOOKUP($A105,Nonstandard!$A$31:$J$41,5,FALSE),"")))))))))))))))))))))))))))),"")</f>
        <v/>
      </c>
      <c r="C105" s="415" t="str">
        <f>IFERROR(IF($A105&lt;'DWV PVC'!$A$285,VLOOKUP($A105,'DWV PVC'!$A$8:$M$284,5,FALSE),
IF($A105&lt;'DWV ABS'!$A$117,VLOOKUP($A105,'DWV ABS'!$A$8:$M$116,5,FALSE),
IF($A105&lt;'PVC SCH40'!$A$376,VLOOKUP($A105,'PVC SCH40'!$A$8:$M$375,5,FALSE),
IF($A105&lt;'PVC SCH40 LD'!$A$22,VLOOKUP($A105,'PVC SCH40 LD'!$A$8:$M$21,5,FALSE),
IF($A105&lt;'Pool &amp; SPA Sweep Elbows'!$A$12,VLOOKUP($A105,'Pool &amp; SPA Sweep Elbows'!$A$8:$M$11,5,FALSE),
IF($A105&lt;'Pool &amp; SPA Pipe Extender'!$A$11,VLOOKUP($A105,'Pool &amp; SPA Pipe Extender'!$A$8:$M$10,5,FALSE),
IF($A105&lt;'PVC SCH80'!$A$250,VLOOKUP($A105,'PVC SCH80'!$A$8:$M$249,5,FALSE),
IF($A105&lt;'PVC SCH80 Flange'!$A$49,VLOOKUP($A105,'PVC SCH80 Flange'!$A$8:$M$48,5,FALSE),
IF($A105&lt;'PVC SCH80 LD Flange'!$A$17,VLOOKUP($A105,'PVC SCH80 LD Flange'!$A$8:$M$16,5,FALSE),
IF($A105&lt;CPVC!$A$100,VLOOKUP($A105,CPVC!$A$8:$M$99,5,FALSE),
IF($A105&lt;InsertFittings!$A$237,VLOOKUP($A105,InsertFittings!$A$11:$M$236,5,FALSE),
IF($A105&lt;Valves!$A$132,VLOOKUP($A105,Valves!$A$8:$M$131,5,FALSE),
IF($A105&lt;SDR35SW!$A$124,VLOOKUP($A105,SDR35SW!$A$8:$M$123,5,FALSE),
IF($A105&lt;SDR35G!$A$143,VLOOKUP($A105, SDR35G!$A$8:$M$142,5,FALSE),
IF($A105&lt;SDR26G!$A$61,VLOOKUP($A105,SDR26G!$A$8:$N$60,5,FALSE),
IF($A105&lt;Cements!$A$100,VLOOKUP($A105,Cements!$A$8:$Q$99,5,FALSE),
IF($A105&lt;ValveBox!$A$143,VLOOKUP($A105,ValveBox!$A$10:$O$142,5,FALSE),
IF($A105&lt;'ValveBox Components'!$A$165,VLOOKUP($A105,'ValveBox Components'!$A$10:$O$164,5,FALSE),
IF($A105&lt;Drainage!$A$92,VLOOKUP($A105,Drainage!$A$8:$M$91,5,FALSE),
IF($A105&lt;Nipples!$A$82,VLOOKUP($A105,Nipples!$A$9:$Q$81,5,FALSE),
IF($A105&lt;Manifold!$A$33,VLOOKUP($A105,Manifold!$A$9:$M$32,5,FALSE),
IF($A105&lt;FlexibleRepairCouplings!$A$13,VLOOKUP($A105,FlexibleRepairCouplings!$A$10:$M$12,5,FALSE),
IF($A105&lt;DuraFix!$A$15,VLOOKUP($A105,DuraFix!$A$9:$M$14,5,FALSE),
IF($A105&lt;'Compression Fittings'!$A$16,VLOOKUP($A105,'Compression Fittings'!$A$8:$M$15,5,FALSE),
IF($A105&lt;'Hose Fittings'!$A$30,VLOOKUP($A105,'Hose Fittings'!$A$8:$M$29,5,FALSE),
IF($A105&lt;'Swing Joints'!$A$496,VLOOKUP($A105,'Swing Joints'!$A$9:$M$495,5,FALSE),
IF($A105&lt;'Swing Joints Components'!$A$135,VLOOKUP($A105,'Swing Joints Components'!$A$9:$M$134,5,FALSE),
IF($A105&lt;Nonstandard!$A$42,VLOOKUP($A105,Nonstandard!$A$31:$J$41,6,FALSE),"")))))))))))))))))))))))))))),"")</f>
        <v/>
      </c>
      <c r="D105" s="426" t="str">
        <f>IFERROR(IF($A105&lt;'DWV PVC'!$A$285,VLOOKUP($A105,'DWV PVC'!$A$8:$M$284,6,FALSE),
IF($A105&lt;'DWV ABS'!$A$117,VLOOKUP($A105,'DWV ABS'!$A$8:$M$116,6,FALSE),
IF($A105&lt;'PVC SCH40'!$A$376,VLOOKUP($A105,'PVC SCH40'!$A$8:$M$375,6,FALSE),
IF($A105&lt;'PVC SCH40 LD'!$A$22,VLOOKUP($A105,'PVC SCH40 LD'!$A$8:$M$21,6,FALSE),
IF($A105&lt;'Pool &amp; SPA Sweep Elbows'!$A$12,VLOOKUP($A105,'Pool &amp; SPA Sweep Elbows'!$A$8:$M$11,6,FALSE),
IF($A105&lt;'Pool &amp; SPA Pipe Extender'!$A$11,VLOOKUP($A105,'Pool &amp; SPA Pipe Extender'!$A$8:$M$10,6,FALSE),
IF($A105&lt;'PVC SCH80'!$A$250,VLOOKUP($A105,'PVC SCH80'!$A$8:$M$249,6,FALSE),
IF($A105&lt;'PVC SCH80 Flange'!$A$49,VLOOKUP($A105,'PVC SCH80 Flange'!$A$8:$M$48,6,FALSE),
IF($A105&lt;'PVC SCH80 LD Flange'!$A$17,VLOOKUP($A105,'PVC SCH80 LD Flange'!$A$8:$M$16,6,FALSE),
IF($A105&lt;CPVC!$A$100,VLOOKUP($A105,CPVC!$A$8:$M$99,6,FALSE),
IF($A105&lt;InsertFittings!$A$237,VLOOKUP($A105,InsertFittings!$A$11:$M$236,6,FALSE),
IF($A105&lt;Valves!$A$132,VLOOKUP($A105,Valves!$A$8:$M$131,6,FALSE),
IF($A105&lt;SDR35SW!$A$124,VLOOKUP($A105,SDR35SW!$A$8:$M$123,6,FALSE),
IF($A105&lt;SDR35G!$A$143,VLOOKUP($A105, SDR35G!$A$8:$M$142,6,FALSE),
IF($A105&lt;SDR26G!$A$61,VLOOKUP($A105,SDR26G!$A$8:$N$60,6,FALSE),
IF($A105&lt;Cements!$A$100,VLOOKUP($A105,Cements!$A$8:$Q$99,6,FALSE),
IF($A105&lt;ValveBox!$A$143,VLOOKUP($A105,ValveBox!$A$10:$O$142,6,FALSE),
IF($A105&lt;'ValveBox Components'!$A$165,VLOOKUP($A105,'ValveBox Components'!$A$10:$O$164,6,FALSE),
IF($A105&lt;Drainage!$A$92,VLOOKUP($A105,Drainage!$A$8:$M$91,6,FALSE),
IF($A105&lt;Nipples!$A$82,VLOOKUP($A105,Nipples!$A$9:$Q$81,6,FALSE),
IF($A105&lt;Manifold!$A$33,VLOOKUP($A105,Manifold!$A$9:$M$32,6,FALSE),
IF($A105&lt;FlexibleRepairCouplings!$A$13,VLOOKUP($A105,FlexibleRepairCouplings!$A$10:$M$12,6,FALSE),
IF($A105&lt;DuraFix!$A$15,VLOOKUP($A105,DuraFix!$A$9:$M$14,6,FALSE),
IF($A105&lt;'Compression Fittings'!$A$16,VLOOKUP($A105,'Compression Fittings'!$A$8:$M$15,6,FALSE),
IF($A105&lt;'Hose Fittings'!$A$30,VLOOKUP($A105,'Hose Fittings'!$A$8:$M$29,6,FALSE),
IF($A105&lt;'Swing Joints'!$A$496,VLOOKUP($A105,'Swing Joints'!$A$9:$M$495,6,FALSE),
IF($A105&lt;'Swing Joints Components'!$A$135,VLOOKUP($A105,'Swing Joints Components'!$A$9:$M$134,6,FALSE),
IF($A105&lt;Nonstandard!$A$42,VLOOKUP($A105,Nonstandard!$A$31:$J$41,7,FALSE),"")))))))))))))))))))))))))))),"")</f>
        <v/>
      </c>
      <c r="E105" s="427"/>
      <c r="F105" s="418" t="str">
        <f>IFERROR(IF($A105&lt;'DWV PVC'!$A$285,VLOOKUP($A105,'DWV PVC'!$A$8:$M$284,9,FALSE),
IF($A105&lt;'DWV ABS'!$A$117,VLOOKUP($A105,'DWV ABS'!$A$8:$M$116,9,FALSE),
IF($A105&lt;'PVC SCH40'!$A$376,VLOOKUP($A105,'PVC SCH40'!$A$8:$M$375,9,FALSE),
IF($A105&lt;'PVC SCH40 LD'!$A$22,VLOOKUP($A105,'PVC SCH40 LD'!$A$8:$M$21,9,FALSE),
IF($A105&lt;'Pool &amp; SPA Sweep Elbows'!$A$12,VLOOKUP($A105,'Pool &amp; SPA Sweep Elbows'!$A$8:$M$11,9,FALSE),
IF($A105&lt;'Pool &amp; SPA Pipe Extender'!$A$11,VLOOKUP($A105,'Pool &amp; SPA Pipe Extender'!$A$8:$M$10,9,FALSE),
IF($A105&lt;'PVC SCH80'!$A$250,VLOOKUP($A105,'PVC SCH80'!$A$8:$M$249,9,FALSE),
IF($A105&lt;'PVC SCH80 Flange'!$A$49,VLOOKUP($A105,'PVC SCH80 Flange'!$A$8:$M$48,9,FALSE),
IF($A105&lt;'PVC SCH80 LD Flange'!$A$17,VLOOKUP($A105,'PVC SCH80 LD Flange'!$A$8:$M$16,9,FALSE),
IF($A105&lt;CPVC!$A$100,VLOOKUP($A105,CPVC!$A$8:$M$99,9,FALSE),
IF($A105&lt;InsertFittings!$A$237,VLOOKUP($A105,InsertFittings!$A$11:$M$236,9,FALSE),
IF($A105&lt;Valves!$A$132,VLOOKUP($A105,Valves!$A$8:$M$131,9,FALSE),
IF($A105&lt;SDR35SW!$A$124,VLOOKUP($A105,SDR35SW!$A$8:$M$123,9,FALSE),
IF($A105&lt;SDR35G!$A$143,VLOOKUP($A105, SDR35G!$A$8:$M$142,9,FALSE),
IF($A105&lt;SDR26G!$A$61,VLOOKUP($A105,SDR26G!$A$8:$N$60,10,FALSE),
IF($A105&lt;Cements!$A$100,VLOOKUP($A105,Cements!$A$8:$Q$99,13,FALSE),
IF($A105&lt;ValveBox!$A$143,VLOOKUP($A105,ValveBox!$A$10:$O$142,11,FALSE),
IF($A105&lt;'ValveBox Components'!$A$165,VLOOKUP($A105,'ValveBox Components'!$A$10:$O$164,11,FALSE),
IF($A105&lt;Drainage!$A$92,VLOOKUP($A105,Drainage!$A$8:$M$91,9,FALSE),
IF($A105&lt;Nipples!$A$82,VLOOKUP($A105,Nipples!$A$9:$Q$81,13,FALSE),
IF($A105&lt;Manifold!$A$33,VLOOKUP($A105,Manifold!$A$9:$M$32,9,FALSE),
IF($A105&lt;FlexibleRepairCouplings!$A$13,VLOOKUP($A105,FlexibleRepairCouplings!$A$10:$M$12,9,FALSE),
IF($A105&lt;DuraFix!$A$15,VLOOKUP($A105,DuraFix!$A$9:$M$14,9,FALSE),
IF($A105&lt;'Compression Fittings'!$A$16,VLOOKUP($A105,'Compression Fittings'!$A$8:$M$15,9,FALSE),
IF($A105&lt;'Hose Fittings'!$A$30,VLOOKUP($A105,'Hose Fittings'!$A$8:$M$29,9,FALSE),
IF($A105&lt;'Swing Joints'!$A$496,VLOOKUP($A105,'Swing Joints'!$A$9:$M$495,9,FALSE),
IF($A105&lt;'Swing Joints Components'!$A$135,VLOOKUP($A105,'Swing Joints Components'!$A$9:$M$134,9,FALSE),
IF($A105&lt;Nonstandard!$A$42,VLOOKUP($A105,Nonstandard!$A$31:$J$41,8,FALSE),"")))))))))))))))))))))))))))),"")</f>
        <v/>
      </c>
      <c r="G105" s="416" t="str">
        <f>IFERROR(IF($A105&lt;'DWV PVC'!$A$285,VLOOKUP($A105,'DWV PVC'!$A$8:$M$284,11,FALSE),
IF($A105&lt;'DWV ABS'!$A$117,VLOOKUP($A105,'DWV ABS'!$A$8:$M$116,11,FALSE),
IF($A105&lt;'PVC SCH40'!$A$376,VLOOKUP($A105,'PVC SCH40'!$A$8:$M$375,11,FALSE),
IF($A105&lt;'PVC SCH40 LD'!$A$22,VLOOKUP($A105,'PVC SCH40 LD'!$A$8:$M$21,11,FALSE),
IF($A105&lt;'Pool &amp; SPA Sweep Elbows'!$A$12,VLOOKUP($A105,'Pool &amp; SPA Sweep Elbows'!$A$8:$M$11,11,FALSE),
IF($A105&lt;'Pool &amp; SPA Pipe Extender'!$A$11,VLOOKUP($A105,'Pool &amp; SPA Pipe Extender'!$A$8:$M$10,11,FALSE),
IF($A105&lt;'PVC SCH80'!$A$250,VLOOKUP($A105,'PVC SCH80'!$A$8:$M$249,11,FALSE),
IF($A105&lt;'PVC SCH80 Flange'!$A$49,VLOOKUP($A105,'PVC SCH80 Flange'!$A$8:$M$48,11,FALSE),
IF($A105&lt;'PVC SCH80 LD Flange'!$A$17,VLOOKUP($A105,'PVC SCH80 LD Flange'!$A$8:$M$16,11,FALSE),
IF($A105&lt;CPVC!$A$100,VLOOKUP($A105,CPVC!$A$8:$M$99,11,FALSE),
IF($A105&lt;InsertFittings!$A$237,VLOOKUP($A105,InsertFittings!$A$11:$M$236,11,FALSE),
IF($A105&lt;Valves!$A$132,VLOOKUP($A105,Valves!$A$8:$M$131,11,FALSE),
IF($A105&lt;SDR35SW!$A$124,VLOOKUP($A105,SDR35SW!$A$8:$M$123,11,FALSE),
IF($A105&lt;SDR35G!$A$143,VLOOKUP($A105, SDR35G!$A$8:$M$142,11,FALSE),
IF($A105&lt;SDR26G!$A$61,VLOOKUP($A105,SDR26G!$A$8:$N$60,12,FALSE),
IF($A105&lt;Cements!$A$100,VLOOKUP($A105,Cements!$A$8:$Q$99,15,FALSE),
IF($A105&lt;ValveBox!$A$143,VLOOKUP($A105,ValveBox!$A$10:$O$142,13,FALSE),
IF($A105&lt;'ValveBox Components'!$A$165,VLOOKUP($A105,'ValveBox Components'!$A$10:$O$164,13,FALSE),
IF($A105&lt;Drainage!$A$92,VLOOKUP($A105,Drainage!$A$8:$M$91,11,FALSE),
IF($A105&lt;Nipples!$A$82,VLOOKUP($A105,Nipples!$A$9:$Q$81,15,FALSE),
IF($A105&lt;Manifold!$A$33,VLOOKUP($A105,Manifold!$A$9:$M$32,11,FALSE),
IF($A105&lt;FlexibleRepairCouplings!$A$13,VLOOKUP($A105,FlexibleRepairCouplings!$A$10:$M$12,11,FALSE),
IF($A105&lt;DuraFix!$A$15,VLOOKUP($A105,DuraFix!$A$9:$M$14,11,FALSE),
IF($A105&lt;'Compression Fittings'!$A$16,VLOOKUP($A105,'Compression Fittings'!$A$8:$M$15,11,FALSE),
IF($A105&lt;'Hose Fittings'!$A$30,VLOOKUP($A105,'Hose Fittings'!$A$8:$M$29,11,FALSE),
IF($A105&lt;'Swing Joints'!$A$496,VLOOKUP($A105,'Swing Joints'!$A$9:$M$495,11,FALSE),
IF($A105&lt;'Swing Joints Components'!$A$135,VLOOKUP($A105,'Swing Joints Components'!$A$9:$M$134,11,FALSE),
IF($A105&lt;Nonstandard!$A$42,VLOOKUP($A105,Nonstandard!$A$31:$J$41,3,FALSE),"")))))))))))))))))))))))))))),"")</f>
        <v/>
      </c>
      <c r="H105" s="586" t="str">
        <f>IFERROR(IF($A105&lt;'DWV PVC'!$A$285,VLOOKUP($A105,'DWV PVC'!$A$8:$M$284,7,FALSE),
IF($A105&lt;'DWV ABS'!$A$117,VLOOKUP($A105,'DWV ABS'!$A$8:$M$116,7,FALSE),
IF($A105&lt;'PVC SCH40'!$A$376,VLOOKUP($A105,'PVC SCH40'!$A$8:$M$375,7,FALSE),
IF($A105&lt;'PVC SCH40 LD'!$A$22,VLOOKUP($A105,'PVC SCH40 LD'!$A$8:$M$21,7,FALSE),
IF($A105&lt;'Pool &amp; SPA Sweep Elbows'!$A$12,VLOOKUP($A105,'Pool &amp; SPA Sweep Elbows'!$A$8:$M$11,7,FALSE),
IF($A105&lt;'Pool &amp; SPA Pipe Extender'!$A$11,VLOOKUP($A105,'Pool &amp; SPA Pipe Extender'!$A$8:$M$10,7,FALSE),
IF($A105&lt;'PVC SCH80'!$A$250,VLOOKUP($A105,'PVC SCH80'!$A$8:$M$249,7,FALSE),
IF($A105&lt;'PVC SCH80 Flange'!$A$49,VLOOKUP($A105,'PVC SCH80 Flange'!$A$8:$M$48,7,FALSE),
IF($A105&lt;'PVC SCH80 LD Flange'!$A$17,VLOOKUP($A105,'PVC SCH80 LD Flange'!$A$8:$M$16,7,FALSE),
IF($A105&lt;CPVC!$A$100,VLOOKUP($A105,CPVC!$A$8:$M$99,7,FALSE),
IF($A105&lt;InsertFittings!$A$237,VLOOKUP($A105,InsertFittings!$A$11:$M$236,7,FALSE),
IF($A105&lt;Valves!$A$132,VLOOKUP($A105,Valves!$A$8:$M$131,7,FALSE),
IF($A105&lt;SDR35SW!$A$124,VLOOKUP($A105,SDR35SW!$A$8:$M$123,7,FALSE),
IF($A105&lt;SDR35G!$A$143,VLOOKUP($A105, SDR35G!$A$8:$M$142,7,FALSE),
IF($A105&lt;SDR26G!$A$61,VLOOKUP($A105,SDR26G!$A$8:$N$60,10,FALSE),
IF($A105&lt;Cements!$A$100,VLOOKUP($A105,Cements!$A$8:$Q$99,13,FALSE),
IF($A105&lt;ValveBox!$A$143,VLOOKUP($A105,ValveBox!$A$10:$O$142,11,FALSE),
IF($A105&lt;'ValveBox Components'!$A$165,VLOOKUP($A105,'ValveBox Components'!$A$10:$O$164,11,FALSE),
IF($A105&lt;Drainage!$A$92,VLOOKUP($A105,Drainage!$A$8:$M$91,7,FALSE),
IF($A105&lt;Nipples!$A$82,VLOOKUP($A105,Nipples!$A$9:$Q$81,13,FALSE),
IF($A105&lt;Manifold!$A$33,VLOOKUP($A105,Manifold!$A$9:$M$32,7,FALSE),
IF($A105&lt;FlexibleRepairCouplings!$A$13,VLOOKUP($A105,FlexibleRepairCouplings!$A$10:$M$12,7,FALSE),
IF($A105&lt;DuraFix!$A$15,VLOOKUP($A105,DuraFix!$A$9:$M$14,7,FALSE),
IF($A105&lt;'Compression Fittings'!$A$16,VLOOKUP($A105,'Compression Fittings'!$A$8:$M$15,7,FALSE),
IF($A105&lt;'Hose Fittings'!$A$30,VLOOKUP($A105,'Hose Fittings'!$A$8:$M$29,7,FALSE),
IF($A105&lt;'Swing Joints'!$A$496,VLOOKUP($A105,'Swing Joints'!$A$9:$M$495,7,FALSE),
IF($A105&lt;'Swing Joints Components'!$A$135,VLOOKUP($A105,'Swing Joints Components'!$A$9:$M$134,7,FALSE),
IF($A105&lt;Nonstandard!$A$42,VLOOKUP($A105,Nonstandard!$A$31:$J$41,3,FALSE),"")))))))))))))))))))))))))))),"")</f>
        <v/>
      </c>
      <c r="I105" s="587"/>
      <c r="J105" s="383" t="str">
        <f t="shared" si="3"/>
        <v/>
      </c>
      <c r="K105" s="417" t="str">
        <f>IFERROR(IF($A105&lt;'DWV PVC'!$A$285,VLOOKUP($A105,'DWV PVC'!$A$8:$M$284,10,FALSE),
IF($A105&lt;'DWV ABS'!$A$117,VLOOKUP($A105,'DWV ABS'!$A$8:$M$116,10,FALSE),
IF($A105&lt;'PVC SCH40'!$A$376,VLOOKUP($A105,'PVC SCH40'!$A$8:$M$375,10,FALSE),
IF($A105&lt;'PVC SCH40 LD'!$A$22,VLOOKUP($A105,'PVC SCH40 LD'!$A$8:$M$21,10,FALSE),
IF($A105&lt;'Pool &amp; SPA Sweep Elbows'!$A$12,VLOOKUP($A105,'Pool &amp; SPA Sweep Elbows'!$A$8:$M$11,10,FALSE),
IF($A105&lt;'Pool &amp; SPA Pipe Extender'!$A$11,VLOOKUP($A105,'Pool &amp; SPA Pipe Extender'!$A$8:$M$10,10,FALSE),
IF($A105&lt;'PVC SCH80'!$A$250,VLOOKUP($A105,'PVC SCH80'!$A$8:$M$249,10,FALSE),
IF($A105&lt;'PVC SCH80 Flange'!$A$49,VLOOKUP($A105,'PVC SCH80 Flange'!$A$8:$M$48,10,FALSE),
IF($A105&lt;'PVC SCH80 LD Flange'!$A$17,VLOOKUP($A105,'PVC SCH80 LD Flange'!$A$8:$M$16,10,FALSE),
IF($A105&lt;CPVC!$A$100,VLOOKUP($A105,CPVC!$A$8:$M$99,10,FALSE),
IF($A105&lt;InsertFittings!$A$237,VLOOKUP($A105,InsertFittings!$A$11:$M$236,10,FALSE),
IF($A105&lt;Valves!$A$132,VLOOKUP($A105,Valves!$A$8:$M$131,10,FALSE),
IF($A105&lt;SDR35SW!$A$124,VLOOKUP($A105,SDR35SW!$A$8:$M$123,10,FALSE),
IF($A105&lt;SDR35G!$A$143,VLOOKUP($A105, SDR35G!$A$8:$M$142,10,FALSE),
IF($A105&lt;SDR26G!$A$61,VLOOKUP($A105,SDR26G!$A$8:$N$60,11,FALSE),
IF($A105&lt;Cements!$A$100,VLOOKUP($A105,Cements!$A$8:$Q$99,14,FALSE),
IF($A105&lt;ValveBox!$A$143,VLOOKUP($A105,ValveBox!$A$10:$O$142,12,FALSE),
IF($A105&lt;'ValveBox Components'!$A$165,VLOOKUP($A105,'ValveBox Components'!$A$10:$O$164,12,FALSE),
IF($A105&lt;Drainage!$A$92,VLOOKUP($A105,Drainage!$A$8:$M$91,10,FALSE),
IF($A105&lt;Nipples!$A$82,VLOOKUP($A105,Nipples!$A$9:$Q$81,14,FALSE),
IF($A105&lt;Manifold!$A$33,VLOOKUP($A105,Manifold!$A$9:$M$32,10,FALSE),
IF($A105&lt;FlexibleRepairCouplings!$A$13,VLOOKUP($A105,FlexibleRepairCouplings!$A$10:$M$12,10,FALSE),
IF($A105&lt;DuraFix!$A$15,VLOOKUP($A105,DuraFix!$A$9:$M$14,10,FALSE),
IF($A105&lt;'Compression Fittings'!$A$16,VLOOKUP($A105,'Compression Fittings'!$A$8:$M$15,10,FALSE),
IF($A105&lt;'Hose Fittings'!$A$30,VLOOKUP($A105,'Hose Fittings'!$A$8:$M$29,10,FALSE),
IF($A105&lt;'Swing Joints'!$A$496,VLOOKUP($A105,'Swing Joints'!$A$9:$M$495,10,FALSE),
IF($A105&lt;'Swing Joints Components'!$A$135,VLOOKUP($A105,'Swing Joints Components'!$A$9:$M$134,10,FALSE),
IF($A105&lt;Nonstandard!$A$42,VLOOKUP($A105,Nonstandard!$A$31:$J$41,10,FALSE),"")))))))))))))))))))))))))))),"")</f>
        <v/>
      </c>
      <c r="L105" s="418" t="str">
        <f t="shared" si="2"/>
        <v>-</v>
      </c>
      <c r="M105" s="419"/>
    </row>
    <row r="106" spans="1:13" ht="15.75">
      <c r="A106" s="420">
        <v>74</v>
      </c>
      <c r="B106" s="420" t="str">
        <f>IFERROR(IF($A106&lt;'DWV PVC'!$A$285,VLOOKUP($A106,'DWV PVC'!$A$8:$M$284,4,FALSE),
IF($A106&lt;'DWV ABS'!$A$117,VLOOKUP($A106,'DWV ABS'!$A$8:$M$116,4,FALSE),
IF($A106&lt;'PVC SCH40'!$A$376,VLOOKUP($A106,'PVC SCH40'!$A$8:$M$375,4,FALSE),
IF($A106&lt;'PVC SCH40 LD'!$A$22,VLOOKUP($A106,'PVC SCH40 LD'!$A$8:$M$21,4,FALSE),
IF($A106&lt;'Pool &amp; SPA Sweep Elbows'!$A$12,VLOOKUP($A106,'Pool &amp; SPA Sweep Elbows'!$A$8:$M$11,4,FALSE),
IF($A106&lt;'Pool &amp; SPA Pipe Extender'!$A$11,VLOOKUP($A106,'Pool &amp; SPA Pipe Extender'!$A$8:$M$10,4,FALSE),
IF($A106&lt;'PVC SCH80'!$A$250,VLOOKUP($A106,'PVC SCH80'!$A$8:$M$249,4,FALSE),
IF($A106&lt;'PVC SCH80 Flange'!$A$49,VLOOKUP($A106,'PVC SCH80 Flange'!$A$8:$M$48,4,FALSE),
IF($A106&lt;'PVC SCH80 LD Flange'!$A$17,VLOOKUP($A106,'PVC SCH80 LD Flange'!$A$8:$M$16,4,FALSE),
IF($A106&lt;CPVC!$A$100,VLOOKUP($A106,CPVC!$A$8:$M$99,4,FALSE),
IF($A106&lt;InsertFittings!$A$237,VLOOKUP($A106,InsertFittings!$A$11:$M$236,4,FALSE),
IF($A106&lt;Valves!$A$132,VLOOKUP($A106,Valves!$A$8:$M$131,4,FALSE),
IF($A106&lt;SDR35SW!$A$124,VLOOKUP($A106,SDR35SW!$A$8:$M$123,4,FALSE),
IF($A106&lt;SDR35G!$A$143,VLOOKUP($A106, SDR35G!$A$8:$M$142,4,FALSE),
IF($A106&lt;SDR26G!$A$61,VLOOKUP($A106,SDR26G!$A$8:$N$60,4,FALSE),
IF($A106&lt;Cements!$A$100,VLOOKUP($A106,Cements!$A$8:$Q$99,4,FALSE),
IF($A106&lt;ValveBox!$A$143,VLOOKUP($A106,ValveBox!$A$10:$O$142,4,FALSE),
IF($A106&lt;'ValveBox Components'!$A$165,VLOOKUP($A106,'ValveBox Components'!$A$10:$O$164,4,FALSE),
IF($A106&lt;Drainage!$A$92,VLOOKUP($A106,Drainage!$A$8:$M$91,4,FALSE),
IF($A106&lt;Nipples!$A$82,VLOOKUP($A106,Nipples!$A$9:$Q$81,4,FALSE),
IF($A106&lt;Manifold!$A$33,VLOOKUP($A106,Manifold!$A$9:$M$32,4,FALSE),
IF($A106&lt;FlexibleRepairCouplings!$A$13,VLOOKUP($A106,FlexibleRepairCouplings!$A$10:$M$12,4,FALSE),
IF($A106&lt;DuraFix!$A$15,VLOOKUP($A106,DuraFix!$A$9:$M$14,4,FALSE),
IF($A106&lt;'Compression Fittings'!$A$16,VLOOKUP($A106,'Compression Fittings'!$A$8:$M$15,4,FALSE),
IF($A106&lt;'Hose Fittings'!$A$30,VLOOKUP($A106,'Hose Fittings'!$A$8:$M$29,4,FALSE),
IF($A106&lt;'Swing Joints'!$A$496,VLOOKUP($A106,'Swing Joints'!$A$9:$M$495,4,FALSE),
IF($A106&lt;'Swing Joints Components'!$A$135,VLOOKUP($A106,'Swing Joints Components'!$A$9:$M$134,4,FALSE),
IF($A106&lt;Nonstandard!$A$42,VLOOKUP($A106,Nonstandard!$A$31:$J$41,5,FALSE),"")))))))))))))))))))))))))))),"")</f>
        <v/>
      </c>
      <c r="C106" s="420" t="str">
        <f>IFERROR(IF($A106&lt;'DWV PVC'!$A$285,VLOOKUP($A106,'DWV PVC'!$A$8:$M$284,5,FALSE),
IF($A106&lt;'DWV ABS'!$A$117,VLOOKUP($A106,'DWV ABS'!$A$8:$M$116,5,FALSE),
IF($A106&lt;'PVC SCH40'!$A$376,VLOOKUP($A106,'PVC SCH40'!$A$8:$M$375,5,FALSE),
IF($A106&lt;'PVC SCH40 LD'!$A$22,VLOOKUP($A106,'PVC SCH40 LD'!$A$8:$M$21,5,FALSE),
IF($A106&lt;'Pool &amp; SPA Sweep Elbows'!$A$12,VLOOKUP($A106,'Pool &amp; SPA Sweep Elbows'!$A$8:$M$11,5,FALSE),
IF($A106&lt;'Pool &amp; SPA Pipe Extender'!$A$11,VLOOKUP($A106,'Pool &amp; SPA Pipe Extender'!$A$8:$M$10,5,FALSE),
IF($A106&lt;'PVC SCH80'!$A$250,VLOOKUP($A106,'PVC SCH80'!$A$8:$M$249,5,FALSE),
IF($A106&lt;'PVC SCH80 Flange'!$A$49,VLOOKUP($A106,'PVC SCH80 Flange'!$A$8:$M$48,5,FALSE),
IF($A106&lt;'PVC SCH80 LD Flange'!$A$17,VLOOKUP($A106,'PVC SCH80 LD Flange'!$A$8:$M$16,5,FALSE),
IF($A106&lt;CPVC!$A$100,VLOOKUP($A106,CPVC!$A$8:$M$99,5,FALSE),
IF($A106&lt;InsertFittings!$A$237,VLOOKUP($A106,InsertFittings!$A$11:$M$236,5,FALSE),
IF($A106&lt;Valves!$A$132,VLOOKUP($A106,Valves!$A$8:$M$131,5,FALSE),
IF($A106&lt;SDR35SW!$A$124,VLOOKUP($A106,SDR35SW!$A$8:$M$123,5,FALSE),
IF($A106&lt;SDR35G!$A$143,VLOOKUP($A106, SDR35G!$A$8:$M$142,5,FALSE),
IF($A106&lt;SDR26G!$A$61,VLOOKUP($A106,SDR26G!$A$8:$N$60,5,FALSE),
IF($A106&lt;Cements!$A$100,VLOOKUP($A106,Cements!$A$8:$Q$99,5,FALSE),
IF($A106&lt;ValveBox!$A$143,VLOOKUP($A106,ValveBox!$A$10:$O$142,5,FALSE),
IF($A106&lt;'ValveBox Components'!$A$165,VLOOKUP($A106,'ValveBox Components'!$A$10:$O$164,5,FALSE),
IF($A106&lt;Drainage!$A$92,VLOOKUP($A106,Drainage!$A$8:$M$91,5,FALSE),
IF($A106&lt;Nipples!$A$82,VLOOKUP($A106,Nipples!$A$9:$Q$81,5,FALSE),
IF($A106&lt;Manifold!$A$33,VLOOKUP($A106,Manifold!$A$9:$M$32,5,FALSE),
IF($A106&lt;FlexibleRepairCouplings!$A$13,VLOOKUP($A106,FlexibleRepairCouplings!$A$10:$M$12,5,FALSE),
IF($A106&lt;DuraFix!$A$15,VLOOKUP($A106,DuraFix!$A$9:$M$14,5,FALSE),
IF($A106&lt;'Compression Fittings'!$A$16,VLOOKUP($A106,'Compression Fittings'!$A$8:$M$15,5,FALSE),
IF($A106&lt;'Hose Fittings'!$A$30,VLOOKUP($A106,'Hose Fittings'!$A$8:$M$29,5,FALSE),
IF($A106&lt;'Swing Joints'!$A$496,VLOOKUP($A106,'Swing Joints'!$A$9:$M$495,5,FALSE),
IF($A106&lt;'Swing Joints Components'!$A$135,VLOOKUP($A106,'Swing Joints Components'!$A$9:$M$134,5,FALSE),
IF($A106&lt;Nonstandard!$A$42,VLOOKUP($A106,Nonstandard!$A$31:$J$41,6,FALSE),"")))))))))))))))))))))))))))),"")</f>
        <v/>
      </c>
      <c r="D106" s="428" t="str">
        <f>IFERROR(IF($A106&lt;'DWV PVC'!$A$285,VLOOKUP($A106,'DWV PVC'!$A$8:$M$284,6,FALSE),
IF($A106&lt;'DWV ABS'!$A$117,VLOOKUP($A106,'DWV ABS'!$A$8:$M$116,6,FALSE),
IF($A106&lt;'PVC SCH40'!$A$376,VLOOKUP($A106,'PVC SCH40'!$A$8:$M$375,6,FALSE),
IF($A106&lt;'PVC SCH40 LD'!$A$22,VLOOKUP($A106,'PVC SCH40 LD'!$A$8:$M$21,6,FALSE),
IF($A106&lt;'Pool &amp; SPA Sweep Elbows'!$A$12,VLOOKUP($A106,'Pool &amp; SPA Sweep Elbows'!$A$8:$M$11,6,FALSE),
IF($A106&lt;'Pool &amp; SPA Pipe Extender'!$A$11,VLOOKUP($A106,'Pool &amp; SPA Pipe Extender'!$A$8:$M$10,6,FALSE),
IF($A106&lt;'PVC SCH80'!$A$250,VLOOKUP($A106,'PVC SCH80'!$A$8:$M$249,6,FALSE),
IF($A106&lt;'PVC SCH80 Flange'!$A$49,VLOOKUP($A106,'PVC SCH80 Flange'!$A$8:$M$48,6,FALSE),
IF($A106&lt;'PVC SCH80 LD Flange'!$A$17,VLOOKUP($A106,'PVC SCH80 LD Flange'!$A$8:$M$16,6,FALSE),
IF($A106&lt;CPVC!$A$100,VLOOKUP($A106,CPVC!$A$8:$M$99,6,FALSE),
IF($A106&lt;InsertFittings!$A$237,VLOOKUP($A106,InsertFittings!$A$11:$M$236,6,FALSE),
IF($A106&lt;Valves!$A$132,VLOOKUP($A106,Valves!$A$8:$M$131,6,FALSE),
IF($A106&lt;SDR35SW!$A$124,VLOOKUP($A106,SDR35SW!$A$8:$M$123,6,FALSE),
IF($A106&lt;SDR35G!$A$143,VLOOKUP($A106, SDR35G!$A$8:$M$142,6,FALSE),
IF($A106&lt;SDR26G!$A$61,VLOOKUP($A106,SDR26G!$A$8:$N$60,6,FALSE),
IF($A106&lt;Cements!$A$100,VLOOKUP($A106,Cements!$A$8:$Q$99,6,FALSE),
IF($A106&lt;ValveBox!$A$143,VLOOKUP($A106,ValveBox!$A$10:$O$142,6,FALSE),
IF($A106&lt;'ValveBox Components'!$A$165,VLOOKUP($A106,'ValveBox Components'!$A$10:$O$164,6,FALSE),
IF($A106&lt;Drainage!$A$92,VLOOKUP($A106,Drainage!$A$8:$M$91,6,FALSE),
IF($A106&lt;Nipples!$A$82,VLOOKUP($A106,Nipples!$A$9:$Q$81,6,FALSE),
IF($A106&lt;Manifold!$A$33,VLOOKUP($A106,Manifold!$A$9:$M$32,6,FALSE),
IF($A106&lt;FlexibleRepairCouplings!$A$13,VLOOKUP($A106,FlexibleRepairCouplings!$A$10:$M$12,6,FALSE),
IF($A106&lt;DuraFix!$A$15,VLOOKUP($A106,DuraFix!$A$9:$M$14,6,FALSE),
IF($A106&lt;'Compression Fittings'!$A$16,VLOOKUP($A106,'Compression Fittings'!$A$8:$M$15,6,FALSE),
IF($A106&lt;'Hose Fittings'!$A$30,VLOOKUP($A106,'Hose Fittings'!$A$8:$M$29,6,FALSE),
IF($A106&lt;'Swing Joints'!$A$496,VLOOKUP($A106,'Swing Joints'!$A$9:$M$495,6,FALSE),
IF($A106&lt;'Swing Joints Components'!$A$135,VLOOKUP($A106,'Swing Joints Components'!$A$9:$M$134,6,FALSE),
IF($A106&lt;Nonstandard!$A$42,VLOOKUP($A106,Nonstandard!$A$31:$J$41,7,FALSE),"")))))))))))))))))))))))))))),"")</f>
        <v/>
      </c>
      <c r="E106" s="429"/>
      <c r="F106" s="421" t="str">
        <f>IFERROR(IF($A106&lt;'DWV PVC'!$A$285,VLOOKUP($A106,'DWV PVC'!$A$8:$M$284,9,FALSE),
IF($A106&lt;'DWV ABS'!$A$117,VLOOKUP($A106,'DWV ABS'!$A$8:$M$116,9,FALSE),
IF($A106&lt;'PVC SCH40'!$A$376,VLOOKUP($A106,'PVC SCH40'!$A$8:$M$375,9,FALSE),
IF($A106&lt;'PVC SCH40 LD'!$A$22,VLOOKUP($A106,'PVC SCH40 LD'!$A$8:$M$21,9,FALSE),
IF($A106&lt;'Pool &amp; SPA Sweep Elbows'!$A$12,VLOOKUP($A106,'Pool &amp; SPA Sweep Elbows'!$A$8:$M$11,9,FALSE),
IF($A106&lt;'Pool &amp; SPA Pipe Extender'!$A$11,VLOOKUP($A106,'Pool &amp; SPA Pipe Extender'!$A$8:$M$10,9,FALSE),
IF($A106&lt;'PVC SCH80'!$A$250,VLOOKUP($A106,'PVC SCH80'!$A$8:$M$249,9,FALSE),
IF($A106&lt;'PVC SCH80 Flange'!$A$49,VLOOKUP($A106,'PVC SCH80 Flange'!$A$8:$M$48,9,FALSE),
IF($A106&lt;'PVC SCH80 LD Flange'!$A$17,VLOOKUP($A106,'PVC SCH80 LD Flange'!$A$8:$M$16,9,FALSE),
IF($A106&lt;CPVC!$A$100,VLOOKUP($A106,CPVC!$A$8:$M$99,9,FALSE),
IF($A106&lt;InsertFittings!$A$237,VLOOKUP($A106,InsertFittings!$A$11:$M$236,9,FALSE),
IF($A106&lt;Valves!$A$132,VLOOKUP($A106,Valves!$A$8:$M$131,9,FALSE),
IF($A106&lt;SDR35SW!$A$124,VLOOKUP($A106,SDR35SW!$A$8:$M$123,9,FALSE),
IF($A106&lt;SDR35G!$A$143,VLOOKUP($A106, SDR35G!$A$8:$M$142,9,FALSE),
IF($A106&lt;SDR26G!$A$61,VLOOKUP($A106,SDR26G!$A$8:$N$60,10,FALSE),
IF($A106&lt;Cements!$A$100,VLOOKUP($A106,Cements!$A$8:$Q$99,13,FALSE),
IF($A106&lt;ValveBox!$A$143,VLOOKUP($A106,ValveBox!$A$10:$O$142,11,FALSE),
IF($A106&lt;'ValveBox Components'!$A$165,VLOOKUP($A106,'ValveBox Components'!$A$10:$O$164,11,FALSE),
IF($A106&lt;Drainage!$A$92,VLOOKUP($A106,Drainage!$A$8:$M$91,9,FALSE),
IF($A106&lt;Nipples!$A$82,VLOOKUP($A106,Nipples!$A$9:$Q$81,13,FALSE),
IF($A106&lt;Manifold!$A$33,VLOOKUP($A106,Manifold!$A$9:$M$32,9,FALSE),
IF($A106&lt;FlexibleRepairCouplings!$A$13,VLOOKUP($A106,FlexibleRepairCouplings!$A$10:$M$12,9,FALSE),
IF($A106&lt;DuraFix!$A$15,VLOOKUP($A106,DuraFix!$A$9:$M$14,9,FALSE),
IF($A106&lt;'Compression Fittings'!$A$16,VLOOKUP($A106,'Compression Fittings'!$A$8:$M$15,9,FALSE),
IF($A106&lt;'Hose Fittings'!$A$30,VLOOKUP($A106,'Hose Fittings'!$A$8:$M$29,9,FALSE),
IF($A106&lt;'Swing Joints'!$A$496,VLOOKUP($A106,'Swing Joints'!$A$9:$M$495,9,FALSE),
IF($A106&lt;'Swing Joints Components'!$A$135,VLOOKUP($A106,'Swing Joints Components'!$A$9:$M$134,9,FALSE),
IF($A106&lt;Nonstandard!$A$42,VLOOKUP($A106,Nonstandard!$A$31:$J$41,8,FALSE),"")))))))))))))))))))))))))))),"")</f>
        <v/>
      </c>
      <c r="G106" s="422" t="str">
        <f>IFERROR(IF($A106&lt;'DWV PVC'!$A$285,VLOOKUP($A106,'DWV PVC'!$A$8:$M$284,11,FALSE),
IF($A106&lt;'DWV ABS'!$A$117,VLOOKUP($A106,'DWV ABS'!$A$8:$M$116,11,FALSE),
IF($A106&lt;'PVC SCH40'!$A$376,VLOOKUP($A106,'PVC SCH40'!$A$8:$M$375,11,FALSE),
IF($A106&lt;'PVC SCH40 LD'!$A$22,VLOOKUP($A106,'PVC SCH40 LD'!$A$8:$M$21,11,FALSE),
IF($A106&lt;'Pool &amp; SPA Sweep Elbows'!$A$12,VLOOKUP($A106,'Pool &amp; SPA Sweep Elbows'!$A$8:$M$11,11,FALSE),
IF($A106&lt;'Pool &amp; SPA Pipe Extender'!$A$11,VLOOKUP($A106,'Pool &amp; SPA Pipe Extender'!$A$8:$M$10,11,FALSE),
IF($A106&lt;'PVC SCH80'!$A$250,VLOOKUP($A106,'PVC SCH80'!$A$8:$M$249,11,FALSE),
IF($A106&lt;'PVC SCH80 Flange'!$A$49,VLOOKUP($A106,'PVC SCH80 Flange'!$A$8:$M$48,11,FALSE),
IF($A106&lt;'PVC SCH80 LD Flange'!$A$17,VLOOKUP($A106,'PVC SCH80 LD Flange'!$A$8:$M$16,11,FALSE),
IF($A106&lt;CPVC!$A$100,VLOOKUP($A106,CPVC!$A$8:$M$99,11,FALSE),
IF($A106&lt;InsertFittings!$A$237,VLOOKUP($A106,InsertFittings!$A$11:$M$236,11,FALSE),
IF($A106&lt;Valves!$A$132,VLOOKUP($A106,Valves!$A$8:$M$131,11,FALSE),
IF($A106&lt;SDR35SW!$A$124,VLOOKUP($A106,SDR35SW!$A$8:$M$123,11,FALSE),
IF($A106&lt;SDR35G!$A$143,VLOOKUP($A106, SDR35G!$A$8:$M$142,11,FALSE),
IF($A106&lt;SDR26G!$A$61,VLOOKUP($A106,SDR26G!$A$8:$N$60,12,FALSE),
IF($A106&lt;Cements!$A$100,VLOOKUP($A106,Cements!$A$8:$Q$99,15,FALSE),
IF($A106&lt;ValveBox!$A$143,VLOOKUP($A106,ValveBox!$A$10:$O$142,13,FALSE),
IF($A106&lt;'ValveBox Components'!$A$165,VLOOKUP($A106,'ValveBox Components'!$A$10:$O$164,13,FALSE),
IF($A106&lt;Drainage!$A$92,VLOOKUP($A106,Drainage!$A$8:$M$91,11,FALSE),
IF($A106&lt;Nipples!$A$82,VLOOKUP($A106,Nipples!$A$9:$Q$81,15,FALSE),
IF($A106&lt;Manifold!$A$33,VLOOKUP($A106,Manifold!$A$9:$M$32,11,FALSE),
IF($A106&lt;FlexibleRepairCouplings!$A$13,VLOOKUP($A106,FlexibleRepairCouplings!$A$10:$M$12,11,FALSE),
IF($A106&lt;DuraFix!$A$15,VLOOKUP($A106,DuraFix!$A$9:$M$14,11,FALSE),
IF($A106&lt;'Compression Fittings'!$A$16,VLOOKUP($A106,'Compression Fittings'!$A$8:$M$15,11,FALSE),
IF($A106&lt;'Hose Fittings'!$A$30,VLOOKUP($A106,'Hose Fittings'!$A$8:$M$29,11,FALSE),
IF($A106&lt;'Swing Joints'!$A$496,VLOOKUP($A106,'Swing Joints'!$A$9:$M$495,11,FALSE),
IF($A106&lt;'Swing Joints Components'!$A$135,VLOOKUP($A106,'Swing Joints Components'!$A$9:$M$134,11,FALSE),
IF($A106&lt;Nonstandard!$A$42,VLOOKUP($A106,Nonstandard!$A$31:$J$41,3,FALSE),"")))))))))))))))))))))))))))),"")</f>
        <v/>
      </c>
      <c r="H106" s="588" t="str">
        <f>IFERROR(IF($A106&lt;'DWV PVC'!$A$285,VLOOKUP($A106,'DWV PVC'!$A$8:$M$284,7,FALSE),
IF($A106&lt;'DWV ABS'!$A$117,VLOOKUP($A106,'DWV ABS'!$A$8:$M$116,7,FALSE),
IF($A106&lt;'PVC SCH40'!$A$376,VLOOKUP($A106,'PVC SCH40'!$A$8:$M$375,7,FALSE),
IF($A106&lt;'PVC SCH40 LD'!$A$22,VLOOKUP($A106,'PVC SCH40 LD'!$A$8:$M$21,7,FALSE),
IF($A106&lt;'Pool &amp; SPA Sweep Elbows'!$A$12,VLOOKUP($A106,'Pool &amp; SPA Sweep Elbows'!$A$8:$M$11,7,FALSE),
IF($A106&lt;'Pool &amp; SPA Pipe Extender'!$A$11,VLOOKUP($A106,'Pool &amp; SPA Pipe Extender'!$A$8:$M$10,7,FALSE),
IF($A106&lt;'PVC SCH80'!$A$250,VLOOKUP($A106,'PVC SCH80'!$A$8:$M$249,7,FALSE),
IF($A106&lt;'PVC SCH80 Flange'!$A$49,VLOOKUP($A106,'PVC SCH80 Flange'!$A$8:$M$48,7,FALSE),
IF($A106&lt;'PVC SCH80 LD Flange'!$A$17,VLOOKUP($A106,'PVC SCH80 LD Flange'!$A$8:$M$16,7,FALSE),
IF($A106&lt;CPVC!$A$100,VLOOKUP($A106,CPVC!$A$8:$M$99,7,FALSE),
IF($A106&lt;InsertFittings!$A$237,VLOOKUP($A106,InsertFittings!$A$11:$M$236,7,FALSE),
IF($A106&lt;Valves!$A$132,VLOOKUP($A106,Valves!$A$8:$M$131,7,FALSE),
IF($A106&lt;SDR35SW!$A$124,VLOOKUP($A106,SDR35SW!$A$8:$M$123,7,FALSE),
IF($A106&lt;SDR35G!$A$143,VLOOKUP($A106, SDR35G!$A$8:$M$142,7,FALSE),
IF($A106&lt;SDR26G!$A$61,VLOOKUP($A106,SDR26G!$A$8:$N$60,10,FALSE),
IF($A106&lt;Cements!$A$100,VLOOKUP($A106,Cements!$A$8:$Q$99,13,FALSE),
IF($A106&lt;ValveBox!$A$143,VLOOKUP($A106,ValveBox!$A$10:$O$142,11,FALSE),
IF($A106&lt;'ValveBox Components'!$A$165,VLOOKUP($A106,'ValveBox Components'!$A$10:$O$164,11,FALSE),
IF($A106&lt;Drainage!$A$92,VLOOKUP($A106,Drainage!$A$8:$M$91,7,FALSE),
IF($A106&lt;Nipples!$A$82,VLOOKUP($A106,Nipples!$A$9:$Q$81,13,FALSE),
IF($A106&lt;Manifold!$A$33,VLOOKUP($A106,Manifold!$A$9:$M$32,7,FALSE),
IF($A106&lt;FlexibleRepairCouplings!$A$13,VLOOKUP($A106,FlexibleRepairCouplings!$A$10:$M$12,7,FALSE),
IF($A106&lt;DuraFix!$A$15,VLOOKUP($A106,DuraFix!$A$9:$M$14,7,FALSE),
IF($A106&lt;'Compression Fittings'!$A$16,VLOOKUP($A106,'Compression Fittings'!$A$8:$M$15,7,FALSE),
IF($A106&lt;'Hose Fittings'!$A$30,VLOOKUP($A106,'Hose Fittings'!$A$8:$M$29,7,FALSE),
IF($A106&lt;'Swing Joints'!$A$496,VLOOKUP($A106,'Swing Joints'!$A$9:$M$495,7,FALSE),
IF($A106&lt;'Swing Joints Components'!$A$135,VLOOKUP($A106,'Swing Joints Components'!$A$9:$M$134,7,FALSE),
IF($A106&lt;Nonstandard!$A$42,VLOOKUP($A106,Nonstandard!$A$31:$J$41,3,FALSE),"")))))))))))))))))))))))))))),"")</f>
        <v/>
      </c>
      <c r="I106" s="589"/>
      <c r="J106" s="423" t="str">
        <f t="shared" si="3"/>
        <v/>
      </c>
      <c r="K106" s="424" t="str">
        <f>IFERROR(IF($A106&lt;'DWV PVC'!$A$285,VLOOKUP($A106,'DWV PVC'!$A$8:$M$284,10,FALSE),
IF($A106&lt;'DWV ABS'!$A$117,VLOOKUP($A106,'DWV ABS'!$A$8:$M$116,10,FALSE),
IF($A106&lt;'PVC SCH40'!$A$376,VLOOKUP($A106,'PVC SCH40'!$A$8:$M$375,10,FALSE),
IF($A106&lt;'PVC SCH40 LD'!$A$22,VLOOKUP($A106,'PVC SCH40 LD'!$A$8:$M$21,10,FALSE),
IF($A106&lt;'Pool &amp; SPA Sweep Elbows'!$A$12,VLOOKUP($A106,'Pool &amp; SPA Sweep Elbows'!$A$8:$M$11,10,FALSE),
IF($A106&lt;'Pool &amp; SPA Pipe Extender'!$A$11,VLOOKUP($A106,'Pool &amp; SPA Pipe Extender'!$A$8:$M$10,10,FALSE),
IF($A106&lt;'PVC SCH80'!$A$250,VLOOKUP($A106,'PVC SCH80'!$A$8:$M$249,10,FALSE),
IF($A106&lt;'PVC SCH80 Flange'!$A$49,VLOOKUP($A106,'PVC SCH80 Flange'!$A$8:$M$48,10,FALSE),
IF($A106&lt;'PVC SCH80 LD Flange'!$A$17,VLOOKUP($A106,'PVC SCH80 LD Flange'!$A$8:$M$16,10,FALSE),
IF($A106&lt;CPVC!$A$100,VLOOKUP($A106,CPVC!$A$8:$M$99,10,FALSE),
IF($A106&lt;InsertFittings!$A$237,VLOOKUP($A106,InsertFittings!$A$11:$M$236,10,FALSE),
IF($A106&lt;Valves!$A$132,VLOOKUP($A106,Valves!$A$8:$M$131,10,FALSE),
IF($A106&lt;SDR35SW!$A$124,VLOOKUP($A106,SDR35SW!$A$8:$M$123,10,FALSE),
IF($A106&lt;SDR35G!$A$143,VLOOKUP($A106, SDR35G!$A$8:$M$142,10,FALSE),
IF($A106&lt;SDR26G!$A$61,VLOOKUP($A106,SDR26G!$A$8:$N$60,11,FALSE),
IF($A106&lt;Cements!$A$100,VLOOKUP($A106,Cements!$A$8:$Q$99,14,FALSE),
IF($A106&lt;ValveBox!$A$143,VLOOKUP($A106,ValveBox!$A$10:$O$142,12,FALSE),
IF($A106&lt;'ValveBox Components'!$A$165,VLOOKUP($A106,'ValveBox Components'!$A$10:$O$164,12,FALSE),
IF($A106&lt;Drainage!$A$92,VLOOKUP($A106,Drainage!$A$8:$M$91,10,FALSE),
IF($A106&lt;Nipples!$A$82,VLOOKUP($A106,Nipples!$A$9:$Q$81,14,FALSE),
IF($A106&lt;Manifold!$A$33,VLOOKUP($A106,Manifold!$A$9:$M$32,10,FALSE),
IF($A106&lt;FlexibleRepairCouplings!$A$13,VLOOKUP($A106,FlexibleRepairCouplings!$A$10:$M$12,10,FALSE),
IF($A106&lt;DuraFix!$A$15,VLOOKUP($A106,DuraFix!$A$9:$M$14,10,FALSE),
IF($A106&lt;'Compression Fittings'!$A$16,VLOOKUP($A106,'Compression Fittings'!$A$8:$M$15,10,FALSE),
IF($A106&lt;'Hose Fittings'!$A$30,VLOOKUP($A106,'Hose Fittings'!$A$8:$M$29,10,FALSE),
IF($A106&lt;'Swing Joints'!$A$496,VLOOKUP($A106,'Swing Joints'!$A$9:$M$495,10,FALSE),
IF($A106&lt;'Swing Joints Components'!$A$135,VLOOKUP($A106,'Swing Joints Components'!$A$9:$M$134,10,FALSE),
IF($A106&lt;Nonstandard!$A$42,VLOOKUP($A106,Nonstandard!$A$31:$J$41,10,FALSE),"")))))))))))))))))))))))))))),"")</f>
        <v/>
      </c>
      <c r="L106" s="421" t="str">
        <f t="shared" si="2"/>
        <v>-</v>
      </c>
      <c r="M106" s="425"/>
    </row>
    <row r="107" spans="1:13" ht="15.75">
      <c r="A107" s="415">
        <v>75</v>
      </c>
      <c r="B107" s="415" t="str">
        <f>IFERROR(IF($A107&lt;'DWV PVC'!$A$285,VLOOKUP($A107,'DWV PVC'!$A$8:$M$284,4,FALSE),
IF($A107&lt;'DWV ABS'!$A$117,VLOOKUP($A107,'DWV ABS'!$A$8:$M$116,4,FALSE),
IF($A107&lt;'PVC SCH40'!$A$376,VLOOKUP($A107,'PVC SCH40'!$A$8:$M$375,4,FALSE),
IF($A107&lt;'PVC SCH40 LD'!$A$22,VLOOKUP($A107,'PVC SCH40 LD'!$A$8:$M$21,4,FALSE),
IF($A107&lt;'Pool &amp; SPA Sweep Elbows'!$A$12,VLOOKUP($A107,'Pool &amp; SPA Sweep Elbows'!$A$8:$M$11,4,FALSE),
IF($A107&lt;'Pool &amp; SPA Pipe Extender'!$A$11,VLOOKUP($A107,'Pool &amp; SPA Pipe Extender'!$A$8:$M$10,4,FALSE),
IF($A107&lt;'PVC SCH80'!$A$250,VLOOKUP($A107,'PVC SCH80'!$A$8:$M$249,4,FALSE),
IF($A107&lt;'PVC SCH80 Flange'!$A$49,VLOOKUP($A107,'PVC SCH80 Flange'!$A$8:$M$48,4,FALSE),
IF($A107&lt;'PVC SCH80 LD Flange'!$A$17,VLOOKUP($A107,'PVC SCH80 LD Flange'!$A$8:$M$16,4,FALSE),
IF($A107&lt;CPVC!$A$100,VLOOKUP($A107,CPVC!$A$8:$M$99,4,FALSE),
IF($A107&lt;InsertFittings!$A$237,VLOOKUP($A107,InsertFittings!$A$11:$M$236,4,FALSE),
IF($A107&lt;Valves!$A$132,VLOOKUP($A107,Valves!$A$8:$M$131,4,FALSE),
IF($A107&lt;SDR35SW!$A$124,VLOOKUP($A107,SDR35SW!$A$8:$M$123,4,FALSE),
IF($A107&lt;SDR35G!$A$143,VLOOKUP($A107, SDR35G!$A$8:$M$142,4,FALSE),
IF($A107&lt;SDR26G!$A$61,VLOOKUP($A107,SDR26G!$A$8:$N$60,4,FALSE),
IF($A107&lt;Cements!$A$100,VLOOKUP($A107,Cements!$A$8:$Q$99,4,FALSE),
IF($A107&lt;ValveBox!$A$143,VLOOKUP($A107,ValveBox!$A$10:$O$142,4,FALSE),
IF($A107&lt;'ValveBox Components'!$A$165,VLOOKUP($A107,'ValveBox Components'!$A$10:$O$164,4,FALSE),
IF($A107&lt;Drainage!$A$92,VLOOKUP($A107,Drainage!$A$8:$M$91,4,FALSE),
IF($A107&lt;Nipples!$A$82,VLOOKUP($A107,Nipples!$A$9:$Q$81,4,FALSE),
IF($A107&lt;Manifold!$A$33,VLOOKUP($A107,Manifold!$A$9:$M$32,4,FALSE),
IF($A107&lt;FlexibleRepairCouplings!$A$13,VLOOKUP($A107,FlexibleRepairCouplings!$A$10:$M$12,4,FALSE),
IF($A107&lt;DuraFix!$A$15,VLOOKUP($A107,DuraFix!$A$9:$M$14,4,FALSE),
IF($A107&lt;'Compression Fittings'!$A$16,VLOOKUP($A107,'Compression Fittings'!$A$8:$M$15,4,FALSE),
IF($A107&lt;'Hose Fittings'!$A$30,VLOOKUP($A107,'Hose Fittings'!$A$8:$M$29,4,FALSE),
IF($A107&lt;'Swing Joints'!$A$496,VLOOKUP($A107,'Swing Joints'!$A$9:$M$495,4,FALSE),
IF($A107&lt;'Swing Joints Components'!$A$135,VLOOKUP($A107,'Swing Joints Components'!$A$9:$M$134,4,FALSE),
IF($A107&lt;Nonstandard!$A$42,VLOOKUP($A107,Nonstandard!$A$31:$J$41,5,FALSE),"")))))))))))))))))))))))))))),"")</f>
        <v/>
      </c>
      <c r="C107" s="415" t="str">
        <f>IFERROR(IF($A107&lt;'DWV PVC'!$A$285,VLOOKUP($A107,'DWV PVC'!$A$8:$M$284,5,FALSE),
IF($A107&lt;'DWV ABS'!$A$117,VLOOKUP($A107,'DWV ABS'!$A$8:$M$116,5,FALSE),
IF($A107&lt;'PVC SCH40'!$A$376,VLOOKUP($A107,'PVC SCH40'!$A$8:$M$375,5,FALSE),
IF($A107&lt;'PVC SCH40 LD'!$A$22,VLOOKUP($A107,'PVC SCH40 LD'!$A$8:$M$21,5,FALSE),
IF($A107&lt;'Pool &amp; SPA Sweep Elbows'!$A$12,VLOOKUP($A107,'Pool &amp; SPA Sweep Elbows'!$A$8:$M$11,5,FALSE),
IF($A107&lt;'Pool &amp; SPA Pipe Extender'!$A$11,VLOOKUP($A107,'Pool &amp; SPA Pipe Extender'!$A$8:$M$10,5,FALSE),
IF($A107&lt;'PVC SCH80'!$A$250,VLOOKUP($A107,'PVC SCH80'!$A$8:$M$249,5,FALSE),
IF($A107&lt;'PVC SCH80 Flange'!$A$49,VLOOKUP($A107,'PVC SCH80 Flange'!$A$8:$M$48,5,FALSE),
IF($A107&lt;'PVC SCH80 LD Flange'!$A$17,VLOOKUP($A107,'PVC SCH80 LD Flange'!$A$8:$M$16,5,FALSE),
IF($A107&lt;CPVC!$A$100,VLOOKUP($A107,CPVC!$A$8:$M$99,5,FALSE),
IF($A107&lt;InsertFittings!$A$237,VLOOKUP($A107,InsertFittings!$A$11:$M$236,5,FALSE),
IF($A107&lt;Valves!$A$132,VLOOKUP($A107,Valves!$A$8:$M$131,5,FALSE),
IF($A107&lt;SDR35SW!$A$124,VLOOKUP($A107,SDR35SW!$A$8:$M$123,5,FALSE),
IF($A107&lt;SDR35G!$A$143,VLOOKUP($A107, SDR35G!$A$8:$M$142,5,FALSE),
IF($A107&lt;SDR26G!$A$61,VLOOKUP($A107,SDR26G!$A$8:$N$60,5,FALSE),
IF($A107&lt;Cements!$A$100,VLOOKUP($A107,Cements!$A$8:$Q$99,5,FALSE),
IF($A107&lt;ValveBox!$A$143,VLOOKUP($A107,ValveBox!$A$10:$O$142,5,FALSE),
IF($A107&lt;'ValveBox Components'!$A$165,VLOOKUP($A107,'ValveBox Components'!$A$10:$O$164,5,FALSE),
IF($A107&lt;Drainage!$A$92,VLOOKUP($A107,Drainage!$A$8:$M$91,5,FALSE),
IF($A107&lt;Nipples!$A$82,VLOOKUP($A107,Nipples!$A$9:$Q$81,5,FALSE),
IF($A107&lt;Manifold!$A$33,VLOOKUP($A107,Manifold!$A$9:$M$32,5,FALSE),
IF($A107&lt;FlexibleRepairCouplings!$A$13,VLOOKUP($A107,FlexibleRepairCouplings!$A$10:$M$12,5,FALSE),
IF($A107&lt;DuraFix!$A$15,VLOOKUP($A107,DuraFix!$A$9:$M$14,5,FALSE),
IF($A107&lt;'Compression Fittings'!$A$16,VLOOKUP($A107,'Compression Fittings'!$A$8:$M$15,5,FALSE),
IF($A107&lt;'Hose Fittings'!$A$30,VLOOKUP($A107,'Hose Fittings'!$A$8:$M$29,5,FALSE),
IF($A107&lt;'Swing Joints'!$A$496,VLOOKUP($A107,'Swing Joints'!$A$9:$M$495,5,FALSE),
IF($A107&lt;'Swing Joints Components'!$A$135,VLOOKUP($A107,'Swing Joints Components'!$A$9:$M$134,5,FALSE),
IF($A107&lt;Nonstandard!$A$42,VLOOKUP($A107,Nonstandard!$A$31:$J$41,6,FALSE),"")))))))))))))))))))))))))))),"")</f>
        <v/>
      </c>
      <c r="D107" s="426" t="str">
        <f>IFERROR(IF($A107&lt;'DWV PVC'!$A$285,VLOOKUP($A107,'DWV PVC'!$A$8:$M$284,6,FALSE),
IF($A107&lt;'DWV ABS'!$A$117,VLOOKUP($A107,'DWV ABS'!$A$8:$M$116,6,FALSE),
IF($A107&lt;'PVC SCH40'!$A$376,VLOOKUP($A107,'PVC SCH40'!$A$8:$M$375,6,FALSE),
IF($A107&lt;'PVC SCH40 LD'!$A$22,VLOOKUP($A107,'PVC SCH40 LD'!$A$8:$M$21,6,FALSE),
IF($A107&lt;'Pool &amp; SPA Sweep Elbows'!$A$12,VLOOKUP($A107,'Pool &amp; SPA Sweep Elbows'!$A$8:$M$11,6,FALSE),
IF($A107&lt;'Pool &amp; SPA Pipe Extender'!$A$11,VLOOKUP($A107,'Pool &amp; SPA Pipe Extender'!$A$8:$M$10,6,FALSE),
IF($A107&lt;'PVC SCH80'!$A$250,VLOOKUP($A107,'PVC SCH80'!$A$8:$M$249,6,FALSE),
IF($A107&lt;'PVC SCH80 Flange'!$A$49,VLOOKUP($A107,'PVC SCH80 Flange'!$A$8:$M$48,6,FALSE),
IF($A107&lt;'PVC SCH80 LD Flange'!$A$17,VLOOKUP($A107,'PVC SCH80 LD Flange'!$A$8:$M$16,6,FALSE),
IF($A107&lt;CPVC!$A$100,VLOOKUP($A107,CPVC!$A$8:$M$99,6,FALSE),
IF($A107&lt;InsertFittings!$A$237,VLOOKUP($A107,InsertFittings!$A$11:$M$236,6,FALSE),
IF($A107&lt;Valves!$A$132,VLOOKUP($A107,Valves!$A$8:$M$131,6,FALSE),
IF($A107&lt;SDR35SW!$A$124,VLOOKUP($A107,SDR35SW!$A$8:$M$123,6,FALSE),
IF($A107&lt;SDR35G!$A$143,VLOOKUP($A107, SDR35G!$A$8:$M$142,6,FALSE),
IF($A107&lt;SDR26G!$A$61,VLOOKUP($A107,SDR26G!$A$8:$N$60,6,FALSE),
IF($A107&lt;Cements!$A$100,VLOOKUP($A107,Cements!$A$8:$Q$99,6,FALSE),
IF($A107&lt;ValveBox!$A$143,VLOOKUP($A107,ValveBox!$A$10:$O$142,6,FALSE),
IF($A107&lt;'ValveBox Components'!$A$165,VLOOKUP($A107,'ValveBox Components'!$A$10:$O$164,6,FALSE),
IF($A107&lt;Drainage!$A$92,VLOOKUP($A107,Drainage!$A$8:$M$91,6,FALSE),
IF($A107&lt;Nipples!$A$82,VLOOKUP($A107,Nipples!$A$9:$Q$81,6,FALSE),
IF($A107&lt;Manifold!$A$33,VLOOKUP($A107,Manifold!$A$9:$M$32,6,FALSE),
IF($A107&lt;FlexibleRepairCouplings!$A$13,VLOOKUP($A107,FlexibleRepairCouplings!$A$10:$M$12,6,FALSE),
IF($A107&lt;DuraFix!$A$15,VLOOKUP($A107,DuraFix!$A$9:$M$14,6,FALSE),
IF($A107&lt;'Compression Fittings'!$A$16,VLOOKUP($A107,'Compression Fittings'!$A$8:$M$15,6,FALSE),
IF($A107&lt;'Hose Fittings'!$A$30,VLOOKUP($A107,'Hose Fittings'!$A$8:$M$29,6,FALSE),
IF($A107&lt;'Swing Joints'!$A$496,VLOOKUP($A107,'Swing Joints'!$A$9:$M$495,6,FALSE),
IF($A107&lt;'Swing Joints Components'!$A$135,VLOOKUP($A107,'Swing Joints Components'!$A$9:$M$134,6,FALSE),
IF($A107&lt;Nonstandard!$A$42,VLOOKUP($A107,Nonstandard!$A$31:$J$41,7,FALSE),"")))))))))))))))))))))))))))),"")</f>
        <v/>
      </c>
      <c r="E107" s="427"/>
      <c r="F107" s="418" t="str">
        <f>IFERROR(IF($A107&lt;'DWV PVC'!$A$285,VLOOKUP($A107,'DWV PVC'!$A$8:$M$284,9,FALSE),
IF($A107&lt;'DWV ABS'!$A$117,VLOOKUP($A107,'DWV ABS'!$A$8:$M$116,9,FALSE),
IF($A107&lt;'PVC SCH40'!$A$376,VLOOKUP($A107,'PVC SCH40'!$A$8:$M$375,9,FALSE),
IF($A107&lt;'PVC SCH40 LD'!$A$22,VLOOKUP($A107,'PVC SCH40 LD'!$A$8:$M$21,9,FALSE),
IF($A107&lt;'Pool &amp; SPA Sweep Elbows'!$A$12,VLOOKUP($A107,'Pool &amp; SPA Sweep Elbows'!$A$8:$M$11,9,FALSE),
IF($A107&lt;'Pool &amp; SPA Pipe Extender'!$A$11,VLOOKUP($A107,'Pool &amp; SPA Pipe Extender'!$A$8:$M$10,9,FALSE),
IF($A107&lt;'PVC SCH80'!$A$250,VLOOKUP($A107,'PVC SCH80'!$A$8:$M$249,9,FALSE),
IF($A107&lt;'PVC SCH80 Flange'!$A$49,VLOOKUP($A107,'PVC SCH80 Flange'!$A$8:$M$48,9,FALSE),
IF($A107&lt;'PVC SCH80 LD Flange'!$A$17,VLOOKUP($A107,'PVC SCH80 LD Flange'!$A$8:$M$16,9,FALSE),
IF($A107&lt;CPVC!$A$100,VLOOKUP($A107,CPVC!$A$8:$M$99,9,FALSE),
IF($A107&lt;InsertFittings!$A$237,VLOOKUP($A107,InsertFittings!$A$11:$M$236,9,FALSE),
IF($A107&lt;Valves!$A$132,VLOOKUP($A107,Valves!$A$8:$M$131,9,FALSE),
IF($A107&lt;SDR35SW!$A$124,VLOOKUP($A107,SDR35SW!$A$8:$M$123,9,FALSE),
IF($A107&lt;SDR35G!$A$143,VLOOKUP($A107, SDR35G!$A$8:$M$142,9,FALSE),
IF($A107&lt;SDR26G!$A$61,VLOOKUP($A107,SDR26G!$A$8:$N$60,10,FALSE),
IF($A107&lt;Cements!$A$100,VLOOKUP($A107,Cements!$A$8:$Q$99,13,FALSE),
IF($A107&lt;ValveBox!$A$143,VLOOKUP($A107,ValveBox!$A$10:$O$142,11,FALSE),
IF($A107&lt;'ValveBox Components'!$A$165,VLOOKUP($A107,'ValveBox Components'!$A$10:$O$164,11,FALSE),
IF($A107&lt;Drainage!$A$92,VLOOKUP($A107,Drainage!$A$8:$M$91,9,FALSE),
IF($A107&lt;Nipples!$A$82,VLOOKUP($A107,Nipples!$A$9:$Q$81,13,FALSE),
IF($A107&lt;Manifold!$A$33,VLOOKUP($A107,Manifold!$A$9:$M$32,9,FALSE),
IF($A107&lt;FlexibleRepairCouplings!$A$13,VLOOKUP($A107,FlexibleRepairCouplings!$A$10:$M$12,9,FALSE),
IF($A107&lt;DuraFix!$A$15,VLOOKUP($A107,DuraFix!$A$9:$M$14,9,FALSE),
IF($A107&lt;'Compression Fittings'!$A$16,VLOOKUP($A107,'Compression Fittings'!$A$8:$M$15,9,FALSE),
IF($A107&lt;'Hose Fittings'!$A$30,VLOOKUP($A107,'Hose Fittings'!$A$8:$M$29,9,FALSE),
IF($A107&lt;'Swing Joints'!$A$496,VLOOKUP($A107,'Swing Joints'!$A$9:$M$495,9,FALSE),
IF($A107&lt;'Swing Joints Components'!$A$135,VLOOKUP($A107,'Swing Joints Components'!$A$9:$M$134,9,FALSE),
IF($A107&lt;Nonstandard!$A$42,VLOOKUP($A107,Nonstandard!$A$31:$J$41,8,FALSE),"")))))))))))))))))))))))))))),"")</f>
        <v/>
      </c>
      <c r="G107" s="416" t="str">
        <f>IFERROR(IF($A107&lt;'DWV PVC'!$A$285,VLOOKUP($A107,'DWV PVC'!$A$8:$M$284,11,FALSE),
IF($A107&lt;'DWV ABS'!$A$117,VLOOKUP($A107,'DWV ABS'!$A$8:$M$116,11,FALSE),
IF($A107&lt;'PVC SCH40'!$A$376,VLOOKUP($A107,'PVC SCH40'!$A$8:$M$375,11,FALSE),
IF($A107&lt;'PVC SCH40 LD'!$A$22,VLOOKUP($A107,'PVC SCH40 LD'!$A$8:$M$21,11,FALSE),
IF($A107&lt;'Pool &amp; SPA Sweep Elbows'!$A$12,VLOOKUP($A107,'Pool &amp; SPA Sweep Elbows'!$A$8:$M$11,11,FALSE),
IF($A107&lt;'Pool &amp; SPA Pipe Extender'!$A$11,VLOOKUP($A107,'Pool &amp; SPA Pipe Extender'!$A$8:$M$10,11,FALSE),
IF($A107&lt;'PVC SCH80'!$A$250,VLOOKUP($A107,'PVC SCH80'!$A$8:$M$249,11,FALSE),
IF($A107&lt;'PVC SCH80 Flange'!$A$49,VLOOKUP($A107,'PVC SCH80 Flange'!$A$8:$M$48,11,FALSE),
IF($A107&lt;'PVC SCH80 LD Flange'!$A$17,VLOOKUP($A107,'PVC SCH80 LD Flange'!$A$8:$M$16,11,FALSE),
IF($A107&lt;CPVC!$A$100,VLOOKUP($A107,CPVC!$A$8:$M$99,11,FALSE),
IF($A107&lt;InsertFittings!$A$237,VLOOKUP($A107,InsertFittings!$A$11:$M$236,11,FALSE),
IF($A107&lt;Valves!$A$132,VLOOKUP($A107,Valves!$A$8:$M$131,11,FALSE),
IF($A107&lt;SDR35SW!$A$124,VLOOKUP($A107,SDR35SW!$A$8:$M$123,11,FALSE),
IF($A107&lt;SDR35G!$A$143,VLOOKUP($A107, SDR35G!$A$8:$M$142,11,FALSE),
IF($A107&lt;SDR26G!$A$61,VLOOKUP($A107,SDR26G!$A$8:$N$60,12,FALSE),
IF($A107&lt;Cements!$A$100,VLOOKUP($A107,Cements!$A$8:$Q$99,15,FALSE),
IF($A107&lt;ValveBox!$A$143,VLOOKUP($A107,ValveBox!$A$10:$O$142,13,FALSE),
IF($A107&lt;'ValveBox Components'!$A$165,VLOOKUP($A107,'ValveBox Components'!$A$10:$O$164,13,FALSE),
IF($A107&lt;Drainage!$A$92,VLOOKUP($A107,Drainage!$A$8:$M$91,11,FALSE),
IF($A107&lt;Nipples!$A$82,VLOOKUP($A107,Nipples!$A$9:$Q$81,15,FALSE),
IF($A107&lt;Manifold!$A$33,VLOOKUP($A107,Manifold!$A$9:$M$32,11,FALSE),
IF($A107&lt;FlexibleRepairCouplings!$A$13,VLOOKUP($A107,FlexibleRepairCouplings!$A$10:$M$12,11,FALSE),
IF($A107&lt;DuraFix!$A$15,VLOOKUP($A107,DuraFix!$A$9:$M$14,11,FALSE),
IF($A107&lt;'Compression Fittings'!$A$16,VLOOKUP($A107,'Compression Fittings'!$A$8:$M$15,11,FALSE),
IF($A107&lt;'Hose Fittings'!$A$30,VLOOKUP($A107,'Hose Fittings'!$A$8:$M$29,11,FALSE),
IF($A107&lt;'Swing Joints'!$A$496,VLOOKUP($A107,'Swing Joints'!$A$9:$M$495,11,FALSE),
IF($A107&lt;'Swing Joints Components'!$A$135,VLOOKUP($A107,'Swing Joints Components'!$A$9:$M$134,11,FALSE),
IF($A107&lt;Nonstandard!$A$42,VLOOKUP($A107,Nonstandard!$A$31:$J$41,3,FALSE),"")))))))))))))))))))))))))))),"")</f>
        <v/>
      </c>
      <c r="H107" s="586" t="str">
        <f>IFERROR(IF($A107&lt;'DWV PVC'!$A$285,VLOOKUP($A107,'DWV PVC'!$A$8:$M$284,7,FALSE),
IF($A107&lt;'DWV ABS'!$A$117,VLOOKUP($A107,'DWV ABS'!$A$8:$M$116,7,FALSE),
IF($A107&lt;'PVC SCH40'!$A$376,VLOOKUP($A107,'PVC SCH40'!$A$8:$M$375,7,FALSE),
IF($A107&lt;'PVC SCH40 LD'!$A$22,VLOOKUP($A107,'PVC SCH40 LD'!$A$8:$M$21,7,FALSE),
IF($A107&lt;'Pool &amp; SPA Sweep Elbows'!$A$12,VLOOKUP($A107,'Pool &amp; SPA Sweep Elbows'!$A$8:$M$11,7,FALSE),
IF($A107&lt;'Pool &amp; SPA Pipe Extender'!$A$11,VLOOKUP($A107,'Pool &amp; SPA Pipe Extender'!$A$8:$M$10,7,FALSE),
IF($A107&lt;'PVC SCH80'!$A$250,VLOOKUP($A107,'PVC SCH80'!$A$8:$M$249,7,FALSE),
IF($A107&lt;'PVC SCH80 Flange'!$A$49,VLOOKUP($A107,'PVC SCH80 Flange'!$A$8:$M$48,7,FALSE),
IF($A107&lt;'PVC SCH80 LD Flange'!$A$17,VLOOKUP($A107,'PVC SCH80 LD Flange'!$A$8:$M$16,7,FALSE),
IF($A107&lt;CPVC!$A$100,VLOOKUP($A107,CPVC!$A$8:$M$99,7,FALSE),
IF($A107&lt;InsertFittings!$A$237,VLOOKUP($A107,InsertFittings!$A$11:$M$236,7,FALSE),
IF($A107&lt;Valves!$A$132,VLOOKUP($A107,Valves!$A$8:$M$131,7,FALSE),
IF($A107&lt;SDR35SW!$A$124,VLOOKUP($A107,SDR35SW!$A$8:$M$123,7,FALSE),
IF($A107&lt;SDR35G!$A$143,VLOOKUP($A107, SDR35G!$A$8:$M$142,7,FALSE),
IF($A107&lt;SDR26G!$A$61,VLOOKUP($A107,SDR26G!$A$8:$N$60,10,FALSE),
IF($A107&lt;Cements!$A$100,VLOOKUP($A107,Cements!$A$8:$Q$99,13,FALSE),
IF($A107&lt;ValveBox!$A$143,VLOOKUP($A107,ValveBox!$A$10:$O$142,11,FALSE),
IF($A107&lt;'ValveBox Components'!$A$165,VLOOKUP($A107,'ValveBox Components'!$A$10:$O$164,11,FALSE),
IF($A107&lt;Drainage!$A$92,VLOOKUP($A107,Drainage!$A$8:$M$91,7,FALSE),
IF($A107&lt;Nipples!$A$82,VLOOKUP($A107,Nipples!$A$9:$Q$81,13,FALSE),
IF($A107&lt;Manifold!$A$33,VLOOKUP($A107,Manifold!$A$9:$M$32,7,FALSE),
IF($A107&lt;FlexibleRepairCouplings!$A$13,VLOOKUP($A107,FlexibleRepairCouplings!$A$10:$M$12,7,FALSE),
IF($A107&lt;DuraFix!$A$15,VLOOKUP($A107,DuraFix!$A$9:$M$14,7,FALSE),
IF($A107&lt;'Compression Fittings'!$A$16,VLOOKUP($A107,'Compression Fittings'!$A$8:$M$15,7,FALSE),
IF($A107&lt;'Hose Fittings'!$A$30,VLOOKUP($A107,'Hose Fittings'!$A$8:$M$29,7,FALSE),
IF($A107&lt;'Swing Joints'!$A$496,VLOOKUP($A107,'Swing Joints'!$A$9:$M$495,7,FALSE),
IF($A107&lt;'Swing Joints Components'!$A$135,VLOOKUP($A107,'Swing Joints Components'!$A$9:$M$134,7,FALSE),
IF($A107&lt;Nonstandard!$A$42,VLOOKUP($A107,Nonstandard!$A$31:$J$41,3,FALSE),"")))))))))))))))))))))))))))),"")</f>
        <v/>
      </c>
      <c r="I107" s="587"/>
      <c r="J107" s="383" t="str">
        <f t="shared" si="3"/>
        <v/>
      </c>
      <c r="K107" s="417" t="str">
        <f>IFERROR(IF($A107&lt;'DWV PVC'!$A$285,VLOOKUP($A107,'DWV PVC'!$A$8:$M$284,10,FALSE),
IF($A107&lt;'DWV ABS'!$A$117,VLOOKUP($A107,'DWV ABS'!$A$8:$M$116,10,FALSE),
IF($A107&lt;'PVC SCH40'!$A$376,VLOOKUP($A107,'PVC SCH40'!$A$8:$M$375,10,FALSE),
IF($A107&lt;'PVC SCH40 LD'!$A$22,VLOOKUP($A107,'PVC SCH40 LD'!$A$8:$M$21,10,FALSE),
IF($A107&lt;'Pool &amp; SPA Sweep Elbows'!$A$12,VLOOKUP($A107,'Pool &amp; SPA Sweep Elbows'!$A$8:$M$11,10,FALSE),
IF($A107&lt;'Pool &amp; SPA Pipe Extender'!$A$11,VLOOKUP($A107,'Pool &amp; SPA Pipe Extender'!$A$8:$M$10,10,FALSE),
IF($A107&lt;'PVC SCH80'!$A$250,VLOOKUP($A107,'PVC SCH80'!$A$8:$M$249,10,FALSE),
IF($A107&lt;'PVC SCH80 Flange'!$A$49,VLOOKUP($A107,'PVC SCH80 Flange'!$A$8:$M$48,10,FALSE),
IF($A107&lt;'PVC SCH80 LD Flange'!$A$17,VLOOKUP($A107,'PVC SCH80 LD Flange'!$A$8:$M$16,10,FALSE),
IF($A107&lt;CPVC!$A$100,VLOOKUP($A107,CPVC!$A$8:$M$99,10,FALSE),
IF($A107&lt;InsertFittings!$A$237,VLOOKUP($A107,InsertFittings!$A$11:$M$236,10,FALSE),
IF($A107&lt;Valves!$A$132,VLOOKUP($A107,Valves!$A$8:$M$131,10,FALSE),
IF($A107&lt;SDR35SW!$A$124,VLOOKUP($A107,SDR35SW!$A$8:$M$123,10,FALSE),
IF($A107&lt;SDR35G!$A$143,VLOOKUP($A107, SDR35G!$A$8:$M$142,10,FALSE),
IF($A107&lt;SDR26G!$A$61,VLOOKUP($A107,SDR26G!$A$8:$N$60,11,FALSE),
IF($A107&lt;Cements!$A$100,VLOOKUP($A107,Cements!$A$8:$Q$99,14,FALSE),
IF($A107&lt;ValveBox!$A$143,VLOOKUP($A107,ValveBox!$A$10:$O$142,12,FALSE),
IF($A107&lt;'ValveBox Components'!$A$165,VLOOKUP($A107,'ValveBox Components'!$A$10:$O$164,12,FALSE),
IF($A107&lt;Drainage!$A$92,VLOOKUP($A107,Drainage!$A$8:$M$91,10,FALSE),
IF($A107&lt;Nipples!$A$82,VLOOKUP($A107,Nipples!$A$9:$Q$81,14,FALSE),
IF($A107&lt;Manifold!$A$33,VLOOKUP($A107,Manifold!$A$9:$M$32,10,FALSE),
IF($A107&lt;FlexibleRepairCouplings!$A$13,VLOOKUP($A107,FlexibleRepairCouplings!$A$10:$M$12,10,FALSE),
IF($A107&lt;DuraFix!$A$15,VLOOKUP($A107,DuraFix!$A$9:$M$14,10,FALSE),
IF($A107&lt;'Compression Fittings'!$A$16,VLOOKUP($A107,'Compression Fittings'!$A$8:$M$15,10,FALSE),
IF($A107&lt;'Hose Fittings'!$A$30,VLOOKUP($A107,'Hose Fittings'!$A$8:$M$29,10,FALSE),
IF($A107&lt;'Swing Joints'!$A$496,VLOOKUP($A107,'Swing Joints'!$A$9:$M$495,10,FALSE),
IF($A107&lt;'Swing Joints Components'!$A$135,VLOOKUP($A107,'Swing Joints Components'!$A$9:$M$134,10,FALSE),
IF($A107&lt;Nonstandard!$A$42,VLOOKUP($A107,Nonstandard!$A$31:$J$41,10,FALSE),"")))))))))))))))))))))))))))),"")</f>
        <v/>
      </c>
      <c r="L107" s="418" t="str">
        <f t="shared" si="2"/>
        <v>-</v>
      </c>
      <c r="M107" s="419"/>
    </row>
    <row r="108" spans="1:13" ht="15.75">
      <c r="A108" s="420">
        <v>76</v>
      </c>
      <c r="B108" s="420" t="str">
        <f>IFERROR(IF($A108&lt;'DWV PVC'!$A$285,VLOOKUP($A108,'DWV PVC'!$A$8:$M$284,4,FALSE),
IF($A108&lt;'DWV ABS'!$A$117,VLOOKUP($A108,'DWV ABS'!$A$8:$M$116,4,FALSE),
IF($A108&lt;'PVC SCH40'!$A$376,VLOOKUP($A108,'PVC SCH40'!$A$8:$M$375,4,FALSE),
IF($A108&lt;'PVC SCH40 LD'!$A$22,VLOOKUP($A108,'PVC SCH40 LD'!$A$8:$M$21,4,FALSE),
IF($A108&lt;'Pool &amp; SPA Sweep Elbows'!$A$12,VLOOKUP($A108,'Pool &amp; SPA Sweep Elbows'!$A$8:$M$11,4,FALSE),
IF($A108&lt;'Pool &amp; SPA Pipe Extender'!$A$11,VLOOKUP($A108,'Pool &amp; SPA Pipe Extender'!$A$8:$M$10,4,FALSE),
IF($A108&lt;'PVC SCH80'!$A$250,VLOOKUP($A108,'PVC SCH80'!$A$8:$M$249,4,FALSE),
IF($A108&lt;'PVC SCH80 Flange'!$A$49,VLOOKUP($A108,'PVC SCH80 Flange'!$A$8:$M$48,4,FALSE),
IF($A108&lt;'PVC SCH80 LD Flange'!$A$17,VLOOKUP($A108,'PVC SCH80 LD Flange'!$A$8:$M$16,4,FALSE),
IF($A108&lt;CPVC!$A$100,VLOOKUP($A108,CPVC!$A$8:$M$99,4,FALSE),
IF($A108&lt;InsertFittings!$A$237,VLOOKUP($A108,InsertFittings!$A$11:$M$236,4,FALSE),
IF($A108&lt;Valves!$A$132,VLOOKUP($A108,Valves!$A$8:$M$131,4,FALSE),
IF($A108&lt;SDR35SW!$A$124,VLOOKUP($A108,SDR35SW!$A$8:$M$123,4,FALSE),
IF($A108&lt;SDR35G!$A$143,VLOOKUP($A108, SDR35G!$A$8:$M$142,4,FALSE),
IF($A108&lt;SDR26G!$A$61,VLOOKUP($A108,SDR26G!$A$8:$N$60,4,FALSE),
IF($A108&lt;Cements!$A$100,VLOOKUP($A108,Cements!$A$8:$Q$99,4,FALSE),
IF($A108&lt;ValveBox!$A$143,VLOOKUP($A108,ValveBox!$A$10:$O$142,4,FALSE),
IF($A108&lt;'ValveBox Components'!$A$165,VLOOKUP($A108,'ValveBox Components'!$A$10:$O$164,4,FALSE),
IF($A108&lt;Drainage!$A$92,VLOOKUP($A108,Drainage!$A$8:$M$91,4,FALSE),
IF($A108&lt;Nipples!$A$82,VLOOKUP($A108,Nipples!$A$9:$Q$81,4,FALSE),
IF($A108&lt;Manifold!$A$33,VLOOKUP($A108,Manifold!$A$9:$M$32,4,FALSE),
IF($A108&lt;FlexibleRepairCouplings!$A$13,VLOOKUP($A108,FlexibleRepairCouplings!$A$10:$M$12,4,FALSE),
IF($A108&lt;DuraFix!$A$15,VLOOKUP($A108,DuraFix!$A$9:$M$14,4,FALSE),
IF($A108&lt;'Compression Fittings'!$A$16,VLOOKUP($A108,'Compression Fittings'!$A$8:$M$15,4,FALSE),
IF($A108&lt;'Hose Fittings'!$A$30,VLOOKUP($A108,'Hose Fittings'!$A$8:$M$29,4,FALSE),
IF($A108&lt;'Swing Joints'!$A$496,VLOOKUP($A108,'Swing Joints'!$A$9:$M$495,4,FALSE),
IF($A108&lt;'Swing Joints Components'!$A$135,VLOOKUP($A108,'Swing Joints Components'!$A$9:$M$134,4,FALSE),
IF($A108&lt;Nonstandard!$A$42,VLOOKUP($A108,Nonstandard!$A$31:$J$41,5,FALSE),"")))))))))))))))))))))))))))),"")</f>
        <v/>
      </c>
      <c r="C108" s="420" t="str">
        <f>IFERROR(IF($A108&lt;'DWV PVC'!$A$285,VLOOKUP($A108,'DWV PVC'!$A$8:$M$284,5,FALSE),
IF($A108&lt;'DWV ABS'!$A$117,VLOOKUP($A108,'DWV ABS'!$A$8:$M$116,5,FALSE),
IF($A108&lt;'PVC SCH40'!$A$376,VLOOKUP($A108,'PVC SCH40'!$A$8:$M$375,5,FALSE),
IF($A108&lt;'PVC SCH40 LD'!$A$22,VLOOKUP($A108,'PVC SCH40 LD'!$A$8:$M$21,5,FALSE),
IF($A108&lt;'Pool &amp; SPA Sweep Elbows'!$A$12,VLOOKUP($A108,'Pool &amp; SPA Sweep Elbows'!$A$8:$M$11,5,FALSE),
IF($A108&lt;'Pool &amp; SPA Pipe Extender'!$A$11,VLOOKUP($A108,'Pool &amp; SPA Pipe Extender'!$A$8:$M$10,5,FALSE),
IF($A108&lt;'PVC SCH80'!$A$250,VLOOKUP($A108,'PVC SCH80'!$A$8:$M$249,5,FALSE),
IF($A108&lt;'PVC SCH80 Flange'!$A$49,VLOOKUP($A108,'PVC SCH80 Flange'!$A$8:$M$48,5,FALSE),
IF($A108&lt;'PVC SCH80 LD Flange'!$A$17,VLOOKUP($A108,'PVC SCH80 LD Flange'!$A$8:$M$16,5,FALSE),
IF($A108&lt;CPVC!$A$100,VLOOKUP($A108,CPVC!$A$8:$M$99,5,FALSE),
IF($A108&lt;InsertFittings!$A$237,VLOOKUP($A108,InsertFittings!$A$11:$M$236,5,FALSE),
IF($A108&lt;Valves!$A$132,VLOOKUP($A108,Valves!$A$8:$M$131,5,FALSE),
IF($A108&lt;SDR35SW!$A$124,VLOOKUP($A108,SDR35SW!$A$8:$M$123,5,FALSE),
IF($A108&lt;SDR35G!$A$143,VLOOKUP($A108, SDR35G!$A$8:$M$142,5,FALSE),
IF($A108&lt;SDR26G!$A$61,VLOOKUP($A108,SDR26G!$A$8:$N$60,5,FALSE),
IF($A108&lt;Cements!$A$100,VLOOKUP($A108,Cements!$A$8:$Q$99,5,FALSE),
IF($A108&lt;ValveBox!$A$143,VLOOKUP($A108,ValveBox!$A$10:$O$142,5,FALSE),
IF($A108&lt;'ValveBox Components'!$A$165,VLOOKUP($A108,'ValveBox Components'!$A$10:$O$164,5,FALSE),
IF($A108&lt;Drainage!$A$92,VLOOKUP($A108,Drainage!$A$8:$M$91,5,FALSE),
IF($A108&lt;Nipples!$A$82,VLOOKUP($A108,Nipples!$A$9:$Q$81,5,FALSE),
IF($A108&lt;Manifold!$A$33,VLOOKUP($A108,Manifold!$A$9:$M$32,5,FALSE),
IF($A108&lt;FlexibleRepairCouplings!$A$13,VLOOKUP($A108,FlexibleRepairCouplings!$A$10:$M$12,5,FALSE),
IF($A108&lt;DuraFix!$A$15,VLOOKUP($A108,DuraFix!$A$9:$M$14,5,FALSE),
IF($A108&lt;'Compression Fittings'!$A$16,VLOOKUP($A108,'Compression Fittings'!$A$8:$M$15,5,FALSE),
IF($A108&lt;'Hose Fittings'!$A$30,VLOOKUP($A108,'Hose Fittings'!$A$8:$M$29,5,FALSE),
IF($A108&lt;'Swing Joints'!$A$496,VLOOKUP($A108,'Swing Joints'!$A$9:$M$495,5,FALSE),
IF($A108&lt;'Swing Joints Components'!$A$135,VLOOKUP($A108,'Swing Joints Components'!$A$9:$M$134,5,FALSE),
IF($A108&lt;Nonstandard!$A$42,VLOOKUP($A108,Nonstandard!$A$31:$J$41,6,FALSE),"")))))))))))))))))))))))))))),"")</f>
        <v/>
      </c>
      <c r="D108" s="428" t="str">
        <f>IFERROR(IF($A108&lt;'DWV PVC'!$A$285,VLOOKUP($A108,'DWV PVC'!$A$8:$M$284,6,FALSE),
IF($A108&lt;'DWV ABS'!$A$117,VLOOKUP($A108,'DWV ABS'!$A$8:$M$116,6,FALSE),
IF($A108&lt;'PVC SCH40'!$A$376,VLOOKUP($A108,'PVC SCH40'!$A$8:$M$375,6,FALSE),
IF($A108&lt;'PVC SCH40 LD'!$A$22,VLOOKUP($A108,'PVC SCH40 LD'!$A$8:$M$21,6,FALSE),
IF($A108&lt;'Pool &amp; SPA Sweep Elbows'!$A$12,VLOOKUP($A108,'Pool &amp; SPA Sweep Elbows'!$A$8:$M$11,6,FALSE),
IF($A108&lt;'Pool &amp; SPA Pipe Extender'!$A$11,VLOOKUP($A108,'Pool &amp; SPA Pipe Extender'!$A$8:$M$10,6,FALSE),
IF($A108&lt;'PVC SCH80'!$A$250,VLOOKUP($A108,'PVC SCH80'!$A$8:$M$249,6,FALSE),
IF($A108&lt;'PVC SCH80 Flange'!$A$49,VLOOKUP($A108,'PVC SCH80 Flange'!$A$8:$M$48,6,FALSE),
IF($A108&lt;'PVC SCH80 LD Flange'!$A$17,VLOOKUP($A108,'PVC SCH80 LD Flange'!$A$8:$M$16,6,FALSE),
IF($A108&lt;CPVC!$A$100,VLOOKUP($A108,CPVC!$A$8:$M$99,6,FALSE),
IF($A108&lt;InsertFittings!$A$237,VLOOKUP($A108,InsertFittings!$A$11:$M$236,6,FALSE),
IF($A108&lt;Valves!$A$132,VLOOKUP($A108,Valves!$A$8:$M$131,6,FALSE),
IF($A108&lt;SDR35SW!$A$124,VLOOKUP($A108,SDR35SW!$A$8:$M$123,6,FALSE),
IF($A108&lt;SDR35G!$A$143,VLOOKUP($A108, SDR35G!$A$8:$M$142,6,FALSE),
IF($A108&lt;SDR26G!$A$61,VLOOKUP($A108,SDR26G!$A$8:$N$60,6,FALSE),
IF($A108&lt;Cements!$A$100,VLOOKUP($A108,Cements!$A$8:$Q$99,6,FALSE),
IF($A108&lt;ValveBox!$A$143,VLOOKUP($A108,ValveBox!$A$10:$O$142,6,FALSE),
IF($A108&lt;'ValveBox Components'!$A$165,VLOOKUP($A108,'ValveBox Components'!$A$10:$O$164,6,FALSE),
IF($A108&lt;Drainage!$A$92,VLOOKUP($A108,Drainage!$A$8:$M$91,6,FALSE),
IF($A108&lt;Nipples!$A$82,VLOOKUP($A108,Nipples!$A$9:$Q$81,6,FALSE),
IF($A108&lt;Manifold!$A$33,VLOOKUP($A108,Manifold!$A$9:$M$32,6,FALSE),
IF($A108&lt;FlexibleRepairCouplings!$A$13,VLOOKUP($A108,FlexibleRepairCouplings!$A$10:$M$12,6,FALSE),
IF($A108&lt;DuraFix!$A$15,VLOOKUP($A108,DuraFix!$A$9:$M$14,6,FALSE),
IF($A108&lt;'Compression Fittings'!$A$16,VLOOKUP($A108,'Compression Fittings'!$A$8:$M$15,6,FALSE),
IF($A108&lt;'Hose Fittings'!$A$30,VLOOKUP($A108,'Hose Fittings'!$A$8:$M$29,6,FALSE),
IF($A108&lt;'Swing Joints'!$A$496,VLOOKUP($A108,'Swing Joints'!$A$9:$M$495,6,FALSE),
IF($A108&lt;'Swing Joints Components'!$A$135,VLOOKUP($A108,'Swing Joints Components'!$A$9:$M$134,6,FALSE),
IF($A108&lt;Nonstandard!$A$42,VLOOKUP($A108,Nonstandard!$A$31:$J$41,7,FALSE),"")))))))))))))))))))))))))))),"")</f>
        <v/>
      </c>
      <c r="E108" s="429"/>
      <c r="F108" s="421" t="str">
        <f>IFERROR(IF($A108&lt;'DWV PVC'!$A$285,VLOOKUP($A108,'DWV PVC'!$A$8:$M$284,9,FALSE),
IF($A108&lt;'DWV ABS'!$A$117,VLOOKUP($A108,'DWV ABS'!$A$8:$M$116,9,FALSE),
IF($A108&lt;'PVC SCH40'!$A$376,VLOOKUP($A108,'PVC SCH40'!$A$8:$M$375,9,FALSE),
IF($A108&lt;'PVC SCH40 LD'!$A$22,VLOOKUP($A108,'PVC SCH40 LD'!$A$8:$M$21,9,FALSE),
IF($A108&lt;'Pool &amp; SPA Sweep Elbows'!$A$12,VLOOKUP($A108,'Pool &amp; SPA Sweep Elbows'!$A$8:$M$11,9,FALSE),
IF($A108&lt;'Pool &amp; SPA Pipe Extender'!$A$11,VLOOKUP($A108,'Pool &amp; SPA Pipe Extender'!$A$8:$M$10,9,FALSE),
IF($A108&lt;'PVC SCH80'!$A$250,VLOOKUP($A108,'PVC SCH80'!$A$8:$M$249,9,FALSE),
IF($A108&lt;'PVC SCH80 Flange'!$A$49,VLOOKUP($A108,'PVC SCH80 Flange'!$A$8:$M$48,9,FALSE),
IF($A108&lt;'PVC SCH80 LD Flange'!$A$17,VLOOKUP($A108,'PVC SCH80 LD Flange'!$A$8:$M$16,9,FALSE),
IF($A108&lt;CPVC!$A$100,VLOOKUP($A108,CPVC!$A$8:$M$99,9,FALSE),
IF($A108&lt;InsertFittings!$A$237,VLOOKUP($A108,InsertFittings!$A$11:$M$236,9,FALSE),
IF($A108&lt;Valves!$A$132,VLOOKUP($A108,Valves!$A$8:$M$131,9,FALSE),
IF($A108&lt;SDR35SW!$A$124,VLOOKUP($A108,SDR35SW!$A$8:$M$123,9,FALSE),
IF($A108&lt;SDR35G!$A$143,VLOOKUP($A108, SDR35G!$A$8:$M$142,9,FALSE),
IF($A108&lt;SDR26G!$A$61,VLOOKUP($A108,SDR26G!$A$8:$N$60,10,FALSE),
IF($A108&lt;Cements!$A$100,VLOOKUP($A108,Cements!$A$8:$Q$99,13,FALSE),
IF($A108&lt;ValveBox!$A$143,VLOOKUP($A108,ValveBox!$A$10:$O$142,11,FALSE),
IF($A108&lt;'ValveBox Components'!$A$165,VLOOKUP($A108,'ValveBox Components'!$A$10:$O$164,11,FALSE),
IF($A108&lt;Drainage!$A$92,VLOOKUP($A108,Drainage!$A$8:$M$91,9,FALSE),
IF($A108&lt;Nipples!$A$82,VLOOKUP($A108,Nipples!$A$9:$Q$81,13,FALSE),
IF($A108&lt;Manifold!$A$33,VLOOKUP($A108,Manifold!$A$9:$M$32,9,FALSE),
IF($A108&lt;FlexibleRepairCouplings!$A$13,VLOOKUP($A108,FlexibleRepairCouplings!$A$10:$M$12,9,FALSE),
IF($A108&lt;DuraFix!$A$15,VLOOKUP($A108,DuraFix!$A$9:$M$14,9,FALSE),
IF($A108&lt;'Compression Fittings'!$A$16,VLOOKUP($A108,'Compression Fittings'!$A$8:$M$15,9,FALSE),
IF($A108&lt;'Hose Fittings'!$A$30,VLOOKUP($A108,'Hose Fittings'!$A$8:$M$29,9,FALSE),
IF($A108&lt;'Swing Joints'!$A$496,VLOOKUP($A108,'Swing Joints'!$A$9:$M$495,9,FALSE),
IF($A108&lt;'Swing Joints Components'!$A$135,VLOOKUP($A108,'Swing Joints Components'!$A$9:$M$134,9,FALSE),
IF($A108&lt;Nonstandard!$A$42,VLOOKUP($A108,Nonstandard!$A$31:$J$41,8,FALSE),"")))))))))))))))))))))))))))),"")</f>
        <v/>
      </c>
      <c r="G108" s="422" t="str">
        <f>IFERROR(IF($A108&lt;'DWV PVC'!$A$285,VLOOKUP($A108,'DWV PVC'!$A$8:$M$284,11,FALSE),
IF($A108&lt;'DWV ABS'!$A$117,VLOOKUP($A108,'DWV ABS'!$A$8:$M$116,11,FALSE),
IF($A108&lt;'PVC SCH40'!$A$376,VLOOKUP($A108,'PVC SCH40'!$A$8:$M$375,11,FALSE),
IF($A108&lt;'PVC SCH40 LD'!$A$22,VLOOKUP($A108,'PVC SCH40 LD'!$A$8:$M$21,11,FALSE),
IF($A108&lt;'Pool &amp; SPA Sweep Elbows'!$A$12,VLOOKUP($A108,'Pool &amp; SPA Sweep Elbows'!$A$8:$M$11,11,FALSE),
IF($A108&lt;'Pool &amp; SPA Pipe Extender'!$A$11,VLOOKUP($A108,'Pool &amp; SPA Pipe Extender'!$A$8:$M$10,11,FALSE),
IF($A108&lt;'PVC SCH80'!$A$250,VLOOKUP($A108,'PVC SCH80'!$A$8:$M$249,11,FALSE),
IF($A108&lt;'PVC SCH80 Flange'!$A$49,VLOOKUP($A108,'PVC SCH80 Flange'!$A$8:$M$48,11,FALSE),
IF($A108&lt;'PVC SCH80 LD Flange'!$A$17,VLOOKUP($A108,'PVC SCH80 LD Flange'!$A$8:$M$16,11,FALSE),
IF($A108&lt;CPVC!$A$100,VLOOKUP($A108,CPVC!$A$8:$M$99,11,FALSE),
IF($A108&lt;InsertFittings!$A$237,VLOOKUP($A108,InsertFittings!$A$11:$M$236,11,FALSE),
IF($A108&lt;Valves!$A$132,VLOOKUP($A108,Valves!$A$8:$M$131,11,FALSE),
IF($A108&lt;SDR35SW!$A$124,VLOOKUP($A108,SDR35SW!$A$8:$M$123,11,FALSE),
IF($A108&lt;SDR35G!$A$143,VLOOKUP($A108, SDR35G!$A$8:$M$142,11,FALSE),
IF($A108&lt;SDR26G!$A$61,VLOOKUP($A108,SDR26G!$A$8:$N$60,12,FALSE),
IF($A108&lt;Cements!$A$100,VLOOKUP($A108,Cements!$A$8:$Q$99,15,FALSE),
IF($A108&lt;ValveBox!$A$143,VLOOKUP($A108,ValveBox!$A$10:$O$142,13,FALSE),
IF($A108&lt;'ValveBox Components'!$A$165,VLOOKUP($A108,'ValveBox Components'!$A$10:$O$164,13,FALSE),
IF($A108&lt;Drainage!$A$92,VLOOKUP($A108,Drainage!$A$8:$M$91,11,FALSE),
IF($A108&lt;Nipples!$A$82,VLOOKUP($A108,Nipples!$A$9:$Q$81,15,FALSE),
IF($A108&lt;Manifold!$A$33,VLOOKUP($A108,Manifold!$A$9:$M$32,11,FALSE),
IF($A108&lt;FlexibleRepairCouplings!$A$13,VLOOKUP($A108,FlexibleRepairCouplings!$A$10:$M$12,11,FALSE),
IF($A108&lt;DuraFix!$A$15,VLOOKUP($A108,DuraFix!$A$9:$M$14,11,FALSE),
IF($A108&lt;'Compression Fittings'!$A$16,VLOOKUP($A108,'Compression Fittings'!$A$8:$M$15,11,FALSE),
IF($A108&lt;'Hose Fittings'!$A$30,VLOOKUP($A108,'Hose Fittings'!$A$8:$M$29,11,FALSE),
IF($A108&lt;'Swing Joints'!$A$496,VLOOKUP($A108,'Swing Joints'!$A$9:$M$495,11,FALSE),
IF($A108&lt;'Swing Joints Components'!$A$135,VLOOKUP($A108,'Swing Joints Components'!$A$9:$M$134,11,FALSE),
IF($A108&lt;Nonstandard!$A$42,VLOOKUP($A108,Nonstandard!$A$31:$J$41,3,FALSE),"")))))))))))))))))))))))))))),"")</f>
        <v/>
      </c>
      <c r="H108" s="588" t="str">
        <f>IFERROR(IF($A108&lt;'DWV PVC'!$A$285,VLOOKUP($A108,'DWV PVC'!$A$8:$M$284,7,FALSE),
IF($A108&lt;'DWV ABS'!$A$117,VLOOKUP($A108,'DWV ABS'!$A$8:$M$116,7,FALSE),
IF($A108&lt;'PVC SCH40'!$A$376,VLOOKUP($A108,'PVC SCH40'!$A$8:$M$375,7,FALSE),
IF($A108&lt;'PVC SCH40 LD'!$A$22,VLOOKUP($A108,'PVC SCH40 LD'!$A$8:$M$21,7,FALSE),
IF($A108&lt;'Pool &amp; SPA Sweep Elbows'!$A$12,VLOOKUP($A108,'Pool &amp; SPA Sweep Elbows'!$A$8:$M$11,7,FALSE),
IF($A108&lt;'Pool &amp; SPA Pipe Extender'!$A$11,VLOOKUP($A108,'Pool &amp; SPA Pipe Extender'!$A$8:$M$10,7,FALSE),
IF($A108&lt;'PVC SCH80'!$A$250,VLOOKUP($A108,'PVC SCH80'!$A$8:$M$249,7,FALSE),
IF($A108&lt;'PVC SCH80 Flange'!$A$49,VLOOKUP($A108,'PVC SCH80 Flange'!$A$8:$M$48,7,FALSE),
IF($A108&lt;'PVC SCH80 LD Flange'!$A$17,VLOOKUP($A108,'PVC SCH80 LD Flange'!$A$8:$M$16,7,FALSE),
IF($A108&lt;CPVC!$A$100,VLOOKUP($A108,CPVC!$A$8:$M$99,7,FALSE),
IF($A108&lt;InsertFittings!$A$237,VLOOKUP($A108,InsertFittings!$A$11:$M$236,7,FALSE),
IF($A108&lt;Valves!$A$132,VLOOKUP($A108,Valves!$A$8:$M$131,7,FALSE),
IF($A108&lt;SDR35SW!$A$124,VLOOKUP($A108,SDR35SW!$A$8:$M$123,7,FALSE),
IF($A108&lt;SDR35G!$A$143,VLOOKUP($A108, SDR35G!$A$8:$M$142,7,FALSE),
IF($A108&lt;SDR26G!$A$61,VLOOKUP($A108,SDR26G!$A$8:$N$60,10,FALSE),
IF($A108&lt;Cements!$A$100,VLOOKUP($A108,Cements!$A$8:$Q$99,13,FALSE),
IF($A108&lt;ValveBox!$A$143,VLOOKUP($A108,ValveBox!$A$10:$O$142,11,FALSE),
IF($A108&lt;'ValveBox Components'!$A$165,VLOOKUP($A108,'ValveBox Components'!$A$10:$O$164,11,FALSE),
IF($A108&lt;Drainage!$A$92,VLOOKUP($A108,Drainage!$A$8:$M$91,7,FALSE),
IF($A108&lt;Nipples!$A$82,VLOOKUP($A108,Nipples!$A$9:$Q$81,13,FALSE),
IF($A108&lt;Manifold!$A$33,VLOOKUP($A108,Manifold!$A$9:$M$32,7,FALSE),
IF($A108&lt;FlexibleRepairCouplings!$A$13,VLOOKUP($A108,FlexibleRepairCouplings!$A$10:$M$12,7,FALSE),
IF($A108&lt;DuraFix!$A$15,VLOOKUP($A108,DuraFix!$A$9:$M$14,7,FALSE),
IF($A108&lt;'Compression Fittings'!$A$16,VLOOKUP($A108,'Compression Fittings'!$A$8:$M$15,7,FALSE),
IF($A108&lt;'Hose Fittings'!$A$30,VLOOKUP($A108,'Hose Fittings'!$A$8:$M$29,7,FALSE),
IF($A108&lt;'Swing Joints'!$A$496,VLOOKUP($A108,'Swing Joints'!$A$9:$M$495,7,FALSE),
IF($A108&lt;'Swing Joints Components'!$A$135,VLOOKUP($A108,'Swing Joints Components'!$A$9:$M$134,7,FALSE),
IF($A108&lt;Nonstandard!$A$42,VLOOKUP($A108,Nonstandard!$A$31:$J$41,3,FALSE),"")))))))))))))))))))))))))))),"")</f>
        <v/>
      </c>
      <c r="I108" s="589"/>
      <c r="J108" s="423" t="str">
        <f t="shared" si="3"/>
        <v/>
      </c>
      <c r="K108" s="424" t="str">
        <f>IFERROR(IF($A108&lt;'DWV PVC'!$A$285,VLOOKUP($A108,'DWV PVC'!$A$8:$M$284,10,FALSE),
IF($A108&lt;'DWV ABS'!$A$117,VLOOKUP($A108,'DWV ABS'!$A$8:$M$116,10,FALSE),
IF($A108&lt;'PVC SCH40'!$A$376,VLOOKUP($A108,'PVC SCH40'!$A$8:$M$375,10,FALSE),
IF($A108&lt;'PVC SCH40 LD'!$A$22,VLOOKUP($A108,'PVC SCH40 LD'!$A$8:$M$21,10,FALSE),
IF($A108&lt;'Pool &amp; SPA Sweep Elbows'!$A$12,VLOOKUP($A108,'Pool &amp; SPA Sweep Elbows'!$A$8:$M$11,10,FALSE),
IF($A108&lt;'Pool &amp; SPA Pipe Extender'!$A$11,VLOOKUP($A108,'Pool &amp; SPA Pipe Extender'!$A$8:$M$10,10,FALSE),
IF($A108&lt;'PVC SCH80'!$A$250,VLOOKUP($A108,'PVC SCH80'!$A$8:$M$249,10,FALSE),
IF($A108&lt;'PVC SCH80 Flange'!$A$49,VLOOKUP($A108,'PVC SCH80 Flange'!$A$8:$M$48,10,FALSE),
IF($A108&lt;'PVC SCH80 LD Flange'!$A$17,VLOOKUP($A108,'PVC SCH80 LD Flange'!$A$8:$M$16,10,FALSE),
IF($A108&lt;CPVC!$A$100,VLOOKUP($A108,CPVC!$A$8:$M$99,10,FALSE),
IF($A108&lt;InsertFittings!$A$237,VLOOKUP($A108,InsertFittings!$A$11:$M$236,10,FALSE),
IF($A108&lt;Valves!$A$132,VLOOKUP($A108,Valves!$A$8:$M$131,10,FALSE),
IF($A108&lt;SDR35SW!$A$124,VLOOKUP($A108,SDR35SW!$A$8:$M$123,10,FALSE),
IF($A108&lt;SDR35G!$A$143,VLOOKUP($A108, SDR35G!$A$8:$M$142,10,FALSE),
IF($A108&lt;SDR26G!$A$61,VLOOKUP($A108,SDR26G!$A$8:$N$60,11,FALSE),
IF($A108&lt;Cements!$A$100,VLOOKUP($A108,Cements!$A$8:$Q$99,14,FALSE),
IF($A108&lt;ValveBox!$A$143,VLOOKUP($A108,ValveBox!$A$10:$O$142,12,FALSE),
IF($A108&lt;'ValveBox Components'!$A$165,VLOOKUP($A108,'ValveBox Components'!$A$10:$O$164,12,FALSE),
IF($A108&lt;Drainage!$A$92,VLOOKUP($A108,Drainage!$A$8:$M$91,10,FALSE),
IF($A108&lt;Nipples!$A$82,VLOOKUP($A108,Nipples!$A$9:$Q$81,14,FALSE),
IF($A108&lt;Manifold!$A$33,VLOOKUP($A108,Manifold!$A$9:$M$32,10,FALSE),
IF($A108&lt;FlexibleRepairCouplings!$A$13,VLOOKUP($A108,FlexibleRepairCouplings!$A$10:$M$12,10,FALSE),
IF($A108&lt;DuraFix!$A$15,VLOOKUP($A108,DuraFix!$A$9:$M$14,10,FALSE),
IF($A108&lt;'Compression Fittings'!$A$16,VLOOKUP($A108,'Compression Fittings'!$A$8:$M$15,10,FALSE),
IF($A108&lt;'Hose Fittings'!$A$30,VLOOKUP($A108,'Hose Fittings'!$A$8:$M$29,10,FALSE),
IF($A108&lt;'Swing Joints'!$A$496,VLOOKUP($A108,'Swing Joints'!$A$9:$M$495,10,FALSE),
IF($A108&lt;'Swing Joints Components'!$A$135,VLOOKUP($A108,'Swing Joints Components'!$A$9:$M$134,10,FALSE),
IF($A108&lt;Nonstandard!$A$42,VLOOKUP($A108,Nonstandard!$A$31:$J$41,10,FALSE),"")))))))))))))))))))))))))))),"")</f>
        <v/>
      </c>
      <c r="L108" s="421" t="str">
        <f t="shared" si="2"/>
        <v>-</v>
      </c>
      <c r="M108" s="425"/>
    </row>
    <row r="109" spans="1:13" ht="15.75">
      <c r="A109" s="415">
        <v>77</v>
      </c>
      <c r="B109" s="415" t="str">
        <f>IFERROR(IF($A109&lt;'DWV PVC'!$A$285,VLOOKUP($A109,'DWV PVC'!$A$8:$M$284,4,FALSE),
IF($A109&lt;'DWV ABS'!$A$117,VLOOKUP($A109,'DWV ABS'!$A$8:$M$116,4,FALSE),
IF($A109&lt;'PVC SCH40'!$A$376,VLOOKUP($A109,'PVC SCH40'!$A$8:$M$375,4,FALSE),
IF($A109&lt;'PVC SCH40 LD'!$A$22,VLOOKUP($A109,'PVC SCH40 LD'!$A$8:$M$21,4,FALSE),
IF($A109&lt;'Pool &amp; SPA Sweep Elbows'!$A$12,VLOOKUP($A109,'Pool &amp; SPA Sweep Elbows'!$A$8:$M$11,4,FALSE),
IF($A109&lt;'Pool &amp; SPA Pipe Extender'!$A$11,VLOOKUP($A109,'Pool &amp; SPA Pipe Extender'!$A$8:$M$10,4,FALSE),
IF($A109&lt;'PVC SCH80'!$A$250,VLOOKUP($A109,'PVC SCH80'!$A$8:$M$249,4,FALSE),
IF($A109&lt;'PVC SCH80 Flange'!$A$49,VLOOKUP($A109,'PVC SCH80 Flange'!$A$8:$M$48,4,FALSE),
IF($A109&lt;'PVC SCH80 LD Flange'!$A$17,VLOOKUP($A109,'PVC SCH80 LD Flange'!$A$8:$M$16,4,FALSE),
IF($A109&lt;CPVC!$A$100,VLOOKUP($A109,CPVC!$A$8:$M$99,4,FALSE),
IF($A109&lt;InsertFittings!$A$237,VLOOKUP($A109,InsertFittings!$A$11:$M$236,4,FALSE),
IF($A109&lt;Valves!$A$132,VLOOKUP($A109,Valves!$A$8:$M$131,4,FALSE),
IF($A109&lt;SDR35SW!$A$124,VLOOKUP($A109,SDR35SW!$A$8:$M$123,4,FALSE),
IF($A109&lt;SDR35G!$A$143,VLOOKUP($A109, SDR35G!$A$8:$M$142,4,FALSE),
IF($A109&lt;SDR26G!$A$61,VLOOKUP($A109,SDR26G!$A$8:$N$60,4,FALSE),
IF($A109&lt;Cements!$A$100,VLOOKUP($A109,Cements!$A$8:$Q$99,4,FALSE),
IF($A109&lt;ValveBox!$A$143,VLOOKUP($A109,ValveBox!$A$10:$O$142,4,FALSE),
IF($A109&lt;'ValveBox Components'!$A$165,VLOOKUP($A109,'ValveBox Components'!$A$10:$O$164,4,FALSE),
IF($A109&lt;Drainage!$A$92,VLOOKUP($A109,Drainage!$A$8:$M$91,4,FALSE),
IF($A109&lt;Nipples!$A$82,VLOOKUP($A109,Nipples!$A$9:$Q$81,4,FALSE),
IF($A109&lt;Manifold!$A$33,VLOOKUP($A109,Manifold!$A$9:$M$32,4,FALSE),
IF($A109&lt;FlexibleRepairCouplings!$A$13,VLOOKUP($A109,FlexibleRepairCouplings!$A$10:$M$12,4,FALSE),
IF($A109&lt;DuraFix!$A$15,VLOOKUP($A109,DuraFix!$A$9:$M$14,4,FALSE),
IF($A109&lt;'Compression Fittings'!$A$16,VLOOKUP($A109,'Compression Fittings'!$A$8:$M$15,4,FALSE),
IF($A109&lt;'Hose Fittings'!$A$30,VLOOKUP($A109,'Hose Fittings'!$A$8:$M$29,4,FALSE),
IF($A109&lt;'Swing Joints'!$A$496,VLOOKUP($A109,'Swing Joints'!$A$9:$M$495,4,FALSE),
IF($A109&lt;'Swing Joints Components'!$A$135,VLOOKUP($A109,'Swing Joints Components'!$A$9:$M$134,4,FALSE),
IF($A109&lt;Nonstandard!$A$42,VLOOKUP($A109,Nonstandard!$A$31:$J$41,5,FALSE),"")))))))))))))))))))))))))))),"")</f>
        <v/>
      </c>
      <c r="C109" s="415" t="str">
        <f>IFERROR(IF($A109&lt;'DWV PVC'!$A$285,VLOOKUP($A109,'DWV PVC'!$A$8:$M$284,5,FALSE),
IF($A109&lt;'DWV ABS'!$A$117,VLOOKUP($A109,'DWV ABS'!$A$8:$M$116,5,FALSE),
IF($A109&lt;'PVC SCH40'!$A$376,VLOOKUP($A109,'PVC SCH40'!$A$8:$M$375,5,FALSE),
IF($A109&lt;'PVC SCH40 LD'!$A$22,VLOOKUP($A109,'PVC SCH40 LD'!$A$8:$M$21,5,FALSE),
IF($A109&lt;'Pool &amp; SPA Sweep Elbows'!$A$12,VLOOKUP($A109,'Pool &amp; SPA Sweep Elbows'!$A$8:$M$11,5,FALSE),
IF($A109&lt;'Pool &amp; SPA Pipe Extender'!$A$11,VLOOKUP($A109,'Pool &amp; SPA Pipe Extender'!$A$8:$M$10,5,FALSE),
IF($A109&lt;'PVC SCH80'!$A$250,VLOOKUP($A109,'PVC SCH80'!$A$8:$M$249,5,FALSE),
IF($A109&lt;'PVC SCH80 Flange'!$A$49,VLOOKUP($A109,'PVC SCH80 Flange'!$A$8:$M$48,5,FALSE),
IF($A109&lt;'PVC SCH80 LD Flange'!$A$17,VLOOKUP($A109,'PVC SCH80 LD Flange'!$A$8:$M$16,5,FALSE),
IF($A109&lt;CPVC!$A$100,VLOOKUP($A109,CPVC!$A$8:$M$99,5,FALSE),
IF($A109&lt;InsertFittings!$A$237,VLOOKUP($A109,InsertFittings!$A$11:$M$236,5,FALSE),
IF($A109&lt;Valves!$A$132,VLOOKUP($A109,Valves!$A$8:$M$131,5,FALSE),
IF($A109&lt;SDR35SW!$A$124,VLOOKUP($A109,SDR35SW!$A$8:$M$123,5,FALSE),
IF($A109&lt;SDR35G!$A$143,VLOOKUP($A109, SDR35G!$A$8:$M$142,5,FALSE),
IF($A109&lt;SDR26G!$A$61,VLOOKUP($A109,SDR26G!$A$8:$N$60,5,FALSE),
IF($A109&lt;Cements!$A$100,VLOOKUP($A109,Cements!$A$8:$Q$99,5,FALSE),
IF($A109&lt;ValveBox!$A$143,VLOOKUP($A109,ValveBox!$A$10:$O$142,5,FALSE),
IF($A109&lt;'ValveBox Components'!$A$165,VLOOKUP($A109,'ValveBox Components'!$A$10:$O$164,5,FALSE),
IF($A109&lt;Drainage!$A$92,VLOOKUP($A109,Drainage!$A$8:$M$91,5,FALSE),
IF($A109&lt;Nipples!$A$82,VLOOKUP($A109,Nipples!$A$9:$Q$81,5,FALSE),
IF($A109&lt;Manifold!$A$33,VLOOKUP($A109,Manifold!$A$9:$M$32,5,FALSE),
IF($A109&lt;FlexibleRepairCouplings!$A$13,VLOOKUP($A109,FlexibleRepairCouplings!$A$10:$M$12,5,FALSE),
IF($A109&lt;DuraFix!$A$15,VLOOKUP($A109,DuraFix!$A$9:$M$14,5,FALSE),
IF($A109&lt;'Compression Fittings'!$A$16,VLOOKUP($A109,'Compression Fittings'!$A$8:$M$15,5,FALSE),
IF($A109&lt;'Hose Fittings'!$A$30,VLOOKUP($A109,'Hose Fittings'!$A$8:$M$29,5,FALSE),
IF($A109&lt;'Swing Joints'!$A$496,VLOOKUP($A109,'Swing Joints'!$A$9:$M$495,5,FALSE),
IF($A109&lt;'Swing Joints Components'!$A$135,VLOOKUP($A109,'Swing Joints Components'!$A$9:$M$134,5,FALSE),
IF($A109&lt;Nonstandard!$A$42,VLOOKUP($A109,Nonstandard!$A$31:$J$41,6,FALSE),"")))))))))))))))))))))))))))),"")</f>
        <v/>
      </c>
      <c r="D109" s="426" t="str">
        <f>IFERROR(IF($A109&lt;'DWV PVC'!$A$285,VLOOKUP($A109,'DWV PVC'!$A$8:$M$284,6,FALSE),
IF($A109&lt;'DWV ABS'!$A$117,VLOOKUP($A109,'DWV ABS'!$A$8:$M$116,6,FALSE),
IF($A109&lt;'PVC SCH40'!$A$376,VLOOKUP($A109,'PVC SCH40'!$A$8:$M$375,6,FALSE),
IF($A109&lt;'PVC SCH40 LD'!$A$22,VLOOKUP($A109,'PVC SCH40 LD'!$A$8:$M$21,6,FALSE),
IF($A109&lt;'Pool &amp; SPA Sweep Elbows'!$A$12,VLOOKUP($A109,'Pool &amp; SPA Sweep Elbows'!$A$8:$M$11,6,FALSE),
IF($A109&lt;'Pool &amp; SPA Pipe Extender'!$A$11,VLOOKUP($A109,'Pool &amp; SPA Pipe Extender'!$A$8:$M$10,6,FALSE),
IF($A109&lt;'PVC SCH80'!$A$250,VLOOKUP($A109,'PVC SCH80'!$A$8:$M$249,6,FALSE),
IF($A109&lt;'PVC SCH80 Flange'!$A$49,VLOOKUP($A109,'PVC SCH80 Flange'!$A$8:$M$48,6,FALSE),
IF($A109&lt;'PVC SCH80 LD Flange'!$A$17,VLOOKUP($A109,'PVC SCH80 LD Flange'!$A$8:$M$16,6,FALSE),
IF($A109&lt;CPVC!$A$100,VLOOKUP($A109,CPVC!$A$8:$M$99,6,FALSE),
IF($A109&lt;InsertFittings!$A$237,VLOOKUP($A109,InsertFittings!$A$11:$M$236,6,FALSE),
IF($A109&lt;Valves!$A$132,VLOOKUP($A109,Valves!$A$8:$M$131,6,FALSE),
IF($A109&lt;SDR35SW!$A$124,VLOOKUP($A109,SDR35SW!$A$8:$M$123,6,FALSE),
IF($A109&lt;SDR35G!$A$143,VLOOKUP($A109, SDR35G!$A$8:$M$142,6,FALSE),
IF($A109&lt;SDR26G!$A$61,VLOOKUP($A109,SDR26G!$A$8:$N$60,6,FALSE),
IF($A109&lt;Cements!$A$100,VLOOKUP($A109,Cements!$A$8:$Q$99,6,FALSE),
IF($A109&lt;ValveBox!$A$143,VLOOKUP($A109,ValveBox!$A$10:$O$142,6,FALSE),
IF($A109&lt;'ValveBox Components'!$A$165,VLOOKUP($A109,'ValveBox Components'!$A$10:$O$164,6,FALSE),
IF($A109&lt;Drainage!$A$92,VLOOKUP($A109,Drainage!$A$8:$M$91,6,FALSE),
IF($A109&lt;Nipples!$A$82,VLOOKUP($A109,Nipples!$A$9:$Q$81,6,FALSE),
IF($A109&lt;Manifold!$A$33,VLOOKUP($A109,Manifold!$A$9:$M$32,6,FALSE),
IF($A109&lt;FlexibleRepairCouplings!$A$13,VLOOKUP($A109,FlexibleRepairCouplings!$A$10:$M$12,6,FALSE),
IF($A109&lt;DuraFix!$A$15,VLOOKUP($A109,DuraFix!$A$9:$M$14,6,FALSE),
IF($A109&lt;'Compression Fittings'!$A$16,VLOOKUP($A109,'Compression Fittings'!$A$8:$M$15,6,FALSE),
IF($A109&lt;'Hose Fittings'!$A$30,VLOOKUP($A109,'Hose Fittings'!$A$8:$M$29,6,FALSE),
IF($A109&lt;'Swing Joints'!$A$496,VLOOKUP($A109,'Swing Joints'!$A$9:$M$495,6,FALSE),
IF($A109&lt;'Swing Joints Components'!$A$135,VLOOKUP($A109,'Swing Joints Components'!$A$9:$M$134,6,FALSE),
IF($A109&lt;Nonstandard!$A$42,VLOOKUP($A109,Nonstandard!$A$31:$J$41,7,FALSE),"")))))))))))))))))))))))))))),"")</f>
        <v/>
      </c>
      <c r="E109" s="427"/>
      <c r="F109" s="418" t="str">
        <f>IFERROR(IF($A109&lt;'DWV PVC'!$A$285,VLOOKUP($A109,'DWV PVC'!$A$8:$M$284,9,FALSE),
IF($A109&lt;'DWV ABS'!$A$117,VLOOKUP($A109,'DWV ABS'!$A$8:$M$116,9,FALSE),
IF($A109&lt;'PVC SCH40'!$A$376,VLOOKUP($A109,'PVC SCH40'!$A$8:$M$375,9,FALSE),
IF($A109&lt;'PVC SCH40 LD'!$A$22,VLOOKUP($A109,'PVC SCH40 LD'!$A$8:$M$21,9,FALSE),
IF($A109&lt;'Pool &amp; SPA Sweep Elbows'!$A$12,VLOOKUP($A109,'Pool &amp; SPA Sweep Elbows'!$A$8:$M$11,9,FALSE),
IF($A109&lt;'Pool &amp; SPA Pipe Extender'!$A$11,VLOOKUP($A109,'Pool &amp; SPA Pipe Extender'!$A$8:$M$10,9,FALSE),
IF($A109&lt;'PVC SCH80'!$A$250,VLOOKUP($A109,'PVC SCH80'!$A$8:$M$249,9,FALSE),
IF($A109&lt;'PVC SCH80 Flange'!$A$49,VLOOKUP($A109,'PVC SCH80 Flange'!$A$8:$M$48,9,FALSE),
IF($A109&lt;'PVC SCH80 LD Flange'!$A$17,VLOOKUP($A109,'PVC SCH80 LD Flange'!$A$8:$M$16,9,FALSE),
IF($A109&lt;CPVC!$A$100,VLOOKUP($A109,CPVC!$A$8:$M$99,9,FALSE),
IF($A109&lt;InsertFittings!$A$237,VLOOKUP($A109,InsertFittings!$A$11:$M$236,9,FALSE),
IF($A109&lt;Valves!$A$132,VLOOKUP($A109,Valves!$A$8:$M$131,9,FALSE),
IF($A109&lt;SDR35SW!$A$124,VLOOKUP($A109,SDR35SW!$A$8:$M$123,9,FALSE),
IF($A109&lt;SDR35G!$A$143,VLOOKUP($A109, SDR35G!$A$8:$M$142,9,FALSE),
IF($A109&lt;SDR26G!$A$61,VLOOKUP($A109,SDR26G!$A$8:$N$60,10,FALSE),
IF($A109&lt;Cements!$A$100,VLOOKUP($A109,Cements!$A$8:$Q$99,13,FALSE),
IF($A109&lt;ValveBox!$A$143,VLOOKUP($A109,ValveBox!$A$10:$O$142,11,FALSE),
IF($A109&lt;'ValveBox Components'!$A$165,VLOOKUP($A109,'ValveBox Components'!$A$10:$O$164,11,FALSE),
IF($A109&lt;Drainage!$A$92,VLOOKUP($A109,Drainage!$A$8:$M$91,9,FALSE),
IF($A109&lt;Nipples!$A$82,VLOOKUP($A109,Nipples!$A$9:$Q$81,13,FALSE),
IF($A109&lt;Manifold!$A$33,VLOOKUP($A109,Manifold!$A$9:$M$32,9,FALSE),
IF($A109&lt;FlexibleRepairCouplings!$A$13,VLOOKUP($A109,FlexibleRepairCouplings!$A$10:$M$12,9,FALSE),
IF($A109&lt;DuraFix!$A$15,VLOOKUP($A109,DuraFix!$A$9:$M$14,9,FALSE),
IF($A109&lt;'Compression Fittings'!$A$16,VLOOKUP($A109,'Compression Fittings'!$A$8:$M$15,9,FALSE),
IF($A109&lt;'Hose Fittings'!$A$30,VLOOKUP($A109,'Hose Fittings'!$A$8:$M$29,9,FALSE),
IF($A109&lt;'Swing Joints'!$A$496,VLOOKUP($A109,'Swing Joints'!$A$9:$M$495,9,FALSE),
IF($A109&lt;'Swing Joints Components'!$A$135,VLOOKUP($A109,'Swing Joints Components'!$A$9:$M$134,9,FALSE),
IF($A109&lt;Nonstandard!$A$42,VLOOKUP($A109,Nonstandard!$A$31:$J$41,8,FALSE),"")))))))))))))))))))))))))))),"")</f>
        <v/>
      </c>
      <c r="G109" s="416" t="str">
        <f>IFERROR(IF($A109&lt;'DWV PVC'!$A$285,VLOOKUP($A109,'DWV PVC'!$A$8:$M$284,11,FALSE),
IF($A109&lt;'DWV ABS'!$A$117,VLOOKUP($A109,'DWV ABS'!$A$8:$M$116,11,FALSE),
IF($A109&lt;'PVC SCH40'!$A$376,VLOOKUP($A109,'PVC SCH40'!$A$8:$M$375,11,FALSE),
IF($A109&lt;'PVC SCH40 LD'!$A$22,VLOOKUP($A109,'PVC SCH40 LD'!$A$8:$M$21,11,FALSE),
IF($A109&lt;'Pool &amp; SPA Sweep Elbows'!$A$12,VLOOKUP($A109,'Pool &amp; SPA Sweep Elbows'!$A$8:$M$11,11,FALSE),
IF($A109&lt;'Pool &amp; SPA Pipe Extender'!$A$11,VLOOKUP($A109,'Pool &amp; SPA Pipe Extender'!$A$8:$M$10,11,FALSE),
IF($A109&lt;'PVC SCH80'!$A$250,VLOOKUP($A109,'PVC SCH80'!$A$8:$M$249,11,FALSE),
IF($A109&lt;'PVC SCH80 Flange'!$A$49,VLOOKUP($A109,'PVC SCH80 Flange'!$A$8:$M$48,11,FALSE),
IF($A109&lt;'PVC SCH80 LD Flange'!$A$17,VLOOKUP($A109,'PVC SCH80 LD Flange'!$A$8:$M$16,11,FALSE),
IF($A109&lt;CPVC!$A$100,VLOOKUP($A109,CPVC!$A$8:$M$99,11,FALSE),
IF($A109&lt;InsertFittings!$A$237,VLOOKUP($A109,InsertFittings!$A$11:$M$236,11,FALSE),
IF($A109&lt;Valves!$A$132,VLOOKUP($A109,Valves!$A$8:$M$131,11,FALSE),
IF($A109&lt;SDR35SW!$A$124,VLOOKUP($A109,SDR35SW!$A$8:$M$123,11,FALSE),
IF($A109&lt;SDR35G!$A$143,VLOOKUP($A109, SDR35G!$A$8:$M$142,11,FALSE),
IF($A109&lt;SDR26G!$A$61,VLOOKUP($A109,SDR26G!$A$8:$N$60,12,FALSE),
IF($A109&lt;Cements!$A$100,VLOOKUP($A109,Cements!$A$8:$Q$99,15,FALSE),
IF($A109&lt;ValveBox!$A$143,VLOOKUP($A109,ValveBox!$A$10:$O$142,13,FALSE),
IF($A109&lt;'ValveBox Components'!$A$165,VLOOKUP($A109,'ValveBox Components'!$A$10:$O$164,13,FALSE),
IF($A109&lt;Drainage!$A$92,VLOOKUP($A109,Drainage!$A$8:$M$91,11,FALSE),
IF($A109&lt;Nipples!$A$82,VLOOKUP($A109,Nipples!$A$9:$Q$81,15,FALSE),
IF($A109&lt;Manifold!$A$33,VLOOKUP($A109,Manifold!$A$9:$M$32,11,FALSE),
IF($A109&lt;FlexibleRepairCouplings!$A$13,VLOOKUP($A109,FlexibleRepairCouplings!$A$10:$M$12,11,FALSE),
IF($A109&lt;DuraFix!$A$15,VLOOKUP($A109,DuraFix!$A$9:$M$14,11,FALSE),
IF($A109&lt;'Compression Fittings'!$A$16,VLOOKUP($A109,'Compression Fittings'!$A$8:$M$15,11,FALSE),
IF($A109&lt;'Hose Fittings'!$A$30,VLOOKUP($A109,'Hose Fittings'!$A$8:$M$29,11,FALSE),
IF($A109&lt;'Swing Joints'!$A$496,VLOOKUP($A109,'Swing Joints'!$A$9:$M$495,11,FALSE),
IF($A109&lt;'Swing Joints Components'!$A$135,VLOOKUP($A109,'Swing Joints Components'!$A$9:$M$134,11,FALSE),
IF($A109&lt;Nonstandard!$A$42,VLOOKUP($A109,Nonstandard!$A$31:$J$41,3,FALSE),"")))))))))))))))))))))))))))),"")</f>
        <v/>
      </c>
      <c r="H109" s="586" t="str">
        <f>IFERROR(IF($A109&lt;'DWV PVC'!$A$285,VLOOKUP($A109,'DWV PVC'!$A$8:$M$284,7,FALSE),
IF($A109&lt;'DWV ABS'!$A$117,VLOOKUP($A109,'DWV ABS'!$A$8:$M$116,7,FALSE),
IF($A109&lt;'PVC SCH40'!$A$376,VLOOKUP($A109,'PVC SCH40'!$A$8:$M$375,7,FALSE),
IF($A109&lt;'PVC SCH40 LD'!$A$22,VLOOKUP($A109,'PVC SCH40 LD'!$A$8:$M$21,7,FALSE),
IF($A109&lt;'Pool &amp; SPA Sweep Elbows'!$A$12,VLOOKUP($A109,'Pool &amp; SPA Sweep Elbows'!$A$8:$M$11,7,FALSE),
IF($A109&lt;'Pool &amp; SPA Pipe Extender'!$A$11,VLOOKUP($A109,'Pool &amp; SPA Pipe Extender'!$A$8:$M$10,7,FALSE),
IF($A109&lt;'PVC SCH80'!$A$250,VLOOKUP($A109,'PVC SCH80'!$A$8:$M$249,7,FALSE),
IF($A109&lt;'PVC SCH80 Flange'!$A$49,VLOOKUP($A109,'PVC SCH80 Flange'!$A$8:$M$48,7,FALSE),
IF($A109&lt;'PVC SCH80 LD Flange'!$A$17,VLOOKUP($A109,'PVC SCH80 LD Flange'!$A$8:$M$16,7,FALSE),
IF($A109&lt;CPVC!$A$100,VLOOKUP($A109,CPVC!$A$8:$M$99,7,FALSE),
IF($A109&lt;InsertFittings!$A$237,VLOOKUP($A109,InsertFittings!$A$11:$M$236,7,FALSE),
IF($A109&lt;Valves!$A$132,VLOOKUP($A109,Valves!$A$8:$M$131,7,FALSE),
IF($A109&lt;SDR35SW!$A$124,VLOOKUP($A109,SDR35SW!$A$8:$M$123,7,FALSE),
IF($A109&lt;SDR35G!$A$143,VLOOKUP($A109, SDR35G!$A$8:$M$142,7,FALSE),
IF($A109&lt;SDR26G!$A$61,VLOOKUP($A109,SDR26G!$A$8:$N$60,10,FALSE),
IF($A109&lt;Cements!$A$100,VLOOKUP($A109,Cements!$A$8:$Q$99,13,FALSE),
IF($A109&lt;ValveBox!$A$143,VLOOKUP($A109,ValveBox!$A$10:$O$142,11,FALSE),
IF($A109&lt;'ValveBox Components'!$A$165,VLOOKUP($A109,'ValveBox Components'!$A$10:$O$164,11,FALSE),
IF($A109&lt;Drainage!$A$92,VLOOKUP($A109,Drainage!$A$8:$M$91,7,FALSE),
IF($A109&lt;Nipples!$A$82,VLOOKUP($A109,Nipples!$A$9:$Q$81,13,FALSE),
IF($A109&lt;Manifold!$A$33,VLOOKUP($A109,Manifold!$A$9:$M$32,7,FALSE),
IF($A109&lt;FlexibleRepairCouplings!$A$13,VLOOKUP($A109,FlexibleRepairCouplings!$A$10:$M$12,7,FALSE),
IF($A109&lt;DuraFix!$A$15,VLOOKUP($A109,DuraFix!$A$9:$M$14,7,FALSE),
IF($A109&lt;'Compression Fittings'!$A$16,VLOOKUP($A109,'Compression Fittings'!$A$8:$M$15,7,FALSE),
IF($A109&lt;'Hose Fittings'!$A$30,VLOOKUP($A109,'Hose Fittings'!$A$8:$M$29,7,FALSE),
IF($A109&lt;'Swing Joints'!$A$496,VLOOKUP($A109,'Swing Joints'!$A$9:$M$495,7,FALSE),
IF($A109&lt;'Swing Joints Components'!$A$135,VLOOKUP($A109,'Swing Joints Components'!$A$9:$M$134,7,FALSE),
IF($A109&lt;Nonstandard!$A$42,VLOOKUP($A109,Nonstandard!$A$31:$J$41,3,FALSE),"")))))))))))))))))))))))))))),"")</f>
        <v/>
      </c>
      <c r="I109" s="587"/>
      <c r="J109" s="383" t="str">
        <f t="shared" si="3"/>
        <v/>
      </c>
      <c r="K109" s="417" t="str">
        <f>IFERROR(IF($A109&lt;'DWV PVC'!$A$285,VLOOKUP($A109,'DWV PVC'!$A$8:$M$284,10,FALSE),
IF($A109&lt;'DWV ABS'!$A$117,VLOOKUP($A109,'DWV ABS'!$A$8:$M$116,10,FALSE),
IF($A109&lt;'PVC SCH40'!$A$376,VLOOKUP($A109,'PVC SCH40'!$A$8:$M$375,10,FALSE),
IF($A109&lt;'PVC SCH40 LD'!$A$22,VLOOKUP($A109,'PVC SCH40 LD'!$A$8:$M$21,10,FALSE),
IF($A109&lt;'Pool &amp; SPA Sweep Elbows'!$A$12,VLOOKUP($A109,'Pool &amp; SPA Sweep Elbows'!$A$8:$M$11,10,FALSE),
IF($A109&lt;'Pool &amp; SPA Pipe Extender'!$A$11,VLOOKUP($A109,'Pool &amp; SPA Pipe Extender'!$A$8:$M$10,10,FALSE),
IF($A109&lt;'PVC SCH80'!$A$250,VLOOKUP($A109,'PVC SCH80'!$A$8:$M$249,10,FALSE),
IF($A109&lt;'PVC SCH80 Flange'!$A$49,VLOOKUP($A109,'PVC SCH80 Flange'!$A$8:$M$48,10,FALSE),
IF($A109&lt;'PVC SCH80 LD Flange'!$A$17,VLOOKUP($A109,'PVC SCH80 LD Flange'!$A$8:$M$16,10,FALSE),
IF($A109&lt;CPVC!$A$100,VLOOKUP($A109,CPVC!$A$8:$M$99,10,FALSE),
IF($A109&lt;InsertFittings!$A$237,VLOOKUP($A109,InsertFittings!$A$11:$M$236,10,FALSE),
IF($A109&lt;Valves!$A$132,VLOOKUP($A109,Valves!$A$8:$M$131,10,FALSE),
IF($A109&lt;SDR35SW!$A$124,VLOOKUP($A109,SDR35SW!$A$8:$M$123,10,FALSE),
IF($A109&lt;SDR35G!$A$143,VLOOKUP($A109, SDR35G!$A$8:$M$142,10,FALSE),
IF($A109&lt;SDR26G!$A$61,VLOOKUP($A109,SDR26G!$A$8:$N$60,11,FALSE),
IF($A109&lt;Cements!$A$100,VLOOKUP($A109,Cements!$A$8:$Q$99,14,FALSE),
IF($A109&lt;ValveBox!$A$143,VLOOKUP($A109,ValveBox!$A$10:$O$142,12,FALSE),
IF($A109&lt;'ValveBox Components'!$A$165,VLOOKUP($A109,'ValveBox Components'!$A$10:$O$164,12,FALSE),
IF($A109&lt;Drainage!$A$92,VLOOKUP($A109,Drainage!$A$8:$M$91,10,FALSE),
IF($A109&lt;Nipples!$A$82,VLOOKUP($A109,Nipples!$A$9:$Q$81,14,FALSE),
IF($A109&lt;Manifold!$A$33,VLOOKUP($A109,Manifold!$A$9:$M$32,10,FALSE),
IF($A109&lt;FlexibleRepairCouplings!$A$13,VLOOKUP($A109,FlexibleRepairCouplings!$A$10:$M$12,10,FALSE),
IF($A109&lt;DuraFix!$A$15,VLOOKUP($A109,DuraFix!$A$9:$M$14,10,FALSE),
IF($A109&lt;'Compression Fittings'!$A$16,VLOOKUP($A109,'Compression Fittings'!$A$8:$M$15,10,FALSE),
IF($A109&lt;'Hose Fittings'!$A$30,VLOOKUP($A109,'Hose Fittings'!$A$8:$M$29,10,FALSE),
IF($A109&lt;'Swing Joints'!$A$496,VLOOKUP($A109,'Swing Joints'!$A$9:$M$495,10,FALSE),
IF($A109&lt;'Swing Joints Components'!$A$135,VLOOKUP($A109,'Swing Joints Components'!$A$9:$M$134,10,FALSE),
IF($A109&lt;Nonstandard!$A$42,VLOOKUP($A109,Nonstandard!$A$31:$J$41,10,FALSE),"")))))))))))))))))))))))))))),"")</f>
        <v/>
      </c>
      <c r="L109" s="418" t="str">
        <f t="shared" si="2"/>
        <v>-</v>
      </c>
      <c r="M109" s="419"/>
    </row>
    <row r="110" spans="1:13" ht="15.75">
      <c r="A110" s="420">
        <v>78</v>
      </c>
      <c r="B110" s="420" t="str">
        <f>IFERROR(IF($A110&lt;'DWV PVC'!$A$285,VLOOKUP($A110,'DWV PVC'!$A$8:$M$284,4,FALSE),
IF($A110&lt;'DWV ABS'!$A$117,VLOOKUP($A110,'DWV ABS'!$A$8:$M$116,4,FALSE),
IF($A110&lt;'PVC SCH40'!$A$376,VLOOKUP($A110,'PVC SCH40'!$A$8:$M$375,4,FALSE),
IF($A110&lt;'PVC SCH40 LD'!$A$22,VLOOKUP($A110,'PVC SCH40 LD'!$A$8:$M$21,4,FALSE),
IF($A110&lt;'Pool &amp; SPA Sweep Elbows'!$A$12,VLOOKUP($A110,'Pool &amp; SPA Sweep Elbows'!$A$8:$M$11,4,FALSE),
IF($A110&lt;'Pool &amp; SPA Pipe Extender'!$A$11,VLOOKUP($A110,'Pool &amp; SPA Pipe Extender'!$A$8:$M$10,4,FALSE),
IF($A110&lt;'PVC SCH80'!$A$250,VLOOKUP($A110,'PVC SCH80'!$A$8:$M$249,4,FALSE),
IF($A110&lt;'PVC SCH80 Flange'!$A$49,VLOOKUP($A110,'PVC SCH80 Flange'!$A$8:$M$48,4,FALSE),
IF($A110&lt;'PVC SCH80 LD Flange'!$A$17,VLOOKUP($A110,'PVC SCH80 LD Flange'!$A$8:$M$16,4,FALSE),
IF($A110&lt;CPVC!$A$100,VLOOKUP($A110,CPVC!$A$8:$M$99,4,FALSE),
IF($A110&lt;InsertFittings!$A$237,VLOOKUP($A110,InsertFittings!$A$11:$M$236,4,FALSE),
IF($A110&lt;Valves!$A$132,VLOOKUP($A110,Valves!$A$8:$M$131,4,FALSE),
IF($A110&lt;SDR35SW!$A$124,VLOOKUP($A110,SDR35SW!$A$8:$M$123,4,FALSE),
IF($A110&lt;SDR35G!$A$143,VLOOKUP($A110, SDR35G!$A$8:$M$142,4,FALSE),
IF($A110&lt;SDR26G!$A$61,VLOOKUP($A110,SDR26G!$A$8:$N$60,4,FALSE),
IF($A110&lt;Cements!$A$100,VLOOKUP($A110,Cements!$A$8:$Q$99,4,FALSE),
IF($A110&lt;ValveBox!$A$143,VLOOKUP($A110,ValveBox!$A$10:$O$142,4,FALSE),
IF($A110&lt;'ValveBox Components'!$A$165,VLOOKUP($A110,'ValveBox Components'!$A$10:$O$164,4,FALSE),
IF($A110&lt;Drainage!$A$92,VLOOKUP($A110,Drainage!$A$8:$M$91,4,FALSE),
IF($A110&lt;Nipples!$A$82,VLOOKUP($A110,Nipples!$A$9:$Q$81,4,FALSE),
IF($A110&lt;Manifold!$A$33,VLOOKUP($A110,Manifold!$A$9:$M$32,4,FALSE),
IF($A110&lt;FlexibleRepairCouplings!$A$13,VLOOKUP($A110,FlexibleRepairCouplings!$A$10:$M$12,4,FALSE),
IF($A110&lt;DuraFix!$A$15,VLOOKUP($A110,DuraFix!$A$9:$M$14,4,FALSE),
IF($A110&lt;'Compression Fittings'!$A$16,VLOOKUP($A110,'Compression Fittings'!$A$8:$M$15,4,FALSE),
IF($A110&lt;'Hose Fittings'!$A$30,VLOOKUP($A110,'Hose Fittings'!$A$8:$M$29,4,FALSE),
IF($A110&lt;'Swing Joints'!$A$496,VLOOKUP($A110,'Swing Joints'!$A$9:$M$495,4,FALSE),
IF($A110&lt;'Swing Joints Components'!$A$135,VLOOKUP($A110,'Swing Joints Components'!$A$9:$M$134,4,FALSE),
IF($A110&lt;Nonstandard!$A$42,VLOOKUP($A110,Nonstandard!$A$31:$J$41,5,FALSE),"")))))))))))))))))))))))))))),"")</f>
        <v/>
      </c>
      <c r="C110" s="420" t="str">
        <f>IFERROR(IF($A110&lt;'DWV PVC'!$A$285,VLOOKUP($A110,'DWV PVC'!$A$8:$M$284,5,FALSE),
IF($A110&lt;'DWV ABS'!$A$117,VLOOKUP($A110,'DWV ABS'!$A$8:$M$116,5,FALSE),
IF($A110&lt;'PVC SCH40'!$A$376,VLOOKUP($A110,'PVC SCH40'!$A$8:$M$375,5,FALSE),
IF($A110&lt;'PVC SCH40 LD'!$A$22,VLOOKUP($A110,'PVC SCH40 LD'!$A$8:$M$21,5,FALSE),
IF($A110&lt;'Pool &amp; SPA Sweep Elbows'!$A$12,VLOOKUP($A110,'Pool &amp; SPA Sweep Elbows'!$A$8:$M$11,5,FALSE),
IF($A110&lt;'Pool &amp; SPA Pipe Extender'!$A$11,VLOOKUP($A110,'Pool &amp; SPA Pipe Extender'!$A$8:$M$10,5,FALSE),
IF($A110&lt;'PVC SCH80'!$A$250,VLOOKUP($A110,'PVC SCH80'!$A$8:$M$249,5,FALSE),
IF($A110&lt;'PVC SCH80 Flange'!$A$49,VLOOKUP($A110,'PVC SCH80 Flange'!$A$8:$M$48,5,FALSE),
IF($A110&lt;'PVC SCH80 LD Flange'!$A$17,VLOOKUP($A110,'PVC SCH80 LD Flange'!$A$8:$M$16,5,FALSE),
IF($A110&lt;CPVC!$A$100,VLOOKUP($A110,CPVC!$A$8:$M$99,5,FALSE),
IF($A110&lt;InsertFittings!$A$237,VLOOKUP($A110,InsertFittings!$A$11:$M$236,5,FALSE),
IF($A110&lt;Valves!$A$132,VLOOKUP($A110,Valves!$A$8:$M$131,5,FALSE),
IF($A110&lt;SDR35SW!$A$124,VLOOKUP($A110,SDR35SW!$A$8:$M$123,5,FALSE),
IF($A110&lt;SDR35G!$A$143,VLOOKUP($A110, SDR35G!$A$8:$M$142,5,FALSE),
IF($A110&lt;SDR26G!$A$61,VLOOKUP($A110,SDR26G!$A$8:$N$60,5,FALSE),
IF($A110&lt;Cements!$A$100,VLOOKUP($A110,Cements!$A$8:$Q$99,5,FALSE),
IF($A110&lt;ValveBox!$A$143,VLOOKUP($A110,ValveBox!$A$10:$O$142,5,FALSE),
IF($A110&lt;'ValveBox Components'!$A$165,VLOOKUP($A110,'ValveBox Components'!$A$10:$O$164,5,FALSE),
IF($A110&lt;Drainage!$A$92,VLOOKUP($A110,Drainage!$A$8:$M$91,5,FALSE),
IF($A110&lt;Nipples!$A$82,VLOOKUP($A110,Nipples!$A$9:$Q$81,5,FALSE),
IF($A110&lt;Manifold!$A$33,VLOOKUP($A110,Manifold!$A$9:$M$32,5,FALSE),
IF($A110&lt;FlexibleRepairCouplings!$A$13,VLOOKUP($A110,FlexibleRepairCouplings!$A$10:$M$12,5,FALSE),
IF($A110&lt;DuraFix!$A$15,VLOOKUP($A110,DuraFix!$A$9:$M$14,5,FALSE),
IF($A110&lt;'Compression Fittings'!$A$16,VLOOKUP($A110,'Compression Fittings'!$A$8:$M$15,5,FALSE),
IF($A110&lt;'Hose Fittings'!$A$30,VLOOKUP($A110,'Hose Fittings'!$A$8:$M$29,5,FALSE),
IF($A110&lt;'Swing Joints'!$A$496,VLOOKUP($A110,'Swing Joints'!$A$9:$M$495,5,FALSE),
IF($A110&lt;'Swing Joints Components'!$A$135,VLOOKUP($A110,'Swing Joints Components'!$A$9:$M$134,5,FALSE),
IF($A110&lt;Nonstandard!$A$42,VLOOKUP($A110,Nonstandard!$A$31:$J$41,6,FALSE),"")))))))))))))))))))))))))))),"")</f>
        <v/>
      </c>
      <c r="D110" s="428" t="str">
        <f>IFERROR(IF($A110&lt;'DWV PVC'!$A$285,VLOOKUP($A110,'DWV PVC'!$A$8:$M$284,6,FALSE),
IF($A110&lt;'DWV ABS'!$A$117,VLOOKUP($A110,'DWV ABS'!$A$8:$M$116,6,FALSE),
IF($A110&lt;'PVC SCH40'!$A$376,VLOOKUP($A110,'PVC SCH40'!$A$8:$M$375,6,FALSE),
IF($A110&lt;'PVC SCH40 LD'!$A$22,VLOOKUP($A110,'PVC SCH40 LD'!$A$8:$M$21,6,FALSE),
IF($A110&lt;'Pool &amp; SPA Sweep Elbows'!$A$12,VLOOKUP($A110,'Pool &amp; SPA Sweep Elbows'!$A$8:$M$11,6,FALSE),
IF($A110&lt;'Pool &amp; SPA Pipe Extender'!$A$11,VLOOKUP($A110,'Pool &amp; SPA Pipe Extender'!$A$8:$M$10,6,FALSE),
IF($A110&lt;'PVC SCH80'!$A$250,VLOOKUP($A110,'PVC SCH80'!$A$8:$M$249,6,FALSE),
IF($A110&lt;'PVC SCH80 Flange'!$A$49,VLOOKUP($A110,'PVC SCH80 Flange'!$A$8:$M$48,6,FALSE),
IF($A110&lt;'PVC SCH80 LD Flange'!$A$17,VLOOKUP($A110,'PVC SCH80 LD Flange'!$A$8:$M$16,6,FALSE),
IF($A110&lt;CPVC!$A$100,VLOOKUP($A110,CPVC!$A$8:$M$99,6,FALSE),
IF($A110&lt;InsertFittings!$A$237,VLOOKUP($A110,InsertFittings!$A$11:$M$236,6,FALSE),
IF($A110&lt;Valves!$A$132,VLOOKUP($A110,Valves!$A$8:$M$131,6,FALSE),
IF($A110&lt;SDR35SW!$A$124,VLOOKUP($A110,SDR35SW!$A$8:$M$123,6,FALSE),
IF($A110&lt;SDR35G!$A$143,VLOOKUP($A110, SDR35G!$A$8:$M$142,6,FALSE),
IF($A110&lt;SDR26G!$A$61,VLOOKUP($A110,SDR26G!$A$8:$N$60,6,FALSE),
IF($A110&lt;Cements!$A$100,VLOOKUP($A110,Cements!$A$8:$Q$99,6,FALSE),
IF($A110&lt;ValveBox!$A$143,VLOOKUP($A110,ValveBox!$A$10:$O$142,6,FALSE),
IF($A110&lt;'ValveBox Components'!$A$165,VLOOKUP($A110,'ValveBox Components'!$A$10:$O$164,6,FALSE),
IF($A110&lt;Drainage!$A$92,VLOOKUP($A110,Drainage!$A$8:$M$91,6,FALSE),
IF($A110&lt;Nipples!$A$82,VLOOKUP($A110,Nipples!$A$9:$Q$81,6,FALSE),
IF($A110&lt;Manifold!$A$33,VLOOKUP($A110,Manifold!$A$9:$M$32,6,FALSE),
IF($A110&lt;FlexibleRepairCouplings!$A$13,VLOOKUP($A110,FlexibleRepairCouplings!$A$10:$M$12,6,FALSE),
IF($A110&lt;DuraFix!$A$15,VLOOKUP($A110,DuraFix!$A$9:$M$14,6,FALSE),
IF($A110&lt;'Compression Fittings'!$A$16,VLOOKUP($A110,'Compression Fittings'!$A$8:$M$15,6,FALSE),
IF($A110&lt;'Hose Fittings'!$A$30,VLOOKUP($A110,'Hose Fittings'!$A$8:$M$29,6,FALSE),
IF($A110&lt;'Swing Joints'!$A$496,VLOOKUP($A110,'Swing Joints'!$A$9:$M$495,6,FALSE),
IF($A110&lt;'Swing Joints Components'!$A$135,VLOOKUP($A110,'Swing Joints Components'!$A$9:$M$134,6,FALSE),
IF($A110&lt;Nonstandard!$A$42,VLOOKUP($A110,Nonstandard!$A$31:$J$41,7,FALSE),"")))))))))))))))))))))))))))),"")</f>
        <v/>
      </c>
      <c r="E110" s="429"/>
      <c r="F110" s="421" t="str">
        <f>IFERROR(IF($A110&lt;'DWV PVC'!$A$285,VLOOKUP($A110,'DWV PVC'!$A$8:$M$284,9,FALSE),
IF($A110&lt;'DWV ABS'!$A$117,VLOOKUP($A110,'DWV ABS'!$A$8:$M$116,9,FALSE),
IF($A110&lt;'PVC SCH40'!$A$376,VLOOKUP($A110,'PVC SCH40'!$A$8:$M$375,9,FALSE),
IF($A110&lt;'PVC SCH40 LD'!$A$22,VLOOKUP($A110,'PVC SCH40 LD'!$A$8:$M$21,9,FALSE),
IF($A110&lt;'Pool &amp; SPA Sweep Elbows'!$A$12,VLOOKUP($A110,'Pool &amp; SPA Sweep Elbows'!$A$8:$M$11,9,FALSE),
IF($A110&lt;'Pool &amp; SPA Pipe Extender'!$A$11,VLOOKUP($A110,'Pool &amp; SPA Pipe Extender'!$A$8:$M$10,9,FALSE),
IF($A110&lt;'PVC SCH80'!$A$250,VLOOKUP($A110,'PVC SCH80'!$A$8:$M$249,9,FALSE),
IF($A110&lt;'PVC SCH80 Flange'!$A$49,VLOOKUP($A110,'PVC SCH80 Flange'!$A$8:$M$48,9,FALSE),
IF($A110&lt;'PVC SCH80 LD Flange'!$A$17,VLOOKUP($A110,'PVC SCH80 LD Flange'!$A$8:$M$16,9,FALSE),
IF($A110&lt;CPVC!$A$100,VLOOKUP($A110,CPVC!$A$8:$M$99,9,FALSE),
IF($A110&lt;InsertFittings!$A$237,VLOOKUP($A110,InsertFittings!$A$11:$M$236,9,FALSE),
IF($A110&lt;Valves!$A$132,VLOOKUP($A110,Valves!$A$8:$M$131,9,FALSE),
IF($A110&lt;SDR35SW!$A$124,VLOOKUP($A110,SDR35SW!$A$8:$M$123,9,FALSE),
IF($A110&lt;SDR35G!$A$143,VLOOKUP($A110, SDR35G!$A$8:$M$142,9,FALSE),
IF($A110&lt;SDR26G!$A$61,VLOOKUP($A110,SDR26G!$A$8:$N$60,10,FALSE),
IF($A110&lt;Cements!$A$100,VLOOKUP($A110,Cements!$A$8:$Q$99,13,FALSE),
IF($A110&lt;ValveBox!$A$143,VLOOKUP($A110,ValveBox!$A$10:$O$142,11,FALSE),
IF($A110&lt;'ValveBox Components'!$A$165,VLOOKUP($A110,'ValveBox Components'!$A$10:$O$164,11,FALSE),
IF($A110&lt;Drainage!$A$92,VLOOKUP($A110,Drainage!$A$8:$M$91,9,FALSE),
IF($A110&lt;Nipples!$A$82,VLOOKUP($A110,Nipples!$A$9:$Q$81,13,FALSE),
IF($A110&lt;Manifold!$A$33,VLOOKUP($A110,Manifold!$A$9:$M$32,9,FALSE),
IF($A110&lt;FlexibleRepairCouplings!$A$13,VLOOKUP($A110,FlexibleRepairCouplings!$A$10:$M$12,9,FALSE),
IF($A110&lt;DuraFix!$A$15,VLOOKUP($A110,DuraFix!$A$9:$M$14,9,FALSE),
IF($A110&lt;'Compression Fittings'!$A$16,VLOOKUP($A110,'Compression Fittings'!$A$8:$M$15,9,FALSE),
IF($A110&lt;'Hose Fittings'!$A$30,VLOOKUP($A110,'Hose Fittings'!$A$8:$M$29,9,FALSE),
IF($A110&lt;'Swing Joints'!$A$496,VLOOKUP($A110,'Swing Joints'!$A$9:$M$495,9,FALSE),
IF($A110&lt;'Swing Joints Components'!$A$135,VLOOKUP($A110,'Swing Joints Components'!$A$9:$M$134,9,FALSE),
IF($A110&lt;Nonstandard!$A$42,VLOOKUP($A110,Nonstandard!$A$31:$J$41,8,FALSE),"")))))))))))))))))))))))))))),"")</f>
        <v/>
      </c>
      <c r="G110" s="422" t="str">
        <f>IFERROR(IF($A110&lt;'DWV PVC'!$A$285,VLOOKUP($A110,'DWV PVC'!$A$8:$M$284,11,FALSE),
IF($A110&lt;'DWV ABS'!$A$117,VLOOKUP($A110,'DWV ABS'!$A$8:$M$116,11,FALSE),
IF($A110&lt;'PVC SCH40'!$A$376,VLOOKUP($A110,'PVC SCH40'!$A$8:$M$375,11,FALSE),
IF($A110&lt;'PVC SCH40 LD'!$A$22,VLOOKUP($A110,'PVC SCH40 LD'!$A$8:$M$21,11,FALSE),
IF($A110&lt;'Pool &amp; SPA Sweep Elbows'!$A$12,VLOOKUP($A110,'Pool &amp; SPA Sweep Elbows'!$A$8:$M$11,11,FALSE),
IF($A110&lt;'Pool &amp; SPA Pipe Extender'!$A$11,VLOOKUP($A110,'Pool &amp; SPA Pipe Extender'!$A$8:$M$10,11,FALSE),
IF($A110&lt;'PVC SCH80'!$A$250,VLOOKUP($A110,'PVC SCH80'!$A$8:$M$249,11,FALSE),
IF($A110&lt;'PVC SCH80 Flange'!$A$49,VLOOKUP($A110,'PVC SCH80 Flange'!$A$8:$M$48,11,FALSE),
IF($A110&lt;'PVC SCH80 LD Flange'!$A$17,VLOOKUP($A110,'PVC SCH80 LD Flange'!$A$8:$M$16,11,FALSE),
IF($A110&lt;CPVC!$A$100,VLOOKUP($A110,CPVC!$A$8:$M$99,11,FALSE),
IF($A110&lt;InsertFittings!$A$237,VLOOKUP($A110,InsertFittings!$A$11:$M$236,11,FALSE),
IF($A110&lt;Valves!$A$132,VLOOKUP($A110,Valves!$A$8:$M$131,11,FALSE),
IF($A110&lt;SDR35SW!$A$124,VLOOKUP($A110,SDR35SW!$A$8:$M$123,11,FALSE),
IF($A110&lt;SDR35G!$A$143,VLOOKUP($A110, SDR35G!$A$8:$M$142,11,FALSE),
IF($A110&lt;SDR26G!$A$61,VLOOKUP($A110,SDR26G!$A$8:$N$60,12,FALSE),
IF($A110&lt;Cements!$A$100,VLOOKUP($A110,Cements!$A$8:$Q$99,15,FALSE),
IF($A110&lt;ValveBox!$A$143,VLOOKUP($A110,ValveBox!$A$10:$O$142,13,FALSE),
IF($A110&lt;'ValveBox Components'!$A$165,VLOOKUP($A110,'ValveBox Components'!$A$10:$O$164,13,FALSE),
IF($A110&lt;Drainage!$A$92,VLOOKUP($A110,Drainage!$A$8:$M$91,11,FALSE),
IF($A110&lt;Nipples!$A$82,VLOOKUP($A110,Nipples!$A$9:$Q$81,15,FALSE),
IF($A110&lt;Manifold!$A$33,VLOOKUP($A110,Manifold!$A$9:$M$32,11,FALSE),
IF($A110&lt;FlexibleRepairCouplings!$A$13,VLOOKUP($A110,FlexibleRepairCouplings!$A$10:$M$12,11,FALSE),
IF($A110&lt;DuraFix!$A$15,VLOOKUP($A110,DuraFix!$A$9:$M$14,11,FALSE),
IF($A110&lt;'Compression Fittings'!$A$16,VLOOKUP($A110,'Compression Fittings'!$A$8:$M$15,11,FALSE),
IF($A110&lt;'Hose Fittings'!$A$30,VLOOKUP($A110,'Hose Fittings'!$A$8:$M$29,11,FALSE),
IF($A110&lt;'Swing Joints'!$A$496,VLOOKUP($A110,'Swing Joints'!$A$9:$M$495,11,FALSE),
IF($A110&lt;'Swing Joints Components'!$A$135,VLOOKUP($A110,'Swing Joints Components'!$A$9:$M$134,11,FALSE),
IF($A110&lt;Nonstandard!$A$42,VLOOKUP($A110,Nonstandard!$A$31:$J$41,3,FALSE),"")))))))))))))))))))))))))))),"")</f>
        <v/>
      </c>
      <c r="H110" s="588" t="str">
        <f>IFERROR(IF($A110&lt;'DWV PVC'!$A$285,VLOOKUP($A110,'DWV PVC'!$A$8:$M$284,7,FALSE),
IF($A110&lt;'DWV ABS'!$A$117,VLOOKUP($A110,'DWV ABS'!$A$8:$M$116,7,FALSE),
IF($A110&lt;'PVC SCH40'!$A$376,VLOOKUP($A110,'PVC SCH40'!$A$8:$M$375,7,FALSE),
IF($A110&lt;'PVC SCH40 LD'!$A$22,VLOOKUP($A110,'PVC SCH40 LD'!$A$8:$M$21,7,FALSE),
IF($A110&lt;'Pool &amp; SPA Sweep Elbows'!$A$12,VLOOKUP($A110,'Pool &amp; SPA Sweep Elbows'!$A$8:$M$11,7,FALSE),
IF($A110&lt;'Pool &amp; SPA Pipe Extender'!$A$11,VLOOKUP($A110,'Pool &amp; SPA Pipe Extender'!$A$8:$M$10,7,FALSE),
IF($A110&lt;'PVC SCH80'!$A$250,VLOOKUP($A110,'PVC SCH80'!$A$8:$M$249,7,FALSE),
IF($A110&lt;'PVC SCH80 Flange'!$A$49,VLOOKUP($A110,'PVC SCH80 Flange'!$A$8:$M$48,7,FALSE),
IF($A110&lt;'PVC SCH80 LD Flange'!$A$17,VLOOKUP($A110,'PVC SCH80 LD Flange'!$A$8:$M$16,7,FALSE),
IF($A110&lt;CPVC!$A$100,VLOOKUP($A110,CPVC!$A$8:$M$99,7,FALSE),
IF($A110&lt;InsertFittings!$A$237,VLOOKUP($A110,InsertFittings!$A$11:$M$236,7,FALSE),
IF($A110&lt;Valves!$A$132,VLOOKUP($A110,Valves!$A$8:$M$131,7,FALSE),
IF($A110&lt;SDR35SW!$A$124,VLOOKUP($A110,SDR35SW!$A$8:$M$123,7,FALSE),
IF($A110&lt;SDR35G!$A$143,VLOOKUP($A110, SDR35G!$A$8:$M$142,7,FALSE),
IF($A110&lt;SDR26G!$A$61,VLOOKUP($A110,SDR26G!$A$8:$N$60,10,FALSE),
IF($A110&lt;Cements!$A$100,VLOOKUP($A110,Cements!$A$8:$Q$99,13,FALSE),
IF($A110&lt;ValveBox!$A$143,VLOOKUP($A110,ValveBox!$A$10:$O$142,11,FALSE),
IF($A110&lt;'ValveBox Components'!$A$165,VLOOKUP($A110,'ValveBox Components'!$A$10:$O$164,11,FALSE),
IF($A110&lt;Drainage!$A$92,VLOOKUP($A110,Drainage!$A$8:$M$91,7,FALSE),
IF($A110&lt;Nipples!$A$82,VLOOKUP($A110,Nipples!$A$9:$Q$81,13,FALSE),
IF($A110&lt;Manifold!$A$33,VLOOKUP($A110,Manifold!$A$9:$M$32,7,FALSE),
IF($A110&lt;FlexibleRepairCouplings!$A$13,VLOOKUP($A110,FlexibleRepairCouplings!$A$10:$M$12,7,FALSE),
IF($A110&lt;DuraFix!$A$15,VLOOKUP($A110,DuraFix!$A$9:$M$14,7,FALSE),
IF($A110&lt;'Compression Fittings'!$A$16,VLOOKUP($A110,'Compression Fittings'!$A$8:$M$15,7,FALSE),
IF($A110&lt;'Hose Fittings'!$A$30,VLOOKUP($A110,'Hose Fittings'!$A$8:$M$29,7,FALSE),
IF($A110&lt;'Swing Joints'!$A$496,VLOOKUP($A110,'Swing Joints'!$A$9:$M$495,7,FALSE),
IF($A110&lt;'Swing Joints Components'!$A$135,VLOOKUP($A110,'Swing Joints Components'!$A$9:$M$134,7,FALSE),
IF($A110&lt;Nonstandard!$A$42,VLOOKUP($A110,Nonstandard!$A$31:$J$41,3,FALSE),"")))))))))))))))))))))))))))),"")</f>
        <v/>
      </c>
      <c r="I110" s="589"/>
      <c r="J110" s="423" t="str">
        <f t="shared" si="3"/>
        <v/>
      </c>
      <c r="K110" s="424" t="str">
        <f>IFERROR(IF($A110&lt;'DWV PVC'!$A$285,VLOOKUP($A110,'DWV PVC'!$A$8:$M$284,10,FALSE),
IF($A110&lt;'DWV ABS'!$A$117,VLOOKUP($A110,'DWV ABS'!$A$8:$M$116,10,FALSE),
IF($A110&lt;'PVC SCH40'!$A$376,VLOOKUP($A110,'PVC SCH40'!$A$8:$M$375,10,FALSE),
IF($A110&lt;'PVC SCH40 LD'!$A$22,VLOOKUP($A110,'PVC SCH40 LD'!$A$8:$M$21,10,FALSE),
IF($A110&lt;'Pool &amp; SPA Sweep Elbows'!$A$12,VLOOKUP($A110,'Pool &amp; SPA Sweep Elbows'!$A$8:$M$11,10,FALSE),
IF($A110&lt;'Pool &amp; SPA Pipe Extender'!$A$11,VLOOKUP($A110,'Pool &amp; SPA Pipe Extender'!$A$8:$M$10,10,FALSE),
IF($A110&lt;'PVC SCH80'!$A$250,VLOOKUP($A110,'PVC SCH80'!$A$8:$M$249,10,FALSE),
IF($A110&lt;'PVC SCH80 Flange'!$A$49,VLOOKUP($A110,'PVC SCH80 Flange'!$A$8:$M$48,10,FALSE),
IF($A110&lt;'PVC SCH80 LD Flange'!$A$17,VLOOKUP($A110,'PVC SCH80 LD Flange'!$A$8:$M$16,10,FALSE),
IF($A110&lt;CPVC!$A$100,VLOOKUP($A110,CPVC!$A$8:$M$99,10,FALSE),
IF($A110&lt;InsertFittings!$A$237,VLOOKUP($A110,InsertFittings!$A$11:$M$236,10,FALSE),
IF($A110&lt;Valves!$A$132,VLOOKUP($A110,Valves!$A$8:$M$131,10,FALSE),
IF($A110&lt;SDR35SW!$A$124,VLOOKUP($A110,SDR35SW!$A$8:$M$123,10,FALSE),
IF($A110&lt;SDR35G!$A$143,VLOOKUP($A110, SDR35G!$A$8:$M$142,10,FALSE),
IF($A110&lt;SDR26G!$A$61,VLOOKUP($A110,SDR26G!$A$8:$N$60,11,FALSE),
IF($A110&lt;Cements!$A$100,VLOOKUP($A110,Cements!$A$8:$Q$99,14,FALSE),
IF($A110&lt;ValveBox!$A$143,VLOOKUP($A110,ValveBox!$A$10:$O$142,12,FALSE),
IF($A110&lt;'ValveBox Components'!$A$165,VLOOKUP($A110,'ValveBox Components'!$A$10:$O$164,12,FALSE),
IF($A110&lt;Drainage!$A$92,VLOOKUP($A110,Drainage!$A$8:$M$91,10,FALSE),
IF($A110&lt;Nipples!$A$82,VLOOKUP($A110,Nipples!$A$9:$Q$81,14,FALSE),
IF($A110&lt;Manifold!$A$33,VLOOKUP($A110,Manifold!$A$9:$M$32,10,FALSE),
IF($A110&lt;FlexibleRepairCouplings!$A$13,VLOOKUP($A110,FlexibleRepairCouplings!$A$10:$M$12,10,FALSE),
IF($A110&lt;DuraFix!$A$15,VLOOKUP($A110,DuraFix!$A$9:$M$14,10,FALSE),
IF($A110&lt;'Compression Fittings'!$A$16,VLOOKUP($A110,'Compression Fittings'!$A$8:$M$15,10,FALSE),
IF($A110&lt;'Hose Fittings'!$A$30,VLOOKUP($A110,'Hose Fittings'!$A$8:$M$29,10,FALSE),
IF($A110&lt;'Swing Joints'!$A$496,VLOOKUP($A110,'Swing Joints'!$A$9:$M$495,10,FALSE),
IF($A110&lt;'Swing Joints Components'!$A$135,VLOOKUP($A110,'Swing Joints Components'!$A$9:$M$134,10,FALSE),
IF($A110&lt;Nonstandard!$A$42,VLOOKUP($A110,Nonstandard!$A$31:$J$41,10,FALSE),"")))))))))))))))))))))))))))),"")</f>
        <v/>
      </c>
      <c r="L110" s="421" t="str">
        <f t="shared" si="2"/>
        <v>-</v>
      </c>
      <c r="M110" s="425"/>
    </row>
    <row r="111" spans="1:13" ht="15.75">
      <c r="A111" s="415">
        <v>79</v>
      </c>
      <c r="B111" s="415" t="str">
        <f>IFERROR(IF($A111&lt;'DWV PVC'!$A$285,VLOOKUP($A111,'DWV PVC'!$A$8:$M$284,4,FALSE),
IF($A111&lt;'DWV ABS'!$A$117,VLOOKUP($A111,'DWV ABS'!$A$8:$M$116,4,FALSE),
IF($A111&lt;'PVC SCH40'!$A$376,VLOOKUP($A111,'PVC SCH40'!$A$8:$M$375,4,FALSE),
IF($A111&lt;'PVC SCH40 LD'!$A$22,VLOOKUP($A111,'PVC SCH40 LD'!$A$8:$M$21,4,FALSE),
IF($A111&lt;'Pool &amp; SPA Sweep Elbows'!$A$12,VLOOKUP($A111,'Pool &amp; SPA Sweep Elbows'!$A$8:$M$11,4,FALSE),
IF($A111&lt;'Pool &amp; SPA Pipe Extender'!$A$11,VLOOKUP($A111,'Pool &amp; SPA Pipe Extender'!$A$8:$M$10,4,FALSE),
IF($A111&lt;'PVC SCH80'!$A$250,VLOOKUP($A111,'PVC SCH80'!$A$8:$M$249,4,FALSE),
IF($A111&lt;'PVC SCH80 Flange'!$A$49,VLOOKUP($A111,'PVC SCH80 Flange'!$A$8:$M$48,4,FALSE),
IF($A111&lt;'PVC SCH80 LD Flange'!$A$17,VLOOKUP($A111,'PVC SCH80 LD Flange'!$A$8:$M$16,4,FALSE),
IF($A111&lt;CPVC!$A$100,VLOOKUP($A111,CPVC!$A$8:$M$99,4,FALSE),
IF($A111&lt;InsertFittings!$A$237,VLOOKUP($A111,InsertFittings!$A$11:$M$236,4,FALSE),
IF($A111&lt;Valves!$A$132,VLOOKUP($A111,Valves!$A$8:$M$131,4,FALSE),
IF($A111&lt;SDR35SW!$A$124,VLOOKUP($A111,SDR35SW!$A$8:$M$123,4,FALSE),
IF($A111&lt;SDR35G!$A$143,VLOOKUP($A111, SDR35G!$A$8:$M$142,4,FALSE),
IF($A111&lt;SDR26G!$A$61,VLOOKUP($A111,SDR26G!$A$8:$N$60,4,FALSE),
IF($A111&lt;Cements!$A$100,VLOOKUP($A111,Cements!$A$8:$Q$99,4,FALSE),
IF($A111&lt;ValveBox!$A$143,VLOOKUP($A111,ValveBox!$A$10:$O$142,4,FALSE),
IF($A111&lt;'ValveBox Components'!$A$165,VLOOKUP($A111,'ValveBox Components'!$A$10:$O$164,4,FALSE),
IF($A111&lt;Drainage!$A$92,VLOOKUP($A111,Drainage!$A$8:$M$91,4,FALSE),
IF($A111&lt;Nipples!$A$82,VLOOKUP($A111,Nipples!$A$9:$Q$81,4,FALSE),
IF($A111&lt;Manifold!$A$33,VLOOKUP($A111,Manifold!$A$9:$M$32,4,FALSE),
IF($A111&lt;FlexibleRepairCouplings!$A$13,VLOOKUP($A111,FlexibleRepairCouplings!$A$10:$M$12,4,FALSE),
IF($A111&lt;DuraFix!$A$15,VLOOKUP($A111,DuraFix!$A$9:$M$14,4,FALSE),
IF($A111&lt;'Compression Fittings'!$A$16,VLOOKUP($A111,'Compression Fittings'!$A$8:$M$15,4,FALSE),
IF($A111&lt;'Hose Fittings'!$A$30,VLOOKUP($A111,'Hose Fittings'!$A$8:$M$29,4,FALSE),
IF($A111&lt;'Swing Joints'!$A$496,VLOOKUP($A111,'Swing Joints'!$A$9:$M$495,4,FALSE),
IF($A111&lt;'Swing Joints Components'!$A$135,VLOOKUP($A111,'Swing Joints Components'!$A$9:$M$134,4,FALSE),
IF($A111&lt;Nonstandard!$A$42,VLOOKUP($A111,Nonstandard!$A$31:$J$41,5,FALSE),"")))))))))))))))))))))))))))),"")</f>
        <v/>
      </c>
      <c r="C111" s="415" t="str">
        <f>IFERROR(IF($A111&lt;'DWV PVC'!$A$285,VLOOKUP($A111,'DWV PVC'!$A$8:$M$284,5,FALSE),
IF($A111&lt;'DWV ABS'!$A$117,VLOOKUP($A111,'DWV ABS'!$A$8:$M$116,5,FALSE),
IF($A111&lt;'PVC SCH40'!$A$376,VLOOKUP($A111,'PVC SCH40'!$A$8:$M$375,5,FALSE),
IF($A111&lt;'PVC SCH40 LD'!$A$22,VLOOKUP($A111,'PVC SCH40 LD'!$A$8:$M$21,5,FALSE),
IF($A111&lt;'Pool &amp; SPA Sweep Elbows'!$A$12,VLOOKUP($A111,'Pool &amp; SPA Sweep Elbows'!$A$8:$M$11,5,FALSE),
IF($A111&lt;'Pool &amp; SPA Pipe Extender'!$A$11,VLOOKUP($A111,'Pool &amp; SPA Pipe Extender'!$A$8:$M$10,5,FALSE),
IF($A111&lt;'PVC SCH80'!$A$250,VLOOKUP($A111,'PVC SCH80'!$A$8:$M$249,5,FALSE),
IF($A111&lt;'PVC SCH80 Flange'!$A$49,VLOOKUP($A111,'PVC SCH80 Flange'!$A$8:$M$48,5,FALSE),
IF($A111&lt;'PVC SCH80 LD Flange'!$A$17,VLOOKUP($A111,'PVC SCH80 LD Flange'!$A$8:$M$16,5,FALSE),
IF($A111&lt;CPVC!$A$100,VLOOKUP($A111,CPVC!$A$8:$M$99,5,FALSE),
IF($A111&lt;InsertFittings!$A$237,VLOOKUP($A111,InsertFittings!$A$11:$M$236,5,FALSE),
IF($A111&lt;Valves!$A$132,VLOOKUP($A111,Valves!$A$8:$M$131,5,FALSE),
IF($A111&lt;SDR35SW!$A$124,VLOOKUP($A111,SDR35SW!$A$8:$M$123,5,FALSE),
IF($A111&lt;SDR35G!$A$143,VLOOKUP($A111, SDR35G!$A$8:$M$142,5,FALSE),
IF($A111&lt;SDR26G!$A$61,VLOOKUP($A111,SDR26G!$A$8:$N$60,5,FALSE),
IF($A111&lt;Cements!$A$100,VLOOKUP($A111,Cements!$A$8:$Q$99,5,FALSE),
IF($A111&lt;ValveBox!$A$143,VLOOKUP($A111,ValveBox!$A$10:$O$142,5,FALSE),
IF($A111&lt;'ValveBox Components'!$A$165,VLOOKUP($A111,'ValveBox Components'!$A$10:$O$164,5,FALSE),
IF($A111&lt;Drainage!$A$92,VLOOKUP($A111,Drainage!$A$8:$M$91,5,FALSE),
IF($A111&lt;Nipples!$A$82,VLOOKUP($A111,Nipples!$A$9:$Q$81,5,FALSE),
IF($A111&lt;Manifold!$A$33,VLOOKUP($A111,Manifold!$A$9:$M$32,5,FALSE),
IF($A111&lt;FlexibleRepairCouplings!$A$13,VLOOKUP($A111,FlexibleRepairCouplings!$A$10:$M$12,5,FALSE),
IF($A111&lt;DuraFix!$A$15,VLOOKUP($A111,DuraFix!$A$9:$M$14,5,FALSE),
IF($A111&lt;'Compression Fittings'!$A$16,VLOOKUP($A111,'Compression Fittings'!$A$8:$M$15,5,FALSE),
IF($A111&lt;'Hose Fittings'!$A$30,VLOOKUP($A111,'Hose Fittings'!$A$8:$M$29,5,FALSE),
IF($A111&lt;'Swing Joints'!$A$496,VLOOKUP($A111,'Swing Joints'!$A$9:$M$495,5,FALSE),
IF($A111&lt;'Swing Joints Components'!$A$135,VLOOKUP($A111,'Swing Joints Components'!$A$9:$M$134,5,FALSE),
IF($A111&lt;Nonstandard!$A$42,VLOOKUP($A111,Nonstandard!$A$31:$J$41,6,FALSE),"")))))))))))))))))))))))))))),"")</f>
        <v/>
      </c>
      <c r="D111" s="426" t="str">
        <f>IFERROR(IF($A111&lt;'DWV PVC'!$A$285,VLOOKUP($A111,'DWV PVC'!$A$8:$M$284,6,FALSE),
IF($A111&lt;'DWV ABS'!$A$117,VLOOKUP($A111,'DWV ABS'!$A$8:$M$116,6,FALSE),
IF($A111&lt;'PVC SCH40'!$A$376,VLOOKUP($A111,'PVC SCH40'!$A$8:$M$375,6,FALSE),
IF($A111&lt;'PVC SCH40 LD'!$A$22,VLOOKUP($A111,'PVC SCH40 LD'!$A$8:$M$21,6,FALSE),
IF($A111&lt;'Pool &amp; SPA Sweep Elbows'!$A$12,VLOOKUP($A111,'Pool &amp; SPA Sweep Elbows'!$A$8:$M$11,6,FALSE),
IF($A111&lt;'Pool &amp; SPA Pipe Extender'!$A$11,VLOOKUP($A111,'Pool &amp; SPA Pipe Extender'!$A$8:$M$10,6,FALSE),
IF($A111&lt;'PVC SCH80'!$A$250,VLOOKUP($A111,'PVC SCH80'!$A$8:$M$249,6,FALSE),
IF($A111&lt;'PVC SCH80 Flange'!$A$49,VLOOKUP($A111,'PVC SCH80 Flange'!$A$8:$M$48,6,FALSE),
IF($A111&lt;'PVC SCH80 LD Flange'!$A$17,VLOOKUP($A111,'PVC SCH80 LD Flange'!$A$8:$M$16,6,FALSE),
IF($A111&lt;CPVC!$A$100,VLOOKUP($A111,CPVC!$A$8:$M$99,6,FALSE),
IF($A111&lt;InsertFittings!$A$237,VLOOKUP($A111,InsertFittings!$A$11:$M$236,6,FALSE),
IF($A111&lt;Valves!$A$132,VLOOKUP($A111,Valves!$A$8:$M$131,6,FALSE),
IF($A111&lt;SDR35SW!$A$124,VLOOKUP($A111,SDR35SW!$A$8:$M$123,6,FALSE),
IF($A111&lt;SDR35G!$A$143,VLOOKUP($A111, SDR35G!$A$8:$M$142,6,FALSE),
IF($A111&lt;SDR26G!$A$61,VLOOKUP($A111,SDR26G!$A$8:$N$60,6,FALSE),
IF($A111&lt;Cements!$A$100,VLOOKUP($A111,Cements!$A$8:$Q$99,6,FALSE),
IF($A111&lt;ValveBox!$A$143,VLOOKUP($A111,ValveBox!$A$10:$O$142,6,FALSE),
IF($A111&lt;'ValveBox Components'!$A$165,VLOOKUP($A111,'ValveBox Components'!$A$10:$O$164,6,FALSE),
IF($A111&lt;Drainage!$A$92,VLOOKUP($A111,Drainage!$A$8:$M$91,6,FALSE),
IF($A111&lt;Nipples!$A$82,VLOOKUP($A111,Nipples!$A$9:$Q$81,6,FALSE),
IF($A111&lt;Manifold!$A$33,VLOOKUP($A111,Manifold!$A$9:$M$32,6,FALSE),
IF($A111&lt;FlexibleRepairCouplings!$A$13,VLOOKUP($A111,FlexibleRepairCouplings!$A$10:$M$12,6,FALSE),
IF($A111&lt;DuraFix!$A$15,VLOOKUP($A111,DuraFix!$A$9:$M$14,6,FALSE),
IF($A111&lt;'Compression Fittings'!$A$16,VLOOKUP($A111,'Compression Fittings'!$A$8:$M$15,6,FALSE),
IF($A111&lt;'Hose Fittings'!$A$30,VLOOKUP($A111,'Hose Fittings'!$A$8:$M$29,6,FALSE),
IF($A111&lt;'Swing Joints'!$A$496,VLOOKUP($A111,'Swing Joints'!$A$9:$M$495,6,FALSE),
IF($A111&lt;'Swing Joints Components'!$A$135,VLOOKUP($A111,'Swing Joints Components'!$A$9:$M$134,6,FALSE),
IF($A111&lt;Nonstandard!$A$42,VLOOKUP($A111,Nonstandard!$A$31:$J$41,7,FALSE),"")))))))))))))))))))))))))))),"")</f>
        <v/>
      </c>
      <c r="E111" s="427"/>
      <c r="F111" s="418" t="str">
        <f>IFERROR(IF($A111&lt;'DWV PVC'!$A$285,VLOOKUP($A111,'DWV PVC'!$A$8:$M$284,9,FALSE),
IF($A111&lt;'DWV ABS'!$A$117,VLOOKUP($A111,'DWV ABS'!$A$8:$M$116,9,FALSE),
IF($A111&lt;'PVC SCH40'!$A$376,VLOOKUP($A111,'PVC SCH40'!$A$8:$M$375,9,FALSE),
IF($A111&lt;'PVC SCH40 LD'!$A$22,VLOOKUP($A111,'PVC SCH40 LD'!$A$8:$M$21,9,FALSE),
IF($A111&lt;'Pool &amp; SPA Sweep Elbows'!$A$12,VLOOKUP($A111,'Pool &amp; SPA Sweep Elbows'!$A$8:$M$11,9,FALSE),
IF($A111&lt;'Pool &amp; SPA Pipe Extender'!$A$11,VLOOKUP($A111,'Pool &amp; SPA Pipe Extender'!$A$8:$M$10,9,FALSE),
IF($A111&lt;'PVC SCH80'!$A$250,VLOOKUP($A111,'PVC SCH80'!$A$8:$M$249,9,FALSE),
IF($A111&lt;'PVC SCH80 Flange'!$A$49,VLOOKUP($A111,'PVC SCH80 Flange'!$A$8:$M$48,9,FALSE),
IF($A111&lt;'PVC SCH80 LD Flange'!$A$17,VLOOKUP($A111,'PVC SCH80 LD Flange'!$A$8:$M$16,9,FALSE),
IF($A111&lt;CPVC!$A$100,VLOOKUP($A111,CPVC!$A$8:$M$99,9,FALSE),
IF($A111&lt;InsertFittings!$A$237,VLOOKUP($A111,InsertFittings!$A$11:$M$236,9,FALSE),
IF($A111&lt;Valves!$A$132,VLOOKUP($A111,Valves!$A$8:$M$131,9,FALSE),
IF($A111&lt;SDR35SW!$A$124,VLOOKUP($A111,SDR35SW!$A$8:$M$123,9,FALSE),
IF($A111&lt;SDR35G!$A$143,VLOOKUP($A111, SDR35G!$A$8:$M$142,9,FALSE),
IF($A111&lt;SDR26G!$A$61,VLOOKUP($A111,SDR26G!$A$8:$N$60,10,FALSE),
IF($A111&lt;Cements!$A$100,VLOOKUP($A111,Cements!$A$8:$Q$99,13,FALSE),
IF($A111&lt;ValveBox!$A$143,VLOOKUP($A111,ValveBox!$A$10:$O$142,11,FALSE),
IF($A111&lt;'ValveBox Components'!$A$165,VLOOKUP($A111,'ValveBox Components'!$A$10:$O$164,11,FALSE),
IF($A111&lt;Drainage!$A$92,VLOOKUP($A111,Drainage!$A$8:$M$91,9,FALSE),
IF($A111&lt;Nipples!$A$82,VLOOKUP($A111,Nipples!$A$9:$Q$81,13,FALSE),
IF($A111&lt;Manifold!$A$33,VLOOKUP($A111,Manifold!$A$9:$M$32,9,FALSE),
IF($A111&lt;FlexibleRepairCouplings!$A$13,VLOOKUP($A111,FlexibleRepairCouplings!$A$10:$M$12,9,FALSE),
IF($A111&lt;DuraFix!$A$15,VLOOKUP($A111,DuraFix!$A$9:$M$14,9,FALSE),
IF($A111&lt;'Compression Fittings'!$A$16,VLOOKUP($A111,'Compression Fittings'!$A$8:$M$15,9,FALSE),
IF($A111&lt;'Hose Fittings'!$A$30,VLOOKUP($A111,'Hose Fittings'!$A$8:$M$29,9,FALSE),
IF($A111&lt;'Swing Joints'!$A$496,VLOOKUP($A111,'Swing Joints'!$A$9:$M$495,9,FALSE),
IF($A111&lt;'Swing Joints Components'!$A$135,VLOOKUP($A111,'Swing Joints Components'!$A$9:$M$134,9,FALSE),
IF($A111&lt;Nonstandard!$A$42,VLOOKUP($A111,Nonstandard!$A$31:$J$41,8,FALSE),"")))))))))))))))))))))))))))),"")</f>
        <v/>
      </c>
      <c r="G111" s="416" t="str">
        <f>IFERROR(IF($A111&lt;'DWV PVC'!$A$285,VLOOKUP($A111,'DWV PVC'!$A$8:$M$284,11,FALSE),
IF($A111&lt;'DWV ABS'!$A$117,VLOOKUP($A111,'DWV ABS'!$A$8:$M$116,11,FALSE),
IF($A111&lt;'PVC SCH40'!$A$376,VLOOKUP($A111,'PVC SCH40'!$A$8:$M$375,11,FALSE),
IF($A111&lt;'PVC SCH40 LD'!$A$22,VLOOKUP($A111,'PVC SCH40 LD'!$A$8:$M$21,11,FALSE),
IF($A111&lt;'Pool &amp; SPA Sweep Elbows'!$A$12,VLOOKUP($A111,'Pool &amp; SPA Sweep Elbows'!$A$8:$M$11,11,FALSE),
IF($A111&lt;'Pool &amp; SPA Pipe Extender'!$A$11,VLOOKUP($A111,'Pool &amp; SPA Pipe Extender'!$A$8:$M$10,11,FALSE),
IF($A111&lt;'PVC SCH80'!$A$250,VLOOKUP($A111,'PVC SCH80'!$A$8:$M$249,11,FALSE),
IF($A111&lt;'PVC SCH80 Flange'!$A$49,VLOOKUP($A111,'PVC SCH80 Flange'!$A$8:$M$48,11,FALSE),
IF($A111&lt;'PVC SCH80 LD Flange'!$A$17,VLOOKUP($A111,'PVC SCH80 LD Flange'!$A$8:$M$16,11,FALSE),
IF($A111&lt;CPVC!$A$100,VLOOKUP($A111,CPVC!$A$8:$M$99,11,FALSE),
IF($A111&lt;InsertFittings!$A$237,VLOOKUP($A111,InsertFittings!$A$11:$M$236,11,FALSE),
IF($A111&lt;Valves!$A$132,VLOOKUP($A111,Valves!$A$8:$M$131,11,FALSE),
IF($A111&lt;SDR35SW!$A$124,VLOOKUP($A111,SDR35SW!$A$8:$M$123,11,FALSE),
IF($A111&lt;SDR35G!$A$143,VLOOKUP($A111, SDR35G!$A$8:$M$142,11,FALSE),
IF($A111&lt;SDR26G!$A$61,VLOOKUP($A111,SDR26G!$A$8:$N$60,12,FALSE),
IF($A111&lt;Cements!$A$100,VLOOKUP($A111,Cements!$A$8:$Q$99,15,FALSE),
IF($A111&lt;ValveBox!$A$143,VLOOKUP($A111,ValveBox!$A$10:$O$142,13,FALSE),
IF($A111&lt;'ValveBox Components'!$A$165,VLOOKUP($A111,'ValveBox Components'!$A$10:$O$164,13,FALSE),
IF($A111&lt;Drainage!$A$92,VLOOKUP($A111,Drainage!$A$8:$M$91,11,FALSE),
IF($A111&lt;Nipples!$A$82,VLOOKUP($A111,Nipples!$A$9:$Q$81,15,FALSE),
IF($A111&lt;Manifold!$A$33,VLOOKUP($A111,Manifold!$A$9:$M$32,11,FALSE),
IF($A111&lt;FlexibleRepairCouplings!$A$13,VLOOKUP($A111,FlexibleRepairCouplings!$A$10:$M$12,11,FALSE),
IF($A111&lt;DuraFix!$A$15,VLOOKUP($A111,DuraFix!$A$9:$M$14,11,FALSE),
IF($A111&lt;'Compression Fittings'!$A$16,VLOOKUP($A111,'Compression Fittings'!$A$8:$M$15,11,FALSE),
IF($A111&lt;'Hose Fittings'!$A$30,VLOOKUP($A111,'Hose Fittings'!$A$8:$M$29,11,FALSE),
IF($A111&lt;'Swing Joints'!$A$496,VLOOKUP($A111,'Swing Joints'!$A$9:$M$495,11,FALSE),
IF($A111&lt;'Swing Joints Components'!$A$135,VLOOKUP($A111,'Swing Joints Components'!$A$9:$M$134,11,FALSE),
IF($A111&lt;Nonstandard!$A$42,VLOOKUP($A111,Nonstandard!$A$31:$J$41,3,FALSE),"")))))))))))))))))))))))))))),"")</f>
        <v/>
      </c>
      <c r="H111" s="586" t="str">
        <f>IFERROR(IF($A111&lt;'DWV PVC'!$A$285,VLOOKUP($A111,'DWV PVC'!$A$8:$M$284,7,FALSE),
IF($A111&lt;'DWV ABS'!$A$117,VLOOKUP($A111,'DWV ABS'!$A$8:$M$116,7,FALSE),
IF($A111&lt;'PVC SCH40'!$A$376,VLOOKUP($A111,'PVC SCH40'!$A$8:$M$375,7,FALSE),
IF($A111&lt;'PVC SCH40 LD'!$A$22,VLOOKUP($A111,'PVC SCH40 LD'!$A$8:$M$21,7,FALSE),
IF($A111&lt;'Pool &amp; SPA Sweep Elbows'!$A$12,VLOOKUP($A111,'Pool &amp; SPA Sweep Elbows'!$A$8:$M$11,7,FALSE),
IF($A111&lt;'Pool &amp; SPA Pipe Extender'!$A$11,VLOOKUP($A111,'Pool &amp; SPA Pipe Extender'!$A$8:$M$10,7,FALSE),
IF($A111&lt;'PVC SCH80'!$A$250,VLOOKUP($A111,'PVC SCH80'!$A$8:$M$249,7,FALSE),
IF($A111&lt;'PVC SCH80 Flange'!$A$49,VLOOKUP($A111,'PVC SCH80 Flange'!$A$8:$M$48,7,FALSE),
IF($A111&lt;'PVC SCH80 LD Flange'!$A$17,VLOOKUP($A111,'PVC SCH80 LD Flange'!$A$8:$M$16,7,FALSE),
IF($A111&lt;CPVC!$A$100,VLOOKUP($A111,CPVC!$A$8:$M$99,7,FALSE),
IF($A111&lt;InsertFittings!$A$237,VLOOKUP($A111,InsertFittings!$A$11:$M$236,7,FALSE),
IF($A111&lt;Valves!$A$132,VLOOKUP($A111,Valves!$A$8:$M$131,7,FALSE),
IF($A111&lt;SDR35SW!$A$124,VLOOKUP($A111,SDR35SW!$A$8:$M$123,7,FALSE),
IF($A111&lt;SDR35G!$A$143,VLOOKUP($A111, SDR35G!$A$8:$M$142,7,FALSE),
IF($A111&lt;SDR26G!$A$61,VLOOKUP($A111,SDR26G!$A$8:$N$60,10,FALSE),
IF($A111&lt;Cements!$A$100,VLOOKUP($A111,Cements!$A$8:$Q$99,13,FALSE),
IF($A111&lt;ValveBox!$A$143,VLOOKUP($A111,ValveBox!$A$10:$O$142,11,FALSE),
IF($A111&lt;'ValveBox Components'!$A$165,VLOOKUP($A111,'ValveBox Components'!$A$10:$O$164,11,FALSE),
IF($A111&lt;Drainage!$A$92,VLOOKUP($A111,Drainage!$A$8:$M$91,7,FALSE),
IF($A111&lt;Nipples!$A$82,VLOOKUP($A111,Nipples!$A$9:$Q$81,13,FALSE),
IF($A111&lt;Manifold!$A$33,VLOOKUP($A111,Manifold!$A$9:$M$32,7,FALSE),
IF($A111&lt;FlexibleRepairCouplings!$A$13,VLOOKUP($A111,FlexibleRepairCouplings!$A$10:$M$12,7,FALSE),
IF($A111&lt;DuraFix!$A$15,VLOOKUP($A111,DuraFix!$A$9:$M$14,7,FALSE),
IF($A111&lt;'Compression Fittings'!$A$16,VLOOKUP($A111,'Compression Fittings'!$A$8:$M$15,7,FALSE),
IF($A111&lt;'Hose Fittings'!$A$30,VLOOKUP($A111,'Hose Fittings'!$A$8:$M$29,7,FALSE),
IF($A111&lt;'Swing Joints'!$A$496,VLOOKUP($A111,'Swing Joints'!$A$9:$M$495,7,FALSE),
IF($A111&lt;'Swing Joints Components'!$A$135,VLOOKUP($A111,'Swing Joints Components'!$A$9:$M$134,7,FALSE),
IF($A111&lt;Nonstandard!$A$42,VLOOKUP($A111,Nonstandard!$A$31:$J$41,3,FALSE),"")))))))))))))))))))))))))))),"")</f>
        <v/>
      </c>
      <c r="I111" s="587"/>
      <c r="J111" s="383" t="str">
        <f t="shared" si="3"/>
        <v/>
      </c>
      <c r="K111" s="417" t="str">
        <f>IFERROR(IF($A111&lt;'DWV PVC'!$A$285,VLOOKUP($A111,'DWV PVC'!$A$8:$M$284,10,FALSE),
IF($A111&lt;'DWV ABS'!$A$117,VLOOKUP($A111,'DWV ABS'!$A$8:$M$116,10,FALSE),
IF($A111&lt;'PVC SCH40'!$A$376,VLOOKUP($A111,'PVC SCH40'!$A$8:$M$375,10,FALSE),
IF($A111&lt;'PVC SCH40 LD'!$A$22,VLOOKUP($A111,'PVC SCH40 LD'!$A$8:$M$21,10,FALSE),
IF($A111&lt;'Pool &amp; SPA Sweep Elbows'!$A$12,VLOOKUP($A111,'Pool &amp; SPA Sweep Elbows'!$A$8:$M$11,10,FALSE),
IF($A111&lt;'Pool &amp; SPA Pipe Extender'!$A$11,VLOOKUP($A111,'Pool &amp; SPA Pipe Extender'!$A$8:$M$10,10,FALSE),
IF($A111&lt;'PVC SCH80'!$A$250,VLOOKUP($A111,'PVC SCH80'!$A$8:$M$249,10,FALSE),
IF($A111&lt;'PVC SCH80 Flange'!$A$49,VLOOKUP($A111,'PVC SCH80 Flange'!$A$8:$M$48,10,FALSE),
IF($A111&lt;'PVC SCH80 LD Flange'!$A$17,VLOOKUP($A111,'PVC SCH80 LD Flange'!$A$8:$M$16,10,FALSE),
IF($A111&lt;CPVC!$A$100,VLOOKUP($A111,CPVC!$A$8:$M$99,10,FALSE),
IF($A111&lt;InsertFittings!$A$237,VLOOKUP($A111,InsertFittings!$A$11:$M$236,10,FALSE),
IF($A111&lt;Valves!$A$132,VLOOKUP($A111,Valves!$A$8:$M$131,10,FALSE),
IF($A111&lt;SDR35SW!$A$124,VLOOKUP($A111,SDR35SW!$A$8:$M$123,10,FALSE),
IF($A111&lt;SDR35G!$A$143,VLOOKUP($A111, SDR35G!$A$8:$M$142,10,FALSE),
IF($A111&lt;SDR26G!$A$61,VLOOKUP($A111,SDR26G!$A$8:$N$60,11,FALSE),
IF($A111&lt;Cements!$A$100,VLOOKUP($A111,Cements!$A$8:$Q$99,14,FALSE),
IF($A111&lt;ValveBox!$A$143,VLOOKUP($A111,ValveBox!$A$10:$O$142,12,FALSE),
IF($A111&lt;'ValveBox Components'!$A$165,VLOOKUP($A111,'ValveBox Components'!$A$10:$O$164,12,FALSE),
IF($A111&lt;Drainage!$A$92,VLOOKUP($A111,Drainage!$A$8:$M$91,10,FALSE),
IF($A111&lt;Nipples!$A$82,VLOOKUP($A111,Nipples!$A$9:$Q$81,14,FALSE),
IF($A111&lt;Manifold!$A$33,VLOOKUP($A111,Manifold!$A$9:$M$32,10,FALSE),
IF($A111&lt;FlexibleRepairCouplings!$A$13,VLOOKUP($A111,FlexibleRepairCouplings!$A$10:$M$12,10,FALSE),
IF($A111&lt;DuraFix!$A$15,VLOOKUP($A111,DuraFix!$A$9:$M$14,10,FALSE),
IF($A111&lt;'Compression Fittings'!$A$16,VLOOKUP($A111,'Compression Fittings'!$A$8:$M$15,10,FALSE),
IF($A111&lt;'Hose Fittings'!$A$30,VLOOKUP($A111,'Hose Fittings'!$A$8:$M$29,10,FALSE),
IF($A111&lt;'Swing Joints'!$A$496,VLOOKUP($A111,'Swing Joints'!$A$9:$M$495,10,FALSE),
IF($A111&lt;'Swing Joints Components'!$A$135,VLOOKUP($A111,'Swing Joints Components'!$A$9:$M$134,10,FALSE),
IF($A111&lt;Nonstandard!$A$42,VLOOKUP($A111,Nonstandard!$A$31:$J$41,10,FALSE),"")))))))))))))))))))))))))))),"")</f>
        <v/>
      </c>
      <c r="L111" s="418" t="str">
        <f t="shared" si="2"/>
        <v>-</v>
      </c>
      <c r="M111" s="419"/>
    </row>
    <row r="112" spans="1:13" ht="15.75">
      <c r="A112" s="420">
        <v>80</v>
      </c>
      <c r="B112" s="420" t="str">
        <f>IFERROR(IF($A112&lt;'DWV PVC'!$A$285,VLOOKUP($A112,'DWV PVC'!$A$8:$M$284,4,FALSE),
IF($A112&lt;'DWV ABS'!$A$117,VLOOKUP($A112,'DWV ABS'!$A$8:$M$116,4,FALSE),
IF($A112&lt;'PVC SCH40'!$A$376,VLOOKUP($A112,'PVC SCH40'!$A$8:$M$375,4,FALSE),
IF($A112&lt;'PVC SCH40 LD'!$A$22,VLOOKUP($A112,'PVC SCH40 LD'!$A$8:$M$21,4,FALSE),
IF($A112&lt;'Pool &amp; SPA Sweep Elbows'!$A$12,VLOOKUP($A112,'Pool &amp; SPA Sweep Elbows'!$A$8:$M$11,4,FALSE),
IF($A112&lt;'Pool &amp; SPA Pipe Extender'!$A$11,VLOOKUP($A112,'Pool &amp; SPA Pipe Extender'!$A$8:$M$10,4,FALSE),
IF($A112&lt;'PVC SCH80'!$A$250,VLOOKUP($A112,'PVC SCH80'!$A$8:$M$249,4,FALSE),
IF($A112&lt;'PVC SCH80 Flange'!$A$49,VLOOKUP($A112,'PVC SCH80 Flange'!$A$8:$M$48,4,FALSE),
IF($A112&lt;'PVC SCH80 LD Flange'!$A$17,VLOOKUP($A112,'PVC SCH80 LD Flange'!$A$8:$M$16,4,FALSE),
IF($A112&lt;CPVC!$A$100,VLOOKUP($A112,CPVC!$A$8:$M$99,4,FALSE),
IF($A112&lt;InsertFittings!$A$237,VLOOKUP($A112,InsertFittings!$A$11:$M$236,4,FALSE),
IF($A112&lt;Valves!$A$132,VLOOKUP($A112,Valves!$A$8:$M$131,4,FALSE),
IF($A112&lt;SDR35SW!$A$124,VLOOKUP($A112,SDR35SW!$A$8:$M$123,4,FALSE),
IF($A112&lt;SDR35G!$A$143,VLOOKUP($A112, SDR35G!$A$8:$M$142,4,FALSE),
IF($A112&lt;SDR26G!$A$61,VLOOKUP($A112,SDR26G!$A$8:$N$60,4,FALSE),
IF($A112&lt;Cements!$A$100,VLOOKUP($A112,Cements!$A$8:$Q$99,4,FALSE),
IF($A112&lt;ValveBox!$A$143,VLOOKUP($A112,ValveBox!$A$10:$O$142,4,FALSE),
IF($A112&lt;'ValveBox Components'!$A$165,VLOOKUP($A112,'ValveBox Components'!$A$10:$O$164,4,FALSE),
IF($A112&lt;Drainage!$A$92,VLOOKUP($A112,Drainage!$A$8:$M$91,4,FALSE),
IF($A112&lt;Nipples!$A$82,VLOOKUP($A112,Nipples!$A$9:$Q$81,4,FALSE),
IF($A112&lt;Manifold!$A$33,VLOOKUP($A112,Manifold!$A$9:$M$32,4,FALSE),
IF($A112&lt;FlexibleRepairCouplings!$A$13,VLOOKUP($A112,FlexibleRepairCouplings!$A$10:$M$12,4,FALSE),
IF($A112&lt;DuraFix!$A$15,VLOOKUP($A112,DuraFix!$A$9:$M$14,4,FALSE),
IF($A112&lt;'Compression Fittings'!$A$16,VLOOKUP($A112,'Compression Fittings'!$A$8:$M$15,4,FALSE),
IF($A112&lt;'Hose Fittings'!$A$30,VLOOKUP($A112,'Hose Fittings'!$A$8:$M$29,4,FALSE),
IF($A112&lt;'Swing Joints'!$A$496,VLOOKUP($A112,'Swing Joints'!$A$9:$M$495,4,FALSE),
IF($A112&lt;'Swing Joints Components'!$A$135,VLOOKUP($A112,'Swing Joints Components'!$A$9:$M$134,4,FALSE),
IF($A112&lt;Nonstandard!$A$42,VLOOKUP($A112,Nonstandard!$A$31:$J$41,5,FALSE),"")))))))))))))))))))))))))))),"")</f>
        <v/>
      </c>
      <c r="C112" s="420" t="str">
        <f>IFERROR(IF($A112&lt;'DWV PVC'!$A$285,VLOOKUP($A112,'DWV PVC'!$A$8:$M$284,5,FALSE),
IF($A112&lt;'DWV ABS'!$A$117,VLOOKUP($A112,'DWV ABS'!$A$8:$M$116,5,FALSE),
IF($A112&lt;'PVC SCH40'!$A$376,VLOOKUP($A112,'PVC SCH40'!$A$8:$M$375,5,FALSE),
IF($A112&lt;'PVC SCH40 LD'!$A$22,VLOOKUP($A112,'PVC SCH40 LD'!$A$8:$M$21,5,FALSE),
IF($A112&lt;'Pool &amp; SPA Sweep Elbows'!$A$12,VLOOKUP($A112,'Pool &amp; SPA Sweep Elbows'!$A$8:$M$11,5,FALSE),
IF($A112&lt;'Pool &amp; SPA Pipe Extender'!$A$11,VLOOKUP($A112,'Pool &amp; SPA Pipe Extender'!$A$8:$M$10,5,FALSE),
IF($A112&lt;'PVC SCH80'!$A$250,VLOOKUP($A112,'PVC SCH80'!$A$8:$M$249,5,FALSE),
IF($A112&lt;'PVC SCH80 Flange'!$A$49,VLOOKUP($A112,'PVC SCH80 Flange'!$A$8:$M$48,5,FALSE),
IF($A112&lt;'PVC SCH80 LD Flange'!$A$17,VLOOKUP($A112,'PVC SCH80 LD Flange'!$A$8:$M$16,5,FALSE),
IF($A112&lt;CPVC!$A$100,VLOOKUP($A112,CPVC!$A$8:$M$99,5,FALSE),
IF($A112&lt;InsertFittings!$A$237,VLOOKUP($A112,InsertFittings!$A$11:$M$236,5,FALSE),
IF($A112&lt;Valves!$A$132,VLOOKUP($A112,Valves!$A$8:$M$131,5,FALSE),
IF($A112&lt;SDR35SW!$A$124,VLOOKUP($A112,SDR35SW!$A$8:$M$123,5,FALSE),
IF($A112&lt;SDR35G!$A$143,VLOOKUP($A112, SDR35G!$A$8:$M$142,5,FALSE),
IF($A112&lt;SDR26G!$A$61,VLOOKUP($A112,SDR26G!$A$8:$N$60,5,FALSE),
IF($A112&lt;Cements!$A$100,VLOOKUP($A112,Cements!$A$8:$Q$99,5,FALSE),
IF($A112&lt;ValveBox!$A$143,VLOOKUP($A112,ValveBox!$A$10:$O$142,5,FALSE),
IF($A112&lt;'ValveBox Components'!$A$165,VLOOKUP($A112,'ValveBox Components'!$A$10:$O$164,5,FALSE),
IF($A112&lt;Drainage!$A$92,VLOOKUP($A112,Drainage!$A$8:$M$91,5,FALSE),
IF($A112&lt;Nipples!$A$82,VLOOKUP($A112,Nipples!$A$9:$Q$81,5,FALSE),
IF($A112&lt;Manifold!$A$33,VLOOKUP($A112,Manifold!$A$9:$M$32,5,FALSE),
IF($A112&lt;FlexibleRepairCouplings!$A$13,VLOOKUP($A112,FlexibleRepairCouplings!$A$10:$M$12,5,FALSE),
IF($A112&lt;DuraFix!$A$15,VLOOKUP($A112,DuraFix!$A$9:$M$14,5,FALSE),
IF($A112&lt;'Compression Fittings'!$A$16,VLOOKUP($A112,'Compression Fittings'!$A$8:$M$15,5,FALSE),
IF($A112&lt;'Hose Fittings'!$A$30,VLOOKUP($A112,'Hose Fittings'!$A$8:$M$29,5,FALSE),
IF($A112&lt;'Swing Joints'!$A$496,VLOOKUP($A112,'Swing Joints'!$A$9:$M$495,5,FALSE),
IF($A112&lt;'Swing Joints Components'!$A$135,VLOOKUP($A112,'Swing Joints Components'!$A$9:$M$134,5,FALSE),
IF($A112&lt;Nonstandard!$A$42,VLOOKUP($A112,Nonstandard!$A$31:$J$41,6,FALSE),"")))))))))))))))))))))))))))),"")</f>
        <v/>
      </c>
      <c r="D112" s="428" t="str">
        <f>IFERROR(IF($A112&lt;'DWV PVC'!$A$285,VLOOKUP($A112,'DWV PVC'!$A$8:$M$284,6,FALSE),
IF($A112&lt;'DWV ABS'!$A$117,VLOOKUP($A112,'DWV ABS'!$A$8:$M$116,6,FALSE),
IF($A112&lt;'PVC SCH40'!$A$376,VLOOKUP($A112,'PVC SCH40'!$A$8:$M$375,6,FALSE),
IF($A112&lt;'PVC SCH40 LD'!$A$22,VLOOKUP($A112,'PVC SCH40 LD'!$A$8:$M$21,6,FALSE),
IF($A112&lt;'Pool &amp; SPA Sweep Elbows'!$A$12,VLOOKUP($A112,'Pool &amp; SPA Sweep Elbows'!$A$8:$M$11,6,FALSE),
IF($A112&lt;'Pool &amp; SPA Pipe Extender'!$A$11,VLOOKUP($A112,'Pool &amp; SPA Pipe Extender'!$A$8:$M$10,6,FALSE),
IF($A112&lt;'PVC SCH80'!$A$250,VLOOKUP($A112,'PVC SCH80'!$A$8:$M$249,6,FALSE),
IF($A112&lt;'PVC SCH80 Flange'!$A$49,VLOOKUP($A112,'PVC SCH80 Flange'!$A$8:$M$48,6,FALSE),
IF($A112&lt;'PVC SCH80 LD Flange'!$A$17,VLOOKUP($A112,'PVC SCH80 LD Flange'!$A$8:$M$16,6,FALSE),
IF($A112&lt;CPVC!$A$100,VLOOKUP($A112,CPVC!$A$8:$M$99,6,FALSE),
IF($A112&lt;InsertFittings!$A$237,VLOOKUP($A112,InsertFittings!$A$11:$M$236,6,FALSE),
IF($A112&lt;Valves!$A$132,VLOOKUP($A112,Valves!$A$8:$M$131,6,FALSE),
IF($A112&lt;SDR35SW!$A$124,VLOOKUP($A112,SDR35SW!$A$8:$M$123,6,FALSE),
IF($A112&lt;SDR35G!$A$143,VLOOKUP($A112, SDR35G!$A$8:$M$142,6,FALSE),
IF($A112&lt;SDR26G!$A$61,VLOOKUP($A112,SDR26G!$A$8:$N$60,6,FALSE),
IF($A112&lt;Cements!$A$100,VLOOKUP($A112,Cements!$A$8:$Q$99,6,FALSE),
IF($A112&lt;ValveBox!$A$143,VLOOKUP($A112,ValveBox!$A$10:$O$142,6,FALSE),
IF($A112&lt;'ValveBox Components'!$A$165,VLOOKUP($A112,'ValveBox Components'!$A$10:$O$164,6,FALSE),
IF($A112&lt;Drainage!$A$92,VLOOKUP($A112,Drainage!$A$8:$M$91,6,FALSE),
IF($A112&lt;Nipples!$A$82,VLOOKUP($A112,Nipples!$A$9:$Q$81,6,FALSE),
IF($A112&lt;Manifold!$A$33,VLOOKUP($A112,Manifold!$A$9:$M$32,6,FALSE),
IF($A112&lt;FlexibleRepairCouplings!$A$13,VLOOKUP($A112,FlexibleRepairCouplings!$A$10:$M$12,6,FALSE),
IF($A112&lt;DuraFix!$A$15,VLOOKUP($A112,DuraFix!$A$9:$M$14,6,FALSE),
IF($A112&lt;'Compression Fittings'!$A$16,VLOOKUP($A112,'Compression Fittings'!$A$8:$M$15,6,FALSE),
IF($A112&lt;'Hose Fittings'!$A$30,VLOOKUP($A112,'Hose Fittings'!$A$8:$M$29,6,FALSE),
IF($A112&lt;'Swing Joints'!$A$496,VLOOKUP($A112,'Swing Joints'!$A$9:$M$495,6,FALSE),
IF($A112&lt;'Swing Joints Components'!$A$135,VLOOKUP($A112,'Swing Joints Components'!$A$9:$M$134,6,FALSE),
IF($A112&lt;Nonstandard!$A$42,VLOOKUP($A112,Nonstandard!$A$31:$J$41,7,FALSE),"")))))))))))))))))))))))))))),"")</f>
        <v/>
      </c>
      <c r="E112" s="429"/>
      <c r="F112" s="421" t="str">
        <f>IFERROR(IF($A112&lt;'DWV PVC'!$A$285,VLOOKUP($A112,'DWV PVC'!$A$8:$M$284,9,FALSE),
IF($A112&lt;'DWV ABS'!$A$117,VLOOKUP($A112,'DWV ABS'!$A$8:$M$116,9,FALSE),
IF($A112&lt;'PVC SCH40'!$A$376,VLOOKUP($A112,'PVC SCH40'!$A$8:$M$375,9,FALSE),
IF($A112&lt;'PVC SCH40 LD'!$A$22,VLOOKUP($A112,'PVC SCH40 LD'!$A$8:$M$21,9,FALSE),
IF($A112&lt;'Pool &amp; SPA Sweep Elbows'!$A$12,VLOOKUP($A112,'Pool &amp; SPA Sweep Elbows'!$A$8:$M$11,9,FALSE),
IF($A112&lt;'Pool &amp; SPA Pipe Extender'!$A$11,VLOOKUP($A112,'Pool &amp; SPA Pipe Extender'!$A$8:$M$10,9,FALSE),
IF($A112&lt;'PVC SCH80'!$A$250,VLOOKUP($A112,'PVC SCH80'!$A$8:$M$249,9,FALSE),
IF($A112&lt;'PVC SCH80 Flange'!$A$49,VLOOKUP($A112,'PVC SCH80 Flange'!$A$8:$M$48,9,FALSE),
IF($A112&lt;'PVC SCH80 LD Flange'!$A$17,VLOOKUP($A112,'PVC SCH80 LD Flange'!$A$8:$M$16,9,FALSE),
IF($A112&lt;CPVC!$A$100,VLOOKUP($A112,CPVC!$A$8:$M$99,9,FALSE),
IF($A112&lt;InsertFittings!$A$237,VLOOKUP($A112,InsertFittings!$A$11:$M$236,9,FALSE),
IF($A112&lt;Valves!$A$132,VLOOKUP($A112,Valves!$A$8:$M$131,9,FALSE),
IF($A112&lt;SDR35SW!$A$124,VLOOKUP($A112,SDR35SW!$A$8:$M$123,9,FALSE),
IF($A112&lt;SDR35G!$A$143,VLOOKUP($A112, SDR35G!$A$8:$M$142,9,FALSE),
IF($A112&lt;SDR26G!$A$61,VLOOKUP($A112,SDR26G!$A$8:$N$60,10,FALSE),
IF($A112&lt;Cements!$A$100,VLOOKUP($A112,Cements!$A$8:$Q$99,13,FALSE),
IF($A112&lt;ValveBox!$A$143,VLOOKUP($A112,ValveBox!$A$10:$O$142,11,FALSE),
IF($A112&lt;'ValveBox Components'!$A$165,VLOOKUP($A112,'ValveBox Components'!$A$10:$O$164,11,FALSE),
IF($A112&lt;Drainage!$A$92,VLOOKUP($A112,Drainage!$A$8:$M$91,9,FALSE),
IF($A112&lt;Nipples!$A$82,VLOOKUP($A112,Nipples!$A$9:$Q$81,13,FALSE),
IF($A112&lt;Manifold!$A$33,VLOOKUP($A112,Manifold!$A$9:$M$32,9,FALSE),
IF($A112&lt;FlexibleRepairCouplings!$A$13,VLOOKUP($A112,FlexibleRepairCouplings!$A$10:$M$12,9,FALSE),
IF($A112&lt;DuraFix!$A$15,VLOOKUP($A112,DuraFix!$A$9:$M$14,9,FALSE),
IF($A112&lt;'Compression Fittings'!$A$16,VLOOKUP($A112,'Compression Fittings'!$A$8:$M$15,9,FALSE),
IF($A112&lt;'Hose Fittings'!$A$30,VLOOKUP($A112,'Hose Fittings'!$A$8:$M$29,9,FALSE),
IF($A112&lt;'Swing Joints'!$A$496,VLOOKUP($A112,'Swing Joints'!$A$9:$M$495,9,FALSE),
IF($A112&lt;'Swing Joints Components'!$A$135,VLOOKUP($A112,'Swing Joints Components'!$A$9:$M$134,9,FALSE),
IF($A112&lt;Nonstandard!$A$42,VLOOKUP($A112,Nonstandard!$A$31:$J$41,8,FALSE),"")))))))))))))))))))))))))))),"")</f>
        <v/>
      </c>
      <c r="G112" s="422" t="str">
        <f>IFERROR(IF($A112&lt;'DWV PVC'!$A$285,VLOOKUP($A112,'DWV PVC'!$A$8:$M$284,11,FALSE),
IF($A112&lt;'DWV ABS'!$A$117,VLOOKUP($A112,'DWV ABS'!$A$8:$M$116,11,FALSE),
IF($A112&lt;'PVC SCH40'!$A$376,VLOOKUP($A112,'PVC SCH40'!$A$8:$M$375,11,FALSE),
IF($A112&lt;'PVC SCH40 LD'!$A$22,VLOOKUP($A112,'PVC SCH40 LD'!$A$8:$M$21,11,FALSE),
IF($A112&lt;'Pool &amp; SPA Sweep Elbows'!$A$12,VLOOKUP($A112,'Pool &amp; SPA Sweep Elbows'!$A$8:$M$11,11,FALSE),
IF($A112&lt;'Pool &amp; SPA Pipe Extender'!$A$11,VLOOKUP($A112,'Pool &amp; SPA Pipe Extender'!$A$8:$M$10,11,FALSE),
IF($A112&lt;'PVC SCH80'!$A$250,VLOOKUP($A112,'PVC SCH80'!$A$8:$M$249,11,FALSE),
IF($A112&lt;'PVC SCH80 Flange'!$A$49,VLOOKUP($A112,'PVC SCH80 Flange'!$A$8:$M$48,11,FALSE),
IF($A112&lt;'PVC SCH80 LD Flange'!$A$17,VLOOKUP($A112,'PVC SCH80 LD Flange'!$A$8:$M$16,11,FALSE),
IF($A112&lt;CPVC!$A$100,VLOOKUP($A112,CPVC!$A$8:$M$99,11,FALSE),
IF($A112&lt;InsertFittings!$A$237,VLOOKUP($A112,InsertFittings!$A$11:$M$236,11,FALSE),
IF($A112&lt;Valves!$A$132,VLOOKUP($A112,Valves!$A$8:$M$131,11,FALSE),
IF($A112&lt;SDR35SW!$A$124,VLOOKUP($A112,SDR35SW!$A$8:$M$123,11,FALSE),
IF($A112&lt;SDR35G!$A$143,VLOOKUP($A112, SDR35G!$A$8:$M$142,11,FALSE),
IF($A112&lt;SDR26G!$A$61,VLOOKUP($A112,SDR26G!$A$8:$N$60,12,FALSE),
IF($A112&lt;Cements!$A$100,VLOOKUP($A112,Cements!$A$8:$Q$99,15,FALSE),
IF($A112&lt;ValveBox!$A$143,VLOOKUP($A112,ValveBox!$A$10:$O$142,13,FALSE),
IF($A112&lt;'ValveBox Components'!$A$165,VLOOKUP($A112,'ValveBox Components'!$A$10:$O$164,13,FALSE),
IF($A112&lt;Drainage!$A$92,VLOOKUP($A112,Drainage!$A$8:$M$91,11,FALSE),
IF($A112&lt;Nipples!$A$82,VLOOKUP($A112,Nipples!$A$9:$Q$81,15,FALSE),
IF($A112&lt;Manifold!$A$33,VLOOKUP($A112,Manifold!$A$9:$M$32,11,FALSE),
IF($A112&lt;FlexibleRepairCouplings!$A$13,VLOOKUP($A112,FlexibleRepairCouplings!$A$10:$M$12,11,FALSE),
IF($A112&lt;DuraFix!$A$15,VLOOKUP($A112,DuraFix!$A$9:$M$14,11,FALSE),
IF($A112&lt;'Compression Fittings'!$A$16,VLOOKUP($A112,'Compression Fittings'!$A$8:$M$15,11,FALSE),
IF($A112&lt;'Hose Fittings'!$A$30,VLOOKUP($A112,'Hose Fittings'!$A$8:$M$29,11,FALSE),
IF($A112&lt;'Swing Joints'!$A$496,VLOOKUP($A112,'Swing Joints'!$A$9:$M$495,11,FALSE),
IF($A112&lt;'Swing Joints Components'!$A$135,VLOOKUP($A112,'Swing Joints Components'!$A$9:$M$134,11,FALSE),
IF($A112&lt;Nonstandard!$A$42,VLOOKUP($A112,Nonstandard!$A$31:$J$41,3,FALSE),"")))))))))))))))))))))))))))),"")</f>
        <v/>
      </c>
      <c r="H112" s="588" t="str">
        <f>IFERROR(IF($A112&lt;'DWV PVC'!$A$285,VLOOKUP($A112,'DWV PVC'!$A$8:$M$284,7,FALSE),
IF($A112&lt;'DWV ABS'!$A$117,VLOOKUP($A112,'DWV ABS'!$A$8:$M$116,7,FALSE),
IF($A112&lt;'PVC SCH40'!$A$376,VLOOKUP($A112,'PVC SCH40'!$A$8:$M$375,7,FALSE),
IF($A112&lt;'PVC SCH40 LD'!$A$22,VLOOKUP($A112,'PVC SCH40 LD'!$A$8:$M$21,7,FALSE),
IF($A112&lt;'Pool &amp; SPA Sweep Elbows'!$A$12,VLOOKUP($A112,'Pool &amp; SPA Sweep Elbows'!$A$8:$M$11,7,FALSE),
IF($A112&lt;'Pool &amp; SPA Pipe Extender'!$A$11,VLOOKUP($A112,'Pool &amp; SPA Pipe Extender'!$A$8:$M$10,7,FALSE),
IF($A112&lt;'PVC SCH80'!$A$250,VLOOKUP($A112,'PVC SCH80'!$A$8:$M$249,7,FALSE),
IF($A112&lt;'PVC SCH80 Flange'!$A$49,VLOOKUP($A112,'PVC SCH80 Flange'!$A$8:$M$48,7,FALSE),
IF($A112&lt;'PVC SCH80 LD Flange'!$A$17,VLOOKUP($A112,'PVC SCH80 LD Flange'!$A$8:$M$16,7,FALSE),
IF($A112&lt;CPVC!$A$100,VLOOKUP($A112,CPVC!$A$8:$M$99,7,FALSE),
IF($A112&lt;InsertFittings!$A$237,VLOOKUP($A112,InsertFittings!$A$11:$M$236,7,FALSE),
IF($A112&lt;Valves!$A$132,VLOOKUP($A112,Valves!$A$8:$M$131,7,FALSE),
IF($A112&lt;SDR35SW!$A$124,VLOOKUP($A112,SDR35SW!$A$8:$M$123,7,FALSE),
IF($A112&lt;SDR35G!$A$143,VLOOKUP($A112, SDR35G!$A$8:$M$142,7,FALSE),
IF($A112&lt;SDR26G!$A$61,VLOOKUP($A112,SDR26G!$A$8:$N$60,10,FALSE),
IF($A112&lt;Cements!$A$100,VLOOKUP($A112,Cements!$A$8:$Q$99,13,FALSE),
IF($A112&lt;ValveBox!$A$143,VLOOKUP($A112,ValveBox!$A$10:$O$142,11,FALSE),
IF($A112&lt;'ValveBox Components'!$A$165,VLOOKUP($A112,'ValveBox Components'!$A$10:$O$164,11,FALSE),
IF($A112&lt;Drainage!$A$92,VLOOKUP($A112,Drainage!$A$8:$M$91,7,FALSE),
IF($A112&lt;Nipples!$A$82,VLOOKUP($A112,Nipples!$A$9:$Q$81,13,FALSE),
IF($A112&lt;Manifold!$A$33,VLOOKUP($A112,Manifold!$A$9:$M$32,7,FALSE),
IF($A112&lt;FlexibleRepairCouplings!$A$13,VLOOKUP($A112,FlexibleRepairCouplings!$A$10:$M$12,7,FALSE),
IF($A112&lt;DuraFix!$A$15,VLOOKUP($A112,DuraFix!$A$9:$M$14,7,FALSE),
IF($A112&lt;'Compression Fittings'!$A$16,VLOOKUP($A112,'Compression Fittings'!$A$8:$M$15,7,FALSE),
IF($A112&lt;'Hose Fittings'!$A$30,VLOOKUP($A112,'Hose Fittings'!$A$8:$M$29,7,FALSE),
IF($A112&lt;'Swing Joints'!$A$496,VLOOKUP($A112,'Swing Joints'!$A$9:$M$495,7,FALSE),
IF($A112&lt;'Swing Joints Components'!$A$135,VLOOKUP($A112,'Swing Joints Components'!$A$9:$M$134,7,FALSE),
IF($A112&lt;Nonstandard!$A$42,VLOOKUP($A112,Nonstandard!$A$31:$J$41,3,FALSE),"")))))))))))))))))))))))))))),"")</f>
        <v/>
      </c>
      <c r="I112" s="589"/>
      <c r="J112" s="423" t="str">
        <f t="shared" si="3"/>
        <v/>
      </c>
      <c r="K112" s="424" t="str">
        <f>IFERROR(IF($A112&lt;'DWV PVC'!$A$285,VLOOKUP($A112,'DWV PVC'!$A$8:$M$284,10,FALSE),
IF($A112&lt;'DWV ABS'!$A$117,VLOOKUP($A112,'DWV ABS'!$A$8:$M$116,10,FALSE),
IF($A112&lt;'PVC SCH40'!$A$376,VLOOKUP($A112,'PVC SCH40'!$A$8:$M$375,10,FALSE),
IF($A112&lt;'PVC SCH40 LD'!$A$22,VLOOKUP($A112,'PVC SCH40 LD'!$A$8:$M$21,10,FALSE),
IF($A112&lt;'Pool &amp; SPA Sweep Elbows'!$A$12,VLOOKUP($A112,'Pool &amp; SPA Sweep Elbows'!$A$8:$M$11,10,FALSE),
IF($A112&lt;'Pool &amp; SPA Pipe Extender'!$A$11,VLOOKUP($A112,'Pool &amp; SPA Pipe Extender'!$A$8:$M$10,10,FALSE),
IF($A112&lt;'PVC SCH80'!$A$250,VLOOKUP($A112,'PVC SCH80'!$A$8:$M$249,10,FALSE),
IF($A112&lt;'PVC SCH80 Flange'!$A$49,VLOOKUP($A112,'PVC SCH80 Flange'!$A$8:$M$48,10,FALSE),
IF($A112&lt;'PVC SCH80 LD Flange'!$A$17,VLOOKUP($A112,'PVC SCH80 LD Flange'!$A$8:$M$16,10,FALSE),
IF($A112&lt;CPVC!$A$100,VLOOKUP($A112,CPVC!$A$8:$M$99,10,FALSE),
IF($A112&lt;InsertFittings!$A$237,VLOOKUP($A112,InsertFittings!$A$11:$M$236,10,FALSE),
IF($A112&lt;Valves!$A$132,VLOOKUP($A112,Valves!$A$8:$M$131,10,FALSE),
IF($A112&lt;SDR35SW!$A$124,VLOOKUP($A112,SDR35SW!$A$8:$M$123,10,FALSE),
IF($A112&lt;SDR35G!$A$143,VLOOKUP($A112, SDR35G!$A$8:$M$142,10,FALSE),
IF($A112&lt;SDR26G!$A$61,VLOOKUP($A112,SDR26G!$A$8:$N$60,11,FALSE),
IF($A112&lt;Cements!$A$100,VLOOKUP($A112,Cements!$A$8:$Q$99,14,FALSE),
IF($A112&lt;ValveBox!$A$143,VLOOKUP($A112,ValveBox!$A$10:$O$142,12,FALSE),
IF($A112&lt;'ValveBox Components'!$A$165,VLOOKUP($A112,'ValveBox Components'!$A$10:$O$164,12,FALSE),
IF($A112&lt;Drainage!$A$92,VLOOKUP($A112,Drainage!$A$8:$M$91,10,FALSE),
IF($A112&lt;Nipples!$A$82,VLOOKUP($A112,Nipples!$A$9:$Q$81,14,FALSE),
IF($A112&lt;Manifold!$A$33,VLOOKUP($A112,Manifold!$A$9:$M$32,10,FALSE),
IF($A112&lt;FlexibleRepairCouplings!$A$13,VLOOKUP($A112,FlexibleRepairCouplings!$A$10:$M$12,10,FALSE),
IF($A112&lt;DuraFix!$A$15,VLOOKUP($A112,DuraFix!$A$9:$M$14,10,FALSE),
IF($A112&lt;'Compression Fittings'!$A$16,VLOOKUP($A112,'Compression Fittings'!$A$8:$M$15,10,FALSE),
IF($A112&lt;'Hose Fittings'!$A$30,VLOOKUP($A112,'Hose Fittings'!$A$8:$M$29,10,FALSE),
IF($A112&lt;'Swing Joints'!$A$496,VLOOKUP($A112,'Swing Joints'!$A$9:$M$495,10,FALSE),
IF($A112&lt;'Swing Joints Components'!$A$135,VLOOKUP($A112,'Swing Joints Components'!$A$9:$M$134,10,FALSE),
IF($A112&lt;Nonstandard!$A$42,VLOOKUP($A112,Nonstandard!$A$31:$J$41,10,FALSE),"")))))))))))))))))))))))))))),"")</f>
        <v/>
      </c>
      <c r="L112" s="421" t="str">
        <f t="shared" si="2"/>
        <v>-</v>
      </c>
      <c r="M112" s="425"/>
    </row>
    <row r="113" spans="1:13" ht="15.75">
      <c r="A113" s="415">
        <v>81</v>
      </c>
      <c r="B113" s="415" t="str">
        <f>IFERROR(IF($A113&lt;'DWV PVC'!$A$285,VLOOKUP($A113,'DWV PVC'!$A$8:$M$284,4,FALSE),
IF($A113&lt;'DWV ABS'!$A$117,VLOOKUP($A113,'DWV ABS'!$A$8:$M$116,4,FALSE),
IF($A113&lt;'PVC SCH40'!$A$376,VLOOKUP($A113,'PVC SCH40'!$A$8:$M$375,4,FALSE),
IF($A113&lt;'PVC SCH40 LD'!$A$22,VLOOKUP($A113,'PVC SCH40 LD'!$A$8:$M$21,4,FALSE),
IF($A113&lt;'Pool &amp; SPA Sweep Elbows'!$A$12,VLOOKUP($A113,'Pool &amp; SPA Sweep Elbows'!$A$8:$M$11,4,FALSE),
IF($A113&lt;'Pool &amp; SPA Pipe Extender'!$A$11,VLOOKUP($A113,'Pool &amp; SPA Pipe Extender'!$A$8:$M$10,4,FALSE),
IF($A113&lt;'PVC SCH80'!$A$250,VLOOKUP($A113,'PVC SCH80'!$A$8:$M$249,4,FALSE),
IF($A113&lt;'PVC SCH80 Flange'!$A$49,VLOOKUP($A113,'PVC SCH80 Flange'!$A$8:$M$48,4,FALSE),
IF($A113&lt;'PVC SCH80 LD Flange'!$A$17,VLOOKUP($A113,'PVC SCH80 LD Flange'!$A$8:$M$16,4,FALSE),
IF($A113&lt;CPVC!$A$100,VLOOKUP($A113,CPVC!$A$8:$M$99,4,FALSE),
IF($A113&lt;InsertFittings!$A$237,VLOOKUP($A113,InsertFittings!$A$11:$M$236,4,FALSE),
IF($A113&lt;Valves!$A$132,VLOOKUP($A113,Valves!$A$8:$M$131,4,FALSE),
IF($A113&lt;SDR35SW!$A$124,VLOOKUP($A113,SDR35SW!$A$8:$M$123,4,FALSE),
IF($A113&lt;SDR35G!$A$143,VLOOKUP($A113, SDR35G!$A$8:$M$142,4,FALSE),
IF($A113&lt;SDR26G!$A$61,VLOOKUP($A113,SDR26G!$A$8:$N$60,4,FALSE),
IF($A113&lt;Cements!$A$100,VLOOKUP($A113,Cements!$A$8:$Q$99,4,FALSE),
IF($A113&lt;ValveBox!$A$143,VLOOKUP($A113,ValveBox!$A$10:$O$142,4,FALSE),
IF($A113&lt;'ValveBox Components'!$A$165,VLOOKUP($A113,'ValveBox Components'!$A$10:$O$164,4,FALSE),
IF($A113&lt;Drainage!$A$92,VLOOKUP($A113,Drainage!$A$8:$M$91,4,FALSE),
IF($A113&lt;Nipples!$A$82,VLOOKUP($A113,Nipples!$A$9:$Q$81,4,FALSE),
IF($A113&lt;Manifold!$A$33,VLOOKUP($A113,Manifold!$A$9:$M$32,4,FALSE),
IF($A113&lt;FlexibleRepairCouplings!$A$13,VLOOKUP($A113,FlexibleRepairCouplings!$A$10:$M$12,4,FALSE),
IF($A113&lt;DuraFix!$A$15,VLOOKUP($A113,DuraFix!$A$9:$M$14,4,FALSE),
IF($A113&lt;'Compression Fittings'!$A$16,VLOOKUP($A113,'Compression Fittings'!$A$8:$M$15,4,FALSE),
IF($A113&lt;'Hose Fittings'!$A$30,VLOOKUP($A113,'Hose Fittings'!$A$8:$M$29,4,FALSE),
IF($A113&lt;'Swing Joints'!$A$496,VLOOKUP($A113,'Swing Joints'!$A$9:$M$495,4,FALSE),
IF($A113&lt;'Swing Joints Components'!$A$135,VLOOKUP($A113,'Swing Joints Components'!$A$9:$M$134,4,FALSE),
IF($A113&lt;Nonstandard!$A$42,VLOOKUP($A113,Nonstandard!$A$31:$J$41,5,FALSE),"")))))))))))))))))))))))))))),"")</f>
        <v/>
      </c>
      <c r="C113" s="415" t="str">
        <f>IFERROR(IF($A113&lt;'DWV PVC'!$A$285,VLOOKUP($A113,'DWV PVC'!$A$8:$M$284,5,FALSE),
IF($A113&lt;'DWV ABS'!$A$117,VLOOKUP($A113,'DWV ABS'!$A$8:$M$116,5,FALSE),
IF($A113&lt;'PVC SCH40'!$A$376,VLOOKUP($A113,'PVC SCH40'!$A$8:$M$375,5,FALSE),
IF($A113&lt;'PVC SCH40 LD'!$A$22,VLOOKUP($A113,'PVC SCH40 LD'!$A$8:$M$21,5,FALSE),
IF($A113&lt;'Pool &amp; SPA Sweep Elbows'!$A$12,VLOOKUP($A113,'Pool &amp; SPA Sweep Elbows'!$A$8:$M$11,5,FALSE),
IF($A113&lt;'Pool &amp; SPA Pipe Extender'!$A$11,VLOOKUP($A113,'Pool &amp; SPA Pipe Extender'!$A$8:$M$10,5,FALSE),
IF($A113&lt;'PVC SCH80'!$A$250,VLOOKUP($A113,'PVC SCH80'!$A$8:$M$249,5,FALSE),
IF($A113&lt;'PVC SCH80 Flange'!$A$49,VLOOKUP($A113,'PVC SCH80 Flange'!$A$8:$M$48,5,FALSE),
IF($A113&lt;'PVC SCH80 LD Flange'!$A$17,VLOOKUP($A113,'PVC SCH80 LD Flange'!$A$8:$M$16,5,FALSE),
IF($A113&lt;CPVC!$A$100,VLOOKUP($A113,CPVC!$A$8:$M$99,5,FALSE),
IF($A113&lt;InsertFittings!$A$237,VLOOKUP($A113,InsertFittings!$A$11:$M$236,5,FALSE),
IF($A113&lt;Valves!$A$132,VLOOKUP($A113,Valves!$A$8:$M$131,5,FALSE),
IF($A113&lt;SDR35SW!$A$124,VLOOKUP($A113,SDR35SW!$A$8:$M$123,5,FALSE),
IF($A113&lt;SDR35G!$A$143,VLOOKUP($A113, SDR35G!$A$8:$M$142,5,FALSE),
IF($A113&lt;SDR26G!$A$61,VLOOKUP($A113,SDR26G!$A$8:$N$60,5,FALSE),
IF($A113&lt;Cements!$A$100,VLOOKUP($A113,Cements!$A$8:$Q$99,5,FALSE),
IF($A113&lt;ValveBox!$A$143,VLOOKUP($A113,ValveBox!$A$10:$O$142,5,FALSE),
IF($A113&lt;'ValveBox Components'!$A$165,VLOOKUP($A113,'ValveBox Components'!$A$10:$O$164,5,FALSE),
IF($A113&lt;Drainage!$A$92,VLOOKUP($A113,Drainage!$A$8:$M$91,5,FALSE),
IF($A113&lt;Nipples!$A$82,VLOOKUP($A113,Nipples!$A$9:$Q$81,5,FALSE),
IF($A113&lt;Manifold!$A$33,VLOOKUP($A113,Manifold!$A$9:$M$32,5,FALSE),
IF($A113&lt;FlexibleRepairCouplings!$A$13,VLOOKUP($A113,FlexibleRepairCouplings!$A$10:$M$12,5,FALSE),
IF($A113&lt;DuraFix!$A$15,VLOOKUP($A113,DuraFix!$A$9:$M$14,5,FALSE),
IF($A113&lt;'Compression Fittings'!$A$16,VLOOKUP($A113,'Compression Fittings'!$A$8:$M$15,5,FALSE),
IF($A113&lt;'Hose Fittings'!$A$30,VLOOKUP($A113,'Hose Fittings'!$A$8:$M$29,5,FALSE),
IF($A113&lt;'Swing Joints'!$A$496,VLOOKUP($A113,'Swing Joints'!$A$9:$M$495,5,FALSE),
IF($A113&lt;'Swing Joints Components'!$A$135,VLOOKUP($A113,'Swing Joints Components'!$A$9:$M$134,5,FALSE),
IF($A113&lt;Nonstandard!$A$42,VLOOKUP($A113,Nonstandard!$A$31:$J$41,6,FALSE),"")))))))))))))))))))))))))))),"")</f>
        <v/>
      </c>
      <c r="D113" s="426" t="str">
        <f>IFERROR(IF($A113&lt;'DWV PVC'!$A$285,VLOOKUP($A113,'DWV PVC'!$A$8:$M$284,6,FALSE),
IF($A113&lt;'DWV ABS'!$A$117,VLOOKUP($A113,'DWV ABS'!$A$8:$M$116,6,FALSE),
IF($A113&lt;'PVC SCH40'!$A$376,VLOOKUP($A113,'PVC SCH40'!$A$8:$M$375,6,FALSE),
IF($A113&lt;'PVC SCH40 LD'!$A$22,VLOOKUP($A113,'PVC SCH40 LD'!$A$8:$M$21,6,FALSE),
IF($A113&lt;'Pool &amp; SPA Sweep Elbows'!$A$12,VLOOKUP($A113,'Pool &amp; SPA Sweep Elbows'!$A$8:$M$11,6,FALSE),
IF($A113&lt;'Pool &amp; SPA Pipe Extender'!$A$11,VLOOKUP($A113,'Pool &amp; SPA Pipe Extender'!$A$8:$M$10,6,FALSE),
IF($A113&lt;'PVC SCH80'!$A$250,VLOOKUP($A113,'PVC SCH80'!$A$8:$M$249,6,FALSE),
IF($A113&lt;'PVC SCH80 Flange'!$A$49,VLOOKUP($A113,'PVC SCH80 Flange'!$A$8:$M$48,6,FALSE),
IF($A113&lt;'PVC SCH80 LD Flange'!$A$17,VLOOKUP($A113,'PVC SCH80 LD Flange'!$A$8:$M$16,6,FALSE),
IF($A113&lt;CPVC!$A$100,VLOOKUP($A113,CPVC!$A$8:$M$99,6,FALSE),
IF($A113&lt;InsertFittings!$A$237,VLOOKUP($A113,InsertFittings!$A$11:$M$236,6,FALSE),
IF($A113&lt;Valves!$A$132,VLOOKUP($A113,Valves!$A$8:$M$131,6,FALSE),
IF($A113&lt;SDR35SW!$A$124,VLOOKUP($A113,SDR35SW!$A$8:$M$123,6,FALSE),
IF($A113&lt;SDR35G!$A$143,VLOOKUP($A113, SDR35G!$A$8:$M$142,6,FALSE),
IF($A113&lt;SDR26G!$A$61,VLOOKUP($A113,SDR26G!$A$8:$N$60,6,FALSE),
IF($A113&lt;Cements!$A$100,VLOOKUP($A113,Cements!$A$8:$Q$99,6,FALSE),
IF($A113&lt;ValveBox!$A$143,VLOOKUP($A113,ValveBox!$A$10:$O$142,6,FALSE),
IF($A113&lt;'ValveBox Components'!$A$165,VLOOKUP($A113,'ValveBox Components'!$A$10:$O$164,6,FALSE),
IF($A113&lt;Drainage!$A$92,VLOOKUP($A113,Drainage!$A$8:$M$91,6,FALSE),
IF($A113&lt;Nipples!$A$82,VLOOKUP($A113,Nipples!$A$9:$Q$81,6,FALSE),
IF($A113&lt;Manifold!$A$33,VLOOKUP($A113,Manifold!$A$9:$M$32,6,FALSE),
IF($A113&lt;FlexibleRepairCouplings!$A$13,VLOOKUP($A113,FlexibleRepairCouplings!$A$10:$M$12,6,FALSE),
IF($A113&lt;DuraFix!$A$15,VLOOKUP($A113,DuraFix!$A$9:$M$14,6,FALSE),
IF($A113&lt;'Compression Fittings'!$A$16,VLOOKUP($A113,'Compression Fittings'!$A$8:$M$15,6,FALSE),
IF($A113&lt;'Hose Fittings'!$A$30,VLOOKUP($A113,'Hose Fittings'!$A$8:$M$29,6,FALSE),
IF($A113&lt;'Swing Joints'!$A$496,VLOOKUP($A113,'Swing Joints'!$A$9:$M$495,6,FALSE),
IF($A113&lt;'Swing Joints Components'!$A$135,VLOOKUP($A113,'Swing Joints Components'!$A$9:$M$134,6,FALSE),
IF($A113&lt;Nonstandard!$A$42,VLOOKUP($A113,Nonstandard!$A$31:$J$41,7,FALSE),"")))))))))))))))))))))))))))),"")</f>
        <v/>
      </c>
      <c r="E113" s="427"/>
      <c r="F113" s="418" t="str">
        <f>IFERROR(IF($A113&lt;'DWV PVC'!$A$285,VLOOKUP($A113,'DWV PVC'!$A$8:$M$284,9,FALSE),
IF($A113&lt;'DWV ABS'!$A$117,VLOOKUP($A113,'DWV ABS'!$A$8:$M$116,9,FALSE),
IF($A113&lt;'PVC SCH40'!$A$376,VLOOKUP($A113,'PVC SCH40'!$A$8:$M$375,9,FALSE),
IF($A113&lt;'PVC SCH40 LD'!$A$22,VLOOKUP($A113,'PVC SCH40 LD'!$A$8:$M$21,9,FALSE),
IF($A113&lt;'Pool &amp; SPA Sweep Elbows'!$A$12,VLOOKUP($A113,'Pool &amp; SPA Sweep Elbows'!$A$8:$M$11,9,FALSE),
IF($A113&lt;'Pool &amp; SPA Pipe Extender'!$A$11,VLOOKUP($A113,'Pool &amp; SPA Pipe Extender'!$A$8:$M$10,9,FALSE),
IF($A113&lt;'PVC SCH80'!$A$250,VLOOKUP($A113,'PVC SCH80'!$A$8:$M$249,9,FALSE),
IF($A113&lt;'PVC SCH80 Flange'!$A$49,VLOOKUP($A113,'PVC SCH80 Flange'!$A$8:$M$48,9,FALSE),
IF($A113&lt;'PVC SCH80 LD Flange'!$A$17,VLOOKUP($A113,'PVC SCH80 LD Flange'!$A$8:$M$16,9,FALSE),
IF($A113&lt;CPVC!$A$100,VLOOKUP($A113,CPVC!$A$8:$M$99,9,FALSE),
IF($A113&lt;InsertFittings!$A$237,VLOOKUP($A113,InsertFittings!$A$11:$M$236,9,FALSE),
IF($A113&lt;Valves!$A$132,VLOOKUP($A113,Valves!$A$8:$M$131,9,FALSE),
IF($A113&lt;SDR35SW!$A$124,VLOOKUP($A113,SDR35SW!$A$8:$M$123,9,FALSE),
IF($A113&lt;SDR35G!$A$143,VLOOKUP($A113, SDR35G!$A$8:$M$142,9,FALSE),
IF($A113&lt;SDR26G!$A$61,VLOOKUP($A113,SDR26G!$A$8:$N$60,10,FALSE),
IF($A113&lt;Cements!$A$100,VLOOKUP($A113,Cements!$A$8:$Q$99,13,FALSE),
IF($A113&lt;ValveBox!$A$143,VLOOKUP($A113,ValveBox!$A$10:$O$142,11,FALSE),
IF($A113&lt;'ValveBox Components'!$A$165,VLOOKUP($A113,'ValveBox Components'!$A$10:$O$164,11,FALSE),
IF($A113&lt;Drainage!$A$92,VLOOKUP($A113,Drainage!$A$8:$M$91,9,FALSE),
IF($A113&lt;Nipples!$A$82,VLOOKUP($A113,Nipples!$A$9:$Q$81,13,FALSE),
IF($A113&lt;Manifold!$A$33,VLOOKUP($A113,Manifold!$A$9:$M$32,9,FALSE),
IF($A113&lt;FlexibleRepairCouplings!$A$13,VLOOKUP($A113,FlexibleRepairCouplings!$A$10:$M$12,9,FALSE),
IF($A113&lt;DuraFix!$A$15,VLOOKUP($A113,DuraFix!$A$9:$M$14,9,FALSE),
IF($A113&lt;'Compression Fittings'!$A$16,VLOOKUP($A113,'Compression Fittings'!$A$8:$M$15,9,FALSE),
IF($A113&lt;'Hose Fittings'!$A$30,VLOOKUP($A113,'Hose Fittings'!$A$8:$M$29,9,FALSE),
IF($A113&lt;'Swing Joints'!$A$496,VLOOKUP($A113,'Swing Joints'!$A$9:$M$495,9,FALSE),
IF($A113&lt;'Swing Joints Components'!$A$135,VLOOKUP($A113,'Swing Joints Components'!$A$9:$M$134,9,FALSE),
IF($A113&lt;Nonstandard!$A$42,VLOOKUP($A113,Nonstandard!$A$31:$J$41,8,FALSE),"")))))))))))))))))))))))))))),"")</f>
        <v/>
      </c>
      <c r="G113" s="416" t="str">
        <f>IFERROR(IF($A113&lt;'DWV PVC'!$A$285,VLOOKUP($A113,'DWV PVC'!$A$8:$M$284,11,FALSE),
IF($A113&lt;'DWV ABS'!$A$117,VLOOKUP($A113,'DWV ABS'!$A$8:$M$116,11,FALSE),
IF($A113&lt;'PVC SCH40'!$A$376,VLOOKUP($A113,'PVC SCH40'!$A$8:$M$375,11,FALSE),
IF($A113&lt;'PVC SCH40 LD'!$A$22,VLOOKUP($A113,'PVC SCH40 LD'!$A$8:$M$21,11,FALSE),
IF($A113&lt;'Pool &amp; SPA Sweep Elbows'!$A$12,VLOOKUP($A113,'Pool &amp; SPA Sweep Elbows'!$A$8:$M$11,11,FALSE),
IF($A113&lt;'Pool &amp; SPA Pipe Extender'!$A$11,VLOOKUP($A113,'Pool &amp; SPA Pipe Extender'!$A$8:$M$10,11,FALSE),
IF($A113&lt;'PVC SCH80'!$A$250,VLOOKUP($A113,'PVC SCH80'!$A$8:$M$249,11,FALSE),
IF($A113&lt;'PVC SCH80 Flange'!$A$49,VLOOKUP($A113,'PVC SCH80 Flange'!$A$8:$M$48,11,FALSE),
IF($A113&lt;'PVC SCH80 LD Flange'!$A$17,VLOOKUP($A113,'PVC SCH80 LD Flange'!$A$8:$M$16,11,FALSE),
IF($A113&lt;CPVC!$A$100,VLOOKUP($A113,CPVC!$A$8:$M$99,11,FALSE),
IF($A113&lt;InsertFittings!$A$237,VLOOKUP($A113,InsertFittings!$A$11:$M$236,11,FALSE),
IF($A113&lt;Valves!$A$132,VLOOKUP($A113,Valves!$A$8:$M$131,11,FALSE),
IF($A113&lt;SDR35SW!$A$124,VLOOKUP($A113,SDR35SW!$A$8:$M$123,11,FALSE),
IF($A113&lt;SDR35G!$A$143,VLOOKUP($A113, SDR35G!$A$8:$M$142,11,FALSE),
IF($A113&lt;SDR26G!$A$61,VLOOKUP($A113,SDR26G!$A$8:$N$60,12,FALSE),
IF($A113&lt;Cements!$A$100,VLOOKUP($A113,Cements!$A$8:$Q$99,15,FALSE),
IF($A113&lt;ValveBox!$A$143,VLOOKUP($A113,ValveBox!$A$10:$O$142,13,FALSE),
IF($A113&lt;'ValveBox Components'!$A$165,VLOOKUP($A113,'ValveBox Components'!$A$10:$O$164,13,FALSE),
IF($A113&lt;Drainage!$A$92,VLOOKUP($A113,Drainage!$A$8:$M$91,11,FALSE),
IF($A113&lt;Nipples!$A$82,VLOOKUP($A113,Nipples!$A$9:$Q$81,15,FALSE),
IF($A113&lt;Manifold!$A$33,VLOOKUP($A113,Manifold!$A$9:$M$32,11,FALSE),
IF($A113&lt;FlexibleRepairCouplings!$A$13,VLOOKUP($A113,FlexibleRepairCouplings!$A$10:$M$12,11,FALSE),
IF($A113&lt;DuraFix!$A$15,VLOOKUP($A113,DuraFix!$A$9:$M$14,11,FALSE),
IF($A113&lt;'Compression Fittings'!$A$16,VLOOKUP($A113,'Compression Fittings'!$A$8:$M$15,11,FALSE),
IF($A113&lt;'Hose Fittings'!$A$30,VLOOKUP($A113,'Hose Fittings'!$A$8:$M$29,11,FALSE),
IF($A113&lt;'Swing Joints'!$A$496,VLOOKUP($A113,'Swing Joints'!$A$9:$M$495,11,FALSE),
IF($A113&lt;'Swing Joints Components'!$A$135,VLOOKUP($A113,'Swing Joints Components'!$A$9:$M$134,11,FALSE),
IF($A113&lt;Nonstandard!$A$42,VLOOKUP($A113,Nonstandard!$A$31:$J$41,3,FALSE),"")))))))))))))))))))))))))))),"")</f>
        <v/>
      </c>
      <c r="H113" s="586" t="str">
        <f>IFERROR(IF($A113&lt;'DWV PVC'!$A$285,VLOOKUP($A113,'DWV PVC'!$A$8:$M$284,7,FALSE),
IF($A113&lt;'DWV ABS'!$A$117,VLOOKUP($A113,'DWV ABS'!$A$8:$M$116,7,FALSE),
IF($A113&lt;'PVC SCH40'!$A$376,VLOOKUP($A113,'PVC SCH40'!$A$8:$M$375,7,FALSE),
IF($A113&lt;'PVC SCH40 LD'!$A$22,VLOOKUP($A113,'PVC SCH40 LD'!$A$8:$M$21,7,FALSE),
IF($A113&lt;'Pool &amp; SPA Sweep Elbows'!$A$12,VLOOKUP($A113,'Pool &amp; SPA Sweep Elbows'!$A$8:$M$11,7,FALSE),
IF($A113&lt;'Pool &amp; SPA Pipe Extender'!$A$11,VLOOKUP($A113,'Pool &amp; SPA Pipe Extender'!$A$8:$M$10,7,FALSE),
IF($A113&lt;'PVC SCH80'!$A$250,VLOOKUP($A113,'PVC SCH80'!$A$8:$M$249,7,FALSE),
IF($A113&lt;'PVC SCH80 Flange'!$A$49,VLOOKUP($A113,'PVC SCH80 Flange'!$A$8:$M$48,7,FALSE),
IF($A113&lt;'PVC SCH80 LD Flange'!$A$17,VLOOKUP($A113,'PVC SCH80 LD Flange'!$A$8:$M$16,7,FALSE),
IF($A113&lt;CPVC!$A$100,VLOOKUP($A113,CPVC!$A$8:$M$99,7,FALSE),
IF($A113&lt;InsertFittings!$A$237,VLOOKUP($A113,InsertFittings!$A$11:$M$236,7,FALSE),
IF($A113&lt;Valves!$A$132,VLOOKUP($A113,Valves!$A$8:$M$131,7,FALSE),
IF($A113&lt;SDR35SW!$A$124,VLOOKUP($A113,SDR35SW!$A$8:$M$123,7,FALSE),
IF($A113&lt;SDR35G!$A$143,VLOOKUP($A113, SDR35G!$A$8:$M$142,7,FALSE),
IF($A113&lt;SDR26G!$A$61,VLOOKUP($A113,SDR26G!$A$8:$N$60,10,FALSE),
IF($A113&lt;Cements!$A$100,VLOOKUP($A113,Cements!$A$8:$Q$99,13,FALSE),
IF($A113&lt;ValveBox!$A$143,VLOOKUP($A113,ValveBox!$A$10:$O$142,11,FALSE),
IF($A113&lt;'ValveBox Components'!$A$165,VLOOKUP($A113,'ValveBox Components'!$A$10:$O$164,11,FALSE),
IF($A113&lt;Drainage!$A$92,VLOOKUP($A113,Drainage!$A$8:$M$91,7,FALSE),
IF($A113&lt;Nipples!$A$82,VLOOKUP($A113,Nipples!$A$9:$Q$81,13,FALSE),
IF($A113&lt;Manifold!$A$33,VLOOKUP($A113,Manifold!$A$9:$M$32,7,FALSE),
IF($A113&lt;FlexibleRepairCouplings!$A$13,VLOOKUP($A113,FlexibleRepairCouplings!$A$10:$M$12,7,FALSE),
IF($A113&lt;DuraFix!$A$15,VLOOKUP($A113,DuraFix!$A$9:$M$14,7,FALSE),
IF($A113&lt;'Compression Fittings'!$A$16,VLOOKUP($A113,'Compression Fittings'!$A$8:$M$15,7,FALSE),
IF($A113&lt;'Hose Fittings'!$A$30,VLOOKUP($A113,'Hose Fittings'!$A$8:$M$29,7,FALSE),
IF($A113&lt;'Swing Joints'!$A$496,VLOOKUP($A113,'Swing Joints'!$A$9:$M$495,7,FALSE),
IF($A113&lt;'Swing Joints Components'!$A$135,VLOOKUP($A113,'Swing Joints Components'!$A$9:$M$134,7,FALSE),
IF($A113&lt;Nonstandard!$A$42,VLOOKUP($A113,Nonstandard!$A$31:$J$41,3,FALSE),"")))))))))))))))))))))))))))),"")</f>
        <v/>
      </c>
      <c r="I113" s="587"/>
      <c r="J113" s="383" t="str">
        <f t="shared" si="3"/>
        <v/>
      </c>
      <c r="K113" s="417" t="str">
        <f>IFERROR(IF($A113&lt;'DWV PVC'!$A$285,VLOOKUP($A113,'DWV PVC'!$A$8:$M$284,10,FALSE),
IF($A113&lt;'DWV ABS'!$A$117,VLOOKUP($A113,'DWV ABS'!$A$8:$M$116,10,FALSE),
IF($A113&lt;'PVC SCH40'!$A$376,VLOOKUP($A113,'PVC SCH40'!$A$8:$M$375,10,FALSE),
IF($A113&lt;'PVC SCH40 LD'!$A$22,VLOOKUP($A113,'PVC SCH40 LD'!$A$8:$M$21,10,FALSE),
IF($A113&lt;'Pool &amp; SPA Sweep Elbows'!$A$12,VLOOKUP($A113,'Pool &amp; SPA Sweep Elbows'!$A$8:$M$11,10,FALSE),
IF($A113&lt;'Pool &amp; SPA Pipe Extender'!$A$11,VLOOKUP($A113,'Pool &amp; SPA Pipe Extender'!$A$8:$M$10,10,FALSE),
IF($A113&lt;'PVC SCH80'!$A$250,VLOOKUP($A113,'PVC SCH80'!$A$8:$M$249,10,FALSE),
IF($A113&lt;'PVC SCH80 Flange'!$A$49,VLOOKUP($A113,'PVC SCH80 Flange'!$A$8:$M$48,10,FALSE),
IF($A113&lt;'PVC SCH80 LD Flange'!$A$17,VLOOKUP($A113,'PVC SCH80 LD Flange'!$A$8:$M$16,10,FALSE),
IF($A113&lt;CPVC!$A$100,VLOOKUP($A113,CPVC!$A$8:$M$99,10,FALSE),
IF($A113&lt;InsertFittings!$A$237,VLOOKUP($A113,InsertFittings!$A$11:$M$236,10,FALSE),
IF($A113&lt;Valves!$A$132,VLOOKUP($A113,Valves!$A$8:$M$131,10,FALSE),
IF($A113&lt;SDR35SW!$A$124,VLOOKUP($A113,SDR35SW!$A$8:$M$123,10,FALSE),
IF($A113&lt;SDR35G!$A$143,VLOOKUP($A113, SDR35G!$A$8:$M$142,10,FALSE),
IF($A113&lt;SDR26G!$A$61,VLOOKUP($A113,SDR26G!$A$8:$N$60,11,FALSE),
IF($A113&lt;Cements!$A$100,VLOOKUP($A113,Cements!$A$8:$Q$99,14,FALSE),
IF($A113&lt;ValveBox!$A$143,VLOOKUP($A113,ValveBox!$A$10:$O$142,12,FALSE),
IF($A113&lt;'ValveBox Components'!$A$165,VLOOKUP($A113,'ValveBox Components'!$A$10:$O$164,12,FALSE),
IF($A113&lt;Drainage!$A$92,VLOOKUP($A113,Drainage!$A$8:$M$91,10,FALSE),
IF($A113&lt;Nipples!$A$82,VLOOKUP($A113,Nipples!$A$9:$Q$81,14,FALSE),
IF($A113&lt;Manifold!$A$33,VLOOKUP($A113,Manifold!$A$9:$M$32,10,FALSE),
IF($A113&lt;FlexibleRepairCouplings!$A$13,VLOOKUP($A113,FlexibleRepairCouplings!$A$10:$M$12,10,FALSE),
IF($A113&lt;DuraFix!$A$15,VLOOKUP($A113,DuraFix!$A$9:$M$14,10,FALSE),
IF($A113&lt;'Compression Fittings'!$A$16,VLOOKUP($A113,'Compression Fittings'!$A$8:$M$15,10,FALSE),
IF($A113&lt;'Hose Fittings'!$A$30,VLOOKUP($A113,'Hose Fittings'!$A$8:$M$29,10,FALSE),
IF($A113&lt;'Swing Joints'!$A$496,VLOOKUP($A113,'Swing Joints'!$A$9:$M$495,10,FALSE),
IF($A113&lt;'Swing Joints Components'!$A$135,VLOOKUP($A113,'Swing Joints Components'!$A$9:$M$134,10,FALSE),
IF($A113&lt;Nonstandard!$A$42,VLOOKUP($A113,Nonstandard!$A$31:$J$41,10,FALSE),"")))))))))))))))))))))))))))),"")</f>
        <v/>
      </c>
      <c r="L113" s="418" t="str">
        <f t="shared" si="2"/>
        <v>-</v>
      </c>
      <c r="M113" s="419"/>
    </row>
    <row r="114" spans="1:13" ht="15.75">
      <c r="A114" s="420">
        <v>82</v>
      </c>
      <c r="B114" s="420" t="str">
        <f>IFERROR(IF($A114&lt;'DWV PVC'!$A$285,VLOOKUP($A114,'DWV PVC'!$A$8:$M$284,4,FALSE),
IF($A114&lt;'DWV ABS'!$A$117,VLOOKUP($A114,'DWV ABS'!$A$8:$M$116,4,FALSE),
IF($A114&lt;'PVC SCH40'!$A$376,VLOOKUP($A114,'PVC SCH40'!$A$8:$M$375,4,FALSE),
IF($A114&lt;'PVC SCH40 LD'!$A$22,VLOOKUP($A114,'PVC SCH40 LD'!$A$8:$M$21,4,FALSE),
IF($A114&lt;'Pool &amp; SPA Sweep Elbows'!$A$12,VLOOKUP($A114,'Pool &amp; SPA Sweep Elbows'!$A$8:$M$11,4,FALSE),
IF($A114&lt;'Pool &amp; SPA Pipe Extender'!$A$11,VLOOKUP($A114,'Pool &amp; SPA Pipe Extender'!$A$8:$M$10,4,FALSE),
IF($A114&lt;'PVC SCH80'!$A$250,VLOOKUP($A114,'PVC SCH80'!$A$8:$M$249,4,FALSE),
IF($A114&lt;'PVC SCH80 Flange'!$A$49,VLOOKUP($A114,'PVC SCH80 Flange'!$A$8:$M$48,4,FALSE),
IF($A114&lt;'PVC SCH80 LD Flange'!$A$17,VLOOKUP($A114,'PVC SCH80 LD Flange'!$A$8:$M$16,4,FALSE),
IF($A114&lt;CPVC!$A$100,VLOOKUP($A114,CPVC!$A$8:$M$99,4,FALSE),
IF($A114&lt;InsertFittings!$A$237,VLOOKUP($A114,InsertFittings!$A$11:$M$236,4,FALSE),
IF($A114&lt;Valves!$A$132,VLOOKUP($A114,Valves!$A$8:$M$131,4,FALSE),
IF($A114&lt;SDR35SW!$A$124,VLOOKUP($A114,SDR35SW!$A$8:$M$123,4,FALSE),
IF($A114&lt;SDR35G!$A$143,VLOOKUP($A114, SDR35G!$A$8:$M$142,4,FALSE),
IF($A114&lt;SDR26G!$A$61,VLOOKUP($A114,SDR26G!$A$8:$N$60,4,FALSE),
IF($A114&lt;Cements!$A$100,VLOOKUP($A114,Cements!$A$8:$Q$99,4,FALSE),
IF($A114&lt;ValveBox!$A$143,VLOOKUP($A114,ValveBox!$A$10:$O$142,4,FALSE),
IF($A114&lt;'ValveBox Components'!$A$165,VLOOKUP($A114,'ValveBox Components'!$A$10:$O$164,4,FALSE),
IF($A114&lt;Drainage!$A$92,VLOOKUP($A114,Drainage!$A$8:$M$91,4,FALSE),
IF($A114&lt;Nipples!$A$82,VLOOKUP($A114,Nipples!$A$9:$Q$81,4,FALSE),
IF($A114&lt;Manifold!$A$33,VLOOKUP($A114,Manifold!$A$9:$M$32,4,FALSE),
IF($A114&lt;FlexibleRepairCouplings!$A$13,VLOOKUP($A114,FlexibleRepairCouplings!$A$10:$M$12,4,FALSE),
IF($A114&lt;DuraFix!$A$15,VLOOKUP($A114,DuraFix!$A$9:$M$14,4,FALSE),
IF($A114&lt;'Compression Fittings'!$A$16,VLOOKUP($A114,'Compression Fittings'!$A$8:$M$15,4,FALSE),
IF($A114&lt;'Hose Fittings'!$A$30,VLOOKUP($A114,'Hose Fittings'!$A$8:$M$29,4,FALSE),
IF($A114&lt;'Swing Joints'!$A$496,VLOOKUP($A114,'Swing Joints'!$A$9:$M$495,4,FALSE),
IF($A114&lt;'Swing Joints Components'!$A$135,VLOOKUP($A114,'Swing Joints Components'!$A$9:$M$134,4,FALSE),
IF($A114&lt;Nonstandard!$A$42,VLOOKUP($A114,Nonstandard!$A$31:$J$41,5,FALSE),"")))))))))))))))))))))))))))),"")</f>
        <v/>
      </c>
      <c r="C114" s="420" t="str">
        <f>IFERROR(IF($A114&lt;'DWV PVC'!$A$285,VLOOKUP($A114,'DWV PVC'!$A$8:$M$284,5,FALSE),
IF($A114&lt;'DWV ABS'!$A$117,VLOOKUP($A114,'DWV ABS'!$A$8:$M$116,5,FALSE),
IF($A114&lt;'PVC SCH40'!$A$376,VLOOKUP($A114,'PVC SCH40'!$A$8:$M$375,5,FALSE),
IF($A114&lt;'PVC SCH40 LD'!$A$22,VLOOKUP($A114,'PVC SCH40 LD'!$A$8:$M$21,5,FALSE),
IF($A114&lt;'Pool &amp; SPA Sweep Elbows'!$A$12,VLOOKUP($A114,'Pool &amp; SPA Sweep Elbows'!$A$8:$M$11,5,FALSE),
IF($A114&lt;'Pool &amp; SPA Pipe Extender'!$A$11,VLOOKUP($A114,'Pool &amp; SPA Pipe Extender'!$A$8:$M$10,5,FALSE),
IF($A114&lt;'PVC SCH80'!$A$250,VLOOKUP($A114,'PVC SCH80'!$A$8:$M$249,5,FALSE),
IF($A114&lt;'PVC SCH80 Flange'!$A$49,VLOOKUP($A114,'PVC SCH80 Flange'!$A$8:$M$48,5,FALSE),
IF($A114&lt;'PVC SCH80 LD Flange'!$A$17,VLOOKUP($A114,'PVC SCH80 LD Flange'!$A$8:$M$16,5,FALSE),
IF($A114&lt;CPVC!$A$100,VLOOKUP($A114,CPVC!$A$8:$M$99,5,FALSE),
IF($A114&lt;InsertFittings!$A$237,VLOOKUP($A114,InsertFittings!$A$11:$M$236,5,FALSE),
IF($A114&lt;Valves!$A$132,VLOOKUP($A114,Valves!$A$8:$M$131,5,FALSE),
IF($A114&lt;SDR35SW!$A$124,VLOOKUP($A114,SDR35SW!$A$8:$M$123,5,FALSE),
IF($A114&lt;SDR35G!$A$143,VLOOKUP($A114, SDR35G!$A$8:$M$142,5,FALSE),
IF($A114&lt;SDR26G!$A$61,VLOOKUP($A114,SDR26G!$A$8:$N$60,5,FALSE),
IF($A114&lt;Cements!$A$100,VLOOKUP($A114,Cements!$A$8:$Q$99,5,FALSE),
IF($A114&lt;ValveBox!$A$143,VLOOKUP($A114,ValveBox!$A$10:$O$142,5,FALSE),
IF($A114&lt;'ValveBox Components'!$A$165,VLOOKUP($A114,'ValveBox Components'!$A$10:$O$164,5,FALSE),
IF($A114&lt;Drainage!$A$92,VLOOKUP($A114,Drainage!$A$8:$M$91,5,FALSE),
IF($A114&lt;Nipples!$A$82,VLOOKUP($A114,Nipples!$A$9:$Q$81,5,FALSE),
IF($A114&lt;Manifold!$A$33,VLOOKUP($A114,Manifold!$A$9:$M$32,5,FALSE),
IF($A114&lt;FlexibleRepairCouplings!$A$13,VLOOKUP($A114,FlexibleRepairCouplings!$A$10:$M$12,5,FALSE),
IF($A114&lt;DuraFix!$A$15,VLOOKUP($A114,DuraFix!$A$9:$M$14,5,FALSE),
IF($A114&lt;'Compression Fittings'!$A$16,VLOOKUP($A114,'Compression Fittings'!$A$8:$M$15,5,FALSE),
IF($A114&lt;'Hose Fittings'!$A$30,VLOOKUP($A114,'Hose Fittings'!$A$8:$M$29,5,FALSE),
IF($A114&lt;'Swing Joints'!$A$496,VLOOKUP($A114,'Swing Joints'!$A$9:$M$495,5,FALSE),
IF($A114&lt;'Swing Joints Components'!$A$135,VLOOKUP($A114,'Swing Joints Components'!$A$9:$M$134,5,FALSE),
IF($A114&lt;Nonstandard!$A$42,VLOOKUP($A114,Nonstandard!$A$31:$J$41,6,FALSE),"")))))))))))))))))))))))))))),"")</f>
        <v/>
      </c>
      <c r="D114" s="428" t="str">
        <f>IFERROR(IF($A114&lt;'DWV PVC'!$A$285,VLOOKUP($A114,'DWV PVC'!$A$8:$M$284,6,FALSE),
IF($A114&lt;'DWV ABS'!$A$117,VLOOKUP($A114,'DWV ABS'!$A$8:$M$116,6,FALSE),
IF($A114&lt;'PVC SCH40'!$A$376,VLOOKUP($A114,'PVC SCH40'!$A$8:$M$375,6,FALSE),
IF($A114&lt;'PVC SCH40 LD'!$A$22,VLOOKUP($A114,'PVC SCH40 LD'!$A$8:$M$21,6,FALSE),
IF($A114&lt;'Pool &amp; SPA Sweep Elbows'!$A$12,VLOOKUP($A114,'Pool &amp; SPA Sweep Elbows'!$A$8:$M$11,6,FALSE),
IF($A114&lt;'Pool &amp; SPA Pipe Extender'!$A$11,VLOOKUP($A114,'Pool &amp; SPA Pipe Extender'!$A$8:$M$10,6,FALSE),
IF($A114&lt;'PVC SCH80'!$A$250,VLOOKUP($A114,'PVC SCH80'!$A$8:$M$249,6,FALSE),
IF($A114&lt;'PVC SCH80 Flange'!$A$49,VLOOKUP($A114,'PVC SCH80 Flange'!$A$8:$M$48,6,FALSE),
IF($A114&lt;'PVC SCH80 LD Flange'!$A$17,VLOOKUP($A114,'PVC SCH80 LD Flange'!$A$8:$M$16,6,FALSE),
IF($A114&lt;CPVC!$A$100,VLOOKUP($A114,CPVC!$A$8:$M$99,6,FALSE),
IF($A114&lt;InsertFittings!$A$237,VLOOKUP($A114,InsertFittings!$A$11:$M$236,6,FALSE),
IF($A114&lt;Valves!$A$132,VLOOKUP($A114,Valves!$A$8:$M$131,6,FALSE),
IF($A114&lt;SDR35SW!$A$124,VLOOKUP($A114,SDR35SW!$A$8:$M$123,6,FALSE),
IF($A114&lt;SDR35G!$A$143,VLOOKUP($A114, SDR35G!$A$8:$M$142,6,FALSE),
IF($A114&lt;SDR26G!$A$61,VLOOKUP($A114,SDR26G!$A$8:$N$60,6,FALSE),
IF($A114&lt;Cements!$A$100,VLOOKUP($A114,Cements!$A$8:$Q$99,6,FALSE),
IF($A114&lt;ValveBox!$A$143,VLOOKUP($A114,ValveBox!$A$10:$O$142,6,FALSE),
IF($A114&lt;'ValveBox Components'!$A$165,VLOOKUP($A114,'ValveBox Components'!$A$10:$O$164,6,FALSE),
IF($A114&lt;Drainage!$A$92,VLOOKUP($A114,Drainage!$A$8:$M$91,6,FALSE),
IF($A114&lt;Nipples!$A$82,VLOOKUP($A114,Nipples!$A$9:$Q$81,6,FALSE),
IF($A114&lt;Manifold!$A$33,VLOOKUP($A114,Manifold!$A$9:$M$32,6,FALSE),
IF($A114&lt;FlexibleRepairCouplings!$A$13,VLOOKUP($A114,FlexibleRepairCouplings!$A$10:$M$12,6,FALSE),
IF($A114&lt;DuraFix!$A$15,VLOOKUP($A114,DuraFix!$A$9:$M$14,6,FALSE),
IF($A114&lt;'Compression Fittings'!$A$16,VLOOKUP($A114,'Compression Fittings'!$A$8:$M$15,6,FALSE),
IF($A114&lt;'Hose Fittings'!$A$30,VLOOKUP($A114,'Hose Fittings'!$A$8:$M$29,6,FALSE),
IF($A114&lt;'Swing Joints'!$A$496,VLOOKUP($A114,'Swing Joints'!$A$9:$M$495,6,FALSE),
IF($A114&lt;'Swing Joints Components'!$A$135,VLOOKUP($A114,'Swing Joints Components'!$A$9:$M$134,6,FALSE),
IF($A114&lt;Nonstandard!$A$42,VLOOKUP($A114,Nonstandard!$A$31:$J$41,7,FALSE),"")))))))))))))))))))))))))))),"")</f>
        <v/>
      </c>
      <c r="E114" s="429"/>
      <c r="F114" s="421" t="str">
        <f>IFERROR(IF($A114&lt;'DWV PVC'!$A$285,VLOOKUP($A114,'DWV PVC'!$A$8:$M$284,9,FALSE),
IF($A114&lt;'DWV ABS'!$A$117,VLOOKUP($A114,'DWV ABS'!$A$8:$M$116,9,FALSE),
IF($A114&lt;'PVC SCH40'!$A$376,VLOOKUP($A114,'PVC SCH40'!$A$8:$M$375,9,FALSE),
IF($A114&lt;'PVC SCH40 LD'!$A$22,VLOOKUP($A114,'PVC SCH40 LD'!$A$8:$M$21,9,FALSE),
IF($A114&lt;'Pool &amp; SPA Sweep Elbows'!$A$12,VLOOKUP($A114,'Pool &amp; SPA Sweep Elbows'!$A$8:$M$11,9,FALSE),
IF($A114&lt;'Pool &amp; SPA Pipe Extender'!$A$11,VLOOKUP($A114,'Pool &amp; SPA Pipe Extender'!$A$8:$M$10,9,FALSE),
IF($A114&lt;'PVC SCH80'!$A$250,VLOOKUP($A114,'PVC SCH80'!$A$8:$M$249,9,FALSE),
IF($A114&lt;'PVC SCH80 Flange'!$A$49,VLOOKUP($A114,'PVC SCH80 Flange'!$A$8:$M$48,9,FALSE),
IF($A114&lt;'PVC SCH80 LD Flange'!$A$17,VLOOKUP($A114,'PVC SCH80 LD Flange'!$A$8:$M$16,9,FALSE),
IF($A114&lt;CPVC!$A$100,VLOOKUP($A114,CPVC!$A$8:$M$99,9,FALSE),
IF($A114&lt;InsertFittings!$A$237,VLOOKUP($A114,InsertFittings!$A$11:$M$236,9,FALSE),
IF($A114&lt;Valves!$A$132,VLOOKUP($A114,Valves!$A$8:$M$131,9,FALSE),
IF($A114&lt;SDR35SW!$A$124,VLOOKUP($A114,SDR35SW!$A$8:$M$123,9,FALSE),
IF($A114&lt;SDR35G!$A$143,VLOOKUP($A114, SDR35G!$A$8:$M$142,9,FALSE),
IF($A114&lt;SDR26G!$A$61,VLOOKUP($A114,SDR26G!$A$8:$N$60,10,FALSE),
IF($A114&lt;Cements!$A$100,VLOOKUP($A114,Cements!$A$8:$Q$99,13,FALSE),
IF($A114&lt;ValveBox!$A$143,VLOOKUP($A114,ValveBox!$A$10:$O$142,11,FALSE),
IF($A114&lt;'ValveBox Components'!$A$165,VLOOKUP($A114,'ValveBox Components'!$A$10:$O$164,11,FALSE),
IF($A114&lt;Drainage!$A$92,VLOOKUP($A114,Drainage!$A$8:$M$91,9,FALSE),
IF($A114&lt;Nipples!$A$82,VLOOKUP($A114,Nipples!$A$9:$Q$81,13,FALSE),
IF($A114&lt;Manifold!$A$33,VLOOKUP($A114,Manifold!$A$9:$M$32,9,FALSE),
IF($A114&lt;FlexibleRepairCouplings!$A$13,VLOOKUP($A114,FlexibleRepairCouplings!$A$10:$M$12,9,FALSE),
IF($A114&lt;DuraFix!$A$15,VLOOKUP($A114,DuraFix!$A$9:$M$14,9,FALSE),
IF($A114&lt;'Compression Fittings'!$A$16,VLOOKUP($A114,'Compression Fittings'!$A$8:$M$15,9,FALSE),
IF($A114&lt;'Hose Fittings'!$A$30,VLOOKUP($A114,'Hose Fittings'!$A$8:$M$29,9,FALSE),
IF($A114&lt;'Swing Joints'!$A$496,VLOOKUP($A114,'Swing Joints'!$A$9:$M$495,9,FALSE),
IF($A114&lt;'Swing Joints Components'!$A$135,VLOOKUP($A114,'Swing Joints Components'!$A$9:$M$134,9,FALSE),
IF($A114&lt;Nonstandard!$A$42,VLOOKUP($A114,Nonstandard!$A$31:$J$41,8,FALSE),"")))))))))))))))))))))))))))),"")</f>
        <v/>
      </c>
      <c r="G114" s="422" t="str">
        <f>IFERROR(IF($A114&lt;'DWV PVC'!$A$285,VLOOKUP($A114,'DWV PVC'!$A$8:$M$284,11,FALSE),
IF($A114&lt;'DWV ABS'!$A$117,VLOOKUP($A114,'DWV ABS'!$A$8:$M$116,11,FALSE),
IF($A114&lt;'PVC SCH40'!$A$376,VLOOKUP($A114,'PVC SCH40'!$A$8:$M$375,11,FALSE),
IF($A114&lt;'PVC SCH40 LD'!$A$22,VLOOKUP($A114,'PVC SCH40 LD'!$A$8:$M$21,11,FALSE),
IF($A114&lt;'Pool &amp; SPA Sweep Elbows'!$A$12,VLOOKUP($A114,'Pool &amp; SPA Sweep Elbows'!$A$8:$M$11,11,FALSE),
IF($A114&lt;'Pool &amp; SPA Pipe Extender'!$A$11,VLOOKUP($A114,'Pool &amp; SPA Pipe Extender'!$A$8:$M$10,11,FALSE),
IF($A114&lt;'PVC SCH80'!$A$250,VLOOKUP($A114,'PVC SCH80'!$A$8:$M$249,11,FALSE),
IF($A114&lt;'PVC SCH80 Flange'!$A$49,VLOOKUP($A114,'PVC SCH80 Flange'!$A$8:$M$48,11,FALSE),
IF($A114&lt;'PVC SCH80 LD Flange'!$A$17,VLOOKUP($A114,'PVC SCH80 LD Flange'!$A$8:$M$16,11,FALSE),
IF($A114&lt;CPVC!$A$100,VLOOKUP($A114,CPVC!$A$8:$M$99,11,FALSE),
IF($A114&lt;InsertFittings!$A$237,VLOOKUP($A114,InsertFittings!$A$11:$M$236,11,FALSE),
IF($A114&lt;Valves!$A$132,VLOOKUP($A114,Valves!$A$8:$M$131,11,FALSE),
IF($A114&lt;SDR35SW!$A$124,VLOOKUP($A114,SDR35SW!$A$8:$M$123,11,FALSE),
IF($A114&lt;SDR35G!$A$143,VLOOKUP($A114, SDR35G!$A$8:$M$142,11,FALSE),
IF($A114&lt;SDR26G!$A$61,VLOOKUP($A114,SDR26G!$A$8:$N$60,12,FALSE),
IF($A114&lt;Cements!$A$100,VLOOKUP($A114,Cements!$A$8:$Q$99,15,FALSE),
IF($A114&lt;ValveBox!$A$143,VLOOKUP($A114,ValveBox!$A$10:$O$142,13,FALSE),
IF($A114&lt;'ValveBox Components'!$A$165,VLOOKUP($A114,'ValveBox Components'!$A$10:$O$164,13,FALSE),
IF($A114&lt;Drainage!$A$92,VLOOKUP($A114,Drainage!$A$8:$M$91,11,FALSE),
IF($A114&lt;Nipples!$A$82,VLOOKUP($A114,Nipples!$A$9:$Q$81,15,FALSE),
IF($A114&lt;Manifold!$A$33,VLOOKUP($A114,Manifold!$A$9:$M$32,11,FALSE),
IF($A114&lt;FlexibleRepairCouplings!$A$13,VLOOKUP($A114,FlexibleRepairCouplings!$A$10:$M$12,11,FALSE),
IF($A114&lt;DuraFix!$A$15,VLOOKUP($A114,DuraFix!$A$9:$M$14,11,FALSE),
IF($A114&lt;'Compression Fittings'!$A$16,VLOOKUP($A114,'Compression Fittings'!$A$8:$M$15,11,FALSE),
IF($A114&lt;'Hose Fittings'!$A$30,VLOOKUP($A114,'Hose Fittings'!$A$8:$M$29,11,FALSE),
IF($A114&lt;'Swing Joints'!$A$496,VLOOKUP($A114,'Swing Joints'!$A$9:$M$495,11,FALSE),
IF($A114&lt;'Swing Joints Components'!$A$135,VLOOKUP($A114,'Swing Joints Components'!$A$9:$M$134,11,FALSE),
IF($A114&lt;Nonstandard!$A$42,VLOOKUP($A114,Nonstandard!$A$31:$J$41,3,FALSE),"")))))))))))))))))))))))))))),"")</f>
        <v/>
      </c>
      <c r="H114" s="588" t="str">
        <f>IFERROR(IF($A114&lt;'DWV PVC'!$A$285,VLOOKUP($A114,'DWV PVC'!$A$8:$M$284,7,FALSE),
IF($A114&lt;'DWV ABS'!$A$117,VLOOKUP($A114,'DWV ABS'!$A$8:$M$116,7,FALSE),
IF($A114&lt;'PVC SCH40'!$A$376,VLOOKUP($A114,'PVC SCH40'!$A$8:$M$375,7,FALSE),
IF($A114&lt;'PVC SCH40 LD'!$A$22,VLOOKUP($A114,'PVC SCH40 LD'!$A$8:$M$21,7,FALSE),
IF($A114&lt;'Pool &amp; SPA Sweep Elbows'!$A$12,VLOOKUP($A114,'Pool &amp; SPA Sweep Elbows'!$A$8:$M$11,7,FALSE),
IF($A114&lt;'Pool &amp; SPA Pipe Extender'!$A$11,VLOOKUP($A114,'Pool &amp; SPA Pipe Extender'!$A$8:$M$10,7,FALSE),
IF($A114&lt;'PVC SCH80'!$A$250,VLOOKUP($A114,'PVC SCH80'!$A$8:$M$249,7,FALSE),
IF($A114&lt;'PVC SCH80 Flange'!$A$49,VLOOKUP($A114,'PVC SCH80 Flange'!$A$8:$M$48,7,FALSE),
IF($A114&lt;'PVC SCH80 LD Flange'!$A$17,VLOOKUP($A114,'PVC SCH80 LD Flange'!$A$8:$M$16,7,FALSE),
IF($A114&lt;CPVC!$A$100,VLOOKUP($A114,CPVC!$A$8:$M$99,7,FALSE),
IF($A114&lt;InsertFittings!$A$237,VLOOKUP($A114,InsertFittings!$A$11:$M$236,7,FALSE),
IF($A114&lt;Valves!$A$132,VLOOKUP($A114,Valves!$A$8:$M$131,7,FALSE),
IF($A114&lt;SDR35SW!$A$124,VLOOKUP($A114,SDR35SW!$A$8:$M$123,7,FALSE),
IF($A114&lt;SDR35G!$A$143,VLOOKUP($A114, SDR35G!$A$8:$M$142,7,FALSE),
IF($A114&lt;SDR26G!$A$61,VLOOKUP($A114,SDR26G!$A$8:$N$60,10,FALSE),
IF($A114&lt;Cements!$A$100,VLOOKUP($A114,Cements!$A$8:$Q$99,13,FALSE),
IF($A114&lt;ValveBox!$A$143,VLOOKUP($A114,ValveBox!$A$10:$O$142,11,FALSE),
IF($A114&lt;'ValveBox Components'!$A$165,VLOOKUP($A114,'ValveBox Components'!$A$10:$O$164,11,FALSE),
IF($A114&lt;Drainage!$A$92,VLOOKUP($A114,Drainage!$A$8:$M$91,7,FALSE),
IF($A114&lt;Nipples!$A$82,VLOOKUP($A114,Nipples!$A$9:$Q$81,13,FALSE),
IF($A114&lt;Manifold!$A$33,VLOOKUP($A114,Manifold!$A$9:$M$32,7,FALSE),
IF($A114&lt;FlexibleRepairCouplings!$A$13,VLOOKUP($A114,FlexibleRepairCouplings!$A$10:$M$12,7,FALSE),
IF($A114&lt;DuraFix!$A$15,VLOOKUP($A114,DuraFix!$A$9:$M$14,7,FALSE),
IF($A114&lt;'Compression Fittings'!$A$16,VLOOKUP($A114,'Compression Fittings'!$A$8:$M$15,7,FALSE),
IF($A114&lt;'Hose Fittings'!$A$30,VLOOKUP($A114,'Hose Fittings'!$A$8:$M$29,7,FALSE),
IF($A114&lt;'Swing Joints'!$A$496,VLOOKUP($A114,'Swing Joints'!$A$9:$M$495,7,FALSE),
IF($A114&lt;'Swing Joints Components'!$A$135,VLOOKUP($A114,'Swing Joints Components'!$A$9:$M$134,7,FALSE),
IF($A114&lt;Nonstandard!$A$42,VLOOKUP($A114,Nonstandard!$A$31:$J$41,3,FALSE),"")))))))))))))))))))))))))))),"")</f>
        <v/>
      </c>
      <c r="I114" s="589"/>
      <c r="J114" s="423" t="str">
        <f t="shared" si="3"/>
        <v/>
      </c>
      <c r="K114" s="424" t="str">
        <f>IFERROR(IF($A114&lt;'DWV PVC'!$A$285,VLOOKUP($A114,'DWV PVC'!$A$8:$M$284,10,FALSE),
IF($A114&lt;'DWV ABS'!$A$117,VLOOKUP($A114,'DWV ABS'!$A$8:$M$116,10,FALSE),
IF($A114&lt;'PVC SCH40'!$A$376,VLOOKUP($A114,'PVC SCH40'!$A$8:$M$375,10,FALSE),
IF($A114&lt;'PVC SCH40 LD'!$A$22,VLOOKUP($A114,'PVC SCH40 LD'!$A$8:$M$21,10,FALSE),
IF($A114&lt;'Pool &amp; SPA Sweep Elbows'!$A$12,VLOOKUP($A114,'Pool &amp; SPA Sweep Elbows'!$A$8:$M$11,10,FALSE),
IF($A114&lt;'Pool &amp; SPA Pipe Extender'!$A$11,VLOOKUP($A114,'Pool &amp; SPA Pipe Extender'!$A$8:$M$10,10,FALSE),
IF($A114&lt;'PVC SCH80'!$A$250,VLOOKUP($A114,'PVC SCH80'!$A$8:$M$249,10,FALSE),
IF($A114&lt;'PVC SCH80 Flange'!$A$49,VLOOKUP($A114,'PVC SCH80 Flange'!$A$8:$M$48,10,FALSE),
IF($A114&lt;'PVC SCH80 LD Flange'!$A$17,VLOOKUP($A114,'PVC SCH80 LD Flange'!$A$8:$M$16,10,FALSE),
IF($A114&lt;CPVC!$A$100,VLOOKUP($A114,CPVC!$A$8:$M$99,10,FALSE),
IF($A114&lt;InsertFittings!$A$237,VLOOKUP($A114,InsertFittings!$A$11:$M$236,10,FALSE),
IF($A114&lt;Valves!$A$132,VLOOKUP($A114,Valves!$A$8:$M$131,10,FALSE),
IF($A114&lt;SDR35SW!$A$124,VLOOKUP($A114,SDR35SW!$A$8:$M$123,10,FALSE),
IF($A114&lt;SDR35G!$A$143,VLOOKUP($A114, SDR35G!$A$8:$M$142,10,FALSE),
IF($A114&lt;SDR26G!$A$61,VLOOKUP($A114,SDR26G!$A$8:$N$60,11,FALSE),
IF($A114&lt;Cements!$A$100,VLOOKUP($A114,Cements!$A$8:$Q$99,14,FALSE),
IF($A114&lt;ValveBox!$A$143,VLOOKUP($A114,ValveBox!$A$10:$O$142,12,FALSE),
IF($A114&lt;'ValveBox Components'!$A$165,VLOOKUP($A114,'ValveBox Components'!$A$10:$O$164,12,FALSE),
IF($A114&lt;Drainage!$A$92,VLOOKUP($A114,Drainage!$A$8:$M$91,10,FALSE),
IF($A114&lt;Nipples!$A$82,VLOOKUP($A114,Nipples!$A$9:$Q$81,14,FALSE),
IF($A114&lt;Manifold!$A$33,VLOOKUP($A114,Manifold!$A$9:$M$32,10,FALSE),
IF($A114&lt;FlexibleRepairCouplings!$A$13,VLOOKUP($A114,FlexibleRepairCouplings!$A$10:$M$12,10,FALSE),
IF($A114&lt;DuraFix!$A$15,VLOOKUP($A114,DuraFix!$A$9:$M$14,10,FALSE),
IF($A114&lt;'Compression Fittings'!$A$16,VLOOKUP($A114,'Compression Fittings'!$A$8:$M$15,10,FALSE),
IF($A114&lt;'Hose Fittings'!$A$30,VLOOKUP($A114,'Hose Fittings'!$A$8:$M$29,10,FALSE),
IF($A114&lt;'Swing Joints'!$A$496,VLOOKUP($A114,'Swing Joints'!$A$9:$M$495,10,FALSE),
IF($A114&lt;'Swing Joints Components'!$A$135,VLOOKUP($A114,'Swing Joints Components'!$A$9:$M$134,10,FALSE),
IF($A114&lt;Nonstandard!$A$42,VLOOKUP($A114,Nonstandard!$A$31:$J$41,10,FALSE),"")))))))))))))))))))))))))))),"")</f>
        <v/>
      </c>
      <c r="L114" s="421" t="str">
        <f t="shared" si="2"/>
        <v>-</v>
      </c>
      <c r="M114" s="425"/>
    </row>
    <row r="115" spans="1:13" ht="15.75">
      <c r="A115" s="415">
        <v>83</v>
      </c>
      <c r="B115" s="415" t="str">
        <f>IFERROR(IF($A115&lt;'DWV PVC'!$A$285,VLOOKUP($A115,'DWV PVC'!$A$8:$M$284,4,FALSE),
IF($A115&lt;'DWV ABS'!$A$117,VLOOKUP($A115,'DWV ABS'!$A$8:$M$116,4,FALSE),
IF($A115&lt;'PVC SCH40'!$A$376,VLOOKUP($A115,'PVC SCH40'!$A$8:$M$375,4,FALSE),
IF($A115&lt;'PVC SCH40 LD'!$A$22,VLOOKUP($A115,'PVC SCH40 LD'!$A$8:$M$21,4,FALSE),
IF($A115&lt;'Pool &amp; SPA Sweep Elbows'!$A$12,VLOOKUP($A115,'Pool &amp; SPA Sweep Elbows'!$A$8:$M$11,4,FALSE),
IF($A115&lt;'Pool &amp; SPA Pipe Extender'!$A$11,VLOOKUP($A115,'Pool &amp; SPA Pipe Extender'!$A$8:$M$10,4,FALSE),
IF($A115&lt;'PVC SCH80'!$A$250,VLOOKUP($A115,'PVC SCH80'!$A$8:$M$249,4,FALSE),
IF($A115&lt;'PVC SCH80 Flange'!$A$49,VLOOKUP($A115,'PVC SCH80 Flange'!$A$8:$M$48,4,FALSE),
IF($A115&lt;'PVC SCH80 LD Flange'!$A$17,VLOOKUP($A115,'PVC SCH80 LD Flange'!$A$8:$M$16,4,FALSE),
IF($A115&lt;CPVC!$A$100,VLOOKUP($A115,CPVC!$A$8:$M$99,4,FALSE),
IF($A115&lt;InsertFittings!$A$237,VLOOKUP($A115,InsertFittings!$A$11:$M$236,4,FALSE),
IF($A115&lt;Valves!$A$132,VLOOKUP($A115,Valves!$A$8:$M$131,4,FALSE),
IF($A115&lt;SDR35SW!$A$124,VLOOKUP($A115,SDR35SW!$A$8:$M$123,4,FALSE),
IF($A115&lt;SDR35G!$A$143,VLOOKUP($A115, SDR35G!$A$8:$M$142,4,FALSE),
IF($A115&lt;SDR26G!$A$61,VLOOKUP($A115,SDR26G!$A$8:$N$60,4,FALSE),
IF($A115&lt;Cements!$A$100,VLOOKUP($A115,Cements!$A$8:$Q$99,4,FALSE),
IF($A115&lt;ValveBox!$A$143,VLOOKUP($A115,ValveBox!$A$10:$O$142,4,FALSE),
IF($A115&lt;'ValveBox Components'!$A$165,VLOOKUP($A115,'ValveBox Components'!$A$10:$O$164,4,FALSE),
IF($A115&lt;Drainage!$A$92,VLOOKUP($A115,Drainage!$A$8:$M$91,4,FALSE),
IF($A115&lt;Nipples!$A$82,VLOOKUP($A115,Nipples!$A$9:$Q$81,4,FALSE),
IF($A115&lt;Manifold!$A$33,VLOOKUP($A115,Manifold!$A$9:$M$32,4,FALSE),
IF($A115&lt;FlexibleRepairCouplings!$A$13,VLOOKUP($A115,FlexibleRepairCouplings!$A$10:$M$12,4,FALSE),
IF($A115&lt;DuraFix!$A$15,VLOOKUP($A115,DuraFix!$A$9:$M$14,4,FALSE),
IF($A115&lt;'Compression Fittings'!$A$16,VLOOKUP($A115,'Compression Fittings'!$A$8:$M$15,4,FALSE),
IF($A115&lt;'Hose Fittings'!$A$30,VLOOKUP($A115,'Hose Fittings'!$A$8:$M$29,4,FALSE),
IF($A115&lt;'Swing Joints'!$A$496,VLOOKUP($A115,'Swing Joints'!$A$9:$M$495,4,FALSE),
IF($A115&lt;'Swing Joints Components'!$A$135,VLOOKUP($A115,'Swing Joints Components'!$A$9:$M$134,4,FALSE),
IF($A115&lt;Nonstandard!$A$42,VLOOKUP($A115,Nonstandard!$A$31:$J$41,5,FALSE),"")))))))))))))))))))))))))))),"")</f>
        <v/>
      </c>
      <c r="C115" s="415" t="str">
        <f>IFERROR(IF($A115&lt;'DWV PVC'!$A$285,VLOOKUP($A115,'DWV PVC'!$A$8:$M$284,5,FALSE),
IF($A115&lt;'DWV ABS'!$A$117,VLOOKUP($A115,'DWV ABS'!$A$8:$M$116,5,FALSE),
IF($A115&lt;'PVC SCH40'!$A$376,VLOOKUP($A115,'PVC SCH40'!$A$8:$M$375,5,FALSE),
IF($A115&lt;'PVC SCH40 LD'!$A$22,VLOOKUP($A115,'PVC SCH40 LD'!$A$8:$M$21,5,FALSE),
IF($A115&lt;'Pool &amp; SPA Sweep Elbows'!$A$12,VLOOKUP($A115,'Pool &amp; SPA Sweep Elbows'!$A$8:$M$11,5,FALSE),
IF($A115&lt;'Pool &amp; SPA Pipe Extender'!$A$11,VLOOKUP($A115,'Pool &amp; SPA Pipe Extender'!$A$8:$M$10,5,FALSE),
IF($A115&lt;'PVC SCH80'!$A$250,VLOOKUP($A115,'PVC SCH80'!$A$8:$M$249,5,FALSE),
IF($A115&lt;'PVC SCH80 Flange'!$A$49,VLOOKUP($A115,'PVC SCH80 Flange'!$A$8:$M$48,5,FALSE),
IF($A115&lt;'PVC SCH80 LD Flange'!$A$17,VLOOKUP($A115,'PVC SCH80 LD Flange'!$A$8:$M$16,5,FALSE),
IF($A115&lt;CPVC!$A$100,VLOOKUP($A115,CPVC!$A$8:$M$99,5,FALSE),
IF($A115&lt;InsertFittings!$A$237,VLOOKUP($A115,InsertFittings!$A$11:$M$236,5,FALSE),
IF($A115&lt;Valves!$A$132,VLOOKUP($A115,Valves!$A$8:$M$131,5,FALSE),
IF($A115&lt;SDR35SW!$A$124,VLOOKUP($A115,SDR35SW!$A$8:$M$123,5,FALSE),
IF($A115&lt;SDR35G!$A$143,VLOOKUP($A115, SDR35G!$A$8:$M$142,5,FALSE),
IF($A115&lt;SDR26G!$A$61,VLOOKUP($A115,SDR26G!$A$8:$N$60,5,FALSE),
IF($A115&lt;Cements!$A$100,VLOOKUP($A115,Cements!$A$8:$Q$99,5,FALSE),
IF($A115&lt;ValveBox!$A$143,VLOOKUP($A115,ValveBox!$A$10:$O$142,5,FALSE),
IF($A115&lt;'ValveBox Components'!$A$165,VLOOKUP($A115,'ValveBox Components'!$A$10:$O$164,5,FALSE),
IF($A115&lt;Drainage!$A$92,VLOOKUP($A115,Drainage!$A$8:$M$91,5,FALSE),
IF($A115&lt;Nipples!$A$82,VLOOKUP($A115,Nipples!$A$9:$Q$81,5,FALSE),
IF($A115&lt;Manifold!$A$33,VLOOKUP($A115,Manifold!$A$9:$M$32,5,FALSE),
IF($A115&lt;FlexibleRepairCouplings!$A$13,VLOOKUP($A115,FlexibleRepairCouplings!$A$10:$M$12,5,FALSE),
IF($A115&lt;DuraFix!$A$15,VLOOKUP($A115,DuraFix!$A$9:$M$14,5,FALSE),
IF($A115&lt;'Compression Fittings'!$A$16,VLOOKUP($A115,'Compression Fittings'!$A$8:$M$15,5,FALSE),
IF($A115&lt;'Hose Fittings'!$A$30,VLOOKUP($A115,'Hose Fittings'!$A$8:$M$29,5,FALSE),
IF($A115&lt;'Swing Joints'!$A$496,VLOOKUP($A115,'Swing Joints'!$A$9:$M$495,5,FALSE),
IF($A115&lt;'Swing Joints Components'!$A$135,VLOOKUP($A115,'Swing Joints Components'!$A$9:$M$134,5,FALSE),
IF($A115&lt;Nonstandard!$A$42,VLOOKUP($A115,Nonstandard!$A$31:$J$41,6,FALSE),"")))))))))))))))))))))))))))),"")</f>
        <v/>
      </c>
      <c r="D115" s="426" t="str">
        <f>IFERROR(IF($A115&lt;'DWV PVC'!$A$285,VLOOKUP($A115,'DWV PVC'!$A$8:$M$284,6,FALSE),
IF($A115&lt;'DWV ABS'!$A$117,VLOOKUP($A115,'DWV ABS'!$A$8:$M$116,6,FALSE),
IF($A115&lt;'PVC SCH40'!$A$376,VLOOKUP($A115,'PVC SCH40'!$A$8:$M$375,6,FALSE),
IF($A115&lt;'PVC SCH40 LD'!$A$22,VLOOKUP($A115,'PVC SCH40 LD'!$A$8:$M$21,6,FALSE),
IF($A115&lt;'Pool &amp; SPA Sweep Elbows'!$A$12,VLOOKUP($A115,'Pool &amp; SPA Sweep Elbows'!$A$8:$M$11,6,FALSE),
IF($A115&lt;'Pool &amp; SPA Pipe Extender'!$A$11,VLOOKUP($A115,'Pool &amp; SPA Pipe Extender'!$A$8:$M$10,6,FALSE),
IF($A115&lt;'PVC SCH80'!$A$250,VLOOKUP($A115,'PVC SCH80'!$A$8:$M$249,6,FALSE),
IF($A115&lt;'PVC SCH80 Flange'!$A$49,VLOOKUP($A115,'PVC SCH80 Flange'!$A$8:$M$48,6,FALSE),
IF($A115&lt;'PVC SCH80 LD Flange'!$A$17,VLOOKUP($A115,'PVC SCH80 LD Flange'!$A$8:$M$16,6,FALSE),
IF($A115&lt;CPVC!$A$100,VLOOKUP($A115,CPVC!$A$8:$M$99,6,FALSE),
IF($A115&lt;InsertFittings!$A$237,VLOOKUP($A115,InsertFittings!$A$11:$M$236,6,FALSE),
IF($A115&lt;Valves!$A$132,VLOOKUP($A115,Valves!$A$8:$M$131,6,FALSE),
IF($A115&lt;SDR35SW!$A$124,VLOOKUP($A115,SDR35SW!$A$8:$M$123,6,FALSE),
IF($A115&lt;SDR35G!$A$143,VLOOKUP($A115, SDR35G!$A$8:$M$142,6,FALSE),
IF($A115&lt;SDR26G!$A$61,VLOOKUP($A115,SDR26G!$A$8:$N$60,6,FALSE),
IF($A115&lt;Cements!$A$100,VLOOKUP($A115,Cements!$A$8:$Q$99,6,FALSE),
IF($A115&lt;ValveBox!$A$143,VLOOKUP($A115,ValveBox!$A$10:$O$142,6,FALSE),
IF($A115&lt;'ValveBox Components'!$A$165,VLOOKUP($A115,'ValveBox Components'!$A$10:$O$164,6,FALSE),
IF($A115&lt;Drainage!$A$92,VLOOKUP($A115,Drainage!$A$8:$M$91,6,FALSE),
IF($A115&lt;Nipples!$A$82,VLOOKUP($A115,Nipples!$A$9:$Q$81,6,FALSE),
IF($A115&lt;Manifold!$A$33,VLOOKUP($A115,Manifold!$A$9:$M$32,6,FALSE),
IF($A115&lt;FlexibleRepairCouplings!$A$13,VLOOKUP($A115,FlexibleRepairCouplings!$A$10:$M$12,6,FALSE),
IF($A115&lt;DuraFix!$A$15,VLOOKUP($A115,DuraFix!$A$9:$M$14,6,FALSE),
IF($A115&lt;'Compression Fittings'!$A$16,VLOOKUP($A115,'Compression Fittings'!$A$8:$M$15,6,FALSE),
IF($A115&lt;'Hose Fittings'!$A$30,VLOOKUP($A115,'Hose Fittings'!$A$8:$M$29,6,FALSE),
IF($A115&lt;'Swing Joints'!$A$496,VLOOKUP($A115,'Swing Joints'!$A$9:$M$495,6,FALSE),
IF($A115&lt;'Swing Joints Components'!$A$135,VLOOKUP($A115,'Swing Joints Components'!$A$9:$M$134,6,FALSE),
IF($A115&lt;Nonstandard!$A$42,VLOOKUP($A115,Nonstandard!$A$31:$J$41,7,FALSE),"")))))))))))))))))))))))))))),"")</f>
        <v/>
      </c>
      <c r="E115" s="427"/>
      <c r="F115" s="418" t="str">
        <f>IFERROR(IF($A115&lt;'DWV PVC'!$A$285,VLOOKUP($A115,'DWV PVC'!$A$8:$M$284,9,FALSE),
IF($A115&lt;'DWV ABS'!$A$117,VLOOKUP($A115,'DWV ABS'!$A$8:$M$116,9,FALSE),
IF($A115&lt;'PVC SCH40'!$A$376,VLOOKUP($A115,'PVC SCH40'!$A$8:$M$375,9,FALSE),
IF($A115&lt;'PVC SCH40 LD'!$A$22,VLOOKUP($A115,'PVC SCH40 LD'!$A$8:$M$21,9,FALSE),
IF($A115&lt;'Pool &amp; SPA Sweep Elbows'!$A$12,VLOOKUP($A115,'Pool &amp; SPA Sweep Elbows'!$A$8:$M$11,9,FALSE),
IF($A115&lt;'Pool &amp; SPA Pipe Extender'!$A$11,VLOOKUP($A115,'Pool &amp; SPA Pipe Extender'!$A$8:$M$10,9,FALSE),
IF($A115&lt;'PVC SCH80'!$A$250,VLOOKUP($A115,'PVC SCH80'!$A$8:$M$249,9,FALSE),
IF($A115&lt;'PVC SCH80 Flange'!$A$49,VLOOKUP($A115,'PVC SCH80 Flange'!$A$8:$M$48,9,FALSE),
IF($A115&lt;'PVC SCH80 LD Flange'!$A$17,VLOOKUP($A115,'PVC SCH80 LD Flange'!$A$8:$M$16,9,FALSE),
IF($A115&lt;CPVC!$A$100,VLOOKUP($A115,CPVC!$A$8:$M$99,9,FALSE),
IF($A115&lt;InsertFittings!$A$237,VLOOKUP($A115,InsertFittings!$A$11:$M$236,9,FALSE),
IF($A115&lt;Valves!$A$132,VLOOKUP($A115,Valves!$A$8:$M$131,9,FALSE),
IF($A115&lt;SDR35SW!$A$124,VLOOKUP($A115,SDR35SW!$A$8:$M$123,9,FALSE),
IF($A115&lt;SDR35G!$A$143,VLOOKUP($A115, SDR35G!$A$8:$M$142,9,FALSE),
IF($A115&lt;SDR26G!$A$61,VLOOKUP($A115,SDR26G!$A$8:$N$60,10,FALSE),
IF($A115&lt;Cements!$A$100,VLOOKUP($A115,Cements!$A$8:$Q$99,13,FALSE),
IF($A115&lt;ValveBox!$A$143,VLOOKUP($A115,ValveBox!$A$10:$O$142,11,FALSE),
IF($A115&lt;'ValveBox Components'!$A$165,VLOOKUP($A115,'ValveBox Components'!$A$10:$O$164,11,FALSE),
IF($A115&lt;Drainage!$A$92,VLOOKUP($A115,Drainage!$A$8:$M$91,9,FALSE),
IF($A115&lt;Nipples!$A$82,VLOOKUP($A115,Nipples!$A$9:$Q$81,13,FALSE),
IF($A115&lt;Manifold!$A$33,VLOOKUP($A115,Manifold!$A$9:$M$32,9,FALSE),
IF($A115&lt;FlexibleRepairCouplings!$A$13,VLOOKUP($A115,FlexibleRepairCouplings!$A$10:$M$12,9,FALSE),
IF($A115&lt;DuraFix!$A$15,VLOOKUP($A115,DuraFix!$A$9:$M$14,9,FALSE),
IF($A115&lt;'Compression Fittings'!$A$16,VLOOKUP($A115,'Compression Fittings'!$A$8:$M$15,9,FALSE),
IF($A115&lt;'Hose Fittings'!$A$30,VLOOKUP($A115,'Hose Fittings'!$A$8:$M$29,9,FALSE),
IF($A115&lt;'Swing Joints'!$A$496,VLOOKUP($A115,'Swing Joints'!$A$9:$M$495,9,FALSE),
IF($A115&lt;'Swing Joints Components'!$A$135,VLOOKUP($A115,'Swing Joints Components'!$A$9:$M$134,9,FALSE),
IF($A115&lt;Nonstandard!$A$42,VLOOKUP($A115,Nonstandard!$A$31:$J$41,8,FALSE),"")))))))))))))))))))))))))))),"")</f>
        <v/>
      </c>
      <c r="G115" s="416" t="str">
        <f>IFERROR(IF($A115&lt;'DWV PVC'!$A$285,VLOOKUP($A115,'DWV PVC'!$A$8:$M$284,11,FALSE),
IF($A115&lt;'DWV ABS'!$A$117,VLOOKUP($A115,'DWV ABS'!$A$8:$M$116,11,FALSE),
IF($A115&lt;'PVC SCH40'!$A$376,VLOOKUP($A115,'PVC SCH40'!$A$8:$M$375,11,FALSE),
IF($A115&lt;'PVC SCH40 LD'!$A$22,VLOOKUP($A115,'PVC SCH40 LD'!$A$8:$M$21,11,FALSE),
IF($A115&lt;'Pool &amp; SPA Sweep Elbows'!$A$12,VLOOKUP($A115,'Pool &amp; SPA Sweep Elbows'!$A$8:$M$11,11,FALSE),
IF($A115&lt;'Pool &amp; SPA Pipe Extender'!$A$11,VLOOKUP($A115,'Pool &amp; SPA Pipe Extender'!$A$8:$M$10,11,FALSE),
IF($A115&lt;'PVC SCH80'!$A$250,VLOOKUP($A115,'PVC SCH80'!$A$8:$M$249,11,FALSE),
IF($A115&lt;'PVC SCH80 Flange'!$A$49,VLOOKUP($A115,'PVC SCH80 Flange'!$A$8:$M$48,11,FALSE),
IF($A115&lt;'PVC SCH80 LD Flange'!$A$17,VLOOKUP($A115,'PVC SCH80 LD Flange'!$A$8:$M$16,11,FALSE),
IF($A115&lt;CPVC!$A$100,VLOOKUP($A115,CPVC!$A$8:$M$99,11,FALSE),
IF($A115&lt;InsertFittings!$A$237,VLOOKUP($A115,InsertFittings!$A$11:$M$236,11,FALSE),
IF($A115&lt;Valves!$A$132,VLOOKUP($A115,Valves!$A$8:$M$131,11,FALSE),
IF($A115&lt;SDR35SW!$A$124,VLOOKUP($A115,SDR35SW!$A$8:$M$123,11,FALSE),
IF($A115&lt;SDR35G!$A$143,VLOOKUP($A115, SDR35G!$A$8:$M$142,11,FALSE),
IF($A115&lt;SDR26G!$A$61,VLOOKUP($A115,SDR26G!$A$8:$N$60,12,FALSE),
IF($A115&lt;Cements!$A$100,VLOOKUP($A115,Cements!$A$8:$Q$99,15,FALSE),
IF($A115&lt;ValveBox!$A$143,VLOOKUP($A115,ValveBox!$A$10:$O$142,13,FALSE),
IF($A115&lt;'ValveBox Components'!$A$165,VLOOKUP($A115,'ValveBox Components'!$A$10:$O$164,13,FALSE),
IF($A115&lt;Drainage!$A$92,VLOOKUP($A115,Drainage!$A$8:$M$91,11,FALSE),
IF($A115&lt;Nipples!$A$82,VLOOKUP($A115,Nipples!$A$9:$Q$81,15,FALSE),
IF($A115&lt;Manifold!$A$33,VLOOKUP($A115,Manifold!$A$9:$M$32,11,FALSE),
IF($A115&lt;FlexibleRepairCouplings!$A$13,VLOOKUP($A115,FlexibleRepairCouplings!$A$10:$M$12,11,FALSE),
IF($A115&lt;DuraFix!$A$15,VLOOKUP($A115,DuraFix!$A$9:$M$14,11,FALSE),
IF($A115&lt;'Compression Fittings'!$A$16,VLOOKUP($A115,'Compression Fittings'!$A$8:$M$15,11,FALSE),
IF($A115&lt;'Hose Fittings'!$A$30,VLOOKUP($A115,'Hose Fittings'!$A$8:$M$29,11,FALSE),
IF($A115&lt;'Swing Joints'!$A$496,VLOOKUP($A115,'Swing Joints'!$A$9:$M$495,11,FALSE),
IF($A115&lt;'Swing Joints Components'!$A$135,VLOOKUP($A115,'Swing Joints Components'!$A$9:$M$134,11,FALSE),
IF($A115&lt;Nonstandard!$A$42,VLOOKUP($A115,Nonstandard!$A$31:$J$41,3,FALSE),"")))))))))))))))))))))))))))),"")</f>
        <v/>
      </c>
      <c r="H115" s="586" t="str">
        <f>IFERROR(IF($A115&lt;'DWV PVC'!$A$285,VLOOKUP($A115,'DWV PVC'!$A$8:$M$284,7,FALSE),
IF($A115&lt;'DWV ABS'!$A$117,VLOOKUP($A115,'DWV ABS'!$A$8:$M$116,7,FALSE),
IF($A115&lt;'PVC SCH40'!$A$376,VLOOKUP($A115,'PVC SCH40'!$A$8:$M$375,7,FALSE),
IF($A115&lt;'PVC SCH40 LD'!$A$22,VLOOKUP($A115,'PVC SCH40 LD'!$A$8:$M$21,7,FALSE),
IF($A115&lt;'Pool &amp; SPA Sweep Elbows'!$A$12,VLOOKUP($A115,'Pool &amp; SPA Sweep Elbows'!$A$8:$M$11,7,FALSE),
IF($A115&lt;'Pool &amp; SPA Pipe Extender'!$A$11,VLOOKUP($A115,'Pool &amp; SPA Pipe Extender'!$A$8:$M$10,7,FALSE),
IF($A115&lt;'PVC SCH80'!$A$250,VLOOKUP($A115,'PVC SCH80'!$A$8:$M$249,7,FALSE),
IF($A115&lt;'PVC SCH80 Flange'!$A$49,VLOOKUP($A115,'PVC SCH80 Flange'!$A$8:$M$48,7,FALSE),
IF($A115&lt;'PVC SCH80 LD Flange'!$A$17,VLOOKUP($A115,'PVC SCH80 LD Flange'!$A$8:$M$16,7,FALSE),
IF($A115&lt;CPVC!$A$100,VLOOKUP($A115,CPVC!$A$8:$M$99,7,FALSE),
IF($A115&lt;InsertFittings!$A$237,VLOOKUP($A115,InsertFittings!$A$11:$M$236,7,FALSE),
IF($A115&lt;Valves!$A$132,VLOOKUP($A115,Valves!$A$8:$M$131,7,FALSE),
IF($A115&lt;SDR35SW!$A$124,VLOOKUP($A115,SDR35SW!$A$8:$M$123,7,FALSE),
IF($A115&lt;SDR35G!$A$143,VLOOKUP($A115, SDR35G!$A$8:$M$142,7,FALSE),
IF($A115&lt;SDR26G!$A$61,VLOOKUP($A115,SDR26G!$A$8:$N$60,10,FALSE),
IF($A115&lt;Cements!$A$100,VLOOKUP($A115,Cements!$A$8:$Q$99,13,FALSE),
IF($A115&lt;ValveBox!$A$143,VLOOKUP($A115,ValveBox!$A$10:$O$142,11,FALSE),
IF($A115&lt;'ValveBox Components'!$A$165,VLOOKUP($A115,'ValveBox Components'!$A$10:$O$164,11,FALSE),
IF($A115&lt;Drainage!$A$92,VLOOKUP($A115,Drainage!$A$8:$M$91,7,FALSE),
IF($A115&lt;Nipples!$A$82,VLOOKUP($A115,Nipples!$A$9:$Q$81,13,FALSE),
IF($A115&lt;Manifold!$A$33,VLOOKUP($A115,Manifold!$A$9:$M$32,7,FALSE),
IF($A115&lt;FlexibleRepairCouplings!$A$13,VLOOKUP($A115,FlexibleRepairCouplings!$A$10:$M$12,7,FALSE),
IF($A115&lt;DuraFix!$A$15,VLOOKUP($A115,DuraFix!$A$9:$M$14,7,FALSE),
IF($A115&lt;'Compression Fittings'!$A$16,VLOOKUP($A115,'Compression Fittings'!$A$8:$M$15,7,FALSE),
IF($A115&lt;'Hose Fittings'!$A$30,VLOOKUP($A115,'Hose Fittings'!$A$8:$M$29,7,FALSE),
IF($A115&lt;'Swing Joints'!$A$496,VLOOKUP($A115,'Swing Joints'!$A$9:$M$495,7,FALSE),
IF($A115&lt;'Swing Joints Components'!$A$135,VLOOKUP($A115,'Swing Joints Components'!$A$9:$M$134,7,FALSE),
IF($A115&lt;Nonstandard!$A$42,VLOOKUP($A115,Nonstandard!$A$31:$J$41,3,FALSE),"")))))))))))))))))))))))))))),"")</f>
        <v/>
      </c>
      <c r="I115" s="587"/>
      <c r="J115" s="383" t="str">
        <f t="shared" si="3"/>
        <v/>
      </c>
      <c r="K115" s="417" t="str">
        <f>IFERROR(IF($A115&lt;'DWV PVC'!$A$285,VLOOKUP($A115,'DWV PVC'!$A$8:$M$284,10,FALSE),
IF($A115&lt;'DWV ABS'!$A$117,VLOOKUP($A115,'DWV ABS'!$A$8:$M$116,10,FALSE),
IF($A115&lt;'PVC SCH40'!$A$376,VLOOKUP($A115,'PVC SCH40'!$A$8:$M$375,10,FALSE),
IF($A115&lt;'PVC SCH40 LD'!$A$22,VLOOKUP($A115,'PVC SCH40 LD'!$A$8:$M$21,10,FALSE),
IF($A115&lt;'Pool &amp; SPA Sweep Elbows'!$A$12,VLOOKUP($A115,'Pool &amp; SPA Sweep Elbows'!$A$8:$M$11,10,FALSE),
IF($A115&lt;'Pool &amp; SPA Pipe Extender'!$A$11,VLOOKUP($A115,'Pool &amp; SPA Pipe Extender'!$A$8:$M$10,10,FALSE),
IF($A115&lt;'PVC SCH80'!$A$250,VLOOKUP($A115,'PVC SCH80'!$A$8:$M$249,10,FALSE),
IF($A115&lt;'PVC SCH80 Flange'!$A$49,VLOOKUP($A115,'PVC SCH80 Flange'!$A$8:$M$48,10,FALSE),
IF($A115&lt;'PVC SCH80 LD Flange'!$A$17,VLOOKUP($A115,'PVC SCH80 LD Flange'!$A$8:$M$16,10,FALSE),
IF($A115&lt;CPVC!$A$100,VLOOKUP($A115,CPVC!$A$8:$M$99,10,FALSE),
IF($A115&lt;InsertFittings!$A$237,VLOOKUP($A115,InsertFittings!$A$11:$M$236,10,FALSE),
IF($A115&lt;Valves!$A$132,VLOOKUP($A115,Valves!$A$8:$M$131,10,FALSE),
IF($A115&lt;SDR35SW!$A$124,VLOOKUP($A115,SDR35SW!$A$8:$M$123,10,FALSE),
IF($A115&lt;SDR35G!$A$143,VLOOKUP($A115, SDR35G!$A$8:$M$142,10,FALSE),
IF($A115&lt;SDR26G!$A$61,VLOOKUP($A115,SDR26G!$A$8:$N$60,11,FALSE),
IF($A115&lt;Cements!$A$100,VLOOKUP($A115,Cements!$A$8:$Q$99,14,FALSE),
IF($A115&lt;ValveBox!$A$143,VLOOKUP($A115,ValveBox!$A$10:$O$142,12,FALSE),
IF($A115&lt;'ValveBox Components'!$A$165,VLOOKUP($A115,'ValveBox Components'!$A$10:$O$164,12,FALSE),
IF($A115&lt;Drainage!$A$92,VLOOKUP($A115,Drainage!$A$8:$M$91,10,FALSE),
IF($A115&lt;Nipples!$A$82,VLOOKUP($A115,Nipples!$A$9:$Q$81,14,FALSE),
IF($A115&lt;Manifold!$A$33,VLOOKUP($A115,Manifold!$A$9:$M$32,10,FALSE),
IF($A115&lt;FlexibleRepairCouplings!$A$13,VLOOKUP($A115,FlexibleRepairCouplings!$A$10:$M$12,10,FALSE),
IF($A115&lt;DuraFix!$A$15,VLOOKUP($A115,DuraFix!$A$9:$M$14,10,FALSE),
IF($A115&lt;'Compression Fittings'!$A$16,VLOOKUP($A115,'Compression Fittings'!$A$8:$M$15,10,FALSE),
IF($A115&lt;'Hose Fittings'!$A$30,VLOOKUP($A115,'Hose Fittings'!$A$8:$M$29,10,FALSE),
IF($A115&lt;'Swing Joints'!$A$496,VLOOKUP($A115,'Swing Joints'!$A$9:$M$495,10,FALSE),
IF($A115&lt;'Swing Joints Components'!$A$135,VLOOKUP($A115,'Swing Joints Components'!$A$9:$M$134,10,FALSE),
IF($A115&lt;Nonstandard!$A$42,VLOOKUP($A115,Nonstandard!$A$31:$J$41,10,FALSE),"")))))))))))))))))))))))))))),"")</f>
        <v/>
      </c>
      <c r="L115" s="418" t="str">
        <f t="shared" si="2"/>
        <v>-</v>
      </c>
      <c r="M115" s="419"/>
    </row>
    <row r="116" spans="1:13" ht="15.75">
      <c r="A116" s="420">
        <v>84</v>
      </c>
      <c r="B116" s="420" t="str">
        <f>IFERROR(IF($A116&lt;'DWV PVC'!$A$285,VLOOKUP($A116,'DWV PVC'!$A$8:$M$284,4,FALSE),
IF($A116&lt;'DWV ABS'!$A$117,VLOOKUP($A116,'DWV ABS'!$A$8:$M$116,4,FALSE),
IF($A116&lt;'PVC SCH40'!$A$376,VLOOKUP($A116,'PVC SCH40'!$A$8:$M$375,4,FALSE),
IF($A116&lt;'PVC SCH40 LD'!$A$22,VLOOKUP($A116,'PVC SCH40 LD'!$A$8:$M$21,4,FALSE),
IF($A116&lt;'Pool &amp; SPA Sweep Elbows'!$A$12,VLOOKUP($A116,'Pool &amp; SPA Sweep Elbows'!$A$8:$M$11,4,FALSE),
IF($A116&lt;'Pool &amp; SPA Pipe Extender'!$A$11,VLOOKUP($A116,'Pool &amp; SPA Pipe Extender'!$A$8:$M$10,4,FALSE),
IF($A116&lt;'PVC SCH80'!$A$250,VLOOKUP($A116,'PVC SCH80'!$A$8:$M$249,4,FALSE),
IF($A116&lt;'PVC SCH80 Flange'!$A$49,VLOOKUP($A116,'PVC SCH80 Flange'!$A$8:$M$48,4,FALSE),
IF($A116&lt;'PVC SCH80 LD Flange'!$A$17,VLOOKUP($A116,'PVC SCH80 LD Flange'!$A$8:$M$16,4,FALSE),
IF($A116&lt;CPVC!$A$100,VLOOKUP($A116,CPVC!$A$8:$M$99,4,FALSE),
IF($A116&lt;InsertFittings!$A$237,VLOOKUP($A116,InsertFittings!$A$11:$M$236,4,FALSE),
IF($A116&lt;Valves!$A$132,VLOOKUP($A116,Valves!$A$8:$M$131,4,FALSE),
IF($A116&lt;SDR35SW!$A$124,VLOOKUP($A116,SDR35SW!$A$8:$M$123,4,FALSE),
IF($A116&lt;SDR35G!$A$143,VLOOKUP($A116, SDR35G!$A$8:$M$142,4,FALSE),
IF($A116&lt;SDR26G!$A$61,VLOOKUP($A116,SDR26G!$A$8:$N$60,4,FALSE),
IF($A116&lt;Cements!$A$100,VLOOKUP($A116,Cements!$A$8:$Q$99,4,FALSE),
IF($A116&lt;ValveBox!$A$143,VLOOKUP($A116,ValveBox!$A$10:$O$142,4,FALSE),
IF($A116&lt;'ValveBox Components'!$A$165,VLOOKUP($A116,'ValveBox Components'!$A$10:$O$164,4,FALSE),
IF($A116&lt;Drainage!$A$92,VLOOKUP($A116,Drainage!$A$8:$M$91,4,FALSE),
IF($A116&lt;Nipples!$A$82,VLOOKUP($A116,Nipples!$A$9:$Q$81,4,FALSE),
IF($A116&lt;Manifold!$A$33,VLOOKUP($A116,Manifold!$A$9:$M$32,4,FALSE),
IF($A116&lt;FlexibleRepairCouplings!$A$13,VLOOKUP($A116,FlexibleRepairCouplings!$A$10:$M$12,4,FALSE),
IF($A116&lt;DuraFix!$A$15,VLOOKUP($A116,DuraFix!$A$9:$M$14,4,FALSE),
IF($A116&lt;'Compression Fittings'!$A$16,VLOOKUP($A116,'Compression Fittings'!$A$8:$M$15,4,FALSE),
IF($A116&lt;'Hose Fittings'!$A$30,VLOOKUP($A116,'Hose Fittings'!$A$8:$M$29,4,FALSE),
IF($A116&lt;'Swing Joints'!$A$496,VLOOKUP($A116,'Swing Joints'!$A$9:$M$495,4,FALSE),
IF($A116&lt;'Swing Joints Components'!$A$135,VLOOKUP($A116,'Swing Joints Components'!$A$9:$M$134,4,FALSE),
IF($A116&lt;Nonstandard!$A$42,VLOOKUP($A116,Nonstandard!$A$31:$J$41,5,FALSE),"")))))))))))))))))))))))))))),"")</f>
        <v/>
      </c>
      <c r="C116" s="420" t="str">
        <f>IFERROR(IF($A116&lt;'DWV PVC'!$A$285,VLOOKUP($A116,'DWV PVC'!$A$8:$M$284,5,FALSE),
IF($A116&lt;'DWV ABS'!$A$117,VLOOKUP($A116,'DWV ABS'!$A$8:$M$116,5,FALSE),
IF($A116&lt;'PVC SCH40'!$A$376,VLOOKUP($A116,'PVC SCH40'!$A$8:$M$375,5,FALSE),
IF($A116&lt;'PVC SCH40 LD'!$A$22,VLOOKUP($A116,'PVC SCH40 LD'!$A$8:$M$21,5,FALSE),
IF($A116&lt;'Pool &amp; SPA Sweep Elbows'!$A$12,VLOOKUP($A116,'Pool &amp; SPA Sweep Elbows'!$A$8:$M$11,5,FALSE),
IF($A116&lt;'Pool &amp; SPA Pipe Extender'!$A$11,VLOOKUP($A116,'Pool &amp; SPA Pipe Extender'!$A$8:$M$10,5,FALSE),
IF($A116&lt;'PVC SCH80'!$A$250,VLOOKUP($A116,'PVC SCH80'!$A$8:$M$249,5,FALSE),
IF($A116&lt;'PVC SCH80 Flange'!$A$49,VLOOKUP($A116,'PVC SCH80 Flange'!$A$8:$M$48,5,FALSE),
IF($A116&lt;'PVC SCH80 LD Flange'!$A$17,VLOOKUP($A116,'PVC SCH80 LD Flange'!$A$8:$M$16,5,FALSE),
IF($A116&lt;CPVC!$A$100,VLOOKUP($A116,CPVC!$A$8:$M$99,5,FALSE),
IF($A116&lt;InsertFittings!$A$237,VLOOKUP($A116,InsertFittings!$A$11:$M$236,5,FALSE),
IF($A116&lt;Valves!$A$132,VLOOKUP($A116,Valves!$A$8:$M$131,5,FALSE),
IF($A116&lt;SDR35SW!$A$124,VLOOKUP($A116,SDR35SW!$A$8:$M$123,5,FALSE),
IF($A116&lt;SDR35G!$A$143,VLOOKUP($A116, SDR35G!$A$8:$M$142,5,FALSE),
IF($A116&lt;SDR26G!$A$61,VLOOKUP($A116,SDR26G!$A$8:$N$60,5,FALSE),
IF($A116&lt;Cements!$A$100,VLOOKUP($A116,Cements!$A$8:$Q$99,5,FALSE),
IF($A116&lt;ValveBox!$A$143,VLOOKUP($A116,ValveBox!$A$10:$O$142,5,FALSE),
IF($A116&lt;'ValveBox Components'!$A$165,VLOOKUP($A116,'ValveBox Components'!$A$10:$O$164,5,FALSE),
IF($A116&lt;Drainage!$A$92,VLOOKUP($A116,Drainage!$A$8:$M$91,5,FALSE),
IF($A116&lt;Nipples!$A$82,VLOOKUP($A116,Nipples!$A$9:$Q$81,5,FALSE),
IF($A116&lt;Manifold!$A$33,VLOOKUP($A116,Manifold!$A$9:$M$32,5,FALSE),
IF($A116&lt;FlexibleRepairCouplings!$A$13,VLOOKUP($A116,FlexibleRepairCouplings!$A$10:$M$12,5,FALSE),
IF($A116&lt;DuraFix!$A$15,VLOOKUP($A116,DuraFix!$A$9:$M$14,5,FALSE),
IF($A116&lt;'Compression Fittings'!$A$16,VLOOKUP($A116,'Compression Fittings'!$A$8:$M$15,5,FALSE),
IF($A116&lt;'Hose Fittings'!$A$30,VLOOKUP($A116,'Hose Fittings'!$A$8:$M$29,5,FALSE),
IF($A116&lt;'Swing Joints'!$A$496,VLOOKUP($A116,'Swing Joints'!$A$9:$M$495,5,FALSE),
IF($A116&lt;'Swing Joints Components'!$A$135,VLOOKUP($A116,'Swing Joints Components'!$A$9:$M$134,5,FALSE),
IF($A116&lt;Nonstandard!$A$42,VLOOKUP($A116,Nonstandard!$A$31:$J$41,6,FALSE),"")))))))))))))))))))))))))))),"")</f>
        <v/>
      </c>
      <c r="D116" s="428" t="str">
        <f>IFERROR(IF($A116&lt;'DWV PVC'!$A$285,VLOOKUP($A116,'DWV PVC'!$A$8:$M$284,6,FALSE),
IF($A116&lt;'DWV ABS'!$A$117,VLOOKUP($A116,'DWV ABS'!$A$8:$M$116,6,FALSE),
IF($A116&lt;'PVC SCH40'!$A$376,VLOOKUP($A116,'PVC SCH40'!$A$8:$M$375,6,FALSE),
IF($A116&lt;'PVC SCH40 LD'!$A$22,VLOOKUP($A116,'PVC SCH40 LD'!$A$8:$M$21,6,FALSE),
IF($A116&lt;'Pool &amp; SPA Sweep Elbows'!$A$12,VLOOKUP($A116,'Pool &amp; SPA Sweep Elbows'!$A$8:$M$11,6,FALSE),
IF($A116&lt;'Pool &amp; SPA Pipe Extender'!$A$11,VLOOKUP($A116,'Pool &amp; SPA Pipe Extender'!$A$8:$M$10,6,FALSE),
IF($A116&lt;'PVC SCH80'!$A$250,VLOOKUP($A116,'PVC SCH80'!$A$8:$M$249,6,FALSE),
IF($A116&lt;'PVC SCH80 Flange'!$A$49,VLOOKUP($A116,'PVC SCH80 Flange'!$A$8:$M$48,6,FALSE),
IF($A116&lt;'PVC SCH80 LD Flange'!$A$17,VLOOKUP($A116,'PVC SCH80 LD Flange'!$A$8:$M$16,6,FALSE),
IF($A116&lt;CPVC!$A$100,VLOOKUP($A116,CPVC!$A$8:$M$99,6,FALSE),
IF($A116&lt;InsertFittings!$A$237,VLOOKUP($A116,InsertFittings!$A$11:$M$236,6,FALSE),
IF($A116&lt;Valves!$A$132,VLOOKUP($A116,Valves!$A$8:$M$131,6,FALSE),
IF($A116&lt;SDR35SW!$A$124,VLOOKUP($A116,SDR35SW!$A$8:$M$123,6,FALSE),
IF($A116&lt;SDR35G!$A$143,VLOOKUP($A116, SDR35G!$A$8:$M$142,6,FALSE),
IF($A116&lt;SDR26G!$A$61,VLOOKUP($A116,SDR26G!$A$8:$N$60,6,FALSE),
IF($A116&lt;Cements!$A$100,VLOOKUP($A116,Cements!$A$8:$Q$99,6,FALSE),
IF($A116&lt;ValveBox!$A$143,VLOOKUP($A116,ValveBox!$A$10:$O$142,6,FALSE),
IF($A116&lt;'ValveBox Components'!$A$165,VLOOKUP($A116,'ValveBox Components'!$A$10:$O$164,6,FALSE),
IF($A116&lt;Drainage!$A$92,VLOOKUP($A116,Drainage!$A$8:$M$91,6,FALSE),
IF($A116&lt;Nipples!$A$82,VLOOKUP($A116,Nipples!$A$9:$Q$81,6,FALSE),
IF($A116&lt;Manifold!$A$33,VLOOKUP($A116,Manifold!$A$9:$M$32,6,FALSE),
IF($A116&lt;FlexibleRepairCouplings!$A$13,VLOOKUP($A116,FlexibleRepairCouplings!$A$10:$M$12,6,FALSE),
IF($A116&lt;DuraFix!$A$15,VLOOKUP($A116,DuraFix!$A$9:$M$14,6,FALSE),
IF($A116&lt;'Compression Fittings'!$A$16,VLOOKUP($A116,'Compression Fittings'!$A$8:$M$15,6,FALSE),
IF($A116&lt;'Hose Fittings'!$A$30,VLOOKUP($A116,'Hose Fittings'!$A$8:$M$29,6,FALSE),
IF($A116&lt;'Swing Joints'!$A$496,VLOOKUP($A116,'Swing Joints'!$A$9:$M$495,6,FALSE),
IF($A116&lt;'Swing Joints Components'!$A$135,VLOOKUP($A116,'Swing Joints Components'!$A$9:$M$134,6,FALSE),
IF($A116&lt;Nonstandard!$A$42,VLOOKUP($A116,Nonstandard!$A$31:$J$41,7,FALSE),"")))))))))))))))))))))))))))),"")</f>
        <v/>
      </c>
      <c r="E116" s="429"/>
      <c r="F116" s="421" t="str">
        <f>IFERROR(IF($A116&lt;'DWV PVC'!$A$285,VLOOKUP($A116,'DWV PVC'!$A$8:$M$284,9,FALSE),
IF($A116&lt;'DWV ABS'!$A$117,VLOOKUP($A116,'DWV ABS'!$A$8:$M$116,9,FALSE),
IF($A116&lt;'PVC SCH40'!$A$376,VLOOKUP($A116,'PVC SCH40'!$A$8:$M$375,9,FALSE),
IF($A116&lt;'PVC SCH40 LD'!$A$22,VLOOKUP($A116,'PVC SCH40 LD'!$A$8:$M$21,9,FALSE),
IF($A116&lt;'Pool &amp; SPA Sweep Elbows'!$A$12,VLOOKUP($A116,'Pool &amp; SPA Sweep Elbows'!$A$8:$M$11,9,FALSE),
IF($A116&lt;'Pool &amp; SPA Pipe Extender'!$A$11,VLOOKUP($A116,'Pool &amp; SPA Pipe Extender'!$A$8:$M$10,9,FALSE),
IF($A116&lt;'PVC SCH80'!$A$250,VLOOKUP($A116,'PVC SCH80'!$A$8:$M$249,9,FALSE),
IF($A116&lt;'PVC SCH80 Flange'!$A$49,VLOOKUP($A116,'PVC SCH80 Flange'!$A$8:$M$48,9,FALSE),
IF($A116&lt;'PVC SCH80 LD Flange'!$A$17,VLOOKUP($A116,'PVC SCH80 LD Flange'!$A$8:$M$16,9,FALSE),
IF($A116&lt;CPVC!$A$100,VLOOKUP($A116,CPVC!$A$8:$M$99,9,FALSE),
IF($A116&lt;InsertFittings!$A$237,VLOOKUP($A116,InsertFittings!$A$11:$M$236,9,FALSE),
IF($A116&lt;Valves!$A$132,VLOOKUP($A116,Valves!$A$8:$M$131,9,FALSE),
IF($A116&lt;SDR35SW!$A$124,VLOOKUP($A116,SDR35SW!$A$8:$M$123,9,FALSE),
IF($A116&lt;SDR35G!$A$143,VLOOKUP($A116, SDR35G!$A$8:$M$142,9,FALSE),
IF($A116&lt;SDR26G!$A$61,VLOOKUP($A116,SDR26G!$A$8:$N$60,10,FALSE),
IF($A116&lt;Cements!$A$100,VLOOKUP($A116,Cements!$A$8:$Q$99,13,FALSE),
IF($A116&lt;ValveBox!$A$143,VLOOKUP($A116,ValveBox!$A$10:$O$142,11,FALSE),
IF($A116&lt;'ValveBox Components'!$A$165,VLOOKUP($A116,'ValveBox Components'!$A$10:$O$164,11,FALSE),
IF($A116&lt;Drainage!$A$92,VLOOKUP($A116,Drainage!$A$8:$M$91,9,FALSE),
IF($A116&lt;Nipples!$A$82,VLOOKUP($A116,Nipples!$A$9:$Q$81,13,FALSE),
IF($A116&lt;Manifold!$A$33,VLOOKUP($A116,Manifold!$A$9:$M$32,9,FALSE),
IF($A116&lt;FlexibleRepairCouplings!$A$13,VLOOKUP($A116,FlexibleRepairCouplings!$A$10:$M$12,9,FALSE),
IF($A116&lt;DuraFix!$A$15,VLOOKUP($A116,DuraFix!$A$9:$M$14,9,FALSE),
IF($A116&lt;'Compression Fittings'!$A$16,VLOOKUP($A116,'Compression Fittings'!$A$8:$M$15,9,FALSE),
IF($A116&lt;'Hose Fittings'!$A$30,VLOOKUP($A116,'Hose Fittings'!$A$8:$M$29,9,FALSE),
IF($A116&lt;'Swing Joints'!$A$496,VLOOKUP($A116,'Swing Joints'!$A$9:$M$495,9,FALSE),
IF($A116&lt;'Swing Joints Components'!$A$135,VLOOKUP($A116,'Swing Joints Components'!$A$9:$M$134,9,FALSE),
IF($A116&lt;Nonstandard!$A$42,VLOOKUP($A116,Nonstandard!$A$31:$J$41,8,FALSE),"")))))))))))))))))))))))))))),"")</f>
        <v/>
      </c>
      <c r="G116" s="422" t="str">
        <f>IFERROR(IF($A116&lt;'DWV PVC'!$A$285,VLOOKUP($A116,'DWV PVC'!$A$8:$M$284,11,FALSE),
IF($A116&lt;'DWV ABS'!$A$117,VLOOKUP($A116,'DWV ABS'!$A$8:$M$116,11,FALSE),
IF($A116&lt;'PVC SCH40'!$A$376,VLOOKUP($A116,'PVC SCH40'!$A$8:$M$375,11,FALSE),
IF($A116&lt;'PVC SCH40 LD'!$A$22,VLOOKUP($A116,'PVC SCH40 LD'!$A$8:$M$21,11,FALSE),
IF($A116&lt;'Pool &amp; SPA Sweep Elbows'!$A$12,VLOOKUP($A116,'Pool &amp; SPA Sweep Elbows'!$A$8:$M$11,11,FALSE),
IF($A116&lt;'Pool &amp; SPA Pipe Extender'!$A$11,VLOOKUP($A116,'Pool &amp; SPA Pipe Extender'!$A$8:$M$10,11,FALSE),
IF($A116&lt;'PVC SCH80'!$A$250,VLOOKUP($A116,'PVC SCH80'!$A$8:$M$249,11,FALSE),
IF($A116&lt;'PVC SCH80 Flange'!$A$49,VLOOKUP($A116,'PVC SCH80 Flange'!$A$8:$M$48,11,FALSE),
IF($A116&lt;'PVC SCH80 LD Flange'!$A$17,VLOOKUP($A116,'PVC SCH80 LD Flange'!$A$8:$M$16,11,FALSE),
IF($A116&lt;CPVC!$A$100,VLOOKUP($A116,CPVC!$A$8:$M$99,11,FALSE),
IF($A116&lt;InsertFittings!$A$237,VLOOKUP($A116,InsertFittings!$A$11:$M$236,11,FALSE),
IF($A116&lt;Valves!$A$132,VLOOKUP($A116,Valves!$A$8:$M$131,11,FALSE),
IF($A116&lt;SDR35SW!$A$124,VLOOKUP($A116,SDR35SW!$A$8:$M$123,11,FALSE),
IF($A116&lt;SDR35G!$A$143,VLOOKUP($A116, SDR35G!$A$8:$M$142,11,FALSE),
IF($A116&lt;SDR26G!$A$61,VLOOKUP($A116,SDR26G!$A$8:$N$60,12,FALSE),
IF($A116&lt;Cements!$A$100,VLOOKUP($A116,Cements!$A$8:$Q$99,15,FALSE),
IF($A116&lt;ValveBox!$A$143,VLOOKUP($A116,ValveBox!$A$10:$O$142,13,FALSE),
IF($A116&lt;'ValveBox Components'!$A$165,VLOOKUP($A116,'ValveBox Components'!$A$10:$O$164,13,FALSE),
IF($A116&lt;Drainage!$A$92,VLOOKUP($A116,Drainage!$A$8:$M$91,11,FALSE),
IF($A116&lt;Nipples!$A$82,VLOOKUP($A116,Nipples!$A$9:$Q$81,15,FALSE),
IF($A116&lt;Manifold!$A$33,VLOOKUP($A116,Manifold!$A$9:$M$32,11,FALSE),
IF($A116&lt;FlexibleRepairCouplings!$A$13,VLOOKUP($A116,FlexibleRepairCouplings!$A$10:$M$12,11,FALSE),
IF($A116&lt;DuraFix!$A$15,VLOOKUP($A116,DuraFix!$A$9:$M$14,11,FALSE),
IF($A116&lt;'Compression Fittings'!$A$16,VLOOKUP($A116,'Compression Fittings'!$A$8:$M$15,11,FALSE),
IF($A116&lt;'Hose Fittings'!$A$30,VLOOKUP($A116,'Hose Fittings'!$A$8:$M$29,11,FALSE),
IF($A116&lt;'Swing Joints'!$A$496,VLOOKUP($A116,'Swing Joints'!$A$9:$M$495,11,FALSE),
IF($A116&lt;'Swing Joints Components'!$A$135,VLOOKUP($A116,'Swing Joints Components'!$A$9:$M$134,11,FALSE),
IF($A116&lt;Nonstandard!$A$42,VLOOKUP($A116,Nonstandard!$A$31:$J$41,3,FALSE),"")))))))))))))))))))))))))))),"")</f>
        <v/>
      </c>
      <c r="H116" s="588" t="str">
        <f>IFERROR(IF($A116&lt;'DWV PVC'!$A$285,VLOOKUP($A116,'DWV PVC'!$A$8:$M$284,7,FALSE),
IF($A116&lt;'DWV ABS'!$A$117,VLOOKUP($A116,'DWV ABS'!$A$8:$M$116,7,FALSE),
IF($A116&lt;'PVC SCH40'!$A$376,VLOOKUP($A116,'PVC SCH40'!$A$8:$M$375,7,FALSE),
IF($A116&lt;'PVC SCH40 LD'!$A$22,VLOOKUP($A116,'PVC SCH40 LD'!$A$8:$M$21,7,FALSE),
IF($A116&lt;'Pool &amp; SPA Sweep Elbows'!$A$12,VLOOKUP($A116,'Pool &amp; SPA Sweep Elbows'!$A$8:$M$11,7,FALSE),
IF($A116&lt;'Pool &amp; SPA Pipe Extender'!$A$11,VLOOKUP($A116,'Pool &amp; SPA Pipe Extender'!$A$8:$M$10,7,FALSE),
IF($A116&lt;'PVC SCH80'!$A$250,VLOOKUP($A116,'PVC SCH80'!$A$8:$M$249,7,FALSE),
IF($A116&lt;'PVC SCH80 Flange'!$A$49,VLOOKUP($A116,'PVC SCH80 Flange'!$A$8:$M$48,7,FALSE),
IF($A116&lt;'PVC SCH80 LD Flange'!$A$17,VLOOKUP($A116,'PVC SCH80 LD Flange'!$A$8:$M$16,7,FALSE),
IF($A116&lt;CPVC!$A$100,VLOOKUP($A116,CPVC!$A$8:$M$99,7,FALSE),
IF($A116&lt;InsertFittings!$A$237,VLOOKUP($A116,InsertFittings!$A$11:$M$236,7,FALSE),
IF($A116&lt;Valves!$A$132,VLOOKUP($A116,Valves!$A$8:$M$131,7,FALSE),
IF($A116&lt;SDR35SW!$A$124,VLOOKUP($A116,SDR35SW!$A$8:$M$123,7,FALSE),
IF($A116&lt;SDR35G!$A$143,VLOOKUP($A116, SDR35G!$A$8:$M$142,7,FALSE),
IF($A116&lt;SDR26G!$A$61,VLOOKUP($A116,SDR26G!$A$8:$N$60,10,FALSE),
IF($A116&lt;Cements!$A$100,VLOOKUP($A116,Cements!$A$8:$Q$99,13,FALSE),
IF($A116&lt;ValveBox!$A$143,VLOOKUP($A116,ValveBox!$A$10:$O$142,11,FALSE),
IF($A116&lt;'ValveBox Components'!$A$165,VLOOKUP($A116,'ValveBox Components'!$A$10:$O$164,11,FALSE),
IF($A116&lt;Drainage!$A$92,VLOOKUP($A116,Drainage!$A$8:$M$91,7,FALSE),
IF($A116&lt;Nipples!$A$82,VLOOKUP($A116,Nipples!$A$9:$Q$81,13,FALSE),
IF($A116&lt;Manifold!$A$33,VLOOKUP($A116,Manifold!$A$9:$M$32,7,FALSE),
IF($A116&lt;FlexibleRepairCouplings!$A$13,VLOOKUP($A116,FlexibleRepairCouplings!$A$10:$M$12,7,FALSE),
IF($A116&lt;DuraFix!$A$15,VLOOKUP($A116,DuraFix!$A$9:$M$14,7,FALSE),
IF($A116&lt;'Compression Fittings'!$A$16,VLOOKUP($A116,'Compression Fittings'!$A$8:$M$15,7,FALSE),
IF($A116&lt;'Hose Fittings'!$A$30,VLOOKUP($A116,'Hose Fittings'!$A$8:$M$29,7,FALSE),
IF($A116&lt;'Swing Joints'!$A$496,VLOOKUP($A116,'Swing Joints'!$A$9:$M$495,7,FALSE),
IF($A116&lt;'Swing Joints Components'!$A$135,VLOOKUP($A116,'Swing Joints Components'!$A$9:$M$134,7,FALSE),
IF($A116&lt;Nonstandard!$A$42,VLOOKUP($A116,Nonstandard!$A$31:$J$41,3,FALSE),"")))))))))))))))))))))))))))),"")</f>
        <v/>
      </c>
      <c r="I116" s="589"/>
      <c r="J116" s="423" t="str">
        <f t="shared" si="3"/>
        <v/>
      </c>
      <c r="K116" s="424" t="str">
        <f>IFERROR(IF($A116&lt;'DWV PVC'!$A$285,VLOOKUP($A116,'DWV PVC'!$A$8:$M$284,10,FALSE),
IF($A116&lt;'DWV ABS'!$A$117,VLOOKUP($A116,'DWV ABS'!$A$8:$M$116,10,FALSE),
IF($A116&lt;'PVC SCH40'!$A$376,VLOOKUP($A116,'PVC SCH40'!$A$8:$M$375,10,FALSE),
IF($A116&lt;'PVC SCH40 LD'!$A$22,VLOOKUP($A116,'PVC SCH40 LD'!$A$8:$M$21,10,FALSE),
IF($A116&lt;'Pool &amp; SPA Sweep Elbows'!$A$12,VLOOKUP($A116,'Pool &amp; SPA Sweep Elbows'!$A$8:$M$11,10,FALSE),
IF($A116&lt;'Pool &amp; SPA Pipe Extender'!$A$11,VLOOKUP($A116,'Pool &amp; SPA Pipe Extender'!$A$8:$M$10,10,FALSE),
IF($A116&lt;'PVC SCH80'!$A$250,VLOOKUP($A116,'PVC SCH80'!$A$8:$M$249,10,FALSE),
IF($A116&lt;'PVC SCH80 Flange'!$A$49,VLOOKUP($A116,'PVC SCH80 Flange'!$A$8:$M$48,10,FALSE),
IF($A116&lt;'PVC SCH80 LD Flange'!$A$17,VLOOKUP($A116,'PVC SCH80 LD Flange'!$A$8:$M$16,10,FALSE),
IF($A116&lt;CPVC!$A$100,VLOOKUP($A116,CPVC!$A$8:$M$99,10,FALSE),
IF($A116&lt;InsertFittings!$A$237,VLOOKUP($A116,InsertFittings!$A$11:$M$236,10,FALSE),
IF($A116&lt;Valves!$A$132,VLOOKUP($A116,Valves!$A$8:$M$131,10,FALSE),
IF($A116&lt;SDR35SW!$A$124,VLOOKUP($A116,SDR35SW!$A$8:$M$123,10,FALSE),
IF($A116&lt;SDR35G!$A$143,VLOOKUP($A116, SDR35G!$A$8:$M$142,10,FALSE),
IF($A116&lt;SDR26G!$A$61,VLOOKUP($A116,SDR26G!$A$8:$N$60,11,FALSE),
IF($A116&lt;Cements!$A$100,VLOOKUP($A116,Cements!$A$8:$Q$99,14,FALSE),
IF($A116&lt;ValveBox!$A$143,VLOOKUP($A116,ValveBox!$A$10:$O$142,12,FALSE),
IF($A116&lt;'ValveBox Components'!$A$165,VLOOKUP($A116,'ValveBox Components'!$A$10:$O$164,12,FALSE),
IF($A116&lt;Drainage!$A$92,VLOOKUP($A116,Drainage!$A$8:$M$91,10,FALSE),
IF($A116&lt;Nipples!$A$82,VLOOKUP($A116,Nipples!$A$9:$Q$81,14,FALSE),
IF($A116&lt;Manifold!$A$33,VLOOKUP($A116,Manifold!$A$9:$M$32,10,FALSE),
IF($A116&lt;FlexibleRepairCouplings!$A$13,VLOOKUP($A116,FlexibleRepairCouplings!$A$10:$M$12,10,FALSE),
IF($A116&lt;DuraFix!$A$15,VLOOKUP($A116,DuraFix!$A$9:$M$14,10,FALSE),
IF($A116&lt;'Compression Fittings'!$A$16,VLOOKUP($A116,'Compression Fittings'!$A$8:$M$15,10,FALSE),
IF($A116&lt;'Hose Fittings'!$A$30,VLOOKUP($A116,'Hose Fittings'!$A$8:$M$29,10,FALSE),
IF($A116&lt;'Swing Joints'!$A$496,VLOOKUP($A116,'Swing Joints'!$A$9:$M$495,10,FALSE),
IF($A116&lt;'Swing Joints Components'!$A$135,VLOOKUP($A116,'Swing Joints Components'!$A$9:$M$134,10,FALSE),
IF($A116&lt;Nonstandard!$A$42,VLOOKUP($A116,Nonstandard!$A$31:$J$41,10,FALSE),"")))))))))))))))))))))))))))),"")</f>
        <v/>
      </c>
      <c r="L116" s="421" t="str">
        <f t="shared" si="2"/>
        <v>-</v>
      </c>
      <c r="M116" s="425"/>
    </row>
    <row r="117" spans="1:13" ht="15.75">
      <c r="A117" s="415">
        <v>85</v>
      </c>
      <c r="B117" s="415" t="str">
        <f>IFERROR(IF($A117&lt;'DWV PVC'!$A$285,VLOOKUP($A117,'DWV PVC'!$A$8:$M$284,4,FALSE),
IF($A117&lt;'DWV ABS'!$A$117,VLOOKUP($A117,'DWV ABS'!$A$8:$M$116,4,FALSE),
IF($A117&lt;'PVC SCH40'!$A$376,VLOOKUP($A117,'PVC SCH40'!$A$8:$M$375,4,FALSE),
IF($A117&lt;'PVC SCH40 LD'!$A$22,VLOOKUP($A117,'PVC SCH40 LD'!$A$8:$M$21,4,FALSE),
IF($A117&lt;'Pool &amp; SPA Sweep Elbows'!$A$12,VLOOKUP($A117,'Pool &amp; SPA Sweep Elbows'!$A$8:$M$11,4,FALSE),
IF($A117&lt;'Pool &amp; SPA Pipe Extender'!$A$11,VLOOKUP($A117,'Pool &amp; SPA Pipe Extender'!$A$8:$M$10,4,FALSE),
IF($A117&lt;'PVC SCH80'!$A$250,VLOOKUP($A117,'PVC SCH80'!$A$8:$M$249,4,FALSE),
IF($A117&lt;'PVC SCH80 Flange'!$A$49,VLOOKUP($A117,'PVC SCH80 Flange'!$A$8:$M$48,4,FALSE),
IF($A117&lt;'PVC SCH80 LD Flange'!$A$17,VLOOKUP($A117,'PVC SCH80 LD Flange'!$A$8:$M$16,4,FALSE),
IF($A117&lt;CPVC!$A$100,VLOOKUP($A117,CPVC!$A$8:$M$99,4,FALSE),
IF($A117&lt;InsertFittings!$A$237,VLOOKUP($A117,InsertFittings!$A$11:$M$236,4,FALSE),
IF($A117&lt;Valves!$A$132,VLOOKUP($A117,Valves!$A$8:$M$131,4,FALSE),
IF($A117&lt;SDR35SW!$A$124,VLOOKUP($A117,SDR35SW!$A$8:$M$123,4,FALSE),
IF($A117&lt;SDR35G!$A$143,VLOOKUP($A117, SDR35G!$A$8:$M$142,4,FALSE),
IF($A117&lt;SDR26G!$A$61,VLOOKUP($A117,SDR26G!$A$8:$N$60,4,FALSE),
IF($A117&lt;Cements!$A$100,VLOOKUP($A117,Cements!$A$8:$Q$99,4,FALSE),
IF($A117&lt;ValveBox!$A$143,VLOOKUP($A117,ValveBox!$A$10:$O$142,4,FALSE),
IF($A117&lt;'ValveBox Components'!$A$165,VLOOKUP($A117,'ValveBox Components'!$A$10:$O$164,4,FALSE),
IF($A117&lt;Drainage!$A$92,VLOOKUP($A117,Drainage!$A$8:$M$91,4,FALSE),
IF($A117&lt;Nipples!$A$82,VLOOKUP($A117,Nipples!$A$9:$Q$81,4,FALSE),
IF($A117&lt;Manifold!$A$33,VLOOKUP($A117,Manifold!$A$9:$M$32,4,FALSE),
IF($A117&lt;FlexibleRepairCouplings!$A$13,VLOOKUP($A117,FlexibleRepairCouplings!$A$10:$M$12,4,FALSE),
IF($A117&lt;DuraFix!$A$15,VLOOKUP($A117,DuraFix!$A$9:$M$14,4,FALSE),
IF($A117&lt;'Compression Fittings'!$A$16,VLOOKUP($A117,'Compression Fittings'!$A$8:$M$15,4,FALSE),
IF($A117&lt;'Hose Fittings'!$A$30,VLOOKUP($A117,'Hose Fittings'!$A$8:$M$29,4,FALSE),
IF($A117&lt;'Swing Joints'!$A$496,VLOOKUP($A117,'Swing Joints'!$A$9:$M$495,4,FALSE),
IF($A117&lt;'Swing Joints Components'!$A$135,VLOOKUP($A117,'Swing Joints Components'!$A$9:$M$134,4,FALSE),
IF($A117&lt;Nonstandard!$A$42,VLOOKUP($A117,Nonstandard!$A$31:$J$41,5,FALSE),"")))))))))))))))))))))))))))),"")</f>
        <v/>
      </c>
      <c r="C117" s="415" t="str">
        <f>IFERROR(IF($A117&lt;'DWV PVC'!$A$285,VLOOKUP($A117,'DWV PVC'!$A$8:$M$284,5,FALSE),
IF($A117&lt;'DWV ABS'!$A$117,VLOOKUP($A117,'DWV ABS'!$A$8:$M$116,5,FALSE),
IF($A117&lt;'PVC SCH40'!$A$376,VLOOKUP($A117,'PVC SCH40'!$A$8:$M$375,5,FALSE),
IF($A117&lt;'PVC SCH40 LD'!$A$22,VLOOKUP($A117,'PVC SCH40 LD'!$A$8:$M$21,5,FALSE),
IF($A117&lt;'Pool &amp; SPA Sweep Elbows'!$A$12,VLOOKUP($A117,'Pool &amp; SPA Sweep Elbows'!$A$8:$M$11,5,FALSE),
IF($A117&lt;'Pool &amp; SPA Pipe Extender'!$A$11,VLOOKUP($A117,'Pool &amp; SPA Pipe Extender'!$A$8:$M$10,5,FALSE),
IF($A117&lt;'PVC SCH80'!$A$250,VLOOKUP($A117,'PVC SCH80'!$A$8:$M$249,5,FALSE),
IF($A117&lt;'PVC SCH80 Flange'!$A$49,VLOOKUP($A117,'PVC SCH80 Flange'!$A$8:$M$48,5,FALSE),
IF($A117&lt;'PVC SCH80 LD Flange'!$A$17,VLOOKUP($A117,'PVC SCH80 LD Flange'!$A$8:$M$16,5,FALSE),
IF($A117&lt;CPVC!$A$100,VLOOKUP($A117,CPVC!$A$8:$M$99,5,FALSE),
IF($A117&lt;InsertFittings!$A$237,VLOOKUP($A117,InsertFittings!$A$11:$M$236,5,FALSE),
IF($A117&lt;Valves!$A$132,VLOOKUP($A117,Valves!$A$8:$M$131,5,FALSE),
IF($A117&lt;SDR35SW!$A$124,VLOOKUP($A117,SDR35SW!$A$8:$M$123,5,FALSE),
IF($A117&lt;SDR35G!$A$143,VLOOKUP($A117, SDR35G!$A$8:$M$142,5,FALSE),
IF($A117&lt;SDR26G!$A$61,VLOOKUP($A117,SDR26G!$A$8:$N$60,5,FALSE),
IF($A117&lt;Cements!$A$100,VLOOKUP($A117,Cements!$A$8:$Q$99,5,FALSE),
IF($A117&lt;ValveBox!$A$143,VLOOKUP($A117,ValveBox!$A$10:$O$142,5,FALSE),
IF($A117&lt;'ValveBox Components'!$A$165,VLOOKUP($A117,'ValveBox Components'!$A$10:$O$164,5,FALSE),
IF($A117&lt;Drainage!$A$92,VLOOKUP($A117,Drainage!$A$8:$M$91,5,FALSE),
IF($A117&lt;Nipples!$A$82,VLOOKUP($A117,Nipples!$A$9:$Q$81,5,FALSE),
IF($A117&lt;Manifold!$A$33,VLOOKUP($A117,Manifold!$A$9:$M$32,5,FALSE),
IF($A117&lt;FlexibleRepairCouplings!$A$13,VLOOKUP($A117,FlexibleRepairCouplings!$A$10:$M$12,5,FALSE),
IF($A117&lt;DuraFix!$A$15,VLOOKUP($A117,DuraFix!$A$9:$M$14,5,FALSE),
IF($A117&lt;'Compression Fittings'!$A$16,VLOOKUP($A117,'Compression Fittings'!$A$8:$M$15,5,FALSE),
IF($A117&lt;'Hose Fittings'!$A$30,VLOOKUP($A117,'Hose Fittings'!$A$8:$M$29,5,FALSE),
IF($A117&lt;'Swing Joints'!$A$496,VLOOKUP($A117,'Swing Joints'!$A$9:$M$495,5,FALSE),
IF($A117&lt;'Swing Joints Components'!$A$135,VLOOKUP($A117,'Swing Joints Components'!$A$9:$M$134,5,FALSE),
IF($A117&lt;Nonstandard!$A$42,VLOOKUP($A117,Nonstandard!$A$31:$J$41,6,FALSE),"")))))))))))))))))))))))))))),"")</f>
        <v/>
      </c>
      <c r="D117" s="426" t="str">
        <f>IFERROR(IF($A117&lt;'DWV PVC'!$A$285,VLOOKUP($A117,'DWV PVC'!$A$8:$M$284,6,FALSE),
IF($A117&lt;'DWV ABS'!$A$117,VLOOKUP($A117,'DWV ABS'!$A$8:$M$116,6,FALSE),
IF($A117&lt;'PVC SCH40'!$A$376,VLOOKUP($A117,'PVC SCH40'!$A$8:$M$375,6,FALSE),
IF($A117&lt;'PVC SCH40 LD'!$A$22,VLOOKUP($A117,'PVC SCH40 LD'!$A$8:$M$21,6,FALSE),
IF($A117&lt;'Pool &amp; SPA Sweep Elbows'!$A$12,VLOOKUP($A117,'Pool &amp; SPA Sweep Elbows'!$A$8:$M$11,6,FALSE),
IF($A117&lt;'Pool &amp; SPA Pipe Extender'!$A$11,VLOOKUP($A117,'Pool &amp; SPA Pipe Extender'!$A$8:$M$10,6,FALSE),
IF($A117&lt;'PVC SCH80'!$A$250,VLOOKUP($A117,'PVC SCH80'!$A$8:$M$249,6,FALSE),
IF($A117&lt;'PVC SCH80 Flange'!$A$49,VLOOKUP($A117,'PVC SCH80 Flange'!$A$8:$M$48,6,FALSE),
IF($A117&lt;'PVC SCH80 LD Flange'!$A$17,VLOOKUP($A117,'PVC SCH80 LD Flange'!$A$8:$M$16,6,FALSE),
IF($A117&lt;CPVC!$A$100,VLOOKUP($A117,CPVC!$A$8:$M$99,6,FALSE),
IF($A117&lt;InsertFittings!$A$237,VLOOKUP($A117,InsertFittings!$A$11:$M$236,6,FALSE),
IF($A117&lt;Valves!$A$132,VLOOKUP($A117,Valves!$A$8:$M$131,6,FALSE),
IF($A117&lt;SDR35SW!$A$124,VLOOKUP($A117,SDR35SW!$A$8:$M$123,6,FALSE),
IF($A117&lt;SDR35G!$A$143,VLOOKUP($A117, SDR35G!$A$8:$M$142,6,FALSE),
IF($A117&lt;SDR26G!$A$61,VLOOKUP($A117,SDR26G!$A$8:$N$60,6,FALSE),
IF($A117&lt;Cements!$A$100,VLOOKUP($A117,Cements!$A$8:$Q$99,6,FALSE),
IF($A117&lt;ValveBox!$A$143,VLOOKUP($A117,ValveBox!$A$10:$O$142,6,FALSE),
IF($A117&lt;'ValveBox Components'!$A$165,VLOOKUP($A117,'ValveBox Components'!$A$10:$O$164,6,FALSE),
IF($A117&lt;Drainage!$A$92,VLOOKUP($A117,Drainage!$A$8:$M$91,6,FALSE),
IF($A117&lt;Nipples!$A$82,VLOOKUP($A117,Nipples!$A$9:$Q$81,6,FALSE),
IF($A117&lt;Manifold!$A$33,VLOOKUP($A117,Manifold!$A$9:$M$32,6,FALSE),
IF($A117&lt;FlexibleRepairCouplings!$A$13,VLOOKUP($A117,FlexibleRepairCouplings!$A$10:$M$12,6,FALSE),
IF($A117&lt;DuraFix!$A$15,VLOOKUP($A117,DuraFix!$A$9:$M$14,6,FALSE),
IF($A117&lt;'Compression Fittings'!$A$16,VLOOKUP($A117,'Compression Fittings'!$A$8:$M$15,6,FALSE),
IF($A117&lt;'Hose Fittings'!$A$30,VLOOKUP($A117,'Hose Fittings'!$A$8:$M$29,6,FALSE),
IF($A117&lt;'Swing Joints'!$A$496,VLOOKUP($A117,'Swing Joints'!$A$9:$M$495,6,FALSE),
IF($A117&lt;'Swing Joints Components'!$A$135,VLOOKUP($A117,'Swing Joints Components'!$A$9:$M$134,6,FALSE),
IF($A117&lt;Nonstandard!$A$42,VLOOKUP($A117,Nonstandard!$A$31:$J$41,7,FALSE),"")))))))))))))))))))))))))))),"")</f>
        <v/>
      </c>
      <c r="E117" s="427"/>
      <c r="F117" s="418" t="str">
        <f>IFERROR(IF($A117&lt;'DWV PVC'!$A$285,VLOOKUP($A117,'DWV PVC'!$A$8:$M$284,9,FALSE),
IF($A117&lt;'DWV ABS'!$A$117,VLOOKUP($A117,'DWV ABS'!$A$8:$M$116,9,FALSE),
IF($A117&lt;'PVC SCH40'!$A$376,VLOOKUP($A117,'PVC SCH40'!$A$8:$M$375,9,FALSE),
IF($A117&lt;'PVC SCH40 LD'!$A$22,VLOOKUP($A117,'PVC SCH40 LD'!$A$8:$M$21,9,FALSE),
IF($A117&lt;'Pool &amp; SPA Sweep Elbows'!$A$12,VLOOKUP($A117,'Pool &amp; SPA Sweep Elbows'!$A$8:$M$11,9,FALSE),
IF($A117&lt;'Pool &amp; SPA Pipe Extender'!$A$11,VLOOKUP($A117,'Pool &amp; SPA Pipe Extender'!$A$8:$M$10,9,FALSE),
IF($A117&lt;'PVC SCH80'!$A$250,VLOOKUP($A117,'PVC SCH80'!$A$8:$M$249,9,FALSE),
IF($A117&lt;'PVC SCH80 Flange'!$A$49,VLOOKUP($A117,'PVC SCH80 Flange'!$A$8:$M$48,9,FALSE),
IF($A117&lt;'PVC SCH80 LD Flange'!$A$17,VLOOKUP($A117,'PVC SCH80 LD Flange'!$A$8:$M$16,9,FALSE),
IF($A117&lt;CPVC!$A$100,VLOOKUP($A117,CPVC!$A$8:$M$99,9,FALSE),
IF($A117&lt;InsertFittings!$A$237,VLOOKUP($A117,InsertFittings!$A$11:$M$236,9,FALSE),
IF($A117&lt;Valves!$A$132,VLOOKUP($A117,Valves!$A$8:$M$131,9,FALSE),
IF($A117&lt;SDR35SW!$A$124,VLOOKUP($A117,SDR35SW!$A$8:$M$123,9,FALSE),
IF($A117&lt;SDR35G!$A$143,VLOOKUP($A117, SDR35G!$A$8:$M$142,9,FALSE),
IF($A117&lt;SDR26G!$A$61,VLOOKUP($A117,SDR26G!$A$8:$N$60,10,FALSE),
IF($A117&lt;Cements!$A$100,VLOOKUP($A117,Cements!$A$8:$Q$99,13,FALSE),
IF($A117&lt;ValveBox!$A$143,VLOOKUP($A117,ValveBox!$A$10:$O$142,11,FALSE),
IF($A117&lt;'ValveBox Components'!$A$165,VLOOKUP($A117,'ValveBox Components'!$A$10:$O$164,11,FALSE),
IF($A117&lt;Drainage!$A$92,VLOOKUP($A117,Drainage!$A$8:$M$91,9,FALSE),
IF($A117&lt;Nipples!$A$82,VLOOKUP($A117,Nipples!$A$9:$Q$81,13,FALSE),
IF($A117&lt;Manifold!$A$33,VLOOKUP($A117,Manifold!$A$9:$M$32,9,FALSE),
IF($A117&lt;FlexibleRepairCouplings!$A$13,VLOOKUP($A117,FlexibleRepairCouplings!$A$10:$M$12,9,FALSE),
IF($A117&lt;DuraFix!$A$15,VLOOKUP($A117,DuraFix!$A$9:$M$14,9,FALSE),
IF($A117&lt;'Compression Fittings'!$A$16,VLOOKUP($A117,'Compression Fittings'!$A$8:$M$15,9,FALSE),
IF($A117&lt;'Hose Fittings'!$A$30,VLOOKUP($A117,'Hose Fittings'!$A$8:$M$29,9,FALSE),
IF($A117&lt;'Swing Joints'!$A$496,VLOOKUP($A117,'Swing Joints'!$A$9:$M$495,9,FALSE),
IF($A117&lt;'Swing Joints Components'!$A$135,VLOOKUP($A117,'Swing Joints Components'!$A$9:$M$134,9,FALSE),
IF($A117&lt;Nonstandard!$A$42,VLOOKUP($A117,Nonstandard!$A$31:$J$41,8,FALSE),"")))))))))))))))))))))))))))),"")</f>
        <v/>
      </c>
      <c r="G117" s="416" t="str">
        <f>IFERROR(IF($A117&lt;'DWV PVC'!$A$285,VLOOKUP($A117,'DWV PVC'!$A$8:$M$284,11,FALSE),
IF($A117&lt;'DWV ABS'!$A$117,VLOOKUP($A117,'DWV ABS'!$A$8:$M$116,11,FALSE),
IF($A117&lt;'PVC SCH40'!$A$376,VLOOKUP($A117,'PVC SCH40'!$A$8:$M$375,11,FALSE),
IF($A117&lt;'PVC SCH40 LD'!$A$22,VLOOKUP($A117,'PVC SCH40 LD'!$A$8:$M$21,11,FALSE),
IF($A117&lt;'Pool &amp; SPA Sweep Elbows'!$A$12,VLOOKUP($A117,'Pool &amp; SPA Sweep Elbows'!$A$8:$M$11,11,FALSE),
IF($A117&lt;'Pool &amp; SPA Pipe Extender'!$A$11,VLOOKUP($A117,'Pool &amp; SPA Pipe Extender'!$A$8:$M$10,11,FALSE),
IF($A117&lt;'PVC SCH80'!$A$250,VLOOKUP($A117,'PVC SCH80'!$A$8:$M$249,11,FALSE),
IF($A117&lt;'PVC SCH80 Flange'!$A$49,VLOOKUP($A117,'PVC SCH80 Flange'!$A$8:$M$48,11,FALSE),
IF($A117&lt;'PVC SCH80 LD Flange'!$A$17,VLOOKUP($A117,'PVC SCH80 LD Flange'!$A$8:$M$16,11,FALSE),
IF($A117&lt;CPVC!$A$100,VLOOKUP($A117,CPVC!$A$8:$M$99,11,FALSE),
IF($A117&lt;InsertFittings!$A$237,VLOOKUP($A117,InsertFittings!$A$11:$M$236,11,FALSE),
IF($A117&lt;Valves!$A$132,VLOOKUP($A117,Valves!$A$8:$M$131,11,FALSE),
IF($A117&lt;SDR35SW!$A$124,VLOOKUP($A117,SDR35SW!$A$8:$M$123,11,FALSE),
IF($A117&lt;SDR35G!$A$143,VLOOKUP($A117, SDR35G!$A$8:$M$142,11,FALSE),
IF($A117&lt;SDR26G!$A$61,VLOOKUP($A117,SDR26G!$A$8:$N$60,12,FALSE),
IF($A117&lt;Cements!$A$100,VLOOKUP($A117,Cements!$A$8:$Q$99,15,FALSE),
IF($A117&lt;ValveBox!$A$143,VLOOKUP($A117,ValveBox!$A$10:$O$142,13,FALSE),
IF($A117&lt;'ValveBox Components'!$A$165,VLOOKUP($A117,'ValveBox Components'!$A$10:$O$164,13,FALSE),
IF($A117&lt;Drainage!$A$92,VLOOKUP($A117,Drainage!$A$8:$M$91,11,FALSE),
IF($A117&lt;Nipples!$A$82,VLOOKUP($A117,Nipples!$A$9:$Q$81,15,FALSE),
IF($A117&lt;Manifold!$A$33,VLOOKUP($A117,Manifold!$A$9:$M$32,11,FALSE),
IF($A117&lt;FlexibleRepairCouplings!$A$13,VLOOKUP($A117,FlexibleRepairCouplings!$A$10:$M$12,11,FALSE),
IF($A117&lt;DuraFix!$A$15,VLOOKUP($A117,DuraFix!$A$9:$M$14,11,FALSE),
IF($A117&lt;'Compression Fittings'!$A$16,VLOOKUP($A117,'Compression Fittings'!$A$8:$M$15,11,FALSE),
IF($A117&lt;'Hose Fittings'!$A$30,VLOOKUP($A117,'Hose Fittings'!$A$8:$M$29,11,FALSE),
IF($A117&lt;'Swing Joints'!$A$496,VLOOKUP($A117,'Swing Joints'!$A$9:$M$495,11,FALSE),
IF($A117&lt;'Swing Joints Components'!$A$135,VLOOKUP($A117,'Swing Joints Components'!$A$9:$M$134,11,FALSE),
IF($A117&lt;Nonstandard!$A$42,VLOOKUP($A117,Nonstandard!$A$31:$J$41,3,FALSE),"")))))))))))))))))))))))))))),"")</f>
        <v/>
      </c>
      <c r="H117" s="586" t="str">
        <f>IFERROR(IF($A117&lt;'DWV PVC'!$A$285,VLOOKUP($A117,'DWV PVC'!$A$8:$M$284,7,FALSE),
IF($A117&lt;'DWV ABS'!$A$117,VLOOKUP($A117,'DWV ABS'!$A$8:$M$116,7,FALSE),
IF($A117&lt;'PVC SCH40'!$A$376,VLOOKUP($A117,'PVC SCH40'!$A$8:$M$375,7,FALSE),
IF($A117&lt;'PVC SCH40 LD'!$A$22,VLOOKUP($A117,'PVC SCH40 LD'!$A$8:$M$21,7,FALSE),
IF($A117&lt;'Pool &amp; SPA Sweep Elbows'!$A$12,VLOOKUP($A117,'Pool &amp; SPA Sweep Elbows'!$A$8:$M$11,7,FALSE),
IF($A117&lt;'Pool &amp; SPA Pipe Extender'!$A$11,VLOOKUP($A117,'Pool &amp; SPA Pipe Extender'!$A$8:$M$10,7,FALSE),
IF($A117&lt;'PVC SCH80'!$A$250,VLOOKUP($A117,'PVC SCH80'!$A$8:$M$249,7,FALSE),
IF($A117&lt;'PVC SCH80 Flange'!$A$49,VLOOKUP($A117,'PVC SCH80 Flange'!$A$8:$M$48,7,FALSE),
IF($A117&lt;'PVC SCH80 LD Flange'!$A$17,VLOOKUP($A117,'PVC SCH80 LD Flange'!$A$8:$M$16,7,FALSE),
IF($A117&lt;CPVC!$A$100,VLOOKUP($A117,CPVC!$A$8:$M$99,7,FALSE),
IF($A117&lt;InsertFittings!$A$237,VLOOKUP($A117,InsertFittings!$A$11:$M$236,7,FALSE),
IF($A117&lt;Valves!$A$132,VLOOKUP($A117,Valves!$A$8:$M$131,7,FALSE),
IF($A117&lt;SDR35SW!$A$124,VLOOKUP($A117,SDR35SW!$A$8:$M$123,7,FALSE),
IF($A117&lt;SDR35G!$A$143,VLOOKUP($A117, SDR35G!$A$8:$M$142,7,FALSE),
IF($A117&lt;SDR26G!$A$61,VLOOKUP($A117,SDR26G!$A$8:$N$60,10,FALSE),
IF($A117&lt;Cements!$A$100,VLOOKUP($A117,Cements!$A$8:$Q$99,13,FALSE),
IF($A117&lt;ValveBox!$A$143,VLOOKUP($A117,ValveBox!$A$10:$O$142,11,FALSE),
IF($A117&lt;'ValveBox Components'!$A$165,VLOOKUP($A117,'ValveBox Components'!$A$10:$O$164,11,FALSE),
IF($A117&lt;Drainage!$A$92,VLOOKUP($A117,Drainage!$A$8:$M$91,7,FALSE),
IF($A117&lt;Nipples!$A$82,VLOOKUP($A117,Nipples!$A$9:$Q$81,13,FALSE),
IF($A117&lt;Manifold!$A$33,VLOOKUP($A117,Manifold!$A$9:$M$32,7,FALSE),
IF($A117&lt;FlexibleRepairCouplings!$A$13,VLOOKUP($A117,FlexibleRepairCouplings!$A$10:$M$12,7,FALSE),
IF($A117&lt;DuraFix!$A$15,VLOOKUP($A117,DuraFix!$A$9:$M$14,7,FALSE),
IF($A117&lt;'Compression Fittings'!$A$16,VLOOKUP($A117,'Compression Fittings'!$A$8:$M$15,7,FALSE),
IF($A117&lt;'Hose Fittings'!$A$30,VLOOKUP($A117,'Hose Fittings'!$A$8:$M$29,7,FALSE),
IF($A117&lt;'Swing Joints'!$A$496,VLOOKUP($A117,'Swing Joints'!$A$9:$M$495,7,FALSE),
IF($A117&lt;'Swing Joints Components'!$A$135,VLOOKUP($A117,'Swing Joints Components'!$A$9:$M$134,7,FALSE),
IF($A117&lt;Nonstandard!$A$42,VLOOKUP($A117,Nonstandard!$A$31:$J$41,3,FALSE),"")))))))))))))))))))))))))))),"")</f>
        <v/>
      </c>
      <c r="I117" s="587"/>
      <c r="J117" s="383" t="str">
        <f t="shared" si="3"/>
        <v/>
      </c>
      <c r="K117" s="417" t="str">
        <f>IFERROR(IF($A117&lt;'DWV PVC'!$A$285,VLOOKUP($A117,'DWV PVC'!$A$8:$M$284,10,FALSE),
IF($A117&lt;'DWV ABS'!$A$117,VLOOKUP($A117,'DWV ABS'!$A$8:$M$116,10,FALSE),
IF($A117&lt;'PVC SCH40'!$A$376,VLOOKUP($A117,'PVC SCH40'!$A$8:$M$375,10,FALSE),
IF($A117&lt;'PVC SCH40 LD'!$A$22,VLOOKUP($A117,'PVC SCH40 LD'!$A$8:$M$21,10,FALSE),
IF($A117&lt;'Pool &amp; SPA Sweep Elbows'!$A$12,VLOOKUP($A117,'Pool &amp; SPA Sweep Elbows'!$A$8:$M$11,10,FALSE),
IF($A117&lt;'Pool &amp; SPA Pipe Extender'!$A$11,VLOOKUP($A117,'Pool &amp; SPA Pipe Extender'!$A$8:$M$10,10,FALSE),
IF($A117&lt;'PVC SCH80'!$A$250,VLOOKUP($A117,'PVC SCH80'!$A$8:$M$249,10,FALSE),
IF($A117&lt;'PVC SCH80 Flange'!$A$49,VLOOKUP($A117,'PVC SCH80 Flange'!$A$8:$M$48,10,FALSE),
IF($A117&lt;'PVC SCH80 LD Flange'!$A$17,VLOOKUP($A117,'PVC SCH80 LD Flange'!$A$8:$M$16,10,FALSE),
IF($A117&lt;CPVC!$A$100,VLOOKUP($A117,CPVC!$A$8:$M$99,10,FALSE),
IF($A117&lt;InsertFittings!$A$237,VLOOKUP($A117,InsertFittings!$A$11:$M$236,10,FALSE),
IF($A117&lt;Valves!$A$132,VLOOKUP($A117,Valves!$A$8:$M$131,10,FALSE),
IF($A117&lt;SDR35SW!$A$124,VLOOKUP($A117,SDR35SW!$A$8:$M$123,10,FALSE),
IF($A117&lt;SDR35G!$A$143,VLOOKUP($A117, SDR35G!$A$8:$M$142,10,FALSE),
IF($A117&lt;SDR26G!$A$61,VLOOKUP($A117,SDR26G!$A$8:$N$60,11,FALSE),
IF($A117&lt;Cements!$A$100,VLOOKUP($A117,Cements!$A$8:$Q$99,14,FALSE),
IF($A117&lt;ValveBox!$A$143,VLOOKUP($A117,ValveBox!$A$10:$O$142,12,FALSE),
IF($A117&lt;'ValveBox Components'!$A$165,VLOOKUP($A117,'ValveBox Components'!$A$10:$O$164,12,FALSE),
IF($A117&lt;Drainage!$A$92,VLOOKUP($A117,Drainage!$A$8:$M$91,10,FALSE),
IF($A117&lt;Nipples!$A$82,VLOOKUP($A117,Nipples!$A$9:$Q$81,14,FALSE),
IF($A117&lt;Manifold!$A$33,VLOOKUP($A117,Manifold!$A$9:$M$32,10,FALSE),
IF($A117&lt;FlexibleRepairCouplings!$A$13,VLOOKUP($A117,FlexibleRepairCouplings!$A$10:$M$12,10,FALSE),
IF($A117&lt;DuraFix!$A$15,VLOOKUP($A117,DuraFix!$A$9:$M$14,10,FALSE),
IF($A117&lt;'Compression Fittings'!$A$16,VLOOKUP($A117,'Compression Fittings'!$A$8:$M$15,10,FALSE),
IF($A117&lt;'Hose Fittings'!$A$30,VLOOKUP($A117,'Hose Fittings'!$A$8:$M$29,10,FALSE),
IF($A117&lt;'Swing Joints'!$A$496,VLOOKUP($A117,'Swing Joints'!$A$9:$M$495,10,FALSE),
IF($A117&lt;'Swing Joints Components'!$A$135,VLOOKUP($A117,'Swing Joints Components'!$A$9:$M$134,10,FALSE),
IF($A117&lt;Nonstandard!$A$42,VLOOKUP($A117,Nonstandard!$A$31:$J$41,10,FALSE),"")))))))))))))))))))))))))))),"")</f>
        <v/>
      </c>
      <c r="L117" s="418" t="str">
        <f t="shared" si="2"/>
        <v>-</v>
      </c>
      <c r="M117" s="419"/>
    </row>
    <row r="118" spans="1:13" ht="15.75">
      <c r="A118" s="420">
        <v>86</v>
      </c>
      <c r="B118" s="420" t="str">
        <f>IFERROR(IF($A118&lt;'DWV PVC'!$A$285,VLOOKUP($A118,'DWV PVC'!$A$8:$M$284,4,FALSE),
IF($A118&lt;'DWV ABS'!$A$117,VLOOKUP($A118,'DWV ABS'!$A$8:$M$116,4,FALSE),
IF($A118&lt;'PVC SCH40'!$A$376,VLOOKUP($A118,'PVC SCH40'!$A$8:$M$375,4,FALSE),
IF($A118&lt;'PVC SCH40 LD'!$A$22,VLOOKUP($A118,'PVC SCH40 LD'!$A$8:$M$21,4,FALSE),
IF($A118&lt;'Pool &amp; SPA Sweep Elbows'!$A$12,VLOOKUP($A118,'Pool &amp; SPA Sweep Elbows'!$A$8:$M$11,4,FALSE),
IF($A118&lt;'Pool &amp; SPA Pipe Extender'!$A$11,VLOOKUP($A118,'Pool &amp; SPA Pipe Extender'!$A$8:$M$10,4,FALSE),
IF($A118&lt;'PVC SCH80'!$A$250,VLOOKUP($A118,'PVC SCH80'!$A$8:$M$249,4,FALSE),
IF($A118&lt;'PVC SCH80 Flange'!$A$49,VLOOKUP($A118,'PVC SCH80 Flange'!$A$8:$M$48,4,FALSE),
IF($A118&lt;'PVC SCH80 LD Flange'!$A$17,VLOOKUP($A118,'PVC SCH80 LD Flange'!$A$8:$M$16,4,FALSE),
IF($A118&lt;CPVC!$A$100,VLOOKUP($A118,CPVC!$A$8:$M$99,4,FALSE),
IF($A118&lt;InsertFittings!$A$237,VLOOKUP($A118,InsertFittings!$A$11:$M$236,4,FALSE),
IF($A118&lt;Valves!$A$132,VLOOKUP($A118,Valves!$A$8:$M$131,4,FALSE),
IF($A118&lt;SDR35SW!$A$124,VLOOKUP($A118,SDR35SW!$A$8:$M$123,4,FALSE),
IF($A118&lt;SDR35G!$A$143,VLOOKUP($A118, SDR35G!$A$8:$M$142,4,FALSE),
IF($A118&lt;SDR26G!$A$61,VLOOKUP($A118,SDR26G!$A$8:$N$60,4,FALSE),
IF($A118&lt;Cements!$A$100,VLOOKUP($A118,Cements!$A$8:$Q$99,4,FALSE),
IF($A118&lt;ValveBox!$A$143,VLOOKUP($A118,ValveBox!$A$10:$O$142,4,FALSE),
IF($A118&lt;'ValveBox Components'!$A$165,VLOOKUP($A118,'ValveBox Components'!$A$10:$O$164,4,FALSE),
IF($A118&lt;Drainage!$A$92,VLOOKUP($A118,Drainage!$A$8:$M$91,4,FALSE),
IF($A118&lt;Nipples!$A$82,VLOOKUP($A118,Nipples!$A$9:$Q$81,4,FALSE),
IF($A118&lt;Manifold!$A$33,VLOOKUP($A118,Manifold!$A$9:$M$32,4,FALSE),
IF($A118&lt;FlexibleRepairCouplings!$A$13,VLOOKUP($A118,FlexibleRepairCouplings!$A$10:$M$12,4,FALSE),
IF($A118&lt;DuraFix!$A$15,VLOOKUP($A118,DuraFix!$A$9:$M$14,4,FALSE),
IF($A118&lt;'Compression Fittings'!$A$16,VLOOKUP($A118,'Compression Fittings'!$A$8:$M$15,4,FALSE),
IF($A118&lt;'Hose Fittings'!$A$30,VLOOKUP($A118,'Hose Fittings'!$A$8:$M$29,4,FALSE),
IF($A118&lt;'Swing Joints'!$A$496,VLOOKUP($A118,'Swing Joints'!$A$9:$M$495,4,FALSE),
IF($A118&lt;'Swing Joints Components'!$A$135,VLOOKUP($A118,'Swing Joints Components'!$A$9:$M$134,4,FALSE),
IF($A118&lt;Nonstandard!$A$42,VLOOKUP($A118,Nonstandard!$A$31:$J$41,5,FALSE),"")))))))))))))))))))))))))))),"")</f>
        <v/>
      </c>
      <c r="C118" s="420" t="str">
        <f>IFERROR(IF($A118&lt;'DWV PVC'!$A$285,VLOOKUP($A118,'DWV PVC'!$A$8:$M$284,5,FALSE),
IF($A118&lt;'DWV ABS'!$A$117,VLOOKUP($A118,'DWV ABS'!$A$8:$M$116,5,FALSE),
IF($A118&lt;'PVC SCH40'!$A$376,VLOOKUP($A118,'PVC SCH40'!$A$8:$M$375,5,FALSE),
IF($A118&lt;'PVC SCH40 LD'!$A$22,VLOOKUP($A118,'PVC SCH40 LD'!$A$8:$M$21,5,FALSE),
IF($A118&lt;'Pool &amp; SPA Sweep Elbows'!$A$12,VLOOKUP($A118,'Pool &amp; SPA Sweep Elbows'!$A$8:$M$11,5,FALSE),
IF($A118&lt;'Pool &amp; SPA Pipe Extender'!$A$11,VLOOKUP($A118,'Pool &amp; SPA Pipe Extender'!$A$8:$M$10,5,FALSE),
IF($A118&lt;'PVC SCH80'!$A$250,VLOOKUP($A118,'PVC SCH80'!$A$8:$M$249,5,FALSE),
IF($A118&lt;'PVC SCH80 Flange'!$A$49,VLOOKUP($A118,'PVC SCH80 Flange'!$A$8:$M$48,5,FALSE),
IF($A118&lt;'PVC SCH80 LD Flange'!$A$17,VLOOKUP($A118,'PVC SCH80 LD Flange'!$A$8:$M$16,5,FALSE),
IF($A118&lt;CPVC!$A$100,VLOOKUP($A118,CPVC!$A$8:$M$99,5,FALSE),
IF($A118&lt;InsertFittings!$A$237,VLOOKUP($A118,InsertFittings!$A$11:$M$236,5,FALSE),
IF($A118&lt;Valves!$A$132,VLOOKUP($A118,Valves!$A$8:$M$131,5,FALSE),
IF($A118&lt;SDR35SW!$A$124,VLOOKUP($A118,SDR35SW!$A$8:$M$123,5,FALSE),
IF($A118&lt;SDR35G!$A$143,VLOOKUP($A118, SDR35G!$A$8:$M$142,5,FALSE),
IF($A118&lt;SDR26G!$A$61,VLOOKUP($A118,SDR26G!$A$8:$N$60,5,FALSE),
IF($A118&lt;Cements!$A$100,VLOOKUP($A118,Cements!$A$8:$Q$99,5,FALSE),
IF($A118&lt;ValveBox!$A$143,VLOOKUP($A118,ValveBox!$A$10:$O$142,5,FALSE),
IF($A118&lt;'ValveBox Components'!$A$165,VLOOKUP($A118,'ValveBox Components'!$A$10:$O$164,5,FALSE),
IF($A118&lt;Drainage!$A$92,VLOOKUP($A118,Drainage!$A$8:$M$91,5,FALSE),
IF($A118&lt;Nipples!$A$82,VLOOKUP($A118,Nipples!$A$9:$Q$81,5,FALSE),
IF($A118&lt;Manifold!$A$33,VLOOKUP($A118,Manifold!$A$9:$M$32,5,FALSE),
IF($A118&lt;FlexibleRepairCouplings!$A$13,VLOOKUP($A118,FlexibleRepairCouplings!$A$10:$M$12,5,FALSE),
IF($A118&lt;DuraFix!$A$15,VLOOKUP($A118,DuraFix!$A$9:$M$14,5,FALSE),
IF($A118&lt;'Compression Fittings'!$A$16,VLOOKUP($A118,'Compression Fittings'!$A$8:$M$15,5,FALSE),
IF($A118&lt;'Hose Fittings'!$A$30,VLOOKUP($A118,'Hose Fittings'!$A$8:$M$29,5,FALSE),
IF($A118&lt;'Swing Joints'!$A$496,VLOOKUP($A118,'Swing Joints'!$A$9:$M$495,5,FALSE),
IF($A118&lt;'Swing Joints Components'!$A$135,VLOOKUP($A118,'Swing Joints Components'!$A$9:$M$134,5,FALSE),
IF($A118&lt;Nonstandard!$A$42,VLOOKUP($A118,Nonstandard!$A$31:$J$41,6,FALSE),"")))))))))))))))))))))))))))),"")</f>
        <v/>
      </c>
      <c r="D118" s="428" t="str">
        <f>IFERROR(IF($A118&lt;'DWV PVC'!$A$285,VLOOKUP($A118,'DWV PVC'!$A$8:$M$284,6,FALSE),
IF($A118&lt;'DWV ABS'!$A$117,VLOOKUP($A118,'DWV ABS'!$A$8:$M$116,6,FALSE),
IF($A118&lt;'PVC SCH40'!$A$376,VLOOKUP($A118,'PVC SCH40'!$A$8:$M$375,6,FALSE),
IF($A118&lt;'PVC SCH40 LD'!$A$22,VLOOKUP($A118,'PVC SCH40 LD'!$A$8:$M$21,6,FALSE),
IF($A118&lt;'Pool &amp; SPA Sweep Elbows'!$A$12,VLOOKUP($A118,'Pool &amp; SPA Sweep Elbows'!$A$8:$M$11,6,FALSE),
IF($A118&lt;'Pool &amp; SPA Pipe Extender'!$A$11,VLOOKUP($A118,'Pool &amp; SPA Pipe Extender'!$A$8:$M$10,6,FALSE),
IF($A118&lt;'PVC SCH80'!$A$250,VLOOKUP($A118,'PVC SCH80'!$A$8:$M$249,6,FALSE),
IF($A118&lt;'PVC SCH80 Flange'!$A$49,VLOOKUP($A118,'PVC SCH80 Flange'!$A$8:$M$48,6,FALSE),
IF($A118&lt;'PVC SCH80 LD Flange'!$A$17,VLOOKUP($A118,'PVC SCH80 LD Flange'!$A$8:$M$16,6,FALSE),
IF($A118&lt;CPVC!$A$100,VLOOKUP($A118,CPVC!$A$8:$M$99,6,FALSE),
IF($A118&lt;InsertFittings!$A$237,VLOOKUP($A118,InsertFittings!$A$11:$M$236,6,FALSE),
IF($A118&lt;Valves!$A$132,VLOOKUP($A118,Valves!$A$8:$M$131,6,FALSE),
IF($A118&lt;SDR35SW!$A$124,VLOOKUP($A118,SDR35SW!$A$8:$M$123,6,FALSE),
IF($A118&lt;SDR35G!$A$143,VLOOKUP($A118, SDR35G!$A$8:$M$142,6,FALSE),
IF($A118&lt;SDR26G!$A$61,VLOOKUP($A118,SDR26G!$A$8:$N$60,6,FALSE),
IF($A118&lt;Cements!$A$100,VLOOKUP($A118,Cements!$A$8:$Q$99,6,FALSE),
IF($A118&lt;ValveBox!$A$143,VLOOKUP($A118,ValveBox!$A$10:$O$142,6,FALSE),
IF($A118&lt;'ValveBox Components'!$A$165,VLOOKUP($A118,'ValveBox Components'!$A$10:$O$164,6,FALSE),
IF($A118&lt;Drainage!$A$92,VLOOKUP($A118,Drainage!$A$8:$M$91,6,FALSE),
IF($A118&lt;Nipples!$A$82,VLOOKUP($A118,Nipples!$A$9:$Q$81,6,FALSE),
IF($A118&lt;Manifold!$A$33,VLOOKUP($A118,Manifold!$A$9:$M$32,6,FALSE),
IF($A118&lt;FlexibleRepairCouplings!$A$13,VLOOKUP($A118,FlexibleRepairCouplings!$A$10:$M$12,6,FALSE),
IF($A118&lt;DuraFix!$A$15,VLOOKUP($A118,DuraFix!$A$9:$M$14,6,FALSE),
IF($A118&lt;'Compression Fittings'!$A$16,VLOOKUP($A118,'Compression Fittings'!$A$8:$M$15,6,FALSE),
IF($A118&lt;'Hose Fittings'!$A$30,VLOOKUP($A118,'Hose Fittings'!$A$8:$M$29,6,FALSE),
IF($A118&lt;'Swing Joints'!$A$496,VLOOKUP($A118,'Swing Joints'!$A$9:$M$495,6,FALSE),
IF($A118&lt;'Swing Joints Components'!$A$135,VLOOKUP($A118,'Swing Joints Components'!$A$9:$M$134,6,FALSE),
IF($A118&lt;Nonstandard!$A$42,VLOOKUP($A118,Nonstandard!$A$31:$J$41,7,FALSE),"")))))))))))))))))))))))))))),"")</f>
        <v/>
      </c>
      <c r="E118" s="429"/>
      <c r="F118" s="421" t="str">
        <f>IFERROR(IF($A118&lt;'DWV PVC'!$A$285,VLOOKUP($A118,'DWV PVC'!$A$8:$M$284,9,FALSE),
IF($A118&lt;'DWV ABS'!$A$117,VLOOKUP($A118,'DWV ABS'!$A$8:$M$116,9,FALSE),
IF($A118&lt;'PVC SCH40'!$A$376,VLOOKUP($A118,'PVC SCH40'!$A$8:$M$375,9,FALSE),
IF($A118&lt;'PVC SCH40 LD'!$A$22,VLOOKUP($A118,'PVC SCH40 LD'!$A$8:$M$21,9,FALSE),
IF($A118&lt;'Pool &amp; SPA Sweep Elbows'!$A$12,VLOOKUP($A118,'Pool &amp; SPA Sweep Elbows'!$A$8:$M$11,9,FALSE),
IF($A118&lt;'Pool &amp; SPA Pipe Extender'!$A$11,VLOOKUP($A118,'Pool &amp; SPA Pipe Extender'!$A$8:$M$10,9,FALSE),
IF($A118&lt;'PVC SCH80'!$A$250,VLOOKUP($A118,'PVC SCH80'!$A$8:$M$249,9,FALSE),
IF($A118&lt;'PVC SCH80 Flange'!$A$49,VLOOKUP($A118,'PVC SCH80 Flange'!$A$8:$M$48,9,FALSE),
IF($A118&lt;'PVC SCH80 LD Flange'!$A$17,VLOOKUP($A118,'PVC SCH80 LD Flange'!$A$8:$M$16,9,FALSE),
IF($A118&lt;CPVC!$A$100,VLOOKUP($A118,CPVC!$A$8:$M$99,9,FALSE),
IF($A118&lt;InsertFittings!$A$237,VLOOKUP($A118,InsertFittings!$A$11:$M$236,9,FALSE),
IF($A118&lt;Valves!$A$132,VLOOKUP($A118,Valves!$A$8:$M$131,9,FALSE),
IF($A118&lt;SDR35SW!$A$124,VLOOKUP($A118,SDR35SW!$A$8:$M$123,9,FALSE),
IF($A118&lt;SDR35G!$A$143,VLOOKUP($A118, SDR35G!$A$8:$M$142,9,FALSE),
IF($A118&lt;SDR26G!$A$61,VLOOKUP($A118,SDR26G!$A$8:$N$60,10,FALSE),
IF($A118&lt;Cements!$A$100,VLOOKUP($A118,Cements!$A$8:$Q$99,13,FALSE),
IF($A118&lt;ValveBox!$A$143,VLOOKUP($A118,ValveBox!$A$10:$O$142,11,FALSE),
IF($A118&lt;'ValveBox Components'!$A$165,VLOOKUP($A118,'ValveBox Components'!$A$10:$O$164,11,FALSE),
IF($A118&lt;Drainage!$A$92,VLOOKUP($A118,Drainage!$A$8:$M$91,9,FALSE),
IF($A118&lt;Nipples!$A$82,VLOOKUP($A118,Nipples!$A$9:$Q$81,13,FALSE),
IF($A118&lt;Manifold!$A$33,VLOOKUP($A118,Manifold!$A$9:$M$32,9,FALSE),
IF($A118&lt;FlexibleRepairCouplings!$A$13,VLOOKUP($A118,FlexibleRepairCouplings!$A$10:$M$12,9,FALSE),
IF($A118&lt;DuraFix!$A$15,VLOOKUP($A118,DuraFix!$A$9:$M$14,9,FALSE),
IF($A118&lt;'Compression Fittings'!$A$16,VLOOKUP($A118,'Compression Fittings'!$A$8:$M$15,9,FALSE),
IF($A118&lt;'Hose Fittings'!$A$30,VLOOKUP($A118,'Hose Fittings'!$A$8:$M$29,9,FALSE),
IF($A118&lt;'Swing Joints'!$A$496,VLOOKUP($A118,'Swing Joints'!$A$9:$M$495,9,FALSE),
IF($A118&lt;'Swing Joints Components'!$A$135,VLOOKUP($A118,'Swing Joints Components'!$A$9:$M$134,9,FALSE),
IF($A118&lt;Nonstandard!$A$42,VLOOKUP($A118,Nonstandard!$A$31:$J$41,8,FALSE),"")))))))))))))))))))))))))))),"")</f>
        <v/>
      </c>
      <c r="G118" s="422" t="str">
        <f>IFERROR(IF($A118&lt;'DWV PVC'!$A$285,VLOOKUP($A118,'DWV PVC'!$A$8:$M$284,11,FALSE),
IF($A118&lt;'DWV ABS'!$A$117,VLOOKUP($A118,'DWV ABS'!$A$8:$M$116,11,FALSE),
IF($A118&lt;'PVC SCH40'!$A$376,VLOOKUP($A118,'PVC SCH40'!$A$8:$M$375,11,FALSE),
IF($A118&lt;'PVC SCH40 LD'!$A$22,VLOOKUP($A118,'PVC SCH40 LD'!$A$8:$M$21,11,FALSE),
IF($A118&lt;'Pool &amp; SPA Sweep Elbows'!$A$12,VLOOKUP($A118,'Pool &amp; SPA Sweep Elbows'!$A$8:$M$11,11,FALSE),
IF($A118&lt;'Pool &amp; SPA Pipe Extender'!$A$11,VLOOKUP($A118,'Pool &amp; SPA Pipe Extender'!$A$8:$M$10,11,FALSE),
IF($A118&lt;'PVC SCH80'!$A$250,VLOOKUP($A118,'PVC SCH80'!$A$8:$M$249,11,FALSE),
IF($A118&lt;'PVC SCH80 Flange'!$A$49,VLOOKUP($A118,'PVC SCH80 Flange'!$A$8:$M$48,11,FALSE),
IF($A118&lt;'PVC SCH80 LD Flange'!$A$17,VLOOKUP($A118,'PVC SCH80 LD Flange'!$A$8:$M$16,11,FALSE),
IF($A118&lt;CPVC!$A$100,VLOOKUP($A118,CPVC!$A$8:$M$99,11,FALSE),
IF($A118&lt;InsertFittings!$A$237,VLOOKUP($A118,InsertFittings!$A$11:$M$236,11,FALSE),
IF($A118&lt;Valves!$A$132,VLOOKUP($A118,Valves!$A$8:$M$131,11,FALSE),
IF($A118&lt;SDR35SW!$A$124,VLOOKUP($A118,SDR35SW!$A$8:$M$123,11,FALSE),
IF($A118&lt;SDR35G!$A$143,VLOOKUP($A118, SDR35G!$A$8:$M$142,11,FALSE),
IF($A118&lt;SDR26G!$A$61,VLOOKUP($A118,SDR26G!$A$8:$N$60,12,FALSE),
IF($A118&lt;Cements!$A$100,VLOOKUP($A118,Cements!$A$8:$Q$99,15,FALSE),
IF($A118&lt;ValveBox!$A$143,VLOOKUP($A118,ValveBox!$A$10:$O$142,13,FALSE),
IF($A118&lt;'ValveBox Components'!$A$165,VLOOKUP($A118,'ValveBox Components'!$A$10:$O$164,13,FALSE),
IF($A118&lt;Drainage!$A$92,VLOOKUP($A118,Drainage!$A$8:$M$91,11,FALSE),
IF($A118&lt;Nipples!$A$82,VLOOKUP($A118,Nipples!$A$9:$Q$81,15,FALSE),
IF($A118&lt;Manifold!$A$33,VLOOKUP($A118,Manifold!$A$9:$M$32,11,FALSE),
IF($A118&lt;FlexibleRepairCouplings!$A$13,VLOOKUP($A118,FlexibleRepairCouplings!$A$10:$M$12,11,FALSE),
IF($A118&lt;DuraFix!$A$15,VLOOKUP($A118,DuraFix!$A$9:$M$14,11,FALSE),
IF($A118&lt;'Compression Fittings'!$A$16,VLOOKUP($A118,'Compression Fittings'!$A$8:$M$15,11,FALSE),
IF($A118&lt;'Hose Fittings'!$A$30,VLOOKUP($A118,'Hose Fittings'!$A$8:$M$29,11,FALSE),
IF($A118&lt;'Swing Joints'!$A$496,VLOOKUP($A118,'Swing Joints'!$A$9:$M$495,11,FALSE),
IF($A118&lt;'Swing Joints Components'!$A$135,VLOOKUP($A118,'Swing Joints Components'!$A$9:$M$134,11,FALSE),
IF($A118&lt;Nonstandard!$A$42,VLOOKUP($A118,Nonstandard!$A$31:$J$41,3,FALSE),"")))))))))))))))))))))))))))),"")</f>
        <v/>
      </c>
      <c r="H118" s="588" t="str">
        <f>IFERROR(IF($A118&lt;'DWV PVC'!$A$285,VLOOKUP($A118,'DWV PVC'!$A$8:$M$284,7,FALSE),
IF($A118&lt;'DWV ABS'!$A$117,VLOOKUP($A118,'DWV ABS'!$A$8:$M$116,7,FALSE),
IF($A118&lt;'PVC SCH40'!$A$376,VLOOKUP($A118,'PVC SCH40'!$A$8:$M$375,7,FALSE),
IF($A118&lt;'PVC SCH40 LD'!$A$22,VLOOKUP($A118,'PVC SCH40 LD'!$A$8:$M$21,7,FALSE),
IF($A118&lt;'Pool &amp; SPA Sweep Elbows'!$A$12,VLOOKUP($A118,'Pool &amp; SPA Sweep Elbows'!$A$8:$M$11,7,FALSE),
IF($A118&lt;'Pool &amp; SPA Pipe Extender'!$A$11,VLOOKUP($A118,'Pool &amp; SPA Pipe Extender'!$A$8:$M$10,7,FALSE),
IF($A118&lt;'PVC SCH80'!$A$250,VLOOKUP($A118,'PVC SCH80'!$A$8:$M$249,7,FALSE),
IF($A118&lt;'PVC SCH80 Flange'!$A$49,VLOOKUP($A118,'PVC SCH80 Flange'!$A$8:$M$48,7,FALSE),
IF($A118&lt;'PVC SCH80 LD Flange'!$A$17,VLOOKUP($A118,'PVC SCH80 LD Flange'!$A$8:$M$16,7,FALSE),
IF($A118&lt;CPVC!$A$100,VLOOKUP($A118,CPVC!$A$8:$M$99,7,FALSE),
IF($A118&lt;InsertFittings!$A$237,VLOOKUP($A118,InsertFittings!$A$11:$M$236,7,FALSE),
IF($A118&lt;Valves!$A$132,VLOOKUP($A118,Valves!$A$8:$M$131,7,FALSE),
IF($A118&lt;SDR35SW!$A$124,VLOOKUP($A118,SDR35SW!$A$8:$M$123,7,FALSE),
IF($A118&lt;SDR35G!$A$143,VLOOKUP($A118, SDR35G!$A$8:$M$142,7,FALSE),
IF($A118&lt;SDR26G!$A$61,VLOOKUP($A118,SDR26G!$A$8:$N$60,10,FALSE),
IF($A118&lt;Cements!$A$100,VLOOKUP($A118,Cements!$A$8:$Q$99,13,FALSE),
IF($A118&lt;ValveBox!$A$143,VLOOKUP($A118,ValveBox!$A$10:$O$142,11,FALSE),
IF($A118&lt;'ValveBox Components'!$A$165,VLOOKUP($A118,'ValveBox Components'!$A$10:$O$164,11,FALSE),
IF($A118&lt;Drainage!$A$92,VLOOKUP($A118,Drainage!$A$8:$M$91,7,FALSE),
IF($A118&lt;Nipples!$A$82,VLOOKUP($A118,Nipples!$A$9:$Q$81,13,FALSE),
IF($A118&lt;Manifold!$A$33,VLOOKUP($A118,Manifold!$A$9:$M$32,7,FALSE),
IF($A118&lt;FlexibleRepairCouplings!$A$13,VLOOKUP($A118,FlexibleRepairCouplings!$A$10:$M$12,7,FALSE),
IF($A118&lt;DuraFix!$A$15,VLOOKUP($A118,DuraFix!$A$9:$M$14,7,FALSE),
IF($A118&lt;'Compression Fittings'!$A$16,VLOOKUP($A118,'Compression Fittings'!$A$8:$M$15,7,FALSE),
IF($A118&lt;'Hose Fittings'!$A$30,VLOOKUP($A118,'Hose Fittings'!$A$8:$M$29,7,FALSE),
IF($A118&lt;'Swing Joints'!$A$496,VLOOKUP($A118,'Swing Joints'!$A$9:$M$495,7,FALSE),
IF($A118&lt;'Swing Joints Components'!$A$135,VLOOKUP($A118,'Swing Joints Components'!$A$9:$M$134,7,FALSE),
IF($A118&lt;Nonstandard!$A$42,VLOOKUP($A118,Nonstandard!$A$31:$J$41,3,FALSE),"")))))))))))))))))))))))))))),"")</f>
        <v/>
      </c>
      <c r="I118" s="589"/>
      <c r="J118" s="423" t="str">
        <f t="shared" si="3"/>
        <v/>
      </c>
      <c r="K118" s="424" t="str">
        <f>IFERROR(IF($A118&lt;'DWV PVC'!$A$285,VLOOKUP($A118,'DWV PVC'!$A$8:$M$284,10,FALSE),
IF($A118&lt;'DWV ABS'!$A$117,VLOOKUP($A118,'DWV ABS'!$A$8:$M$116,10,FALSE),
IF($A118&lt;'PVC SCH40'!$A$376,VLOOKUP($A118,'PVC SCH40'!$A$8:$M$375,10,FALSE),
IF($A118&lt;'PVC SCH40 LD'!$A$22,VLOOKUP($A118,'PVC SCH40 LD'!$A$8:$M$21,10,FALSE),
IF($A118&lt;'Pool &amp; SPA Sweep Elbows'!$A$12,VLOOKUP($A118,'Pool &amp; SPA Sweep Elbows'!$A$8:$M$11,10,FALSE),
IF($A118&lt;'Pool &amp; SPA Pipe Extender'!$A$11,VLOOKUP($A118,'Pool &amp; SPA Pipe Extender'!$A$8:$M$10,10,FALSE),
IF($A118&lt;'PVC SCH80'!$A$250,VLOOKUP($A118,'PVC SCH80'!$A$8:$M$249,10,FALSE),
IF($A118&lt;'PVC SCH80 Flange'!$A$49,VLOOKUP($A118,'PVC SCH80 Flange'!$A$8:$M$48,10,FALSE),
IF($A118&lt;'PVC SCH80 LD Flange'!$A$17,VLOOKUP($A118,'PVC SCH80 LD Flange'!$A$8:$M$16,10,FALSE),
IF($A118&lt;CPVC!$A$100,VLOOKUP($A118,CPVC!$A$8:$M$99,10,FALSE),
IF($A118&lt;InsertFittings!$A$237,VLOOKUP($A118,InsertFittings!$A$11:$M$236,10,FALSE),
IF($A118&lt;Valves!$A$132,VLOOKUP($A118,Valves!$A$8:$M$131,10,FALSE),
IF($A118&lt;SDR35SW!$A$124,VLOOKUP($A118,SDR35SW!$A$8:$M$123,10,FALSE),
IF($A118&lt;SDR35G!$A$143,VLOOKUP($A118, SDR35G!$A$8:$M$142,10,FALSE),
IF($A118&lt;SDR26G!$A$61,VLOOKUP($A118,SDR26G!$A$8:$N$60,11,FALSE),
IF($A118&lt;Cements!$A$100,VLOOKUP($A118,Cements!$A$8:$Q$99,14,FALSE),
IF($A118&lt;ValveBox!$A$143,VLOOKUP($A118,ValveBox!$A$10:$O$142,12,FALSE),
IF($A118&lt;'ValveBox Components'!$A$165,VLOOKUP($A118,'ValveBox Components'!$A$10:$O$164,12,FALSE),
IF($A118&lt;Drainage!$A$92,VLOOKUP($A118,Drainage!$A$8:$M$91,10,FALSE),
IF($A118&lt;Nipples!$A$82,VLOOKUP($A118,Nipples!$A$9:$Q$81,14,FALSE),
IF($A118&lt;Manifold!$A$33,VLOOKUP($A118,Manifold!$A$9:$M$32,10,FALSE),
IF($A118&lt;FlexibleRepairCouplings!$A$13,VLOOKUP($A118,FlexibleRepairCouplings!$A$10:$M$12,10,FALSE),
IF($A118&lt;DuraFix!$A$15,VLOOKUP($A118,DuraFix!$A$9:$M$14,10,FALSE),
IF($A118&lt;'Compression Fittings'!$A$16,VLOOKUP($A118,'Compression Fittings'!$A$8:$M$15,10,FALSE),
IF($A118&lt;'Hose Fittings'!$A$30,VLOOKUP($A118,'Hose Fittings'!$A$8:$M$29,10,FALSE),
IF($A118&lt;'Swing Joints'!$A$496,VLOOKUP($A118,'Swing Joints'!$A$9:$M$495,10,FALSE),
IF($A118&lt;'Swing Joints Components'!$A$135,VLOOKUP($A118,'Swing Joints Components'!$A$9:$M$134,10,FALSE),
IF($A118&lt;Nonstandard!$A$42,VLOOKUP($A118,Nonstandard!$A$31:$J$41,10,FALSE),"")))))))))))))))))))))))))))),"")</f>
        <v/>
      </c>
      <c r="L118" s="421" t="str">
        <f t="shared" si="2"/>
        <v>-</v>
      </c>
      <c r="M118" s="425"/>
    </row>
    <row r="119" spans="1:13" ht="15.75">
      <c r="A119" s="415">
        <v>87</v>
      </c>
      <c r="B119" s="415" t="str">
        <f>IFERROR(IF($A119&lt;'DWV PVC'!$A$285,VLOOKUP($A119,'DWV PVC'!$A$8:$M$284,4,FALSE),
IF($A119&lt;'DWV ABS'!$A$117,VLOOKUP($A119,'DWV ABS'!$A$8:$M$116,4,FALSE),
IF($A119&lt;'PVC SCH40'!$A$376,VLOOKUP($A119,'PVC SCH40'!$A$8:$M$375,4,FALSE),
IF($A119&lt;'PVC SCH40 LD'!$A$22,VLOOKUP($A119,'PVC SCH40 LD'!$A$8:$M$21,4,FALSE),
IF($A119&lt;'Pool &amp; SPA Sweep Elbows'!$A$12,VLOOKUP($A119,'Pool &amp; SPA Sweep Elbows'!$A$8:$M$11,4,FALSE),
IF($A119&lt;'Pool &amp; SPA Pipe Extender'!$A$11,VLOOKUP($A119,'Pool &amp; SPA Pipe Extender'!$A$8:$M$10,4,FALSE),
IF($A119&lt;'PVC SCH80'!$A$250,VLOOKUP($A119,'PVC SCH80'!$A$8:$M$249,4,FALSE),
IF($A119&lt;'PVC SCH80 Flange'!$A$49,VLOOKUP($A119,'PVC SCH80 Flange'!$A$8:$M$48,4,FALSE),
IF($A119&lt;'PVC SCH80 LD Flange'!$A$17,VLOOKUP($A119,'PVC SCH80 LD Flange'!$A$8:$M$16,4,FALSE),
IF($A119&lt;CPVC!$A$100,VLOOKUP($A119,CPVC!$A$8:$M$99,4,FALSE),
IF($A119&lt;InsertFittings!$A$237,VLOOKUP($A119,InsertFittings!$A$11:$M$236,4,FALSE),
IF($A119&lt;Valves!$A$132,VLOOKUP($A119,Valves!$A$8:$M$131,4,FALSE),
IF($A119&lt;SDR35SW!$A$124,VLOOKUP($A119,SDR35SW!$A$8:$M$123,4,FALSE),
IF($A119&lt;SDR35G!$A$143,VLOOKUP($A119, SDR35G!$A$8:$M$142,4,FALSE),
IF($A119&lt;SDR26G!$A$61,VLOOKUP($A119,SDR26G!$A$8:$N$60,4,FALSE),
IF($A119&lt;Cements!$A$100,VLOOKUP($A119,Cements!$A$8:$Q$99,4,FALSE),
IF($A119&lt;ValveBox!$A$143,VLOOKUP($A119,ValveBox!$A$10:$O$142,4,FALSE),
IF($A119&lt;'ValveBox Components'!$A$165,VLOOKUP($A119,'ValveBox Components'!$A$10:$O$164,4,FALSE),
IF($A119&lt;Drainage!$A$92,VLOOKUP($A119,Drainage!$A$8:$M$91,4,FALSE),
IF($A119&lt;Nipples!$A$82,VLOOKUP($A119,Nipples!$A$9:$Q$81,4,FALSE),
IF($A119&lt;Manifold!$A$33,VLOOKUP($A119,Manifold!$A$9:$M$32,4,FALSE),
IF($A119&lt;FlexibleRepairCouplings!$A$13,VLOOKUP($A119,FlexibleRepairCouplings!$A$10:$M$12,4,FALSE),
IF($A119&lt;DuraFix!$A$15,VLOOKUP($A119,DuraFix!$A$9:$M$14,4,FALSE),
IF($A119&lt;'Compression Fittings'!$A$16,VLOOKUP($A119,'Compression Fittings'!$A$8:$M$15,4,FALSE),
IF($A119&lt;'Hose Fittings'!$A$30,VLOOKUP($A119,'Hose Fittings'!$A$8:$M$29,4,FALSE),
IF($A119&lt;'Swing Joints'!$A$496,VLOOKUP($A119,'Swing Joints'!$A$9:$M$495,4,FALSE),
IF($A119&lt;'Swing Joints Components'!$A$135,VLOOKUP($A119,'Swing Joints Components'!$A$9:$M$134,4,FALSE),
IF($A119&lt;Nonstandard!$A$42,VLOOKUP($A119,Nonstandard!$A$31:$J$41,5,FALSE),"")))))))))))))))))))))))))))),"")</f>
        <v/>
      </c>
      <c r="C119" s="415" t="str">
        <f>IFERROR(IF($A119&lt;'DWV PVC'!$A$285,VLOOKUP($A119,'DWV PVC'!$A$8:$M$284,5,FALSE),
IF($A119&lt;'DWV ABS'!$A$117,VLOOKUP($A119,'DWV ABS'!$A$8:$M$116,5,FALSE),
IF($A119&lt;'PVC SCH40'!$A$376,VLOOKUP($A119,'PVC SCH40'!$A$8:$M$375,5,FALSE),
IF($A119&lt;'PVC SCH40 LD'!$A$22,VLOOKUP($A119,'PVC SCH40 LD'!$A$8:$M$21,5,FALSE),
IF($A119&lt;'Pool &amp; SPA Sweep Elbows'!$A$12,VLOOKUP($A119,'Pool &amp; SPA Sweep Elbows'!$A$8:$M$11,5,FALSE),
IF($A119&lt;'Pool &amp; SPA Pipe Extender'!$A$11,VLOOKUP($A119,'Pool &amp; SPA Pipe Extender'!$A$8:$M$10,5,FALSE),
IF($A119&lt;'PVC SCH80'!$A$250,VLOOKUP($A119,'PVC SCH80'!$A$8:$M$249,5,FALSE),
IF($A119&lt;'PVC SCH80 Flange'!$A$49,VLOOKUP($A119,'PVC SCH80 Flange'!$A$8:$M$48,5,FALSE),
IF($A119&lt;'PVC SCH80 LD Flange'!$A$17,VLOOKUP($A119,'PVC SCH80 LD Flange'!$A$8:$M$16,5,FALSE),
IF($A119&lt;CPVC!$A$100,VLOOKUP($A119,CPVC!$A$8:$M$99,5,FALSE),
IF($A119&lt;InsertFittings!$A$237,VLOOKUP($A119,InsertFittings!$A$11:$M$236,5,FALSE),
IF($A119&lt;Valves!$A$132,VLOOKUP($A119,Valves!$A$8:$M$131,5,FALSE),
IF($A119&lt;SDR35SW!$A$124,VLOOKUP($A119,SDR35SW!$A$8:$M$123,5,FALSE),
IF($A119&lt;SDR35G!$A$143,VLOOKUP($A119, SDR35G!$A$8:$M$142,5,FALSE),
IF($A119&lt;SDR26G!$A$61,VLOOKUP($A119,SDR26G!$A$8:$N$60,5,FALSE),
IF($A119&lt;Cements!$A$100,VLOOKUP($A119,Cements!$A$8:$Q$99,5,FALSE),
IF($A119&lt;ValveBox!$A$143,VLOOKUP($A119,ValveBox!$A$10:$O$142,5,FALSE),
IF($A119&lt;'ValveBox Components'!$A$165,VLOOKUP($A119,'ValveBox Components'!$A$10:$O$164,5,FALSE),
IF($A119&lt;Drainage!$A$92,VLOOKUP($A119,Drainage!$A$8:$M$91,5,FALSE),
IF($A119&lt;Nipples!$A$82,VLOOKUP($A119,Nipples!$A$9:$Q$81,5,FALSE),
IF($A119&lt;Manifold!$A$33,VLOOKUP($A119,Manifold!$A$9:$M$32,5,FALSE),
IF($A119&lt;FlexibleRepairCouplings!$A$13,VLOOKUP($A119,FlexibleRepairCouplings!$A$10:$M$12,5,FALSE),
IF($A119&lt;DuraFix!$A$15,VLOOKUP($A119,DuraFix!$A$9:$M$14,5,FALSE),
IF($A119&lt;'Compression Fittings'!$A$16,VLOOKUP($A119,'Compression Fittings'!$A$8:$M$15,5,FALSE),
IF($A119&lt;'Hose Fittings'!$A$30,VLOOKUP($A119,'Hose Fittings'!$A$8:$M$29,5,FALSE),
IF($A119&lt;'Swing Joints'!$A$496,VLOOKUP($A119,'Swing Joints'!$A$9:$M$495,5,FALSE),
IF($A119&lt;'Swing Joints Components'!$A$135,VLOOKUP($A119,'Swing Joints Components'!$A$9:$M$134,5,FALSE),
IF($A119&lt;Nonstandard!$A$42,VLOOKUP($A119,Nonstandard!$A$31:$J$41,6,FALSE),"")))))))))))))))))))))))))))),"")</f>
        <v/>
      </c>
      <c r="D119" s="426" t="str">
        <f>IFERROR(IF($A119&lt;'DWV PVC'!$A$285,VLOOKUP($A119,'DWV PVC'!$A$8:$M$284,6,FALSE),
IF($A119&lt;'DWV ABS'!$A$117,VLOOKUP($A119,'DWV ABS'!$A$8:$M$116,6,FALSE),
IF($A119&lt;'PVC SCH40'!$A$376,VLOOKUP($A119,'PVC SCH40'!$A$8:$M$375,6,FALSE),
IF($A119&lt;'PVC SCH40 LD'!$A$22,VLOOKUP($A119,'PVC SCH40 LD'!$A$8:$M$21,6,FALSE),
IF($A119&lt;'Pool &amp; SPA Sweep Elbows'!$A$12,VLOOKUP($A119,'Pool &amp; SPA Sweep Elbows'!$A$8:$M$11,6,FALSE),
IF($A119&lt;'Pool &amp; SPA Pipe Extender'!$A$11,VLOOKUP($A119,'Pool &amp; SPA Pipe Extender'!$A$8:$M$10,6,FALSE),
IF($A119&lt;'PVC SCH80'!$A$250,VLOOKUP($A119,'PVC SCH80'!$A$8:$M$249,6,FALSE),
IF($A119&lt;'PVC SCH80 Flange'!$A$49,VLOOKUP($A119,'PVC SCH80 Flange'!$A$8:$M$48,6,FALSE),
IF($A119&lt;'PVC SCH80 LD Flange'!$A$17,VLOOKUP($A119,'PVC SCH80 LD Flange'!$A$8:$M$16,6,FALSE),
IF($A119&lt;CPVC!$A$100,VLOOKUP($A119,CPVC!$A$8:$M$99,6,FALSE),
IF($A119&lt;InsertFittings!$A$237,VLOOKUP($A119,InsertFittings!$A$11:$M$236,6,FALSE),
IF($A119&lt;Valves!$A$132,VLOOKUP($A119,Valves!$A$8:$M$131,6,FALSE),
IF($A119&lt;SDR35SW!$A$124,VLOOKUP($A119,SDR35SW!$A$8:$M$123,6,FALSE),
IF($A119&lt;SDR35G!$A$143,VLOOKUP($A119, SDR35G!$A$8:$M$142,6,FALSE),
IF($A119&lt;SDR26G!$A$61,VLOOKUP($A119,SDR26G!$A$8:$N$60,6,FALSE),
IF($A119&lt;Cements!$A$100,VLOOKUP($A119,Cements!$A$8:$Q$99,6,FALSE),
IF($A119&lt;ValveBox!$A$143,VLOOKUP($A119,ValveBox!$A$10:$O$142,6,FALSE),
IF($A119&lt;'ValveBox Components'!$A$165,VLOOKUP($A119,'ValveBox Components'!$A$10:$O$164,6,FALSE),
IF($A119&lt;Drainage!$A$92,VLOOKUP($A119,Drainage!$A$8:$M$91,6,FALSE),
IF($A119&lt;Nipples!$A$82,VLOOKUP($A119,Nipples!$A$9:$Q$81,6,FALSE),
IF($A119&lt;Manifold!$A$33,VLOOKUP($A119,Manifold!$A$9:$M$32,6,FALSE),
IF($A119&lt;FlexibleRepairCouplings!$A$13,VLOOKUP($A119,FlexibleRepairCouplings!$A$10:$M$12,6,FALSE),
IF($A119&lt;DuraFix!$A$15,VLOOKUP($A119,DuraFix!$A$9:$M$14,6,FALSE),
IF($A119&lt;'Compression Fittings'!$A$16,VLOOKUP($A119,'Compression Fittings'!$A$8:$M$15,6,FALSE),
IF($A119&lt;'Hose Fittings'!$A$30,VLOOKUP($A119,'Hose Fittings'!$A$8:$M$29,6,FALSE),
IF($A119&lt;'Swing Joints'!$A$496,VLOOKUP($A119,'Swing Joints'!$A$9:$M$495,6,FALSE),
IF($A119&lt;'Swing Joints Components'!$A$135,VLOOKUP($A119,'Swing Joints Components'!$A$9:$M$134,6,FALSE),
IF($A119&lt;Nonstandard!$A$42,VLOOKUP($A119,Nonstandard!$A$31:$J$41,7,FALSE),"")))))))))))))))))))))))))))),"")</f>
        <v/>
      </c>
      <c r="E119" s="427"/>
      <c r="F119" s="418" t="str">
        <f>IFERROR(IF($A119&lt;'DWV PVC'!$A$285,VLOOKUP($A119,'DWV PVC'!$A$8:$M$284,9,FALSE),
IF($A119&lt;'DWV ABS'!$A$117,VLOOKUP($A119,'DWV ABS'!$A$8:$M$116,9,FALSE),
IF($A119&lt;'PVC SCH40'!$A$376,VLOOKUP($A119,'PVC SCH40'!$A$8:$M$375,9,FALSE),
IF($A119&lt;'PVC SCH40 LD'!$A$22,VLOOKUP($A119,'PVC SCH40 LD'!$A$8:$M$21,9,FALSE),
IF($A119&lt;'Pool &amp; SPA Sweep Elbows'!$A$12,VLOOKUP($A119,'Pool &amp; SPA Sweep Elbows'!$A$8:$M$11,9,FALSE),
IF($A119&lt;'Pool &amp; SPA Pipe Extender'!$A$11,VLOOKUP($A119,'Pool &amp; SPA Pipe Extender'!$A$8:$M$10,9,FALSE),
IF($A119&lt;'PVC SCH80'!$A$250,VLOOKUP($A119,'PVC SCH80'!$A$8:$M$249,9,FALSE),
IF($A119&lt;'PVC SCH80 Flange'!$A$49,VLOOKUP($A119,'PVC SCH80 Flange'!$A$8:$M$48,9,FALSE),
IF($A119&lt;'PVC SCH80 LD Flange'!$A$17,VLOOKUP($A119,'PVC SCH80 LD Flange'!$A$8:$M$16,9,FALSE),
IF($A119&lt;CPVC!$A$100,VLOOKUP($A119,CPVC!$A$8:$M$99,9,FALSE),
IF($A119&lt;InsertFittings!$A$237,VLOOKUP($A119,InsertFittings!$A$11:$M$236,9,FALSE),
IF($A119&lt;Valves!$A$132,VLOOKUP($A119,Valves!$A$8:$M$131,9,FALSE),
IF($A119&lt;SDR35SW!$A$124,VLOOKUP($A119,SDR35SW!$A$8:$M$123,9,FALSE),
IF($A119&lt;SDR35G!$A$143,VLOOKUP($A119, SDR35G!$A$8:$M$142,9,FALSE),
IF($A119&lt;SDR26G!$A$61,VLOOKUP($A119,SDR26G!$A$8:$N$60,10,FALSE),
IF($A119&lt;Cements!$A$100,VLOOKUP($A119,Cements!$A$8:$Q$99,13,FALSE),
IF($A119&lt;ValveBox!$A$143,VLOOKUP($A119,ValveBox!$A$10:$O$142,11,FALSE),
IF($A119&lt;'ValveBox Components'!$A$165,VLOOKUP($A119,'ValveBox Components'!$A$10:$O$164,11,FALSE),
IF($A119&lt;Drainage!$A$92,VLOOKUP($A119,Drainage!$A$8:$M$91,9,FALSE),
IF($A119&lt;Nipples!$A$82,VLOOKUP($A119,Nipples!$A$9:$Q$81,13,FALSE),
IF($A119&lt;Manifold!$A$33,VLOOKUP($A119,Manifold!$A$9:$M$32,9,FALSE),
IF($A119&lt;FlexibleRepairCouplings!$A$13,VLOOKUP($A119,FlexibleRepairCouplings!$A$10:$M$12,9,FALSE),
IF($A119&lt;DuraFix!$A$15,VLOOKUP($A119,DuraFix!$A$9:$M$14,9,FALSE),
IF($A119&lt;'Compression Fittings'!$A$16,VLOOKUP($A119,'Compression Fittings'!$A$8:$M$15,9,FALSE),
IF($A119&lt;'Hose Fittings'!$A$30,VLOOKUP($A119,'Hose Fittings'!$A$8:$M$29,9,FALSE),
IF($A119&lt;'Swing Joints'!$A$496,VLOOKUP($A119,'Swing Joints'!$A$9:$M$495,9,FALSE),
IF($A119&lt;'Swing Joints Components'!$A$135,VLOOKUP($A119,'Swing Joints Components'!$A$9:$M$134,9,FALSE),
IF($A119&lt;Nonstandard!$A$42,VLOOKUP($A119,Nonstandard!$A$31:$J$41,8,FALSE),"")))))))))))))))))))))))))))),"")</f>
        <v/>
      </c>
      <c r="G119" s="416" t="str">
        <f>IFERROR(IF($A119&lt;'DWV PVC'!$A$285,VLOOKUP($A119,'DWV PVC'!$A$8:$M$284,11,FALSE),
IF($A119&lt;'DWV ABS'!$A$117,VLOOKUP($A119,'DWV ABS'!$A$8:$M$116,11,FALSE),
IF($A119&lt;'PVC SCH40'!$A$376,VLOOKUP($A119,'PVC SCH40'!$A$8:$M$375,11,FALSE),
IF($A119&lt;'PVC SCH40 LD'!$A$22,VLOOKUP($A119,'PVC SCH40 LD'!$A$8:$M$21,11,FALSE),
IF($A119&lt;'Pool &amp; SPA Sweep Elbows'!$A$12,VLOOKUP($A119,'Pool &amp; SPA Sweep Elbows'!$A$8:$M$11,11,FALSE),
IF($A119&lt;'Pool &amp; SPA Pipe Extender'!$A$11,VLOOKUP($A119,'Pool &amp; SPA Pipe Extender'!$A$8:$M$10,11,FALSE),
IF($A119&lt;'PVC SCH80'!$A$250,VLOOKUP($A119,'PVC SCH80'!$A$8:$M$249,11,FALSE),
IF($A119&lt;'PVC SCH80 Flange'!$A$49,VLOOKUP($A119,'PVC SCH80 Flange'!$A$8:$M$48,11,FALSE),
IF($A119&lt;'PVC SCH80 LD Flange'!$A$17,VLOOKUP($A119,'PVC SCH80 LD Flange'!$A$8:$M$16,11,FALSE),
IF($A119&lt;CPVC!$A$100,VLOOKUP($A119,CPVC!$A$8:$M$99,11,FALSE),
IF($A119&lt;InsertFittings!$A$237,VLOOKUP($A119,InsertFittings!$A$11:$M$236,11,FALSE),
IF($A119&lt;Valves!$A$132,VLOOKUP($A119,Valves!$A$8:$M$131,11,FALSE),
IF($A119&lt;SDR35SW!$A$124,VLOOKUP($A119,SDR35SW!$A$8:$M$123,11,FALSE),
IF($A119&lt;SDR35G!$A$143,VLOOKUP($A119, SDR35G!$A$8:$M$142,11,FALSE),
IF($A119&lt;SDR26G!$A$61,VLOOKUP($A119,SDR26G!$A$8:$N$60,12,FALSE),
IF($A119&lt;Cements!$A$100,VLOOKUP($A119,Cements!$A$8:$Q$99,15,FALSE),
IF($A119&lt;ValveBox!$A$143,VLOOKUP($A119,ValveBox!$A$10:$O$142,13,FALSE),
IF($A119&lt;'ValveBox Components'!$A$165,VLOOKUP($A119,'ValveBox Components'!$A$10:$O$164,13,FALSE),
IF($A119&lt;Drainage!$A$92,VLOOKUP($A119,Drainage!$A$8:$M$91,11,FALSE),
IF($A119&lt;Nipples!$A$82,VLOOKUP($A119,Nipples!$A$9:$Q$81,15,FALSE),
IF($A119&lt;Manifold!$A$33,VLOOKUP($A119,Manifold!$A$9:$M$32,11,FALSE),
IF($A119&lt;FlexibleRepairCouplings!$A$13,VLOOKUP($A119,FlexibleRepairCouplings!$A$10:$M$12,11,FALSE),
IF($A119&lt;DuraFix!$A$15,VLOOKUP($A119,DuraFix!$A$9:$M$14,11,FALSE),
IF($A119&lt;'Compression Fittings'!$A$16,VLOOKUP($A119,'Compression Fittings'!$A$8:$M$15,11,FALSE),
IF($A119&lt;'Hose Fittings'!$A$30,VLOOKUP($A119,'Hose Fittings'!$A$8:$M$29,11,FALSE),
IF($A119&lt;'Swing Joints'!$A$496,VLOOKUP($A119,'Swing Joints'!$A$9:$M$495,11,FALSE),
IF($A119&lt;'Swing Joints Components'!$A$135,VLOOKUP($A119,'Swing Joints Components'!$A$9:$M$134,11,FALSE),
IF($A119&lt;Nonstandard!$A$42,VLOOKUP($A119,Nonstandard!$A$31:$J$41,3,FALSE),"")))))))))))))))))))))))))))),"")</f>
        <v/>
      </c>
      <c r="H119" s="586" t="str">
        <f>IFERROR(IF($A119&lt;'DWV PVC'!$A$285,VLOOKUP($A119,'DWV PVC'!$A$8:$M$284,7,FALSE),
IF($A119&lt;'DWV ABS'!$A$117,VLOOKUP($A119,'DWV ABS'!$A$8:$M$116,7,FALSE),
IF($A119&lt;'PVC SCH40'!$A$376,VLOOKUP($A119,'PVC SCH40'!$A$8:$M$375,7,FALSE),
IF($A119&lt;'PVC SCH40 LD'!$A$22,VLOOKUP($A119,'PVC SCH40 LD'!$A$8:$M$21,7,FALSE),
IF($A119&lt;'Pool &amp; SPA Sweep Elbows'!$A$12,VLOOKUP($A119,'Pool &amp; SPA Sweep Elbows'!$A$8:$M$11,7,FALSE),
IF($A119&lt;'Pool &amp; SPA Pipe Extender'!$A$11,VLOOKUP($A119,'Pool &amp; SPA Pipe Extender'!$A$8:$M$10,7,FALSE),
IF($A119&lt;'PVC SCH80'!$A$250,VLOOKUP($A119,'PVC SCH80'!$A$8:$M$249,7,FALSE),
IF($A119&lt;'PVC SCH80 Flange'!$A$49,VLOOKUP($A119,'PVC SCH80 Flange'!$A$8:$M$48,7,FALSE),
IF($A119&lt;'PVC SCH80 LD Flange'!$A$17,VLOOKUP($A119,'PVC SCH80 LD Flange'!$A$8:$M$16,7,FALSE),
IF($A119&lt;CPVC!$A$100,VLOOKUP($A119,CPVC!$A$8:$M$99,7,FALSE),
IF($A119&lt;InsertFittings!$A$237,VLOOKUP($A119,InsertFittings!$A$11:$M$236,7,FALSE),
IF($A119&lt;Valves!$A$132,VLOOKUP($A119,Valves!$A$8:$M$131,7,FALSE),
IF($A119&lt;SDR35SW!$A$124,VLOOKUP($A119,SDR35SW!$A$8:$M$123,7,FALSE),
IF($A119&lt;SDR35G!$A$143,VLOOKUP($A119, SDR35G!$A$8:$M$142,7,FALSE),
IF($A119&lt;SDR26G!$A$61,VLOOKUP($A119,SDR26G!$A$8:$N$60,10,FALSE),
IF($A119&lt;Cements!$A$100,VLOOKUP($A119,Cements!$A$8:$Q$99,13,FALSE),
IF($A119&lt;ValveBox!$A$143,VLOOKUP($A119,ValveBox!$A$10:$O$142,11,FALSE),
IF($A119&lt;'ValveBox Components'!$A$165,VLOOKUP($A119,'ValveBox Components'!$A$10:$O$164,11,FALSE),
IF($A119&lt;Drainage!$A$92,VLOOKUP($A119,Drainage!$A$8:$M$91,7,FALSE),
IF($A119&lt;Nipples!$A$82,VLOOKUP($A119,Nipples!$A$9:$Q$81,13,FALSE),
IF($A119&lt;Manifold!$A$33,VLOOKUP($A119,Manifold!$A$9:$M$32,7,FALSE),
IF($A119&lt;FlexibleRepairCouplings!$A$13,VLOOKUP($A119,FlexibleRepairCouplings!$A$10:$M$12,7,FALSE),
IF($A119&lt;DuraFix!$A$15,VLOOKUP($A119,DuraFix!$A$9:$M$14,7,FALSE),
IF($A119&lt;'Compression Fittings'!$A$16,VLOOKUP($A119,'Compression Fittings'!$A$8:$M$15,7,FALSE),
IF($A119&lt;'Hose Fittings'!$A$30,VLOOKUP($A119,'Hose Fittings'!$A$8:$M$29,7,FALSE),
IF($A119&lt;'Swing Joints'!$A$496,VLOOKUP($A119,'Swing Joints'!$A$9:$M$495,7,FALSE),
IF($A119&lt;'Swing Joints Components'!$A$135,VLOOKUP($A119,'Swing Joints Components'!$A$9:$M$134,7,FALSE),
IF($A119&lt;Nonstandard!$A$42,VLOOKUP($A119,Nonstandard!$A$31:$J$41,3,FALSE),"")))))))))))))))))))))))))))),"")</f>
        <v/>
      </c>
      <c r="I119" s="587"/>
      <c r="J119" s="383" t="str">
        <f t="shared" si="3"/>
        <v/>
      </c>
      <c r="K119" s="417" t="str">
        <f>IFERROR(IF($A119&lt;'DWV PVC'!$A$285,VLOOKUP($A119,'DWV PVC'!$A$8:$M$284,10,FALSE),
IF($A119&lt;'DWV ABS'!$A$117,VLOOKUP($A119,'DWV ABS'!$A$8:$M$116,10,FALSE),
IF($A119&lt;'PVC SCH40'!$A$376,VLOOKUP($A119,'PVC SCH40'!$A$8:$M$375,10,FALSE),
IF($A119&lt;'PVC SCH40 LD'!$A$22,VLOOKUP($A119,'PVC SCH40 LD'!$A$8:$M$21,10,FALSE),
IF($A119&lt;'Pool &amp; SPA Sweep Elbows'!$A$12,VLOOKUP($A119,'Pool &amp; SPA Sweep Elbows'!$A$8:$M$11,10,FALSE),
IF($A119&lt;'Pool &amp; SPA Pipe Extender'!$A$11,VLOOKUP($A119,'Pool &amp; SPA Pipe Extender'!$A$8:$M$10,10,FALSE),
IF($A119&lt;'PVC SCH80'!$A$250,VLOOKUP($A119,'PVC SCH80'!$A$8:$M$249,10,FALSE),
IF($A119&lt;'PVC SCH80 Flange'!$A$49,VLOOKUP($A119,'PVC SCH80 Flange'!$A$8:$M$48,10,FALSE),
IF($A119&lt;'PVC SCH80 LD Flange'!$A$17,VLOOKUP($A119,'PVC SCH80 LD Flange'!$A$8:$M$16,10,FALSE),
IF($A119&lt;CPVC!$A$100,VLOOKUP($A119,CPVC!$A$8:$M$99,10,FALSE),
IF($A119&lt;InsertFittings!$A$237,VLOOKUP($A119,InsertFittings!$A$11:$M$236,10,FALSE),
IF($A119&lt;Valves!$A$132,VLOOKUP($A119,Valves!$A$8:$M$131,10,FALSE),
IF($A119&lt;SDR35SW!$A$124,VLOOKUP($A119,SDR35SW!$A$8:$M$123,10,FALSE),
IF($A119&lt;SDR35G!$A$143,VLOOKUP($A119, SDR35G!$A$8:$M$142,10,FALSE),
IF($A119&lt;SDR26G!$A$61,VLOOKUP($A119,SDR26G!$A$8:$N$60,11,FALSE),
IF($A119&lt;Cements!$A$100,VLOOKUP($A119,Cements!$A$8:$Q$99,14,FALSE),
IF($A119&lt;ValveBox!$A$143,VLOOKUP($A119,ValveBox!$A$10:$O$142,12,FALSE),
IF($A119&lt;'ValveBox Components'!$A$165,VLOOKUP($A119,'ValveBox Components'!$A$10:$O$164,12,FALSE),
IF($A119&lt;Drainage!$A$92,VLOOKUP($A119,Drainage!$A$8:$M$91,10,FALSE),
IF($A119&lt;Nipples!$A$82,VLOOKUP($A119,Nipples!$A$9:$Q$81,14,FALSE),
IF($A119&lt;Manifold!$A$33,VLOOKUP($A119,Manifold!$A$9:$M$32,10,FALSE),
IF($A119&lt;FlexibleRepairCouplings!$A$13,VLOOKUP($A119,FlexibleRepairCouplings!$A$10:$M$12,10,FALSE),
IF($A119&lt;DuraFix!$A$15,VLOOKUP($A119,DuraFix!$A$9:$M$14,10,FALSE),
IF($A119&lt;'Compression Fittings'!$A$16,VLOOKUP($A119,'Compression Fittings'!$A$8:$M$15,10,FALSE),
IF($A119&lt;'Hose Fittings'!$A$30,VLOOKUP($A119,'Hose Fittings'!$A$8:$M$29,10,FALSE),
IF($A119&lt;'Swing Joints'!$A$496,VLOOKUP($A119,'Swing Joints'!$A$9:$M$495,10,FALSE),
IF($A119&lt;'Swing Joints Components'!$A$135,VLOOKUP($A119,'Swing Joints Components'!$A$9:$M$134,10,FALSE),
IF($A119&lt;Nonstandard!$A$42,VLOOKUP($A119,Nonstandard!$A$31:$J$41,10,FALSE),"")))))))))))))))))))))))))))),"")</f>
        <v/>
      </c>
      <c r="L119" s="418" t="str">
        <f t="shared" si="2"/>
        <v>-</v>
      </c>
      <c r="M119" s="419"/>
    </row>
    <row r="120" spans="1:13" ht="15.75">
      <c r="A120" s="420">
        <v>88</v>
      </c>
      <c r="B120" s="420" t="str">
        <f>IFERROR(IF($A120&lt;'DWV PVC'!$A$285,VLOOKUP($A120,'DWV PVC'!$A$8:$M$284,4,FALSE),
IF($A120&lt;'DWV ABS'!$A$117,VLOOKUP($A120,'DWV ABS'!$A$8:$M$116,4,FALSE),
IF($A120&lt;'PVC SCH40'!$A$376,VLOOKUP($A120,'PVC SCH40'!$A$8:$M$375,4,FALSE),
IF($A120&lt;'PVC SCH40 LD'!$A$22,VLOOKUP($A120,'PVC SCH40 LD'!$A$8:$M$21,4,FALSE),
IF($A120&lt;'Pool &amp; SPA Sweep Elbows'!$A$12,VLOOKUP($A120,'Pool &amp; SPA Sweep Elbows'!$A$8:$M$11,4,FALSE),
IF($A120&lt;'Pool &amp; SPA Pipe Extender'!$A$11,VLOOKUP($A120,'Pool &amp; SPA Pipe Extender'!$A$8:$M$10,4,FALSE),
IF($A120&lt;'PVC SCH80'!$A$250,VLOOKUP($A120,'PVC SCH80'!$A$8:$M$249,4,FALSE),
IF($A120&lt;'PVC SCH80 Flange'!$A$49,VLOOKUP($A120,'PVC SCH80 Flange'!$A$8:$M$48,4,FALSE),
IF($A120&lt;'PVC SCH80 LD Flange'!$A$17,VLOOKUP($A120,'PVC SCH80 LD Flange'!$A$8:$M$16,4,FALSE),
IF($A120&lt;CPVC!$A$100,VLOOKUP($A120,CPVC!$A$8:$M$99,4,FALSE),
IF($A120&lt;InsertFittings!$A$237,VLOOKUP($A120,InsertFittings!$A$11:$M$236,4,FALSE),
IF($A120&lt;Valves!$A$132,VLOOKUP($A120,Valves!$A$8:$M$131,4,FALSE),
IF($A120&lt;SDR35SW!$A$124,VLOOKUP($A120,SDR35SW!$A$8:$M$123,4,FALSE),
IF($A120&lt;SDR35G!$A$143,VLOOKUP($A120, SDR35G!$A$8:$M$142,4,FALSE),
IF($A120&lt;SDR26G!$A$61,VLOOKUP($A120,SDR26G!$A$8:$N$60,4,FALSE),
IF($A120&lt;Cements!$A$100,VLOOKUP($A120,Cements!$A$8:$Q$99,4,FALSE),
IF($A120&lt;ValveBox!$A$143,VLOOKUP($A120,ValveBox!$A$10:$O$142,4,FALSE),
IF($A120&lt;'ValveBox Components'!$A$165,VLOOKUP($A120,'ValveBox Components'!$A$10:$O$164,4,FALSE),
IF($A120&lt;Drainage!$A$92,VLOOKUP($A120,Drainage!$A$8:$M$91,4,FALSE),
IF($A120&lt;Nipples!$A$82,VLOOKUP($A120,Nipples!$A$9:$Q$81,4,FALSE),
IF($A120&lt;Manifold!$A$33,VLOOKUP($A120,Manifold!$A$9:$M$32,4,FALSE),
IF($A120&lt;FlexibleRepairCouplings!$A$13,VLOOKUP($A120,FlexibleRepairCouplings!$A$10:$M$12,4,FALSE),
IF($A120&lt;DuraFix!$A$15,VLOOKUP($A120,DuraFix!$A$9:$M$14,4,FALSE),
IF($A120&lt;'Compression Fittings'!$A$16,VLOOKUP($A120,'Compression Fittings'!$A$8:$M$15,4,FALSE),
IF($A120&lt;'Hose Fittings'!$A$30,VLOOKUP($A120,'Hose Fittings'!$A$8:$M$29,4,FALSE),
IF($A120&lt;'Swing Joints'!$A$496,VLOOKUP($A120,'Swing Joints'!$A$9:$M$495,4,FALSE),
IF($A120&lt;'Swing Joints Components'!$A$135,VLOOKUP($A120,'Swing Joints Components'!$A$9:$M$134,4,FALSE),
IF($A120&lt;Nonstandard!$A$42,VLOOKUP($A120,Nonstandard!$A$31:$J$41,5,FALSE),"")))))))))))))))))))))))))))),"")</f>
        <v/>
      </c>
      <c r="C120" s="420" t="str">
        <f>IFERROR(IF($A120&lt;'DWV PVC'!$A$285,VLOOKUP($A120,'DWV PVC'!$A$8:$M$284,5,FALSE),
IF($A120&lt;'DWV ABS'!$A$117,VLOOKUP($A120,'DWV ABS'!$A$8:$M$116,5,FALSE),
IF($A120&lt;'PVC SCH40'!$A$376,VLOOKUP($A120,'PVC SCH40'!$A$8:$M$375,5,FALSE),
IF($A120&lt;'PVC SCH40 LD'!$A$22,VLOOKUP($A120,'PVC SCH40 LD'!$A$8:$M$21,5,FALSE),
IF($A120&lt;'Pool &amp; SPA Sweep Elbows'!$A$12,VLOOKUP($A120,'Pool &amp; SPA Sweep Elbows'!$A$8:$M$11,5,FALSE),
IF($A120&lt;'Pool &amp; SPA Pipe Extender'!$A$11,VLOOKUP($A120,'Pool &amp; SPA Pipe Extender'!$A$8:$M$10,5,FALSE),
IF($A120&lt;'PVC SCH80'!$A$250,VLOOKUP($A120,'PVC SCH80'!$A$8:$M$249,5,FALSE),
IF($A120&lt;'PVC SCH80 Flange'!$A$49,VLOOKUP($A120,'PVC SCH80 Flange'!$A$8:$M$48,5,FALSE),
IF($A120&lt;'PVC SCH80 LD Flange'!$A$17,VLOOKUP($A120,'PVC SCH80 LD Flange'!$A$8:$M$16,5,FALSE),
IF($A120&lt;CPVC!$A$100,VLOOKUP($A120,CPVC!$A$8:$M$99,5,FALSE),
IF($A120&lt;InsertFittings!$A$237,VLOOKUP($A120,InsertFittings!$A$11:$M$236,5,FALSE),
IF($A120&lt;Valves!$A$132,VLOOKUP($A120,Valves!$A$8:$M$131,5,FALSE),
IF($A120&lt;SDR35SW!$A$124,VLOOKUP($A120,SDR35SW!$A$8:$M$123,5,FALSE),
IF($A120&lt;SDR35G!$A$143,VLOOKUP($A120, SDR35G!$A$8:$M$142,5,FALSE),
IF($A120&lt;SDR26G!$A$61,VLOOKUP($A120,SDR26G!$A$8:$N$60,5,FALSE),
IF($A120&lt;Cements!$A$100,VLOOKUP($A120,Cements!$A$8:$Q$99,5,FALSE),
IF($A120&lt;ValveBox!$A$143,VLOOKUP($A120,ValveBox!$A$10:$O$142,5,FALSE),
IF($A120&lt;'ValveBox Components'!$A$165,VLOOKUP($A120,'ValveBox Components'!$A$10:$O$164,5,FALSE),
IF($A120&lt;Drainage!$A$92,VLOOKUP($A120,Drainage!$A$8:$M$91,5,FALSE),
IF($A120&lt;Nipples!$A$82,VLOOKUP($A120,Nipples!$A$9:$Q$81,5,FALSE),
IF($A120&lt;Manifold!$A$33,VLOOKUP($A120,Manifold!$A$9:$M$32,5,FALSE),
IF($A120&lt;FlexibleRepairCouplings!$A$13,VLOOKUP($A120,FlexibleRepairCouplings!$A$10:$M$12,5,FALSE),
IF($A120&lt;DuraFix!$A$15,VLOOKUP($A120,DuraFix!$A$9:$M$14,5,FALSE),
IF($A120&lt;'Compression Fittings'!$A$16,VLOOKUP($A120,'Compression Fittings'!$A$8:$M$15,5,FALSE),
IF($A120&lt;'Hose Fittings'!$A$30,VLOOKUP($A120,'Hose Fittings'!$A$8:$M$29,5,FALSE),
IF($A120&lt;'Swing Joints'!$A$496,VLOOKUP($A120,'Swing Joints'!$A$9:$M$495,5,FALSE),
IF($A120&lt;'Swing Joints Components'!$A$135,VLOOKUP($A120,'Swing Joints Components'!$A$9:$M$134,5,FALSE),
IF($A120&lt;Nonstandard!$A$42,VLOOKUP($A120,Nonstandard!$A$31:$J$41,6,FALSE),"")))))))))))))))))))))))))))),"")</f>
        <v/>
      </c>
      <c r="D120" s="428" t="str">
        <f>IFERROR(IF($A120&lt;'DWV PVC'!$A$285,VLOOKUP($A120,'DWV PVC'!$A$8:$M$284,6,FALSE),
IF($A120&lt;'DWV ABS'!$A$117,VLOOKUP($A120,'DWV ABS'!$A$8:$M$116,6,FALSE),
IF($A120&lt;'PVC SCH40'!$A$376,VLOOKUP($A120,'PVC SCH40'!$A$8:$M$375,6,FALSE),
IF($A120&lt;'PVC SCH40 LD'!$A$22,VLOOKUP($A120,'PVC SCH40 LD'!$A$8:$M$21,6,FALSE),
IF($A120&lt;'Pool &amp; SPA Sweep Elbows'!$A$12,VLOOKUP($A120,'Pool &amp; SPA Sweep Elbows'!$A$8:$M$11,6,FALSE),
IF($A120&lt;'Pool &amp; SPA Pipe Extender'!$A$11,VLOOKUP($A120,'Pool &amp; SPA Pipe Extender'!$A$8:$M$10,6,FALSE),
IF($A120&lt;'PVC SCH80'!$A$250,VLOOKUP($A120,'PVC SCH80'!$A$8:$M$249,6,FALSE),
IF($A120&lt;'PVC SCH80 Flange'!$A$49,VLOOKUP($A120,'PVC SCH80 Flange'!$A$8:$M$48,6,FALSE),
IF($A120&lt;'PVC SCH80 LD Flange'!$A$17,VLOOKUP($A120,'PVC SCH80 LD Flange'!$A$8:$M$16,6,FALSE),
IF($A120&lt;CPVC!$A$100,VLOOKUP($A120,CPVC!$A$8:$M$99,6,FALSE),
IF($A120&lt;InsertFittings!$A$237,VLOOKUP($A120,InsertFittings!$A$11:$M$236,6,FALSE),
IF($A120&lt;Valves!$A$132,VLOOKUP($A120,Valves!$A$8:$M$131,6,FALSE),
IF($A120&lt;SDR35SW!$A$124,VLOOKUP($A120,SDR35SW!$A$8:$M$123,6,FALSE),
IF($A120&lt;SDR35G!$A$143,VLOOKUP($A120, SDR35G!$A$8:$M$142,6,FALSE),
IF($A120&lt;SDR26G!$A$61,VLOOKUP($A120,SDR26G!$A$8:$N$60,6,FALSE),
IF($A120&lt;Cements!$A$100,VLOOKUP($A120,Cements!$A$8:$Q$99,6,FALSE),
IF($A120&lt;ValveBox!$A$143,VLOOKUP($A120,ValveBox!$A$10:$O$142,6,FALSE),
IF($A120&lt;'ValveBox Components'!$A$165,VLOOKUP($A120,'ValveBox Components'!$A$10:$O$164,6,FALSE),
IF($A120&lt;Drainage!$A$92,VLOOKUP($A120,Drainage!$A$8:$M$91,6,FALSE),
IF($A120&lt;Nipples!$A$82,VLOOKUP($A120,Nipples!$A$9:$Q$81,6,FALSE),
IF($A120&lt;Manifold!$A$33,VLOOKUP($A120,Manifold!$A$9:$M$32,6,FALSE),
IF($A120&lt;FlexibleRepairCouplings!$A$13,VLOOKUP($A120,FlexibleRepairCouplings!$A$10:$M$12,6,FALSE),
IF($A120&lt;DuraFix!$A$15,VLOOKUP($A120,DuraFix!$A$9:$M$14,6,FALSE),
IF($A120&lt;'Compression Fittings'!$A$16,VLOOKUP($A120,'Compression Fittings'!$A$8:$M$15,6,FALSE),
IF($A120&lt;'Hose Fittings'!$A$30,VLOOKUP($A120,'Hose Fittings'!$A$8:$M$29,6,FALSE),
IF($A120&lt;'Swing Joints'!$A$496,VLOOKUP($A120,'Swing Joints'!$A$9:$M$495,6,FALSE),
IF($A120&lt;'Swing Joints Components'!$A$135,VLOOKUP($A120,'Swing Joints Components'!$A$9:$M$134,6,FALSE),
IF($A120&lt;Nonstandard!$A$42,VLOOKUP($A120,Nonstandard!$A$31:$J$41,7,FALSE),"")))))))))))))))))))))))))))),"")</f>
        <v/>
      </c>
      <c r="E120" s="429"/>
      <c r="F120" s="421" t="str">
        <f>IFERROR(IF($A120&lt;'DWV PVC'!$A$285,VLOOKUP($A120,'DWV PVC'!$A$8:$M$284,9,FALSE),
IF($A120&lt;'DWV ABS'!$A$117,VLOOKUP($A120,'DWV ABS'!$A$8:$M$116,9,FALSE),
IF($A120&lt;'PVC SCH40'!$A$376,VLOOKUP($A120,'PVC SCH40'!$A$8:$M$375,9,FALSE),
IF($A120&lt;'PVC SCH40 LD'!$A$22,VLOOKUP($A120,'PVC SCH40 LD'!$A$8:$M$21,9,FALSE),
IF($A120&lt;'Pool &amp; SPA Sweep Elbows'!$A$12,VLOOKUP($A120,'Pool &amp; SPA Sweep Elbows'!$A$8:$M$11,9,FALSE),
IF($A120&lt;'Pool &amp; SPA Pipe Extender'!$A$11,VLOOKUP($A120,'Pool &amp; SPA Pipe Extender'!$A$8:$M$10,9,FALSE),
IF($A120&lt;'PVC SCH80'!$A$250,VLOOKUP($A120,'PVC SCH80'!$A$8:$M$249,9,FALSE),
IF($A120&lt;'PVC SCH80 Flange'!$A$49,VLOOKUP($A120,'PVC SCH80 Flange'!$A$8:$M$48,9,FALSE),
IF($A120&lt;'PVC SCH80 LD Flange'!$A$17,VLOOKUP($A120,'PVC SCH80 LD Flange'!$A$8:$M$16,9,FALSE),
IF($A120&lt;CPVC!$A$100,VLOOKUP($A120,CPVC!$A$8:$M$99,9,FALSE),
IF($A120&lt;InsertFittings!$A$237,VLOOKUP($A120,InsertFittings!$A$11:$M$236,9,FALSE),
IF($A120&lt;Valves!$A$132,VLOOKUP($A120,Valves!$A$8:$M$131,9,FALSE),
IF($A120&lt;SDR35SW!$A$124,VLOOKUP($A120,SDR35SW!$A$8:$M$123,9,FALSE),
IF($A120&lt;SDR35G!$A$143,VLOOKUP($A120, SDR35G!$A$8:$M$142,9,FALSE),
IF($A120&lt;SDR26G!$A$61,VLOOKUP($A120,SDR26G!$A$8:$N$60,10,FALSE),
IF($A120&lt;Cements!$A$100,VLOOKUP($A120,Cements!$A$8:$Q$99,13,FALSE),
IF($A120&lt;ValveBox!$A$143,VLOOKUP($A120,ValveBox!$A$10:$O$142,11,FALSE),
IF($A120&lt;'ValveBox Components'!$A$165,VLOOKUP($A120,'ValveBox Components'!$A$10:$O$164,11,FALSE),
IF($A120&lt;Drainage!$A$92,VLOOKUP($A120,Drainage!$A$8:$M$91,9,FALSE),
IF($A120&lt;Nipples!$A$82,VLOOKUP($A120,Nipples!$A$9:$Q$81,13,FALSE),
IF($A120&lt;Manifold!$A$33,VLOOKUP($A120,Manifold!$A$9:$M$32,9,FALSE),
IF($A120&lt;FlexibleRepairCouplings!$A$13,VLOOKUP($A120,FlexibleRepairCouplings!$A$10:$M$12,9,FALSE),
IF($A120&lt;DuraFix!$A$15,VLOOKUP($A120,DuraFix!$A$9:$M$14,9,FALSE),
IF($A120&lt;'Compression Fittings'!$A$16,VLOOKUP($A120,'Compression Fittings'!$A$8:$M$15,9,FALSE),
IF($A120&lt;'Hose Fittings'!$A$30,VLOOKUP($A120,'Hose Fittings'!$A$8:$M$29,9,FALSE),
IF($A120&lt;'Swing Joints'!$A$496,VLOOKUP($A120,'Swing Joints'!$A$9:$M$495,9,FALSE),
IF($A120&lt;'Swing Joints Components'!$A$135,VLOOKUP($A120,'Swing Joints Components'!$A$9:$M$134,9,FALSE),
IF($A120&lt;Nonstandard!$A$42,VLOOKUP($A120,Nonstandard!$A$31:$J$41,8,FALSE),"")))))))))))))))))))))))))))),"")</f>
        <v/>
      </c>
      <c r="G120" s="422" t="str">
        <f>IFERROR(IF($A120&lt;'DWV PVC'!$A$285,VLOOKUP($A120,'DWV PVC'!$A$8:$M$284,11,FALSE),
IF($A120&lt;'DWV ABS'!$A$117,VLOOKUP($A120,'DWV ABS'!$A$8:$M$116,11,FALSE),
IF($A120&lt;'PVC SCH40'!$A$376,VLOOKUP($A120,'PVC SCH40'!$A$8:$M$375,11,FALSE),
IF($A120&lt;'PVC SCH40 LD'!$A$22,VLOOKUP($A120,'PVC SCH40 LD'!$A$8:$M$21,11,FALSE),
IF($A120&lt;'Pool &amp; SPA Sweep Elbows'!$A$12,VLOOKUP($A120,'Pool &amp; SPA Sweep Elbows'!$A$8:$M$11,11,FALSE),
IF($A120&lt;'Pool &amp; SPA Pipe Extender'!$A$11,VLOOKUP($A120,'Pool &amp; SPA Pipe Extender'!$A$8:$M$10,11,FALSE),
IF($A120&lt;'PVC SCH80'!$A$250,VLOOKUP($A120,'PVC SCH80'!$A$8:$M$249,11,FALSE),
IF($A120&lt;'PVC SCH80 Flange'!$A$49,VLOOKUP($A120,'PVC SCH80 Flange'!$A$8:$M$48,11,FALSE),
IF($A120&lt;'PVC SCH80 LD Flange'!$A$17,VLOOKUP($A120,'PVC SCH80 LD Flange'!$A$8:$M$16,11,FALSE),
IF($A120&lt;CPVC!$A$100,VLOOKUP($A120,CPVC!$A$8:$M$99,11,FALSE),
IF($A120&lt;InsertFittings!$A$237,VLOOKUP($A120,InsertFittings!$A$11:$M$236,11,FALSE),
IF($A120&lt;Valves!$A$132,VLOOKUP($A120,Valves!$A$8:$M$131,11,FALSE),
IF($A120&lt;SDR35SW!$A$124,VLOOKUP($A120,SDR35SW!$A$8:$M$123,11,FALSE),
IF($A120&lt;SDR35G!$A$143,VLOOKUP($A120, SDR35G!$A$8:$M$142,11,FALSE),
IF($A120&lt;SDR26G!$A$61,VLOOKUP($A120,SDR26G!$A$8:$N$60,12,FALSE),
IF($A120&lt;Cements!$A$100,VLOOKUP($A120,Cements!$A$8:$Q$99,15,FALSE),
IF($A120&lt;ValveBox!$A$143,VLOOKUP($A120,ValveBox!$A$10:$O$142,13,FALSE),
IF($A120&lt;'ValveBox Components'!$A$165,VLOOKUP($A120,'ValveBox Components'!$A$10:$O$164,13,FALSE),
IF($A120&lt;Drainage!$A$92,VLOOKUP($A120,Drainage!$A$8:$M$91,11,FALSE),
IF($A120&lt;Nipples!$A$82,VLOOKUP($A120,Nipples!$A$9:$Q$81,15,FALSE),
IF($A120&lt;Manifold!$A$33,VLOOKUP($A120,Manifold!$A$9:$M$32,11,FALSE),
IF($A120&lt;FlexibleRepairCouplings!$A$13,VLOOKUP($A120,FlexibleRepairCouplings!$A$10:$M$12,11,FALSE),
IF($A120&lt;DuraFix!$A$15,VLOOKUP($A120,DuraFix!$A$9:$M$14,11,FALSE),
IF($A120&lt;'Compression Fittings'!$A$16,VLOOKUP($A120,'Compression Fittings'!$A$8:$M$15,11,FALSE),
IF($A120&lt;'Hose Fittings'!$A$30,VLOOKUP($A120,'Hose Fittings'!$A$8:$M$29,11,FALSE),
IF($A120&lt;'Swing Joints'!$A$496,VLOOKUP($A120,'Swing Joints'!$A$9:$M$495,11,FALSE),
IF($A120&lt;'Swing Joints Components'!$A$135,VLOOKUP($A120,'Swing Joints Components'!$A$9:$M$134,11,FALSE),
IF($A120&lt;Nonstandard!$A$42,VLOOKUP($A120,Nonstandard!$A$31:$J$41,3,FALSE),"")))))))))))))))))))))))))))),"")</f>
        <v/>
      </c>
      <c r="H120" s="588" t="str">
        <f>IFERROR(IF($A120&lt;'DWV PVC'!$A$285,VLOOKUP($A120,'DWV PVC'!$A$8:$M$284,7,FALSE),
IF($A120&lt;'DWV ABS'!$A$117,VLOOKUP($A120,'DWV ABS'!$A$8:$M$116,7,FALSE),
IF($A120&lt;'PVC SCH40'!$A$376,VLOOKUP($A120,'PVC SCH40'!$A$8:$M$375,7,FALSE),
IF($A120&lt;'PVC SCH40 LD'!$A$22,VLOOKUP($A120,'PVC SCH40 LD'!$A$8:$M$21,7,FALSE),
IF($A120&lt;'Pool &amp; SPA Sweep Elbows'!$A$12,VLOOKUP($A120,'Pool &amp; SPA Sweep Elbows'!$A$8:$M$11,7,FALSE),
IF($A120&lt;'Pool &amp; SPA Pipe Extender'!$A$11,VLOOKUP($A120,'Pool &amp; SPA Pipe Extender'!$A$8:$M$10,7,FALSE),
IF($A120&lt;'PVC SCH80'!$A$250,VLOOKUP($A120,'PVC SCH80'!$A$8:$M$249,7,FALSE),
IF($A120&lt;'PVC SCH80 Flange'!$A$49,VLOOKUP($A120,'PVC SCH80 Flange'!$A$8:$M$48,7,FALSE),
IF($A120&lt;'PVC SCH80 LD Flange'!$A$17,VLOOKUP($A120,'PVC SCH80 LD Flange'!$A$8:$M$16,7,FALSE),
IF($A120&lt;CPVC!$A$100,VLOOKUP($A120,CPVC!$A$8:$M$99,7,FALSE),
IF($A120&lt;InsertFittings!$A$237,VLOOKUP($A120,InsertFittings!$A$11:$M$236,7,FALSE),
IF($A120&lt;Valves!$A$132,VLOOKUP($A120,Valves!$A$8:$M$131,7,FALSE),
IF($A120&lt;SDR35SW!$A$124,VLOOKUP($A120,SDR35SW!$A$8:$M$123,7,FALSE),
IF($A120&lt;SDR35G!$A$143,VLOOKUP($A120, SDR35G!$A$8:$M$142,7,FALSE),
IF($A120&lt;SDR26G!$A$61,VLOOKUP($A120,SDR26G!$A$8:$N$60,10,FALSE),
IF($A120&lt;Cements!$A$100,VLOOKUP($A120,Cements!$A$8:$Q$99,13,FALSE),
IF($A120&lt;ValveBox!$A$143,VLOOKUP($A120,ValveBox!$A$10:$O$142,11,FALSE),
IF($A120&lt;'ValveBox Components'!$A$165,VLOOKUP($A120,'ValveBox Components'!$A$10:$O$164,11,FALSE),
IF($A120&lt;Drainage!$A$92,VLOOKUP($A120,Drainage!$A$8:$M$91,7,FALSE),
IF($A120&lt;Nipples!$A$82,VLOOKUP($A120,Nipples!$A$9:$Q$81,13,FALSE),
IF($A120&lt;Manifold!$A$33,VLOOKUP($A120,Manifold!$A$9:$M$32,7,FALSE),
IF($A120&lt;FlexibleRepairCouplings!$A$13,VLOOKUP($A120,FlexibleRepairCouplings!$A$10:$M$12,7,FALSE),
IF($A120&lt;DuraFix!$A$15,VLOOKUP($A120,DuraFix!$A$9:$M$14,7,FALSE),
IF($A120&lt;'Compression Fittings'!$A$16,VLOOKUP($A120,'Compression Fittings'!$A$8:$M$15,7,FALSE),
IF($A120&lt;'Hose Fittings'!$A$30,VLOOKUP($A120,'Hose Fittings'!$A$8:$M$29,7,FALSE),
IF($A120&lt;'Swing Joints'!$A$496,VLOOKUP($A120,'Swing Joints'!$A$9:$M$495,7,FALSE),
IF($A120&lt;'Swing Joints Components'!$A$135,VLOOKUP($A120,'Swing Joints Components'!$A$9:$M$134,7,FALSE),
IF($A120&lt;Nonstandard!$A$42,VLOOKUP($A120,Nonstandard!$A$31:$J$41,3,FALSE),"")))))))))))))))))))))))))))),"")</f>
        <v/>
      </c>
      <c r="I120" s="589"/>
      <c r="J120" s="423" t="str">
        <f t="shared" si="3"/>
        <v/>
      </c>
      <c r="K120" s="424" t="str">
        <f>IFERROR(IF($A120&lt;'DWV PVC'!$A$285,VLOOKUP($A120,'DWV PVC'!$A$8:$M$284,10,FALSE),
IF($A120&lt;'DWV ABS'!$A$117,VLOOKUP($A120,'DWV ABS'!$A$8:$M$116,10,FALSE),
IF($A120&lt;'PVC SCH40'!$A$376,VLOOKUP($A120,'PVC SCH40'!$A$8:$M$375,10,FALSE),
IF($A120&lt;'PVC SCH40 LD'!$A$22,VLOOKUP($A120,'PVC SCH40 LD'!$A$8:$M$21,10,FALSE),
IF($A120&lt;'Pool &amp; SPA Sweep Elbows'!$A$12,VLOOKUP($A120,'Pool &amp; SPA Sweep Elbows'!$A$8:$M$11,10,FALSE),
IF($A120&lt;'Pool &amp; SPA Pipe Extender'!$A$11,VLOOKUP($A120,'Pool &amp; SPA Pipe Extender'!$A$8:$M$10,10,FALSE),
IF($A120&lt;'PVC SCH80'!$A$250,VLOOKUP($A120,'PVC SCH80'!$A$8:$M$249,10,FALSE),
IF($A120&lt;'PVC SCH80 Flange'!$A$49,VLOOKUP($A120,'PVC SCH80 Flange'!$A$8:$M$48,10,FALSE),
IF($A120&lt;'PVC SCH80 LD Flange'!$A$17,VLOOKUP($A120,'PVC SCH80 LD Flange'!$A$8:$M$16,10,FALSE),
IF($A120&lt;CPVC!$A$100,VLOOKUP($A120,CPVC!$A$8:$M$99,10,FALSE),
IF($A120&lt;InsertFittings!$A$237,VLOOKUP($A120,InsertFittings!$A$11:$M$236,10,FALSE),
IF($A120&lt;Valves!$A$132,VLOOKUP($A120,Valves!$A$8:$M$131,10,FALSE),
IF($A120&lt;SDR35SW!$A$124,VLOOKUP($A120,SDR35SW!$A$8:$M$123,10,FALSE),
IF($A120&lt;SDR35G!$A$143,VLOOKUP($A120, SDR35G!$A$8:$M$142,10,FALSE),
IF($A120&lt;SDR26G!$A$61,VLOOKUP($A120,SDR26G!$A$8:$N$60,11,FALSE),
IF($A120&lt;Cements!$A$100,VLOOKUP($A120,Cements!$A$8:$Q$99,14,FALSE),
IF($A120&lt;ValveBox!$A$143,VLOOKUP($A120,ValveBox!$A$10:$O$142,12,FALSE),
IF($A120&lt;'ValveBox Components'!$A$165,VLOOKUP($A120,'ValveBox Components'!$A$10:$O$164,12,FALSE),
IF($A120&lt;Drainage!$A$92,VLOOKUP($A120,Drainage!$A$8:$M$91,10,FALSE),
IF($A120&lt;Nipples!$A$82,VLOOKUP($A120,Nipples!$A$9:$Q$81,14,FALSE),
IF($A120&lt;Manifold!$A$33,VLOOKUP($A120,Manifold!$A$9:$M$32,10,FALSE),
IF($A120&lt;FlexibleRepairCouplings!$A$13,VLOOKUP($A120,FlexibleRepairCouplings!$A$10:$M$12,10,FALSE),
IF($A120&lt;DuraFix!$A$15,VLOOKUP($A120,DuraFix!$A$9:$M$14,10,FALSE),
IF($A120&lt;'Compression Fittings'!$A$16,VLOOKUP($A120,'Compression Fittings'!$A$8:$M$15,10,FALSE),
IF($A120&lt;'Hose Fittings'!$A$30,VLOOKUP($A120,'Hose Fittings'!$A$8:$M$29,10,FALSE),
IF($A120&lt;'Swing Joints'!$A$496,VLOOKUP($A120,'Swing Joints'!$A$9:$M$495,10,FALSE),
IF($A120&lt;'Swing Joints Components'!$A$135,VLOOKUP($A120,'Swing Joints Components'!$A$9:$M$134,10,FALSE),
IF($A120&lt;Nonstandard!$A$42,VLOOKUP($A120,Nonstandard!$A$31:$J$41,10,FALSE),"")))))))))))))))))))))))))))),"")</f>
        <v/>
      </c>
      <c r="L120" s="421" t="str">
        <f t="shared" si="2"/>
        <v>-</v>
      </c>
      <c r="M120" s="425"/>
    </row>
    <row r="121" spans="1:13" ht="15.75">
      <c r="A121" s="415">
        <v>89</v>
      </c>
      <c r="B121" s="415" t="str">
        <f>IFERROR(IF($A121&lt;'DWV PVC'!$A$285,VLOOKUP($A121,'DWV PVC'!$A$8:$M$284,4,FALSE),
IF($A121&lt;'DWV ABS'!$A$117,VLOOKUP($A121,'DWV ABS'!$A$8:$M$116,4,FALSE),
IF($A121&lt;'PVC SCH40'!$A$376,VLOOKUP($A121,'PVC SCH40'!$A$8:$M$375,4,FALSE),
IF($A121&lt;'PVC SCH40 LD'!$A$22,VLOOKUP($A121,'PVC SCH40 LD'!$A$8:$M$21,4,FALSE),
IF($A121&lt;'Pool &amp; SPA Sweep Elbows'!$A$12,VLOOKUP($A121,'Pool &amp; SPA Sweep Elbows'!$A$8:$M$11,4,FALSE),
IF($A121&lt;'Pool &amp; SPA Pipe Extender'!$A$11,VLOOKUP($A121,'Pool &amp; SPA Pipe Extender'!$A$8:$M$10,4,FALSE),
IF($A121&lt;'PVC SCH80'!$A$250,VLOOKUP($A121,'PVC SCH80'!$A$8:$M$249,4,FALSE),
IF($A121&lt;'PVC SCH80 Flange'!$A$49,VLOOKUP($A121,'PVC SCH80 Flange'!$A$8:$M$48,4,FALSE),
IF($A121&lt;'PVC SCH80 LD Flange'!$A$17,VLOOKUP($A121,'PVC SCH80 LD Flange'!$A$8:$M$16,4,FALSE),
IF($A121&lt;CPVC!$A$100,VLOOKUP($A121,CPVC!$A$8:$M$99,4,FALSE),
IF($A121&lt;InsertFittings!$A$237,VLOOKUP($A121,InsertFittings!$A$11:$M$236,4,FALSE),
IF($A121&lt;Valves!$A$132,VLOOKUP($A121,Valves!$A$8:$M$131,4,FALSE),
IF($A121&lt;SDR35SW!$A$124,VLOOKUP($A121,SDR35SW!$A$8:$M$123,4,FALSE),
IF($A121&lt;SDR35G!$A$143,VLOOKUP($A121, SDR35G!$A$8:$M$142,4,FALSE),
IF($A121&lt;SDR26G!$A$61,VLOOKUP($A121,SDR26G!$A$8:$N$60,4,FALSE),
IF($A121&lt;Cements!$A$100,VLOOKUP($A121,Cements!$A$8:$Q$99,4,FALSE),
IF($A121&lt;ValveBox!$A$143,VLOOKUP($A121,ValveBox!$A$10:$O$142,4,FALSE),
IF($A121&lt;'ValveBox Components'!$A$165,VLOOKUP($A121,'ValveBox Components'!$A$10:$O$164,4,FALSE),
IF($A121&lt;Drainage!$A$92,VLOOKUP($A121,Drainage!$A$8:$M$91,4,FALSE),
IF($A121&lt;Nipples!$A$82,VLOOKUP($A121,Nipples!$A$9:$Q$81,4,FALSE),
IF($A121&lt;Manifold!$A$33,VLOOKUP($A121,Manifold!$A$9:$M$32,4,FALSE),
IF($A121&lt;FlexibleRepairCouplings!$A$13,VLOOKUP($A121,FlexibleRepairCouplings!$A$10:$M$12,4,FALSE),
IF($A121&lt;DuraFix!$A$15,VLOOKUP($A121,DuraFix!$A$9:$M$14,4,FALSE),
IF($A121&lt;'Compression Fittings'!$A$16,VLOOKUP($A121,'Compression Fittings'!$A$8:$M$15,4,FALSE),
IF($A121&lt;'Hose Fittings'!$A$30,VLOOKUP($A121,'Hose Fittings'!$A$8:$M$29,4,FALSE),
IF($A121&lt;'Swing Joints'!$A$496,VLOOKUP($A121,'Swing Joints'!$A$9:$M$495,4,FALSE),
IF($A121&lt;'Swing Joints Components'!$A$135,VLOOKUP($A121,'Swing Joints Components'!$A$9:$M$134,4,FALSE),
IF($A121&lt;Nonstandard!$A$42,VLOOKUP($A121,Nonstandard!$A$31:$J$41,5,FALSE),"")))))))))))))))))))))))))))),"")</f>
        <v/>
      </c>
      <c r="C121" s="415" t="str">
        <f>IFERROR(IF($A121&lt;'DWV PVC'!$A$285,VLOOKUP($A121,'DWV PVC'!$A$8:$M$284,5,FALSE),
IF($A121&lt;'DWV ABS'!$A$117,VLOOKUP($A121,'DWV ABS'!$A$8:$M$116,5,FALSE),
IF($A121&lt;'PVC SCH40'!$A$376,VLOOKUP($A121,'PVC SCH40'!$A$8:$M$375,5,FALSE),
IF($A121&lt;'PVC SCH40 LD'!$A$22,VLOOKUP($A121,'PVC SCH40 LD'!$A$8:$M$21,5,FALSE),
IF($A121&lt;'Pool &amp; SPA Sweep Elbows'!$A$12,VLOOKUP($A121,'Pool &amp; SPA Sweep Elbows'!$A$8:$M$11,5,FALSE),
IF($A121&lt;'Pool &amp; SPA Pipe Extender'!$A$11,VLOOKUP($A121,'Pool &amp; SPA Pipe Extender'!$A$8:$M$10,5,FALSE),
IF($A121&lt;'PVC SCH80'!$A$250,VLOOKUP($A121,'PVC SCH80'!$A$8:$M$249,5,FALSE),
IF($A121&lt;'PVC SCH80 Flange'!$A$49,VLOOKUP($A121,'PVC SCH80 Flange'!$A$8:$M$48,5,FALSE),
IF($A121&lt;'PVC SCH80 LD Flange'!$A$17,VLOOKUP($A121,'PVC SCH80 LD Flange'!$A$8:$M$16,5,FALSE),
IF($A121&lt;CPVC!$A$100,VLOOKUP($A121,CPVC!$A$8:$M$99,5,FALSE),
IF($A121&lt;InsertFittings!$A$237,VLOOKUP($A121,InsertFittings!$A$11:$M$236,5,FALSE),
IF($A121&lt;Valves!$A$132,VLOOKUP($A121,Valves!$A$8:$M$131,5,FALSE),
IF($A121&lt;SDR35SW!$A$124,VLOOKUP($A121,SDR35SW!$A$8:$M$123,5,FALSE),
IF($A121&lt;SDR35G!$A$143,VLOOKUP($A121, SDR35G!$A$8:$M$142,5,FALSE),
IF($A121&lt;SDR26G!$A$61,VLOOKUP($A121,SDR26G!$A$8:$N$60,5,FALSE),
IF($A121&lt;Cements!$A$100,VLOOKUP($A121,Cements!$A$8:$Q$99,5,FALSE),
IF($A121&lt;ValveBox!$A$143,VLOOKUP($A121,ValveBox!$A$10:$O$142,5,FALSE),
IF($A121&lt;'ValveBox Components'!$A$165,VLOOKUP($A121,'ValveBox Components'!$A$10:$O$164,5,FALSE),
IF($A121&lt;Drainage!$A$92,VLOOKUP($A121,Drainage!$A$8:$M$91,5,FALSE),
IF($A121&lt;Nipples!$A$82,VLOOKUP($A121,Nipples!$A$9:$Q$81,5,FALSE),
IF($A121&lt;Manifold!$A$33,VLOOKUP($A121,Manifold!$A$9:$M$32,5,FALSE),
IF($A121&lt;FlexibleRepairCouplings!$A$13,VLOOKUP($A121,FlexibleRepairCouplings!$A$10:$M$12,5,FALSE),
IF($A121&lt;DuraFix!$A$15,VLOOKUP($A121,DuraFix!$A$9:$M$14,5,FALSE),
IF($A121&lt;'Compression Fittings'!$A$16,VLOOKUP($A121,'Compression Fittings'!$A$8:$M$15,5,FALSE),
IF($A121&lt;'Hose Fittings'!$A$30,VLOOKUP($A121,'Hose Fittings'!$A$8:$M$29,5,FALSE),
IF($A121&lt;'Swing Joints'!$A$496,VLOOKUP($A121,'Swing Joints'!$A$9:$M$495,5,FALSE),
IF($A121&lt;'Swing Joints Components'!$A$135,VLOOKUP($A121,'Swing Joints Components'!$A$9:$M$134,5,FALSE),
IF($A121&lt;Nonstandard!$A$42,VLOOKUP($A121,Nonstandard!$A$31:$J$41,6,FALSE),"")))))))))))))))))))))))))))),"")</f>
        <v/>
      </c>
      <c r="D121" s="426" t="str">
        <f>IFERROR(IF($A121&lt;'DWV PVC'!$A$285,VLOOKUP($A121,'DWV PVC'!$A$8:$M$284,6,FALSE),
IF($A121&lt;'DWV ABS'!$A$117,VLOOKUP($A121,'DWV ABS'!$A$8:$M$116,6,FALSE),
IF($A121&lt;'PVC SCH40'!$A$376,VLOOKUP($A121,'PVC SCH40'!$A$8:$M$375,6,FALSE),
IF($A121&lt;'PVC SCH40 LD'!$A$22,VLOOKUP($A121,'PVC SCH40 LD'!$A$8:$M$21,6,FALSE),
IF($A121&lt;'Pool &amp; SPA Sweep Elbows'!$A$12,VLOOKUP($A121,'Pool &amp; SPA Sweep Elbows'!$A$8:$M$11,6,FALSE),
IF($A121&lt;'Pool &amp; SPA Pipe Extender'!$A$11,VLOOKUP($A121,'Pool &amp; SPA Pipe Extender'!$A$8:$M$10,6,FALSE),
IF($A121&lt;'PVC SCH80'!$A$250,VLOOKUP($A121,'PVC SCH80'!$A$8:$M$249,6,FALSE),
IF($A121&lt;'PVC SCH80 Flange'!$A$49,VLOOKUP($A121,'PVC SCH80 Flange'!$A$8:$M$48,6,FALSE),
IF($A121&lt;'PVC SCH80 LD Flange'!$A$17,VLOOKUP($A121,'PVC SCH80 LD Flange'!$A$8:$M$16,6,FALSE),
IF($A121&lt;CPVC!$A$100,VLOOKUP($A121,CPVC!$A$8:$M$99,6,FALSE),
IF($A121&lt;InsertFittings!$A$237,VLOOKUP($A121,InsertFittings!$A$11:$M$236,6,FALSE),
IF($A121&lt;Valves!$A$132,VLOOKUP($A121,Valves!$A$8:$M$131,6,FALSE),
IF($A121&lt;SDR35SW!$A$124,VLOOKUP($A121,SDR35SW!$A$8:$M$123,6,FALSE),
IF($A121&lt;SDR35G!$A$143,VLOOKUP($A121, SDR35G!$A$8:$M$142,6,FALSE),
IF($A121&lt;SDR26G!$A$61,VLOOKUP($A121,SDR26G!$A$8:$N$60,6,FALSE),
IF($A121&lt;Cements!$A$100,VLOOKUP($A121,Cements!$A$8:$Q$99,6,FALSE),
IF($A121&lt;ValveBox!$A$143,VLOOKUP($A121,ValveBox!$A$10:$O$142,6,FALSE),
IF($A121&lt;'ValveBox Components'!$A$165,VLOOKUP($A121,'ValveBox Components'!$A$10:$O$164,6,FALSE),
IF($A121&lt;Drainage!$A$92,VLOOKUP($A121,Drainage!$A$8:$M$91,6,FALSE),
IF($A121&lt;Nipples!$A$82,VLOOKUP($A121,Nipples!$A$9:$Q$81,6,FALSE),
IF($A121&lt;Manifold!$A$33,VLOOKUP($A121,Manifold!$A$9:$M$32,6,FALSE),
IF($A121&lt;FlexibleRepairCouplings!$A$13,VLOOKUP($A121,FlexibleRepairCouplings!$A$10:$M$12,6,FALSE),
IF($A121&lt;DuraFix!$A$15,VLOOKUP($A121,DuraFix!$A$9:$M$14,6,FALSE),
IF($A121&lt;'Compression Fittings'!$A$16,VLOOKUP($A121,'Compression Fittings'!$A$8:$M$15,6,FALSE),
IF($A121&lt;'Hose Fittings'!$A$30,VLOOKUP($A121,'Hose Fittings'!$A$8:$M$29,6,FALSE),
IF($A121&lt;'Swing Joints'!$A$496,VLOOKUP($A121,'Swing Joints'!$A$9:$M$495,6,FALSE),
IF($A121&lt;'Swing Joints Components'!$A$135,VLOOKUP($A121,'Swing Joints Components'!$A$9:$M$134,6,FALSE),
IF($A121&lt;Nonstandard!$A$42,VLOOKUP($A121,Nonstandard!$A$31:$J$41,7,FALSE),"")))))))))))))))))))))))))))),"")</f>
        <v/>
      </c>
      <c r="E121" s="427"/>
      <c r="F121" s="418" t="str">
        <f>IFERROR(IF($A121&lt;'DWV PVC'!$A$285,VLOOKUP($A121,'DWV PVC'!$A$8:$M$284,9,FALSE),
IF($A121&lt;'DWV ABS'!$A$117,VLOOKUP($A121,'DWV ABS'!$A$8:$M$116,9,FALSE),
IF($A121&lt;'PVC SCH40'!$A$376,VLOOKUP($A121,'PVC SCH40'!$A$8:$M$375,9,FALSE),
IF($A121&lt;'PVC SCH40 LD'!$A$22,VLOOKUP($A121,'PVC SCH40 LD'!$A$8:$M$21,9,FALSE),
IF($A121&lt;'Pool &amp; SPA Sweep Elbows'!$A$12,VLOOKUP($A121,'Pool &amp; SPA Sweep Elbows'!$A$8:$M$11,9,FALSE),
IF($A121&lt;'Pool &amp; SPA Pipe Extender'!$A$11,VLOOKUP($A121,'Pool &amp; SPA Pipe Extender'!$A$8:$M$10,9,FALSE),
IF($A121&lt;'PVC SCH80'!$A$250,VLOOKUP($A121,'PVC SCH80'!$A$8:$M$249,9,FALSE),
IF($A121&lt;'PVC SCH80 Flange'!$A$49,VLOOKUP($A121,'PVC SCH80 Flange'!$A$8:$M$48,9,FALSE),
IF($A121&lt;'PVC SCH80 LD Flange'!$A$17,VLOOKUP($A121,'PVC SCH80 LD Flange'!$A$8:$M$16,9,FALSE),
IF($A121&lt;CPVC!$A$100,VLOOKUP($A121,CPVC!$A$8:$M$99,9,FALSE),
IF($A121&lt;InsertFittings!$A$237,VLOOKUP($A121,InsertFittings!$A$11:$M$236,9,FALSE),
IF($A121&lt;Valves!$A$132,VLOOKUP($A121,Valves!$A$8:$M$131,9,FALSE),
IF($A121&lt;SDR35SW!$A$124,VLOOKUP($A121,SDR35SW!$A$8:$M$123,9,FALSE),
IF($A121&lt;SDR35G!$A$143,VLOOKUP($A121, SDR35G!$A$8:$M$142,9,FALSE),
IF($A121&lt;SDR26G!$A$61,VLOOKUP($A121,SDR26G!$A$8:$N$60,10,FALSE),
IF($A121&lt;Cements!$A$100,VLOOKUP($A121,Cements!$A$8:$Q$99,13,FALSE),
IF($A121&lt;ValveBox!$A$143,VLOOKUP($A121,ValveBox!$A$10:$O$142,11,FALSE),
IF($A121&lt;'ValveBox Components'!$A$165,VLOOKUP($A121,'ValveBox Components'!$A$10:$O$164,11,FALSE),
IF($A121&lt;Drainage!$A$92,VLOOKUP($A121,Drainage!$A$8:$M$91,9,FALSE),
IF($A121&lt;Nipples!$A$82,VLOOKUP($A121,Nipples!$A$9:$Q$81,13,FALSE),
IF($A121&lt;Manifold!$A$33,VLOOKUP($A121,Manifold!$A$9:$M$32,9,FALSE),
IF($A121&lt;FlexibleRepairCouplings!$A$13,VLOOKUP($A121,FlexibleRepairCouplings!$A$10:$M$12,9,FALSE),
IF($A121&lt;DuraFix!$A$15,VLOOKUP($A121,DuraFix!$A$9:$M$14,9,FALSE),
IF($A121&lt;'Compression Fittings'!$A$16,VLOOKUP($A121,'Compression Fittings'!$A$8:$M$15,9,FALSE),
IF($A121&lt;'Hose Fittings'!$A$30,VLOOKUP($A121,'Hose Fittings'!$A$8:$M$29,9,FALSE),
IF($A121&lt;'Swing Joints'!$A$496,VLOOKUP($A121,'Swing Joints'!$A$9:$M$495,9,FALSE),
IF($A121&lt;'Swing Joints Components'!$A$135,VLOOKUP($A121,'Swing Joints Components'!$A$9:$M$134,9,FALSE),
IF($A121&lt;Nonstandard!$A$42,VLOOKUP($A121,Nonstandard!$A$31:$J$41,8,FALSE),"")))))))))))))))))))))))))))),"")</f>
        <v/>
      </c>
      <c r="G121" s="416" t="str">
        <f>IFERROR(IF($A121&lt;'DWV PVC'!$A$285,VLOOKUP($A121,'DWV PVC'!$A$8:$M$284,11,FALSE),
IF($A121&lt;'DWV ABS'!$A$117,VLOOKUP($A121,'DWV ABS'!$A$8:$M$116,11,FALSE),
IF($A121&lt;'PVC SCH40'!$A$376,VLOOKUP($A121,'PVC SCH40'!$A$8:$M$375,11,FALSE),
IF($A121&lt;'PVC SCH40 LD'!$A$22,VLOOKUP($A121,'PVC SCH40 LD'!$A$8:$M$21,11,FALSE),
IF($A121&lt;'Pool &amp; SPA Sweep Elbows'!$A$12,VLOOKUP($A121,'Pool &amp; SPA Sweep Elbows'!$A$8:$M$11,11,FALSE),
IF($A121&lt;'Pool &amp; SPA Pipe Extender'!$A$11,VLOOKUP($A121,'Pool &amp; SPA Pipe Extender'!$A$8:$M$10,11,FALSE),
IF($A121&lt;'PVC SCH80'!$A$250,VLOOKUP($A121,'PVC SCH80'!$A$8:$M$249,11,FALSE),
IF($A121&lt;'PVC SCH80 Flange'!$A$49,VLOOKUP($A121,'PVC SCH80 Flange'!$A$8:$M$48,11,FALSE),
IF($A121&lt;'PVC SCH80 LD Flange'!$A$17,VLOOKUP($A121,'PVC SCH80 LD Flange'!$A$8:$M$16,11,FALSE),
IF($A121&lt;CPVC!$A$100,VLOOKUP($A121,CPVC!$A$8:$M$99,11,FALSE),
IF($A121&lt;InsertFittings!$A$237,VLOOKUP($A121,InsertFittings!$A$11:$M$236,11,FALSE),
IF($A121&lt;Valves!$A$132,VLOOKUP($A121,Valves!$A$8:$M$131,11,FALSE),
IF($A121&lt;SDR35SW!$A$124,VLOOKUP($A121,SDR35SW!$A$8:$M$123,11,FALSE),
IF($A121&lt;SDR35G!$A$143,VLOOKUP($A121, SDR35G!$A$8:$M$142,11,FALSE),
IF($A121&lt;SDR26G!$A$61,VLOOKUP($A121,SDR26G!$A$8:$N$60,12,FALSE),
IF($A121&lt;Cements!$A$100,VLOOKUP($A121,Cements!$A$8:$Q$99,15,FALSE),
IF($A121&lt;ValveBox!$A$143,VLOOKUP($A121,ValveBox!$A$10:$O$142,13,FALSE),
IF($A121&lt;'ValveBox Components'!$A$165,VLOOKUP($A121,'ValveBox Components'!$A$10:$O$164,13,FALSE),
IF($A121&lt;Drainage!$A$92,VLOOKUP($A121,Drainage!$A$8:$M$91,11,FALSE),
IF($A121&lt;Nipples!$A$82,VLOOKUP($A121,Nipples!$A$9:$Q$81,15,FALSE),
IF($A121&lt;Manifold!$A$33,VLOOKUP($A121,Manifold!$A$9:$M$32,11,FALSE),
IF($A121&lt;FlexibleRepairCouplings!$A$13,VLOOKUP($A121,FlexibleRepairCouplings!$A$10:$M$12,11,FALSE),
IF($A121&lt;DuraFix!$A$15,VLOOKUP($A121,DuraFix!$A$9:$M$14,11,FALSE),
IF($A121&lt;'Compression Fittings'!$A$16,VLOOKUP($A121,'Compression Fittings'!$A$8:$M$15,11,FALSE),
IF($A121&lt;'Hose Fittings'!$A$30,VLOOKUP($A121,'Hose Fittings'!$A$8:$M$29,11,FALSE),
IF($A121&lt;'Swing Joints'!$A$496,VLOOKUP($A121,'Swing Joints'!$A$9:$M$495,11,FALSE),
IF($A121&lt;'Swing Joints Components'!$A$135,VLOOKUP($A121,'Swing Joints Components'!$A$9:$M$134,11,FALSE),
IF($A121&lt;Nonstandard!$A$42,VLOOKUP($A121,Nonstandard!$A$31:$J$41,3,FALSE),"")))))))))))))))))))))))))))),"")</f>
        <v/>
      </c>
      <c r="H121" s="586" t="str">
        <f>IFERROR(IF($A121&lt;'DWV PVC'!$A$285,VLOOKUP($A121,'DWV PVC'!$A$8:$M$284,7,FALSE),
IF($A121&lt;'DWV ABS'!$A$117,VLOOKUP($A121,'DWV ABS'!$A$8:$M$116,7,FALSE),
IF($A121&lt;'PVC SCH40'!$A$376,VLOOKUP($A121,'PVC SCH40'!$A$8:$M$375,7,FALSE),
IF($A121&lt;'PVC SCH40 LD'!$A$22,VLOOKUP($A121,'PVC SCH40 LD'!$A$8:$M$21,7,FALSE),
IF($A121&lt;'Pool &amp; SPA Sweep Elbows'!$A$12,VLOOKUP($A121,'Pool &amp; SPA Sweep Elbows'!$A$8:$M$11,7,FALSE),
IF($A121&lt;'Pool &amp; SPA Pipe Extender'!$A$11,VLOOKUP($A121,'Pool &amp; SPA Pipe Extender'!$A$8:$M$10,7,FALSE),
IF($A121&lt;'PVC SCH80'!$A$250,VLOOKUP($A121,'PVC SCH80'!$A$8:$M$249,7,FALSE),
IF($A121&lt;'PVC SCH80 Flange'!$A$49,VLOOKUP($A121,'PVC SCH80 Flange'!$A$8:$M$48,7,FALSE),
IF($A121&lt;'PVC SCH80 LD Flange'!$A$17,VLOOKUP($A121,'PVC SCH80 LD Flange'!$A$8:$M$16,7,FALSE),
IF($A121&lt;CPVC!$A$100,VLOOKUP($A121,CPVC!$A$8:$M$99,7,FALSE),
IF($A121&lt;InsertFittings!$A$237,VLOOKUP($A121,InsertFittings!$A$11:$M$236,7,FALSE),
IF($A121&lt;Valves!$A$132,VLOOKUP($A121,Valves!$A$8:$M$131,7,FALSE),
IF($A121&lt;SDR35SW!$A$124,VLOOKUP($A121,SDR35SW!$A$8:$M$123,7,FALSE),
IF($A121&lt;SDR35G!$A$143,VLOOKUP($A121, SDR35G!$A$8:$M$142,7,FALSE),
IF($A121&lt;SDR26G!$A$61,VLOOKUP($A121,SDR26G!$A$8:$N$60,10,FALSE),
IF($A121&lt;Cements!$A$100,VLOOKUP($A121,Cements!$A$8:$Q$99,13,FALSE),
IF($A121&lt;ValveBox!$A$143,VLOOKUP($A121,ValveBox!$A$10:$O$142,11,FALSE),
IF($A121&lt;'ValveBox Components'!$A$165,VLOOKUP($A121,'ValveBox Components'!$A$10:$O$164,11,FALSE),
IF($A121&lt;Drainage!$A$92,VLOOKUP($A121,Drainage!$A$8:$M$91,7,FALSE),
IF($A121&lt;Nipples!$A$82,VLOOKUP($A121,Nipples!$A$9:$Q$81,13,FALSE),
IF($A121&lt;Manifold!$A$33,VLOOKUP($A121,Manifold!$A$9:$M$32,7,FALSE),
IF($A121&lt;FlexibleRepairCouplings!$A$13,VLOOKUP($A121,FlexibleRepairCouplings!$A$10:$M$12,7,FALSE),
IF($A121&lt;DuraFix!$A$15,VLOOKUP($A121,DuraFix!$A$9:$M$14,7,FALSE),
IF($A121&lt;'Compression Fittings'!$A$16,VLOOKUP($A121,'Compression Fittings'!$A$8:$M$15,7,FALSE),
IF($A121&lt;'Hose Fittings'!$A$30,VLOOKUP($A121,'Hose Fittings'!$A$8:$M$29,7,FALSE),
IF($A121&lt;'Swing Joints'!$A$496,VLOOKUP($A121,'Swing Joints'!$A$9:$M$495,7,FALSE),
IF($A121&lt;'Swing Joints Components'!$A$135,VLOOKUP($A121,'Swing Joints Components'!$A$9:$M$134,7,FALSE),
IF($A121&lt;Nonstandard!$A$42,VLOOKUP($A121,Nonstandard!$A$31:$J$41,3,FALSE),"")))))))))))))))))))))))))))),"")</f>
        <v/>
      </c>
      <c r="I121" s="587"/>
      <c r="J121" s="383" t="str">
        <f t="shared" si="3"/>
        <v/>
      </c>
      <c r="K121" s="417" t="str">
        <f>IFERROR(IF($A121&lt;'DWV PVC'!$A$285,VLOOKUP($A121,'DWV PVC'!$A$8:$M$284,10,FALSE),
IF($A121&lt;'DWV ABS'!$A$117,VLOOKUP($A121,'DWV ABS'!$A$8:$M$116,10,FALSE),
IF($A121&lt;'PVC SCH40'!$A$376,VLOOKUP($A121,'PVC SCH40'!$A$8:$M$375,10,FALSE),
IF($A121&lt;'PVC SCH40 LD'!$A$22,VLOOKUP($A121,'PVC SCH40 LD'!$A$8:$M$21,10,FALSE),
IF($A121&lt;'Pool &amp; SPA Sweep Elbows'!$A$12,VLOOKUP($A121,'Pool &amp; SPA Sweep Elbows'!$A$8:$M$11,10,FALSE),
IF($A121&lt;'Pool &amp; SPA Pipe Extender'!$A$11,VLOOKUP($A121,'Pool &amp; SPA Pipe Extender'!$A$8:$M$10,10,FALSE),
IF($A121&lt;'PVC SCH80'!$A$250,VLOOKUP($A121,'PVC SCH80'!$A$8:$M$249,10,FALSE),
IF($A121&lt;'PVC SCH80 Flange'!$A$49,VLOOKUP($A121,'PVC SCH80 Flange'!$A$8:$M$48,10,FALSE),
IF($A121&lt;'PVC SCH80 LD Flange'!$A$17,VLOOKUP($A121,'PVC SCH80 LD Flange'!$A$8:$M$16,10,FALSE),
IF($A121&lt;CPVC!$A$100,VLOOKUP($A121,CPVC!$A$8:$M$99,10,FALSE),
IF($A121&lt;InsertFittings!$A$237,VLOOKUP($A121,InsertFittings!$A$11:$M$236,10,FALSE),
IF($A121&lt;Valves!$A$132,VLOOKUP($A121,Valves!$A$8:$M$131,10,FALSE),
IF($A121&lt;SDR35SW!$A$124,VLOOKUP($A121,SDR35SW!$A$8:$M$123,10,FALSE),
IF($A121&lt;SDR35G!$A$143,VLOOKUP($A121, SDR35G!$A$8:$M$142,10,FALSE),
IF($A121&lt;SDR26G!$A$61,VLOOKUP($A121,SDR26G!$A$8:$N$60,11,FALSE),
IF($A121&lt;Cements!$A$100,VLOOKUP($A121,Cements!$A$8:$Q$99,14,FALSE),
IF($A121&lt;ValveBox!$A$143,VLOOKUP($A121,ValveBox!$A$10:$O$142,12,FALSE),
IF($A121&lt;'ValveBox Components'!$A$165,VLOOKUP($A121,'ValveBox Components'!$A$10:$O$164,12,FALSE),
IF($A121&lt;Drainage!$A$92,VLOOKUP($A121,Drainage!$A$8:$M$91,10,FALSE),
IF($A121&lt;Nipples!$A$82,VLOOKUP($A121,Nipples!$A$9:$Q$81,14,FALSE),
IF($A121&lt;Manifold!$A$33,VLOOKUP($A121,Manifold!$A$9:$M$32,10,FALSE),
IF($A121&lt;FlexibleRepairCouplings!$A$13,VLOOKUP($A121,FlexibleRepairCouplings!$A$10:$M$12,10,FALSE),
IF($A121&lt;DuraFix!$A$15,VLOOKUP($A121,DuraFix!$A$9:$M$14,10,FALSE),
IF($A121&lt;'Compression Fittings'!$A$16,VLOOKUP($A121,'Compression Fittings'!$A$8:$M$15,10,FALSE),
IF($A121&lt;'Hose Fittings'!$A$30,VLOOKUP($A121,'Hose Fittings'!$A$8:$M$29,10,FALSE),
IF($A121&lt;'Swing Joints'!$A$496,VLOOKUP($A121,'Swing Joints'!$A$9:$M$495,10,FALSE),
IF($A121&lt;'Swing Joints Components'!$A$135,VLOOKUP($A121,'Swing Joints Components'!$A$9:$M$134,10,FALSE),
IF($A121&lt;Nonstandard!$A$42,VLOOKUP($A121,Nonstandard!$A$31:$J$41,10,FALSE),"")))))))))))))))))))))))))))),"")</f>
        <v/>
      </c>
      <c r="L121" s="418" t="str">
        <f t="shared" si="2"/>
        <v>-</v>
      </c>
      <c r="M121" s="419"/>
    </row>
    <row r="122" spans="1:13" ht="15.75">
      <c r="A122" s="420">
        <v>90</v>
      </c>
      <c r="B122" s="420" t="str">
        <f>IFERROR(IF($A122&lt;'DWV PVC'!$A$285,VLOOKUP($A122,'DWV PVC'!$A$8:$M$284,4,FALSE),
IF($A122&lt;'DWV ABS'!$A$117,VLOOKUP($A122,'DWV ABS'!$A$8:$M$116,4,FALSE),
IF($A122&lt;'PVC SCH40'!$A$376,VLOOKUP($A122,'PVC SCH40'!$A$8:$M$375,4,FALSE),
IF($A122&lt;'PVC SCH40 LD'!$A$22,VLOOKUP($A122,'PVC SCH40 LD'!$A$8:$M$21,4,FALSE),
IF($A122&lt;'Pool &amp; SPA Sweep Elbows'!$A$12,VLOOKUP($A122,'Pool &amp; SPA Sweep Elbows'!$A$8:$M$11,4,FALSE),
IF($A122&lt;'Pool &amp; SPA Pipe Extender'!$A$11,VLOOKUP($A122,'Pool &amp; SPA Pipe Extender'!$A$8:$M$10,4,FALSE),
IF($A122&lt;'PVC SCH80'!$A$250,VLOOKUP($A122,'PVC SCH80'!$A$8:$M$249,4,FALSE),
IF($A122&lt;'PVC SCH80 Flange'!$A$49,VLOOKUP($A122,'PVC SCH80 Flange'!$A$8:$M$48,4,FALSE),
IF($A122&lt;'PVC SCH80 LD Flange'!$A$17,VLOOKUP($A122,'PVC SCH80 LD Flange'!$A$8:$M$16,4,FALSE),
IF($A122&lt;CPVC!$A$100,VLOOKUP($A122,CPVC!$A$8:$M$99,4,FALSE),
IF($A122&lt;InsertFittings!$A$237,VLOOKUP($A122,InsertFittings!$A$11:$M$236,4,FALSE),
IF($A122&lt;Valves!$A$132,VLOOKUP($A122,Valves!$A$8:$M$131,4,FALSE),
IF($A122&lt;SDR35SW!$A$124,VLOOKUP($A122,SDR35SW!$A$8:$M$123,4,FALSE),
IF($A122&lt;SDR35G!$A$143,VLOOKUP($A122, SDR35G!$A$8:$M$142,4,FALSE),
IF($A122&lt;SDR26G!$A$61,VLOOKUP($A122,SDR26G!$A$8:$N$60,4,FALSE),
IF($A122&lt;Cements!$A$100,VLOOKUP($A122,Cements!$A$8:$Q$99,4,FALSE),
IF($A122&lt;ValveBox!$A$143,VLOOKUP($A122,ValveBox!$A$10:$O$142,4,FALSE),
IF($A122&lt;'ValveBox Components'!$A$165,VLOOKUP($A122,'ValveBox Components'!$A$10:$O$164,4,FALSE),
IF($A122&lt;Drainage!$A$92,VLOOKUP($A122,Drainage!$A$8:$M$91,4,FALSE),
IF($A122&lt;Nipples!$A$82,VLOOKUP($A122,Nipples!$A$9:$Q$81,4,FALSE),
IF($A122&lt;Manifold!$A$33,VLOOKUP($A122,Manifold!$A$9:$M$32,4,FALSE),
IF($A122&lt;FlexibleRepairCouplings!$A$13,VLOOKUP($A122,FlexibleRepairCouplings!$A$10:$M$12,4,FALSE),
IF($A122&lt;DuraFix!$A$15,VLOOKUP($A122,DuraFix!$A$9:$M$14,4,FALSE),
IF($A122&lt;'Compression Fittings'!$A$16,VLOOKUP($A122,'Compression Fittings'!$A$8:$M$15,4,FALSE),
IF($A122&lt;'Hose Fittings'!$A$30,VLOOKUP($A122,'Hose Fittings'!$A$8:$M$29,4,FALSE),
IF($A122&lt;'Swing Joints'!$A$496,VLOOKUP($A122,'Swing Joints'!$A$9:$M$495,4,FALSE),
IF($A122&lt;'Swing Joints Components'!$A$135,VLOOKUP($A122,'Swing Joints Components'!$A$9:$M$134,4,FALSE),
IF($A122&lt;Nonstandard!$A$42,VLOOKUP($A122,Nonstandard!$A$31:$J$41,5,FALSE),"")))))))))))))))))))))))))))),"")</f>
        <v/>
      </c>
      <c r="C122" s="420" t="str">
        <f>IFERROR(IF($A122&lt;'DWV PVC'!$A$285,VLOOKUP($A122,'DWV PVC'!$A$8:$M$284,5,FALSE),
IF($A122&lt;'DWV ABS'!$A$117,VLOOKUP($A122,'DWV ABS'!$A$8:$M$116,5,FALSE),
IF($A122&lt;'PVC SCH40'!$A$376,VLOOKUP($A122,'PVC SCH40'!$A$8:$M$375,5,FALSE),
IF($A122&lt;'PVC SCH40 LD'!$A$22,VLOOKUP($A122,'PVC SCH40 LD'!$A$8:$M$21,5,FALSE),
IF($A122&lt;'Pool &amp; SPA Sweep Elbows'!$A$12,VLOOKUP($A122,'Pool &amp; SPA Sweep Elbows'!$A$8:$M$11,5,FALSE),
IF($A122&lt;'Pool &amp; SPA Pipe Extender'!$A$11,VLOOKUP($A122,'Pool &amp; SPA Pipe Extender'!$A$8:$M$10,5,FALSE),
IF($A122&lt;'PVC SCH80'!$A$250,VLOOKUP($A122,'PVC SCH80'!$A$8:$M$249,5,FALSE),
IF($A122&lt;'PVC SCH80 Flange'!$A$49,VLOOKUP($A122,'PVC SCH80 Flange'!$A$8:$M$48,5,FALSE),
IF($A122&lt;'PVC SCH80 LD Flange'!$A$17,VLOOKUP($A122,'PVC SCH80 LD Flange'!$A$8:$M$16,5,FALSE),
IF($A122&lt;CPVC!$A$100,VLOOKUP($A122,CPVC!$A$8:$M$99,5,FALSE),
IF($A122&lt;InsertFittings!$A$237,VLOOKUP($A122,InsertFittings!$A$11:$M$236,5,FALSE),
IF($A122&lt;Valves!$A$132,VLOOKUP($A122,Valves!$A$8:$M$131,5,FALSE),
IF($A122&lt;SDR35SW!$A$124,VLOOKUP($A122,SDR35SW!$A$8:$M$123,5,FALSE),
IF($A122&lt;SDR35G!$A$143,VLOOKUP($A122, SDR35G!$A$8:$M$142,5,FALSE),
IF($A122&lt;SDR26G!$A$61,VLOOKUP($A122,SDR26G!$A$8:$N$60,5,FALSE),
IF($A122&lt;Cements!$A$100,VLOOKUP($A122,Cements!$A$8:$Q$99,5,FALSE),
IF($A122&lt;ValveBox!$A$143,VLOOKUP($A122,ValveBox!$A$10:$O$142,5,FALSE),
IF($A122&lt;'ValveBox Components'!$A$165,VLOOKUP($A122,'ValveBox Components'!$A$10:$O$164,5,FALSE),
IF($A122&lt;Drainage!$A$92,VLOOKUP($A122,Drainage!$A$8:$M$91,5,FALSE),
IF($A122&lt;Nipples!$A$82,VLOOKUP($A122,Nipples!$A$9:$Q$81,5,FALSE),
IF($A122&lt;Manifold!$A$33,VLOOKUP($A122,Manifold!$A$9:$M$32,5,FALSE),
IF($A122&lt;FlexibleRepairCouplings!$A$13,VLOOKUP($A122,FlexibleRepairCouplings!$A$10:$M$12,5,FALSE),
IF($A122&lt;DuraFix!$A$15,VLOOKUP($A122,DuraFix!$A$9:$M$14,5,FALSE),
IF($A122&lt;'Compression Fittings'!$A$16,VLOOKUP($A122,'Compression Fittings'!$A$8:$M$15,5,FALSE),
IF($A122&lt;'Hose Fittings'!$A$30,VLOOKUP($A122,'Hose Fittings'!$A$8:$M$29,5,FALSE),
IF($A122&lt;'Swing Joints'!$A$496,VLOOKUP($A122,'Swing Joints'!$A$9:$M$495,5,FALSE),
IF($A122&lt;'Swing Joints Components'!$A$135,VLOOKUP($A122,'Swing Joints Components'!$A$9:$M$134,5,FALSE),
IF($A122&lt;Nonstandard!$A$42,VLOOKUP($A122,Nonstandard!$A$31:$J$41,6,FALSE),"")))))))))))))))))))))))))))),"")</f>
        <v/>
      </c>
      <c r="D122" s="428" t="str">
        <f>IFERROR(IF($A122&lt;'DWV PVC'!$A$285,VLOOKUP($A122,'DWV PVC'!$A$8:$M$284,6,FALSE),
IF($A122&lt;'DWV ABS'!$A$117,VLOOKUP($A122,'DWV ABS'!$A$8:$M$116,6,FALSE),
IF($A122&lt;'PVC SCH40'!$A$376,VLOOKUP($A122,'PVC SCH40'!$A$8:$M$375,6,FALSE),
IF($A122&lt;'PVC SCH40 LD'!$A$22,VLOOKUP($A122,'PVC SCH40 LD'!$A$8:$M$21,6,FALSE),
IF($A122&lt;'Pool &amp; SPA Sweep Elbows'!$A$12,VLOOKUP($A122,'Pool &amp; SPA Sweep Elbows'!$A$8:$M$11,6,FALSE),
IF($A122&lt;'Pool &amp; SPA Pipe Extender'!$A$11,VLOOKUP($A122,'Pool &amp; SPA Pipe Extender'!$A$8:$M$10,6,FALSE),
IF($A122&lt;'PVC SCH80'!$A$250,VLOOKUP($A122,'PVC SCH80'!$A$8:$M$249,6,FALSE),
IF($A122&lt;'PVC SCH80 Flange'!$A$49,VLOOKUP($A122,'PVC SCH80 Flange'!$A$8:$M$48,6,FALSE),
IF($A122&lt;'PVC SCH80 LD Flange'!$A$17,VLOOKUP($A122,'PVC SCH80 LD Flange'!$A$8:$M$16,6,FALSE),
IF($A122&lt;CPVC!$A$100,VLOOKUP($A122,CPVC!$A$8:$M$99,6,FALSE),
IF($A122&lt;InsertFittings!$A$237,VLOOKUP($A122,InsertFittings!$A$11:$M$236,6,FALSE),
IF($A122&lt;Valves!$A$132,VLOOKUP($A122,Valves!$A$8:$M$131,6,FALSE),
IF($A122&lt;SDR35SW!$A$124,VLOOKUP($A122,SDR35SW!$A$8:$M$123,6,FALSE),
IF($A122&lt;SDR35G!$A$143,VLOOKUP($A122, SDR35G!$A$8:$M$142,6,FALSE),
IF($A122&lt;SDR26G!$A$61,VLOOKUP($A122,SDR26G!$A$8:$N$60,6,FALSE),
IF($A122&lt;Cements!$A$100,VLOOKUP($A122,Cements!$A$8:$Q$99,6,FALSE),
IF($A122&lt;ValveBox!$A$143,VLOOKUP($A122,ValveBox!$A$10:$O$142,6,FALSE),
IF($A122&lt;'ValveBox Components'!$A$165,VLOOKUP($A122,'ValveBox Components'!$A$10:$O$164,6,FALSE),
IF($A122&lt;Drainage!$A$92,VLOOKUP($A122,Drainage!$A$8:$M$91,6,FALSE),
IF($A122&lt;Nipples!$A$82,VLOOKUP($A122,Nipples!$A$9:$Q$81,6,FALSE),
IF($A122&lt;Manifold!$A$33,VLOOKUP($A122,Manifold!$A$9:$M$32,6,FALSE),
IF($A122&lt;FlexibleRepairCouplings!$A$13,VLOOKUP($A122,FlexibleRepairCouplings!$A$10:$M$12,6,FALSE),
IF($A122&lt;DuraFix!$A$15,VLOOKUP($A122,DuraFix!$A$9:$M$14,6,FALSE),
IF($A122&lt;'Compression Fittings'!$A$16,VLOOKUP($A122,'Compression Fittings'!$A$8:$M$15,6,FALSE),
IF($A122&lt;'Hose Fittings'!$A$30,VLOOKUP($A122,'Hose Fittings'!$A$8:$M$29,6,FALSE),
IF($A122&lt;'Swing Joints'!$A$496,VLOOKUP($A122,'Swing Joints'!$A$9:$M$495,6,FALSE),
IF($A122&lt;'Swing Joints Components'!$A$135,VLOOKUP($A122,'Swing Joints Components'!$A$9:$M$134,6,FALSE),
IF($A122&lt;Nonstandard!$A$42,VLOOKUP($A122,Nonstandard!$A$31:$J$41,7,FALSE),"")))))))))))))))))))))))))))),"")</f>
        <v/>
      </c>
      <c r="E122" s="429"/>
      <c r="F122" s="421" t="str">
        <f>IFERROR(IF($A122&lt;'DWV PVC'!$A$285,VLOOKUP($A122,'DWV PVC'!$A$8:$M$284,9,FALSE),
IF($A122&lt;'DWV ABS'!$A$117,VLOOKUP($A122,'DWV ABS'!$A$8:$M$116,9,FALSE),
IF($A122&lt;'PVC SCH40'!$A$376,VLOOKUP($A122,'PVC SCH40'!$A$8:$M$375,9,FALSE),
IF($A122&lt;'PVC SCH40 LD'!$A$22,VLOOKUP($A122,'PVC SCH40 LD'!$A$8:$M$21,9,FALSE),
IF($A122&lt;'Pool &amp; SPA Sweep Elbows'!$A$12,VLOOKUP($A122,'Pool &amp; SPA Sweep Elbows'!$A$8:$M$11,9,FALSE),
IF($A122&lt;'Pool &amp; SPA Pipe Extender'!$A$11,VLOOKUP($A122,'Pool &amp; SPA Pipe Extender'!$A$8:$M$10,9,FALSE),
IF($A122&lt;'PVC SCH80'!$A$250,VLOOKUP($A122,'PVC SCH80'!$A$8:$M$249,9,FALSE),
IF($A122&lt;'PVC SCH80 Flange'!$A$49,VLOOKUP($A122,'PVC SCH80 Flange'!$A$8:$M$48,9,FALSE),
IF($A122&lt;'PVC SCH80 LD Flange'!$A$17,VLOOKUP($A122,'PVC SCH80 LD Flange'!$A$8:$M$16,9,FALSE),
IF($A122&lt;CPVC!$A$100,VLOOKUP($A122,CPVC!$A$8:$M$99,9,FALSE),
IF($A122&lt;InsertFittings!$A$237,VLOOKUP($A122,InsertFittings!$A$11:$M$236,9,FALSE),
IF($A122&lt;Valves!$A$132,VLOOKUP($A122,Valves!$A$8:$M$131,9,FALSE),
IF($A122&lt;SDR35SW!$A$124,VLOOKUP($A122,SDR35SW!$A$8:$M$123,9,FALSE),
IF($A122&lt;SDR35G!$A$143,VLOOKUP($A122, SDR35G!$A$8:$M$142,9,FALSE),
IF($A122&lt;SDR26G!$A$61,VLOOKUP($A122,SDR26G!$A$8:$N$60,10,FALSE),
IF($A122&lt;Cements!$A$100,VLOOKUP($A122,Cements!$A$8:$Q$99,13,FALSE),
IF($A122&lt;ValveBox!$A$143,VLOOKUP($A122,ValveBox!$A$10:$O$142,11,FALSE),
IF($A122&lt;'ValveBox Components'!$A$165,VLOOKUP($A122,'ValveBox Components'!$A$10:$O$164,11,FALSE),
IF($A122&lt;Drainage!$A$92,VLOOKUP($A122,Drainage!$A$8:$M$91,9,FALSE),
IF($A122&lt;Nipples!$A$82,VLOOKUP($A122,Nipples!$A$9:$Q$81,13,FALSE),
IF($A122&lt;Manifold!$A$33,VLOOKUP($A122,Manifold!$A$9:$M$32,9,FALSE),
IF($A122&lt;FlexibleRepairCouplings!$A$13,VLOOKUP($A122,FlexibleRepairCouplings!$A$10:$M$12,9,FALSE),
IF($A122&lt;DuraFix!$A$15,VLOOKUP($A122,DuraFix!$A$9:$M$14,9,FALSE),
IF($A122&lt;'Compression Fittings'!$A$16,VLOOKUP($A122,'Compression Fittings'!$A$8:$M$15,9,FALSE),
IF($A122&lt;'Hose Fittings'!$A$30,VLOOKUP($A122,'Hose Fittings'!$A$8:$M$29,9,FALSE),
IF($A122&lt;'Swing Joints'!$A$496,VLOOKUP($A122,'Swing Joints'!$A$9:$M$495,9,FALSE),
IF($A122&lt;'Swing Joints Components'!$A$135,VLOOKUP($A122,'Swing Joints Components'!$A$9:$M$134,9,FALSE),
IF($A122&lt;Nonstandard!$A$42,VLOOKUP($A122,Nonstandard!$A$31:$J$41,8,FALSE),"")))))))))))))))))))))))))))),"")</f>
        <v/>
      </c>
      <c r="G122" s="422" t="str">
        <f>IFERROR(IF($A122&lt;'DWV PVC'!$A$285,VLOOKUP($A122,'DWV PVC'!$A$8:$M$284,11,FALSE),
IF($A122&lt;'DWV ABS'!$A$117,VLOOKUP($A122,'DWV ABS'!$A$8:$M$116,11,FALSE),
IF($A122&lt;'PVC SCH40'!$A$376,VLOOKUP($A122,'PVC SCH40'!$A$8:$M$375,11,FALSE),
IF($A122&lt;'PVC SCH40 LD'!$A$22,VLOOKUP($A122,'PVC SCH40 LD'!$A$8:$M$21,11,FALSE),
IF($A122&lt;'Pool &amp; SPA Sweep Elbows'!$A$12,VLOOKUP($A122,'Pool &amp; SPA Sweep Elbows'!$A$8:$M$11,11,FALSE),
IF($A122&lt;'Pool &amp; SPA Pipe Extender'!$A$11,VLOOKUP($A122,'Pool &amp; SPA Pipe Extender'!$A$8:$M$10,11,FALSE),
IF($A122&lt;'PVC SCH80'!$A$250,VLOOKUP($A122,'PVC SCH80'!$A$8:$M$249,11,FALSE),
IF($A122&lt;'PVC SCH80 Flange'!$A$49,VLOOKUP($A122,'PVC SCH80 Flange'!$A$8:$M$48,11,FALSE),
IF($A122&lt;'PVC SCH80 LD Flange'!$A$17,VLOOKUP($A122,'PVC SCH80 LD Flange'!$A$8:$M$16,11,FALSE),
IF($A122&lt;CPVC!$A$100,VLOOKUP($A122,CPVC!$A$8:$M$99,11,FALSE),
IF($A122&lt;InsertFittings!$A$237,VLOOKUP($A122,InsertFittings!$A$11:$M$236,11,FALSE),
IF($A122&lt;Valves!$A$132,VLOOKUP($A122,Valves!$A$8:$M$131,11,FALSE),
IF($A122&lt;SDR35SW!$A$124,VLOOKUP($A122,SDR35SW!$A$8:$M$123,11,FALSE),
IF($A122&lt;SDR35G!$A$143,VLOOKUP($A122, SDR35G!$A$8:$M$142,11,FALSE),
IF($A122&lt;SDR26G!$A$61,VLOOKUP($A122,SDR26G!$A$8:$N$60,12,FALSE),
IF($A122&lt;Cements!$A$100,VLOOKUP($A122,Cements!$A$8:$Q$99,15,FALSE),
IF($A122&lt;ValveBox!$A$143,VLOOKUP($A122,ValveBox!$A$10:$O$142,13,FALSE),
IF($A122&lt;'ValveBox Components'!$A$165,VLOOKUP($A122,'ValveBox Components'!$A$10:$O$164,13,FALSE),
IF($A122&lt;Drainage!$A$92,VLOOKUP($A122,Drainage!$A$8:$M$91,11,FALSE),
IF($A122&lt;Nipples!$A$82,VLOOKUP($A122,Nipples!$A$9:$Q$81,15,FALSE),
IF($A122&lt;Manifold!$A$33,VLOOKUP($A122,Manifold!$A$9:$M$32,11,FALSE),
IF($A122&lt;FlexibleRepairCouplings!$A$13,VLOOKUP($A122,FlexibleRepairCouplings!$A$10:$M$12,11,FALSE),
IF($A122&lt;DuraFix!$A$15,VLOOKUP($A122,DuraFix!$A$9:$M$14,11,FALSE),
IF($A122&lt;'Compression Fittings'!$A$16,VLOOKUP($A122,'Compression Fittings'!$A$8:$M$15,11,FALSE),
IF($A122&lt;'Hose Fittings'!$A$30,VLOOKUP($A122,'Hose Fittings'!$A$8:$M$29,11,FALSE),
IF($A122&lt;'Swing Joints'!$A$496,VLOOKUP($A122,'Swing Joints'!$A$9:$M$495,11,FALSE),
IF($A122&lt;'Swing Joints Components'!$A$135,VLOOKUP($A122,'Swing Joints Components'!$A$9:$M$134,11,FALSE),
IF($A122&lt;Nonstandard!$A$42,VLOOKUP($A122,Nonstandard!$A$31:$J$41,3,FALSE),"")))))))))))))))))))))))))))),"")</f>
        <v/>
      </c>
      <c r="H122" s="588" t="str">
        <f>IFERROR(IF($A122&lt;'DWV PVC'!$A$285,VLOOKUP($A122,'DWV PVC'!$A$8:$M$284,7,FALSE),
IF($A122&lt;'DWV ABS'!$A$117,VLOOKUP($A122,'DWV ABS'!$A$8:$M$116,7,FALSE),
IF($A122&lt;'PVC SCH40'!$A$376,VLOOKUP($A122,'PVC SCH40'!$A$8:$M$375,7,FALSE),
IF($A122&lt;'PVC SCH40 LD'!$A$22,VLOOKUP($A122,'PVC SCH40 LD'!$A$8:$M$21,7,FALSE),
IF($A122&lt;'Pool &amp; SPA Sweep Elbows'!$A$12,VLOOKUP($A122,'Pool &amp; SPA Sweep Elbows'!$A$8:$M$11,7,FALSE),
IF($A122&lt;'Pool &amp; SPA Pipe Extender'!$A$11,VLOOKUP($A122,'Pool &amp; SPA Pipe Extender'!$A$8:$M$10,7,FALSE),
IF($A122&lt;'PVC SCH80'!$A$250,VLOOKUP($A122,'PVC SCH80'!$A$8:$M$249,7,FALSE),
IF($A122&lt;'PVC SCH80 Flange'!$A$49,VLOOKUP($A122,'PVC SCH80 Flange'!$A$8:$M$48,7,FALSE),
IF($A122&lt;'PVC SCH80 LD Flange'!$A$17,VLOOKUP($A122,'PVC SCH80 LD Flange'!$A$8:$M$16,7,FALSE),
IF($A122&lt;CPVC!$A$100,VLOOKUP($A122,CPVC!$A$8:$M$99,7,FALSE),
IF($A122&lt;InsertFittings!$A$237,VLOOKUP($A122,InsertFittings!$A$11:$M$236,7,FALSE),
IF($A122&lt;Valves!$A$132,VLOOKUP($A122,Valves!$A$8:$M$131,7,FALSE),
IF($A122&lt;SDR35SW!$A$124,VLOOKUP($A122,SDR35SW!$A$8:$M$123,7,FALSE),
IF($A122&lt;SDR35G!$A$143,VLOOKUP($A122, SDR35G!$A$8:$M$142,7,FALSE),
IF($A122&lt;SDR26G!$A$61,VLOOKUP($A122,SDR26G!$A$8:$N$60,10,FALSE),
IF($A122&lt;Cements!$A$100,VLOOKUP($A122,Cements!$A$8:$Q$99,13,FALSE),
IF($A122&lt;ValveBox!$A$143,VLOOKUP($A122,ValveBox!$A$10:$O$142,11,FALSE),
IF($A122&lt;'ValveBox Components'!$A$165,VLOOKUP($A122,'ValveBox Components'!$A$10:$O$164,11,FALSE),
IF($A122&lt;Drainage!$A$92,VLOOKUP($A122,Drainage!$A$8:$M$91,7,FALSE),
IF($A122&lt;Nipples!$A$82,VLOOKUP($A122,Nipples!$A$9:$Q$81,13,FALSE),
IF($A122&lt;Manifold!$A$33,VLOOKUP($A122,Manifold!$A$9:$M$32,7,FALSE),
IF($A122&lt;FlexibleRepairCouplings!$A$13,VLOOKUP($A122,FlexibleRepairCouplings!$A$10:$M$12,7,FALSE),
IF($A122&lt;DuraFix!$A$15,VLOOKUP($A122,DuraFix!$A$9:$M$14,7,FALSE),
IF($A122&lt;'Compression Fittings'!$A$16,VLOOKUP($A122,'Compression Fittings'!$A$8:$M$15,7,FALSE),
IF($A122&lt;'Hose Fittings'!$A$30,VLOOKUP($A122,'Hose Fittings'!$A$8:$M$29,7,FALSE),
IF($A122&lt;'Swing Joints'!$A$496,VLOOKUP($A122,'Swing Joints'!$A$9:$M$495,7,FALSE),
IF($A122&lt;'Swing Joints Components'!$A$135,VLOOKUP($A122,'Swing Joints Components'!$A$9:$M$134,7,FALSE),
IF($A122&lt;Nonstandard!$A$42,VLOOKUP($A122,Nonstandard!$A$31:$J$41,3,FALSE),"")))))))))))))))))))))))))))),"")</f>
        <v/>
      </c>
      <c r="I122" s="589"/>
      <c r="J122" s="423" t="str">
        <f t="shared" si="3"/>
        <v/>
      </c>
      <c r="K122" s="424" t="str">
        <f>IFERROR(IF($A122&lt;'DWV PVC'!$A$285,VLOOKUP($A122,'DWV PVC'!$A$8:$M$284,10,FALSE),
IF($A122&lt;'DWV ABS'!$A$117,VLOOKUP($A122,'DWV ABS'!$A$8:$M$116,10,FALSE),
IF($A122&lt;'PVC SCH40'!$A$376,VLOOKUP($A122,'PVC SCH40'!$A$8:$M$375,10,FALSE),
IF($A122&lt;'PVC SCH40 LD'!$A$22,VLOOKUP($A122,'PVC SCH40 LD'!$A$8:$M$21,10,FALSE),
IF($A122&lt;'Pool &amp; SPA Sweep Elbows'!$A$12,VLOOKUP($A122,'Pool &amp; SPA Sweep Elbows'!$A$8:$M$11,10,FALSE),
IF($A122&lt;'Pool &amp; SPA Pipe Extender'!$A$11,VLOOKUP($A122,'Pool &amp; SPA Pipe Extender'!$A$8:$M$10,10,FALSE),
IF($A122&lt;'PVC SCH80'!$A$250,VLOOKUP($A122,'PVC SCH80'!$A$8:$M$249,10,FALSE),
IF($A122&lt;'PVC SCH80 Flange'!$A$49,VLOOKUP($A122,'PVC SCH80 Flange'!$A$8:$M$48,10,FALSE),
IF($A122&lt;'PVC SCH80 LD Flange'!$A$17,VLOOKUP($A122,'PVC SCH80 LD Flange'!$A$8:$M$16,10,FALSE),
IF($A122&lt;CPVC!$A$100,VLOOKUP($A122,CPVC!$A$8:$M$99,10,FALSE),
IF($A122&lt;InsertFittings!$A$237,VLOOKUP($A122,InsertFittings!$A$11:$M$236,10,FALSE),
IF($A122&lt;Valves!$A$132,VLOOKUP($A122,Valves!$A$8:$M$131,10,FALSE),
IF($A122&lt;SDR35SW!$A$124,VLOOKUP($A122,SDR35SW!$A$8:$M$123,10,FALSE),
IF($A122&lt;SDR35G!$A$143,VLOOKUP($A122, SDR35G!$A$8:$M$142,10,FALSE),
IF($A122&lt;SDR26G!$A$61,VLOOKUP($A122,SDR26G!$A$8:$N$60,11,FALSE),
IF($A122&lt;Cements!$A$100,VLOOKUP($A122,Cements!$A$8:$Q$99,14,FALSE),
IF($A122&lt;ValveBox!$A$143,VLOOKUP($A122,ValveBox!$A$10:$O$142,12,FALSE),
IF($A122&lt;'ValveBox Components'!$A$165,VLOOKUP($A122,'ValveBox Components'!$A$10:$O$164,12,FALSE),
IF($A122&lt;Drainage!$A$92,VLOOKUP($A122,Drainage!$A$8:$M$91,10,FALSE),
IF($A122&lt;Nipples!$A$82,VLOOKUP($A122,Nipples!$A$9:$Q$81,14,FALSE),
IF($A122&lt;Manifold!$A$33,VLOOKUP($A122,Manifold!$A$9:$M$32,10,FALSE),
IF($A122&lt;FlexibleRepairCouplings!$A$13,VLOOKUP($A122,FlexibleRepairCouplings!$A$10:$M$12,10,FALSE),
IF($A122&lt;DuraFix!$A$15,VLOOKUP($A122,DuraFix!$A$9:$M$14,10,FALSE),
IF($A122&lt;'Compression Fittings'!$A$16,VLOOKUP($A122,'Compression Fittings'!$A$8:$M$15,10,FALSE),
IF($A122&lt;'Hose Fittings'!$A$30,VLOOKUP($A122,'Hose Fittings'!$A$8:$M$29,10,FALSE),
IF($A122&lt;'Swing Joints'!$A$496,VLOOKUP($A122,'Swing Joints'!$A$9:$M$495,10,FALSE),
IF($A122&lt;'Swing Joints Components'!$A$135,VLOOKUP($A122,'Swing Joints Components'!$A$9:$M$134,10,FALSE),
IF($A122&lt;Nonstandard!$A$42,VLOOKUP($A122,Nonstandard!$A$31:$J$41,10,FALSE),"")))))))))))))))))))))))))))),"")</f>
        <v/>
      </c>
      <c r="L122" s="421" t="str">
        <f t="shared" si="2"/>
        <v>-</v>
      </c>
      <c r="M122" s="425"/>
    </row>
    <row r="123" spans="1:13" ht="15.75">
      <c r="A123" s="415">
        <v>91</v>
      </c>
      <c r="B123" s="415" t="str">
        <f>IFERROR(IF($A123&lt;'DWV PVC'!$A$285,VLOOKUP($A123,'DWV PVC'!$A$8:$M$284,4,FALSE),
IF($A123&lt;'DWV ABS'!$A$117,VLOOKUP($A123,'DWV ABS'!$A$8:$M$116,4,FALSE),
IF($A123&lt;'PVC SCH40'!$A$376,VLOOKUP($A123,'PVC SCH40'!$A$8:$M$375,4,FALSE),
IF($A123&lt;'PVC SCH40 LD'!$A$22,VLOOKUP($A123,'PVC SCH40 LD'!$A$8:$M$21,4,FALSE),
IF($A123&lt;'Pool &amp; SPA Sweep Elbows'!$A$12,VLOOKUP($A123,'Pool &amp; SPA Sweep Elbows'!$A$8:$M$11,4,FALSE),
IF($A123&lt;'Pool &amp; SPA Pipe Extender'!$A$11,VLOOKUP($A123,'Pool &amp; SPA Pipe Extender'!$A$8:$M$10,4,FALSE),
IF($A123&lt;'PVC SCH80'!$A$250,VLOOKUP($A123,'PVC SCH80'!$A$8:$M$249,4,FALSE),
IF($A123&lt;'PVC SCH80 Flange'!$A$49,VLOOKUP($A123,'PVC SCH80 Flange'!$A$8:$M$48,4,FALSE),
IF($A123&lt;'PVC SCH80 LD Flange'!$A$17,VLOOKUP($A123,'PVC SCH80 LD Flange'!$A$8:$M$16,4,FALSE),
IF($A123&lt;CPVC!$A$100,VLOOKUP($A123,CPVC!$A$8:$M$99,4,FALSE),
IF($A123&lt;InsertFittings!$A$237,VLOOKUP($A123,InsertFittings!$A$11:$M$236,4,FALSE),
IF($A123&lt;Valves!$A$132,VLOOKUP($A123,Valves!$A$8:$M$131,4,FALSE),
IF($A123&lt;SDR35SW!$A$124,VLOOKUP($A123,SDR35SW!$A$8:$M$123,4,FALSE),
IF($A123&lt;SDR35G!$A$143,VLOOKUP($A123, SDR35G!$A$8:$M$142,4,FALSE),
IF($A123&lt;SDR26G!$A$61,VLOOKUP($A123,SDR26G!$A$8:$N$60,4,FALSE),
IF($A123&lt;Cements!$A$100,VLOOKUP($A123,Cements!$A$8:$Q$99,4,FALSE),
IF($A123&lt;ValveBox!$A$143,VLOOKUP($A123,ValveBox!$A$10:$O$142,4,FALSE),
IF($A123&lt;'ValveBox Components'!$A$165,VLOOKUP($A123,'ValveBox Components'!$A$10:$O$164,4,FALSE),
IF($A123&lt;Drainage!$A$92,VLOOKUP($A123,Drainage!$A$8:$M$91,4,FALSE),
IF($A123&lt;Nipples!$A$82,VLOOKUP($A123,Nipples!$A$9:$Q$81,4,FALSE),
IF($A123&lt;Manifold!$A$33,VLOOKUP($A123,Manifold!$A$9:$M$32,4,FALSE),
IF($A123&lt;FlexibleRepairCouplings!$A$13,VLOOKUP($A123,FlexibleRepairCouplings!$A$10:$M$12,4,FALSE),
IF($A123&lt;DuraFix!$A$15,VLOOKUP($A123,DuraFix!$A$9:$M$14,4,FALSE),
IF($A123&lt;'Compression Fittings'!$A$16,VLOOKUP($A123,'Compression Fittings'!$A$8:$M$15,4,FALSE),
IF($A123&lt;'Hose Fittings'!$A$30,VLOOKUP($A123,'Hose Fittings'!$A$8:$M$29,4,FALSE),
IF($A123&lt;'Swing Joints'!$A$496,VLOOKUP($A123,'Swing Joints'!$A$9:$M$495,4,FALSE),
IF($A123&lt;'Swing Joints Components'!$A$135,VLOOKUP($A123,'Swing Joints Components'!$A$9:$M$134,4,FALSE),
IF($A123&lt;Nonstandard!$A$42,VLOOKUP($A123,Nonstandard!$A$31:$J$41,5,FALSE),"")))))))))))))))))))))))))))),"")</f>
        <v/>
      </c>
      <c r="C123" s="415" t="str">
        <f>IFERROR(IF($A123&lt;'DWV PVC'!$A$285,VLOOKUP($A123,'DWV PVC'!$A$8:$M$284,5,FALSE),
IF($A123&lt;'DWV ABS'!$A$117,VLOOKUP($A123,'DWV ABS'!$A$8:$M$116,5,FALSE),
IF($A123&lt;'PVC SCH40'!$A$376,VLOOKUP($A123,'PVC SCH40'!$A$8:$M$375,5,FALSE),
IF($A123&lt;'PVC SCH40 LD'!$A$22,VLOOKUP($A123,'PVC SCH40 LD'!$A$8:$M$21,5,FALSE),
IF($A123&lt;'Pool &amp; SPA Sweep Elbows'!$A$12,VLOOKUP($A123,'Pool &amp; SPA Sweep Elbows'!$A$8:$M$11,5,FALSE),
IF($A123&lt;'Pool &amp; SPA Pipe Extender'!$A$11,VLOOKUP($A123,'Pool &amp; SPA Pipe Extender'!$A$8:$M$10,5,FALSE),
IF($A123&lt;'PVC SCH80'!$A$250,VLOOKUP($A123,'PVC SCH80'!$A$8:$M$249,5,FALSE),
IF($A123&lt;'PVC SCH80 Flange'!$A$49,VLOOKUP($A123,'PVC SCH80 Flange'!$A$8:$M$48,5,FALSE),
IF($A123&lt;'PVC SCH80 LD Flange'!$A$17,VLOOKUP($A123,'PVC SCH80 LD Flange'!$A$8:$M$16,5,FALSE),
IF($A123&lt;CPVC!$A$100,VLOOKUP($A123,CPVC!$A$8:$M$99,5,FALSE),
IF($A123&lt;InsertFittings!$A$237,VLOOKUP($A123,InsertFittings!$A$11:$M$236,5,FALSE),
IF($A123&lt;Valves!$A$132,VLOOKUP($A123,Valves!$A$8:$M$131,5,FALSE),
IF($A123&lt;SDR35SW!$A$124,VLOOKUP($A123,SDR35SW!$A$8:$M$123,5,FALSE),
IF($A123&lt;SDR35G!$A$143,VLOOKUP($A123, SDR35G!$A$8:$M$142,5,FALSE),
IF($A123&lt;SDR26G!$A$61,VLOOKUP($A123,SDR26G!$A$8:$N$60,5,FALSE),
IF($A123&lt;Cements!$A$100,VLOOKUP($A123,Cements!$A$8:$Q$99,5,FALSE),
IF($A123&lt;ValveBox!$A$143,VLOOKUP($A123,ValveBox!$A$10:$O$142,5,FALSE),
IF($A123&lt;'ValveBox Components'!$A$165,VLOOKUP($A123,'ValveBox Components'!$A$10:$O$164,5,FALSE),
IF($A123&lt;Drainage!$A$92,VLOOKUP($A123,Drainage!$A$8:$M$91,5,FALSE),
IF($A123&lt;Nipples!$A$82,VLOOKUP($A123,Nipples!$A$9:$Q$81,5,FALSE),
IF($A123&lt;Manifold!$A$33,VLOOKUP($A123,Manifold!$A$9:$M$32,5,FALSE),
IF($A123&lt;FlexibleRepairCouplings!$A$13,VLOOKUP($A123,FlexibleRepairCouplings!$A$10:$M$12,5,FALSE),
IF($A123&lt;DuraFix!$A$15,VLOOKUP($A123,DuraFix!$A$9:$M$14,5,FALSE),
IF($A123&lt;'Compression Fittings'!$A$16,VLOOKUP($A123,'Compression Fittings'!$A$8:$M$15,5,FALSE),
IF($A123&lt;'Hose Fittings'!$A$30,VLOOKUP($A123,'Hose Fittings'!$A$8:$M$29,5,FALSE),
IF($A123&lt;'Swing Joints'!$A$496,VLOOKUP($A123,'Swing Joints'!$A$9:$M$495,5,FALSE),
IF($A123&lt;'Swing Joints Components'!$A$135,VLOOKUP($A123,'Swing Joints Components'!$A$9:$M$134,5,FALSE),
IF($A123&lt;Nonstandard!$A$42,VLOOKUP($A123,Nonstandard!$A$31:$J$41,6,FALSE),"")))))))))))))))))))))))))))),"")</f>
        <v/>
      </c>
      <c r="D123" s="426" t="str">
        <f>IFERROR(IF($A123&lt;'DWV PVC'!$A$285,VLOOKUP($A123,'DWV PVC'!$A$8:$M$284,6,FALSE),
IF($A123&lt;'DWV ABS'!$A$117,VLOOKUP($A123,'DWV ABS'!$A$8:$M$116,6,FALSE),
IF($A123&lt;'PVC SCH40'!$A$376,VLOOKUP($A123,'PVC SCH40'!$A$8:$M$375,6,FALSE),
IF($A123&lt;'PVC SCH40 LD'!$A$22,VLOOKUP($A123,'PVC SCH40 LD'!$A$8:$M$21,6,FALSE),
IF($A123&lt;'Pool &amp; SPA Sweep Elbows'!$A$12,VLOOKUP($A123,'Pool &amp; SPA Sweep Elbows'!$A$8:$M$11,6,FALSE),
IF($A123&lt;'Pool &amp; SPA Pipe Extender'!$A$11,VLOOKUP($A123,'Pool &amp; SPA Pipe Extender'!$A$8:$M$10,6,FALSE),
IF($A123&lt;'PVC SCH80'!$A$250,VLOOKUP($A123,'PVC SCH80'!$A$8:$M$249,6,FALSE),
IF($A123&lt;'PVC SCH80 Flange'!$A$49,VLOOKUP($A123,'PVC SCH80 Flange'!$A$8:$M$48,6,FALSE),
IF($A123&lt;'PVC SCH80 LD Flange'!$A$17,VLOOKUP($A123,'PVC SCH80 LD Flange'!$A$8:$M$16,6,FALSE),
IF($A123&lt;CPVC!$A$100,VLOOKUP($A123,CPVC!$A$8:$M$99,6,FALSE),
IF($A123&lt;InsertFittings!$A$237,VLOOKUP($A123,InsertFittings!$A$11:$M$236,6,FALSE),
IF($A123&lt;Valves!$A$132,VLOOKUP($A123,Valves!$A$8:$M$131,6,FALSE),
IF($A123&lt;SDR35SW!$A$124,VLOOKUP($A123,SDR35SW!$A$8:$M$123,6,FALSE),
IF($A123&lt;SDR35G!$A$143,VLOOKUP($A123, SDR35G!$A$8:$M$142,6,FALSE),
IF($A123&lt;SDR26G!$A$61,VLOOKUP($A123,SDR26G!$A$8:$N$60,6,FALSE),
IF($A123&lt;Cements!$A$100,VLOOKUP($A123,Cements!$A$8:$Q$99,6,FALSE),
IF($A123&lt;ValveBox!$A$143,VLOOKUP($A123,ValveBox!$A$10:$O$142,6,FALSE),
IF($A123&lt;'ValveBox Components'!$A$165,VLOOKUP($A123,'ValveBox Components'!$A$10:$O$164,6,FALSE),
IF($A123&lt;Drainage!$A$92,VLOOKUP($A123,Drainage!$A$8:$M$91,6,FALSE),
IF($A123&lt;Nipples!$A$82,VLOOKUP($A123,Nipples!$A$9:$Q$81,6,FALSE),
IF($A123&lt;Manifold!$A$33,VLOOKUP($A123,Manifold!$A$9:$M$32,6,FALSE),
IF($A123&lt;FlexibleRepairCouplings!$A$13,VLOOKUP($A123,FlexibleRepairCouplings!$A$10:$M$12,6,FALSE),
IF($A123&lt;DuraFix!$A$15,VLOOKUP($A123,DuraFix!$A$9:$M$14,6,FALSE),
IF($A123&lt;'Compression Fittings'!$A$16,VLOOKUP($A123,'Compression Fittings'!$A$8:$M$15,6,FALSE),
IF($A123&lt;'Hose Fittings'!$A$30,VLOOKUP($A123,'Hose Fittings'!$A$8:$M$29,6,FALSE),
IF($A123&lt;'Swing Joints'!$A$496,VLOOKUP($A123,'Swing Joints'!$A$9:$M$495,6,FALSE),
IF($A123&lt;'Swing Joints Components'!$A$135,VLOOKUP($A123,'Swing Joints Components'!$A$9:$M$134,6,FALSE),
IF($A123&lt;Nonstandard!$A$42,VLOOKUP($A123,Nonstandard!$A$31:$J$41,7,FALSE),"")))))))))))))))))))))))))))),"")</f>
        <v/>
      </c>
      <c r="E123" s="427"/>
      <c r="F123" s="418" t="str">
        <f>IFERROR(IF($A123&lt;'DWV PVC'!$A$285,VLOOKUP($A123,'DWV PVC'!$A$8:$M$284,9,FALSE),
IF($A123&lt;'DWV ABS'!$A$117,VLOOKUP($A123,'DWV ABS'!$A$8:$M$116,9,FALSE),
IF($A123&lt;'PVC SCH40'!$A$376,VLOOKUP($A123,'PVC SCH40'!$A$8:$M$375,9,FALSE),
IF($A123&lt;'PVC SCH40 LD'!$A$22,VLOOKUP($A123,'PVC SCH40 LD'!$A$8:$M$21,9,FALSE),
IF($A123&lt;'Pool &amp; SPA Sweep Elbows'!$A$12,VLOOKUP($A123,'Pool &amp; SPA Sweep Elbows'!$A$8:$M$11,9,FALSE),
IF($A123&lt;'Pool &amp; SPA Pipe Extender'!$A$11,VLOOKUP($A123,'Pool &amp; SPA Pipe Extender'!$A$8:$M$10,9,FALSE),
IF($A123&lt;'PVC SCH80'!$A$250,VLOOKUP($A123,'PVC SCH80'!$A$8:$M$249,9,FALSE),
IF($A123&lt;'PVC SCH80 Flange'!$A$49,VLOOKUP($A123,'PVC SCH80 Flange'!$A$8:$M$48,9,FALSE),
IF($A123&lt;'PVC SCH80 LD Flange'!$A$17,VLOOKUP($A123,'PVC SCH80 LD Flange'!$A$8:$M$16,9,FALSE),
IF($A123&lt;CPVC!$A$100,VLOOKUP($A123,CPVC!$A$8:$M$99,9,FALSE),
IF($A123&lt;InsertFittings!$A$237,VLOOKUP($A123,InsertFittings!$A$11:$M$236,9,FALSE),
IF($A123&lt;Valves!$A$132,VLOOKUP($A123,Valves!$A$8:$M$131,9,FALSE),
IF($A123&lt;SDR35SW!$A$124,VLOOKUP($A123,SDR35SW!$A$8:$M$123,9,FALSE),
IF($A123&lt;SDR35G!$A$143,VLOOKUP($A123, SDR35G!$A$8:$M$142,9,FALSE),
IF($A123&lt;SDR26G!$A$61,VLOOKUP($A123,SDR26G!$A$8:$N$60,10,FALSE),
IF($A123&lt;Cements!$A$100,VLOOKUP($A123,Cements!$A$8:$Q$99,13,FALSE),
IF($A123&lt;ValveBox!$A$143,VLOOKUP($A123,ValveBox!$A$10:$O$142,11,FALSE),
IF($A123&lt;'ValveBox Components'!$A$165,VLOOKUP($A123,'ValveBox Components'!$A$10:$O$164,11,FALSE),
IF($A123&lt;Drainage!$A$92,VLOOKUP($A123,Drainage!$A$8:$M$91,9,FALSE),
IF($A123&lt;Nipples!$A$82,VLOOKUP($A123,Nipples!$A$9:$Q$81,13,FALSE),
IF($A123&lt;Manifold!$A$33,VLOOKUP($A123,Manifold!$A$9:$M$32,9,FALSE),
IF($A123&lt;FlexibleRepairCouplings!$A$13,VLOOKUP($A123,FlexibleRepairCouplings!$A$10:$M$12,9,FALSE),
IF($A123&lt;DuraFix!$A$15,VLOOKUP($A123,DuraFix!$A$9:$M$14,9,FALSE),
IF($A123&lt;'Compression Fittings'!$A$16,VLOOKUP($A123,'Compression Fittings'!$A$8:$M$15,9,FALSE),
IF($A123&lt;'Hose Fittings'!$A$30,VLOOKUP($A123,'Hose Fittings'!$A$8:$M$29,9,FALSE),
IF($A123&lt;'Swing Joints'!$A$496,VLOOKUP($A123,'Swing Joints'!$A$9:$M$495,9,FALSE),
IF($A123&lt;'Swing Joints Components'!$A$135,VLOOKUP($A123,'Swing Joints Components'!$A$9:$M$134,9,FALSE),
IF($A123&lt;Nonstandard!$A$42,VLOOKUP($A123,Nonstandard!$A$31:$J$41,8,FALSE),"")))))))))))))))))))))))))))),"")</f>
        <v/>
      </c>
      <c r="G123" s="416" t="str">
        <f>IFERROR(IF($A123&lt;'DWV PVC'!$A$285,VLOOKUP($A123,'DWV PVC'!$A$8:$M$284,11,FALSE),
IF($A123&lt;'DWV ABS'!$A$117,VLOOKUP($A123,'DWV ABS'!$A$8:$M$116,11,FALSE),
IF($A123&lt;'PVC SCH40'!$A$376,VLOOKUP($A123,'PVC SCH40'!$A$8:$M$375,11,FALSE),
IF($A123&lt;'PVC SCH40 LD'!$A$22,VLOOKUP($A123,'PVC SCH40 LD'!$A$8:$M$21,11,FALSE),
IF($A123&lt;'Pool &amp; SPA Sweep Elbows'!$A$12,VLOOKUP($A123,'Pool &amp; SPA Sweep Elbows'!$A$8:$M$11,11,FALSE),
IF($A123&lt;'Pool &amp; SPA Pipe Extender'!$A$11,VLOOKUP($A123,'Pool &amp; SPA Pipe Extender'!$A$8:$M$10,11,FALSE),
IF($A123&lt;'PVC SCH80'!$A$250,VLOOKUP($A123,'PVC SCH80'!$A$8:$M$249,11,FALSE),
IF($A123&lt;'PVC SCH80 Flange'!$A$49,VLOOKUP($A123,'PVC SCH80 Flange'!$A$8:$M$48,11,FALSE),
IF($A123&lt;'PVC SCH80 LD Flange'!$A$17,VLOOKUP($A123,'PVC SCH80 LD Flange'!$A$8:$M$16,11,FALSE),
IF($A123&lt;CPVC!$A$100,VLOOKUP($A123,CPVC!$A$8:$M$99,11,FALSE),
IF($A123&lt;InsertFittings!$A$237,VLOOKUP($A123,InsertFittings!$A$11:$M$236,11,FALSE),
IF($A123&lt;Valves!$A$132,VLOOKUP($A123,Valves!$A$8:$M$131,11,FALSE),
IF($A123&lt;SDR35SW!$A$124,VLOOKUP($A123,SDR35SW!$A$8:$M$123,11,FALSE),
IF($A123&lt;SDR35G!$A$143,VLOOKUP($A123, SDR35G!$A$8:$M$142,11,FALSE),
IF($A123&lt;SDR26G!$A$61,VLOOKUP($A123,SDR26G!$A$8:$N$60,12,FALSE),
IF($A123&lt;Cements!$A$100,VLOOKUP($A123,Cements!$A$8:$Q$99,15,FALSE),
IF($A123&lt;ValveBox!$A$143,VLOOKUP($A123,ValveBox!$A$10:$O$142,13,FALSE),
IF($A123&lt;'ValveBox Components'!$A$165,VLOOKUP($A123,'ValveBox Components'!$A$10:$O$164,13,FALSE),
IF($A123&lt;Drainage!$A$92,VLOOKUP($A123,Drainage!$A$8:$M$91,11,FALSE),
IF($A123&lt;Nipples!$A$82,VLOOKUP($A123,Nipples!$A$9:$Q$81,15,FALSE),
IF($A123&lt;Manifold!$A$33,VLOOKUP($A123,Manifold!$A$9:$M$32,11,FALSE),
IF($A123&lt;FlexibleRepairCouplings!$A$13,VLOOKUP($A123,FlexibleRepairCouplings!$A$10:$M$12,11,FALSE),
IF($A123&lt;DuraFix!$A$15,VLOOKUP($A123,DuraFix!$A$9:$M$14,11,FALSE),
IF($A123&lt;'Compression Fittings'!$A$16,VLOOKUP($A123,'Compression Fittings'!$A$8:$M$15,11,FALSE),
IF($A123&lt;'Hose Fittings'!$A$30,VLOOKUP($A123,'Hose Fittings'!$A$8:$M$29,11,FALSE),
IF($A123&lt;'Swing Joints'!$A$496,VLOOKUP($A123,'Swing Joints'!$A$9:$M$495,11,FALSE),
IF($A123&lt;'Swing Joints Components'!$A$135,VLOOKUP($A123,'Swing Joints Components'!$A$9:$M$134,11,FALSE),
IF($A123&lt;Nonstandard!$A$42,VLOOKUP($A123,Nonstandard!$A$31:$J$41,3,FALSE),"")))))))))))))))))))))))))))),"")</f>
        <v/>
      </c>
      <c r="H123" s="586" t="str">
        <f>IFERROR(IF($A123&lt;'DWV PVC'!$A$285,VLOOKUP($A123,'DWV PVC'!$A$8:$M$284,7,FALSE),
IF($A123&lt;'DWV ABS'!$A$117,VLOOKUP($A123,'DWV ABS'!$A$8:$M$116,7,FALSE),
IF($A123&lt;'PVC SCH40'!$A$376,VLOOKUP($A123,'PVC SCH40'!$A$8:$M$375,7,FALSE),
IF($A123&lt;'PVC SCH40 LD'!$A$22,VLOOKUP($A123,'PVC SCH40 LD'!$A$8:$M$21,7,FALSE),
IF($A123&lt;'Pool &amp; SPA Sweep Elbows'!$A$12,VLOOKUP($A123,'Pool &amp; SPA Sweep Elbows'!$A$8:$M$11,7,FALSE),
IF($A123&lt;'Pool &amp; SPA Pipe Extender'!$A$11,VLOOKUP($A123,'Pool &amp; SPA Pipe Extender'!$A$8:$M$10,7,FALSE),
IF($A123&lt;'PVC SCH80'!$A$250,VLOOKUP($A123,'PVC SCH80'!$A$8:$M$249,7,FALSE),
IF($A123&lt;'PVC SCH80 Flange'!$A$49,VLOOKUP($A123,'PVC SCH80 Flange'!$A$8:$M$48,7,FALSE),
IF($A123&lt;'PVC SCH80 LD Flange'!$A$17,VLOOKUP($A123,'PVC SCH80 LD Flange'!$A$8:$M$16,7,FALSE),
IF($A123&lt;CPVC!$A$100,VLOOKUP($A123,CPVC!$A$8:$M$99,7,FALSE),
IF($A123&lt;InsertFittings!$A$237,VLOOKUP($A123,InsertFittings!$A$11:$M$236,7,FALSE),
IF($A123&lt;Valves!$A$132,VLOOKUP($A123,Valves!$A$8:$M$131,7,FALSE),
IF($A123&lt;SDR35SW!$A$124,VLOOKUP($A123,SDR35SW!$A$8:$M$123,7,FALSE),
IF($A123&lt;SDR35G!$A$143,VLOOKUP($A123, SDR35G!$A$8:$M$142,7,FALSE),
IF($A123&lt;SDR26G!$A$61,VLOOKUP($A123,SDR26G!$A$8:$N$60,10,FALSE),
IF($A123&lt;Cements!$A$100,VLOOKUP($A123,Cements!$A$8:$Q$99,13,FALSE),
IF($A123&lt;ValveBox!$A$143,VLOOKUP($A123,ValveBox!$A$10:$O$142,11,FALSE),
IF($A123&lt;'ValveBox Components'!$A$165,VLOOKUP($A123,'ValveBox Components'!$A$10:$O$164,11,FALSE),
IF($A123&lt;Drainage!$A$92,VLOOKUP($A123,Drainage!$A$8:$M$91,7,FALSE),
IF($A123&lt;Nipples!$A$82,VLOOKUP($A123,Nipples!$A$9:$Q$81,13,FALSE),
IF($A123&lt;Manifold!$A$33,VLOOKUP($A123,Manifold!$A$9:$M$32,7,FALSE),
IF($A123&lt;FlexibleRepairCouplings!$A$13,VLOOKUP($A123,FlexibleRepairCouplings!$A$10:$M$12,7,FALSE),
IF($A123&lt;DuraFix!$A$15,VLOOKUP($A123,DuraFix!$A$9:$M$14,7,FALSE),
IF($A123&lt;'Compression Fittings'!$A$16,VLOOKUP($A123,'Compression Fittings'!$A$8:$M$15,7,FALSE),
IF($A123&lt;'Hose Fittings'!$A$30,VLOOKUP($A123,'Hose Fittings'!$A$8:$M$29,7,FALSE),
IF($A123&lt;'Swing Joints'!$A$496,VLOOKUP($A123,'Swing Joints'!$A$9:$M$495,7,FALSE),
IF($A123&lt;'Swing Joints Components'!$A$135,VLOOKUP($A123,'Swing Joints Components'!$A$9:$M$134,7,FALSE),
IF($A123&lt;Nonstandard!$A$42,VLOOKUP($A123,Nonstandard!$A$31:$J$41,3,FALSE),"")))))))))))))))))))))))))))),"")</f>
        <v/>
      </c>
      <c r="I123" s="587"/>
      <c r="J123" s="383" t="str">
        <f t="shared" si="3"/>
        <v/>
      </c>
      <c r="K123" s="417" t="str">
        <f>IFERROR(IF($A123&lt;'DWV PVC'!$A$285,VLOOKUP($A123,'DWV PVC'!$A$8:$M$284,10,FALSE),
IF($A123&lt;'DWV ABS'!$A$117,VLOOKUP($A123,'DWV ABS'!$A$8:$M$116,10,FALSE),
IF($A123&lt;'PVC SCH40'!$A$376,VLOOKUP($A123,'PVC SCH40'!$A$8:$M$375,10,FALSE),
IF($A123&lt;'PVC SCH40 LD'!$A$22,VLOOKUP($A123,'PVC SCH40 LD'!$A$8:$M$21,10,FALSE),
IF($A123&lt;'Pool &amp; SPA Sweep Elbows'!$A$12,VLOOKUP($A123,'Pool &amp; SPA Sweep Elbows'!$A$8:$M$11,10,FALSE),
IF($A123&lt;'Pool &amp; SPA Pipe Extender'!$A$11,VLOOKUP($A123,'Pool &amp; SPA Pipe Extender'!$A$8:$M$10,10,FALSE),
IF($A123&lt;'PVC SCH80'!$A$250,VLOOKUP($A123,'PVC SCH80'!$A$8:$M$249,10,FALSE),
IF($A123&lt;'PVC SCH80 Flange'!$A$49,VLOOKUP($A123,'PVC SCH80 Flange'!$A$8:$M$48,10,FALSE),
IF($A123&lt;'PVC SCH80 LD Flange'!$A$17,VLOOKUP($A123,'PVC SCH80 LD Flange'!$A$8:$M$16,10,FALSE),
IF($A123&lt;CPVC!$A$100,VLOOKUP($A123,CPVC!$A$8:$M$99,10,FALSE),
IF($A123&lt;InsertFittings!$A$237,VLOOKUP($A123,InsertFittings!$A$11:$M$236,10,FALSE),
IF($A123&lt;Valves!$A$132,VLOOKUP($A123,Valves!$A$8:$M$131,10,FALSE),
IF($A123&lt;SDR35SW!$A$124,VLOOKUP($A123,SDR35SW!$A$8:$M$123,10,FALSE),
IF($A123&lt;SDR35G!$A$143,VLOOKUP($A123, SDR35G!$A$8:$M$142,10,FALSE),
IF($A123&lt;SDR26G!$A$61,VLOOKUP($A123,SDR26G!$A$8:$N$60,11,FALSE),
IF($A123&lt;Cements!$A$100,VLOOKUP($A123,Cements!$A$8:$Q$99,14,FALSE),
IF($A123&lt;ValveBox!$A$143,VLOOKUP($A123,ValveBox!$A$10:$O$142,12,FALSE),
IF($A123&lt;'ValveBox Components'!$A$165,VLOOKUP($A123,'ValveBox Components'!$A$10:$O$164,12,FALSE),
IF($A123&lt;Drainage!$A$92,VLOOKUP($A123,Drainage!$A$8:$M$91,10,FALSE),
IF($A123&lt;Nipples!$A$82,VLOOKUP($A123,Nipples!$A$9:$Q$81,14,FALSE),
IF($A123&lt;Manifold!$A$33,VLOOKUP($A123,Manifold!$A$9:$M$32,10,FALSE),
IF($A123&lt;FlexibleRepairCouplings!$A$13,VLOOKUP($A123,FlexibleRepairCouplings!$A$10:$M$12,10,FALSE),
IF($A123&lt;DuraFix!$A$15,VLOOKUP($A123,DuraFix!$A$9:$M$14,10,FALSE),
IF($A123&lt;'Compression Fittings'!$A$16,VLOOKUP($A123,'Compression Fittings'!$A$8:$M$15,10,FALSE),
IF($A123&lt;'Hose Fittings'!$A$30,VLOOKUP($A123,'Hose Fittings'!$A$8:$M$29,10,FALSE),
IF($A123&lt;'Swing Joints'!$A$496,VLOOKUP($A123,'Swing Joints'!$A$9:$M$495,10,FALSE),
IF($A123&lt;'Swing Joints Components'!$A$135,VLOOKUP($A123,'Swing Joints Components'!$A$9:$M$134,10,FALSE),
IF($A123&lt;Nonstandard!$A$42,VLOOKUP($A123,Nonstandard!$A$31:$J$41,10,FALSE),"")))))))))))))))))))))))))))),"")</f>
        <v/>
      </c>
      <c r="L123" s="418" t="str">
        <f t="shared" si="2"/>
        <v>-</v>
      </c>
      <c r="M123" s="419"/>
    </row>
    <row r="124" spans="1:13" ht="15.75">
      <c r="A124" s="420">
        <v>92</v>
      </c>
      <c r="B124" s="420" t="str">
        <f>IFERROR(IF($A124&lt;'DWV PVC'!$A$285,VLOOKUP($A124,'DWV PVC'!$A$8:$M$284,4,FALSE),
IF($A124&lt;'DWV ABS'!$A$117,VLOOKUP($A124,'DWV ABS'!$A$8:$M$116,4,FALSE),
IF($A124&lt;'PVC SCH40'!$A$376,VLOOKUP($A124,'PVC SCH40'!$A$8:$M$375,4,FALSE),
IF($A124&lt;'PVC SCH40 LD'!$A$22,VLOOKUP($A124,'PVC SCH40 LD'!$A$8:$M$21,4,FALSE),
IF($A124&lt;'Pool &amp; SPA Sweep Elbows'!$A$12,VLOOKUP($A124,'Pool &amp; SPA Sweep Elbows'!$A$8:$M$11,4,FALSE),
IF($A124&lt;'Pool &amp; SPA Pipe Extender'!$A$11,VLOOKUP($A124,'Pool &amp; SPA Pipe Extender'!$A$8:$M$10,4,FALSE),
IF($A124&lt;'PVC SCH80'!$A$250,VLOOKUP($A124,'PVC SCH80'!$A$8:$M$249,4,FALSE),
IF($A124&lt;'PVC SCH80 Flange'!$A$49,VLOOKUP($A124,'PVC SCH80 Flange'!$A$8:$M$48,4,FALSE),
IF($A124&lt;'PVC SCH80 LD Flange'!$A$17,VLOOKUP($A124,'PVC SCH80 LD Flange'!$A$8:$M$16,4,FALSE),
IF($A124&lt;CPVC!$A$100,VLOOKUP($A124,CPVC!$A$8:$M$99,4,FALSE),
IF($A124&lt;InsertFittings!$A$237,VLOOKUP($A124,InsertFittings!$A$11:$M$236,4,FALSE),
IF($A124&lt;Valves!$A$132,VLOOKUP($A124,Valves!$A$8:$M$131,4,FALSE),
IF($A124&lt;SDR35SW!$A$124,VLOOKUP($A124,SDR35SW!$A$8:$M$123,4,FALSE),
IF($A124&lt;SDR35G!$A$143,VLOOKUP($A124, SDR35G!$A$8:$M$142,4,FALSE),
IF($A124&lt;SDR26G!$A$61,VLOOKUP($A124,SDR26G!$A$8:$N$60,4,FALSE),
IF($A124&lt;Cements!$A$100,VLOOKUP($A124,Cements!$A$8:$Q$99,4,FALSE),
IF($A124&lt;ValveBox!$A$143,VLOOKUP($A124,ValveBox!$A$10:$O$142,4,FALSE),
IF($A124&lt;'ValveBox Components'!$A$165,VLOOKUP($A124,'ValveBox Components'!$A$10:$O$164,4,FALSE),
IF($A124&lt;Drainage!$A$92,VLOOKUP($A124,Drainage!$A$8:$M$91,4,FALSE),
IF($A124&lt;Nipples!$A$82,VLOOKUP($A124,Nipples!$A$9:$Q$81,4,FALSE),
IF($A124&lt;Manifold!$A$33,VLOOKUP($A124,Manifold!$A$9:$M$32,4,FALSE),
IF($A124&lt;FlexibleRepairCouplings!$A$13,VLOOKUP($A124,FlexibleRepairCouplings!$A$10:$M$12,4,FALSE),
IF($A124&lt;DuraFix!$A$15,VLOOKUP($A124,DuraFix!$A$9:$M$14,4,FALSE),
IF($A124&lt;'Compression Fittings'!$A$16,VLOOKUP($A124,'Compression Fittings'!$A$8:$M$15,4,FALSE),
IF($A124&lt;'Hose Fittings'!$A$30,VLOOKUP($A124,'Hose Fittings'!$A$8:$M$29,4,FALSE),
IF($A124&lt;'Swing Joints'!$A$496,VLOOKUP($A124,'Swing Joints'!$A$9:$M$495,4,FALSE),
IF($A124&lt;'Swing Joints Components'!$A$135,VLOOKUP($A124,'Swing Joints Components'!$A$9:$M$134,4,FALSE),
IF($A124&lt;Nonstandard!$A$42,VLOOKUP($A124,Nonstandard!$A$31:$J$41,5,FALSE),"")))))))))))))))))))))))))))),"")</f>
        <v/>
      </c>
      <c r="C124" s="420" t="str">
        <f>IFERROR(IF($A124&lt;'DWV PVC'!$A$285,VLOOKUP($A124,'DWV PVC'!$A$8:$M$284,5,FALSE),
IF($A124&lt;'DWV ABS'!$A$117,VLOOKUP($A124,'DWV ABS'!$A$8:$M$116,5,FALSE),
IF($A124&lt;'PVC SCH40'!$A$376,VLOOKUP($A124,'PVC SCH40'!$A$8:$M$375,5,FALSE),
IF($A124&lt;'PVC SCH40 LD'!$A$22,VLOOKUP($A124,'PVC SCH40 LD'!$A$8:$M$21,5,FALSE),
IF($A124&lt;'Pool &amp; SPA Sweep Elbows'!$A$12,VLOOKUP($A124,'Pool &amp; SPA Sweep Elbows'!$A$8:$M$11,5,FALSE),
IF($A124&lt;'Pool &amp; SPA Pipe Extender'!$A$11,VLOOKUP($A124,'Pool &amp; SPA Pipe Extender'!$A$8:$M$10,5,FALSE),
IF($A124&lt;'PVC SCH80'!$A$250,VLOOKUP($A124,'PVC SCH80'!$A$8:$M$249,5,FALSE),
IF($A124&lt;'PVC SCH80 Flange'!$A$49,VLOOKUP($A124,'PVC SCH80 Flange'!$A$8:$M$48,5,FALSE),
IF($A124&lt;'PVC SCH80 LD Flange'!$A$17,VLOOKUP($A124,'PVC SCH80 LD Flange'!$A$8:$M$16,5,FALSE),
IF($A124&lt;CPVC!$A$100,VLOOKUP($A124,CPVC!$A$8:$M$99,5,FALSE),
IF($A124&lt;InsertFittings!$A$237,VLOOKUP($A124,InsertFittings!$A$11:$M$236,5,FALSE),
IF($A124&lt;Valves!$A$132,VLOOKUP($A124,Valves!$A$8:$M$131,5,FALSE),
IF($A124&lt;SDR35SW!$A$124,VLOOKUP($A124,SDR35SW!$A$8:$M$123,5,FALSE),
IF($A124&lt;SDR35G!$A$143,VLOOKUP($A124, SDR35G!$A$8:$M$142,5,FALSE),
IF($A124&lt;SDR26G!$A$61,VLOOKUP($A124,SDR26G!$A$8:$N$60,5,FALSE),
IF($A124&lt;Cements!$A$100,VLOOKUP($A124,Cements!$A$8:$Q$99,5,FALSE),
IF($A124&lt;ValveBox!$A$143,VLOOKUP($A124,ValveBox!$A$10:$O$142,5,FALSE),
IF($A124&lt;'ValveBox Components'!$A$165,VLOOKUP($A124,'ValveBox Components'!$A$10:$O$164,5,FALSE),
IF($A124&lt;Drainage!$A$92,VLOOKUP($A124,Drainage!$A$8:$M$91,5,FALSE),
IF($A124&lt;Nipples!$A$82,VLOOKUP($A124,Nipples!$A$9:$Q$81,5,FALSE),
IF($A124&lt;Manifold!$A$33,VLOOKUP($A124,Manifold!$A$9:$M$32,5,FALSE),
IF($A124&lt;FlexibleRepairCouplings!$A$13,VLOOKUP($A124,FlexibleRepairCouplings!$A$10:$M$12,5,FALSE),
IF($A124&lt;DuraFix!$A$15,VLOOKUP($A124,DuraFix!$A$9:$M$14,5,FALSE),
IF($A124&lt;'Compression Fittings'!$A$16,VLOOKUP($A124,'Compression Fittings'!$A$8:$M$15,5,FALSE),
IF($A124&lt;'Hose Fittings'!$A$30,VLOOKUP($A124,'Hose Fittings'!$A$8:$M$29,5,FALSE),
IF($A124&lt;'Swing Joints'!$A$496,VLOOKUP($A124,'Swing Joints'!$A$9:$M$495,5,FALSE),
IF($A124&lt;'Swing Joints Components'!$A$135,VLOOKUP($A124,'Swing Joints Components'!$A$9:$M$134,5,FALSE),
IF($A124&lt;Nonstandard!$A$42,VLOOKUP($A124,Nonstandard!$A$31:$J$41,6,FALSE),"")))))))))))))))))))))))))))),"")</f>
        <v/>
      </c>
      <c r="D124" s="428" t="str">
        <f>IFERROR(IF($A124&lt;'DWV PVC'!$A$285,VLOOKUP($A124,'DWV PVC'!$A$8:$M$284,6,FALSE),
IF($A124&lt;'DWV ABS'!$A$117,VLOOKUP($A124,'DWV ABS'!$A$8:$M$116,6,FALSE),
IF($A124&lt;'PVC SCH40'!$A$376,VLOOKUP($A124,'PVC SCH40'!$A$8:$M$375,6,FALSE),
IF($A124&lt;'PVC SCH40 LD'!$A$22,VLOOKUP($A124,'PVC SCH40 LD'!$A$8:$M$21,6,FALSE),
IF($A124&lt;'Pool &amp; SPA Sweep Elbows'!$A$12,VLOOKUP($A124,'Pool &amp; SPA Sweep Elbows'!$A$8:$M$11,6,FALSE),
IF($A124&lt;'Pool &amp; SPA Pipe Extender'!$A$11,VLOOKUP($A124,'Pool &amp; SPA Pipe Extender'!$A$8:$M$10,6,FALSE),
IF($A124&lt;'PVC SCH80'!$A$250,VLOOKUP($A124,'PVC SCH80'!$A$8:$M$249,6,FALSE),
IF($A124&lt;'PVC SCH80 Flange'!$A$49,VLOOKUP($A124,'PVC SCH80 Flange'!$A$8:$M$48,6,FALSE),
IF($A124&lt;'PVC SCH80 LD Flange'!$A$17,VLOOKUP($A124,'PVC SCH80 LD Flange'!$A$8:$M$16,6,FALSE),
IF($A124&lt;CPVC!$A$100,VLOOKUP($A124,CPVC!$A$8:$M$99,6,FALSE),
IF($A124&lt;InsertFittings!$A$237,VLOOKUP($A124,InsertFittings!$A$11:$M$236,6,FALSE),
IF($A124&lt;Valves!$A$132,VLOOKUP($A124,Valves!$A$8:$M$131,6,FALSE),
IF($A124&lt;SDR35SW!$A$124,VLOOKUP($A124,SDR35SW!$A$8:$M$123,6,FALSE),
IF($A124&lt;SDR35G!$A$143,VLOOKUP($A124, SDR35G!$A$8:$M$142,6,FALSE),
IF($A124&lt;SDR26G!$A$61,VLOOKUP($A124,SDR26G!$A$8:$N$60,6,FALSE),
IF($A124&lt;Cements!$A$100,VLOOKUP($A124,Cements!$A$8:$Q$99,6,FALSE),
IF($A124&lt;ValveBox!$A$143,VLOOKUP($A124,ValveBox!$A$10:$O$142,6,FALSE),
IF($A124&lt;'ValveBox Components'!$A$165,VLOOKUP($A124,'ValveBox Components'!$A$10:$O$164,6,FALSE),
IF($A124&lt;Drainage!$A$92,VLOOKUP($A124,Drainage!$A$8:$M$91,6,FALSE),
IF($A124&lt;Nipples!$A$82,VLOOKUP($A124,Nipples!$A$9:$Q$81,6,FALSE),
IF($A124&lt;Manifold!$A$33,VLOOKUP($A124,Manifold!$A$9:$M$32,6,FALSE),
IF($A124&lt;FlexibleRepairCouplings!$A$13,VLOOKUP($A124,FlexibleRepairCouplings!$A$10:$M$12,6,FALSE),
IF($A124&lt;DuraFix!$A$15,VLOOKUP($A124,DuraFix!$A$9:$M$14,6,FALSE),
IF($A124&lt;'Compression Fittings'!$A$16,VLOOKUP($A124,'Compression Fittings'!$A$8:$M$15,6,FALSE),
IF($A124&lt;'Hose Fittings'!$A$30,VLOOKUP($A124,'Hose Fittings'!$A$8:$M$29,6,FALSE),
IF($A124&lt;'Swing Joints'!$A$496,VLOOKUP($A124,'Swing Joints'!$A$9:$M$495,6,FALSE),
IF($A124&lt;'Swing Joints Components'!$A$135,VLOOKUP($A124,'Swing Joints Components'!$A$9:$M$134,6,FALSE),
IF($A124&lt;Nonstandard!$A$42,VLOOKUP($A124,Nonstandard!$A$31:$J$41,7,FALSE),"")))))))))))))))))))))))))))),"")</f>
        <v/>
      </c>
      <c r="E124" s="429"/>
      <c r="F124" s="421" t="str">
        <f>IFERROR(IF($A124&lt;'DWV PVC'!$A$285,VLOOKUP($A124,'DWV PVC'!$A$8:$M$284,9,FALSE),
IF($A124&lt;'DWV ABS'!$A$117,VLOOKUP($A124,'DWV ABS'!$A$8:$M$116,9,FALSE),
IF($A124&lt;'PVC SCH40'!$A$376,VLOOKUP($A124,'PVC SCH40'!$A$8:$M$375,9,FALSE),
IF($A124&lt;'PVC SCH40 LD'!$A$22,VLOOKUP($A124,'PVC SCH40 LD'!$A$8:$M$21,9,FALSE),
IF($A124&lt;'Pool &amp; SPA Sweep Elbows'!$A$12,VLOOKUP($A124,'Pool &amp; SPA Sweep Elbows'!$A$8:$M$11,9,FALSE),
IF($A124&lt;'Pool &amp; SPA Pipe Extender'!$A$11,VLOOKUP($A124,'Pool &amp; SPA Pipe Extender'!$A$8:$M$10,9,FALSE),
IF($A124&lt;'PVC SCH80'!$A$250,VLOOKUP($A124,'PVC SCH80'!$A$8:$M$249,9,FALSE),
IF($A124&lt;'PVC SCH80 Flange'!$A$49,VLOOKUP($A124,'PVC SCH80 Flange'!$A$8:$M$48,9,FALSE),
IF($A124&lt;'PVC SCH80 LD Flange'!$A$17,VLOOKUP($A124,'PVC SCH80 LD Flange'!$A$8:$M$16,9,FALSE),
IF($A124&lt;CPVC!$A$100,VLOOKUP($A124,CPVC!$A$8:$M$99,9,FALSE),
IF($A124&lt;InsertFittings!$A$237,VLOOKUP($A124,InsertFittings!$A$11:$M$236,9,FALSE),
IF($A124&lt;Valves!$A$132,VLOOKUP($A124,Valves!$A$8:$M$131,9,FALSE),
IF($A124&lt;SDR35SW!$A$124,VLOOKUP($A124,SDR35SW!$A$8:$M$123,9,FALSE),
IF($A124&lt;SDR35G!$A$143,VLOOKUP($A124, SDR35G!$A$8:$M$142,9,FALSE),
IF($A124&lt;SDR26G!$A$61,VLOOKUP($A124,SDR26G!$A$8:$N$60,10,FALSE),
IF($A124&lt;Cements!$A$100,VLOOKUP($A124,Cements!$A$8:$Q$99,13,FALSE),
IF($A124&lt;ValveBox!$A$143,VLOOKUP($A124,ValveBox!$A$10:$O$142,11,FALSE),
IF($A124&lt;'ValveBox Components'!$A$165,VLOOKUP($A124,'ValveBox Components'!$A$10:$O$164,11,FALSE),
IF($A124&lt;Drainage!$A$92,VLOOKUP($A124,Drainage!$A$8:$M$91,9,FALSE),
IF($A124&lt;Nipples!$A$82,VLOOKUP($A124,Nipples!$A$9:$Q$81,13,FALSE),
IF($A124&lt;Manifold!$A$33,VLOOKUP($A124,Manifold!$A$9:$M$32,9,FALSE),
IF($A124&lt;FlexibleRepairCouplings!$A$13,VLOOKUP($A124,FlexibleRepairCouplings!$A$10:$M$12,9,FALSE),
IF($A124&lt;DuraFix!$A$15,VLOOKUP($A124,DuraFix!$A$9:$M$14,9,FALSE),
IF($A124&lt;'Compression Fittings'!$A$16,VLOOKUP($A124,'Compression Fittings'!$A$8:$M$15,9,FALSE),
IF($A124&lt;'Hose Fittings'!$A$30,VLOOKUP($A124,'Hose Fittings'!$A$8:$M$29,9,FALSE),
IF($A124&lt;'Swing Joints'!$A$496,VLOOKUP($A124,'Swing Joints'!$A$9:$M$495,9,FALSE),
IF($A124&lt;'Swing Joints Components'!$A$135,VLOOKUP($A124,'Swing Joints Components'!$A$9:$M$134,9,FALSE),
IF($A124&lt;Nonstandard!$A$42,VLOOKUP($A124,Nonstandard!$A$31:$J$41,8,FALSE),"")))))))))))))))))))))))))))),"")</f>
        <v/>
      </c>
      <c r="G124" s="422" t="str">
        <f>IFERROR(IF($A124&lt;'DWV PVC'!$A$285,VLOOKUP($A124,'DWV PVC'!$A$8:$M$284,11,FALSE),
IF($A124&lt;'DWV ABS'!$A$117,VLOOKUP($A124,'DWV ABS'!$A$8:$M$116,11,FALSE),
IF($A124&lt;'PVC SCH40'!$A$376,VLOOKUP($A124,'PVC SCH40'!$A$8:$M$375,11,FALSE),
IF($A124&lt;'PVC SCH40 LD'!$A$22,VLOOKUP($A124,'PVC SCH40 LD'!$A$8:$M$21,11,FALSE),
IF($A124&lt;'Pool &amp; SPA Sweep Elbows'!$A$12,VLOOKUP($A124,'Pool &amp; SPA Sweep Elbows'!$A$8:$M$11,11,FALSE),
IF($A124&lt;'Pool &amp; SPA Pipe Extender'!$A$11,VLOOKUP($A124,'Pool &amp; SPA Pipe Extender'!$A$8:$M$10,11,FALSE),
IF($A124&lt;'PVC SCH80'!$A$250,VLOOKUP($A124,'PVC SCH80'!$A$8:$M$249,11,FALSE),
IF($A124&lt;'PVC SCH80 Flange'!$A$49,VLOOKUP($A124,'PVC SCH80 Flange'!$A$8:$M$48,11,FALSE),
IF($A124&lt;'PVC SCH80 LD Flange'!$A$17,VLOOKUP($A124,'PVC SCH80 LD Flange'!$A$8:$M$16,11,FALSE),
IF($A124&lt;CPVC!$A$100,VLOOKUP($A124,CPVC!$A$8:$M$99,11,FALSE),
IF($A124&lt;InsertFittings!$A$237,VLOOKUP($A124,InsertFittings!$A$11:$M$236,11,FALSE),
IF($A124&lt;Valves!$A$132,VLOOKUP($A124,Valves!$A$8:$M$131,11,FALSE),
IF($A124&lt;SDR35SW!$A$124,VLOOKUP($A124,SDR35SW!$A$8:$M$123,11,FALSE),
IF($A124&lt;SDR35G!$A$143,VLOOKUP($A124, SDR35G!$A$8:$M$142,11,FALSE),
IF($A124&lt;SDR26G!$A$61,VLOOKUP($A124,SDR26G!$A$8:$N$60,12,FALSE),
IF($A124&lt;Cements!$A$100,VLOOKUP($A124,Cements!$A$8:$Q$99,15,FALSE),
IF($A124&lt;ValveBox!$A$143,VLOOKUP($A124,ValveBox!$A$10:$O$142,13,FALSE),
IF($A124&lt;'ValveBox Components'!$A$165,VLOOKUP($A124,'ValveBox Components'!$A$10:$O$164,13,FALSE),
IF($A124&lt;Drainage!$A$92,VLOOKUP($A124,Drainage!$A$8:$M$91,11,FALSE),
IF($A124&lt;Nipples!$A$82,VLOOKUP($A124,Nipples!$A$9:$Q$81,15,FALSE),
IF($A124&lt;Manifold!$A$33,VLOOKUP($A124,Manifold!$A$9:$M$32,11,FALSE),
IF($A124&lt;FlexibleRepairCouplings!$A$13,VLOOKUP($A124,FlexibleRepairCouplings!$A$10:$M$12,11,FALSE),
IF($A124&lt;DuraFix!$A$15,VLOOKUP($A124,DuraFix!$A$9:$M$14,11,FALSE),
IF($A124&lt;'Compression Fittings'!$A$16,VLOOKUP($A124,'Compression Fittings'!$A$8:$M$15,11,FALSE),
IF($A124&lt;'Hose Fittings'!$A$30,VLOOKUP($A124,'Hose Fittings'!$A$8:$M$29,11,FALSE),
IF($A124&lt;'Swing Joints'!$A$496,VLOOKUP($A124,'Swing Joints'!$A$9:$M$495,11,FALSE),
IF($A124&lt;'Swing Joints Components'!$A$135,VLOOKUP($A124,'Swing Joints Components'!$A$9:$M$134,11,FALSE),
IF($A124&lt;Nonstandard!$A$42,VLOOKUP($A124,Nonstandard!$A$31:$J$41,3,FALSE),"")))))))))))))))))))))))))))),"")</f>
        <v/>
      </c>
      <c r="H124" s="588" t="str">
        <f>IFERROR(IF($A124&lt;'DWV PVC'!$A$285,VLOOKUP($A124,'DWV PVC'!$A$8:$M$284,7,FALSE),
IF($A124&lt;'DWV ABS'!$A$117,VLOOKUP($A124,'DWV ABS'!$A$8:$M$116,7,FALSE),
IF($A124&lt;'PVC SCH40'!$A$376,VLOOKUP($A124,'PVC SCH40'!$A$8:$M$375,7,FALSE),
IF($A124&lt;'PVC SCH40 LD'!$A$22,VLOOKUP($A124,'PVC SCH40 LD'!$A$8:$M$21,7,FALSE),
IF($A124&lt;'Pool &amp; SPA Sweep Elbows'!$A$12,VLOOKUP($A124,'Pool &amp; SPA Sweep Elbows'!$A$8:$M$11,7,FALSE),
IF($A124&lt;'Pool &amp; SPA Pipe Extender'!$A$11,VLOOKUP($A124,'Pool &amp; SPA Pipe Extender'!$A$8:$M$10,7,FALSE),
IF($A124&lt;'PVC SCH80'!$A$250,VLOOKUP($A124,'PVC SCH80'!$A$8:$M$249,7,FALSE),
IF($A124&lt;'PVC SCH80 Flange'!$A$49,VLOOKUP($A124,'PVC SCH80 Flange'!$A$8:$M$48,7,FALSE),
IF($A124&lt;'PVC SCH80 LD Flange'!$A$17,VLOOKUP($A124,'PVC SCH80 LD Flange'!$A$8:$M$16,7,FALSE),
IF($A124&lt;CPVC!$A$100,VLOOKUP($A124,CPVC!$A$8:$M$99,7,FALSE),
IF($A124&lt;InsertFittings!$A$237,VLOOKUP($A124,InsertFittings!$A$11:$M$236,7,FALSE),
IF($A124&lt;Valves!$A$132,VLOOKUP($A124,Valves!$A$8:$M$131,7,FALSE),
IF($A124&lt;SDR35SW!$A$124,VLOOKUP($A124,SDR35SW!$A$8:$M$123,7,FALSE),
IF($A124&lt;SDR35G!$A$143,VLOOKUP($A124, SDR35G!$A$8:$M$142,7,FALSE),
IF($A124&lt;SDR26G!$A$61,VLOOKUP($A124,SDR26G!$A$8:$N$60,10,FALSE),
IF($A124&lt;Cements!$A$100,VLOOKUP($A124,Cements!$A$8:$Q$99,13,FALSE),
IF($A124&lt;ValveBox!$A$143,VLOOKUP($A124,ValveBox!$A$10:$O$142,11,FALSE),
IF($A124&lt;'ValveBox Components'!$A$165,VLOOKUP($A124,'ValveBox Components'!$A$10:$O$164,11,FALSE),
IF($A124&lt;Drainage!$A$92,VLOOKUP($A124,Drainage!$A$8:$M$91,7,FALSE),
IF($A124&lt;Nipples!$A$82,VLOOKUP($A124,Nipples!$A$9:$Q$81,13,FALSE),
IF($A124&lt;Manifold!$A$33,VLOOKUP($A124,Manifold!$A$9:$M$32,7,FALSE),
IF($A124&lt;FlexibleRepairCouplings!$A$13,VLOOKUP($A124,FlexibleRepairCouplings!$A$10:$M$12,7,FALSE),
IF($A124&lt;DuraFix!$A$15,VLOOKUP($A124,DuraFix!$A$9:$M$14,7,FALSE),
IF($A124&lt;'Compression Fittings'!$A$16,VLOOKUP($A124,'Compression Fittings'!$A$8:$M$15,7,FALSE),
IF($A124&lt;'Hose Fittings'!$A$30,VLOOKUP($A124,'Hose Fittings'!$A$8:$M$29,7,FALSE),
IF($A124&lt;'Swing Joints'!$A$496,VLOOKUP($A124,'Swing Joints'!$A$9:$M$495,7,FALSE),
IF($A124&lt;'Swing Joints Components'!$A$135,VLOOKUP($A124,'Swing Joints Components'!$A$9:$M$134,7,FALSE),
IF($A124&lt;Nonstandard!$A$42,VLOOKUP($A124,Nonstandard!$A$31:$J$41,3,FALSE),"")))))))))))))))))))))))))))),"")</f>
        <v/>
      </c>
      <c r="I124" s="589"/>
      <c r="J124" s="423" t="str">
        <f t="shared" si="3"/>
        <v/>
      </c>
      <c r="K124" s="424" t="str">
        <f>IFERROR(IF($A124&lt;'DWV PVC'!$A$285,VLOOKUP($A124,'DWV PVC'!$A$8:$M$284,10,FALSE),
IF($A124&lt;'DWV ABS'!$A$117,VLOOKUP($A124,'DWV ABS'!$A$8:$M$116,10,FALSE),
IF($A124&lt;'PVC SCH40'!$A$376,VLOOKUP($A124,'PVC SCH40'!$A$8:$M$375,10,FALSE),
IF($A124&lt;'PVC SCH40 LD'!$A$22,VLOOKUP($A124,'PVC SCH40 LD'!$A$8:$M$21,10,FALSE),
IF($A124&lt;'Pool &amp; SPA Sweep Elbows'!$A$12,VLOOKUP($A124,'Pool &amp; SPA Sweep Elbows'!$A$8:$M$11,10,FALSE),
IF($A124&lt;'Pool &amp; SPA Pipe Extender'!$A$11,VLOOKUP($A124,'Pool &amp; SPA Pipe Extender'!$A$8:$M$10,10,FALSE),
IF($A124&lt;'PVC SCH80'!$A$250,VLOOKUP($A124,'PVC SCH80'!$A$8:$M$249,10,FALSE),
IF($A124&lt;'PVC SCH80 Flange'!$A$49,VLOOKUP($A124,'PVC SCH80 Flange'!$A$8:$M$48,10,FALSE),
IF($A124&lt;'PVC SCH80 LD Flange'!$A$17,VLOOKUP($A124,'PVC SCH80 LD Flange'!$A$8:$M$16,10,FALSE),
IF($A124&lt;CPVC!$A$100,VLOOKUP($A124,CPVC!$A$8:$M$99,10,FALSE),
IF($A124&lt;InsertFittings!$A$237,VLOOKUP($A124,InsertFittings!$A$11:$M$236,10,FALSE),
IF($A124&lt;Valves!$A$132,VLOOKUP($A124,Valves!$A$8:$M$131,10,FALSE),
IF($A124&lt;SDR35SW!$A$124,VLOOKUP($A124,SDR35SW!$A$8:$M$123,10,FALSE),
IF($A124&lt;SDR35G!$A$143,VLOOKUP($A124, SDR35G!$A$8:$M$142,10,FALSE),
IF($A124&lt;SDR26G!$A$61,VLOOKUP($A124,SDR26G!$A$8:$N$60,11,FALSE),
IF($A124&lt;Cements!$A$100,VLOOKUP($A124,Cements!$A$8:$Q$99,14,FALSE),
IF($A124&lt;ValveBox!$A$143,VLOOKUP($A124,ValveBox!$A$10:$O$142,12,FALSE),
IF($A124&lt;'ValveBox Components'!$A$165,VLOOKUP($A124,'ValveBox Components'!$A$10:$O$164,12,FALSE),
IF($A124&lt;Drainage!$A$92,VLOOKUP($A124,Drainage!$A$8:$M$91,10,FALSE),
IF($A124&lt;Nipples!$A$82,VLOOKUP($A124,Nipples!$A$9:$Q$81,14,FALSE),
IF($A124&lt;Manifold!$A$33,VLOOKUP($A124,Manifold!$A$9:$M$32,10,FALSE),
IF($A124&lt;FlexibleRepairCouplings!$A$13,VLOOKUP($A124,FlexibleRepairCouplings!$A$10:$M$12,10,FALSE),
IF($A124&lt;DuraFix!$A$15,VLOOKUP($A124,DuraFix!$A$9:$M$14,10,FALSE),
IF($A124&lt;'Compression Fittings'!$A$16,VLOOKUP($A124,'Compression Fittings'!$A$8:$M$15,10,FALSE),
IF($A124&lt;'Hose Fittings'!$A$30,VLOOKUP($A124,'Hose Fittings'!$A$8:$M$29,10,FALSE),
IF($A124&lt;'Swing Joints'!$A$496,VLOOKUP($A124,'Swing Joints'!$A$9:$M$495,10,FALSE),
IF($A124&lt;'Swing Joints Components'!$A$135,VLOOKUP($A124,'Swing Joints Components'!$A$9:$M$134,10,FALSE),
IF($A124&lt;Nonstandard!$A$42,VLOOKUP($A124,Nonstandard!$A$31:$J$41,10,FALSE),"")))))))))))))))))))))))))))),"")</f>
        <v/>
      </c>
      <c r="L124" s="421" t="str">
        <f t="shared" si="2"/>
        <v>-</v>
      </c>
      <c r="M124" s="425"/>
    </row>
    <row r="125" spans="1:13" ht="15.75">
      <c r="A125" s="415">
        <v>93</v>
      </c>
      <c r="B125" s="415" t="str">
        <f>IFERROR(IF($A125&lt;'DWV PVC'!$A$285,VLOOKUP($A125,'DWV PVC'!$A$8:$M$284,4,FALSE),
IF($A125&lt;'DWV ABS'!$A$117,VLOOKUP($A125,'DWV ABS'!$A$8:$M$116,4,FALSE),
IF($A125&lt;'PVC SCH40'!$A$376,VLOOKUP($A125,'PVC SCH40'!$A$8:$M$375,4,FALSE),
IF($A125&lt;'PVC SCH40 LD'!$A$22,VLOOKUP($A125,'PVC SCH40 LD'!$A$8:$M$21,4,FALSE),
IF($A125&lt;'Pool &amp; SPA Sweep Elbows'!$A$12,VLOOKUP($A125,'Pool &amp; SPA Sweep Elbows'!$A$8:$M$11,4,FALSE),
IF($A125&lt;'Pool &amp; SPA Pipe Extender'!$A$11,VLOOKUP($A125,'Pool &amp; SPA Pipe Extender'!$A$8:$M$10,4,FALSE),
IF($A125&lt;'PVC SCH80'!$A$250,VLOOKUP($A125,'PVC SCH80'!$A$8:$M$249,4,FALSE),
IF($A125&lt;'PVC SCH80 Flange'!$A$49,VLOOKUP($A125,'PVC SCH80 Flange'!$A$8:$M$48,4,FALSE),
IF($A125&lt;'PVC SCH80 LD Flange'!$A$17,VLOOKUP($A125,'PVC SCH80 LD Flange'!$A$8:$M$16,4,FALSE),
IF($A125&lt;CPVC!$A$100,VLOOKUP($A125,CPVC!$A$8:$M$99,4,FALSE),
IF($A125&lt;InsertFittings!$A$237,VLOOKUP($A125,InsertFittings!$A$11:$M$236,4,FALSE),
IF($A125&lt;Valves!$A$132,VLOOKUP($A125,Valves!$A$8:$M$131,4,FALSE),
IF($A125&lt;SDR35SW!$A$124,VLOOKUP($A125,SDR35SW!$A$8:$M$123,4,FALSE),
IF($A125&lt;SDR35G!$A$143,VLOOKUP($A125, SDR35G!$A$8:$M$142,4,FALSE),
IF($A125&lt;SDR26G!$A$61,VLOOKUP($A125,SDR26G!$A$8:$N$60,4,FALSE),
IF($A125&lt;Cements!$A$100,VLOOKUP($A125,Cements!$A$8:$Q$99,4,FALSE),
IF($A125&lt;ValveBox!$A$143,VLOOKUP($A125,ValveBox!$A$10:$O$142,4,FALSE),
IF($A125&lt;'ValveBox Components'!$A$165,VLOOKUP($A125,'ValveBox Components'!$A$10:$O$164,4,FALSE),
IF($A125&lt;Drainage!$A$92,VLOOKUP($A125,Drainage!$A$8:$M$91,4,FALSE),
IF($A125&lt;Nipples!$A$82,VLOOKUP($A125,Nipples!$A$9:$Q$81,4,FALSE),
IF($A125&lt;Manifold!$A$33,VLOOKUP($A125,Manifold!$A$9:$M$32,4,FALSE),
IF($A125&lt;FlexibleRepairCouplings!$A$13,VLOOKUP($A125,FlexibleRepairCouplings!$A$10:$M$12,4,FALSE),
IF($A125&lt;DuraFix!$A$15,VLOOKUP($A125,DuraFix!$A$9:$M$14,4,FALSE),
IF($A125&lt;'Compression Fittings'!$A$16,VLOOKUP($A125,'Compression Fittings'!$A$8:$M$15,4,FALSE),
IF($A125&lt;'Hose Fittings'!$A$30,VLOOKUP($A125,'Hose Fittings'!$A$8:$M$29,4,FALSE),
IF($A125&lt;'Swing Joints'!$A$496,VLOOKUP($A125,'Swing Joints'!$A$9:$M$495,4,FALSE),
IF($A125&lt;'Swing Joints Components'!$A$135,VLOOKUP($A125,'Swing Joints Components'!$A$9:$M$134,4,FALSE),
IF($A125&lt;Nonstandard!$A$42,VLOOKUP($A125,Nonstandard!$A$31:$J$41,5,FALSE),"")))))))))))))))))))))))))))),"")</f>
        <v/>
      </c>
      <c r="C125" s="415" t="str">
        <f>IFERROR(IF($A125&lt;'DWV PVC'!$A$285,VLOOKUP($A125,'DWV PVC'!$A$8:$M$284,5,FALSE),
IF($A125&lt;'DWV ABS'!$A$117,VLOOKUP($A125,'DWV ABS'!$A$8:$M$116,5,FALSE),
IF($A125&lt;'PVC SCH40'!$A$376,VLOOKUP($A125,'PVC SCH40'!$A$8:$M$375,5,FALSE),
IF($A125&lt;'PVC SCH40 LD'!$A$22,VLOOKUP($A125,'PVC SCH40 LD'!$A$8:$M$21,5,FALSE),
IF($A125&lt;'Pool &amp; SPA Sweep Elbows'!$A$12,VLOOKUP($A125,'Pool &amp; SPA Sweep Elbows'!$A$8:$M$11,5,FALSE),
IF($A125&lt;'Pool &amp; SPA Pipe Extender'!$A$11,VLOOKUP($A125,'Pool &amp; SPA Pipe Extender'!$A$8:$M$10,5,FALSE),
IF($A125&lt;'PVC SCH80'!$A$250,VLOOKUP($A125,'PVC SCH80'!$A$8:$M$249,5,FALSE),
IF($A125&lt;'PVC SCH80 Flange'!$A$49,VLOOKUP($A125,'PVC SCH80 Flange'!$A$8:$M$48,5,FALSE),
IF($A125&lt;'PVC SCH80 LD Flange'!$A$17,VLOOKUP($A125,'PVC SCH80 LD Flange'!$A$8:$M$16,5,FALSE),
IF($A125&lt;CPVC!$A$100,VLOOKUP($A125,CPVC!$A$8:$M$99,5,FALSE),
IF($A125&lt;InsertFittings!$A$237,VLOOKUP($A125,InsertFittings!$A$11:$M$236,5,FALSE),
IF($A125&lt;Valves!$A$132,VLOOKUP($A125,Valves!$A$8:$M$131,5,FALSE),
IF($A125&lt;SDR35SW!$A$124,VLOOKUP($A125,SDR35SW!$A$8:$M$123,5,FALSE),
IF($A125&lt;SDR35G!$A$143,VLOOKUP($A125, SDR35G!$A$8:$M$142,5,FALSE),
IF($A125&lt;SDR26G!$A$61,VLOOKUP($A125,SDR26G!$A$8:$N$60,5,FALSE),
IF($A125&lt;Cements!$A$100,VLOOKUP($A125,Cements!$A$8:$Q$99,5,FALSE),
IF($A125&lt;ValveBox!$A$143,VLOOKUP($A125,ValveBox!$A$10:$O$142,5,FALSE),
IF($A125&lt;'ValveBox Components'!$A$165,VLOOKUP($A125,'ValveBox Components'!$A$10:$O$164,5,FALSE),
IF($A125&lt;Drainage!$A$92,VLOOKUP($A125,Drainage!$A$8:$M$91,5,FALSE),
IF($A125&lt;Nipples!$A$82,VLOOKUP($A125,Nipples!$A$9:$Q$81,5,FALSE),
IF($A125&lt;Manifold!$A$33,VLOOKUP($A125,Manifold!$A$9:$M$32,5,FALSE),
IF($A125&lt;FlexibleRepairCouplings!$A$13,VLOOKUP($A125,FlexibleRepairCouplings!$A$10:$M$12,5,FALSE),
IF($A125&lt;DuraFix!$A$15,VLOOKUP($A125,DuraFix!$A$9:$M$14,5,FALSE),
IF($A125&lt;'Compression Fittings'!$A$16,VLOOKUP($A125,'Compression Fittings'!$A$8:$M$15,5,FALSE),
IF($A125&lt;'Hose Fittings'!$A$30,VLOOKUP($A125,'Hose Fittings'!$A$8:$M$29,5,FALSE),
IF($A125&lt;'Swing Joints'!$A$496,VLOOKUP($A125,'Swing Joints'!$A$9:$M$495,5,FALSE),
IF($A125&lt;'Swing Joints Components'!$A$135,VLOOKUP($A125,'Swing Joints Components'!$A$9:$M$134,5,FALSE),
IF($A125&lt;Nonstandard!$A$42,VLOOKUP($A125,Nonstandard!$A$31:$J$41,6,FALSE),"")))))))))))))))))))))))))))),"")</f>
        <v/>
      </c>
      <c r="D125" s="426" t="str">
        <f>IFERROR(IF($A125&lt;'DWV PVC'!$A$285,VLOOKUP($A125,'DWV PVC'!$A$8:$M$284,6,FALSE),
IF($A125&lt;'DWV ABS'!$A$117,VLOOKUP($A125,'DWV ABS'!$A$8:$M$116,6,FALSE),
IF($A125&lt;'PVC SCH40'!$A$376,VLOOKUP($A125,'PVC SCH40'!$A$8:$M$375,6,FALSE),
IF($A125&lt;'PVC SCH40 LD'!$A$22,VLOOKUP($A125,'PVC SCH40 LD'!$A$8:$M$21,6,FALSE),
IF($A125&lt;'Pool &amp; SPA Sweep Elbows'!$A$12,VLOOKUP($A125,'Pool &amp; SPA Sweep Elbows'!$A$8:$M$11,6,FALSE),
IF($A125&lt;'Pool &amp; SPA Pipe Extender'!$A$11,VLOOKUP($A125,'Pool &amp; SPA Pipe Extender'!$A$8:$M$10,6,FALSE),
IF($A125&lt;'PVC SCH80'!$A$250,VLOOKUP($A125,'PVC SCH80'!$A$8:$M$249,6,FALSE),
IF($A125&lt;'PVC SCH80 Flange'!$A$49,VLOOKUP($A125,'PVC SCH80 Flange'!$A$8:$M$48,6,FALSE),
IF($A125&lt;'PVC SCH80 LD Flange'!$A$17,VLOOKUP($A125,'PVC SCH80 LD Flange'!$A$8:$M$16,6,FALSE),
IF($A125&lt;CPVC!$A$100,VLOOKUP($A125,CPVC!$A$8:$M$99,6,FALSE),
IF($A125&lt;InsertFittings!$A$237,VLOOKUP($A125,InsertFittings!$A$11:$M$236,6,FALSE),
IF($A125&lt;Valves!$A$132,VLOOKUP($A125,Valves!$A$8:$M$131,6,FALSE),
IF($A125&lt;SDR35SW!$A$124,VLOOKUP($A125,SDR35SW!$A$8:$M$123,6,FALSE),
IF($A125&lt;SDR35G!$A$143,VLOOKUP($A125, SDR35G!$A$8:$M$142,6,FALSE),
IF($A125&lt;SDR26G!$A$61,VLOOKUP($A125,SDR26G!$A$8:$N$60,6,FALSE),
IF($A125&lt;Cements!$A$100,VLOOKUP($A125,Cements!$A$8:$Q$99,6,FALSE),
IF($A125&lt;ValveBox!$A$143,VLOOKUP($A125,ValveBox!$A$10:$O$142,6,FALSE),
IF($A125&lt;'ValveBox Components'!$A$165,VLOOKUP($A125,'ValveBox Components'!$A$10:$O$164,6,FALSE),
IF($A125&lt;Drainage!$A$92,VLOOKUP($A125,Drainage!$A$8:$M$91,6,FALSE),
IF($A125&lt;Nipples!$A$82,VLOOKUP($A125,Nipples!$A$9:$Q$81,6,FALSE),
IF($A125&lt;Manifold!$A$33,VLOOKUP($A125,Manifold!$A$9:$M$32,6,FALSE),
IF($A125&lt;FlexibleRepairCouplings!$A$13,VLOOKUP($A125,FlexibleRepairCouplings!$A$10:$M$12,6,FALSE),
IF($A125&lt;DuraFix!$A$15,VLOOKUP($A125,DuraFix!$A$9:$M$14,6,FALSE),
IF($A125&lt;'Compression Fittings'!$A$16,VLOOKUP($A125,'Compression Fittings'!$A$8:$M$15,6,FALSE),
IF($A125&lt;'Hose Fittings'!$A$30,VLOOKUP($A125,'Hose Fittings'!$A$8:$M$29,6,FALSE),
IF($A125&lt;'Swing Joints'!$A$496,VLOOKUP($A125,'Swing Joints'!$A$9:$M$495,6,FALSE),
IF($A125&lt;'Swing Joints Components'!$A$135,VLOOKUP($A125,'Swing Joints Components'!$A$9:$M$134,6,FALSE),
IF($A125&lt;Nonstandard!$A$42,VLOOKUP($A125,Nonstandard!$A$31:$J$41,7,FALSE),"")))))))))))))))))))))))))))),"")</f>
        <v/>
      </c>
      <c r="E125" s="427"/>
      <c r="F125" s="418" t="str">
        <f>IFERROR(IF($A125&lt;'DWV PVC'!$A$285,VLOOKUP($A125,'DWV PVC'!$A$8:$M$284,9,FALSE),
IF($A125&lt;'DWV ABS'!$A$117,VLOOKUP($A125,'DWV ABS'!$A$8:$M$116,9,FALSE),
IF($A125&lt;'PVC SCH40'!$A$376,VLOOKUP($A125,'PVC SCH40'!$A$8:$M$375,9,FALSE),
IF($A125&lt;'PVC SCH40 LD'!$A$22,VLOOKUP($A125,'PVC SCH40 LD'!$A$8:$M$21,9,FALSE),
IF($A125&lt;'Pool &amp; SPA Sweep Elbows'!$A$12,VLOOKUP($A125,'Pool &amp; SPA Sweep Elbows'!$A$8:$M$11,9,FALSE),
IF($A125&lt;'Pool &amp; SPA Pipe Extender'!$A$11,VLOOKUP($A125,'Pool &amp; SPA Pipe Extender'!$A$8:$M$10,9,FALSE),
IF($A125&lt;'PVC SCH80'!$A$250,VLOOKUP($A125,'PVC SCH80'!$A$8:$M$249,9,FALSE),
IF($A125&lt;'PVC SCH80 Flange'!$A$49,VLOOKUP($A125,'PVC SCH80 Flange'!$A$8:$M$48,9,FALSE),
IF($A125&lt;'PVC SCH80 LD Flange'!$A$17,VLOOKUP($A125,'PVC SCH80 LD Flange'!$A$8:$M$16,9,FALSE),
IF($A125&lt;CPVC!$A$100,VLOOKUP($A125,CPVC!$A$8:$M$99,9,FALSE),
IF($A125&lt;InsertFittings!$A$237,VLOOKUP($A125,InsertFittings!$A$11:$M$236,9,FALSE),
IF($A125&lt;Valves!$A$132,VLOOKUP($A125,Valves!$A$8:$M$131,9,FALSE),
IF($A125&lt;SDR35SW!$A$124,VLOOKUP($A125,SDR35SW!$A$8:$M$123,9,FALSE),
IF($A125&lt;SDR35G!$A$143,VLOOKUP($A125, SDR35G!$A$8:$M$142,9,FALSE),
IF($A125&lt;SDR26G!$A$61,VLOOKUP($A125,SDR26G!$A$8:$N$60,10,FALSE),
IF($A125&lt;Cements!$A$100,VLOOKUP($A125,Cements!$A$8:$Q$99,13,FALSE),
IF($A125&lt;ValveBox!$A$143,VLOOKUP($A125,ValveBox!$A$10:$O$142,11,FALSE),
IF($A125&lt;'ValveBox Components'!$A$165,VLOOKUP($A125,'ValveBox Components'!$A$10:$O$164,11,FALSE),
IF($A125&lt;Drainage!$A$92,VLOOKUP($A125,Drainage!$A$8:$M$91,9,FALSE),
IF($A125&lt;Nipples!$A$82,VLOOKUP($A125,Nipples!$A$9:$Q$81,13,FALSE),
IF($A125&lt;Manifold!$A$33,VLOOKUP($A125,Manifold!$A$9:$M$32,9,FALSE),
IF($A125&lt;FlexibleRepairCouplings!$A$13,VLOOKUP($A125,FlexibleRepairCouplings!$A$10:$M$12,9,FALSE),
IF($A125&lt;DuraFix!$A$15,VLOOKUP($A125,DuraFix!$A$9:$M$14,9,FALSE),
IF($A125&lt;'Compression Fittings'!$A$16,VLOOKUP($A125,'Compression Fittings'!$A$8:$M$15,9,FALSE),
IF($A125&lt;'Hose Fittings'!$A$30,VLOOKUP($A125,'Hose Fittings'!$A$8:$M$29,9,FALSE),
IF($A125&lt;'Swing Joints'!$A$496,VLOOKUP($A125,'Swing Joints'!$A$9:$M$495,9,FALSE),
IF($A125&lt;'Swing Joints Components'!$A$135,VLOOKUP($A125,'Swing Joints Components'!$A$9:$M$134,9,FALSE),
IF($A125&lt;Nonstandard!$A$42,VLOOKUP($A125,Nonstandard!$A$31:$J$41,8,FALSE),"")))))))))))))))))))))))))))),"")</f>
        <v/>
      </c>
      <c r="G125" s="416" t="str">
        <f>IFERROR(IF($A125&lt;'DWV PVC'!$A$285,VLOOKUP($A125,'DWV PVC'!$A$8:$M$284,11,FALSE),
IF($A125&lt;'DWV ABS'!$A$117,VLOOKUP($A125,'DWV ABS'!$A$8:$M$116,11,FALSE),
IF($A125&lt;'PVC SCH40'!$A$376,VLOOKUP($A125,'PVC SCH40'!$A$8:$M$375,11,FALSE),
IF($A125&lt;'PVC SCH40 LD'!$A$22,VLOOKUP($A125,'PVC SCH40 LD'!$A$8:$M$21,11,FALSE),
IF($A125&lt;'Pool &amp; SPA Sweep Elbows'!$A$12,VLOOKUP($A125,'Pool &amp; SPA Sweep Elbows'!$A$8:$M$11,11,FALSE),
IF($A125&lt;'Pool &amp; SPA Pipe Extender'!$A$11,VLOOKUP($A125,'Pool &amp; SPA Pipe Extender'!$A$8:$M$10,11,FALSE),
IF($A125&lt;'PVC SCH80'!$A$250,VLOOKUP($A125,'PVC SCH80'!$A$8:$M$249,11,FALSE),
IF($A125&lt;'PVC SCH80 Flange'!$A$49,VLOOKUP($A125,'PVC SCH80 Flange'!$A$8:$M$48,11,FALSE),
IF($A125&lt;'PVC SCH80 LD Flange'!$A$17,VLOOKUP($A125,'PVC SCH80 LD Flange'!$A$8:$M$16,11,FALSE),
IF($A125&lt;CPVC!$A$100,VLOOKUP($A125,CPVC!$A$8:$M$99,11,FALSE),
IF($A125&lt;InsertFittings!$A$237,VLOOKUP($A125,InsertFittings!$A$11:$M$236,11,FALSE),
IF($A125&lt;Valves!$A$132,VLOOKUP($A125,Valves!$A$8:$M$131,11,FALSE),
IF($A125&lt;SDR35SW!$A$124,VLOOKUP($A125,SDR35SW!$A$8:$M$123,11,FALSE),
IF($A125&lt;SDR35G!$A$143,VLOOKUP($A125, SDR35G!$A$8:$M$142,11,FALSE),
IF($A125&lt;SDR26G!$A$61,VLOOKUP($A125,SDR26G!$A$8:$N$60,12,FALSE),
IF($A125&lt;Cements!$A$100,VLOOKUP($A125,Cements!$A$8:$Q$99,15,FALSE),
IF($A125&lt;ValveBox!$A$143,VLOOKUP($A125,ValveBox!$A$10:$O$142,13,FALSE),
IF($A125&lt;'ValveBox Components'!$A$165,VLOOKUP($A125,'ValveBox Components'!$A$10:$O$164,13,FALSE),
IF($A125&lt;Drainage!$A$92,VLOOKUP($A125,Drainage!$A$8:$M$91,11,FALSE),
IF($A125&lt;Nipples!$A$82,VLOOKUP($A125,Nipples!$A$9:$Q$81,15,FALSE),
IF($A125&lt;Manifold!$A$33,VLOOKUP($A125,Manifold!$A$9:$M$32,11,FALSE),
IF($A125&lt;FlexibleRepairCouplings!$A$13,VLOOKUP($A125,FlexibleRepairCouplings!$A$10:$M$12,11,FALSE),
IF($A125&lt;DuraFix!$A$15,VLOOKUP($A125,DuraFix!$A$9:$M$14,11,FALSE),
IF($A125&lt;'Compression Fittings'!$A$16,VLOOKUP($A125,'Compression Fittings'!$A$8:$M$15,11,FALSE),
IF($A125&lt;'Hose Fittings'!$A$30,VLOOKUP($A125,'Hose Fittings'!$A$8:$M$29,11,FALSE),
IF($A125&lt;'Swing Joints'!$A$496,VLOOKUP($A125,'Swing Joints'!$A$9:$M$495,11,FALSE),
IF($A125&lt;'Swing Joints Components'!$A$135,VLOOKUP($A125,'Swing Joints Components'!$A$9:$M$134,11,FALSE),
IF($A125&lt;Nonstandard!$A$42,VLOOKUP($A125,Nonstandard!$A$31:$J$41,3,FALSE),"")))))))))))))))))))))))))))),"")</f>
        <v/>
      </c>
      <c r="H125" s="586" t="str">
        <f>IFERROR(IF($A125&lt;'DWV PVC'!$A$285,VLOOKUP($A125,'DWV PVC'!$A$8:$M$284,7,FALSE),
IF($A125&lt;'DWV ABS'!$A$117,VLOOKUP($A125,'DWV ABS'!$A$8:$M$116,7,FALSE),
IF($A125&lt;'PVC SCH40'!$A$376,VLOOKUP($A125,'PVC SCH40'!$A$8:$M$375,7,FALSE),
IF($A125&lt;'PVC SCH40 LD'!$A$22,VLOOKUP($A125,'PVC SCH40 LD'!$A$8:$M$21,7,FALSE),
IF($A125&lt;'Pool &amp; SPA Sweep Elbows'!$A$12,VLOOKUP($A125,'Pool &amp; SPA Sweep Elbows'!$A$8:$M$11,7,FALSE),
IF($A125&lt;'Pool &amp; SPA Pipe Extender'!$A$11,VLOOKUP($A125,'Pool &amp; SPA Pipe Extender'!$A$8:$M$10,7,FALSE),
IF($A125&lt;'PVC SCH80'!$A$250,VLOOKUP($A125,'PVC SCH80'!$A$8:$M$249,7,FALSE),
IF($A125&lt;'PVC SCH80 Flange'!$A$49,VLOOKUP($A125,'PVC SCH80 Flange'!$A$8:$M$48,7,FALSE),
IF($A125&lt;'PVC SCH80 LD Flange'!$A$17,VLOOKUP($A125,'PVC SCH80 LD Flange'!$A$8:$M$16,7,FALSE),
IF($A125&lt;CPVC!$A$100,VLOOKUP($A125,CPVC!$A$8:$M$99,7,FALSE),
IF($A125&lt;InsertFittings!$A$237,VLOOKUP($A125,InsertFittings!$A$11:$M$236,7,FALSE),
IF($A125&lt;Valves!$A$132,VLOOKUP($A125,Valves!$A$8:$M$131,7,FALSE),
IF($A125&lt;SDR35SW!$A$124,VLOOKUP($A125,SDR35SW!$A$8:$M$123,7,FALSE),
IF($A125&lt;SDR35G!$A$143,VLOOKUP($A125, SDR35G!$A$8:$M$142,7,FALSE),
IF($A125&lt;SDR26G!$A$61,VLOOKUP($A125,SDR26G!$A$8:$N$60,10,FALSE),
IF($A125&lt;Cements!$A$100,VLOOKUP($A125,Cements!$A$8:$Q$99,13,FALSE),
IF($A125&lt;ValveBox!$A$143,VLOOKUP($A125,ValveBox!$A$10:$O$142,11,FALSE),
IF($A125&lt;'ValveBox Components'!$A$165,VLOOKUP($A125,'ValveBox Components'!$A$10:$O$164,11,FALSE),
IF($A125&lt;Drainage!$A$92,VLOOKUP($A125,Drainage!$A$8:$M$91,7,FALSE),
IF($A125&lt;Nipples!$A$82,VLOOKUP($A125,Nipples!$A$9:$Q$81,13,FALSE),
IF($A125&lt;Manifold!$A$33,VLOOKUP($A125,Manifold!$A$9:$M$32,7,FALSE),
IF($A125&lt;FlexibleRepairCouplings!$A$13,VLOOKUP($A125,FlexibleRepairCouplings!$A$10:$M$12,7,FALSE),
IF($A125&lt;DuraFix!$A$15,VLOOKUP($A125,DuraFix!$A$9:$M$14,7,FALSE),
IF($A125&lt;'Compression Fittings'!$A$16,VLOOKUP($A125,'Compression Fittings'!$A$8:$M$15,7,FALSE),
IF($A125&lt;'Hose Fittings'!$A$30,VLOOKUP($A125,'Hose Fittings'!$A$8:$M$29,7,FALSE),
IF($A125&lt;'Swing Joints'!$A$496,VLOOKUP($A125,'Swing Joints'!$A$9:$M$495,7,FALSE),
IF($A125&lt;'Swing Joints Components'!$A$135,VLOOKUP($A125,'Swing Joints Components'!$A$9:$M$134,7,FALSE),
IF($A125&lt;Nonstandard!$A$42,VLOOKUP($A125,Nonstandard!$A$31:$J$41,3,FALSE),"")))))))))))))))))))))))))))),"")</f>
        <v/>
      </c>
      <c r="I125" s="587"/>
      <c r="J125" s="383" t="str">
        <f t="shared" si="3"/>
        <v/>
      </c>
      <c r="K125" s="417" t="str">
        <f>IFERROR(IF($A125&lt;'DWV PVC'!$A$285,VLOOKUP($A125,'DWV PVC'!$A$8:$M$284,10,FALSE),
IF($A125&lt;'DWV ABS'!$A$117,VLOOKUP($A125,'DWV ABS'!$A$8:$M$116,10,FALSE),
IF($A125&lt;'PVC SCH40'!$A$376,VLOOKUP($A125,'PVC SCH40'!$A$8:$M$375,10,FALSE),
IF($A125&lt;'PVC SCH40 LD'!$A$22,VLOOKUP($A125,'PVC SCH40 LD'!$A$8:$M$21,10,FALSE),
IF($A125&lt;'Pool &amp; SPA Sweep Elbows'!$A$12,VLOOKUP($A125,'Pool &amp; SPA Sweep Elbows'!$A$8:$M$11,10,FALSE),
IF($A125&lt;'Pool &amp; SPA Pipe Extender'!$A$11,VLOOKUP($A125,'Pool &amp; SPA Pipe Extender'!$A$8:$M$10,10,FALSE),
IF($A125&lt;'PVC SCH80'!$A$250,VLOOKUP($A125,'PVC SCH80'!$A$8:$M$249,10,FALSE),
IF($A125&lt;'PVC SCH80 Flange'!$A$49,VLOOKUP($A125,'PVC SCH80 Flange'!$A$8:$M$48,10,FALSE),
IF($A125&lt;'PVC SCH80 LD Flange'!$A$17,VLOOKUP($A125,'PVC SCH80 LD Flange'!$A$8:$M$16,10,FALSE),
IF($A125&lt;CPVC!$A$100,VLOOKUP($A125,CPVC!$A$8:$M$99,10,FALSE),
IF($A125&lt;InsertFittings!$A$237,VLOOKUP($A125,InsertFittings!$A$11:$M$236,10,FALSE),
IF($A125&lt;Valves!$A$132,VLOOKUP($A125,Valves!$A$8:$M$131,10,FALSE),
IF($A125&lt;SDR35SW!$A$124,VLOOKUP($A125,SDR35SW!$A$8:$M$123,10,FALSE),
IF($A125&lt;SDR35G!$A$143,VLOOKUP($A125, SDR35G!$A$8:$M$142,10,FALSE),
IF($A125&lt;SDR26G!$A$61,VLOOKUP($A125,SDR26G!$A$8:$N$60,11,FALSE),
IF($A125&lt;Cements!$A$100,VLOOKUP($A125,Cements!$A$8:$Q$99,14,FALSE),
IF($A125&lt;ValveBox!$A$143,VLOOKUP($A125,ValveBox!$A$10:$O$142,12,FALSE),
IF($A125&lt;'ValveBox Components'!$A$165,VLOOKUP($A125,'ValveBox Components'!$A$10:$O$164,12,FALSE),
IF($A125&lt;Drainage!$A$92,VLOOKUP($A125,Drainage!$A$8:$M$91,10,FALSE),
IF($A125&lt;Nipples!$A$82,VLOOKUP($A125,Nipples!$A$9:$Q$81,14,FALSE),
IF($A125&lt;Manifold!$A$33,VLOOKUP($A125,Manifold!$A$9:$M$32,10,FALSE),
IF($A125&lt;FlexibleRepairCouplings!$A$13,VLOOKUP($A125,FlexibleRepairCouplings!$A$10:$M$12,10,FALSE),
IF($A125&lt;DuraFix!$A$15,VLOOKUP($A125,DuraFix!$A$9:$M$14,10,FALSE),
IF($A125&lt;'Compression Fittings'!$A$16,VLOOKUP($A125,'Compression Fittings'!$A$8:$M$15,10,FALSE),
IF($A125&lt;'Hose Fittings'!$A$30,VLOOKUP($A125,'Hose Fittings'!$A$8:$M$29,10,FALSE),
IF($A125&lt;'Swing Joints'!$A$496,VLOOKUP($A125,'Swing Joints'!$A$9:$M$495,10,FALSE),
IF($A125&lt;'Swing Joints Components'!$A$135,VLOOKUP($A125,'Swing Joints Components'!$A$9:$M$134,10,FALSE),
IF($A125&lt;Nonstandard!$A$42,VLOOKUP($A125,Nonstandard!$A$31:$J$41,10,FALSE),"")))))))))))))))))))))))))))),"")</f>
        <v/>
      </c>
      <c r="L125" s="418" t="str">
        <f t="shared" si="2"/>
        <v>-</v>
      </c>
      <c r="M125" s="419"/>
    </row>
    <row r="126" spans="1:13" ht="15.75">
      <c r="A126" s="420">
        <v>94</v>
      </c>
      <c r="B126" s="420" t="str">
        <f>IFERROR(IF($A126&lt;'DWV PVC'!$A$285,VLOOKUP($A126,'DWV PVC'!$A$8:$M$284,4,FALSE),
IF($A126&lt;'DWV ABS'!$A$117,VLOOKUP($A126,'DWV ABS'!$A$8:$M$116,4,FALSE),
IF($A126&lt;'PVC SCH40'!$A$376,VLOOKUP($A126,'PVC SCH40'!$A$8:$M$375,4,FALSE),
IF($A126&lt;'PVC SCH40 LD'!$A$22,VLOOKUP($A126,'PVC SCH40 LD'!$A$8:$M$21,4,FALSE),
IF($A126&lt;'Pool &amp; SPA Sweep Elbows'!$A$12,VLOOKUP($A126,'Pool &amp; SPA Sweep Elbows'!$A$8:$M$11,4,FALSE),
IF($A126&lt;'Pool &amp; SPA Pipe Extender'!$A$11,VLOOKUP($A126,'Pool &amp; SPA Pipe Extender'!$A$8:$M$10,4,FALSE),
IF($A126&lt;'PVC SCH80'!$A$250,VLOOKUP($A126,'PVC SCH80'!$A$8:$M$249,4,FALSE),
IF($A126&lt;'PVC SCH80 Flange'!$A$49,VLOOKUP($A126,'PVC SCH80 Flange'!$A$8:$M$48,4,FALSE),
IF($A126&lt;'PVC SCH80 LD Flange'!$A$17,VLOOKUP($A126,'PVC SCH80 LD Flange'!$A$8:$M$16,4,FALSE),
IF($A126&lt;CPVC!$A$100,VLOOKUP($A126,CPVC!$A$8:$M$99,4,FALSE),
IF($A126&lt;InsertFittings!$A$237,VLOOKUP($A126,InsertFittings!$A$11:$M$236,4,FALSE),
IF($A126&lt;Valves!$A$132,VLOOKUP($A126,Valves!$A$8:$M$131,4,FALSE),
IF($A126&lt;SDR35SW!$A$124,VLOOKUP($A126,SDR35SW!$A$8:$M$123,4,FALSE),
IF($A126&lt;SDR35G!$A$143,VLOOKUP($A126, SDR35G!$A$8:$M$142,4,FALSE),
IF($A126&lt;SDR26G!$A$61,VLOOKUP($A126,SDR26G!$A$8:$N$60,4,FALSE),
IF($A126&lt;Cements!$A$100,VLOOKUP($A126,Cements!$A$8:$Q$99,4,FALSE),
IF($A126&lt;ValveBox!$A$143,VLOOKUP($A126,ValveBox!$A$10:$O$142,4,FALSE),
IF($A126&lt;'ValveBox Components'!$A$165,VLOOKUP($A126,'ValveBox Components'!$A$10:$O$164,4,FALSE),
IF($A126&lt;Drainage!$A$92,VLOOKUP($A126,Drainage!$A$8:$M$91,4,FALSE),
IF($A126&lt;Nipples!$A$82,VLOOKUP($A126,Nipples!$A$9:$Q$81,4,FALSE),
IF($A126&lt;Manifold!$A$33,VLOOKUP($A126,Manifold!$A$9:$M$32,4,FALSE),
IF($A126&lt;FlexibleRepairCouplings!$A$13,VLOOKUP($A126,FlexibleRepairCouplings!$A$10:$M$12,4,FALSE),
IF($A126&lt;DuraFix!$A$15,VLOOKUP($A126,DuraFix!$A$9:$M$14,4,FALSE),
IF($A126&lt;'Compression Fittings'!$A$16,VLOOKUP($A126,'Compression Fittings'!$A$8:$M$15,4,FALSE),
IF($A126&lt;'Hose Fittings'!$A$30,VLOOKUP($A126,'Hose Fittings'!$A$8:$M$29,4,FALSE),
IF($A126&lt;'Swing Joints'!$A$496,VLOOKUP($A126,'Swing Joints'!$A$9:$M$495,4,FALSE),
IF($A126&lt;'Swing Joints Components'!$A$135,VLOOKUP($A126,'Swing Joints Components'!$A$9:$M$134,4,FALSE),
IF($A126&lt;Nonstandard!$A$42,VLOOKUP($A126,Nonstandard!$A$31:$J$41,5,FALSE),"")))))))))))))))))))))))))))),"")</f>
        <v/>
      </c>
      <c r="C126" s="420" t="str">
        <f>IFERROR(IF($A126&lt;'DWV PVC'!$A$285,VLOOKUP($A126,'DWV PVC'!$A$8:$M$284,5,FALSE),
IF($A126&lt;'DWV ABS'!$A$117,VLOOKUP($A126,'DWV ABS'!$A$8:$M$116,5,FALSE),
IF($A126&lt;'PVC SCH40'!$A$376,VLOOKUP($A126,'PVC SCH40'!$A$8:$M$375,5,FALSE),
IF($A126&lt;'PVC SCH40 LD'!$A$22,VLOOKUP($A126,'PVC SCH40 LD'!$A$8:$M$21,5,FALSE),
IF($A126&lt;'Pool &amp; SPA Sweep Elbows'!$A$12,VLOOKUP($A126,'Pool &amp; SPA Sweep Elbows'!$A$8:$M$11,5,FALSE),
IF($A126&lt;'Pool &amp; SPA Pipe Extender'!$A$11,VLOOKUP($A126,'Pool &amp; SPA Pipe Extender'!$A$8:$M$10,5,FALSE),
IF($A126&lt;'PVC SCH80'!$A$250,VLOOKUP($A126,'PVC SCH80'!$A$8:$M$249,5,FALSE),
IF($A126&lt;'PVC SCH80 Flange'!$A$49,VLOOKUP($A126,'PVC SCH80 Flange'!$A$8:$M$48,5,FALSE),
IF($A126&lt;'PVC SCH80 LD Flange'!$A$17,VLOOKUP($A126,'PVC SCH80 LD Flange'!$A$8:$M$16,5,FALSE),
IF($A126&lt;CPVC!$A$100,VLOOKUP($A126,CPVC!$A$8:$M$99,5,FALSE),
IF($A126&lt;InsertFittings!$A$237,VLOOKUP($A126,InsertFittings!$A$11:$M$236,5,FALSE),
IF($A126&lt;Valves!$A$132,VLOOKUP($A126,Valves!$A$8:$M$131,5,FALSE),
IF($A126&lt;SDR35SW!$A$124,VLOOKUP($A126,SDR35SW!$A$8:$M$123,5,FALSE),
IF($A126&lt;SDR35G!$A$143,VLOOKUP($A126, SDR35G!$A$8:$M$142,5,FALSE),
IF($A126&lt;SDR26G!$A$61,VLOOKUP($A126,SDR26G!$A$8:$N$60,5,FALSE),
IF($A126&lt;Cements!$A$100,VLOOKUP($A126,Cements!$A$8:$Q$99,5,FALSE),
IF($A126&lt;ValveBox!$A$143,VLOOKUP($A126,ValveBox!$A$10:$O$142,5,FALSE),
IF($A126&lt;'ValveBox Components'!$A$165,VLOOKUP($A126,'ValveBox Components'!$A$10:$O$164,5,FALSE),
IF($A126&lt;Drainage!$A$92,VLOOKUP($A126,Drainage!$A$8:$M$91,5,FALSE),
IF($A126&lt;Nipples!$A$82,VLOOKUP($A126,Nipples!$A$9:$Q$81,5,FALSE),
IF($A126&lt;Manifold!$A$33,VLOOKUP($A126,Manifold!$A$9:$M$32,5,FALSE),
IF($A126&lt;FlexibleRepairCouplings!$A$13,VLOOKUP($A126,FlexibleRepairCouplings!$A$10:$M$12,5,FALSE),
IF($A126&lt;DuraFix!$A$15,VLOOKUP($A126,DuraFix!$A$9:$M$14,5,FALSE),
IF($A126&lt;'Compression Fittings'!$A$16,VLOOKUP($A126,'Compression Fittings'!$A$8:$M$15,5,FALSE),
IF($A126&lt;'Hose Fittings'!$A$30,VLOOKUP($A126,'Hose Fittings'!$A$8:$M$29,5,FALSE),
IF($A126&lt;'Swing Joints'!$A$496,VLOOKUP($A126,'Swing Joints'!$A$9:$M$495,5,FALSE),
IF($A126&lt;'Swing Joints Components'!$A$135,VLOOKUP($A126,'Swing Joints Components'!$A$9:$M$134,5,FALSE),
IF($A126&lt;Nonstandard!$A$42,VLOOKUP($A126,Nonstandard!$A$31:$J$41,6,FALSE),"")))))))))))))))))))))))))))),"")</f>
        <v/>
      </c>
      <c r="D126" s="428" t="str">
        <f>IFERROR(IF($A126&lt;'DWV PVC'!$A$285,VLOOKUP($A126,'DWV PVC'!$A$8:$M$284,6,FALSE),
IF($A126&lt;'DWV ABS'!$A$117,VLOOKUP($A126,'DWV ABS'!$A$8:$M$116,6,FALSE),
IF($A126&lt;'PVC SCH40'!$A$376,VLOOKUP($A126,'PVC SCH40'!$A$8:$M$375,6,FALSE),
IF($A126&lt;'PVC SCH40 LD'!$A$22,VLOOKUP($A126,'PVC SCH40 LD'!$A$8:$M$21,6,FALSE),
IF($A126&lt;'Pool &amp; SPA Sweep Elbows'!$A$12,VLOOKUP($A126,'Pool &amp; SPA Sweep Elbows'!$A$8:$M$11,6,FALSE),
IF($A126&lt;'Pool &amp; SPA Pipe Extender'!$A$11,VLOOKUP($A126,'Pool &amp; SPA Pipe Extender'!$A$8:$M$10,6,FALSE),
IF($A126&lt;'PVC SCH80'!$A$250,VLOOKUP($A126,'PVC SCH80'!$A$8:$M$249,6,FALSE),
IF($A126&lt;'PVC SCH80 Flange'!$A$49,VLOOKUP($A126,'PVC SCH80 Flange'!$A$8:$M$48,6,FALSE),
IF($A126&lt;'PVC SCH80 LD Flange'!$A$17,VLOOKUP($A126,'PVC SCH80 LD Flange'!$A$8:$M$16,6,FALSE),
IF($A126&lt;CPVC!$A$100,VLOOKUP($A126,CPVC!$A$8:$M$99,6,FALSE),
IF($A126&lt;InsertFittings!$A$237,VLOOKUP($A126,InsertFittings!$A$11:$M$236,6,FALSE),
IF($A126&lt;Valves!$A$132,VLOOKUP($A126,Valves!$A$8:$M$131,6,FALSE),
IF($A126&lt;SDR35SW!$A$124,VLOOKUP($A126,SDR35SW!$A$8:$M$123,6,FALSE),
IF($A126&lt;SDR35G!$A$143,VLOOKUP($A126, SDR35G!$A$8:$M$142,6,FALSE),
IF($A126&lt;SDR26G!$A$61,VLOOKUP($A126,SDR26G!$A$8:$N$60,6,FALSE),
IF($A126&lt;Cements!$A$100,VLOOKUP($A126,Cements!$A$8:$Q$99,6,FALSE),
IF($A126&lt;ValveBox!$A$143,VLOOKUP($A126,ValveBox!$A$10:$O$142,6,FALSE),
IF($A126&lt;'ValveBox Components'!$A$165,VLOOKUP($A126,'ValveBox Components'!$A$10:$O$164,6,FALSE),
IF($A126&lt;Drainage!$A$92,VLOOKUP($A126,Drainage!$A$8:$M$91,6,FALSE),
IF($A126&lt;Nipples!$A$82,VLOOKUP($A126,Nipples!$A$9:$Q$81,6,FALSE),
IF($A126&lt;Manifold!$A$33,VLOOKUP($A126,Manifold!$A$9:$M$32,6,FALSE),
IF($A126&lt;FlexibleRepairCouplings!$A$13,VLOOKUP($A126,FlexibleRepairCouplings!$A$10:$M$12,6,FALSE),
IF($A126&lt;DuraFix!$A$15,VLOOKUP($A126,DuraFix!$A$9:$M$14,6,FALSE),
IF($A126&lt;'Compression Fittings'!$A$16,VLOOKUP($A126,'Compression Fittings'!$A$8:$M$15,6,FALSE),
IF($A126&lt;'Hose Fittings'!$A$30,VLOOKUP($A126,'Hose Fittings'!$A$8:$M$29,6,FALSE),
IF($A126&lt;'Swing Joints'!$A$496,VLOOKUP($A126,'Swing Joints'!$A$9:$M$495,6,FALSE),
IF($A126&lt;'Swing Joints Components'!$A$135,VLOOKUP($A126,'Swing Joints Components'!$A$9:$M$134,6,FALSE),
IF($A126&lt;Nonstandard!$A$42,VLOOKUP($A126,Nonstandard!$A$31:$J$41,7,FALSE),"")))))))))))))))))))))))))))),"")</f>
        <v/>
      </c>
      <c r="E126" s="429"/>
      <c r="F126" s="421" t="str">
        <f>IFERROR(IF($A126&lt;'DWV PVC'!$A$285,VLOOKUP($A126,'DWV PVC'!$A$8:$M$284,9,FALSE),
IF($A126&lt;'DWV ABS'!$A$117,VLOOKUP($A126,'DWV ABS'!$A$8:$M$116,9,FALSE),
IF($A126&lt;'PVC SCH40'!$A$376,VLOOKUP($A126,'PVC SCH40'!$A$8:$M$375,9,FALSE),
IF($A126&lt;'PVC SCH40 LD'!$A$22,VLOOKUP($A126,'PVC SCH40 LD'!$A$8:$M$21,9,FALSE),
IF($A126&lt;'Pool &amp; SPA Sweep Elbows'!$A$12,VLOOKUP($A126,'Pool &amp; SPA Sweep Elbows'!$A$8:$M$11,9,FALSE),
IF($A126&lt;'Pool &amp; SPA Pipe Extender'!$A$11,VLOOKUP($A126,'Pool &amp; SPA Pipe Extender'!$A$8:$M$10,9,FALSE),
IF($A126&lt;'PVC SCH80'!$A$250,VLOOKUP($A126,'PVC SCH80'!$A$8:$M$249,9,FALSE),
IF($A126&lt;'PVC SCH80 Flange'!$A$49,VLOOKUP($A126,'PVC SCH80 Flange'!$A$8:$M$48,9,FALSE),
IF($A126&lt;'PVC SCH80 LD Flange'!$A$17,VLOOKUP($A126,'PVC SCH80 LD Flange'!$A$8:$M$16,9,FALSE),
IF($A126&lt;CPVC!$A$100,VLOOKUP($A126,CPVC!$A$8:$M$99,9,FALSE),
IF($A126&lt;InsertFittings!$A$237,VLOOKUP($A126,InsertFittings!$A$11:$M$236,9,FALSE),
IF($A126&lt;Valves!$A$132,VLOOKUP($A126,Valves!$A$8:$M$131,9,FALSE),
IF($A126&lt;SDR35SW!$A$124,VLOOKUP($A126,SDR35SW!$A$8:$M$123,9,FALSE),
IF($A126&lt;SDR35G!$A$143,VLOOKUP($A126, SDR35G!$A$8:$M$142,9,FALSE),
IF($A126&lt;SDR26G!$A$61,VLOOKUP($A126,SDR26G!$A$8:$N$60,10,FALSE),
IF($A126&lt;Cements!$A$100,VLOOKUP($A126,Cements!$A$8:$Q$99,13,FALSE),
IF($A126&lt;ValveBox!$A$143,VLOOKUP($A126,ValveBox!$A$10:$O$142,11,FALSE),
IF($A126&lt;'ValveBox Components'!$A$165,VLOOKUP($A126,'ValveBox Components'!$A$10:$O$164,11,FALSE),
IF($A126&lt;Drainage!$A$92,VLOOKUP($A126,Drainage!$A$8:$M$91,9,FALSE),
IF($A126&lt;Nipples!$A$82,VLOOKUP($A126,Nipples!$A$9:$Q$81,13,FALSE),
IF($A126&lt;Manifold!$A$33,VLOOKUP($A126,Manifold!$A$9:$M$32,9,FALSE),
IF($A126&lt;FlexibleRepairCouplings!$A$13,VLOOKUP($A126,FlexibleRepairCouplings!$A$10:$M$12,9,FALSE),
IF($A126&lt;DuraFix!$A$15,VLOOKUP($A126,DuraFix!$A$9:$M$14,9,FALSE),
IF($A126&lt;'Compression Fittings'!$A$16,VLOOKUP($A126,'Compression Fittings'!$A$8:$M$15,9,FALSE),
IF($A126&lt;'Hose Fittings'!$A$30,VLOOKUP($A126,'Hose Fittings'!$A$8:$M$29,9,FALSE),
IF($A126&lt;'Swing Joints'!$A$496,VLOOKUP($A126,'Swing Joints'!$A$9:$M$495,9,FALSE),
IF($A126&lt;'Swing Joints Components'!$A$135,VLOOKUP($A126,'Swing Joints Components'!$A$9:$M$134,9,FALSE),
IF($A126&lt;Nonstandard!$A$42,VLOOKUP($A126,Nonstandard!$A$31:$J$41,8,FALSE),"")))))))))))))))))))))))))))),"")</f>
        <v/>
      </c>
      <c r="G126" s="422" t="str">
        <f>IFERROR(IF($A126&lt;'DWV PVC'!$A$285,VLOOKUP($A126,'DWV PVC'!$A$8:$M$284,11,FALSE),
IF($A126&lt;'DWV ABS'!$A$117,VLOOKUP($A126,'DWV ABS'!$A$8:$M$116,11,FALSE),
IF($A126&lt;'PVC SCH40'!$A$376,VLOOKUP($A126,'PVC SCH40'!$A$8:$M$375,11,FALSE),
IF($A126&lt;'PVC SCH40 LD'!$A$22,VLOOKUP($A126,'PVC SCH40 LD'!$A$8:$M$21,11,FALSE),
IF($A126&lt;'Pool &amp; SPA Sweep Elbows'!$A$12,VLOOKUP($A126,'Pool &amp; SPA Sweep Elbows'!$A$8:$M$11,11,FALSE),
IF($A126&lt;'Pool &amp; SPA Pipe Extender'!$A$11,VLOOKUP($A126,'Pool &amp; SPA Pipe Extender'!$A$8:$M$10,11,FALSE),
IF($A126&lt;'PVC SCH80'!$A$250,VLOOKUP($A126,'PVC SCH80'!$A$8:$M$249,11,FALSE),
IF($A126&lt;'PVC SCH80 Flange'!$A$49,VLOOKUP($A126,'PVC SCH80 Flange'!$A$8:$M$48,11,FALSE),
IF($A126&lt;'PVC SCH80 LD Flange'!$A$17,VLOOKUP($A126,'PVC SCH80 LD Flange'!$A$8:$M$16,11,FALSE),
IF($A126&lt;CPVC!$A$100,VLOOKUP($A126,CPVC!$A$8:$M$99,11,FALSE),
IF($A126&lt;InsertFittings!$A$237,VLOOKUP($A126,InsertFittings!$A$11:$M$236,11,FALSE),
IF($A126&lt;Valves!$A$132,VLOOKUP($A126,Valves!$A$8:$M$131,11,FALSE),
IF($A126&lt;SDR35SW!$A$124,VLOOKUP($A126,SDR35SW!$A$8:$M$123,11,FALSE),
IF($A126&lt;SDR35G!$A$143,VLOOKUP($A126, SDR35G!$A$8:$M$142,11,FALSE),
IF($A126&lt;SDR26G!$A$61,VLOOKUP($A126,SDR26G!$A$8:$N$60,12,FALSE),
IF($A126&lt;Cements!$A$100,VLOOKUP($A126,Cements!$A$8:$Q$99,15,FALSE),
IF($A126&lt;ValveBox!$A$143,VLOOKUP($A126,ValveBox!$A$10:$O$142,13,FALSE),
IF($A126&lt;'ValveBox Components'!$A$165,VLOOKUP($A126,'ValveBox Components'!$A$10:$O$164,13,FALSE),
IF($A126&lt;Drainage!$A$92,VLOOKUP($A126,Drainage!$A$8:$M$91,11,FALSE),
IF($A126&lt;Nipples!$A$82,VLOOKUP($A126,Nipples!$A$9:$Q$81,15,FALSE),
IF($A126&lt;Manifold!$A$33,VLOOKUP($A126,Manifold!$A$9:$M$32,11,FALSE),
IF($A126&lt;FlexibleRepairCouplings!$A$13,VLOOKUP($A126,FlexibleRepairCouplings!$A$10:$M$12,11,FALSE),
IF($A126&lt;DuraFix!$A$15,VLOOKUP($A126,DuraFix!$A$9:$M$14,11,FALSE),
IF($A126&lt;'Compression Fittings'!$A$16,VLOOKUP($A126,'Compression Fittings'!$A$8:$M$15,11,FALSE),
IF($A126&lt;'Hose Fittings'!$A$30,VLOOKUP($A126,'Hose Fittings'!$A$8:$M$29,11,FALSE),
IF($A126&lt;'Swing Joints'!$A$496,VLOOKUP($A126,'Swing Joints'!$A$9:$M$495,11,FALSE),
IF($A126&lt;'Swing Joints Components'!$A$135,VLOOKUP($A126,'Swing Joints Components'!$A$9:$M$134,11,FALSE),
IF($A126&lt;Nonstandard!$A$42,VLOOKUP($A126,Nonstandard!$A$31:$J$41,3,FALSE),"")))))))))))))))))))))))))))),"")</f>
        <v/>
      </c>
      <c r="H126" s="588" t="str">
        <f>IFERROR(IF($A126&lt;'DWV PVC'!$A$285,VLOOKUP($A126,'DWV PVC'!$A$8:$M$284,7,FALSE),
IF($A126&lt;'DWV ABS'!$A$117,VLOOKUP($A126,'DWV ABS'!$A$8:$M$116,7,FALSE),
IF($A126&lt;'PVC SCH40'!$A$376,VLOOKUP($A126,'PVC SCH40'!$A$8:$M$375,7,FALSE),
IF($A126&lt;'PVC SCH40 LD'!$A$22,VLOOKUP($A126,'PVC SCH40 LD'!$A$8:$M$21,7,FALSE),
IF($A126&lt;'Pool &amp; SPA Sweep Elbows'!$A$12,VLOOKUP($A126,'Pool &amp; SPA Sweep Elbows'!$A$8:$M$11,7,FALSE),
IF($A126&lt;'Pool &amp; SPA Pipe Extender'!$A$11,VLOOKUP($A126,'Pool &amp; SPA Pipe Extender'!$A$8:$M$10,7,FALSE),
IF($A126&lt;'PVC SCH80'!$A$250,VLOOKUP($A126,'PVC SCH80'!$A$8:$M$249,7,FALSE),
IF($A126&lt;'PVC SCH80 Flange'!$A$49,VLOOKUP($A126,'PVC SCH80 Flange'!$A$8:$M$48,7,FALSE),
IF($A126&lt;'PVC SCH80 LD Flange'!$A$17,VLOOKUP($A126,'PVC SCH80 LD Flange'!$A$8:$M$16,7,FALSE),
IF($A126&lt;CPVC!$A$100,VLOOKUP($A126,CPVC!$A$8:$M$99,7,FALSE),
IF($A126&lt;InsertFittings!$A$237,VLOOKUP($A126,InsertFittings!$A$11:$M$236,7,FALSE),
IF($A126&lt;Valves!$A$132,VLOOKUP($A126,Valves!$A$8:$M$131,7,FALSE),
IF($A126&lt;SDR35SW!$A$124,VLOOKUP($A126,SDR35SW!$A$8:$M$123,7,FALSE),
IF($A126&lt;SDR35G!$A$143,VLOOKUP($A126, SDR35G!$A$8:$M$142,7,FALSE),
IF($A126&lt;SDR26G!$A$61,VLOOKUP($A126,SDR26G!$A$8:$N$60,10,FALSE),
IF($A126&lt;Cements!$A$100,VLOOKUP($A126,Cements!$A$8:$Q$99,13,FALSE),
IF($A126&lt;ValveBox!$A$143,VLOOKUP($A126,ValveBox!$A$10:$O$142,11,FALSE),
IF($A126&lt;'ValveBox Components'!$A$165,VLOOKUP($A126,'ValveBox Components'!$A$10:$O$164,11,FALSE),
IF($A126&lt;Drainage!$A$92,VLOOKUP($A126,Drainage!$A$8:$M$91,7,FALSE),
IF($A126&lt;Nipples!$A$82,VLOOKUP($A126,Nipples!$A$9:$Q$81,13,FALSE),
IF($A126&lt;Manifold!$A$33,VLOOKUP($A126,Manifold!$A$9:$M$32,7,FALSE),
IF($A126&lt;FlexibleRepairCouplings!$A$13,VLOOKUP($A126,FlexibleRepairCouplings!$A$10:$M$12,7,FALSE),
IF($A126&lt;DuraFix!$A$15,VLOOKUP($A126,DuraFix!$A$9:$M$14,7,FALSE),
IF($A126&lt;'Compression Fittings'!$A$16,VLOOKUP($A126,'Compression Fittings'!$A$8:$M$15,7,FALSE),
IF($A126&lt;'Hose Fittings'!$A$30,VLOOKUP($A126,'Hose Fittings'!$A$8:$M$29,7,FALSE),
IF($A126&lt;'Swing Joints'!$A$496,VLOOKUP($A126,'Swing Joints'!$A$9:$M$495,7,FALSE),
IF($A126&lt;'Swing Joints Components'!$A$135,VLOOKUP($A126,'Swing Joints Components'!$A$9:$M$134,7,FALSE),
IF($A126&lt;Nonstandard!$A$42,VLOOKUP($A126,Nonstandard!$A$31:$J$41,3,FALSE),"")))))))))))))))))))))))))))),"")</f>
        <v/>
      </c>
      <c r="I126" s="589"/>
      <c r="J126" s="423" t="str">
        <f t="shared" si="3"/>
        <v/>
      </c>
      <c r="K126" s="424" t="str">
        <f>IFERROR(IF($A126&lt;'DWV PVC'!$A$285,VLOOKUP($A126,'DWV PVC'!$A$8:$M$284,10,FALSE),
IF($A126&lt;'DWV ABS'!$A$117,VLOOKUP($A126,'DWV ABS'!$A$8:$M$116,10,FALSE),
IF($A126&lt;'PVC SCH40'!$A$376,VLOOKUP($A126,'PVC SCH40'!$A$8:$M$375,10,FALSE),
IF($A126&lt;'PVC SCH40 LD'!$A$22,VLOOKUP($A126,'PVC SCH40 LD'!$A$8:$M$21,10,FALSE),
IF($A126&lt;'Pool &amp; SPA Sweep Elbows'!$A$12,VLOOKUP($A126,'Pool &amp; SPA Sweep Elbows'!$A$8:$M$11,10,FALSE),
IF($A126&lt;'Pool &amp; SPA Pipe Extender'!$A$11,VLOOKUP($A126,'Pool &amp; SPA Pipe Extender'!$A$8:$M$10,10,FALSE),
IF($A126&lt;'PVC SCH80'!$A$250,VLOOKUP($A126,'PVC SCH80'!$A$8:$M$249,10,FALSE),
IF($A126&lt;'PVC SCH80 Flange'!$A$49,VLOOKUP($A126,'PVC SCH80 Flange'!$A$8:$M$48,10,FALSE),
IF($A126&lt;'PVC SCH80 LD Flange'!$A$17,VLOOKUP($A126,'PVC SCH80 LD Flange'!$A$8:$M$16,10,FALSE),
IF($A126&lt;CPVC!$A$100,VLOOKUP($A126,CPVC!$A$8:$M$99,10,FALSE),
IF($A126&lt;InsertFittings!$A$237,VLOOKUP($A126,InsertFittings!$A$11:$M$236,10,FALSE),
IF($A126&lt;Valves!$A$132,VLOOKUP($A126,Valves!$A$8:$M$131,10,FALSE),
IF($A126&lt;SDR35SW!$A$124,VLOOKUP($A126,SDR35SW!$A$8:$M$123,10,FALSE),
IF($A126&lt;SDR35G!$A$143,VLOOKUP($A126, SDR35G!$A$8:$M$142,10,FALSE),
IF($A126&lt;SDR26G!$A$61,VLOOKUP($A126,SDR26G!$A$8:$N$60,11,FALSE),
IF($A126&lt;Cements!$A$100,VLOOKUP($A126,Cements!$A$8:$Q$99,14,FALSE),
IF($A126&lt;ValveBox!$A$143,VLOOKUP($A126,ValveBox!$A$10:$O$142,12,FALSE),
IF($A126&lt;'ValveBox Components'!$A$165,VLOOKUP($A126,'ValveBox Components'!$A$10:$O$164,12,FALSE),
IF($A126&lt;Drainage!$A$92,VLOOKUP($A126,Drainage!$A$8:$M$91,10,FALSE),
IF($A126&lt;Nipples!$A$82,VLOOKUP($A126,Nipples!$A$9:$Q$81,14,FALSE),
IF($A126&lt;Manifold!$A$33,VLOOKUP($A126,Manifold!$A$9:$M$32,10,FALSE),
IF($A126&lt;FlexibleRepairCouplings!$A$13,VLOOKUP($A126,FlexibleRepairCouplings!$A$10:$M$12,10,FALSE),
IF($A126&lt;DuraFix!$A$15,VLOOKUP($A126,DuraFix!$A$9:$M$14,10,FALSE),
IF($A126&lt;'Compression Fittings'!$A$16,VLOOKUP($A126,'Compression Fittings'!$A$8:$M$15,10,FALSE),
IF($A126&lt;'Hose Fittings'!$A$30,VLOOKUP($A126,'Hose Fittings'!$A$8:$M$29,10,FALSE),
IF($A126&lt;'Swing Joints'!$A$496,VLOOKUP($A126,'Swing Joints'!$A$9:$M$495,10,FALSE),
IF($A126&lt;'Swing Joints Components'!$A$135,VLOOKUP($A126,'Swing Joints Components'!$A$9:$M$134,10,FALSE),
IF($A126&lt;Nonstandard!$A$42,VLOOKUP($A126,Nonstandard!$A$31:$J$41,10,FALSE),"")))))))))))))))))))))))))))),"")</f>
        <v/>
      </c>
      <c r="L126" s="421" t="str">
        <f t="shared" si="2"/>
        <v>-</v>
      </c>
      <c r="M126" s="425"/>
    </row>
    <row r="127" spans="1:13" ht="15.75">
      <c r="A127" s="415">
        <v>95</v>
      </c>
      <c r="B127" s="415" t="str">
        <f>IFERROR(IF($A127&lt;'DWV PVC'!$A$285,VLOOKUP($A127,'DWV PVC'!$A$8:$M$284,4,FALSE),
IF($A127&lt;'DWV ABS'!$A$117,VLOOKUP($A127,'DWV ABS'!$A$8:$M$116,4,FALSE),
IF($A127&lt;'PVC SCH40'!$A$376,VLOOKUP($A127,'PVC SCH40'!$A$8:$M$375,4,FALSE),
IF($A127&lt;'PVC SCH40 LD'!$A$22,VLOOKUP($A127,'PVC SCH40 LD'!$A$8:$M$21,4,FALSE),
IF($A127&lt;'Pool &amp; SPA Sweep Elbows'!$A$12,VLOOKUP($A127,'Pool &amp; SPA Sweep Elbows'!$A$8:$M$11,4,FALSE),
IF($A127&lt;'Pool &amp; SPA Pipe Extender'!$A$11,VLOOKUP($A127,'Pool &amp; SPA Pipe Extender'!$A$8:$M$10,4,FALSE),
IF($A127&lt;'PVC SCH80'!$A$250,VLOOKUP($A127,'PVC SCH80'!$A$8:$M$249,4,FALSE),
IF($A127&lt;'PVC SCH80 Flange'!$A$49,VLOOKUP($A127,'PVC SCH80 Flange'!$A$8:$M$48,4,FALSE),
IF($A127&lt;'PVC SCH80 LD Flange'!$A$17,VLOOKUP($A127,'PVC SCH80 LD Flange'!$A$8:$M$16,4,FALSE),
IF($A127&lt;CPVC!$A$100,VLOOKUP($A127,CPVC!$A$8:$M$99,4,FALSE),
IF($A127&lt;InsertFittings!$A$237,VLOOKUP($A127,InsertFittings!$A$11:$M$236,4,FALSE),
IF($A127&lt;Valves!$A$132,VLOOKUP($A127,Valves!$A$8:$M$131,4,FALSE),
IF($A127&lt;SDR35SW!$A$124,VLOOKUP($A127,SDR35SW!$A$8:$M$123,4,FALSE),
IF($A127&lt;SDR35G!$A$143,VLOOKUP($A127, SDR35G!$A$8:$M$142,4,FALSE),
IF($A127&lt;SDR26G!$A$61,VLOOKUP($A127,SDR26G!$A$8:$N$60,4,FALSE),
IF($A127&lt;Cements!$A$100,VLOOKUP($A127,Cements!$A$8:$Q$99,4,FALSE),
IF($A127&lt;ValveBox!$A$143,VLOOKUP($A127,ValveBox!$A$10:$O$142,4,FALSE),
IF($A127&lt;'ValveBox Components'!$A$165,VLOOKUP($A127,'ValveBox Components'!$A$10:$O$164,4,FALSE),
IF($A127&lt;Drainage!$A$92,VLOOKUP($A127,Drainage!$A$8:$M$91,4,FALSE),
IF($A127&lt;Nipples!$A$82,VLOOKUP($A127,Nipples!$A$9:$Q$81,4,FALSE),
IF($A127&lt;Manifold!$A$33,VLOOKUP($A127,Manifold!$A$9:$M$32,4,FALSE),
IF($A127&lt;FlexibleRepairCouplings!$A$13,VLOOKUP($A127,FlexibleRepairCouplings!$A$10:$M$12,4,FALSE),
IF($A127&lt;DuraFix!$A$15,VLOOKUP($A127,DuraFix!$A$9:$M$14,4,FALSE),
IF($A127&lt;'Compression Fittings'!$A$16,VLOOKUP($A127,'Compression Fittings'!$A$8:$M$15,4,FALSE),
IF($A127&lt;'Hose Fittings'!$A$30,VLOOKUP($A127,'Hose Fittings'!$A$8:$M$29,4,FALSE),
IF($A127&lt;'Swing Joints'!$A$496,VLOOKUP($A127,'Swing Joints'!$A$9:$M$495,4,FALSE),
IF($A127&lt;'Swing Joints Components'!$A$135,VLOOKUP($A127,'Swing Joints Components'!$A$9:$M$134,4,FALSE),
IF($A127&lt;Nonstandard!$A$42,VLOOKUP($A127,Nonstandard!$A$31:$J$41,5,FALSE),"")))))))))))))))))))))))))))),"")</f>
        <v/>
      </c>
      <c r="C127" s="415" t="str">
        <f>IFERROR(IF($A127&lt;'DWV PVC'!$A$285,VLOOKUP($A127,'DWV PVC'!$A$8:$M$284,5,FALSE),
IF($A127&lt;'DWV ABS'!$A$117,VLOOKUP($A127,'DWV ABS'!$A$8:$M$116,5,FALSE),
IF($A127&lt;'PVC SCH40'!$A$376,VLOOKUP($A127,'PVC SCH40'!$A$8:$M$375,5,FALSE),
IF($A127&lt;'PVC SCH40 LD'!$A$22,VLOOKUP($A127,'PVC SCH40 LD'!$A$8:$M$21,5,FALSE),
IF($A127&lt;'Pool &amp; SPA Sweep Elbows'!$A$12,VLOOKUP($A127,'Pool &amp; SPA Sweep Elbows'!$A$8:$M$11,5,FALSE),
IF($A127&lt;'Pool &amp; SPA Pipe Extender'!$A$11,VLOOKUP($A127,'Pool &amp; SPA Pipe Extender'!$A$8:$M$10,5,FALSE),
IF($A127&lt;'PVC SCH80'!$A$250,VLOOKUP($A127,'PVC SCH80'!$A$8:$M$249,5,FALSE),
IF($A127&lt;'PVC SCH80 Flange'!$A$49,VLOOKUP($A127,'PVC SCH80 Flange'!$A$8:$M$48,5,FALSE),
IF($A127&lt;'PVC SCH80 LD Flange'!$A$17,VLOOKUP($A127,'PVC SCH80 LD Flange'!$A$8:$M$16,5,FALSE),
IF($A127&lt;CPVC!$A$100,VLOOKUP($A127,CPVC!$A$8:$M$99,5,FALSE),
IF($A127&lt;InsertFittings!$A$237,VLOOKUP($A127,InsertFittings!$A$11:$M$236,5,FALSE),
IF($A127&lt;Valves!$A$132,VLOOKUP($A127,Valves!$A$8:$M$131,5,FALSE),
IF($A127&lt;SDR35SW!$A$124,VLOOKUP($A127,SDR35SW!$A$8:$M$123,5,FALSE),
IF($A127&lt;SDR35G!$A$143,VLOOKUP($A127, SDR35G!$A$8:$M$142,5,FALSE),
IF($A127&lt;SDR26G!$A$61,VLOOKUP($A127,SDR26G!$A$8:$N$60,5,FALSE),
IF($A127&lt;Cements!$A$100,VLOOKUP($A127,Cements!$A$8:$Q$99,5,FALSE),
IF($A127&lt;ValveBox!$A$143,VLOOKUP($A127,ValveBox!$A$10:$O$142,5,FALSE),
IF($A127&lt;'ValveBox Components'!$A$165,VLOOKUP($A127,'ValveBox Components'!$A$10:$O$164,5,FALSE),
IF($A127&lt;Drainage!$A$92,VLOOKUP($A127,Drainage!$A$8:$M$91,5,FALSE),
IF($A127&lt;Nipples!$A$82,VLOOKUP($A127,Nipples!$A$9:$Q$81,5,FALSE),
IF($A127&lt;Manifold!$A$33,VLOOKUP($A127,Manifold!$A$9:$M$32,5,FALSE),
IF($A127&lt;FlexibleRepairCouplings!$A$13,VLOOKUP($A127,FlexibleRepairCouplings!$A$10:$M$12,5,FALSE),
IF($A127&lt;DuraFix!$A$15,VLOOKUP($A127,DuraFix!$A$9:$M$14,5,FALSE),
IF($A127&lt;'Compression Fittings'!$A$16,VLOOKUP($A127,'Compression Fittings'!$A$8:$M$15,5,FALSE),
IF($A127&lt;'Hose Fittings'!$A$30,VLOOKUP($A127,'Hose Fittings'!$A$8:$M$29,5,FALSE),
IF($A127&lt;'Swing Joints'!$A$496,VLOOKUP($A127,'Swing Joints'!$A$9:$M$495,5,FALSE),
IF($A127&lt;'Swing Joints Components'!$A$135,VLOOKUP($A127,'Swing Joints Components'!$A$9:$M$134,5,FALSE),
IF($A127&lt;Nonstandard!$A$42,VLOOKUP($A127,Nonstandard!$A$31:$J$41,6,FALSE),"")))))))))))))))))))))))))))),"")</f>
        <v/>
      </c>
      <c r="D127" s="426" t="str">
        <f>IFERROR(IF($A127&lt;'DWV PVC'!$A$285,VLOOKUP($A127,'DWV PVC'!$A$8:$M$284,6,FALSE),
IF($A127&lt;'DWV ABS'!$A$117,VLOOKUP($A127,'DWV ABS'!$A$8:$M$116,6,FALSE),
IF($A127&lt;'PVC SCH40'!$A$376,VLOOKUP($A127,'PVC SCH40'!$A$8:$M$375,6,FALSE),
IF($A127&lt;'PVC SCH40 LD'!$A$22,VLOOKUP($A127,'PVC SCH40 LD'!$A$8:$M$21,6,FALSE),
IF($A127&lt;'Pool &amp; SPA Sweep Elbows'!$A$12,VLOOKUP($A127,'Pool &amp; SPA Sweep Elbows'!$A$8:$M$11,6,FALSE),
IF($A127&lt;'Pool &amp; SPA Pipe Extender'!$A$11,VLOOKUP($A127,'Pool &amp; SPA Pipe Extender'!$A$8:$M$10,6,FALSE),
IF($A127&lt;'PVC SCH80'!$A$250,VLOOKUP($A127,'PVC SCH80'!$A$8:$M$249,6,FALSE),
IF($A127&lt;'PVC SCH80 Flange'!$A$49,VLOOKUP($A127,'PVC SCH80 Flange'!$A$8:$M$48,6,FALSE),
IF($A127&lt;'PVC SCH80 LD Flange'!$A$17,VLOOKUP($A127,'PVC SCH80 LD Flange'!$A$8:$M$16,6,FALSE),
IF($A127&lt;CPVC!$A$100,VLOOKUP($A127,CPVC!$A$8:$M$99,6,FALSE),
IF($A127&lt;InsertFittings!$A$237,VLOOKUP($A127,InsertFittings!$A$11:$M$236,6,FALSE),
IF($A127&lt;Valves!$A$132,VLOOKUP($A127,Valves!$A$8:$M$131,6,FALSE),
IF($A127&lt;SDR35SW!$A$124,VLOOKUP($A127,SDR35SW!$A$8:$M$123,6,FALSE),
IF($A127&lt;SDR35G!$A$143,VLOOKUP($A127, SDR35G!$A$8:$M$142,6,FALSE),
IF($A127&lt;SDR26G!$A$61,VLOOKUP($A127,SDR26G!$A$8:$N$60,6,FALSE),
IF($A127&lt;Cements!$A$100,VLOOKUP($A127,Cements!$A$8:$Q$99,6,FALSE),
IF($A127&lt;ValveBox!$A$143,VLOOKUP($A127,ValveBox!$A$10:$O$142,6,FALSE),
IF($A127&lt;'ValveBox Components'!$A$165,VLOOKUP($A127,'ValveBox Components'!$A$10:$O$164,6,FALSE),
IF($A127&lt;Drainage!$A$92,VLOOKUP($A127,Drainage!$A$8:$M$91,6,FALSE),
IF($A127&lt;Nipples!$A$82,VLOOKUP($A127,Nipples!$A$9:$Q$81,6,FALSE),
IF($A127&lt;Manifold!$A$33,VLOOKUP($A127,Manifold!$A$9:$M$32,6,FALSE),
IF($A127&lt;FlexibleRepairCouplings!$A$13,VLOOKUP($A127,FlexibleRepairCouplings!$A$10:$M$12,6,FALSE),
IF($A127&lt;DuraFix!$A$15,VLOOKUP($A127,DuraFix!$A$9:$M$14,6,FALSE),
IF($A127&lt;'Compression Fittings'!$A$16,VLOOKUP($A127,'Compression Fittings'!$A$8:$M$15,6,FALSE),
IF($A127&lt;'Hose Fittings'!$A$30,VLOOKUP($A127,'Hose Fittings'!$A$8:$M$29,6,FALSE),
IF($A127&lt;'Swing Joints'!$A$496,VLOOKUP($A127,'Swing Joints'!$A$9:$M$495,6,FALSE),
IF($A127&lt;'Swing Joints Components'!$A$135,VLOOKUP($A127,'Swing Joints Components'!$A$9:$M$134,6,FALSE),
IF($A127&lt;Nonstandard!$A$42,VLOOKUP($A127,Nonstandard!$A$31:$J$41,7,FALSE),"")))))))))))))))))))))))))))),"")</f>
        <v/>
      </c>
      <c r="E127" s="427"/>
      <c r="F127" s="418" t="str">
        <f>IFERROR(IF($A127&lt;'DWV PVC'!$A$285,VLOOKUP($A127,'DWV PVC'!$A$8:$M$284,9,FALSE),
IF($A127&lt;'DWV ABS'!$A$117,VLOOKUP($A127,'DWV ABS'!$A$8:$M$116,9,FALSE),
IF($A127&lt;'PVC SCH40'!$A$376,VLOOKUP($A127,'PVC SCH40'!$A$8:$M$375,9,FALSE),
IF($A127&lt;'PVC SCH40 LD'!$A$22,VLOOKUP($A127,'PVC SCH40 LD'!$A$8:$M$21,9,FALSE),
IF($A127&lt;'Pool &amp; SPA Sweep Elbows'!$A$12,VLOOKUP($A127,'Pool &amp; SPA Sweep Elbows'!$A$8:$M$11,9,FALSE),
IF($A127&lt;'Pool &amp; SPA Pipe Extender'!$A$11,VLOOKUP($A127,'Pool &amp; SPA Pipe Extender'!$A$8:$M$10,9,FALSE),
IF($A127&lt;'PVC SCH80'!$A$250,VLOOKUP($A127,'PVC SCH80'!$A$8:$M$249,9,FALSE),
IF($A127&lt;'PVC SCH80 Flange'!$A$49,VLOOKUP($A127,'PVC SCH80 Flange'!$A$8:$M$48,9,FALSE),
IF($A127&lt;'PVC SCH80 LD Flange'!$A$17,VLOOKUP($A127,'PVC SCH80 LD Flange'!$A$8:$M$16,9,FALSE),
IF($A127&lt;CPVC!$A$100,VLOOKUP($A127,CPVC!$A$8:$M$99,9,FALSE),
IF($A127&lt;InsertFittings!$A$237,VLOOKUP($A127,InsertFittings!$A$11:$M$236,9,FALSE),
IF($A127&lt;Valves!$A$132,VLOOKUP($A127,Valves!$A$8:$M$131,9,FALSE),
IF($A127&lt;SDR35SW!$A$124,VLOOKUP($A127,SDR35SW!$A$8:$M$123,9,FALSE),
IF($A127&lt;SDR35G!$A$143,VLOOKUP($A127, SDR35G!$A$8:$M$142,9,FALSE),
IF($A127&lt;SDR26G!$A$61,VLOOKUP($A127,SDR26G!$A$8:$N$60,10,FALSE),
IF($A127&lt;Cements!$A$100,VLOOKUP($A127,Cements!$A$8:$Q$99,13,FALSE),
IF($A127&lt;ValveBox!$A$143,VLOOKUP($A127,ValveBox!$A$10:$O$142,11,FALSE),
IF($A127&lt;'ValveBox Components'!$A$165,VLOOKUP($A127,'ValveBox Components'!$A$10:$O$164,11,FALSE),
IF($A127&lt;Drainage!$A$92,VLOOKUP($A127,Drainage!$A$8:$M$91,9,FALSE),
IF($A127&lt;Nipples!$A$82,VLOOKUP($A127,Nipples!$A$9:$Q$81,13,FALSE),
IF($A127&lt;Manifold!$A$33,VLOOKUP($A127,Manifold!$A$9:$M$32,9,FALSE),
IF($A127&lt;FlexibleRepairCouplings!$A$13,VLOOKUP($A127,FlexibleRepairCouplings!$A$10:$M$12,9,FALSE),
IF($A127&lt;DuraFix!$A$15,VLOOKUP($A127,DuraFix!$A$9:$M$14,9,FALSE),
IF($A127&lt;'Compression Fittings'!$A$16,VLOOKUP($A127,'Compression Fittings'!$A$8:$M$15,9,FALSE),
IF($A127&lt;'Hose Fittings'!$A$30,VLOOKUP($A127,'Hose Fittings'!$A$8:$M$29,9,FALSE),
IF($A127&lt;'Swing Joints'!$A$496,VLOOKUP($A127,'Swing Joints'!$A$9:$M$495,9,FALSE),
IF($A127&lt;'Swing Joints Components'!$A$135,VLOOKUP($A127,'Swing Joints Components'!$A$9:$M$134,9,FALSE),
IF($A127&lt;Nonstandard!$A$42,VLOOKUP($A127,Nonstandard!$A$31:$J$41,8,FALSE),"")))))))))))))))))))))))))))),"")</f>
        <v/>
      </c>
      <c r="G127" s="416" t="str">
        <f>IFERROR(IF($A127&lt;'DWV PVC'!$A$285,VLOOKUP($A127,'DWV PVC'!$A$8:$M$284,11,FALSE),
IF($A127&lt;'DWV ABS'!$A$117,VLOOKUP($A127,'DWV ABS'!$A$8:$M$116,11,FALSE),
IF($A127&lt;'PVC SCH40'!$A$376,VLOOKUP($A127,'PVC SCH40'!$A$8:$M$375,11,FALSE),
IF($A127&lt;'PVC SCH40 LD'!$A$22,VLOOKUP($A127,'PVC SCH40 LD'!$A$8:$M$21,11,FALSE),
IF($A127&lt;'Pool &amp; SPA Sweep Elbows'!$A$12,VLOOKUP($A127,'Pool &amp; SPA Sweep Elbows'!$A$8:$M$11,11,FALSE),
IF($A127&lt;'Pool &amp; SPA Pipe Extender'!$A$11,VLOOKUP($A127,'Pool &amp; SPA Pipe Extender'!$A$8:$M$10,11,FALSE),
IF($A127&lt;'PVC SCH80'!$A$250,VLOOKUP($A127,'PVC SCH80'!$A$8:$M$249,11,FALSE),
IF($A127&lt;'PVC SCH80 Flange'!$A$49,VLOOKUP($A127,'PVC SCH80 Flange'!$A$8:$M$48,11,FALSE),
IF($A127&lt;'PVC SCH80 LD Flange'!$A$17,VLOOKUP($A127,'PVC SCH80 LD Flange'!$A$8:$M$16,11,FALSE),
IF($A127&lt;CPVC!$A$100,VLOOKUP($A127,CPVC!$A$8:$M$99,11,FALSE),
IF($A127&lt;InsertFittings!$A$237,VLOOKUP($A127,InsertFittings!$A$11:$M$236,11,FALSE),
IF($A127&lt;Valves!$A$132,VLOOKUP($A127,Valves!$A$8:$M$131,11,FALSE),
IF($A127&lt;SDR35SW!$A$124,VLOOKUP($A127,SDR35SW!$A$8:$M$123,11,FALSE),
IF($A127&lt;SDR35G!$A$143,VLOOKUP($A127, SDR35G!$A$8:$M$142,11,FALSE),
IF($A127&lt;SDR26G!$A$61,VLOOKUP($A127,SDR26G!$A$8:$N$60,12,FALSE),
IF($A127&lt;Cements!$A$100,VLOOKUP($A127,Cements!$A$8:$Q$99,15,FALSE),
IF($A127&lt;ValveBox!$A$143,VLOOKUP($A127,ValveBox!$A$10:$O$142,13,FALSE),
IF($A127&lt;'ValveBox Components'!$A$165,VLOOKUP($A127,'ValveBox Components'!$A$10:$O$164,13,FALSE),
IF($A127&lt;Drainage!$A$92,VLOOKUP($A127,Drainage!$A$8:$M$91,11,FALSE),
IF($A127&lt;Nipples!$A$82,VLOOKUP($A127,Nipples!$A$9:$Q$81,15,FALSE),
IF($A127&lt;Manifold!$A$33,VLOOKUP($A127,Manifold!$A$9:$M$32,11,FALSE),
IF($A127&lt;FlexibleRepairCouplings!$A$13,VLOOKUP($A127,FlexibleRepairCouplings!$A$10:$M$12,11,FALSE),
IF($A127&lt;DuraFix!$A$15,VLOOKUP($A127,DuraFix!$A$9:$M$14,11,FALSE),
IF($A127&lt;'Compression Fittings'!$A$16,VLOOKUP($A127,'Compression Fittings'!$A$8:$M$15,11,FALSE),
IF($A127&lt;'Hose Fittings'!$A$30,VLOOKUP($A127,'Hose Fittings'!$A$8:$M$29,11,FALSE),
IF($A127&lt;'Swing Joints'!$A$496,VLOOKUP($A127,'Swing Joints'!$A$9:$M$495,11,FALSE),
IF($A127&lt;'Swing Joints Components'!$A$135,VLOOKUP($A127,'Swing Joints Components'!$A$9:$M$134,11,FALSE),
IF($A127&lt;Nonstandard!$A$42,VLOOKUP($A127,Nonstandard!$A$31:$J$41,3,FALSE),"")))))))))))))))))))))))))))),"")</f>
        <v/>
      </c>
      <c r="H127" s="586" t="str">
        <f>IFERROR(IF($A127&lt;'DWV PVC'!$A$285,VLOOKUP($A127,'DWV PVC'!$A$8:$M$284,7,FALSE),
IF($A127&lt;'DWV ABS'!$A$117,VLOOKUP($A127,'DWV ABS'!$A$8:$M$116,7,FALSE),
IF($A127&lt;'PVC SCH40'!$A$376,VLOOKUP($A127,'PVC SCH40'!$A$8:$M$375,7,FALSE),
IF($A127&lt;'PVC SCH40 LD'!$A$22,VLOOKUP($A127,'PVC SCH40 LD'!$A$8:$M$21,7,FALSE),
IF($A127&lt;'Pool &amp; SPA Sweep Elbows'!$A$12,VLOOKUP($A127,'Pool &amp; SPA Sweep Elbows'!$A$8:$M$11,7,FALSE),
IF($A127&lt;'Pool &amp; SPA Pipe Extender'!$A$11,VLOOKUP($A127,'Pool &amp; SPA Pipe Extender'!$A$8:$M$10,7,FALSE),
IF($A127&lt;'PVC SCH80'!$A$250,VLOOKUP($A127,'PVC SCH80'!$A$8:$M$249,7,FALSE),
IF($A127&lt;'PVC SCH80 Flange'!$A$49,VLOOKUP($A127,'PVC SCH80 Flange'!$A$8:$M$48,7,FALSE),
IF($A127&lt;'PVC SCH80 LD Flange'!$A$17,VLOOKUP($A127,'PVC SCH80 LD Flange'!$A$8:$M$16,7,FALSE),
IF($A127&lt;CPVC!$A$100,VLOOKUP($A127,CPVC!$A$8:$M$99,7,FALSE),
IF($A127&lt;InsertFittings!$A$237,VLOOKUP($A127,InsertFittings!$A$11:$M$236,7,FALSE),
IF($A127&lt;Valves!$A$132,VLOOKUP($A127,Valves!$A$8:$M$131,7,FALSE),
IF($A127&lt;SDR35SW!$A$124,VLOOKUP($A127,SDR35SW!$A$8:$M$123,7,FALSE),
IF($A127&lt;SDR35G!$A$143,VLOOKUP($A127, SDR35G!$A$8:$M$142,7,FALSE),
IF($A127&lt;SDR26G!$A$61,VLOOKUP($A127,SDR26G!$A$8:$N$60,10,FALSE),
IF($A127&lt;Cements!$A$100,VLOOKUP($A127,Cements!$A$8:$Q$99,13,FALSE),
IF($A127&lt;ValveBox!$A$143,VLOOKUP($A127,ValveBox!$A$10:$O$142,11,FALSE),
IF($A127&lt;'ValveBox Components'!$A$165,VLOOKUP($A127,'ValveBox Components'!$A$10:$O$164,11,FALSE),
IF($A127&lt;Drainage!$A$92,VLOOKUP($A127,Drainage!$A$8:$M$91,7,FALSE),
IF($A127&lt;Nipples!$A$82,VLOOKUP($A127,Nipples!$A$9:$Q$81,13,FALSE),
IF($A127&lt;Manifold!$A$33,VLOOKUP($A127,Manifold!$A$9:$M$32,7,FALSE),
IF($A127&lt;FlexibleRepairCouplings!$A$13,VLOOKUP($A127,FlexibleRepairCouplings!$A$10:$M$12,7,FALSE),
IF($A127&lt;DuraFix!$A$15,VLOOKUP($A127,DuraFix!$A$9:$M$14,7,FALSE),
IF($A127&lt;'Compression Fittings'!$A$16,VLOOKUP($A127,'Compression Fittings'!$A$8:$M$15,7,FALSE),
IF($A127&lt;'Hose Fittings'!$A$30,VLOOKUP($A127,'Hose Fittings'!$A$8:$M$29,7,FALSE),
IF($A127&lt;'Swing Joints'!$A$496,VLOOKUP($A127,'Swing Joints'!$A$9:$M$495,7,FALSE),
IF($A127&lt;'Swing Joints Components'!$A$135,VLOOKUP($A127,'Swing Joints Components'!$A$9:$M$134,7,FALSE),
IF($A127&lt;Nonstandard!$A$42,VLOOKUP($A127,Nonstandard!$A$31:$J$41,3,FALSE),"")))))))))))))))))))))))))))),"")</f>
        <v/>
      </c>
      <c r="I127" s="587"/>
      <c r="J127" s="383" t="str">
        <f t="shared" si="3"/>
        <v/>
      </c>
      <c r="K127" s="417" t="str">
        <f>IFERROR(IF($A127&lt;'DWV PVC'!$A$285,VLOOKUP($A127,'DWV PVC'!$A$8:$M$284,10,FALSE),
IF($A127&lt;'DWV ABS'!$A$117,VLOOKUP($A127,'DWV ABS'!$A$8:$M$116,10,FALSE),
IF($A127&lt;'PVC SCH40'!$A$376,VLOOKUP($A127,'PVC SCH40'!$A$8:$M$375,10,FALSE),
IF($A127&lt;'PVC SCH40 LD'!$A$22,VLOOKUP($A127,'PVC SCH40 LD'!$A$8:$M$21,10,FALSE),
IF($A127&lt;'Pool &amp; SPA Sweep Elbows'!$A$12,VLOOKUP($A127,'Pool &amp; SPA Sweep Elbows'!$A$8:$M$11,10,FALSE),
IF($A127&lt;'Pool &amp; SPA Pipe Extender'!$A$11,VLOOKUP($A127,'Pool &amp; SPA Pipe Extender'!$A$8:$M$10,10,FALSE),
IF($A127&lt;'PVC SCH80'!$A$250,VLOOKUP($A127,'PVC SCH80'!$A$8:$M$249,10,FALSE),
IF($A127&lt;'PVC SCH80 Flange'!$A$49,VLOOKUP($A127,'PVC SCH80 Flange'!$A$8:$M$48,10,FALSE),
IF($A127&lt;'PVC SCH80 LD Flange'!$A$17,VLOOKUP($A127,'PVC SCH80 LD Flange'!$A$8:$M$16,10,FALSE),
IF($A127&lt;CPVC!$A$100,VLOOKUP($A127,CPVC!$A$8:$M$99,10,FALSE),
IF($A127&lt;InsertFittings!$A$237,VLOOKUP($A127,InsertFittings!$A$11:$M$236,10,FALSE),
IF($A127&lt;Valves!$A$132,VLOOKUP($A127,Valves!$A$8:$M$131,10,FALSE),
IF($A127&lt;SDR35SW!$A$124,VLOOKUP($A127,SDR35SW!$A$8:$M$123,10,FALSE),
IF($A127&lt;SDR35G!$A$143,VLOOKUP($A127, SDR35G!$A$8:$M$142,10,FALSE),
IF($A127&lt;SDR26G!$A$61,VLOOKUP($A127,SDR26G!$A$8:$N$60,11,FALSE),
IF($A127&lt;Cements!$A$100,VLOOKUP($A127,Cements!$A$8:$Q$99,14,FALSE),
IF($A127&lt;ValveBox!$A$143,VLOOKUP($A127,ValveBox!$A$10:$O$142,12,FALSE),
IF($A127&lt;'ValveBox Components'!$A$165,VLOOKUP($A127,'ValveBox Components'!$A$10:$O$164,12,FALSE),
IF($A127&lt;Drainage!$A$92,VLOOKUP($A127,Drainage!$A$8:$M$91,10,FALSE),
IF($A127&lt;Nipples!$A$82,VLOOKUP($A127,Nipples!$A$9:$Q$81,14,FALSE),
IF($A127&lt;Manifold!$A$33,VLOOKUP($A127,Manifold!$A$9:$M$32,10,FALSE),
IF($A127&lt;FlexibleRepairCouplings!$A$13,VLOOKUP($A127,FlexibleRepairCouplings!$A$10:$M$12,10,FALSE),
IF($A127&lt;DuraFix!$A$15,VLOOKUP($A127,DuraFix!$A$9:$M$14,10,FALSE),
IF($A127&lt;'Compression Fittings'!$A$16,VLOOKUP($A127,'Compression Fittings'!$A$8:$M$15,10,FALSE),
IF($A127&lt;'Hose Fittings'!$A$30,VLOOKUP($A127,'Hose Fittings'!$A$8:$M$29,10,FALSE),
IF($A127&lt;'Swing Joints'!$A$496,VLOOKUP($A127,'Swing Joints'!$A$9:$M$495,10,FALSE),
IF($A127&lt;'Swing Joints Components'!$A$135,VLOOKUP($A127,'Swing Joints Components'!$A$9:$M$134,10,FALSE),
IF($A127&lt;Nonstandard!$A$42,VLOOKUP($A127,Nonstandard!$A$31:$J$41,10,FALSE),"")))))))))))))))))))))))))))),"")</f>
        <v/>
      </c>
      <c r="L127" s="418" t="str">
        <f t="shared" si="2"/>
        <v>-</v>
      </c>
      <c r="M127" s="419"/>
    </row>
    <row r="128" spans="1:13" ht="15.75">
      <c r="A128" s="420">
        <v>96</v>
      </c>
      <c r="B128" s="420" t="str">
        <f>IFERROR(IF($A128&lt;'DWV PVC'!$A$285,VLOOKUP($A128,'DWV PVC'!$A$8:$M$284,4,FALSE),
IF($A128&lt;'DWV ABS'!$A$117,VLOOKUP($A128,'DWV ABS'!$A$8:$M$116,4,FALSE),
IF($A128&lt;'PVC SCH40'!$A$376,VLOOKUP($A128,'PVC SCH40'!$A$8:$M$375,4,FALSE),
IF($A128&lt;'PVC SCH40 LD'!$A$22,VLOOKUP($A128,'PVC SCH40 LD'!$A$8:$M$21,4,FALSE),
IF($A128&lt;'Pool &amp; SPA Sweep Elbows'!$A$12,VLOOKUP($A128,'Pool &amp; SPA Sweep Elbows'!$A$8:$M$11,4,FALSE),
IF($A128&lt;'Pool &amp; SPA Pipe Extender'!$A$11,VLOOKUP($A128,'Pool &amp; SPA Pipe Extender'!$A$8:$M$10,4,FALSE),
IF($A128&lt;'PVC SCH80'!$A$250,VLOOKUP($A128,'PVC SCH80'!$A$8:$M$249,4,FALSE),
IF($A128&lt;'PVC SCH80 Flange'!$A$49,VLOOKUP($A128,'PVC SCH80 Flange'!$A$8:$M$48,4,FALSE),
IF($A128&lt;'PVC SCH80 LD Flange'!$A$17,VLOOKUP($A128,'PVC SCH80 LD Flange'!$A$8:$M$16,4,FALSE),
IF($A128&lt;CPVC!$A$100,VLOOKUP($A128,CPVC!$A$8:$M$99,4,FALSE),
IF($A128&lt;InsertFittings!$A$237,VLOOKUP($A128,InsertFittings!$A$11:$M$236,4,FALSE),
IF($A128&lt;Valves!$A$132,VLOOKUP($A128,Valves!$A$8:$M$131,4,FALSE),
IF($A128&lt;SDR35SW!$A$124,VLOOKUP($A128,SDR35SW!$A$8:$M$123,4,FALSE),
IF($A128&lt;SDR35G!$A$143,VLOOKUP($A128, SDR35G!$A$8:$M$142,4,FALSE),
IF($A128&lt;SDR26G!$A$61,VLOOKUP($A128,SDR26G!$A$8:$N$60,4,FALSE),
IF($A128&lt;Cements!$A$100,VLOOKUP($A128,Cements!$A$8:$Q$99,4,FALSE),
IF($A128&lt;ValveBox!$A$143,VLOOKUP($A128,ValveBox!$A$10:$O$142,4,FALSE),
IF($A128&lt;'ValveBox Components'!$A$165,VLOOKUP($A128,'ValveBox Components'!$A$10:$O$164,4,FALSE),
IF($A128&lt;Drainage!$A$92,VLOOKUP($A128,Drainage!$A$8:$M$91,4,FALSE),
IF($A128&lt;Nipples!$A$82,VLOOKUP($A128,Nipples!$A$9:$Q$81,4,FALSE),
IF($A128&lt;Manifold!$A$33,VLOOKUP($A128,Manifold!$A$9:$M$32,4,FALSE),
IF($A128&lt;FlexibleRepairCouplings!$A$13,VLOOKUP($A128,FlexibleRepairCouplings!$A$10:$M$12,4,FALSE),
IF($A128&lt;DuraFix!$A$15,VLOOKUP($A128,DuraFix!$A$9:$M$14,4,FALSE),
IF($A128&lt;'Compression Fittings'!$A$16,VLOOKUP($A128,'Compression Fittings'!$A$8:$M$15,4,FALSE),
IF($A128&lt;'Hose Fittings'!$A$30,VLOOKUP($A128,'Hose Fittings'!$A$8:$M$29,4,FALSE),
IF($A128&lt;'Swing Joints'!$A$496,VLOOKUP($A128,'Swing Joints'!$A$9:$M$495,4,FALSE),
IF($A128&lt;'Swing Joints Components'!$A$135,VLOOKUP($A128,'Swing Joints Components'!$A$9:$M$134,4,FALSE),
IF($A128&lt;Nonstandard!$A$42,VLOOKUP($A128,Nonstandard!$A$31:$J$41,5,FALSE),"")))))))))))))))))))))))))))),"")</f>
        <v/>
      </c>
      <c r="C128" s="420" t="str">
        <f>IFERROR(IF($A128&lt;'DWV PVC'!$A$285,VLOOKUP($A128,'DWV PVC'!$A$8:$M$284,5,FALSE),
IF($A128&lt;'DWV ABS'!$A$117,VLOOKUP($A128,'DWV ABS'!$A$8:$M$116,5,FALSE),
IF($A128&lt;'PVC SCH40'!$A$376,VLOOKUP($A128,'PVC SCH40'!$A$8:$M$375,5,FALSE),
IF($A128&lt;'PVC SCH40 LD'!$A$22,VLOOKUP($A128,'PVC SCH40 LD'!$A$8:$M$21,5,FALSE),
IF($A128&lt;'Pool &amp; SPA Sweep Elbows'!$A$12,VLOOKUP($A128,'Pool &amp; SPA Sweep Elbows'!$A$8:$M$11,5,FALSE),
IF($A128&lt;'Pool &amp; SPA Pipe Extender'!$A$11,VLOOKUP($A128,'Pool &amp; SPA Pipe Extender'!$A$8:$M$10,5,FALSE),
IF($A128&lt;'PVC SCH80'!$A$250,VLOOKUP($A128,'PVC SCH80'!$A$8:$M$249,5,FALSE),
IF($A128&lt;'PVC SCH80 Flange'!$A$49,VLOOKUP($A128,'PVC SCH80 Flange'!$A$8:$M$48,5,FALSE),
IF($A128&lt;'PVC SCH80 LD Flange'!$A$17,VLOOKUP($A128,'PVC SCH80 LD Flange'!$A$8:$M$16,5,FALSE),
IF($A128&lt;CPVC!$A$100,VLOOKUP($A128,CPVC!$A$8:$M$99,5,FALSE),
IF($A128&lt;InsertFittings!$A$237,VLOOKUP($A128,InsertFittings!$A$11:$M$236,5,FALSE),
IF($A128&lt;Valves!$A$132,VLOOKUP($A128,Valves!$A$8:$M$131,5,FALSE),
IF($A128&lt;SDR35SW!$A$124,VLOOKUP($A128,SDR35SW!$A$8:$M$123,5,FALSE),
IF($A128&lt;SDR35G!$A$143,VLOOKUP($A128, SDR35G!$A$8:$M$142,5,FALSE),
IF($A128&lt;SDR26G!$A$61,VLOOKUP($A128,SDR26G!$A$8:$N$60,5,FALSE),
IF($A128&lt;Cements!$A$100,VLOOKUP($A128,Cements!$A$8:$Q$99,5,FALSE),
IF($A128&lt;ValveBox!$A$143,VLOOKUP($A128,ValveBox!$A$10:$O$142,5,FALSE),
IF($A128&lt;'ValveBox Components'!$A$165,VLOOKUP($A128,'ValveBox Components'!$A$10:$O$164,5,FALSE),
IF($A128&lt;Drainage!$A$92,VLOOKUP($A128,Drainage!$A$8:$M$91,5,FALSE),
IF($A128&lt;Nipples!$A$82,VLOOKUP($A128,Nipples!$A$9:$Q$81,5,FALSE),
IF($A128&lt;Manifold!$A$33,VLOOKUP($A128,Manifold!$A$9:$M$32,5,FALSE),
IF($A128&lt;FlexibleRepairCouplings!$A$13,VLOOKUP($A128,FlexibleRepairCouplings!$A$10:$M$12,5,FALSE),
IF($A128&lt;DuraFix!$A$15,VLOOKUP($A128,DuraFix!$A$9:$M$14,5,FALSE),
IF($A128&lt;'Compression Fittings'!$A$16,VLOOKUP($A128,'Compression Fittings'!$A$8:$M$15,5,FALSE),
IF($A128&lt;'Hose Fittings'!$A$30,VLOOKUP($A128,'Hose Fittings'!$A$8:$M$29,5,FALSE),
IF($A128&lt;'Swing Joints'!$A$496,VLOOKUP($A128,'Swing Joints'!$A$9:$M$495,5,FALSE),
IF($A128&lt;'Swing Joints Components'!$A$135,VLOOKUP($A128,'Swing Joints Components'!$A$9:$M$134,5,FALSE),
IF($A128&lt;Nonstandard!$A$42,VLOOKUP($A128,Nonstandard!$A$31:$J$41,6,FALSE),"")))))))))))))))))))))))))))),"")</f>
        <v/>
      </c>
      <c r="D128" s="428" t="str">
        <f>IFERROR(IF($A128&lt;'DWV PVC'!$A$285,VLOOKUP($A128,'DWV PVC'!$A$8:$M$284,6,FALSE),
IF($A128&lt;'DWV ABS'!$A$117,VLOOKUP($A128,'DWV ABS'!$A$8:$M$116,6,FALSE),
IF($A128&lt;'PVC SCH40'!$A$376,VLOOKUP($A128,'PVC SCH40'!$A$8:$M$375,6,FALSE),
IF($A128&lt;'PVC SCH40 LD'!$A$22,VLOOKUP($A128,'PVC SCH40 LD'!$A$8:$M$21,6,FALSE),
IF($A128&lt;'Pool &amp; SPA Sweep Elbows'!$A$12,VLOOKUP($A128,'Pool &amp; SPA Sweep Elbows'!$A$8:$M$11,6,FALSE),
IF($A128&lt;'Pool &amp; SPA Pipe Extender'!$A$11,VLOOKUP($A128,'Pool &amp; SPA Pipe Extender'!$A$8:$M$10,6,FALSE),
IF($A128&lt;'PVC SCH80'!$A$250,VLOOKUP($A128,'PVC SCH80'!$A$8:$M$249,6,FALSE),
IF($A128&lt;'PVC SCH80 Flange'!$A$49,VLOOKUP($A128,'PVC SCH80 Flange'!$A$8:$M$48,6,FALSE),
IF($A128&lt;'PVC SCH80 LD Flange'!$A$17,VLOOKUP($A128,'PVC SCH80 LD Flange'!$A$8:$M$16,6,FALSE),
IF($A128&lt;CPVC!$A$100,VLOOKUP($A128,CPVC!$A$8:$M$99,6,FALSE),
IF($A128&lt;InsertFittings!$A$237,VLOOKUP($A128,InsertFittings!$A$11:$M$236,6,FALSE),
IF($A128&lt;Valves!$A$132,VLOOKUP($A128,Valves!$A$8:$M$131,6,FALSE),
IF($A128&lt;SDR35SW!$A$124,VLOOKUP($A128,SDR35SW!$A$8:$M$123,6,FALSE),
IF($A128&lt;SDR35G!$A$143,VLOOKUP($A128, SDR35G!$A$8:$M$142,6,FALSE),
IF($A128&lt;SDR26G!$A$61,VLOOKUP($A128,SDR26G!$A$8:$N$60,6,FALSE),
IF($A128&lt;Cements!$A$100,VLOOKUP($A128,Cements!$A$8:$Q$99,6,FALSE),
IF($A128&lt;ValveBox!$A$143,VLOOKUP($A128,ValveBox!$A$10:$O$142,6,FALSE),
IF($A128&lt;'ValveBox Components'!$A$165,VLOOKUP($A128,'ValveBox Components'!$A$10:$O$164,6,FALSE),
IF($A128&lt;Drainage!$A$92,VLOOKUP($A128,Drainage!$A$8:$M$91,6,FALSE),
IF($A128&lt;Nipples!$A$82,VLOOKUP($A128,Nipples!$A$9:$Q$81,6,FALSE),
IF($A128&lt;Manifold!$A$33,VLOOKUP($A128,Manifold!$A$9:$M$32,6,FALSE),
IF($A128&lt;FlexibleRepairCouplings!$A$13,VLOOKUP($A128,FlexibleRepairCouplings!$A$10:$M$12,6,FALSE),
IF($A128&lt;DuraFix!$A$15,VLOOKUP($A128,DuraFix!$A$9:$M$14,6,FALSE),
IF($A128&lt;'Compression Fittings'!$A$16,VLOOKUP($A128,'Compression Fittings'!$A$8:$M$15,6,FALSE),
IF($A128&lt;'Hose Fittings'!$A$30,VLOOKUP($A128,'Hose Fittings'!$A$8:$M$29,6,FALSE),
IF($A128&lt;'Swing Joints'!$A$496,VLOOKUP($A128,'Swing Joints'!$A$9:$M$495,6,FALSE),
IF($A128&lt;'Swing Joints Components'!$A$135,VLOOKUP($A128,'Swing Joints Components'!$A$9:$M$134,6,FALSE),
IF($A128&lt;Nonstandard!$A$42,VLOOKUP($A128,Nonstandard!$A$31:$J$41,7,FALSE),"")))))))))))))))))))))))))))),"")</f>
        <v/>
      </c>
      <c r="E128" s="429"/>
      <c r="F128" s="421" t="str">
        <f>IFERROR(IF($A128&lt;'DWV PVC'!$A$285,VLOOKUP($A128,'DWV PVC'!$A$8:$M$284,9,FALSE),
IF($A128&lt;'DWV ABS'!$A$117,VLOOKUP($A128,'DWV ABS'!$A$8:$M$116,9,FALSE),
IF($A128&lt;'PVC SCH40'!$A$376,VLOOKUP($A128,'PVC SCH40'!$A$8:$M$375,9,FALSE),
IF($A128&lt;'PVC SCH40 LD'!$A$22,VLOOKUP($A128,'PVC SCH40 LD'!$A$8:$M$21,9,FALSE),
IF($A128&lt;'Pool &amp; SPA Sweep Elbows'!$A$12,VLOOKUP($A128,'Pool &amp; SPA Sweep Elbows'!$A$8:$M$11,9,FALSE),
IF($A128&lt;'Pool &amp; SPA Pipe Extender'!$A$11,VLOOKUP($A128,'Pool &amp; SPA Pipe Extender'!$A$8:$M$10,9,FALSE),
IF($A128&lt;'PVC SCH80'!$A$250,VLOOKUP($A128,'PVC SCH80'!$A$8:$M$249,9,FALSE),
IF($A128&lt;'PVC SCH80 Flange'!$A$49,VLOOKUP($A128,'PVC SCH80 Flange'!$A$8:$M$48,9,FALSE),
IF($A128&lt;'PVC SCH80 LD Flange'!$A$17,VLOOKUP($A128,'PVC SCH80 LD Flange'!$A$8:$M$16,9,FALSE),
IF($A128&lt;CPVC!$A$100,VLOOKUP($A128,CPVC!$A$8:$M$99,9,FALSE),
IF($A128&lt;InsertFittings!$A$237,VLOOKUP($A128,InsertFittings!$A$11:$M$236,9,FALSE),
IF($A128&lt;Valves!$A$132,VLOOKUP($A128,Valves!$A$8:$M$131,9,FALSE),
IF($A128&lt;SDR35SW!$A$124,VLOOKUP($A128,SDR35SW!$A$8:$M$123,9,FALSE),
IF($A128&lt;SDR35G!$A$143,VLOOKUP($A128, SDR35G!$A$8:$M$142,9,FALSE),
IF($A128&lt;SDR26G!$A$61,VLOOKUP($A128,SDR26G!$A$8:$N$60,10,FALSE),
IF($A128&lt;Cements!$A$100,VLOOKUP($A128,Cements!$A$8:$Q$99,13,FALSE),
IF($A128&lt;ValveBox!$A$143,VLOOKUP($A128,ValveBox!$A$10:$O$142,11,FALSE),
IF($A128&lt;'ValveBox Components'!$A$165,VLOOKUP($A128,'ValveBox Components'!$A$10:$O$164,11,FALSE),
IF($A128&lt;Drainage!$A$92,VLOOKUP($A128,Drainage!$A$8:$M$91,9,FALSE),
IF($A128&lt;Nipples!$A$82,VLOOKUP($A128,Nipples!$A$9:$Q$81,13,FALSE),
IF($A128&lt;Manifold!$A$33,VLOOKUP($A128,Manifold!$A$9:$M$32,9,FALSE),
IF($A128&lt;FlexibleRepairCouplings!$A$13,VLOOKUP($A128,FlexibleRepairCouplings!$A$10:$M$12,9,FALSE),
IF($A128&lt;DuraFix!$A$15,VLOOKUP($A128,DuraFix!$A$9:$M$14,9,FALSE),
IF($A128&lt;'Compression Fittings'!$A$16,VLOOKUP($A128,'Compression Fittings'!$A$8:$M$15,9,FALSE),
IF($A128&lt;'Hose Fittings'!$A$30,VLOOKUP($A128,'Hose Fittings'!$A$8:$M$29,9,FALSE),
IF($A128&lt;'Swing Joints'!$A$496,VLOOKUP($A128,'Swing Joints'!$A$9:$M$495,9,FALSE),
IF($A128&lt;'Swing Joints Components'!$A$135,VLOOKUP($A128,'Swing Joints Components'!$A$9:$M$134,9,FALSE),
IF($A128&lt;Nonstandard!$A$42,VLOOKUP($A128,Nonstandard!$A$31:$J$41,8,FALSE),"")))))))))))))))))))))))))))),"")</f>
        <v/>
      </c>
      <c r="G128" s="422" t="str">
        <f>IFERROR(IF($A128&lt;'DWV PVC'!$A$285,VLOOKUP($A128,'DWV PVC'!$A$8:$M$284,11,FALSE),
IF($A128&lt;'DWV ABS'!$A$117,VLOOKUP($A128,'DWV ABS'!$A$8:$M$116,11,FALSE),
IF($A128&lt;'PVC SCH40'!$A$376,VLOOKUP($A128,'PVC SCH40'!$A$8:$M$375,11,FALSE),
IF($A128&lt;'PVC SCH40 LD'!$A$22,VLOOKUP($A128,'PVC SCH40 LD'!$A$8:$M$21,11,FALSE),
IF($A128&lt;'Pool &amp; SPA Sweep Elbows'!$A$12,VLOOKUP($A128,'Pool &amp; SPA Sweep Elbows'!$A$8:$M$11,11,FALSE),
IF($A128&lt;'Pool &amp; SPA Pipe Extender'!$A$11,VLOOKUP($A128,'Pool &amp; SPA Pipe Extender'!$A$8:$M$10,11,FALSE),
IF($A128&lt;'PVC SCH80'!$A$250,VLOOKUP($A128,'PVC SCH80'!$A$8:$M$249,11,FALSE),
IF($A128&lt;'PVC SCH80 Flange'!$A$49,VLOOKUP($A128,'PVC SCH80 Flange'!$A$8:$M$48,11,FALSE),
IF($A128&lt;'PVC SCH80 LD Flange'!$A$17,VLOOKUP($A128,'PVC SCH80 LD Flange'!$A$8:$M$16,11,FALSE),
IF($A128&lt;CPVC!$A$100,VLOOKUP($A128,CPVC!$A$8:$M$99,11,FALSE),
IF($A128&lt;InsertFittings!$A$237,VLOOKUP($A128,InsertFittings!$A$11:$M$236,11,FALSE),
IF($A128&lt;Valves!$A$132,VLOOKUP($A128,Valves!$A$8:$M$131,11,FALSE),
IF($A128&lt;SDR35SW!$A$124,VLOOKUP($A128,SDR35SW!$A$8:$M$123,11,FALSE),
IF($A128&lt;SDR35G!$A$143,VLOOKUP($A128, SDR35G!$A$8:$M$142,11,FALSE),
IF($A128&lt;SDR26G!$A$61,VLOOKUP($A128,SDR26G!$A$8:$N$60,12,FALSE),
IF($A128&lt;Cements!$A$100,VLOOKUP($A128,Cements!$A$8:$Q$99,15,FALSE),
IF($A128&lt;ValveBox!$A$143,VLOOKUP($A128,ValveBox!$A$10:$O$142,13,FALSE),
IF($A128&lt;'ValveBox Components'!$A$165,VLOOKUP($A128,'ValveBox Components'!$A$10:$O$164,13,FALSE),
IF($A128&lt;Drainage!$A$92,VLOOKUP($A128,Drainage!$A$8:$M$91,11,FALSE),
IF($A128&lt;Nipples!$A$82,VLOOKUP($A128,Nipples!$A$9:$Q$81,15,FALSE),
IF($A128&lt;Manifold!$A$33,VLOOKUP($A128,Manifold!$A$9:$M$32,11,FALSE),
IF($A128&lt;FlexibleRepairCouplings!$A$13,VLOOKUP($A128,FlexibleRepairCouplings!$A$10:$M$12,11,FALSE),
IF($A128&lt;DuraFix!$A$15,VLOOKUP($A128,DuraFix!$A$9:$M$14,11,FALSE),
IF($A128&lt;'Compression Fittings'!$A$16,VLOOKUP($A128,'Compression Fittings'!$A$8:$M$15,11,FALSE),
IF($A128&lt;'Hose Fittings'!$A$30,VLOOKUP($A128,'Hose Fittings'!$A$8:$M$29,11,FALSE),
IF($A128&lt;'Swing Joints'!$A$496,VLOOKUP($A128,'Swing Joints'!$A$9:$M$495,11,FALSE),
IF($A128&lt;'Swing Joints Components'!$A$135,VLOOKUP($A128,'Swing Joints Components'!$A$9:$M$134,11,FALSE),
IF($A128&lt;Nonstandard!$A$42,VLOOKUP($A128,Nonstandard!$A$31:$J$41,3,FALSE),"")))))))))))))))))))))))))))),"")</f>
        <v/>
      </c>
      <c r="H128" s="588" t="str">
        <f>IFERROR(IF($A128&lt;'DWV PVC'!$A$285,VLOOKUP($A128,'DWV PVC'!$A$8:$M$284,7,FALSE),
IF($A128&lt;'DWV ABS'!$A$117,VLOOKUP($A128,'DWV ABS'!$A$8:$M$116,7,FALSE),
IF($A128&lt;'PVC SCH40'!$A$376,VLOOKUP($A128,'PVC SCH40'!$A$8:$M$375,7,FALSE),
IF($A128&lt;'PVC SCH40 LD'!$A$22,VLOOKUP($A128,'PVC SCH40 LD'!$A$8:$M$21,7,FALSE),
IF($A128&lt;'Pool &amp; SPA Sweep Elbows'!$A$12,VLOOKUP($A128,'Pool &amp; SPA Sweep Elbows'!$A$8:$M$11,7,FALSE),
IF($A128&lt;'Pool &amp; SPA Pipe Extender'!$A$11,VLOOKUP($A128,'Pool &amp; SPA Pipe Extender'!$A$8:$M$10,7,FALSE),
IF($A128&lt;'PVC SCH80'!$A$250,VLOOKUP($A128,'PVC SCH80'!$A$8:$M$249,7,FALSE),
IF($A128&lt;'PVC SCH80 Flange'!$A$49,VLOOKUP($A128,'PVC SCH80 Flange'!$A$8:$M$48,7,FALSE),
IF($A128&lt;'PVC SCH80 LD Flange'!$A$17,VLOOKUP($A128,'PVC SCH80 LD Flange'!$A$8:$M$16,7,FALSE),
IF($A128&lt;CPVC!$A$100,VLOOKUP($A128,CPVC!$A$8:$M$99,7,FALSE),
IF($A128&lt;InsertFittings!$A$237,VLOOKUP($A128,InsertFittings!$A$11:$M$236,7,FALSE),
IF($A128&lt;Valves!$A$132,VLOOKUP($A128,Valves!$A$8:$M$131,7,FALSE),
IF($A128&lt;SDR35SW!$A$124,VLOOKUP($A128,SDR35SW!$A$8:$M$123,7,FALSE),
IF($A128&lt;SDR35G!$A$143,VLOOKUP($A128, SDR35G!$A$8:$M$142,7,FALSE),
IF($A128&lt;SDR26G!$A$61,VLOOKUP($A128,SDR26G!$A$8:$N$60,10,FALSE),
IF($A128&lt;Cements!$A$100,VLOOKUP($A128,Cements!$A$8:$Q$99,13,FALSE),
IF($A128&lt;ValveBox!$A$143,VLOOKUP($A128,ValveBox!$A$10:$O$142,11,FALSE),
IF($A128&lt;'ValveBox Components'!$A$165,VLOOKUP($A128,'ValveBox Components'!$A$10:$O$164,11,FALSE),
IF($A128&lt;Drainage!$A$92,VLOOKUP($A128,Drainage!$A$8:$M$91,7,FALSE),
IF($A128&lt;Nipples!$A$82,VLOOKUP($A128,Nipples!$A$9:$Q$81,13,FALSE),
IF($A128&lt;Manifold!$A$33,VLOOKUP($A128,Manifold!$A$9:$M$32,7,FALSE),
IF($A128&lt;FlexibleRepairCouplings!$A$13,VLOOKUP($A128,FlexibleRepairCouplings!$A$10:$M$12,7,FALSE),
IF($A128&lt;DuraFix!$A$15,VLOOKUP($A128,DuraFix!$A$9:$M$14,7,FALSE),
IF($A128&lt;'Compression Fittings'!$A$16,VLOOKUP($A128,'Compression Fittings'!$A$8:$M$15,7,FALSE),
IF($A128&lt;'Hose Fittings'!$A$30,VLOOKUP($A128,'Hose Fittings'!$A$8:$M$29,7,FALSE),
IF($A128&lt;'Swing Joints'!$A$496,VLOOKUP($A128,'Swing Joints'!$A$9:$M$495,7,FALSE),
IF($A128&lt;'Swing Joints Components'!$A$135,VLOOKUP($A128,'Swing Joints Components'!$A$9:$M$134,7,FALSE),
IF($A128&lt;Nonstandard!$A$42,VLOOKUP($A128,Nonstandard!$A$31:$J$41,3,FALSE),"")))))))))))))))))))))))))))),"")</f>
        <v/>
      </c>
      <c r="I128" s="589"/>
      <c r="J128" s="423" t="str">
        <f t="shared" si="3"/>
        <v/>
      </c>
      <c r="K128" s="424" t="str">
        <f>IFERROR(IF($A128&lt;'DWV PVC'!$A$285,VLOOKUP($A128,'DWV PVC'!$A$8:$M$284,10,FALSE),
IF($A128&lt;'DWV ABS'!$A$117,VLOOKUP($A128,'DWV ABS'!$A$8:$M$116,10,FALSE),
IF($A128&lt;'PVC SCH40'!$A$376,VLOOKUP($A128,'PVC SCH40'!$A$8:$M$375,10,FALSE),
IF($A128&lt;'PVC SCH40 LD'!$A$22,VLOOKUP($A128,'PVC SCH40 LD'!$A$8:$M$21,10,FALSE),
IF($A128&lt;'Pool &amp; SPA Sweep Elbows'!$A$12,VLOOKUP($A128,'Pool &amp; SPA Sweep Elbows'!$A$8:$M$11,10,FALSE),
IF($A128&lt;'Pool &amp; SPA Pipe Extender'!$A$11,VLOOKUP($A128,'Pool &amp; SPA Pipe Extender'!$A$8:$M$10,10,FALSE),
IF($A128&lt;'PVC SCH80'!$A$250,VLOOKUP($A128,'PVC SCH80'!$A$8:$M$249,10,FALSE),
IF($A128&lt;'PVC SCH80 Flange'!$A$49,VLOOKUP($A128,'PVC SCH80 Flange'!$A$8:$M$48,10,FALSE),
IF($A128&lt;'PVC SCH80 LD Flange'!$A$17,VLOOKUP($A128,'PVC SCH80 LD Flange'!$A$8:$M$16,10,FALSE),
IF($A128&lt;CPVC!$A$100,VLOOKUP($A128,CPVC!$A$8:$M$99,10,FALSE),
IF($A128&lt;InsertFittings!$A$237,VLOOKUP($A128,InsertFittings!$A$11:$M$236,10,FALSE),
IF($A128&lt;Valves!$A$132,VLOOKUP($A128,Valves!$A$8:$M$131,10,FALSE),
IF($A128&lt;SDR35SW!$A$124,VLOOKUP($A128,SDR35SW!$A$8:$M$123,10,FALSE),
IF($A128&lt;SDR35G!$A$143,VLOOKUP($A128, SDR35G!$A$8:$M$142,10,FALSE),
IF($A128&lt;SDR26G!$A$61,VLOOKUP($A128,SDR26G!$A$8:$N$60,11,FALSE),
IF($A128&lt;Cements!$A$100,VLOOKUP($A128,Cements!$A$8:$Q$99,14,FALSE),
IF($A128&lt;ValveBox!$A$143,VLOOKUP($A128,ValveBox!$A$10:$O$142,12,FALSE),
IF($A128&lt;'ValveBox Components'!$A$165,VLOOKUP($A128,'ValveBox Components'!$A$10:$O$164,12,FALSE),
IF($A128&lt;Drainage!$A$92,VLOOKUP($A128,Drainage!$A$8:$M$91,10,FALSE),
IF($A128&lt;Nipples!$A$82,VLOOKUP($A128,Nipples!$A$9:$Q$81,14,FALSE),
IF($A128&lt;Manifold!$A$33,VLOOKUP($A128,Manifold!$A$9:$M$32,10,FALSE),
IF($A128&lt;FlexibleRepairCouplings!$A$13,VLOOKUP($A128,FlexibleRepairCouplings!$A$10:$M$12,10,FALSE),
IF($A128&lt;DuraFix!$A$15,VLOOKUP($A128,DuraFix!$A$9:$M$14,10,FALSE),
IF($A128&lt;'Compression Fittings'!$A$16,VLOOKUP($A128,'Compression Fittings'!$A$8:$M$15,10,FALSE),
IF($A128&lt;'Hose Fittings'!$A$30,VLOOKUP($A128,'Hose Fittings'!$A$8:$M$29,10,FALSE),
IF($A128&lt;'Swing Joints'!$A$496,VLOOKUP($A128,'Swing Joints'!$A$9:$M$495,10,FALSE),
IF($A128&lt;'Swing Joints Components'!$A$135,VLOOKUP($A128,'Swing Joints Components'!$A$9:$M$134,10,FALSE),
IF($A128&lt;Nonstandard!$A$42,VLOOKUP($A128,Nonstandard!$A$31:$J$41,10,FALSE),"")))))))))))))))))))))))))))),"")</f>
        <v/>
      </c>
      <c r="L128" s="421" t="str">
        <f t="shared" si="2"/>
        <v>-</v>
      </c>
      <c r="M128" s="425"/>
    </row>
    <row r="129" spans="1:13" ht="15.75">
      <c r="A129" s="415">
        <v>97</v>
      </c>
      <c r="B129" s="415" t="str">
        <f>IFERROR(IF($A129&lt;'DWV PVC'!$A$285,VLOOKUP($A129,'DWV PVC'!$A$8:$M$284,4,FALSE),
IF($A129&lt;'DWV ABS'!$A$117,VLOOKUP($A129,'DWV ABS'!$A$8:$M$116,4,FALSE),
IF($A129&lt;'PVC SCH40'!$A$376,VLOOKUP($A129,'PVC SCH40'!$A$8:$M$375,4,FALSE),
IF($A129&lt;'PVC SCH40 LD'!$A$22,VLOOKUP($A129,'PVC SCH40 LD'!$A$8:$M$21,4,FALSE),
IF($A129&lt;'Pool &amp; SPA Sweep Elbows'!$A$12,VLOOKUP($A129,'Pool &amp; SPA Sweep Elbows'!$A$8:$M$11,4,FALSE),
IF($A129&lt;'Pool &amp; SPA Pipe Extender'!$A$11,VLOOKUP($A129,'Pool &amp; SPA Pipe Extender'!$A$8:$M$10,4,FALSE),
IF($A129&lt;'PVC SCH80'!$A$250,VLOOKUP($A129,'PVC SCH80'!$A$8:$M$249,4,FALSE),
IF($A129&lt;'PVC SCH80 Flange'!$A$49,VLOOKUP($A129,'PVC SCH80 Flange'!$A$8:$M$48,4,FALSE),
IF($A129&lt;'PVC SCH80 LD Flange'!$A$17,VLOOKUP($A129,'PVC SCH80 LD Flange'!$A$8:$M$16,4,FALSE),
IF($A129&lt;CPVC!$A$100,VLOOKUP($A129,CPVC!$A$8:$M$99,4,FALSE),
IF($A129&lt;InsertFittings!$A$237,VLOOKUP($A129,InsertFittings!$A$11:$M$236,4,FALSE),
IF($A129&lt;Valves!$A$132,VLOOKUP($A129,Valves!$A$8:$M$131,4,FALSE),
IF($A129&lt;SDR35SW!$A$124,VLOOKUP($A129,SDR35SW!$A$8:$M$123,4,FALSE),
IF($A129&lt;SDR35G!$A$143,VLOOKUP($A129, SDR35G!$A$8:$M$142,4,FALSE),
IF($A129&lt;SDR26G!$A$61,VLOOKUP($A129,SDR26G!$A$8:$N$60,4,FALSE),
IF($A129&lt;Cements!$A$100,VLOOKUP($A129,Cements!$A$8:$Q$99,4,FALSE),
IF($A129&lt;ValveBox!$A$143,VLOOKUP($A129,ValveBox!$A$10:$O$142,4,FALSE),
IF($A129&lt;'ValveBox Components'!$A$165,VLOOKUP($A129,'ValveBox Components'!$A$10:$O$164,4,FALSE),
IF($A129&lt;Drainage!$A$92,VLOOKUP($A129,Drainage!$A$8:$M$91,4,FALSE),
IF($A129&lt;Nipples!$A$82,VLOOKUP($A129,Nipples!$A$9:$Q$81,4,FALSE),
IF($A129&lt;Manifold!$A$33,VLOOKUP($A129,Manifold!$A$9:$M$32,4,FALSE),
IF($A129&lt;FlexibleRepairCouplings!$A$13,VLOOKUP($A129,FlexibleRepairCouplings!$A$10:$M$12,4,FALSE),
IF($A129&lt;DuraFix!$A$15,VLOOKUP($A129,DuraFix!$A$9:$M$14,4,FALSE),
IF($A129&lt;'Compression Fittings'!$A$16,VLOOKUP($A129,'Compression Fittings'!$A$8:$M$15,4,FALSE),
IF($A129&lt;'Hose Fittings'!$A$30,VLOOKUP($A129,'Hose Fittings'!$A$8:$M$29,4,FALSE),
IF($A129&lt;'Swing Joints'!$A$496,VLOOKUP($A129,'Swing Joints'!$A$9:$M$495,4,FALSE),
IF($A129&lt;'Swing Joints Components'!$A$135,VLOOKUP($A129,'Swing Joints Components'!$A$9:$M$134,4,FALSE),
IF($A129&lt;Nonstandard!$A$42,VLOOKUP($A129,Nonstandard!$A$31:$J$41,5,FALSE),"")))))))))))))))))))))))))))),"")</f>
        <v/>
      </c>
      <c r="C129" s="415" t="str">
        <f>IFERROR(IF($A129&lt;'DWV PVC'!$A$285,VLOOKUP($A129,'DWV PVC'!$A$8:$M$284,5,FALSE),
IF($A129&lt;'DWV ABS'!$A$117,VLOOKUP($A129,'DWV ABS'!$A$8:$M$116,5,FALSE),
IF($A129&lt;'PVC SCH40'!$A$376,VLOOKUP($A129,'PVC SCH40'!$A$8:$M$375,5,FALSE),
IF($A129&lt;'PVC SCH40 LD'!$A$22,VLOOKUP($A129,'PVC SCH40 LD'!$A$8:$M$21,5,FALSE),
IF($A129&lt;'Pool &amp; SPA Sweep Elbows'!$A$12,VLOOKUP($A129,'Pool &amp; SPA Sweep Elbows'!$A$8:$M$11,5,FALSE),
IF($A129&lt;'Pool &amp; SPA Pipe Extender'!$A$11,VLOOKUP($A129,'Pool &amp; SPA Pipe Extender'!$A$8:$M$10,5,FALSE),
IF($A129&lt;'PVC SCH80'!$A$250,VLOOKUP($A129,'PVC SCH80'!$A$8:$M$249,5,FALSE),
IF($A129&lt;'PVC SCH80 Flange'!$A$49,VLOOKUP($A129,'PVC SCH80 Flange'!$A$8:$M$48,5,FALSE),
IF($A129&lt;'PVC SCH80 LD Flange'!$A$17,VLOOKUP($A129,'PVC SCH80 LD Flange'!$A$8:$M$16,5,FALSE),
IF($A129&lt;CPVC!$A$100,VLOOKUP($A129,CPVC!$A$8:$M$99,5,FALSE),
IF($A129&lt;InsertFittings!$A$237,VLOOKUP($A129,InsertFittings!$A$11:$M$236,5,FALSE),
IF($A129&lt;Valves!$A$132,VLOOKUP($A129,Valves!$A$8:$M$131,5,FALSE),
IF($A129&lt;SDR35SW!$A$124,VLOOKUP($A129,SDR35SW!$A$8:$M$123,5,FALSE),
IF($A129&lt;SDR35G!$A$143,VLOOKUP($A129, SDR35G!$A$8:$M$142,5,FALSE),
IF($A129&lt;SDR26G!$A$61,VLOOKUP($A129,SDR26G!$A$8:$N$60,5,FALSE),
IF($A129&lt;Cements!$A$100,VLOOKUP($A129,Cements!$A$8:$Q$99,5,FALSE),
IF($A129&lt;ValveBox!$A$143,VLOOKUP($A129,ValveBox!$A$10:$O$142,5,FALSE),
IF($A129&lt;'ValveBox Components'!$A$165,VLOOKUP($A129,'ValveBox Components'!$A$10:$O$164,5,FALSE),
IF($A129&lt;Drainage!$A$92,VLOOKUP($A129,Drainage!$A$8:$M$91,5,FALSE),
IF($A129&lt;Nipples!$A$82,VLOOKUP($A129,Nipples!$A$9:$Q$81,5,FALSE),
IF($A129&lt;Manifold!$A$33,VLOOKUP($A129,Manifold!$A$9:$M$32,5,FALSE),
IF($A129&lt;FlexibleRepairCouplings!$A$13,VLOOKUP($A129,FlexibleRepairCouplings!$A$10:$M$12,5,FALSE),
IF($A129&lt;DuraFix!$A$15,VLOOKUP($A129,DuraFix!$A$9:$M$14,5,FALSE),
IF($A129&lt;'Compression Fittings'!$A$16,VLOOKUP($A129,'Compression Fittings'!$A$8:$M$15,5,FALSE),
IF($A129&lt;'Hose Fittings'!$A$30,VLOOKUP($A129,'Hose Fittings'!$A$8:$M$29,5,FALSE),
IF($A129&lt;'Swing Joints'!$A$496,VLOOKUP($A129,'Swing Joints'!$A$9:$M$495,5,FALSE),
IF($A129&lt;'Swing Joints Components'!$A$135,VLOOKUP($A129,'Swing Joints Components'!$A$9:$M$134,5,FALSE),
IF($A129&lt;Nonstandard!$A$42,VLOOKUP($A129,Nonstandard!$A$31:$J$41,6,FALSE),"")))))))))))))))))))))))))))),"")</f>
        <v/>
      </c>
      <c r="D129" s="426" t="str">
        <f>IFERROR(IF($A129&lt;'DWV PVC'!$A$285,VLOOKUP($A129,'DWV PVC'!$A$8:$M$284,6,FALSE),
IF($A129&lt;'DWV ABS'!$A$117,VLOOKUP($A129,'DWV ABS'!$A$8:$M$116,6,FALSE),
IF($A129&lt;'PVC SCH40'!$A$376,VLOOKUP($A129,'PVC SCH40'!$A$8:$M$375,6,FALSE),
IF($A129&lt;'PVC SCH40 LD'!$A$22,VLOOKUP($A129,'PVC SCH40 LD'!$A$8:$M$21,6,FALSE),
IF($A129&lt;'Pool &amp; SPA Sweep Elbows'!$A$12,VLOOKUP($A129,'Pool &amp; SPA Sweep Elbows'!$A$8:$M$11,6,FALSE),
IF($A129&lt;'Pool &amp; SPA Pipe Extender'!$A$11,VLOOKUP($A129,'Pool &amp; SPA Pipe Extender'!$A$8:$M$10,6,FALSE),
IF($A129&lt;'PVC SCH80'!$A$250,VLOOKUP($A129,'PVC SCH80'!$A$8:$M$249,6,FALSE),
IF($A129&lt;'PVC SCH80 Flange'!$A$49,VLOOKUP($A129,'PVC SCH80 Flange'!$A$8:$M$48,6,FALSE),
IF($A129&lt;'PVC SCH80 LD Flange'!$A$17,VLOOKUP($A129,'PVC SCH80 LD Flange'!$A$8:$M$16,6,FALSE),
IF($A129&lt;CPVC!$A$100,VLOOKUP($A129,CPVC!$A$8:$M$99,6,FALSE),
IF($A129&lt;InsertFittings!$A$237,VLOOKUP($A129,InsertFittings!$A$11:$M$236,6,FALSE),
IF($A129&lt;Valves!$A$132,VLOOKUP($A129,Valves!$A$8:$M$131,6,FALSE),
IF($A129&lt;SDR35SW!$A$124,VLOOKUP($A129,SDR35SW!$A$8:$M$123,6,FALSE),
IF($A129&lt;SDR35G!$A$143,VLOOKUP($A129, SDR35G!$A$8:$M$142,6,FALSE),
IF($A129&lt;SDR26G!$A$61,VLOOKUP($A129,SDR26G!$A$8:$N$60,6,FALSE),
IF($A129&lt;Cements!$A$100,VLOOKUP($A129,Cements!$A$8:$Q$99,6,FALSE),
IF($A129&lt;ValveBox!$A$143,VLOOKUP($A129,ValveBox!$A$10:$O$142,6,FALSE),
IF($A129&lt;'ValveBox Components'!$A$165,VLOOKUP($A129,'ValveBox Components'!$A$10:$O$164,6,FALSE),
IF($A129&lt;Drainage!$A$92,VLOOKUP($A129,Drainage!$A$8:$M$91,6,FALSE),
IF($A129&lt;Nipples!$A$82,VLOOKUP($A129,Nipples!$A$9:$Q$81,6,FALSE),
IF($A129&lt;Manifold!$A$33,VLOOKUP($A129,Manifold!$A$9:$M$32,6,FALSE),
IF($A129&lt;FlexibleRepairCouplings!$A$13,VLOOKUP($A129,FlexibleRepairCouplings!$A$10:$M$12,6,FALSE),
IF($A129&lt;DuraFix!$A$15,VLOOKUP($A129,DuraFix!$A$9:$M$14,6,FALSE),
IF($A129&lt;'Compression Fittings'!$A$16,VLOOKUP($A129,'Compression Fittings'!$A$8:$M$15,6,FALSE),
IF($A129&lt;'Hose Fittings'!$A$30,VLOOKUP($A129,'Hose Fittings'!$A$8:$M$29,6,FALSE),
IF($A129&lt;'Swing Joints'!$A$496,VLOOKUP($A129,'Swing Joints'!$A$9:$M$495,6,FALSE),
IF($A129&lt;'Swing Joints Components'!$A$135,VLOOKUP($A129,'Swing Joints Components'!$A$9:$M$134,6,FALSE),
IF($A129&lt;Nonstandard!$A$42,VLOOKUP($A129,Nonstandard!$A$31:$J$41,7,FALSE),"")))))))))))))))))))))))))))),"")</f>
        <v/>
      </c>
      <c r="E129" s="427"/>
      <c r="F129" s="418" t="str">
        <f>IFERROR(IF($A129&lt;'DWV PVC'!$A$285,VLOOKUP($A129,'DWV PVC'!$A$8:$M$284,9,FALSE),
IF($A129&lt;'DWV ABS'!$A$117,VLOOKUP($A129,'DWV ABS'!$A$8:$M$116,9,FALSE),
IF($A129&lt;'PVC SCH40'!$A$376,VLOOKUP($A129,'PVC SCH40'!$A$8:$M$375,9,FALSE),
IF($A129&lt;'PVC SCH40 LD'!$A$22,VLOOKUP($A129,'PVC SCH40 LD'!$A$8:$M$21,9,FALSE),
IF($A129&lt;'Pool &amp; SPA Sweep Elbows'!$A$12,VLOOKUP($A129,'Pool &amp; SPA Sweep Elbows'!$A$8:$M$11,9,FALSE),
IF($A129&lt;'Pool &amp; SPA Pipe Extender'!$A$11,VLOOKUP($A129,'Pool &amp; SPA Pipe Extender'!$A$8:$M$10,9,FALSE),
IF($A129&lt;'PVC SCH80'!$A$250,VLOOKUP($A129,'PVC SCH80'!$A$8:$M$249,9,FALSE),
IF($A129&lt;'PVC SCH80 Flange'!$A$49,VLOOKUP($A129,'PVC SCH80 Flange'!$A$8:$M$48,9,FALSE),
IF($A129&lt;'PVC SCH80 LD Flange'!$A$17,VLOOKUP($A129,'PVC SCH80 LD Flange'!$A$8:$M$16,9,FALSE),
IF($A129&lt;CPVC!$A$100,VLOOKUP($A129,CPVC!$A$8:$M$99,9,FALSE),
IF($A129&lt;InsertFittings!$A$237,VLOOKUP($A129,InsertFittings!$A$11:$M$236,9,FALSE),
IF($A129&lt;Valves!$A$132,VLOOKUP($A129,Valves!$A$8:$M$131,9,FALSE),
IF($A129&lt;SDR35SW!$A$124,VLOOKUP($A129,SDR35SW!$A$8:$M$123,9,FALSE),
IF($A129&lt;SDR35G!$A$143,VLOOKUP($A129, SDR35G!$A$8:$M$142,9,FALSE),
IF($A129&lt;SDR26G!$A$61,VLOOKUP($A129,SDR26G!$A$8:$N$60,10,FALSE),
IF($A129&lt;Cements!$A$100,VLOOKUP($A129,Cements!$A$8:$Q$99,13,FALSE),
IF($A129&lt;ValveBox!$A$143,VLOOKUP($A129,ValveBox!$A$10:$O$142,11,FALSE),
IF($A129&lt;'ValveBox Components'!$A$165,VLOOKUP($A129,'ValveBox Components'!$A$10:$O$164,11,FALSE),
IF($A129&lt;Drainage!$A$92,VLOOKUP($A129,Drainage!$A$8:$M$91,9,FALSE),
IF($A129&lt;Nipples!$A$82,VLOOKUP($A129,Nipples!$A$9:$Q$81,13,FALSE),
IF($A129&lt;Manifold!$A$33,VLOOKUP($A129,Manifold!$A$9:$M$32,9,FALSE),
IF($A129&lt;FlexibleRepairCouplings!$A$13,VLOOKUP($A129,FlexibleRepairCouplings!$A$10:$M$12,9,FALSE),
IF($A129&lt;DuraFix!$A$15,VLOOKUP($A129,DuraFix!$A$9:$M$14,9,FALSE),
IF($A129&lt;'Compression Fittings'!$A$16,VLOOKUP($A129,'Compression Fittings'!$A$8:$M$15,9,FALSE),
IF($A129&lt;'Hose Fittings'!$A$30,VLOOKUP($A129,'Hose Fittings'!$A$8:$M$29,9,FALSE),
IF($A129&lt;'Swing Joints'!$A$496,VLOOKUP($A129,'Swing Joints'!$A$9:$M$495,9,FALSE),
IF($A129&lt;'Swing Joints Components'!$A$135,VLOOKUP($A129,'Swing Joints Components'!$A$9:$M$134,9,FALSE),
IF($A129&lt;Nonstandard!$A$42,VLOOKUP($A129,Nonstandard!$A$31:$J$41,8,FALSE),"")))))))))))))))))))))))))))),"")</f>
        <v/>
      </c>
      <c r="G129" s="416" t="str">
        <f>IFERROR(IF($A129&lt;'DWV PVC'!$A$285,VLOOKUP($A129,'DWV PVC'!$A$8:$M$284,11,FALSE),
IF($A129&lt;'DWV ABS'!$A$117,VLOOKUP($A129,'DWV ABS'!$A$8:$M$116,11,FALSE),
IF($A129&lt;'PVC SCH40'!$A$376,VLOOKUP($A129,'PVC SCH40'!$A$8:$M$375,11,FALSE),
IF($A129&lt;'PVC SCH40 LD'!$A$22,VLOOKUP($A129,'PVC SCH40 LD'!$A$8:$M$21,11,FALSE),
IF($A129&lt;'Pool &amp; SPA Sweep Elbows'!$A$12,VLOOKUP($A129,'Pool &amp; SPA Sweep Elbows'!$A$8:$M$11,11,FALSE),
IF($A129&lt;'Pool &amp; SPA Pipe Extender'!$A$11,VLOOKUP($A129,'Pool &amp; SPA Pipe Extender'!$A$8:$M$10,11,FALSE),
IF($A129&lt;'PVC SCH80'!$A$250,VLOOKUP($A129,'PVC SCH80'!$A$8:$M$249,11,FALSE),
IF($A129&lt;'PVC SCH80 Flange'!$A$49,VLOOKUP($A129,'PVC SCH80 Flange'!$A$8:$M$48,11,FALSE),
IF($A129&lt;'PVC SCH80 LD Flange'!$A$17,VLOOKUP($A129,'PVC SCH80 LD Flange'!$A$8:$M$16,11,FALSE),
IF($A129&lt;CPVC!$A$100,VLOOKUP($A129,CPVC!$A$8:$M$99,11,FALSE),
IF($A129&lt;InsertFittings!$A$237,VLOOKUP($A129,InsertFittings!$A$11:$M$236,11,FALSE),
IF($A129&lt;Valves!$A$132,VLOOKUP($A129,Valves!$A$8:$M$131,11,FALSE),
IF($A129&lt;SDR35SW!$A$124,VLOOKUP($A129,SDR35SW!$A$8:$M$123,11,FALSE),
IF($A129&lt;SDR35G!$A$143,VLOOKUP($A129, SDR35G!$A$8:$M$142,11,FALSE),
IF($A129&lt;SDR26G!$A$61,VLOOKUP($A129,SDR26G!$A$8:$N$60,12,FALSE),
IF($A129&lt;Cements!$A$100,VLOOKUP($A129,Cements!$A$8:$Q$99,15,FALSE),
IF($A129&lt;ValveBox!$A$143,VLOOKUP($A129,ValveBox!$A$10:$O$142,13,FALSE),
IF($A129&lt;'ValveBox Components'!$A$165,VLOOKUP($A129,'ValveBox Components'!$A$10:$O$164,13,FALSE),
IF($A129&lt;Drainage!$A$92,VLOOKUP($A129,Drainage!$A$8:$M$91,11,FALSE),
IF($A129&lt;Nipples!$A$82,VLOOKUP($A129,Nipples!$A$9:$Q$81,15,FALSE),
IF($A129&lt;Manifold!$A$33,VLOOKUP($A129,Manifold!$A$9:$M$32,11,FALSE),
IF($A129&lt;FlexibleRepairCouplings!$A$13,VLOOKUP($A129,FlexibleRepairCouplings!$A$10:$M$12,11,FALSE),
IF($A129&lt;DuraFix!$A$15,VLOOKUP($A129,DuraFix!$A$9:$M$14,11,FALSE),
IF($A129&lt;'Compression Fittings'!$A$16,VLOOKUP($A129,'Compression Fittings'!$A$8:$M$15,11,FALSE),
IF($A129&lt;'Hose Fittings'!$A$30,VLOOKUP($A129,'Hose Fittings'!$A$8:$M$29,11,FALSE),
IF($A129&lt;'Swing Joints'!$A$496,VLOOKUP($A129,'Swing Joints'!$A$9:$M$495,11,FALSE),
IF($A129&lt;'Swing Joints Components'!$A$135,VLOOKUP($A129,'Swing Joints Components'!$A$9:$M$134,11,FALSE),
IF($A129&lt;Nonstandard!$A$42,VLOOKUP($A129,Nonstandard!$A$31:$J$41,3,FALSE),"")))))))))))))))))))))))))))),"")</f>
        <v/>
      </c>
      <c r="H129" s="586" t="str">
        <f>IFERROR(IF($A129&lt;'DWV PVC'!$A$285,VLOOKUP($A129,'DWV PVC'!$A$8:$M$284,7,FALSE),
IF($A129&lt;'DWV ABS'!$A$117,VLOOKUP($A129,'DWV ABS'!$A$8:$M$116,7,FALSE),
IF($A129&lt;'PVC SCH40'!$A$376,VLOOKUP($A129,'PVC SCH40'!$A$8:$M$375,7,FALSE),
IF($A129&lt;'PVC SCH40 LD'!$A$22,VLOOKUP($A129,'PVC SCH40 LD'!$A$8:$M$21,7,FALSE),
IF($A129&lt;'Pool &amp; SPA Sweep Elbows'!$A$12,VLOOKUP($A129,'Pool &amp; SPA Sweep Elbows'!$A$8:$M$11,7,FALSE),
IF($A129&lt;'Pool &amp; SPA Pipe Extender'!$A$11,VLOOKUP($A129,'Pool &amp; SPA Pipe Extender'!$A$8:$M$10,7,FALSE),
IF($A129&lt;'PVC SCH80'!$A$250,VLOOKUP($A129,'PVC SCH80'!$A$8:$M$249,7,FALSE),
IF($A129&lt;'PVC SCH80 Flange'!$A$49,VLOOKUP($A129,'PVC SCH80 Flange'!$A$8:$M$48,7,FALSE),
IF($A129&lt;'PVC SCH80 LD Flange'!$A$17,VLOOKUP($A129,'PVC SCH80 LD Flange'!$A$8:$M$16,7,FALSE),
IF($A129&lt;CPVC!$A$100,VLOOKUP($A129,CPVC!$A$8:$M$99,7,FALSE),
IF($A129&lt;InsertFittings!$A$237,VLOOKUP($A129,InsertFittings!$A$11:$M$236,7,FALSE),
IF($A129&lt;Valves!$A$132,VLOOKUP($A129,Valves!$A$8:$M$131,7,FALSE),
IF($A129&lt;SDR35SW!$A$124,VLOOKUP($A129,SDR35SW!$A$8:$M$123,7,FALSE),
IF($A129&lt;SDR35G!$A$143,VLOOKUP($A129, SDR35G!$A$8:$M$142,7,FALSE),
IF($A129&lt;SDR26G!$A$61,VLOOKUP($A129,SDR26G!$A$8:$N$60,10,FALSE),
IF($A129&lt;Cements!$A$100,VLOOKUP($A129,Cements!$A$8:$Q$99,13,FALSE),
IF($A129&lt;ValveBox!$A$143,VLOOKUP($A129,ValveBox!$A$10:$O$142,11,FALSE),
IF($A129&lt;'ValveBox Components'!$A$165,VLOOKUP($A129,'ValveBox Components'!$A$10:$O$164,11,FALSE),
IF($A129&lt;Drainage!$A$92,VLOOKUP($A129,Drainage!$A$8:$M$91,7,FALSE),
IF($A129&lt;Nipples!$A$82,VLOOKUP($A129,Nipples!$A$9:$Q$81,13,FALSE),
IF($A129&lt;Manifold!$A$33,VLOOKUP($A129,Manifold!$A$9:$M$32,7,FALSE),
IF($A129&lt;FlexibleRepairCouplings!$A$13,VLOOKUP($A129,FlexibleRepairCouplings!$A$10:$M$12,7,FALSE),
IF($A129&lt;DuraFix!$A$15,VLOOKUP($A129,DuraFix!$A$9:$M$14,7,FALSE),
IF($A129&lt;'Compression Fittings'!$A$16,VLOOKUP($A129,'Compression Fittings'!$A$8:$M$15,7,FALSE),
IF($A129&lt;'Hose Fittings'!$A$30,VLOOKUP($A129,'Hose Fittings'!$A$8:$M$29,7,FALSE),
IF($A129&lt;'Swing Joints'!$A$496,VLOOKUP($A129,'Swing Joints'!$A$9:$M$495,7,FALSE),
IF($A129&lt;'Swing Joints Components'!$A$135,VLOOKUP($A129,'Swing Joints Components'!$A$9:$M$134,7,FALSE),
IF($A129&lt;Nonstandard!$A$42,VLOOKUP($A129,Nonstandard!$A$31:$J$41,3,FALSE),"")))))))))))))))))))))))))))),"")</f>
        <v/>
      </c>
      <c r="I129" s="587"/>
      <c r="J129" s="383" t="str">
        <f t="shared" si="3"/>
        <v/>
      </c>
      <c r="K129" s="417" t="str">
        <f>IFERROR(IF($A129&lt;'DWV PVC'!$A$285,VLOOKUP($A129,'DWV PVC'!$A$8:$M$284,10,FALSE),
IF($A129&lt;'DWV ABS'!$A$117,VLOOKUP($A129,'DWV ABS'!$A$8:$M$116,10,FALSE),
IF($A129&lt;'PVC SCH40'!$A$376,VLOOKUP($A129,'PVC SCH40'!$A$8:$M$375,10,FALSE),
IF($A129&lt;'PVC SCH40 LD'!$A$22,VLOOKUP($A129,'PVC SCH40 LD'!$A$8:$M$21,10,FALSE),
IF($A129&lt;'Pool &amp; SPA Sweep Elbows'!$A$12,VLOOKUP($A129,'Pool &amp; SPA Sweep Elbows'!$A$8:$M$11,10,FALSE),
IF($A129&lt;'Pool &amp; SPA Pipe Extender'!$A$11,VLOOKUP($A129,'Pool &amp; SPA Pipe Extender'!$A$8:$M$10,10,FALSE),
IF($A129&lt;'PVC SCH80'!$A$250,VLOOKUP($A129,'PVC SCH80'!$A$8:$M$249,10,FALSE),
IF($A129&lt;'PVC SCH80 Flange'!$A$49,VLOOKUP($A129,'PVC SCH80 Flange'!$A$8:$M$48,10,FALSE),
IF($A129&lt;'PVC SCH80 LD Flange'!$A$17,VLOOKUP($A129,'PVC SCH80 LD Flange'!$A$8:$M$16,10,FALSE),
IF($A129&lt;CPVC!$A$100,VLOOKUP($A129,CPVC!$A$8:$M$99,10,FALSE),
IF($A129&lt;InsertFittings!$A$237,VLOOKUP($A129,InsertFittings!$A$11:$M$236,10,FALSE),
IF($A129&lt;Valves!$A$132,VLOOKUP($A129,Valves!$A$8:$M$131,10,FALSE),
IF($A129&lt;SDR35SW!$A$124,VLOOKUP($A129,SDR35SW!$A$8:$M$123,10,FALSE),
IF($A129&lt;SDR35G!$A$143,VLOOKUP($A129, SDR35G!$A$8:$M$142,10,FALSE),
IF($A129&lt;SDR26G!$A$61,VLOOKUP($A129,SDR26G!$A$8:$N$60,11,FALSE),
IF($A129&lt;Cements!$A$100,VLOOKUP($A129,Cements!$A$8:$Q$99,14,FALSE),
IF($A129&lt;ValveBox!$A$143,VLOOKUP($A129,ValveBox!$A$10:$O$142,12,FALSE),
IF($A129&lt;'ValveBox Components'!$A$165,VLOOKUP($A129,'ValveBox Components'!$A$10:$O$164,12,FALSE),
IF($A129&lt;Drainage!$A$92,VLOOKUP($A129,Drainage!$A$8:$M$91,10,FALSE),
IF($A129&lt;Nipples!$A$82,VLOOKUP($A129,Nipples!$A$9:$Q$81,14,FALSE),
IF($A129&lt;Manifold!$A$33,VLOOKUP($A129,Manifold!$A$9:$M$32,10,FALSE),
IF($A129&lt;FlexibleRepairCouplings!$A$13,VLOOKUP($A129,FlexibleRepairCouplings!$A$10:$M$12,10,FALSE),
IF($A129&lt;DuraFix!$A$15,VLOOKUP($A129,DuraFix!$A$9:$M$14,10,FALSE),
IF($A129&lt;'Compression Fittings'!$A$16,VLOOKUP($A129,'Compression Fittings'!$A$8:$M$15,10,FALSE),
IF($A129&lt;'Hose Fittings'!$A$30,VLOOKUP($A129,'Hose Fittings'!$A$8:$M$29,10,FALSE),
IF($A129&lt;'Swing Joints'!$A$496,VLOOKUP($A129,'Swing Joints'!$A$9:$M$495,10,FALSE),
IF($A129&lt;'Swing Joints Components'!$A$135,VLOOKUP($A129,'Swing Joints Components'!$A$9:$M$134,10,FALSE),
IF($A129&lt;Nonstandard!$A$42,VLOOKUP($A129,Nonstandard!$A$31:$J$41,10,FALSE),"")))))))))))))))))))))))))))),"")</f>
        <v/>
      </c>
      <c r="L129" s="418" t="str">
        <f t="shared" si="2"/>
        <v>-</v>
      </c>
      <c r="M129" s="419"/>
    </row>
    <row r="130" spans="1:13" ht="15.75">
      <c r="A130" s="420">
        <v>98</v>
      </c>
      <c r="B130" s="420" t="str">
        <f>IFERROR(IF($A130&lt;'DWV PVC'!$A$285,VLOOKUP($A130,'DWV PVC'!$A$8:$M$284,4,FALSE),
IF($A130&lt;'DWV ABS'!$A$117,VLOOKUP($A130,'DWV ABS'!$A$8:$M$116,4,FALSE),
IF($A130&lt;'PVC SCH40'!$A$376,VLOOKUP($A130,'PVC SCH40'!$A$8:$M$375,4,FALSE),
IF($A130&lt;'PVC SCH40 LD'!$A$22,VLOOKUP($A130,'PVC SCH40 LD'!$A$8:$M$21,4,FALSE),
IF($A130&lt;'Pool &amp; SPA Sweep Elbows'!$A$12,VLOOKUP($A130,'Pool &amp; SPA Sweep Elbows'!$A$8:$M$11,4,FALSE),
IF($A130&lt;'Pool &amp; SPA Pipe Extender'!$A$11,VLOOKUP($A130,'Pool &amp; SPA Pipe Extender'!$A$8:$M$10,4,FALSE),
IF($A130&lt;'PVC SCH80'!$A$250,VLOOKUP($A130,'PVC SCH80'!$A$8:$M$249,4,FALSE),
IF($A130&lt;'PVC SCH80 Flange'!$A$49,VLOOKUP($A130,'PVC SCH80 Flange'!$A$8:$M$48,4,FALSE),
IF($A130&lt;'PVC SCH80 LD Flange'!$A$17,VLOOKUP($A130,'PVC SCH80 LD Flange'!$A$8:$M$16,4,FALSE),
IF($A130&lt;CPVC!$A$100,VLOOKUP($A130,CPVC!$A$8:$M$99,4,FALSE),
IF($A130&lt;InsertFittings!$A$237,VLOOKUP($A130,InsertFittings!$A$11:$M$236,4,FALSE),
IF($A130&lt;Valves!$A$132,VLOOKUP($A130,Valves!$A$8:$M$131,4,FALSE),
IF($A130&lt;SDR35SW!$A$124,VLOOKUP($A130,SDR35SW!$A$8:$M$123,4,FALSE),
IF($A130&lt;SDR35G!$A$143,VLOOKUP($A130, SDR35G!$A$8:$M$142,4,FALSE),
IF($A130&lt;SDR26G!$A$61,VLOOKUP($A130,SDR26G!$A$8:$N$60,4,FALSE),
IF($A130&lt;Cements!$A$100,VLOOKUP($A130,Cements!$A$8:$Q$99,4,FALSE),
IF($A130&lt;ValveBox!$A$143,VLOOKUP($A130,ValveBox!$A$10:$O$142,4,FALSE),
IF($A130&lt;'ValveBox Components'!$A$165,VLOOKUP($A130,'ValveBox Components'!$A$10:$O$164,4,FALSE),
IF($A130&lt;Drainage!$A$92,VLOOKUP($A130,Drainage!$A$8:$M$91,4,FALSE),
IF($A130&lt;Nipples!$A$82,VLOOKUP($A130,Nipples!$A$9:$Q$81,4,FALSE),
IF($A130&lt;Manifold!$A$33,VLOOKUP($A130,Manifold!$A$9:$M$32,4,FALSE),
IF($A130&lt;FlexibleRepairCouplings!$A$13,VLOOKUP($A130,FlexibleRepairCouplings!$A$10:$M$12,4,FALSE),
IF($A130&lt;DuraFix!$A$15,VLOOKUP($A130,DuraFix!$A$9:$M$14,4,FALSE),
IF($A130&lt;'Compression Fittings'!$A$16,VLOOKUP($A130,'Compression Fittings'!$A$8:$M$15,4,FALSE),
IF($A130&lt;'Hose Fittings'!$A$30,VLOOKUP($A130,'Hose Fittings'!$A$8:$M$29,4,FALSE),
IF($A130&lt;'Swing Joints'!$A$496,VLOOKUP($A130,'Swing Joints'!$A$9:$M$495,4,FALSE),
IF($A130&lt;'Swing Joints Components'!$A$135,VLOOKUP($A130,'Swing Joints Components'!$A$9:$M$134,4,FALSE),
IF($A130&lt;Nonstandard!$A$42,VLOOKUP($A130,Nonstandard!$A$31:$J$41,5,FALSE),"")))))))))))))))))))))))))))),"")</f>
        <v/>
      </c>
      <c r="C130" s="420" t="str">
        <f>IFERROR(IF($A130&lt;'DWV PVC'!$A$285,VLOOKUP($A130,'DWV PVC'!$A$8:$M$284,5,FALSE),
IF($A130&lt;'DWV ABS'!$A$117,VLOOKUP($A130,'DWV ABS'!$A$8:$M$116,5,FALSE),
IF($A130&lt;'PVC SCH40'!$A$376,VLOOKUP($A130,'PVC SCH40'!$A$8:$M$375,5,FALSE),
IF($A130&lt;'PVC SCH40 LD'!$A$22,VLOOKUP($A130,'PVC SCH40 LD'!$A$8:$M$21,5,FALSE),
IF($A130&lt;'Pool &amp; SPA Sweep Elbows'!$A$12,VLOOKUP($A130,'Pool &amp; SPA Sweep Elbows'!$A$8:$M$11,5,FALSE),
IF($A130&lt;'Pool &amp; SPA Pipe Extender'!$A$11,VLOOKUP($A130,'Pool &amp; SPA Pipe Extender'!$A$8:$M$10,5,FALSE),
IF($A130&lt;'PVC SCH80'!$A$250,VLOOKUP($A130,'PVC SCH80'!$A$8:$M$249,5,FALSE),
IF($A130&lt;'PVC SCH80 Flange'!$A$49,VLOOKUP($A130,'PVC SCH80 Flange'!$A$8:$M$48,5,FALSE),
IF($A130&lt;'PVC SCH80 LD Flange'!$A$17,VLOOKUP($A130,'PVC SCH80 LD Flange'!$A$8:$M$16,5,FALSE),
IF($A130&lt;CPVC!$A$100,VLOOKUP($A130,CPVC!$A$8:$M$99,5,FALSE),
IF($A130&lt;InsertFittings!$A$237,VLOOKUP($A130,InsertFittings!$A$11:$M$236,5,FALSE),
IF($A130&lt;Valves!$A$132,VLOOKUP($A130,Valves!$A$8:$M$131,5,FALSE),
IF($A130&lt;SDR35SW!$A$124,VLOOKUP($A130,SDR35SW!$A$8:$M$123,5,FALSE),
IF($A130&lt;SDR35G!$A$143,VLOOKUP($A130, SDR35G!$A$8:$M$142,5,FALSE),
IF($A130&lt;SDR26G!$A$61,VLOOKUP($A130,SDR26G!$A$8:$N$60,5,FALSE),
IF($A130&lt;Cements!$A$100,VLOOKUP($A130,Cements!$A$8:$Q$99,5,FALSE),
IF($A130&lt;ValveBox!$A$143,VLOOKUP($A130,ValveBox!$A$10:$O$142,5,FALSE),
IF($A130&lt;'ValveBox Components'!$A$165,VLOOKUP($A130,'ValveBox Components'!$A$10:$O$164,5,FALSE),
IF($A130&lt;Drainage!$A$92,VLOOKUP($A130,Drainage!$A$8:$M$91,5,FALSE),
IF($A130&lt;Nipples!$A$82,VLOOKUP($A130,Nipples!$A$9:$Q$81,5,FALSE),
IF($A130&lt;Manifold!$A$33,VLOOKUP($A130,Manifold!$A$9:$M$32,5,FALSE),
IF($A130&lt;FlexibleRepairCouplings!$A$13,VLOOKUP($A130,FlexibleRepairCouplings!$A$10:$M$12,5,FALSE),
IF($A130&lt;DuraFix!$A$15,VLOOKUP($A130,DuraFix!$A$9:$M$14,5,FALSE),
IF($A130&lt;'Compression Fittings'!$A$16,VLOOKUP($A130,'Compression Fittings'!$A$8:$M$15,5,FALSE),
IF($A130&lt;'Hose Fittings'!$A$30,VLOOKUP($A130,'Hose Fittings'!$A$8:$M$29,5,FALSE),
IF($A130&lt;'Swing Joints'!$A$496,VLOOKUP($A130,'Swing Joints'!$A$9:$M$495,5,FALSE),
IF($A130&lt;'Swing Joints Components'!$A$135,VLOOKUP($A130,'Swing Joints Components'!$A$9:$M$134,5,FALSE),
IF($A130&lt;Nonstandard!$A$42,VLOOKUP($A130,Nonstandard!$A$31:$J$41,6,FALSE),"")))))))))))))))))))))))))))),"")</f>
        <v/>
      </c>
      <c r="D130" s="428" t="str">
        <f>IFERROR(IF($A130&lt;'DWV PVC'!$A$285,VLOOKUP($A130,'DWV PVC'!$A$8:$M$284,6,FALSE),
IF($A130&lt;'DWV ABS'!$A$117,VLOOKUP($A130,'DWV ABS'!$A$8:$M$116,6,FALSE),
IF($A130&lt;'PVC SCH40'!$A$376,VLOOKUP($A130,'PVC SCH40'!$A$8:$M$375,6,FALSE),
IF($A130&lt;'PVC SCH40 LD'!$A$22,VLOOKUP($A130,'PVC SCH40 LD'!$A$8:$M$21,6,FALSE),
IF($A130&lt;'Pool &amp; SPA Sweep Elbows'!$A$12,VLOOKUP($A130,'Pool &amp; SPA Sweep Elbows'!$A$8:$M$11,6,FALSE),
IF($A130&lt;'Pool &amp; SPA Pipe Extender'!$A$11,VLOOKUP($A130,'Pool &amp; SPA Pipe Extender'!$A$8:$M$10,6,FALSE),
IF($A130&lt;'PVC SCH80'!$A$250,VLOOKUP($A130,'PVC SCH80'!$A$8:$M$249,6,FALSE),
IF($A130&lt;'PVC SCH80 Flange'!$A$49,VLOOKUP($A130,'PVC SCH80 Flange'!$A$8:$M$48,6,FALSE),
IF($A130&lt;'PVC SCH80 LD Flange'!$A$17,VLOOKUP($A130,'PVC SCH80 LD Flange'!$A$8:$M$16,6,FALSE),
IF($A130&lt;CPVC!$A$100,VLOOKUP($A130,CPVC!$A$8:$M$99,6,FALSE),
IF($A130&lt;InsertFittings!$A$237,VLOOKUP($A130,InsertFittings!$A$11:$M$236,6,FALSE),
IF($A130&lt;Valves!$A$132,VLOOKUP($A130,Valves!$A$8:$M$131,6,FALSE),
IF($A130&lt;SDR35SW!$A$124,VLOOKUP($A130,SDR35SW!$A$8:$M$123,6,FALSE),
IF($A130&lt;SDR35G!$A$143,VLOOKUP($A130, SDR35G!$A$8:$M$142,6,FALSE),
IF($A130&lt;SDR26G!$A$61,VLOOKUP($A130,SDR26G!$A$8:$N$60,6,FALSE),
IF($A130&lt;Cements!$A$100,VLOOKUP($A130,Cements!$A$8:$Q$99,6,FALSE),
IF($A130&lt;ValveBox!$A$143,VLOOKUP($A130,ValveBox!$A$10:$O$142,6,FALSE),
IF($A130&lt;'ValveBox Components'!$A$165,VLOOKUP($A130,'ValveBox Components'!$A$10:$O$164,6,FALSE),
IF($A130&lt;Drainage!$A$92,VLOOKUP($A130,Drainage!$A$8:$M$91,6,FALSE),
IF($A130&lt;Nipples!$A$82,VLOOKUP($A130,Nipples!$A$9:$Q$81,6,FALSE),
IF($A130&lt;Manifold!$A$33,VLOOKUP($A130,Manifold!$A$9:$M$32,6,FALSE),
IF($A130&lt;FlexibleRepairCouplings!$A$13,VLOOKUP($A130,FlexibleRepairCouplings!$A$10:$M$12,6,FALSE),
IF($A130&lt;DuraFix!$A$15,VLOOKUP($A130,DuraFix!$A$9:$M$14,6,FALSE),
IF($A130&lt;'Compression Fittings'!$A$16,VLOOKUP($A130,'Compression Fittings'!$A$8:$M$15,6,FALSE),
IF($A130&lt;'Hose Fittings'!$A$30,VLOOKUP($A130,'Hose Fittings'!$A$8:$M$29,6,FALSE),
IF($A130&lt;'Swing Joints'!$A$496,VLOOKUP($A130,'Swing Joints'!$A$9:$M$495,6,FALSE),
IF($A130&lt;'Swing Joints Components'!$A$135,VLOOKUP($A130,'Swing Joints Components'!$A$9:$M$134,6,FALSE),
IF($A130&lt;Nonstandard!$A$42,VLOOKUP($A130,Nonstandard!$A$31:$J$41,7,FALSE),"")))))))))))))))))))))))))))),"")</f>
        <v/>
      </c>
      <c r="E130" s="429"/>
      <c r="F130" s="421" t="str">
        <f>IFERROR(IF($A130&lt;'DWV PVC'!$A$285,VLOOKUP($A130,'DWV PVC'!$A$8:$M$284,9,FALSE),
IF($A130&lt;'DWV ABS'!$A$117,VLOOKUP($A130,'DWV ABS'!$A$8:$M$116,9,FALSE),
IF($A130&lt;'PVC SCH40'!$A$376,VLOOKUP($A130,'PVC SCH40'!$A$8:$M$375,9,FALSE),
IF($A130&lt;'PVC SCH40 LD'!$A$22,VLOOKUP($A130,'PVC SCH40 LD'!$A$8:$M$21,9,FALSE),
IF($A130&lt;'Pool &amp; SPA Sweep Elbows'!$A$12,VLOOKUP($A130,'Pool &amp; SPA Sweep Elbows'!$A$8:$M$11,9,FALSE),
IF($A130&lt;'Pool &amp; SPA Pipe Extender'!$A$11,VLOOKUP($A130,'Pool &amp; SPA Pipe Extender'!$A$8:$M$10,9,FALSE),
IF($A130&lt;'PVC SCH80'!$A$250,VLOOKUP($A130,'PVC SCH80'!$A$8:$M$249,9,FALSE),
IF($A130&lt;'PVC SCH80 Flange'!$A$49,VLOOKUP($A130,'PVC SCH80 Flange'!$A$8:$M$48,9,FALSE),
IF($A130&lt;'PVC SCH80 LD Flange'!$A$17,VLOOKUP($A130,'PVC SCH80 LD Flange'!$A$8:$M$16,9,FALSE),
IF($A130&lt;CPVC!$A$100,VLOOKUP($A130,CPVC!$A$8:$M$99,9,FALSE),
IF($A130&lt;InsertFittings!$A$237,VLOOKUP($A130,InsertFittings!$A$11:$M$236,9,FALSE),
IF($A130&lt;Valves!$A$132,VLOOKUP($A130,Valves!$A$8:$M$131,9,FALSE),
IF($A130&lt;SDR35SW!$A$124,VLOOKUP($A130,SDR35SW!$A$8:$M$123,9,FALSE),
IF($A130&lt;SDR35G!$A$143,VLOOKUP($A130, SDR35G!$A$8:$M$142,9,FALSE),
IF($A130&lt;SDR26G!$A$61,VLOOKUP($A130,SDR26G!$A$8:$N$60,10,FALSE),
IF($A130&lt;Cements!$A$100,VLOOKUP($A130,Cements!$A$8:$Q$99,13,FALSE),
IF($A130&lt;ValveBox!$A$143,VLOOKUP($A130,ValveBox!$A$10:$O$142,11,FALSE),
IF($A130&lt;'ValveBox Components'!$A$165,VLOOKUP($A130,'ValveBox Components'!$A$10:$O$164,11,FALSE),
IF($A130&lt;Drainage!$A$92,VLOOKUP($A130,Drainage!$A$8:$M$91,9,FALSE),
IF($A130&lt;Nipples!$A$82,VLOOKUP($A130,Nipples!$A$9:$Q$81,13,FALSE),
IF($A130&lt;Manifold!$A$33,VLOOKUP($A130,Manifold!$A$9:$M$32,9,FALSE),
IF($A130&lt;FlexibleRepairCouplings!$A$13,VLOOKUP($A130,FlexibleRepairCouplings!$A$10:$M$12,9,FALSE),
IF($A130&lt;DuraFix!$A$15,VLOOKUP($A130,DuraFix!$A$9:$M$14,9,FALSE),
IF($A130&lt;'Compression Fittings'!$A$16,VLOOKUP($A130,'Compression Fittings'!$A$8:$M$15,9,FALSE),
IF($A130&lt;'Hose Fittings'!$A$30,VLOOKUP($A130,'Hose Fittings'!$A$8:$M$29,9,FALSE),
IF($A130&lt;'Swing Joints'!$A$496,VLOOKUP($A130,'Swing Joints'!$A$9:$M$495,9,FALSE),
IF($A130&lt;'Swing Joints Components'!$A$135,VLOOKUP($A130,'Swing Joints Components'!$A$9:$M$134,9,FALSE),
IF($A130&lt;Nonstandard!$A$42,VLOOKUP($A130,Nonstandard!$A$31:$J$41,8,FALSE),"")))))))))))))))))))))))))))),"")</f>
        <v/>
      </c>
      <c r="G130" s="422" t="str">
        <f>IFERROR(IF($A130&lt;'DWV PVC'!$A$285,VLOOKUP($A130,'DWV PVC'!$A$8:$M$284,11,FALSE),
IF($A130&lt;'DWV ABS'!$A$117,VLOOKUP($A130,'DWV ABS'!$A$8:$M$116,11,FALSE),
IF($A130&lt;'PVC SCH40'!$A$376,VLOOKUP($A130,'PVC SCH40'!$A$8:$M$375,11,FALSE),
IF($A130&lt;'PVC SCH40 LD'!$A$22,VLOOKUP($A130,'PVC SCH40 LD'!$A$8:$M$21,11,FALSE),
IF($A130&lt;'Pool &amp; SPA Sweep Elbows'!$A$12,VLOOKUP($A130,'Pool &amp; SPA Sweep Elbows'!$A$8:$M$11,11,FALSE),
IF($A130&lt;'Pool &amp; SPA Pipe Extender'!$A$11,VLOOKUP($A130,'Pool &amp; SPA Pipe Extender'!$A$8:$M$10,11,FALSE),
IF($A130&lt;'PVC SCH80'!$A$250,VLOOKUP($A130,'PVC SCH80'!$A$8:$M$249,11,FALSE),
IF($A130&lt;'PVC SCH80 Flange'!$A$49,VLOOKUP($A130,'PVC SCH80 Flange'!$A$8:$M$48,11,FALSE),
IF($A130&lt;'PVC SCH80 LD Flange'!$A$17,VLOOKUP($A130,'PVC SCH80 LD Flange'!$A$8:$M$16,11,FALSE),
IF($A130&lt;CPVC!$A$100,VLOOKUP($A130,CPVC!$A$8:$M$99,11,FALSE),
IF($A130&lt;InsertFittings!$A$237,VLOOKUP($A130,InsertFittings!$A$11:$M$236,11,FALSE),
IF($A130&lt;Valves!$A$132,VLOOKUP($A130,Valves!$A$8:$M$131,11,FALSE),
IF($A130&lt;SDR35SW!$A$124,VLOOKUP($A130,SDR35SW!$A$8:$M$123,11,FALSE),
IF($A130&lt;SDR35G!$A$143,VLOOKUP($A130, SDR35G!$A$8:$M$142,11,FALSE),
IF($A130&lt;SDR26G!$A$61,VLOOKUP($A130,SDR26G!$A$8:$N$60,12,FALSE),
IF($A130&lt;Cements!$A$100,VLOOKUP($A130,Cements!$A$8:$Q$99,15,FALSE),
IF($A130&lt;ValveBox!$A$143,VLOOKUP($A130,ValveBox!$A$10:$O$142,13,FALSE),
IF($A130&lt;'ValveBox Components'!$A$165,VLOOKUP($A130,'ValveBox Components'!$A$10:$O$164,13,FALSE),
IF($A130&lt;Drainage!$A$92,VLOOKUP($A130,Drainage!$A$8:$M$91,11,FALSE),
IF($A130&lt;Nipples!$A$82,VLOOKUP($A130,Nipples!$A$9:$Q$81,15,FALSE),
IF($A130&lt;Manifold!$A$33,VLOOKUP($A130,Manifold!$A$9:$M$32,11,FALSE),
IF($A130&lt;FlexibleRepairCouplings!$A$13,VLOOKUP($A130,FlexibleRepairCouplings!$A$10:$M$12,11,FALSE),
IF($A130&lt;DuraFix!$A$15,VLOOKUP($A130,DuraFix!$A$9:$M$14,11,FALSE),
IF($A130&lt;'Compression Fittings'!$A$16,VLOOKUP($A130,'Compression Fittings'!$A$8:$M$15,11,FALSE),
IF($A130&lt;'Hose Fittings'!$A$30,VLOOKUP($A130,'Hose Fittings'!$A$8:$M$29,11,FALSE),
IF($A130&lt;'Swing Joints'!$A$496,VLOOKUP($A130,'Swing Joints'!$A$9:$M$495,11,FALSE),
IF($A130&lt;'Swing Joints Components'!$A$135,VLOOKUP($A130,'Swing Joints Components'!$A$9:$M$134,11,FALSE),
IF($A130&lt;Nonstandard!$A$42,VLOOKUP($A130,Nonstandard!$A$31:$J$41,3,FALSE),"")))))))))))))))))))))))))))),"")</f>
        <v/>
      </c>
      <c r="H130" s="588" t="str">
        <f>IFERROR(IF($A130&lt;'DWV PVC'!$A$285,VLOOKUP($A130,'DWV PVC'!$A$8:$M$284,7,FALSE),
IF($A130&lt;'DWV ABS'!$A$117,VLOOKUP($A130,'DWV ABS'!$A$8:$M$116,7,FALSE),
IF($A130&lt;'PVC SCH40'!$A$376,VLOOKUP($A130,'PVC SCH40'!$A$8:$M$375,7,FALSE),
IF($A130&lt;'PVC SCH40 LD'!$A$22,VLOOKUP($A130,'PVC SCH40 LD'!$A$8:$M$21,7,FALSE),
IF($A130&lt;'Pool &amp; SPA Sweep Elbows'!$A$12,VLOOKUP($A130,'Pool &amp; SPA Sweep Elbows'!$A$8:$M$11,7,FALSE),
IF($A130&lt;'Pool &amp; SPA Pipe Extender'!$A$11,VLOOKUP($A130,'Pool &amp; SPA Pipe Extender'!$A$8:$M$10,7,FALSE),
IF($A130&lt;'PVC SCH80'!$A$250,VLOOKUP($A130,'PVC SCH80'!$A$8:$M$249,7,FALSE),
IF($A130&lt;'PVC SCH80 Flange'!$A$49,VLOOKUP($A130,'PVC SCH80 Flange'!$A$8:$M$48,7,FALSE),
IF($A130&lt;'PVC SCH80 LD Flange'!$A$17,VLOOKUP($A130,'PVC SCH80 LD Flange'!$A$8:$M$16,7,FALSE),
IF($A130&lt;CPVC!$A$100,VLOOKUP($A130,CPVC!$A$8:$M$99,7,FALSE),
IF($A130&lt;InsertFittings!$A$237,VLOOKUP($A130,InsertFittings!$A$11:$M$236,7,FALSE),
IF($A130&lt;Valves!$A$132,VLOOKUP($A130,Valves!$A$8:$M$131,7,FALSE),
IF($A130&lt;SDR35SW!$A$124,VLOOKUP($A130,SDR35SW!$A$8:$M$123,7,FALSE),
IF($A130&lt;SDR35G!$A$143,VLOOKUP($A130, SDR35G!$A$8:$M$142,7,FALSE),
IF($A130&lt;SDR26G!$A$61,VLOOKUP($A130,SDR26G!$A$8:$N$60,10,FALSE),
IF($A130&lt;Cements!$A$100,VLOOKUP($A130,Cements!$A$8:$Q$99,13,FALSE),
IF($A130&lt;ValveBox!$A$143,VLOOKUP($A130,ValveBox!$A$10:$O$142,11,FALSE),
IF($A130&lt;'ValveBox Components'!$A$165,VLOOKUP($A130,'ValveBox Components'!$A$10:$O$164,11,FALSE),
IF($A130&lt;Drainage!$A$92,VLOOKUP($A130,Drainage!$A$8:$M$91,7,FALSE),
IF($A130&lt;Nipples!$A$82,VLOOKUP($A130,Nipples!$A$9:$Q$81,13,FALSE),
IF($A130&lt;Manifold!$A$33,VLOOKUP($A130,Manifold!$A$9:$M$32,7,FALSE),
IF($A130&lt;FlexibleRepairCouplings!$A$13,VLOOKUP($A130,FlexibleRepairCouplings!$A$10:$M$12,7,FALSE),
IF($A130&lt;DuraFix!$A$15,VLOOKUP($A130,DuraFix!$A$9:$M$14,7,FALSE),
IF($A130&lt;'Compression Fittings'!$A$16,VLOOKUP($A130,'Compression Fittings'!$A$8:$M$15,7,FALSE),
IF($A130&lt;'Hose Fittings'!$A$30,VLOOKUP($A130,'Hose Fittings'!$A$8:$M$29,7,FALSE),
IF($A130&lt;'Swing Joints'!$A$496,VLOOKUP($A130,'Swing Joints'!$A$9:$M$495,7,FALSE),
IF($A130&lt;'Swing Joints Components'!$A$135,VLOOKUP($A130,'Swing Joints Components'!$A$9:$M$134,7,FALSE),
IF($A130&lt;Nonstandard!$A$42,VLOOKUP($A130,Nonstandard!$A$31:$J$41,3,FALSE),"")))))))))))))))))))))))))))),"")</f>
        <v/>
      </c>
      <c r="I130" s="589"/>
      <c r="J130" s="423" t="str">
        <f t="shared" si="3"/>
        <v/>
      </c>
      <c r="K130" s="424" t="str">
        <f>IFERROR(IF($A130&lt;'DWV PVC'!$A$285,VLOOKUP($A130,'DWV PVC'!$A$8:$M$284,10,FALSE),
IF($A130&lt;'DWV ABS'!$A$117,VLOOKUP($A130,'DWV ABS'!$A$8:$M$116,10,FALSE),
IF($A130&lt;'PVC SCH40'!$A$376,VLOOKUP($A130,'PVC SCH40'!$A$8:$M$375,10,FALSE),
IF($A130&lt;'PVC SCH40 LD'!$A$22,VLOOKUP($A130,'PVC SCH40 LD'!$A$8:$M$21,10,FALSE),
IF($A130&lt;'Pool &amp; SPA Sweep Elbows'!$A$12,VLOOKUP($A130,'Pool &amp; SPA Sweep Elbows'!$A$8:$M$11,10,FALSE),
IF($A130&lt;'Pool &amp; SPA Pipe Extender'!$A$11,VLOOKUP($A130,'Pool &amp; SPA Pipe Extender'!$A$8:$M$10,10,FALSE),
IF($A130&lt;'PVC SCH80'!$A$250,VLOOKUP($A130,'PVC SCH80'!$A$8:$M$249,10,FALSE),
IF($A130&lt;'PVC SCH80 Flange'!$A$49,VLOOKUP($A130,'PVC SCH80 Flange'!$A$8:$M$48,10,FALSE),
IF($A130&lt;'PVC SCH80 LD Flange'!$A$17,VLOOKUP($A130,'PVC SCH80 LD Flange'!$A$8:$M$16,10,FALSE),
IF($A130&lt;CPVC!$A$100,VLOOKUP($A130,CPVC!$A$8:$M$99,10,FALSE),
IF($A130&lt;InsertFittings!$A$237,VLOOKUP($A130,InsertFittings!$A$11:$M$236,10,FALSE),
IF($A130&lt;Valves!$A$132,VLOOKUP($A130,Valves!$A$8:$M$131,10,FALSE),
IF($A130&lt;SDR35SW!$A$124,VLOOKUP($A130,SDR35SW!$A$8:$M$123,10,FALSE),
IF($A130&lt;SDR35G!$A$143,VLOOKUP($A130, SDR35G!$A$8:$M$142,10,FALSE),
IF($A130&lt;SDR26G!$A$61,VLOOKUP($A130,SDR26G!$A$8:$N$60,11,FALSE),
IF($A130&lt;Cements!$A$100,VLOOKUP($A130,Cements!$A$8:$Q$99,14,FALSE),
IF($A130&lt;ValveBox!$A$143,VLOOKUP($A130,ValveBox!$A$10:$O$142,12,FALSE),
IF($A130&lt;'ValveBox Components'!$A$165,VLOOKUP($A130,'ValveBox Components'!$A$10:$O$164,12,FALSE),
IF($A130&lt;Drainage!$A$92,VLOOKUP($A130,Drainage!$A$8:$M$91,10,FALSE),
IF($A130&lt;Nipples!$A$82,VLOOKUP($A130,Nipples!$A$9:$Q$81,14,FALSE),
IF($A130&lt;Manifold!$A$33,VLOOKUP($A130,Manifold!$A$9:$M$32,10,FALSE),
IF($A130&lt;FlexibleRepairCouplings!$A$13,VLOOKUP($A130,FlexibleRepairCouplings!$A$10:$M$12,10,FALSE),
IF($A130&lt;DuraFix!$A$15,VLOOKUP($A130,DuraFix!$A$9:$M$14,10,FALSE),
IF($A130&lt;'Compression Fittings'!$A$16,VLOOKUP($A130,'Compression Fittings'!$A$8:$M$15,10,FALSE),
IF($A130&lt;'Hose Fittings'!$A$30,VLOOKUP($A130,'Hose Fittings'!$A$8:$M$29,10,FALSE),
IF($A130&lt;'Swing Joints'!$A$496,VLOOKUP($A130,'Swing Joints'!$A$9:$M$495,10,FALSE),
IF($A130&lt;'Swing Joints Components'!$A$135,VLOOKUP($A130,'Swing Joints Components'!$A$9:$M$134,10,FALSE),
IF($A130&lt;Nonstandard!$A$42,VLOOKUP($A130,Nonstandard!$A$31:$J$41,10,FALSE),"")))))))))))))))))))))))))))),"")</f>
        <v/>
      </c>
      <c r="L130" s="421" t="str">
        <f t="shared" si="2"/>
        <v>-</v>
      </c>
      <c r="M130" s="425"/>
    </row>
    <row r="131" spans="1:13" ht="15.75">
      <c r="A131" s="415">
        <v>99</v>
      </c>
      <c r="B131" s="415" t="str">
        <f>IFERROR(IF($A131&lt;'DWV PVC'!$A$285,VLOOKUP($A131,'DWV PVC'!$A$8:$M$284,4,FALSE),
IF($A131&lt;'DWV ABS'!$A$117,VLOOKUP($A131,'DWV ABS'!$A$8:$M$116,4,FALSE),
IF($A131&lt;'PVC SCH40'!$A$376,VLOOKUP($A131,'PVC SCH40'!$A$8:$M$375,4,FALSE),
IF($A131&lt;'PVC SCH40 LD'!$A$22,VLOOKUP($A131,'PVC SCH40 LD'!$A$8:$M$21,4,FALSE),
IF($A131&lt;'Pool &amp; SPA Sweep Elbows'!$A$12,VLOOKUP($A131,'Pool &amp; SPA Sweep Elbows'!$A$8:$M$11,4,FALSE),
IF($A131&lt;'Pool &amp; SPA Pipe Extender'!$A$11,VLOOKUP($A131,'Pool &amp; SPA Pipe Extender'!$A$8:$M$10,4,FALSE),
IF($A131&lt;'PVC SCH80'!$A$250,VLOOKUP($A131,'PVC SCH80'!$A$8:$M$249,4,FALSE),
IF($A131&lt;'PVC SCH80 Flange'!$A$49,VLOOKUP($A131,'PVC SCH80 Flange'!$A$8:$M$48,4,FALSE),
IF($A131&lt;'PVC SCH80 LD Flange'!$A$17,VLOOKUP($A131,'PVC SCH80 LD Flange'!$A$8:$M$16,4,FALSE),
IF($A131&lt;CPVC!$A$100,VLOOKUP($A131,CPVC!$A$8:$M$99,4,FALSE),
IF($A131&lt;InsertFittings!$A$237,VLOOKUP($A131,InsertFittings!$A$11:$M$236,4,FALSE),
IF($A131&lt;Valves!$A$132,VLOOKUP($A131,Valves!$A$8:$M$131,4,FALSE),
IF($A131&lt;SDR35SW!$A$124,VLOOKUP($A131,SDR35SW!$A$8:$M$123,4,FALSE),
IF($A131&lt;SDR35G!$A$143,VLOOKUP($A131, SDR35G!$A$8:$M$142,4,FALSE),
IF($A131&lt;SDR26G!$A$61,VLOOKUP($A131,SDR26G!$A$8:$N$60,4,FALSE),
IF($A131&lt;Cements!$A$100,VLOOKUP($A131,Cements!$A$8:$Q$99,4,FALSE),
IF($A131&lt;ValveBox!$A$143,VLOOKUP($A131,ValveBox!$A$10:$O$142,4,FALSE),
IF($A131&lt;'ValveBox Components'!$A$165,VLOOKUP($A131,'ValveBox Components'!$A$10:$O$164,4,FALSE),
IF($A131&lt;Drainage!$A$92,VLOOKUP($A131,Drainage!$A$8:$M$91,4,FALSE),
IF($A131&lt;Nipples!$A$82,VLOOKUP($A131,Nipples!$A$9:$Q$81,4,FALSE),
IF($A131&lt;Manifold!$A$33,VLOOKUP($A131,Manifold!$A$9:$M$32,4,FALSE),
IF($A131&lt;FlexibleRepairCouplings!$A$13,VLOOKUP($A131,FlexibleRepairCouplings!$A$10:$M$12,4,FALSE),
IF($A131&lt;DuraFix!$A$15,VLOOKUP($A131,DuraFix!$A$9:$M$14,4,FALSE),
IF($A131&lt;'Compression Fittings'!$A$16,VLOOKUP($A131,'Compression Fittings'!$A$8:$M$15,4,FALSE),
IF($A131&lt;'Hose Fittings'!$A$30,VLOOKUP($A131,'Hose Fittings'!$A$8:$M$29,4,FALSE),
IF($A131&lt;'Swing Joints'!$A$496,VLOOKUP($A131,'Swing Joints'!$A$9:$M$495,4,FALSE),
IF($A131&lt;'Swing Joints Components'!$A$135,VLOOKUP($A131,'Swing Joints Components'!$A$9:$M$134,4,FALSE),
IF($A131&lt;Nonstandard!$A$42,VLOOKUP($A131,Nonstandard!$A$31:$J$41,5,FALSE),"")))))))))))))))))))))))))))),"")</f>
        <v/>
      </c>
      <c r="C131" s="415" t="str">
        <f>IFERROR(IF($A131&lt;'DWV PVC'!$A$285,VLOOKUP($A131,'DWV PVC'!$A$8:$M$284,5,FALSE),
IF($A131&lt;'DWV ABS'!$A$117,VLOOKUP($A131,'DWV ABS'!$A$8:$M$116,5,FALSE),
IF($A131&lt;'PVC SCH40'!$A$376,VLOOKUP($A131,'PVC SCH40'!$A$8:$M$375,5,FALSE),
IF($A131&lt;'PVC SCH40 LD'!$A$22,VLOOKUP($A131,'PVC SCH40 LD'!$A$8:$M$21,5,FALSE),
IF($A131&lt;'Pool &amp; SPA Sweep Elbows'!$A$12,VLOOKUP($A131,'Pool &amp; SPA Sweep Elbows'!$A$8:$M$11,5,FALSE),
IF($A131&lt;'Pool &amp; SPA Pipe Extender'!$A$11,VLOOKUP($A131,'Pool &amp; SPA Pipe Extender'!$A$8:$M$10,5,FALSE),
IF($A131&lt;'PVC SCH80'!$A$250,VLOOKUP($A131,'PVC SCH80'!$A$8:$M$249,5,FALSE),
IF($A131&lt;'PVC SCH80 Flange'!$A$49,VLOOKUP($A131,'PVC SCH80 Flange'!$A$8:$M$48,5,FALSE),
IF($A131&lt;'PVC SCH80 LD Flange'!$A$17,VLOOKUP($A131,'PVC SCH80 LD Flange'!$A$8:$M$16,5,FALSE),
IF($A131&lt;CPVC!$A$100,VLOOKUP($A131,CPVC!$A$8:$M$99,5,FALSE),
IF($A131&lt;InsertFittings!$A$237,VLOOKUP($A131,InsertFittings!$A$11:$M$236,5,FALSE),
IF($A131&lt;Valves!$A$132,VLOOKUP($A131,Valves!$A$8:$M$131,5,FALSE),
IF($A131&lt;SDR35SW!$A$124,VLOOKUP($A131,SDR35SW!$A$8:$M$123,5,FALSE),
IF($A131&lt;SDR35G!$A$143,VLOOKUP($A131, SDR35G!$A$8:$M$142,5,FALSE),
IF($A131&lt;SDR26G!$A$61,VLOOKUP($A131,SDR26G!$A$8:$N$60,5,FALSE),
IF($A131&lt;Cements!$A$100,VLOOKUP($A131,Cements!$A$8:$Q$99,5,FALSE),
IF($A131&lt;ValveBox!$A$143,VLOOKUP($A131,ValveBox!$A$10:$O$142,5,FALSE),
IF($A131&lt;'ValveBox Components'!$A$165,VLOOKUP($A131,'ValveBox Components'!$A$10:$O$164,5,FALSE),
IF($A131&lt;Drainage!$A$92,VLOOKUP($A131,Drainage!$A$8:$M$91,5,FALSE),
IF($A131&lt;Nipples!$A$82,VLOOKUP($A131,Nipples!$A$9:$Q$81,5,FALSE),
IF($A131&lt;Manifold!$A$33,VLOOKUP($A131,Manifold!$A$9:$M$32,5,FALSE),
IF($A131&lt;FlexibleRepairCouplings!$A$13,VLOOKUP($A131,FlexibleRepairCouplings!$A$10:$M$12,5,FALSE),
IF($A131&lt;DuraFix!$A$15,VLOOKUP($A131,DuraFix!$A$9:$M$14,5,FALSE),
IF($A131&lt;'Compression Fittings'!$A$16,VLOOKUP($A131,'Compression Fittings'!$A$8:$M$15,5,FALSE),
IF($A131&lt;'Hose Fittings'!$A$30,VLOOKUP($A131,'Hose Fittings'!$A$8:$M$29,5,FALSE),
IF($A131&lt;'Swing Joints'!$A$496,VLOOKUP($A131,'Swing Joints'!$A$9:$M$495,5,FALSE),
IF($A131&lt;'Swing Joints Components'!$A$135,VLOOKUP($A131,'Swing Joints Components'!$A$9:$M$134,5,FALSE),
IF($A131&lt;Nonstandard!$A$42,VLOOKUP($A131,Nonstandard!$A$31:$J$41,6,FALSE),"")))))))))))))))))))))))))))),"")</f>
        <v/>
      </c>
      <c r="D131" s="426" t="str">
        <f>IFERROR(IF($A131&lt;'DWV PVC'!$A$285,VLOOKUP($A131,'DWV PVC'!$A$8:$M$284,6,FALSE),
IF($A131&lt;'DWV ABS'!$A$117,VLOOKUP($A131,'DWV ABS'!$A$8:$M$116,6,FALSE),
IF($A131&lt;'PVC SCH40'!$A$376,VLOOKUP($A131,'PVC SCH40'!$A$8:$M$375,6,FALSE),
IF($A131&lt;'PVC SCH40 LD'!$A$22,VLOOKUP($A131,'PVC SCH40 LD'!$A$8:$M$21,6,FALSE),
IF($A131&lt;'Pool &amp; SPA Sweep Elbows'!$A$12,VLOOKUP($A131,'Pool &amp; SPA Sweep Elbows'!$A$8:$M$11,6,FALSE),
IF($A131&lt;'Pool &amp; SPA Pipe Extender'!$A$11,VLOOKUP($A131,'Pool &amp; SPA Pipe Extender'!$A$8:$M$10,6,FALSE),
IF($A131&lt;'PVC SCH80'!$A$250,VLOOKUP($A131,'PVC SCH80'!$A$8:$M$249,6,FALSE),
IF($A131&lt;'PVC SCH80 Flange'!$A$49,VLOOKUP($A131,'PVC SCH80 Flange'!$A$8:$M$48,6,FALSE),
IF($A131&lt;'PVC SCH80 LD Flange'!$A$17,VLOOKUP($A131,'PVC SCH80 LD Flange'!$A$8:$M$16,6,FALSE),
IF($A131&lt;CPVC!$A$100,VLOOKUP($A131,CPVC!$A$8:$M$99,6,FALSE),
IF($A131&lt;InsertFittings!$A$237,VLOOKUP($A131,InsertFittings!$A$11:$M$236,6,FALSE),
IF($A131&lt;Valves!$A$132,VLOOKUP($A131,Valves!$A$8:$M$131,6,FALSE),
IF($A131&lt;SDR35SW!$A$124,VLOOKUP($A131,SDR35SW!$A$8:$M$123,6,FALSE),
IF($A131&lt;SDR35G!$A$143,VLOOKUP($A131, SDR35G!$A$8:$M$142,6,FALSE),
IF($A131&lt;SDR26G!$A$61,VLOOKUP($A131,SDR26G!$A$8:$N$60,6,FALSE),
IF($A131&lt;Cements!$A$100,VLOOKUP($A131,Cements!$A$8:$Q$99,6,FALSE),
IF($A131&lt;ValveBox!$A$143,VLOOKUP($A131,ValveBox!$A$10:$O$142,6,FALSE),
IF($A131&lt;'ValveBox Components'!$A$165,VLOOKUP($A131,'ValveBox Components'!$A$10:$O$164,6,FALSE),
IF($A131&lt;Drainage!$A$92,VLOOKUP($A131,Drainage!$A$8:$M$91,6,FALSE),
IF($A131&lt;Nipples!$A$82,VLOOKUP($A131,Nipples!$A$9:$Q$81,6,FALSE),
IF($A131&lt;Manifold!$A$33,VLOOKUP($A131,Manifold!$A$9:$M$32,6,FALSE),
IF($A131&lt;FlexibleRepairCouplings!$A$13,VLOOKUP($A131,FlexibleRepairCouplings!$A$10:$M$12,6,FALSE),
IF($A131&lt;DuraFix!$A$15,VLOOKUP($A131,DuraFix!$A$9:$M$14,6,FALSE),
IF($A131&lt;'Compression Fittings'!$A$16,VLOOKUP($A131,'Compression Fittings'!$A$8:$M$15,6,FALSE),
IF($A131&lt;'Hose Fittings'!$A$30,VLOOKUP($A131,'Hose Fittings'!$A$8:$M$29,6,FALSE),
IF($A131&lt;'Swing Joints'!$A$496,VLOOKUP($A131,'Swing Joints'!$A$9:$M$495,6,FALSE),
IF($A131&lt;'Swing Joints Components'!$A$135,VLOOKUP($A131,'Swing Joints Components'!$A$9:$M$134,6,FALSE),
IF($A131&lt;Nonstandard!$A$42,VLOOKUP($A131,Nonstandard!$A$31:$J$41,7,FALSE),"")))))))))))))))))))))))))))),"")</f>
        <v/>
      </c>
      <c r="E131" s="427"/>
      <c r="F131" s="418" t="str">
        <f>IFERROR(IF($A131&lt;'DWV PVC'!$A$285,VLOOKUP($A131,'DWV PVC'!$A$8:$M$284,9,FALSE),
IF($A131&lt;'DWV ABS'!$A$117,VLOOKUP($A131,'DWV ABS'!$A$8:$M$116,9,FALSE),
IF($A131&lt;'PVC SCH40'!$A$376,VLOOKUP($A131,'PVC SCH40'!$A$8:$M$375,9,FALSE),
IF($A131&lt;'PVC SCH40 LD'!$A$22,VLOOKUP($A131,'PVC SCH40 LD'!$A$8:$M$21,9,FALSE),
IF($A131&lt;'Pool &amp; SPA Sweep Elbows'!$A$12,VLOOKUP($A131,'Pool &amp; SPA Sweep Elbows'!$A$8:$M$11,9,FALSE),
IF($A131&lt;'Pool &amp; SPA Pipe Extender'!$A$11,VLOOKUP($A131,'Pool &amp; SPA Pipe Extender'!$A$8:$M$10,9,FALSE),
IF($A131&lt;'PVC SCH80'!$A$250,VLOOKUP($A131,'PVC SCH80'!$A$8:$M$249,9,FALSE),
IF($A131&lt;'PVC SCH80 Flange'!$A$49,VLOOKUP($A131,'PVC SCH80 Flange'!$A$8:$M$48,9,FALSE),
IF($A131&lt;'PVC SCH80 LD Flange'!$A$17,VLOOKUP($A131,'PVC SCH80 LD Flange'!$A$8:$M$16,9,FALSE),
IF($A131&lt;CPVC!$A$100,VLOOKUP($A131,CPVC!$A$8:$M$99,9,FALSE),
IF($A131&lt;InsertFittings!$A$237,VLOOKUP($A131,InsertFittings!$A$11:$M$236,9,FALSE),
IF($A131&lt;Valves!$A$132,VLOOKUP($A131,Valves!$A$8:$M$131,9,FALSE),
IF($A131&lt;SDR35SW!$A$124,VLOOKUP($A131,SDR35SW!$A$8:$M$123,9,FALSE),
IF($A131&lt;SDR35G!$A$143,VLOOKUP($A131, SDR35G!$A$8:$M$142,9,FALSE),
IF($A131&lt;SDR26G!$A$61,VLOOKUP($A131,SDR26G!$A$8:$N$60,10,FALSE),
IF($A131&lt;Cements!$A$100,VLOOKUP($A131,Cements!$A$8:$Q$99,13,FALSE),
IF($A131&lt;ValveBox!$A$143,VLOOKUP($A131,ValveBox!$A$10:$O$142,11,FALSE),
IF($A131&lt;'ValveBox Components'!$A$165,VLOOKUP($A131,'ValveBox Components'!$A$10:$O$164,11,FALSE),
IF($A131&lt;Drainage!$A$92,VLOOKUP($A131,Drainage!$A$8:$M$91,9,FALSE),
IF($A131&lt;Nipples!$A$82,VLOOKUP($A131,Nipples!$A$9:$Q$81,13,FALSE),
IF($A131&lt;Manifold!$A$33,VLOOKUP($A131,Manifold!$A$9:$M$32,9,FALSE),
IF($A131&lt;FlexibleRepairCouplings!$A$13,VLOOKUP($A131,FlexibleRepairCouplings!$A$10:$M$12,9,FALSE),
IF($A131&lt;DuraFix!$A$15,VLOOKUP($A131,DuraFix!$A$9:$M$14,9,FALSE),
IF($A131&lt;'Compression Fittings'!$A$16,VLOOKUP($A131,'Compression Fittings'!$A$8:$M$15,9,FALSE),
IF($A131&lt;'Hose Fittings'!$A$30,VLOOKUP($A131,'Hose Fittings'!$A$8:$M$29,9,FALSE),
IF($A131&lt;'Swing Joints'!$A$496,VLOOKUP($A131,'Swing Joints'!$A$9:$M$495,9,FALSE),
IF($A131&lt;'Swing Joints Components'!$A$135,VLOOKUP($A131,'Swing Joints Components'!$A$9:$M$134,9,FALSE),
IF($A131&lt;Nonstandard!$A$42,VLOOKUP($A131,Nonstandard!$A$31:$J$41,8,FALSE),"")))))))))))))))))))))))))))),"")</f>
        <v/>
      </c>
      <c r="G131" s="416" t="str">
        <f>IFERROR(IF($A131&lt;'DWV PVC'!$A$285,VLOOKUP($A131,'DWV PVC'!$A$8:$M$284,11,FALSE),
IF($A131&lt;'DWV ABS'!$A$117,VLOOKUP($A131,'DWV ABS'!$A$8:$M$116,11,FALSE),
IF($A131&lt;'PVC SCH40'!$A$376,VLOOKUP($A131,'PVC SCH40'!$A$8:$M$375,11,FALSE),
IF($A131&lt;'PVC SCH40 LD'!$A$22,VLOOKUP($A131,'PVC SCH40 LD'!$A$8:$M$21,11,FALSE),
IF($A131&lt;'Pool &amp; SPA Sweep Elbows'!$A$12,VLOOKUP($A131,'Pool &amp; SPA Sweep Elbows'!$A$8:$M$11,11,FALSE),
IF($A131&lt;'Pool &amp; SPA Pipe Extender'!$A$11,VLOOKUP($A131,'Pool &amp; SPA Pipe Extender'!$A$8:$M$10,11,FALSE),
IF($A131&lt;'PVC SCH80'!$A$250,VLOOKUP($A131,'PVC SCH80'!$A$8:$M$249,11,FALSE),
IF($A131&lt;'PVC SCH80 Flange'!$A$49,VLOOKUP($A131,'PVC SCH80 Flange'!$A$8:$M$48,11,FALSE),
IF($A131&lt;'PVC SCH80 LD Flange'!$A$17,VLOOKUP($A131,'PVC SCH80 LD Flange'!$A$8:$M$16,11,FALSE),
IF($A131&lt;CPVC!$A$100,VLOOKUP($A131,CPVC!$A$8:$M$99,11,FALSE),
IF($A131&lt;InsertFittings!$A$237,VLOOKUP($A131,InsertFittings!$A$11:$M$236,11,FALSE),
IF($A131&lt;Valves!$A$132,VLOOKUP($A131,Valves!$A$8:$M$131,11,FALSE),
IF($A131&lt;SDR35SW!$A$124,VLOOKUP($A131,SDR35SW!$A$8:$M$123,11,FALSE),
IF($A131&lt;SDR35G!$A$143,VLOOKUP($A131, SDR35G!$A$8:$M$142,11,FALSE),
IF($A131&lt;SDR26G!$A$61,VLOOKUP($A131,SDR26G!$A$8:$N$60,12,FALSE),
IF($A131&lt;Cements!$A$100,VLOOKUP($A131,Cements!$A$8:$Q$99,15,FALSE),
IF($A131&lt;ValveBox!$A$143,VLOOKUP($A131,ValveBox!$A$10:$O$142,13,FALSE),
IF($A131&lt;'ValveBox Components'!$A$165,VLOOKUP($A131,'ValveBox Components'!$A$10:$O$164,13,FALSE),
IF($A131&lt;Drainage!$A$92,VLOOKUP($A131,Drainage!$A$8:$M$91,11,FALSE),
IF($A131&lt;Nipples!$A$82,VLOOKUP($A131,Nipples!$A$9:$Q$81,15,FALSE),
IF($A131&lt;Manifold!$A$33,VLOOKUP($A131,Manifold!$A$9:$M$32,11,FALSE),
IF($A131&lt;FlexibleRepairCouplings!$A$13,VLOOKUP($A131,FlexibleRepairCouplings!$A$10:$M$12,11,FALSE),
IF($A131&lt;DuraFix!$A$15,VLOOKUP($A131,DuraFix!$A$9:$M$14,11,FALSE),
IF($A131&lt;'Compression Fittings'!$A$16,VLOOKUP($A131,'Compression Fittings'!$A$8:$M$15,11,FALSE),
IF($A131&lt;'Hose Fittings'!$A$30,VLOOKUP($A131,'Hose Fittings'!$A$8:$M$29,11,FALSE),
IF($A131&lt;'Swing Joints'!$A$496,VLOOKUP($A131,'Swing Joints'!$A$9:$M$495,11,FALSE),
IF($A131&lt;'Swing Joints Components'!$A$135,VLOOKUP($A131,'Swing Joints Components'!$A$9:$M$134,11,FALSE),
IF($A131&lt;Nonstandard!$A$42,VLOOKUP($A131,Nonstandard!$A$31:$J$41,3,FALSE),"")))))))))))))))))))))))))))),"")</f>
        <v/>
      </c>
      <c r="H131" s="586" t="str">
        <f>IFERROR(IF($A131&lt;'DWV PVC'!$A$285,VLOOKUP($A131,'DWV PVC'!$A$8:$M$284,7,FALSE),
IF($A131&lt;'DWV ABS'!$A$117,VLOOKUP($A131,'DWV ABS'!$A$8:$M$116,7,FALSE),
IF($A131&lt;'PVC SCH40'!$A$376,VLOOKUP($A131,'PVC SCH40'!$A$8:$M$375,7,FALSE),
IF($A131&lt;'PVC SCH40 LD'!$A$22,VLOOKUP($A131,'PVC SCH40 LD'!$A$8:$M$21,7,FALSE),
IF($A131&lt;'Pool &amp; SPA Sweep Elbows'!$A$12,VLOOKUP($A131,'Pool &amp; SPA Sweep Elbows'!$A$8:$M$11,7,FALSE),
IF($A131&lt;'Pool &amp; SPA Pipe Extender'!$A$11,VLOOKUP($A131,'Pool &amp; SPA Pipe Extender'!$A$8:$M$10,7,FALSE),
IF($A131&lt;'PVC SCH80'!$A$250,VLOOKUP($A131,'PVC SCH80'!$A$8:$M$249,7,FALSE),
IF($A131&lt;'PVC SCH80 Flange'!$A$49,VLOOKUP($A131,'PVC SCH80 Flange'!$A$8:$M$48,7,FALSE),
IF($A131&lt;'PVC SCH80 LD Flange'!$A$17,VLOOKUP($A131,'PVC SCH80 LD Flange'!$A$8:$M$16,7,FALSE),
IF($A131&lt;CPVC!$A$100,VLOOKUP($A131,CPVC!$A$8:$M$99,7,FALSE),
IF($A131&lt;InsertFittings!$A$237,VLOOKUP($A131,InsertFittings!$A$11:$M$236,7,FALSE),
IF($A131&lt;Valves!$A$132,VLOOKUP($A131,Valves!$A$8:$M$131,7,FALSE),
IF($A131&lt;SDR35SW!$A$124,VLOOKUP($A131,SDR35SW!$A$8:$M$123,7,FALSE),
IF($A131&lt;SDR35G!$A$143,VLOOKUP($A131, SDR35G!$A$8:$M$142,7,FALSE),
IF($A131&lt;SDR26G!$A$61,VLOOKUP($A131,SDR26G!$A$8:$N$60,10,FALSE),
IF($A131&lt;Cements!$A$100,VLOOKUP($A131,Cements!$A$8:$Q$99,13,FALSE),
IF($A131&lt;ValveBox!$A$143,VLOOKUP($A131,ValveBox!$A$10:$O$142,11,FALSE),
IF($A131&lt;'ValveBox Components'!$A$165,VLOOKUP($A131,'ValveBox Components'!$A$10:$O$164,11,FALSE),
IF($A131&lt;Drainage!$A$92,VLOOKUP($A131,Drainage!$A$8:$M$91,7,FALSE),
IF($A131&lt;Nipples!$A$82,VLOOKUP($A131,Nipples!$A$9:$Q$81,13,FALSE),
IF($A131&lt;Manifold!$A$33,VLOOKUP($A131,Manifold!$A$9:$M$32,7,FALSE),
IF($A131&lt;FlexibleRepairCouplings!$A$13,VLOOKUP($A131,FlexibleRepairCouplings!$A$10:$M$12,7,FALSE),
IF($A131&lt;DuraFix!$A$15,VLOOKUP($A131,DuraFix!$A$9:$M$14,7,FALSE),
IF($A131&lt;'Compression Fittings'!$A$16,VLOOKUP($A131,'Compression Fittings'!$A$8:$M$15,7,FALSE),
IF($A131&lt;'Hose Fittings'!$A$30,VLOOKUP($A131,'Hose Fittings'!$A$8:$M$29,7,FALSE),
IF($A131&lt;'Swing Joints'!$A$496,VLOOKUP($A131,'Swing Joints'!$A$9:$M$495,7,FALSE),
IF($A131&lt;'Swing Joints Components'!$A$135,VLOOKUP($A131,'Swing Joints Components'!$A$9:$M$134,7,FALSE),
IF($A131&lt;Nonstandard!$A$42,VLOOKUP($A131,Nonstandard!$A$31:$J$41,3,FALSE),"")))))))))))))))))))))))))))),"")</f>
        <v/>
      </c>
      <c r="I131" s="587"/>
      <c r="J131" s="383" t="str">
        <f t="shared" si="3"/>
        <v/>
      </c>
      <c r="K131" s="417" t="str">
        <f>IFERROR(IF($A131&lt;'DWV PVC'!$A$285,VLOOKUP($A131,'DWV PVC'!$A$8:$M$284,10,FALSE),
IF($A131&lt;'DWV ABS'!$A$117,VLOOKUP($A131,'DWV ABS'!$A$8:$M$116,10,FALSE),
IF($A131&lt;'PVC SCH40'!$A$376,VLOOKUP($A131,'PVC SCH40'!$A$8:$M$375,10,FALSE),
IF($A131&lt;'PVC SCH40 LD'!$A$22,VLOOKUP($A131,'PVC SCH40 LD'!$A$8:$M$21,10,FALSE),
IF($A131&lt;'Pool &amp; SPA Sweep Elbows'!$A$12,VLOOKUP($A131,'Pool &amp; SPA Sweep Elbows'!$A$8:$M$11,10,FALSE),
IF($A131&lt;'Pool &amp; SPA Pipe Extender'!$A$11,VLOOKUP($A131,'Pool &amp; SPA Pipe Extender'!$A$8:$M$10,10,FALSE),
IF($A131&lt;'PVC SCH80'!$A$250,VLOOKUP($A131,'PVC SCH80'!$A$8:$M$249,10,FALSE),
IF($A131&lt;'PVC SCH80 Flange'!$A$49,VLOOKUP($A131,'PVC SCH80 Flange'!$A$8:$M$48,10,FALSE),
IF($A131&lt;'PVC SCH80 LD Flange'!$A$17,VLOOKUP($A131,'PVC SCH80 LD Flange'!$A$8:$M$16,10,FALSE),
IF($A131&lt;CPVC!$A$100,VLOOKUP($A131,CPVC!$A$8:$M$99,10,FALSE),
IF($A131&lt;InsertFittings!$A$237,VLOOKUP($A131,InsertFittings!$A$11:$M$236,10,FALSE),
IF($A131&lt;Valves!$A$132,VLOOKUP($A131,Valves!$A$8:$M$131,10,FALSE),
IF($A131&lt;SDR35SW!$A$124,VLOOKUP($A131,SDR35SW!$A$8:$M$123,10,FALSE),
IF($A131&lt;SDR35G!$A$143,VLOOKUP($A131, SDR35G!$A$8:$M$142,10,FALSE),
IF($A131&lt;SDR26G!$A$61,VLOOKUP($A131,SDR26G!$A$8:$N$60,11,FALSE),
IF($A131&lt;Cements!$A$100,VLOOKUP($A131,Cements!$A$8:$Q$99,14,FALSE),
IF($A131&lt;ValveBox!$A$143,VLOOKUP($A131,ValveBox!$A$10:$O$142,12,FALSE),
IF($A131&lt;'ValveBox Components'!$A$165,VLOOKUP($A131,'ValveBox Components'!$A$10:$O$164,12,FALSE),
IF($A131&lt;Drainage!$A$92,VLOOKUP($A131,Drainage!$A$8:$M$91,10,FALSE),
IF($A131&lt;Nipples!$A$82,VLOOKUP($A131,Nipples!$A$9:$Q$81,14,FALSE),
IF($A131&lt;Manifold!$A$33,VLOOKUP($A131,Manifold!$A$9:$M$32,10,FALSE),
IF($A131&lt;FlexibleRepairCouplings!$A$13,VLOOKUP($A131,FlexibleRepairCouplings!$A$10:$M$12,10,FALSE),
IF($A131&lt;DuraFix!$A$15,VLOOKUP($A131,DuraFix!$A$9:$M$14,10,FALSE),
IF($A131&lt;'Compression Fittings'!$A$16,VLOOKUP($A131,'Compression Fittings'!$A$8:$M$15,10,FALSE),
IF($A131&lt;'Hose Fittings'!$A$30,VLOOKUP($A131,'Hose Fittings'!$A$8:$M$29,10,FALSE),
IF($A131&lt;'Swing Joints'!$A$496,VLOOKUP($A131,'Swing Joints'!$A$9:$M$495,10,FALSE),
IF($A131&lt;'Swing Joints Components'!$A$135,VLOOKUP($A131,'Swing Joints Components'!$A$9:$M$134,10,FALSE),
IF($A131&lt;Nonstandard!$A$42,VLOOKUP($A131,Nonstandard!$A$31:$J$41,10,FALSE),"")))))))))))))))))))))))))))),"")</f>
        <v/>
      </c>
      <c r="L131" s="418" t="str">
        <f t="shared" si="2"/>
        <v>-</v>
      </c>
      <c r="M131" s="419"/>
    </row>
    <row r="132" spans="1:13" ht="15.75">
      <c r="A132" s="420">
        <v>100</v>
      </c>
      <c r="B132" s="420" t="str">
        <f>IFERROR(IF($A132&lt;'DWV PVC'!$A$285,VLOOKUP($A132,'DWV PVC'!$A$8:$M$284,4,FALSE),
IF($A132&lt;'DWV ABS'!$A$117,VLOOKUP($A132,'DWV ABS'!$A$8:$M$116,4,FALSE),
IF($A132&lt;'PVC SCH40'!$A$376,VLOOKUP($A132,'PVC SCH40'!$A$8:$M$375,4,FALSE),
IF($A132&lt;'PVC SCH40 LD'!$A$22,VLOOKUP($A132,'PVC SCH40 LD'!$A$8:$M$21,4,FALSE),
IF($A132&lt;'Pool &amp; SPA Sweep Elbows'!$A$12,VLOOKUP($A132,'Pool &amp; SPA Sweep Elbows'!$A$8:$M$11,4,FALSE),
IF($A132&lt;'Pool &amp; SPA Pipe Extender'!$A$11,VLOOKUP($A132,'Pool &amp; SPA Pipe Extender'!$A$8:$M$10,4,FALSE),
IF($A132&lt;'PVC SCH80'!$A$250,VLOOKUP($A132,'PVC SCH80'!$A$8:$M$249,4,FALSE),
IF($A132&lt;'PVC SCH80 Flange'!$A$49,VLOOKUP($A132,'PVC SCH80 Flange'!$A$8:$M$48,4,FALSE),
IF($A132&lt;'PVC SCH80 LD Flange'!$A$17,VLOOKUP($A132,'PVC SCH80 LD Flange'!$A$8:$M$16,4,FALSE),
IF($A132&lt;CPVC!$A$100,VLOOKUP($A132,CPVC!$A$8:$M$99,4,FALSE),
IF($A132&lt;InsertFittings!$A$237,VLOOKUP($A132,InsertFittings!$A$11:$M$236,4,FALSE),
IF($A132&lt;Valves!$A$132,VLOOKUP($A132,Valves!$A$8:$M$131,4,FALSE),
IF($A132&lt;SDR35SW!$A$124,VLOOKUP($A132,SDR35SW!$A$8:$M$123,4,FALSE),
IF($A132&lt;SDR35G!$A$143,VLOOKUP($A132, SDR35G!$A$8:$M$142,4,FALSE),
IF($A132&lt;SDR26G!$A$61,VLOOKUP($A132,SDR26G!$A$8:$N$60,4,FALSE),
IF($A132&lt;Cements!$A$100,VLOOKUP($A132,Cements!$A$8:$Q$99,4,FALSE),
IF($A132&lt;ValveBox!$A$143,VLOOKUP($A132,ValveBox!$A$10:$O$142,4,FALSE),
IF($A132&lt;'ValveBox Components'!$A$165,VLOOKUP($A132,'ValveBox Components'!$A$10:$O$164,4,FALSE),
IF($A132&lt;Drainage!$A$92,VLOOKUP($A132,Drainage!$A$8:$M$91,4,FALSE),
IF($A132&lt;Nipples!$A$82,VLOOKUP($A132,Nipples!$A$9:$Q$81,4,FALSE),
IF($A132&lt;Manifold!$A$33,VLOOKUP($A132,Manifold!$A$9:$M$32,4,FALSE),
IF($A132&lt;FlexibleRepairCouplings!$A$13,VLOOKUP($A132,FlexibleRepairCouplings!$A$10:$M$12,4,FALSE),
IF($A132&lt;DuraFix!$A$15,VLOOKUP($A132,DuraFix!$A$9:$M$14,4,FALSE),
IF($A132&lt;'Compression Fittings'!$A$16,VLOOKUP($A132,'Compression Fittings'!$A$8:$M$15,4,FALSE),
IF($A132&lt;'Hose Fittings'!$A$30,VLOOKUP($A132,'Hose Fittings'!$A$8:$M$29,4,FALSE),
IF($A132&lt;'Swing Joints'!$A$496,VLOOKUP($A132,'Swing Joints'!$A$9:$M$495,4,FALSE),
IF($A132&lt;'Swing Joints Components'!$A$135,VLOOKUP($A132,'Swing Joints Components'!$A$9:$M$134,4,FALSE),
IF($A132&lt;Nonstandard!$A$42,VLOOKUP($A132,Nonstandard!$A$31:$J$41,5,FALSE),"")))))))))))))))))))))))))))),"")</f>
        <v/>
      </c>
      <c r="C132" s="420" t="str">
        <f>IFERROR(IF($A132&lt;'DWV PVC'!$A$285,VLOOKUP($A132,'DWV PVC'!$A$8:$M$284,5,FALSE),
IF($A132&lt;'DWV ABS'!$A$117,VLOOKUP($A132,'DWV ABS'!$A$8:$M$116,5,FALSE),
IF($A132&lt;'PVC SCH40'!$A$376,VLOOKUP($A132,'PVC SCH40'!$A$8:$M$375,5,FALSE),
IF($A132&lt;'PVC SCH40 LD'!$A$22,VLOOKUP($A132,'PVC SCH40 LD'!$A$8:$M$21,5,FALSE),
IF($A132&lt;'Pool &amp; SPA Sweep Elbows'!$A$12,VLOOKUP($A132,'Pool &amp; SPA Sweep Elbows'!$A$8:$M$11,5,FALSE),
IF($A132&lt;'Pool &amp; SPA Pipe Extender'!$A$11,VLOOKUP($A132,'Pool &amp; SPA Pipe Extender'!$A$8:$M$10,5,FALSE),
IF($A132&lt;'PVC SCH80'!$A$250,VLOOKUP($A132,'PVC SCH80'!$A$8:$M$249,5,FALSE),
IF($A132&lt;'PVC SCH80 Flange'!$A$49,VLOOKUP($A132,'PVC SCH80 Flange'!$A$8:$M$48,5,FALSE),
IF($A132&lt;'PVC SCH80 LD Flange'!$A$17,VLOOKUP($A132,'PVC SCH80 LD Flange'!$A$8:$M$16,5,FALSE),
IF($A132&lt;CPVC!$A$100,VLOOKUP($A132,CPVC!$A$8:$M$99,5,FALSE),
IF($A132&lt;InsertFittings!$A$237,VLOOKUP($A132,InsertFittings!$A$11:$M$236,5,FALSE),
IF($A132&lt;Valves!$A$132,VLOOKUP($A132,Valves!$A$8:$M$131,5,FALSE),
IF($A132&lt;SDR35SW!$A$124,VLOOKUP($A132,SDR35SW!$A$8:$M$123,5,FALSE),
IF($A132&lt;SDR35G!$A$143,VLOOKUP($A132, SDR35G!$A$8:$M$142,5,FALSE),
IF($A132&lt;SDR26G!$A$61,VLOOKUP($A132,SDR26G!$A$8:$N$60,5,FALSE),
IF($A132&lt;Cements!$A$100,VLOOKUP($A132,Cements!$A$8:$Q$99,5,FALSE),
IF($A132&lt;ValveBox!$A$143,VLOOKUP($A132,ValveBox!$A$10:$O$142,5,FALSE),
IF($A132&lt;'ValveBox Components'!$A$165,VLOOKUP($A132,'ValveBox Components'!$A$10:$O$164,5,FALSE),
IF($A132&lt;Drainage!$A$92,VLOOKUP($A132,Drainage!$A$8:$M$91,5,FALSE),
IF($A132&lt;Nipples!$A$82,VLOOKUP($A132,Nipples!$A$9:$Q$81,5,FALSE),
IF($A132&lt;Manifold!$A$33,VLOOKUP($A132,Manifold!$A$9:$M$32,5,FALSE),
IF($A132&lt;FlexibleRepairCouplings!$A$13,VLOOKUP($A132,FlexibleRepairCouplings!$A$10:$M$12,5,FALSE),
IF($A132&lt;DuraFix!$A$15,VLOOKUP($A132,DuraFix!$A$9:$M$14,5,FALSE),
IF($A132&lt;'Compression Fittings'!$A$16,VLOOKUP($A132,'Compression Fittings'!$A$8:$M$15,5,FALSE),
IF($A132&lt;'Hose Fittings'!$A$30,VLOOKUP($A132,'Hose Fittings'!$A$8:$M$29,5,FALSE),
IF($A132&lt;'Swing Joints'!$A$496,VLOOKUP($A132,'Swing Joints'!$A$9:$M$495,5,FALSE),
IF($A132&lt;'Swing Joints Components'!$A$135,VLOOKUP($A132,'Swing Joints Components'!$A$9:$M$134,5,FALSE),
IF($A132&lt;Nonstandard!$A$42,VLOOKUP($A132,Nonstandard!$A$31:$J$41,6,FALSE),"")))))))))))))))))))))))))))),"")</f>
        <v/>
      </c>
      <c r="D132" s="428" t="str">
        <f>IFERROR(IF($A132&lt;'DWV PVC'!$A$285,VLOOKUP($A132,'DWV PVC'!$A$8:$M$284,6,FALSE),
IF($A132&lt;'DWV ABS'!$A$117,VLOOKUP($A132,'DWV ABS'!$A$8:$M$116,6,FALSE),
IF($A132&lt;'PVC SCH40'!$A$376,VLOOKUP($A132,'PVC SCH40'!$A$8:$M$375,6,FALSE),
IF($A132&lt;'PVC SCH40 LD'!$A$22,VLOOKUP($A132,'PVC SCH40 LD'!$A$8:$M$21,6,FALSE),
IF($A132&lt;'Pool &amp; SPA Sweep Elbows'!$A$12,VLOOKUP($A132,'Pool &amp; SPA Sweep Elbows'!$A$8:$M$11,6,FALSE),
IF($A132&lt;'Pool &amp; SPA Pipe Extender'!$A$11,VLOOKUP($A132,'Pool &amp; SPA Pipe Extender'!$A$8:$M$10,6,FALSE),
IF($A132&lt;'PVC SCH80'!$A$250,VLOOKUP($A132,'PVC SCH80'!$A$8:$M$249,6,FALSE),
IF($A132&lt;'PVC SCH80 Flange'!$A$49,VLOOKUP($A132,'PVC SCH80 Flange'!$A$8:$M$48,6,FALSE),
IF($A132&lt;'PVC SCH80 LD Flange'!$A$17,VLOOKUP($A132,'PVC SCH80 LD Flange'!$A$8:$M$16,6,FALSE),
IF($A132&lt;CPVC!$A$100,VLOOKUP($A132,CPVC!$A$8:$M$99,6,FALSE),
IF($A132&lt;InsertFittings!$A$237,VLOOKUP($A132,InsertFittings!$A$11:$M$236,6,FALSE),
IF($A132&lt;Valves!$A$132,VLOOKUP($A132,Valves!$A$8:$M$131,6,FALSE),
IF($A132&lt;SDR35SW!$A$124,VLOOKUP($A132,SDR35SW!$A$8:$M$123,6,FALSE),
IF($A132&lt;SDR35G!$A$143,VLOOKUP($A132, SDR35G!$A$8:$M$142,6,FALSE),
IF($A132&lt;SDR26G!$A$61,VLOOKUP($A132,SDR26G!$A$8:$N$60,6,FALSE),
IF($A132&lt;Cements!$A$100,VLOOKUP($A132,Cements!$A$8:$Q$99,6,FALSE),
IF($A132&lt;ValveBox!$A$143,VLOOKUP($A132,ValveBox!$A$10:$O$142,6,FALSE),
IF($A132&lt;'ValveBox Components'!$A$165,VLOOKUP($A132,'ValveBox Components'!$A$10:$O$164,6,FALSE),
IF($A132&lt;Drainage!$A$92,VLOOKUP($A132,Drainage!$A$8:$M$91,6,FALSE),
IF($A132&lt;Nipples!$A$82,VLOOKUP($A132,Nipples!$A$9:$Q$81,6,FALSE),
IF($A132&lt;Manifold!$A$33,VLOOKUP($A132,Manifold!$A$9:$M$32,6,FALSE),
IF($A132&lt;FlexibleRepairCouplings!$A$13,VLOOKUP($A132,FlexibleRepairCouplings!$A$10:$M$12,6,FALSE),
IF($A132&lt;DuraFix!$A$15,VLOOKUP($A132,DuraFix!$A$9:$M$14,6,FALSE),
IF($A132&lt;'Compression Fittings'!$A$16,VLOOKUP($A132,'Compression Fittings'!$A$8:$M$15,6,FALSE),
IF($A132&lt;'Hose Fittings'!$A$30,VLOOKUP($A132,'Hose Fittings'!$A$8:$M$29,6,FALSE),
IF($A132&lt;'Swing Joints'!$A$496,VLOOKUP($A132,'Swing Joints'!$A$9:$M$495,6,FALSE),
IF($A132&lt;'Swing Joints Components'!$A$135,VLOOKUP($A132,'Swing Joints Components'!$A$9:$M$134,6,FALSE),
IF($A132&lt;Nonstandard!$A$42,VLOOKUP($A132,Nonstandard!$A$31:$J$41,7,FALSE),"")))))))))))))))))))))))))))),"")</f>
        <v/>
      </c>
      <c r="E132" s="429"/>
      <c r="F132" s="421" t="str">
        <f>IFERROR(IF($A132&lt;'DWV PVC'!$A$285,VLOOKUP($A132,'DWV PVC'!$A$8:$M$284,9,FALSE),
IF($A132&lt;'DWV ABS'!$A$117,VLOOKUP($A132,'DWV ABS'!$A$8:$M$116,9,FALSE),
IF($A132&lt;'PVC SCH40'!$A$376,VLOOKUP($A132,'PVC SCH40'!$A$8:$M$375,9,FALSE),
IF($A132&lt;'PVC SCH40 LD'!$A$22,VLOOKUP($A132,'PVC SCH40 LD'!$A$8:$M$21,9,FALSE),
IF($A132&lt;'Pool &amp; SPA Sweep Elbows'!$A$12,VLOOKUP($A132,'Pool &amp; SPA Sweep Elbows'!$A$8:$M$11,9,FALSE),
IF($A132&lt;'Pool &amp; SPA Pipe Extender'!$A$11,VLOOKUP($A132,'Pool &amp; SPA Pipe Extender'!$A$8:$M$10,9,FALSE),
IF($A132&lt;'PVC SCH80'!$A$250,VLOOKUP($A132,'PVC SCH80'!$A$8:$M$249,9,FALSE),
IF($A132&lt;'PVC SCH80 Flange'!$A$49,VLOOKUP($A132,'PVC SCH80 Flange'!$A$8:$M$48,9,FALSE),
IF($A132&lt;'PVC SCH80 LD Flange'!$A$17,VLOOKUP($A132,'PVC SCH80 LD Flange'!$A$8:$M$16,9,FALSE),
IF($A132&lt;CPVC!$A$100,VLOOKUP($A132,CPVC!$A$8:$M$99,9,FALSE),
IF($A132&lt;InsertFittings!$A$237,VLOOKUP($A132,InsertFittings!$A$11:$M$236,9,FALSE),
IF($A132&lt;Valves!$A$132,VLOOKUP($A132,Valves!$A$8:$M$131,9,FALSE),
IF($A132&lt;SDR35SW!$A$124,VLOOKUP($A132,SDR35SW!$A$8:$M$123,9,FALSE),
IF($A132&lt;SDR35G!$A$143,VLOOKUP($A132, SDR35G!$A$8:$M$142,9,FALSE),
IF($A132&lt;SDR26G!$A$61,VLOOKUP($A132,SDR26G!$A$8:$N$60,10,FALSE),
IF($A132&lt;Cements!$A$100,VLOOKUP($A132,Cements!$A$8:$Q$99,13,FALSE),
IF($A132&lt;ValveBox!$A$143,VLOOKUP($A132,ValveBox!$A$10:$O$142,11,FALSE),
IF($A132&lt;'ValveBox Components'!$A$165,VLOOKUP($A132,'ValveBox Components'!$A$10:$O$164,11,FALSE),
IF($A132&lt;Drainage!$A$92,VLOOKUP($A132,Drainage!$A$8:$M$91,9,FALSE),
IF($A132&lt;Nipples!$A$82,VLOOKUP($A132,Nipples!$A$9:$Q$81,13,FALSE),
IF($A132&lt;Manifold!$A$33,VLOOKUP($A132,Manifold!$A$9:$M$32,9,FALSE),
IF($A132&lt;FlexibleRepairCouplings!$A$13,VLOOKUP($A132,FlexibleRepairCouplings!$A$10:$M$12,9,FALSE),
IF($A132&lt;DuraFix!$A$15,VLOOKUP($A132,DuraFix!$A$9:$M$14,9,FALSE),
IF($A132&lt;'Compression Fittings'!$A$16,VLOOKUP($A132,'Compression Fittings'!$A$8:$M$15,9,FALSE),
IF($A132&lt;'Hose Fittings'!$A$30,VLOOKUP($A132,'Hose Fittings'!$A$8:$M$29,9,FALSE),
IF($A132&lt;'Swing Joints'!$A$496,VLOOKUP($A132,'Swing Joints'!$A$9:$M$495,9,FALSE),
IF($A132&lt;'Swing Joints Components'!$A$135,VLOOKUP($A132,'Swing Joints Components'!$A$9:$M$134,9,FALSE),
IF($A132&lt;Nonstandard!$A$42,VLOOKUP($A132,Nonstandard!$A$31:$J$41,8,FALSE),"")))))))))))))))))))))))))))),"")</f>
        <v/>
      </c>
      <c r="G132" s="422" t="str">
        <f>IFERROR(IF($A132&lt;'DWV PVC'!$A$285,VLOOKUP($A132,'DWV PVC'!$A$8:$M$284,11,FALSE),
IF($A132&lt;'DWV ABS'!$A$117,VLOOKUP($A132,'DWV ABS'!$A$8:$M$116,11,FALSE),
IF($A132&lt;'PVC SCH40'!$A$376,VLOOKUP($A132,'PVC SCH40'!$A$8:$M$375,11,FALSE),
IF($A132&lt;'PVC SCH40 LD'!$A$22,VLOOKUP($A132,'PVC SCH40 LD'!$A$8:$M$21,11,FALSE),
IF($A132&lt;'Pool &amp; SPA Sweep Elbows'!$A$12,VLOOKUP($A132,'Pool &amp; SPA Sweep Elbows'!$A$8:$M$11,11,FALSE),
IF($A132&lt;'Pool &amp; SPA Pipe Extender'!$A$11,VLOOKUP($A132,'Pool &amp; SPA Pipe Extender'!$A$8:$M$10,11,FALSE),
IF($A132&lt;'PVC SCH80'!$A$250,VLOOKUP($A132,'PVC SCH80'!$A$8:$M$249,11,FALSE),
IF($A132&lt;'PVC SCH80 Flange'!$A$49,VLOOKUP($A132,'PVC SCH80 Flange'!$A$8:$M$48,11,FALSE),
IF($A132&lt;'PVC SCH80 LD Flange'!$A$17,VLOOKUP($A132,'PVC SCH80 LD Flange'!$A$8:$M$16,11,FALSE),
IF($A132&lt;CPVC!$A$100,VLOOKUP($A132,CPVC!$A$8:$M$99,11,FALSE),
IF($A132&lt;InsertFittings!$A$237,VLOOKUP($A132,InsertFittings!$A$11:$M$236,11,FALSE),
IF($A132&lt;Valves!$A$132,VLOOKUP($A132,Valves!$A$8:$M$131,11,FALSE),
IF($A132&lt;SDR35SW!$A$124,VLOOKUP($A132,SDR35SW!$A$8:$M$123,11,FALSE),
IF($A132&lt;SDR35G!$A$143,VLOOKUP($A132, SDR35G!$A$8:$M$142,11,FALSE),
IF($A132&lt;SDR26G!$A$61,VLOOKUP($A132,SDR26G!$A$8:$N$60,12,FALSE),
IF($A132&lt;Cements!$A$100,VLOOKUP($A132,Cements!$A$8:$Q$99,15,FALSE),
IF($A132&lt;ValveBox!$A$143,VLOOKUP($A132,ValveBox!$A$10:$O$142,13,FALSE),
IF($A132&lt;'ValveBox Components'!$A$165,VLOOKUP($A132,'ValveBox Components'!$A$10:$O$164,13,FALSE),
IF($A132&lt;Drainage!$A$92,VLOOKUP($A132,Drainage!$A$8:$M$91,11,FALSE),
IF($A132&lt;Nipples!$A$82,VLOOKUP($A132,Nipples!$A$9:$Q$81,15,FALSE),
IF($A132&lt;Manifold!$A$33,VLOOKUP($A132,Manifold!$A$9:$M$32,11,FALSE),
IF($A132&lt;FlexibleRepairCouplings!$A$13,VLOOKUP($A132,FlexibleRepairCouplings!$A$10:$M$12,11,FALSE),
IF($A132&lt;DuraFix!$A$15,VLOOKUP($A132,DuraFix!$A$9:$M$14,11,FALSE),
IF($A132&lt;'Compression Fittings'!$A$16,VLOOKUP($A132,'Compression Fittings'!$A$8:$M$15,11,FALSE),
IF($A132&lt;'Hose Fittings'!$A$30,VLOOKUP($A132,'Hose Fittings'!$A$8:$M$29,11,FALSE),
IF($A132&lt;'Swing Joints'!$A$496,VLOOKUP($A132,'Swing Joints'!$A$9:$M$495,11,FALSE),
IF($A132&lt;'Swing Joints Components'!$A$135,VLOOKUP($A132,'Swing Joints Components'!$A$9:$M$134,11,FALSE),
IF($A132&lt;Nonstandard!$A$42,VLOOKUP($A132,Nonstandard!$A$31:$J$41,3,FALSE),"")))))))))))))))))))))))))))),"")</f>
        <v/>
      </c>
      <c r="H132" s="588" t="str">
        <f>IFERROR(IF($A132&lt;'DWV PVC'!$A$285,VLOOKUP($A132,'DWV PVC'!$A$8:$M$284,7,FALSE),
IF($A132&lt;'DWV ABS'!$A$117,VLOOKUP($A132,'DWV ABS'!$A$8:$M$116,7,FALSE),
IF($A132&lt;'PVC SCH40'!$A$376,VLOOKUP($A132,'PVC SCH40'!$A$8:$M$375,7,FALSE),
IF($A132&lt;'PVC SCH40 LD'!$A$22,VLOOKUP($A132,'PVC SCH40 LD'!$A$8:$M$21,7,FALSE),
IF($A132&lt;'Pool &amp; SPA Sweep Elbows'!$A$12,VLOOKUP($A132,'Pool &amp; SPA Sweep Elbows'!$A$8:$M$11,7,FALSE),
IF($A132&lt;'Pool &amp; SPA Pipe Extender'!$A$11,VLOOKUP($A132,'Pool &amp; SPA Pipe Extender'!$A$8:$M$10,7,FALSE),
IF($A132&lt;'PVC SCH80'!$A$250,VLOOKUP($A132,'PVC SCH80'!$A$8:$M$249,7,FALSE),
IF($A132&lt;'PVC SCH80 Flange'!$A$49,VLOOKUP($A132,'PVC SCH80 Flange'!$A$8:$M$48,7,FALSE),
IF($A132&lt;'PVC SCH80 LD Flange'!$A$17,VLOOKUP($A132,'PVC SCH80 LD Flange'!$A$8:$M$16,7,FALSE),
IF($A132&lt;CPVC!$A$100,VLOOKUP($A132,CPVC!$A$8:$M$99,7,FALSE),
IF($A132&lt;InsertFittings!$A$237,VLOOKUP($A132,InsertFittings!$A$11:$M$236,7,FALSE),
IF($A132&lt;Valves!$A$132,VLOOKUP($A132,Valves!$A$8:$M$131,7,FALSE),
IF($A132&lt;SDR35SW!$A$124,VLOOKUP($A132,SDR35SW!$A$8:$M$123,7,FALSE),
IF($A132&lt;SDR35G!$A$143,VLOOKUP($A132, SDR35G!$A$8:$M$142,7,FALSE),
IF($A132&lt;SDR26G!$A$61,VLOOKUP($A132,SDR26G!$A$8:$N$60,10,FALSE),
IF($A132&lt;Cements!$A$100,VLOOKUP($A132,Cements!$A$8:$Q$99,13,FALSE),
IF($A132&lt;ValveBox!$A$143,VLOOKUP($A132,ValveBox!$A$10:$O$142,11,FALSE),
IF($A132&lt;'ValveBox Components'!$A$165,VLOOKUP($A132,'ValveBox Components'!$A$10:$O$164,11,FALSE),
IF($A132&lt;Drainage!$A$92,VLOOKUP($A132,Drainage!$A$8:$M$91,7,FALSE),
IF($A132&lt;Nipples!$A$82,VLOOKUP($A132,Nipples!$A$9:$Q$81,13,FALSE),
IF($A132&lt;Manifold!$A$33,VLOOKUP($A132,Manifold!$A$9:$M$32,7,FALSE),
IF($A132&lt;FlexibleRepairCouplings!$A$13,VLOOKUP($A132,FlexibleRepairCouplings!$A$10:$M$12,7,FALSE),
IF($A132&lt;DuraFix!$A$15,VLOOKUP($A132,DuraFix!$A$9:$M$14,7,FALSE),
IF($A132&lt;'Compression Fittings'!$A$16,VLOOKUP($A132,'Compression Fittings'!$A$8:$M$15,7,FALSE),
IF($A132&lt;'Hose Fittings'!$A$30,VLOOKUP($A132,'Hose Fittings'!$A$8:$M$29,7,FALSE),
IF($A132&lt;'Swing Joints'!$A$496,VLOOKUP($A132,'Swing Joints'!$A$9:$M$495,7,FALSE),
IF($A132&lt;'Swing Joints Components'!$A$135,VLOOKUP($A132,'Swing Joints Components'!$A$9:$M$134,7,FALSE),
IF($A132&lt;Nonstandard!$A$42,VLOOKUP($A132,Nonstandard!$A$31:$J$41,3,FALSE),"")))))))))))))))))))))))))))),"")</f>
        <v/>
      </c>
      <c r="I132" s="589"/>
      <c r="J132" s="423" t="str">
        <f t="shared" si="3"/>
        <v/>
      </c>
      <c r="K132" s="424" t="str">
        <f>IFERROR(IF($A132&lt;'DWV PVC'!$A$285,VLOOKUP($A132,'DWV PVC'!$A$8:$M$284,10,FALSE),
IF($A132&lt;'DWV ABS'!$A$117,VLOOKUP($A132,'DWV ABS'!$A$8:$M$116,10,FALSE),
IF($A132&lt;'PVC SCH40'!$A$376,VLOOKUP($A132,'PVC SCH40'!$A$8:$M$375,10,FALSE),
IF($A132&lt;'PVC SCH40 LD'!$A$22,VLOOKUP($A132,'PVC SCH40 LD'!$A$8:$M$21,10,FALSE),
IF($A132&lt;'Pool &amp; SPA Sweep Elbows'!$A$12,VLOOKUP($A132,'Pool &amp; SPA Sweep Elbows'!$A$8:$M$11,10,FALSE),
IF($A132&lt;'Pool &amp; SPA Pipe Extender'!$A$11,VLOOKUP($A132,'Pool &amp; SPA Pipe Extender'!$A$8:$M$10,10,FALSE),
IF($A132&lt;'PVC SCH80'!$A$250,VLOOKUP($A132,'PVC SCH80'!$A$8:$M$249,10,FALSE),
IF($A132&lt;'PVC SCH80 Flange'!$A$49,VLOOKUP($A132,'PVC SCH80 Flange'!$A$8:$M$48,10,FALSE),
IF($A132&lt;'PVC SCH80 LD Flange'!$A$17,VLOOKUP($A132,'PVC SCH80 LD Flange'!$A$8:$M$16,10,FALSE),
IF($A132&lt;CPVC!$A$100,VLOOKUP($A132,CPVC!$A$8:$M$99,10,FALSE),
IF($A132&lt;InsertFittings!$A$237,VLOOKUP($A132,InsertFittings!$A$11:$M$236,10,FALSE),
IF($A132&lt;Valves!$A$132,VLOOKUP($A132,Valves!$A$8:$M$131,10,FALSE),
IF($A132&lt;SDR35SW!$A$124,VLOOKUP($A132,SDR35SW!$A$8:$M$123,10,FALSE),
IF($A132&lt;SDR35G!$A$143,VLOOKUP($A132, SDR35G!$A$8:$M$142,10,FALSE),
IF($A132&lt;SDR26G!$A$61,VLOOKUP($A132,SDR26G!$A$8:$N$60,11,FALSE),
IF($A132&lt;Cements!$A$100,VLOOKUP($A132,Cements!$A$8:$Q$99,14,FALSE),
IF($A132&lt;ValveBox!$A$143,VLOOKUP($A132,ValveBox!$A$10:$O$142,12,FALSE),
IF($A132&lt;'ValveBox Components'!$A$165,VLOOKUP($A132,'ValveBox Components'!$A$10:$O$164,12,FALSE),
IF($A132&lt;Drainage!$A$92,VLOOKUP($A132,Drainage!$A$8:$M$91,10,FALSE),
IF($A132&lt;Nipples!$A$82,VLOOKUP($A132,Nipples!$A$9:$Q$81,14,FALSE),
IF($A132&lt;Manifold!$A$33,VLOOKUP($A132,Manifold!$A$9:$M$32,10,FALSE),
IF($A132&lt;FlexibleRepairCouplings!$A$13,VLOOKUP($A132,FlexibleRepairCouplings!$A$10:$M$12,10,FALSE),
IF($A132&lt;DuraFix!$A$15,VLOOKUP($A132,DuraFix!$A$9:$M$14,10,FALSE),
IF($A132&lt;'Compression Fittings'!$A$16,VLOOKUP($A132,'Compression Fittings'!$A$8:$M$15,10,FALSE),
IF($A132&lt;'Hose Fittings'!$A$30,VLOOKUP($A132,'Hose Fittings'!$A$8:$M$29,10,FALSE),
IF($A132&lt;'Swing Joints'!$A$496,VLOOKUP($A132,'Swing Joints'!$A$9:$M$495,10,FALSE),
IF($A132&lt;'Swing Joints Components'!$A$135,VLOOKUP($A132,'Swing Joints Components'!$A$9:$M$134,10,FALSE),
IF($A132&lt;Nonstandard!$A$42,VLOOKUP($A132,Nonstandard!$A$31:$J$41,10,FALSE),"")))))))))))))))))))))))))))),"")</f>
        <v/>
      </c>
      <c r="L132" s="421" t="str">
        <f t="shared" si="2"/>
        <v>-</v>
      </c>
      <c r="M132" s="425"/>
    </row>
    <row r="133" spans="1:13" ht="15.75">
      <c r="A133" s="415">
        <v>101</v>
      </c>
      <c r="B133" s="415" t="str">
        <f>IFERROR(IF($A133&lt;'DWV PVC'!$A$285,VLOOKUP($A133,'DWV PVC'!$A$8:$M$284,4,FALSE),
IF($A133&lt;'DWV ABS'!$A$117,VLOOKUP($A133,'DWV ABS'!$A$8:$M$116,4,FALSE),
IF($A133&lt;'PVC SCH40'!$A$376,VLOOKUP($A133,'PVC SCH40'!$A$8:$M$375,4,FALSE),
IF($A133&lt;'PVC SCH40 LD'!$A$22,VLOOKUP($A133,'PVC SCH40 LD'!$A$8:$M$21,4,FALSE),
IF($A133&lt;'Pool &amp; SPA Sweep Elbows'!$A$12,VLOOKUP($A133,'Pool &amp; SPA Sweep Elbows'!$A$8:$M$11,4,FALSE),
IF($A133&lt;'Pool &amp; SPA Pipe Extender'!$A$11,VLOOKUP($A133,'Pool &amp; SPA Pipe Extender'!$A$8:$M$10,4,FALSE),
IF($A133&lt;'PVC SCH80'!$A$250,VLOOKUP($A133,'PVC SCH80'!$A$8:$M$249,4,FALSE),
IF($A133&lt;'PVC SCH80 Flange'!$A$49,VLOOKUP($A133,'PVC SCH80 Flange'!$A$8:$M$48,4,FALSE),
IF($A133&lt;'PVC SCH80 LD Flange'!$A$17,VLOOKUP($A133,'PVC SCH80 LD Flange'!$A$8:$M$16,4,FALSE),
IF($A133&lt;CPVC!$A$100,VLOOKUP($A133,CPVC!$A$8:$M$99,4,FALSE),
IF($A133&lt;InsertFittings!$A$237,VLOOKUP($A133,InsertFittings!$A$11:$M$236,4,FALSE),
IF($A133&lt;Valves!$A$132,VLOOKUP($A133,Valves!$A$8:$M$131,4,FALSE),
IF($A133&lt;SDR35SW!$A$124,VLOOKUP($A133,SDR35SW!$A$8:$M$123,4,FALSE),
IF($A133&lt;SDR35G!$A$143,VLOOKUP($A133, SDR35G!$A$8:$M$142,4,FALSE),
IF($A133&lt;SDR26G!$A$61,VLOOKUP($A133,SDR26G!$A$8:$N$60,4,FALSE),
IF($A133&lt;Cements!$A$100,VLOOKUP($A133,Cements!$A$8:$Q$99,4,FALSE),
IF($A133&lt;ValveBox!$A$143,VLOOKUP($A133,ValveBox!$A$10:$O$142,4,FALSE),
IF($A133&lt;'ValveBox Components'!$A$165,VLOOKUP($A133,'ValveBox Components'!$A$10:$O$164,4,FALSE),
IF($A133&lt;Drainage!$A$92,VLOOKUP($A133,Drainage!$A$8:$M$91,4,FALSE),
IF($A133&lt;Nipples!$A$82,VLOOKUP($A133,Nipples!$A$9:$Q$81,4,FALSE),
IF($A133&lt;Manifold!$A$33,VLOOKUP($A133,Manifold!$A$9:$M$32,4,FALSE),
IF($A133&lt;FlexibleRepairCouplings!$A$13,VLOOKUP($A133,FlexibleRepairCouplings!$A$10:$M$12,4,FALSE),
IF($A133&lt;DuraFix!$A$15,VLOOKUP($A133,DuraFix!$A$9:$M$14,4,FALSE),
IF($A133&lt;'Compression Fittings'!$A$16,VLOOKUP($A133,'Compression Fittings'!$A$8:$M$15,4,FALSE),
IF($A133&lt;'Hose Fittings'!$A$30,VLOOKUP($A133,'Hose Fittings'!$A$8:$M$29,4,FALSE),
IF($A133&lt;'Swing Joints'!$A$496,VLOOKUP($A133,'Swing Joints'!$A$9:$M$495,4,FALSE),
IF($A133&lt;'Swing Joints Components'!$A$135,VLOOKUP($A133,'Swing Joints Components'!$A$9:$M$134,4,FALSE),
IF($A133&lt;Nonstandard!$A$42,VLOOKUP($A133,Nonstandard!$A$31:$J$41,5,FALSE),"")))))))))))))))))))))))))))),"")</f>
        <v/>
      </c>
      <c r="C133" s="415" t="str">
        <f>IFERROR(IF($A133&lt;'DWV PVC'!$A$285,VLOOKUP($A133,'DWV PVC'!$A$8:$M$284,5,FALSE),
IF($A133&lt;'DWV ABS'!$A$117,VLOOKUP($A133,'DWV ABS'!$A$8:$M$116,5,FALSE),
IF($A133&lt;'PVC SCH40'!$A$376,VLOOKUP($A133,'PVC SCH40'!$A$8:$M$375,5,FALSE),
IF($A133&lt;'PVC SCH40 LD'!$A$22,VLOOKUP($A133,'PVC SCH40 LD'!$A$8:$M$21,5,FALSE),
IF($A133&lt;'Pool &amp; SPA Sweep Elbows'!$A$12,VLOOKUP($A133,'Pool &amp; SPA Sweep Elbows'!$A$8:$M$11,5,FALSE),
IF($A133&lt;'Pool &amp; SPA Pipe Extender'!$A$11,VLOOKUP($A133,'Pool &amp; SPA Pipe Extender'!$A$8:$M$10,5,FALSE),
IF($A133&lt;'PVC SCH80'!$A$250,VLOOKUP($A133,'PVC SCH80'!$A$8:$M$249,5,FALSE),
IF($A133&lt;'PVC SCH80 Flange'!$A$49,VLOOKUP($A133,'PVC SCH80 Flange'!$A$8:$M$48,5,FALSE),
IF($A133&lt;'PVC SCH80 LD Flange'!$A$17,VLOOKUP($A133,'PVC SCH80 LD Flange'!$A$8:$M$16,5,FALSE),
IF($A133&lt;CPVC!$A$100,VLOOKUP($A133,CPVC!$A$8:$M$99,5,FALSE),
IF($A133&lt;InsertFittings!$A$237,VLOOKUP($A133,InsertFittings!$A$11:$M$236,5,FALSE),
IF($A133&lt;Valves!$A$132,VLOOKUP($A133,Valves!$A$8:$M$131,5,FALSE),
IF($A133&lt;SDR35SW!$A$124,VLOOKUP($A133,SDR35SW!$A$8:$M$123,5,FALSE),
IF($A133&lt;SDR35G!$A$143,VLOOKUP($A133, SDR35G!$A$8:$M$142,5,FALSE),
IF($A133&lt;SDR26G!$A$61,VLOOKUP($A133,SDR26G!$A$8:$N$60,5,FALSE),
IF($A133&lt;Cements!$A$100,VLOOKUP($A133,Cements!$A$8:$Q$99,5,FALSE),
IF($A133&lt;ValveBox!$A$143,VLOOKUP($A133,ValveBox!$A$10:$O$142,5,FALSE),
IF($A133&lt;'ValveBox Components'!$A$165,VLOOKUP($A133,'ValveBox Components'!$A$10:$O$164,5,FALSE),
IF($A133&lt;Drainage!$A$92,VLOOKUP($A133,Drainage!$A$8:$M$91,5,FALSE),
IF($A133&lt;Nipples!$A$82,VLOOKUP($A133,Nipples!$A$9:$Q$81,5,FALSE),
IF($A133&lt;Manifold!$A$33,VLOOKUP($A133,Manifold!$A$9:$M$32,5,FALSE),
IF($A133&lt;FlexibleRepairCouplings!$A$13,VLOOKUP($A133,FlexibleRepairCouplings!$A$10:$M$12,5,FALSE),
IF($A133&lt;DuraFix!$A$15,VLOOKUP($A133,DuraFix!$A$9:$M$14,5,FALSE),
IF($A133&lt;'Compression Fittings'!$A$16,VLOOKUP($A133,'Compression Fittings'!$A$8:$M$15,5,FALSE),
IF($A133&lt;'Hose Fittings'!$A$30,VLOOKUP($A133,'Hose Fittings'!$A$8:$M$29,5,FALSE),
IF($A133&lt;'Swing Joints'!$A$496,VLOOKUP($A133,'Swing Joints'!$A$9:$M$495,5,FALSE),
IF($A133&lt;'Swing Joints Components'!$A$135,VLOOKUP($A133,'Swing Joints Components'!$A$9:$M$134,5,FALSE),
IF($A133&lt;Nonstandard!$A$42,VLOOKUP($A133,Nonstandard!$A$31:$J$41,6,FALSE),"")))))))))))))))))))))))))))),"")</f>
        <v/>
      </c>
      <c r="D133" s="426" t="str">
        <f>IFERROR(IF($A133&lt;'DWV PVC'!$A$285,VLOOKUP($A133,'DWV PVC'!$A$8:$M$284,6,FALSE),
IF($A133&lt;'DWV ABS'!$A$117,VLOOKUP($A133,'DWV ABS'!$A$8:$M$116,6,FALSE),
IF($A133&lt;'PVC SCH40'!$A$376,VLOOKUP($A133,'PVC SCH40'!$A$8:$M$375,6,FALSE),
IF($A133&lt;'PVC SCH40 LD'!$A$22,VLOOKUP($A133,'PVC SCH40 LD'!$A$8:$M$21,6,FALSE),
IF($A133&lt;'Pool &amp; SPA Sweep Elbows'!$A$12,VLOOKUP($A133,'Pool &amp; SPA Sweep Elbows'!$A$8:$M$11,6,FALSE),
IF($A133&lt;'Pool &amp; SPA Pipe Extender'!$A$11,VLOOKUP($A133,'Pool &amp; SPA Pipe Extender'!$A$8:$M$10,6,FALSE),
IF($A133&lt;'PVC SCH80'!$A$250,VLOOKUP($A133,'PVC SCH80'!$A$8:$M$249,6,FALSE),
IF($A133&lt;'PVC SCH80 Flange'!$A$49,VLOOKUP($A133,'PVC SCH80 Flange'!$A$8:$M$48,6,FALSE),
IF($A133&lt;'PVC SCH80 LD Flange'!$A$17,VLOOKUP($A133,'PVC SCH80 LD Flange'!$A$8:$M$16,6,FALSE),
IF($A133&lt;CPVC!$A$100,VLOOKUP($A133,CPVC!$A$8:$M$99,6,FALSE),
IF($A133&lt;InsertFittings!$A$237,VLOOKUP($A133,InsertFittings!$A$11:$M$236,6,FALSE),
IF($A133&lt;Valves!$A$132,VLOOKUP($A133,Valves!$A$8:$M$131,6,FALSE),
IF($A133&lt;SDR35SW!$A$124,VLOOKUP($A133,SDR35SW!$A$8:$M$123,6,FALSE),
IF($A133&lt;SDR35G!$A$143,VLOOKUP($A133, SDR35G!$A$8:$M$142,6,FALSE),
IF($A133&lt;SDR26G!$A$61,VLOOKUP($A133,SDR26G!$A$8:$N$60,6,FALSE),
IF($A133&lt;Cements!$A$100,VLOOKUP($A133,Cements!$A$8:$Q$99,6,FALSE),
IF($A133&lt;ValveBox!$A$143,VLOOKUP($A133,ValveBox!$A$10:$O$142,6,FALSE),
IF($A133&lt;'ValveBox Components'!$A$165,VLOOKUP($A133,'ValveBox Components'!$A$10:$O$164,6,FALSE),
IF($A133&lt;Drainage!$A$92,VLOOKUP($A133,Drainage!$A$8:$M$91,6,FALSE),
IF($A133&lt;Nipples!$A$82,VLOOKUP($A133,Nipples!$A$9:$Q$81,6,FALSE),
IF($A133&lt;Manifold!$A$33,VLOOKUP($A133,Manifold!$A$9:$M$32,6,FALSE),
IF($A133&lt;FlexibleRepairCouplings!$A$13,VLOOKUP($A133,FlexibleRepairCouplings!$A$10:$M$12,6,FALSE),
IF($A133&lt;DuraFix!$A$15,VLOOKUP($A133,DuraFix!$A$9:$M$14,6,FALSE),
IF($A133&lt;'Compression Fittings'!$A$16,VLOOKUP($A133,'Compression Fittings'!$A$8:$M$15,6,FALSE),
IF($A133&lt;'Hose Fittings'!$A$30,VLOOKUP($A133,'Hose Fittings'!$A$8:$M$29,6,FALSE),
IF($A133&lt;'Swing Joints'!$A$496,VLOOKUP($A133,'Swing Joints'!$A$9:$M$495,6,FALSE),
IF($A133&lt;'Swing Joints Components'!$A$135,VLOOKUP($A133,'Swing Joints Components'!$A$9:$M$134,6,FALSE),
IF($A133&lt;Nonstandard!$A$42,VLOOKUP($A133,Nonstandard!$A$31:$J$41,7,FALSE),"")))))))))))))))))))))))))))),"")</f>
        <v/>
      </c>
      <c r="E133" s="427"/>
      <c r="F133" s="418" t="str">
        <f>IFERROR(IF($A133&lt;'DWV PVC'!$A$285,VLOOKUP($A133,'DWV PVC'!$A$8:$M$284,9,FALSE),
IF($A133&lt;'DWV ABS'!$A$117,VLOOKUP($A133,'DWV ABS'!$A$8:$M$116,9,FALSE),
IF($A133&lt;'PVC SCH40'!$A$376,VLOOKUP($A133,'PVC SCH40'!$A$8:$M$375,9,FALSE),
IF($A133&lt;'PVC SCH40 LD'!$A$22,VLOOKUP($A133,'PVC SCH40 LD'!$A$8:$M$21,9,FALSE),
IF($A133&lt;'Pool &amp; SPA Sweep Elbows'!$A$12,VLOOKUP($A133,'Pool &amp; SPA Sweep Elbows'!$A$8:$M$11,9,FALSE),
IF($A133&lt;'Pool &amp; SPA Pipe Extender'!$A$11,VLOOKUP($A133,'Pool &amp; SPA Pipe Extender'!$A$8:$M$10,9,FALSE),
IF($A133&lt;'PVC SCH80'!$A$250,VLOOKUP($A133,'PVC SCH80'!$A$8:$M$249,9,FALSE),
IF($A133&lt;'PVC SCH80 Flange'!$A$49,VLOOKUP($A133,'PVC SCH80 Flange'!$A$8:$M$48,9,FALSE),
IF($A133&lt;'PVC SCH80 LD Flange'!$A$17,VLOOKUP($A133,'PVC SCH80 LD Flange'!$A$8:$M$16,9,FALSE),
IF($A133&lt;CPVC!$A$100,VLOOKUP($A133,CPVC!$A$8:$M$99,9,FALSE),
IF($A133&lt;InsertFittings!$A$237,VLOOKUP($A133,InsertFittings!$A$11:$M$236,9,FALSE),
IF($A133&lt;Valves!$A$132,VLOOKUP($A133,Valves!$A$8:$M$131,9,FALSE),
IF($A133&lt;SDR35SW!$A$124,VLOOKUP($A133,SDR35SW!$A$8:$M$123,9,FALSE),
IF($A133&lt;SDR35G!$A$143,VLOOKUP($A133, SDR35G!$A$8:$M$142,9,FALSE),
IF($A133&lt;SDR26G!$A$61,VLOOKUP($A133,SDR26G!$A$8:$N$60,10,FALSE),
IF($A133&lt;Cements!$A$100,VLOOKUP($A133,Cements!$A$8:$Q$99,13,FALSE),
IF($A133&lt;ValveBox!$A$143,VLOOKUP($A133,ValveBox!$A$10:$O$142,11,FALSE),
IF($A133&lt;'ValveBox Components'!$A$165,VLOOKUP($A133,'ValveBox Components'!$A$10:$O$164,11,FALSE),
IF($A133&lt;Drainage!$A$92,VLOOKUP($A133,Drainage!$A$8:$M$91,9,FALSE),
IF($A133&lt;Nipples!$A$82,VLOOKUP($A133,Nipples!$A$9:$Q$81,13,FALSE),
IF($A133&lt;Manifold!$A$33,VLOOKUP($A133,Manifold!$A$9:$M$32,9,FALSE),
IF($A133&lt;FlexibleRepairCouplings!$A$13,VLOOKUP($A133,FlexibleRepairCouplings!$A$10:$M$12,9,FALSE),
IF($A133&lt;DuraFix!$A$15,VLOOKUP($A133,DuraFix!$A$9:$M$14,9,FALSE),
IF($A133&lt;'Compression Fittings'!$A$16,VLOOKUP($A133,'Compression Fittings'!$A$8:$M$15,9,FALSE),
IF($A133&lt;'Hose Fittings'!$A$30,VLOOKUP($A133,'Hose Fittings'!$A$8:$M$29,9,FALSE),
IF($A133&lt;'Swing Joints'!$A$496,VLOOKUP($A133,'Swing Joints'!$A$9:$M$495,9,FALSE),
IF($A133&lt;'Swing Joints Components'!$A$135,VLOOKUP($A133,'Swing Joints Components'!$A$9:$M$134,9,FALSE),
IF($A133&lt;Nonstandard!$A$42,VLOOKUP($A133,Nonstandard!$A$31:$J$41,8,FALSE),"")))))))))))))))))))))))))))),"")</f>
        <v/>
      </c>
      <c r="G133" s="416" t="str">
        <f>IFERROR(IF($A133&lt;'DWV PVC'!$A$285,VLOOKUP($A133,'DWV PVC'!$A$8:$M$284,11,FALSE),
IF($A133&lt;'DWV ABS'!$A$117,VLOOKUP($A133,'DWV ABS'!$A$8:$M$116,11,FALSE),
IF($A133&lt;'PVC SCH40'!$A$376,VLOOKUP($A133,'PVC SCH40'!$A$8:$M$375,11,FALSE),
IF($A133&lt;'PVC SCH40 LD'!$A$22,VLOOKUP($A133,'PVC SCH40 LD'!$A$8:$M$21,11,FALSE),
IF($A133&lt;'Pool &amp; SPA Sweep Elbows'!$A$12,VLOOKUP($A133,'Pool &amp; SPA Sweep Elbows'!$A$8:$M$11,11,FALSE),
IF($A133&lt;'Pool &amp; SPA Pipe Extender'!$A$11,VLOOKUP($A133,'Pool &amp; SPA Pipe Extender'!$A$8:$M$10,11,FALSE),
IF($A133&lt;'PVC SCH80'!$A$250,VLOOKUP($A133,'PVC SCH80'!$A$8:$M$249,11,FALSE),
IF($A133&lt;'PVC SCH80 Flange'!$A$49,VLOOKUP($A133,'PVC SCH80 Flange'!$A$8:$M$48,11,FALSE),
IF($A133&lt;'PVC SCH80 LD Flange'!$A$17,VLOOKUP($A133,'PVC SCH80 LD Flange'!$A$8:$M$16,11,FALSE),
IF($A133&lt;CPVC!$A$100,VLOOKUP($A133,CPVC!$A$8:$M$99,11,FALSE),
IF($A133&lt;InsertFittings!$A$237,VLOOKUP($A133,InsertFittings!$A$11:$M$236,11,FALSE),
IF($A133&lt;Valves!$A$132,VLOOKUP($A133,Valves!$A$8:$M$131,11,FALSE),
IF($A133&lt;SDR35SW!$A$124,VLOOKUP($A133,SDR35SW!$A$8:$M$123,11,FALSE),
IF($A133&lt;SDR35G!$A$143,VLOOKUP($A133, SDR35G!$A$8:$M$142,11,FALSE),
IF($A133&lt;SDR26G!$A$61,VLOOKUP($A133,SDR26G!$A$8:$N$60,12,FALSE),
IF($A133&lt;Cements!$A$100,VLOOKUP($A133,Cements!$A$8:$Q$99,15,FALSE),
IF($A133&lt;ValveBox!$A$143,VLOOKUP($A133,ValveBox!$A$10:$O$142,13,FALSE),
IF($A133&lt;'ValveBox Components'!$A$165,VLOOKUP($A133,'ValveBox Components'!$A$10:$O$164,13,FALSE),
IF($A133&lt;Drainage!$A$92,VLOOKUP($A133,Drainage!$A$8:$M$91,11,FALSE),
IF($A133&lt;Nipples!$A$82,VLOOKUP($A133,Nipples!$A$9:$Q$81,15,FALSE),
IF($A133&lt;Manifold!$A$33,VLOOKUP($A133,Manifold!$A$9:$M$32,11,FALSE),
IF($A133&lt;FlexibleRepairCouplings!$A$13,VLOOKUP($A133,FlexibleRepairCouplings!$A$10:$M$12,11,FALSE),
IF($A133&lt;DuraFix!$A$15,VLOOKUP($A133,DuraFix!$A$9:$M$14,11,FALSE),
IF($A133&lt;'Compression Fittings'!$A$16,VLOOKUP($A133,'Compression Fittings'!$A$8:$M$15,11,FALSE),
IF($A133&lt;'Hose Fittings'!$A$30,VLOOKUP($A133,'Hose Fittings'!$A$8:$M$29,11,FALSE),
IF($A133&lt;'Swing Joints'!$A$496,VLOOKUP($A133,'Swing Joints'!$A$9:$M$495,11,FALSE),
IF($A133&lt;'Swing Joints Components'!$A$135,VLOOKUP($A133,'Swing Joints Components'!$A$9:$M$134,11,FALSE),
IF($A133&lt;Nonstandard!$A$42,VLOOKUP($A133,Nonstandard!$A$31:$J$41,3,FALSE),"")))))))))))))))))))))))))))),"")</f>
        <v/>
      </c>
      <c r="H133" s="586" t="str">
        <f>IFERROR(IF($A133&lt;'DWV PVC'!$A$285,VLOOKUP($A133,'DWV PVC'!$A$8:$M$284,7,FALSE),
IF($A133&lt;'DWV ABS'!$A$117,VLOOKUP($A133,'DWV ABS'!$A$8:$M$116,7,FALSE),
IF($A133&lt;'PVC SCH40'!$A$376,VLOOKUP($A133,'PVC SCH40'!$A$8:$M$375,7,FALSE),
IF($A133&lt;'PVC SCH40 LD'!$A$22,VLOOKUP($A133,'PVC SCH40 LD'!$A$8:$M$21,7,FALSE),
IF($A133&lt;'Pool &amp; SPA Sweep Elbows'!$A$12,VLOOKUP($A133,'Pool &amp; SPA Sweep Elbows'!$A$8:$M$11,7,FALSE),
IF($A133&lt;'Pool &amp; SPA Pipe Extender'!$A$11,VLOOKUP($A133,'Pool &amp; SPA Pipe Extender'!$A$8:$M$10,7,FALSE),
IF($A133&lt;'PVC SCH80'!$A$250,VLOOKUP($A133,'PVC SCH80'!$A$8:$M$249,7,FALSE),
IF($A133&lt;'PVC SCH80 Flange'!$A$49,VLOOKUP($A133,'PVC SCH80 Flange'!$A$8:$M$48,7,FALSE),
IF($A133&lt;'PVC SCH80 LD Flange'!$A$17,VLOOKUP($A133,'PVC SCH80 LD Flange'!$A$8:$M$16,7,FALSE),
IF($A133&lt;CPVC!$A$100,VLOOKUP($A133,CPVC!$A$8:$M$99,7,FALSE),
IF($A133&lt;InsertFittings!$A$237,VLOOKUP($A133,InsertFittings!$A$11:$M$236,7,FALSE),
IF($A133&lt;Valves!$A$132,VLOOKUP($A133,Valves!$A$8:$M$131,7,FALSE),
IF($A133&lt;SDR35SW!$A$124,VLOOKUP($A133,SDR35SW!$A$8:$M$123,7,FALSE),
IF($A133&lt;SDR35G!$A$143,VLOOKUP($A133, SDR35G!$A$8:$M$142,7,FALSE),
IF($A133&lt;SDR26G!$A$61,VLOOKUP($A133,SDR26G!$A$8:$N$60,10,FALSE),
IF($A133&lt;Cements!$A$100,VLOOKUP($A133,Cements!$A$8:$Q$99,13,FALSE),
IF($A133&lt;ValveBox!$A$143,VLOOKUP($A133,ValveBox!$A$10:$O$142,11,FALSE),
IF($A133&lt;'ValveBox Components'!$A$165,VLOOKUP($A133,'ValveBox Components'!$A$10:$O$164,11,FALSE),
IF($A133&lt;Drainage!$A$92,VLOOKUP($A133,Drainage!$A$8:$M$91,7,FALSE),
IF($A133&lt;Nipples!$A$82,VLOOKUP($A133,Nipples!$A$9:$Q$81,13,FALSE),
IF($A133&lt;Manifold!$A$33,VLOOKUP($A133,Manifold!$A$9:$M$32,7,FALSE),
IF($A133&lt;FlexibleRepairCouplings!$A$13,VLOOKUP($A133,FlexibleRepairCouplings!$A$10:$M$12,7,FALSE),
IF($A133&lt;DuraFix!$A$15,VLOOKUP($A133,DuraFix!$A$9:$M$14,7,FALSE),
IF($A133&lt;'Compression Fittings'!$A$16,VLOOKUP($A133,'Compression Fittings'!$A$8:$M$15,7,FALSE),
IF($A133&lt;'Hose Fittings'!$A$30,VLOOKUP($A133,'Hose Fittings'!$A$8:$M$29,7,FALSE),
IF($A133&lt;'Swing Joints'!$A$496,VLOOKUP($A133,'Swing Joints'!$A$9:$M$495,7,FALSE),
IF($A133&lt;'Swing Joints Components'!$A$135,VLOOKUP($A133,'Swing Joints Components'!$A$9:$M$134,7,FALSE),
IF($A133&lt;Nonstandard!$A$42,VLOOKUP($A133,Nonstandard!$A$31:$J$41,3,FALSE),"")))))))))))))))))))))))))))),"")</f>
        <v/>
      </c>
      <c r="I133" s="587"/>
      <c r="J133" s="383" t="str">
        <f t="shared" si="3"/>
        <v/>
      </c>
      <c r="K133" s="417" t="str">
        <f>IFERROR(IF($A133&lt;'DWV PVC'!$A$285,VLOOKUP($A133,'DWV PVC'!$A$8:$M$284,10,FALSE),
IF($A133&lt;'DWV ABS'!$A$117,VLOOKUP($A133,'DWV ABS'!$A$8:$M$116,10,FALSE),
IF($A133&lt;'PVC SCH40'!$A$376,VLOOKUP($A133,'PVC SCH40'!$A$8:$M$375,10,FALSE),
IF($A133&lt;'PVC SCH40 LD'!$A$22,VLOOKUP($A133,'PVC SCH40 LD'!$A$8:$M$21,10,FALSE),
IF($A133&lt;'Pool &amp; SPA Sweep Elbows'!$A$12,VLOOKUP($A133,'Pool &amp; SPA Sweep Elbows'!$A$8:$M$11,10,FALSE),
IF($A133&lt;'Pool &amp; SPA Pipe Extender'!$A$11,VLOOKUP($A133,'Pool &amp; SPA Pipe Extender'!$A$8:$M$10,10,FALSE),
IF($A133&lt;'PVC SCH80'!$A$250,VLOOKUP($A133,'PVC SCH80'!$A$8:$M$249,10,FALSE),
IF($A133&lt;'PVC SCH80 Flange'!$A$49,VLOOKUP($A133,'PVC SCH80 Flange'!$A$8:$M$48,10,FALSE),
IF($A133&lt;'PVC SCH80 LD Flange'!$A$17,VLOOKUP($A133,'PVC SCH80 LD Flange'!$A$8:$M$16,10,FALSE),
IF($A133&lt;CPVC!$A$100,VLOOKUP($A133,CPVC!$A$8:$M$99,10,FALSE),
IF($A133&lt;InsertFittings!$A$237,VLOOKUP($A133,InsertFittings!$A$11:$M$236,10,FALSE),
IF($A133&lt;Valves!$A$132,VLOOKUP($A133,Valves!$A$8:$M$131,10,FALSE),
IF($A133&lt;SDR35SW!$A$124,VLOOKUP($A133,SDR35SW!$A$8:$M$123,10,FALSE),
IF($A133&lt;SDR35G!$A$143,VLOOKUP($A133, SDR35G!$A$8:$M$142,10,FALSE),
IF($A133&lt;SDR26G!$A$61,VLOOKUP($A133,SDR26G!$A$8:$N$60,11,FALSE),
IF($A133&lt;Cements!$A$100,VLOOKUP($A133,Cements!$A$8:$Q$99,14,FALSE),
IF($A133&lt;ValveBox!$A$143,VLOOKUP($A133,ValveBox!$A$10:$O$142,12,FALSE),
IF($A133&lt;'ValveBox Components'!$A$165,VLOOKUP($A133,'ValveBox Components'!$A$10:$O$164,12,FALSE),
IF($A133&lt;Drainage!$A$92,VLOOKUP($A133,Drainage!$A$8:$M$91,10,FALSE),
IF($A133&lt;Nipples!$A$82,VLOOKUP($A133,Nipples!$A$9:$Q$81,14,FALSE),
IF($A133&lt;Manifold!$A$33,VLOOKUP($A133,Manifold!$A$9:$M$32,10,FALSE),
IF($A133&lt;FlexibleRepairCouplings!$A$13,VLOOKUP($A133,FlexibleRepairCouplings!$A$10:$M$12,10,FALSE),
IF($A133&lt;DuraFix!$A$15,VLOOKUP($A133,DuraFix!$A$9:$M$14,10,FALSE),
IF($A133&lt;'Compression Fittings'!$A$16,VLOOKUP($A133,'Compression Fittings'!$A$8:$M$15,10,FALSE),
IF($A133&lt;'Hose Fittings'!$A$30,VLOOKUP($A133,'Hose Fittings'!$A$8:$M$29,10,FALSE),
IF($A133&lt;'Swing Joints'!$A$496,VLOOKUP($A133,'Swing Joints'!$A$9:$M$495,10,FALSE),
IF($A133&lt;'Swing Joints Components'!$A$135,VLOOKUP($A133,'Swing Joints Components'!$A$9:$M$134,10,FALSE),
IF($A133&lt;Nonstandard!$A$42,VLOOKUP($A133,Nonstandard!$A$31:$J$41,10,FALSE),"")))))))))))))))))))))))))))),"")</f>
        <v/>
      </c>
      <c r="L133" s="418" t="str">
        <f t="shared" si="2"/>
        <v>-</v>
      </c>
      <c r="M133" s="419"/>
    </row>
    <row r="134" spans="1:13" ht="15.75">
      <c r="A134" s="420">
        <v>102</v>
      </c>
      <c r="B134" s="420" t="str">
        <f>IFERROR(IF($A134&lt;'DWV PVC'!$A$285,VLOOKUP($A134,'DWV PVC'!$A$8:$M$284,4,FALSE),
IF($A134&lt;'DWV ABS'!$A$117,VLOOKUP($A134,'DWV ABS'!$A$8:$M$116,4,FALSE),
IF($A134&lt;'PVC SCH40'!$A$376,VLOOKUP($A134,'PVC SCH40'!$A$8:$M$375,4,FALSE),
IF($A134&lt;'PVC SCH40 LD'!$A$22,VLOOKUP($A134,'PVC SCH40 LD'!$A$8:$M$21,4,FALSE),
IF($A134&lt;'Pool &amp; SPA Sweep Elbows'!$A$12,VLOOKUP($A134,'Pool &amp; SPA Sweep Elbows'!$A$8:$M$11,4,FALSE),
IF($A134&lt;'Pool &amp; SPA Pipe Extender'!$A$11,VLOOKUP($A134,'Pool &amp; SPA Pipe Extender'!$A$8:$M$10,4,FALSE),
IF($A134&lt;'PVC SCH80'!$A$250,VLOOKUP($A134,'PVC SCH80'!$A$8:$M$249,4,FALSE),
IF($A134&lt;'PVC SCH80 Flange'!$A$49,VLOOKUP($A134,'PVC SCH80 Flange'!$A$8:$M$48,4,FALSE),
IF($A134&lt;'PVC SCH80 LD Flange'!$A$17,VLOOKUP($A134,'PVC SCH80 LD Flange'!$A$8:$M$16,4,FALSE),
IF($A134&lt;CPVC!$A$100,VLOOKUP($A134,CPVC!$A$8:$M$99,4,FALSE),
IF($A134&lt;InsertFittings!$A$237,VLOOKUP($A134,InsertFittings!$A$11:$M$236,4,FALSE),
IF($A134&lt;Valves!$A$132,VLOOKUP($A134,Valves!$A$8:$M$131,4,FALSE),
IF($A134&lt;SDR35SW!$A$124,VLOOKUP($A134,SDR35SW!$A$8:$M$123,4,FALSE),
IF($A134&lt;SDR35G!$A$143,VLOOKUP($A134, SDR35G!$A$8:$M$142,4,FALSE),
IF($A134&lt;SDR26G!$A$61,VLOOKUP($A134,SDR26G!$A$8:$N$60,4,FALSE),
IF($A134&lt;Cements!$A$100,VLOOKUP($A134,Cements!$A$8:$Q$99,4,FALSE),
IF($A134&lt;ValveBox!$A$143,VLOOKUP($A134,ValveBox!$A$10:$O$142,4,FALSE),
IF($A134&lt;'ValveBox Components'!$A$165,VLOOKUP($A134,'ValveBox Components'!$A$10:$O$164,4,FALSE),
IF($A134&lt;Drainage!$A$92,VLOOKUP($A134,Drainage!$A$8:$M$91,4,FALSE),
IF($A134&lt;Nipples!$A$82,VLOOKUP($A134,Nipples!$A$9:$Q$81,4,FALSE),
IF($A134&lt;Manifold!$A$33,VLOOKUP($A134,Manifold!$A$9:$M$32,4,FALSE),
IF($A134&lt;FlexibleRepairCouplings!$A$13,VLOOKUP($A134,FlexibleRepairCouplings!$A$10:$M$12,4,FALSE),
IF($A134&lt;DuraFix!$A$15,VLOOKUP($A134,DuraFix!$A$9:$M$14,4,FALSE),
IF($A134&lt;'Compression Fittings'!$A$16,VLOOKUP($A134,'Compression Fittings'!$A$8:$M$15,4,FALSE),
IF($A134&lt;'Hose Fittings'!$A$30,VLOOKUP($A134,'Hose Fittings'!$A$8:$M$29,4,FALSE),
IF($A134&lt;'Swing Joints'!$A$496,VLOOKUP($A134,'Swing Joints'!$A$9:$M$495,4,FALSE),
IF($A134&lt;'Swing Joints Components'!$A$135,VLOOKUP($A134,'Swing Joints Components'!$A$9:$M$134,4,FALSE),
IF($A134&lt;Nonstandard!$A$42,VLOOKUP($A134,Nonstandard!$A$31:$J$41,5,FALSE),"")))))))))))))))))))))))))))),"")</f>
        <v/>
      </c>
      <c r="C134" s="420" t="str">
        <f>IFERROR(IF($A134&lt;'DWV PVC'!$A$285,VLOOKUP($A134,'DWV PVC'!$A$8:$M$284,5,FALSE),
IF($A134&lt;'DWV ABS'!$A$117,VLOOKUP($A134,'DWV ABS'!$A$8:$M$116,5,FALSE),
IF($A134&lt;'PVC SCH40'!$A$376,VLOOKUP($A134,'PVC SCH40'!$A$8:$M$375,5,FALSE),
IF($A134&lt;'PVC SCH40 LD'!$A$22,VLOOKUP($A134,'PVC SCH40 LD'!$A$8:$M$21,5,FALSE),
IF($A134&lt;'Pool &amp; SPA Sweep Elbows'!$A$12,VLOOKUP($A134,'Pool &amp; SPA Sweep Elbows'!$A$8:$M$11,5,FALSE),
IF($A134&lt;'Pool &amp; SPA Pipe Extender'!$A$11,VLOOKUP($A134,'Pool &amp; SPA Pipe Extender'!$A$8:$M$10,5,FALSE),
IF($A134&lt;'PVC SCH80'!$A$250,VLOOKUP($A134,'PVC SCH80'!$A$8:$M$249,5,FALSE),
IF($A134&lt;'PVC SCH80 Flange'!$A$49,VLOOKUP($A134,'PVC SCH80 Flange'!$A$8:$M$48,5,FALSE),
IF($A134&lt;'PVC SCH80 LD Flange'!$A$17,VLOOKUP($A134,'PVC SCH80 LD Flange'!$A$8:$M$16,5,FALSE),
IF($A134&lt;CPVC!$A$100,VLOOKUP($A134,CPVC!$A$8:$M$99,5,FALSE),
IF($A134&lt;InsertFittings!$A$237,VLOOKUP($A134,InsertFittings!$A$11:$M$236,5,FALSE),
IF($A134&lt;Valves!$A$132,VLOOKUP($A134,Valves!$A$8:$M$131,5,FALSE),
IF($A134&lt;SDR35SW!$A$124,VLOOKUP($A134,SDR35SW!$A$8:$M$123,5,FALSE),
IF($A134&lt;SDR35G!$A$143,VLOOKUP($A134, SDR35G!$A$8:$M$142,5,FALSE),
IF($A134&lt;SDR26G!$A$61,VLOOKUP($A134,SDR26G!$A$8:$N$60,5,FALSE),
IF($A134&lt;Cements!$A$100,VLOOKUP($A134,Cements!$A$8:$Q$99,5,FALSE),
IF($A134&lt;ValveBox!$A$143,VLOOKUP($A134,ValveBox!$A$10:$O$142,5,FALSE),
IF($A134&lt;'ValveBox Components'!$A$165,VLOOKUP($A134,'ValveBox Components'!$A$10:$O$164,5,FALSE),
IF($A134&lt;Drainage!$A$92,VLOOKUP($A134,Drainage!$A$8:$M$91,5,FALSE),
IF($A134&lt;Nipples!$A$82,VLOOKUP($A134,Nipples!$A$9:$Q$81,5,FALSE),
IF($A134&lt;Manifold!$A$33,VLOOKUP($A134,Manifold!$A$9:$M$32,5,FALSE),
IF($A134&lt;FlexibleRepairCouplings!$A$13,VLOOKUP($A134,FlexibleRepairCouplings!$A$10:$M$12,5,FALSE),
IF($A134&lt;DuraFix!$A$15,VLOOKUP($A134,DuraFix!$A$9:$M$14,5,FALSE),
IF($A134&lt;'Compression Fittings'!$A$16,VLOOKUP($A134,'Compression Fittings'!$A$8:$M$15,5,FALSE),
IF($A134&lt;'Hose Fittings'!$A$30,VLOOKUP($A134,'Hose Fittings'!$A$8:$M$29,5,FALSE),
IF($A134&lt;'Swing Joints'!$A$496,VLOOKUP($A134,'Swing Joints'!$A$9:$M$495,5,FALSE),
IF($A134&lt;'Swing Joints Components'!$A$135,VLOOKUP($A134,'Swing Joints Components'!$A$9:$M$134,5,FALSE),
IF($A134&lt;Nonstandard!$A$42,VLOOKUP($A134,Nonstandard!$A$31:$J$41,6,FALSE),"")))))))))))))))))))))))))))),"")</f>
        <v/>
      </c>
      <c r="D134" s="428" t="str">
        <f>IFERROR(IF($A134&lt;'DWV PVC'!$A$285,VLOOKUP($A134,'DWV PVC'!$A$8:$M$284,6,FALSE),
IF($A134&lt;'DWV ABS'!$A$117,VLOOKUP($A134,'DWV ABS'!$A$8:$M$116,6,FALSE),
IF($A134&lt;'PVC SCH40'!$A$376,VLOOKUP($A134,'PVC SCH40'!$A$8:$M$375,6,FALSE),
IF($A134&lt;'PVC SCH40 LD'!$A$22,VLOOKUP($A134,'PVC SCH40 LD'!$A$8:$M$21,6,FALSE),
IF($A134&lt;'Pool &amp; SPA Sweep Elbows'!$A$12,VLOOKUP($A134,'Pool &amp; SPA Sweep Elbows'!$A$8:$M$11,6,FALSE),
IF($A134&lt;'Pool &amp; SPA Pipe Extender'!$A$11,VLOOKUP($A134,'Pool &amp; SPA Pipe Extender'!$A$8:$M$10,6,FALSE),
IF($A134&lt;'PVC SCH80'!$A$250,VLOOKUP($A134,'PVC SCH80'!$A$8:$M$249,6,FALSE),
IF($A134&lt;'PVC SCH80 Flange'!$A$49,VLOOKUP($A134,'PVC SCH80 Flange'!$A$8:$M$48,6,FALSE),
IF($A134&lt;'PVC SCH80 LD Flange'!$A$17,VLOOKUP($A134,'PVC SCH80 LD Flange'!$A$8:$M$16,6,FALSE),
IF($A134&lt;CPVC!$A$100,VLOOKUP($A134,CPVC!$A$8:$M$99,6,FALSE),
IF($A134&lt;InsertFittings!$A$237,VLOOKUP($A134,InsertFittings!$A$11:$M$236,6,FALSE),
IF($A134&lt;Valves!$A$132,VLOOKUP($A134,Valves!$A$8:$M$131,6,FALSE),
IF($A134&lt;SDR35SW!$A$124,VLOOKUP($A134,SDR35SW!$A$8:$M$123,6,FALSE),
IF($A134&lt;SDR35G!$A$143,VLOOKUP($A134, SDR35G!$A$8:$M$142,6,FALSE),
IF($A134&lt;SDR26G!$A$61,VLOOKUP($A134,SDR26G!$A$8:$N$60,6,FALSE),
IF($A134&lt;Cements!$A$100,VLOOKUP($A134,Cements!$A$8:$Q$99,6,FALSE),
IF($A134&lt;ValveBox!$A$143,VLOOKUP($A134,ValveBox!$A$10:$O$142,6,FALSE),
IF($A134&lt;'ValveBox Components'!$A$165,VLOOKUP($A134,'ValveBox Components'!$A$10:$O$164,6,FALSE),
IF($A134&lt;Drainage!$A$92,VLOOKUP($A134,Drainage!$A$8:$M$91,6,FALSE),
IF($A134&lt;Nipples!$A$82,VLOOKUP($A134,Nipples!$A$9:$Q$81,6,FALSE),
IF($A134&lt;Manifold!$A$33,VLOOKUP($A134,Manifold!$A$9:$M$32,6,FALSE),
IF($A134&lt;FlexibleRepairCouplings!$A$13,VLOOKUP($A134,FlexibleRepairCouplings!$A$10:$M$12,6,FALSE),
IF($A134&lt;DuraFix!$A$15,VLOOKUP($A134,DuraFix!$A$9:$M$14,6,FALSE),
IF($A134&lt;'Compression Fittings'!$A$16,VLOOKUP($A134,'Compression Fittings'!$A$8:$M$15,6,FALSE),
IF($A134&lt;'Hose Fittings'!$A$30,VLOOKUP($A134,'Hose Fittings'!$A$8:$M$29,6,FALSE),
IF($A134&lt;'Swing Joints'!$A$496,VLOOKUP($A134,'Swing Joints'!$A$9:$M$495,6,FALSE),
IF($A134&lt;'Swing Joints Components'!$A$135,VLOOKUP($A134,'Swing Joints Components'!$A$9:$M$134,6,FALSE),
IF($A134&lt;Nonstandard!$A$42,VLOOKUP($A134,Nonstandard!$A$31:$J$41,7,FALSE),"")))))))))))))))))))))))))))),"")</f>
        <v/>
      </c>
      <c r="E134" s="429"/>
      <c r="F134" s="421" t="str">
        <f>IFERROR(IF($A134&lt;'DWV PVC'!$A$285,VLOOKUP($A134,'DWV PVC'!$A$8:$M$284,9,FALSE),
IF($A134&lt;'DWV ABS'!$A$117,VLOOKUP($A134,'DWV ABS'!$A$8:$M$116,9,FALSE),
IF($A134&lt;'PVC SCH40'!$A$376,VLOOKUP($A134,'PVC SCH40'!$A$8:$M$375,9,FALSE),
IF($A134&lt;'PVC SCH40 LD'!$A$22,VLOOKUP($A134,'PVC SCH40 LD'!$A$8:$M$21,9,FALSE),
IF($A134&lt;'Pool &amp; SPA Sweep Elbows'!$A$12,VLOOKUP($A134,'Pool &amp; SPA Sweep Elbows'!$A$8:$M$11,9,FALSE),
IF($A134&lt;'Pool &amp; SPA Pipe Extender'!$A$11,VLOOKUP($A134,'Pool &amp; SPA Pipe Extender'!$A$8:$M$10,9,FALSE),
IF($A134&lt;'PVC SCH80'!$A$250,VLOOKUP($A134,'PVC SCH80'!$A$8:$M$249,9,FALSE),
IF($A134&lt;'PVC SCH80 Flange'!$A$49,VLOOKUP($A134,'PVC SCH80 Flange'!$A$8:$M$48,9,FALSE),
IF($A134&lt;'PVC SCH80 LD Flange'!$A$17,VLOOKUP($A134,'PVC SCH80 LD Flange'!$A$8:$M$16,9,FALSE),
IF($A134&lt;CPVC!$A$100,VLOOKUP($A134,CPVC!$A$8:$M$99,9,FALSE),
IF($A134&lt;InsertFittings!$A$237,VLOOKUP($A134,InsertFittings!$A$11:$M$236,9,FALSE),
IF($A134&lt;Valves!$A$132,VLOOKUP($A134,Valves!$A$8:$M$131,9,FALSE),
IF($A134&lt;SDR35SW!$A$124,VLOOKUP($A134,SDR35SW!$A$8:$M$123,9,FALSE),
IF($A134&lt;SDR35G!$A$143,VLOOKUP($A134, SDR35G!$A$8:$M$142,9,FALSE),
IF($A134&lt;SDR26G!$A$61,VLOOKUP($A134,SDR26G!$A$8:$N$60,10,FALSE),
IF($A134&lt;Cements!$A$100,VLOOKUP($A134,Cements!$A$8:$Q$99,13,FALSE),
IF($A134&lt;ValveBox!$A$143,VLOOKUP($A134,ValveBox!$A$10:$O$142,11,FALSE),
IF($A134&lt;'ValveBox Components'!$A$165,VLOOKUP($A134,'ValveBox Components'!$A$10:$O$164,11,FALSE),
IF($A134&lt;Drainage!$A$92,VLOOKUP($A134,Drainage!$A$8:$M$91,9,FALSE),
IF($A134&lt;Nipples!$A$82,VLOOKUP($A134,Nipples!$A$9:$Q$81,13,FALSE),
IF($A134&lt;Manifold!$A$33,VLOOKUP($A134,Manifold!$A$9:$M$32,9,FALSE),
IF($A134&lt;FlexibleRepairCouplings!$A$13,VLOOKUP($A134,FlexibleRepairCouplings!$A$10:$M$12,9,FALSE),
IF($A134&lt;DuraFix!$A$15,VLOOKUP($A134,DuraFix!$A$9:$M$14,9,FALSE),
IF($A134&lt;'Compression Fittings'!$A$16,VLOOKUP($A134,'Compression Fittings'!$A$8:$M$15,9,FALSE),
IF($A134&lt;'Hose Fittings'!$A$30,VLOOKUP($A134,'Hose Fittings'!$A$8:$M$29,9,FALSE),
IF($A134&lt;'Swing Joints'!$A$496,VLOOKUP($A134,'Swing Joints'!$A$9:$M$495,9,FALSE),
IF($A134&lt;'Swing Joints Components'!$A$135,VLOOKUP($A134,'Swing Joints Components'!$A$9:$M$134,9,FALSE),
IF($A134&lt;Nonstandard!$A$42,VLOOKUP($A134,Nonstandard!$A$31:$J$41,8,FALSE),"")))))))))))))))))))))))))))),"")</f>
        <v/>
      </c>
      <c r="G134" s="422" t="str">
        <f>IFERROR(IF($A134&lt;'DWV PVC'!$A$285,VLOOKUP($A134,'DWV PVC'!$A$8:$M$284,11,FALSE),
IF($A134&lt;'DWV ABS'!$A$117,VLOOKUP($A134,'DWV ABS'!$A$8:$M$116,11,FALSE),
IF($A134&lt;'PVC SCH40'!$A$376,VLOOKUP($A134,'PVC SCH40'!$A$8:$M$375,11,FALSE),
IF($A134&lt;'PVC SCH40 LD'!$A$22,VLOOKUP($A134,'PVC SCH40 LD'!$A$8:$M$21,11,FALSE),
IF($A134&lt;'Pool &amp; SPA Sweep Elbows'!$A$12,VLOOKUP($A134,'Pool &amp; SPA Sweep Elbows'!$A$8:$M$11,11,FALSE),
IF($A134&lt;'Pool &amp; SPA Pipe Extender'!$A$11,VLOOKUP($A134,'Pool &amp; SPA Pipe Extender'!$A$8:$M$10,11,FALSE),
IF($A134&lt;'PVC SCH80'!$A$250,VLOOKUP($A134,'PVC SCH80'!$A$8:$M$249,11,FALSE),
IF($A134&lt;'PVC SCH80 Flange'!$A$49,VLOOKUP($A134,'PVC SCH80 Flange'!$A$8:$M$48,11,FALSE),
IF($A134&lt;'PVC SCH80 LD Flange'!$A$17,VLOOKUP($A134,'PVC SCH80 LD Flange'!$A$8:$M$16,11,FALSE),
IF($A134&lt;CPVC!$A$100,VLOOKUP($A134,CPVC!$A$8:$M$99,11,FALSE),
IF($A134&lt;InsertFittings!$A$237,VLOOKUP($A134,InsertFittings!$A$11:$M$236,11,FALSE),
IF($A134&lt;Valves!$A$132,VLOOKUP($A134,Valves!$A$8:$M$131,11,FALSE),
IF($A134&lt;SDR35SW!$A$124,VLOOKUP($A134,SDR35SW!$A$8:$M$123,11,FALSE),
IF($A134&lt;SDR35G!$A$143,VLOOKUP($A134, SDR35G!$A$8:$M$142,11,FALSE),
IF($A134&lt;SDR26G!$A$61,VLOOKUP($A134,SDR26G!$A$8:$N$60,12,FALSE),
IF($A134&lt;Cements!$A$100,VLOOKUP($A134,Cements!$A$8:$Q$99,15,FALSE),
IF($A134&lt;ValveBox!$A$143,VLOOKUP($A134,ValveBox!$A$10:$O$142,13,FALSE),
IF($A134&lt;'ValveBox Components'!$A$165,VLOOKUP($A134,'ValveBox Components'!$A$10:$O$164,13,FALSE),
IF($A134&lt;Drainage!$A$92,VLOOKUP($A134,Drainage!$A$8:$M$91,11,FALSE),
IF($A134&lt;Nipples!$A$82,VLOOKUP($A134,Nipples!$A$9:$Q$81,15,FALSE),
IF($A134&lt;Manifold!$A$33,VLOOKUP($A134,Manifold!$A$9:$M$32,11,FALSE),
IF($A134&lt;FlexibleRepairCouplings!$A$13,VLOOKUP($A134,FlexibleRepairCouplings!$A$10:$M$12,11,FALSE),
IF($A134&lt;DuraFix!$A$15,VLOOKUP($A134,DuraFix!$A$9:$M$14,11,FALSE),
IF($A134&lt;'Compression Fittings'!$A$16,VLOOKUP($A134,'Compression Fittings'!$A$8:$M$15,11,FALSE),
IF($A134&lt;'Hose Fittings'!$A$30,VLOOKUP($A134,'Hose Fittings'!$A$8:$M$29,11,FALSE),
IF($A134&lt;'Swing Joints'!$A$496,VLOOKUP($A134,'Swing Joints'!$A$9:$M$495,11,FALSE),
IF($A134&lt;'Swing Joints Components'!$A$135,VLOOKUP($A134,'Swing Joints Components'!$A$9:$M$134,11,FALSE),
IF($A134&lt;Nonstandard!$A$42,VLOOKUP($A134,Nonstandard!$A$31:$J$41,3,FALSE),"")))))))))))))))))))))))))))),"")</f>
        <v/>
      </c>
      <c r="H134" s="588" t="str">
        <f>IFERROR(IF($A134&lt;'DWV PVC'!$A$285,VLOOKUP($A134,'DWV PVC'!$A$8:$M$284,7,FALSE),
IF($A134&lt;'DWV ABS'!$A$117,VLOOKUP($A134,'DWV ABS'!$A$8:$M$116,7,FALSE),
IF($A134&lt;'PVC SCH40'!$A$376,VLOOKUP($A134,'PVC SCH40'!$A$8:$M$375,7,FALSE),
IF($A134&lt;'PVC SCH40 LD'!$A$22,VLOOKUP($A134,'PVC SCH40 LD'!$A$8:$M$21,7,FALSE),
IF($A134&lt;'Pool &amp; SPA Sweep Elbows'!$A$12,VLOOKUP($A134,'Pool &amp; SPA Sweep Elbows'!$A$8:$M$11,7,FALSE),
IF($A134&lt;'Pool &amp; SPA Pipe Extender'!$A$11,VLOOKUP($A134,'Pool &amp; SPA Pipe Extender'!$A$8:$M$10,7,FALSE),
IF($A134&lt;'PVC SCH80'!$A$250,VLOOKUP($A134,'PVC SCH80'!$A$8:$M$249,7,FALSE),
IF($A134&lt;'PVC SCH80 Flange'!$A$49,VLOOKUP($A134,'PVC SCH80 Flange'!$A$8:$M$48,7,FALSE),
IF($A134&lt;'PVC SCH80 LD Flange'!$A$17,VLOOKUP($A134,'PVC SCH80 LD Flange'!$A$8:$M$16,7,FALSE),
IF($A134&lt;CPVC!$A$100,VLOOKUP($A134,CPVC!$A$8:$M$99,7,FALSE),
IF($A134&lt;InsertFittings!$A$237,VLOOKUP($A134,InsertFittings!$A$11:$M$236,7,FALSE),
IF($A134&lt;Valves!$A$132,VLOOKUP($A134,Valves!$A$8:$M$131,7,FALSE),
IF($A134&lt;SDR35SW!$A$124,VLOOKUP($A134,SDR35SW!$A$8:$M$123,7,FALSE),
IF($A134&lt;SDR35G!$A$143,VLOOKUP($A134, SDR35G!$A$8:$M$142,7,FALSE),
IF($A134&lt;SDR26G!$A$61,VLOOKUP($A134,SDR26G!$A$8:$N$60,10,FALSE),
IF($A134&lt;Cements!$A$100,VLOOKUP($A134,Cements!$A$8:$Q$99,13,FALSE),
IF($A134&lt;ValveBox!$A$143,VLOOKUP($A134,ValveBox!$A$10:$O$142,11,FALSE),
IF($A134&lt;'ValveBox Components'!$A$165,VLOOKUP($A134,'ValveBox Components'!$A$10:$O$164,11,FALSE),
IF($A134&lt;Drainage!$A$92,VLOOKUP($A134,Drainage!$A$8:$M$91,7,FALSE),
IF($A134&lt;Nipples!$A$82,VLOOKUP($A134,Nipples!$A$9:$Q$81,13,FALSE),
IF($A134&lt;Manifold!$A$33,VLOOKUP($A134,Manifold!$A$9:$M$32,7,FALSE),
IF($A134&lt;FlexibleRepairCouplings!$A$13,VLOOKUP($A134,FlexibleRepairCouplings!$A$10:$M$12,7,FALSE),
IF($A134&lt;DuraFix!$A$15,VLOOKUP($A134,DuraFix!$A$9:$M$14,7,FALSE),
IF($A134&lt;'Compression Fittings'!$A$16,VLOOKUP($A134,'Compression Fittings'!$A$8:$M$15,7,FALSE),
IF($A134&lt;'Hose Fittings'!$A$30,VLOOKUP($A134,'Hose Fittings'!$A$8:$M$29,7,FALSE),
IF($A134&lt;'Swing Joints'!$A$496,VLOOKUP($A134,'Swing Joints'!$A$9:$M$495,7,FALSE),
IF($A134&lt;'Swing Joints Components'!$A$135,VLOOKUP($A134,'Swing Joints Components'!$A$9:$M$134,7,FALSE),
IF($A134&lt;Nonstandard!$A$42,VLOOKUP($A134,Nonstandard!$A$31:$J$41,3,FALSE),"")))))))))))))))))))))))))))),"")</f>
        <v/>
      </c>
      <c r="I134" s="589"/>
      <c r="J134" s="423" t="str">
        <f t="shared" si="3"/>
        <v/>
      </c>
      <c r="K134" s="424" t="str">
        <f>IFERROR(IF($A134&lt;'DWV PVC'!$A$285,VLOOKUP($A134,'DWV PVC'!$A$8:$M$284,10,FALSE),
IF($A134&lt;'DWV ABS'!$A$117,VLOOKUP($A134,'DWV ABS'!$A$8:$M$116,10,FALSE),
IF($A134&lt;'PVC SCH40'!$A$376,VLOOKUP($A134,'PVC SCH40'!$A$8:$M$375,10,FALSE),
IF($A134&lt;'PVC SCH40 LD'!$A$22,VLOOKUP($A134,'PVC SCH40 LD'!$A$8:$M$21,10,FALSE),
IF($A134&lt;'Pool &amp; SPA Sweep Elbows'!$A$12,VLOOKUP($A134,'Pool &amp; SPA Sweep Elbows'!$A$8:$M$11,10,FALSE),
IF($A134&lt;'Pool &amp; SPA Pipe Extender'!$A$11,VLOOKUP($A134,'Pool &amp; SPA Pipe Extender'!$A$8:$M$10,10,FALSE),
IF($A134&lt;'PVC SCH80'!$A$250,VLOOKUP($A134,'PVC SCH80'!$A$8:$M$249,10,FALSE),
IF($A134&lt;'PVC SCH80 Flange'!$A$49,VLOOKUP($A134,'PVC SCH80 Flange'!$A$8:$M$48,10,FALSE),
IF($A134&lt;'PVC SCH80 LD Flange'!$A$17,VLOOKUP($A134,'PVC SCH80 LD Flange'!$A$8:$M$16,10,FALSE),
IF($A134&lt;CPVC!$A$100,VLOOKUP($A134,CPVC!$A$8:$M$99,10,FALSE),
IF($A134&lt;InsertFittings!$A$237,VLOOKUP($A134,InsertFittings!$A$11:$M$236,10,FALSE),
IF($A134&lt;Valves!$A$132,VLOOKUP($A134,Valves!$A$8:$M$131,10,FALSE),
IF($A134&lt;SDR35SW!$A$124,VLOOKUP($A134,SDR35SW!$A$8:$M$123,10,FALSE),
IF($A134&lt;SDR35G!$A$143,VLOOKUP($A134, SDR35G!$A$8:$M$142,10,FALSE),
IF($A134&lt;SDR26G!$A$61,VLOOKUP($A134,SDR26G!$A$8:$N$60,11,FALSE),
IF($A134&lt;Cements!$A$100,VLOOKUP($A134,Cements!$A$8:$Q$99,14,FALSE),
IF($A134&lt;ValveBox!$A$143,VLOOKUP($A134,ValveBox!$A$10:$O$142,12,FALSE),
IF($A134&lt;'ValveBox Components'!$A$165,VLOOKUP($A134,'ValveBox Components'!$A$10:$O$164,12,FALSE),
IF($A134&lt;Drainage!$A$92,VLOOKUP($A134,Drainage!$A$8:$M$91,10,FALSE),
IF($A134&lt;Nipples!$A$82,VLOOKUP($A134,Nipples!$A$9:$Q$81,14,FALSE),
IF($A134&lt;Manifold!$A$33,VLOOKUP($A134,Manifold!$A$9:$M$32,10,FALSE),
IF($A134&lt;FlexibleRepairCouplings!$A$13,VLOOKUP($A134,FlexibleRepairCouplings!$A$10:$M$12,10,FALSE),
IF($A134&lt;DuraFix!$A$15,VLOOKUP($A134,DuraFix!$A$9:$M$14,10,FALSE),
IF($A134&lt;'Compression Fittings'!$A$16,VLOOKUP($A134,'Compression Fittings'!$A$8:$M$15,10,FALSE),
IF($A134&lt;'Hose Fittings'!$A$30,VLOOKUP($A134,'Hose Fittings'!$A$8:$M$29,10,FALSE),
IF($A134&lt;'Swing Joints'!$A$496,VLOOKUP($A134,'Swing Joints'!$A$9:$M$495,10,FALSE),
IF($A134&lt;'Swing Joints Components'!$A$135,VLOOKUP($A134,'Swing Joints Components'!$A$9:$M$134,10,FALSE),
IF($A134&lt;Nonstandard!$A$42,VLOOKUP($A134,Nonstandard!$A$31:$J$41,10,FALSE),"")))))))))))))))))))))))))))),"")</f>
        <v/>
      </c>
      <c r="L134" s="421" t="str">
        <f t="shared" si="2"/>
        <v>-</v>
      </c>
      <c r="M134" s="425"/>
    </row>
    <row r="135" spans="1:13" ht="15.75">
      <c r="A135" s="415">
        <v>103</v>
      </c>
      <c r="B135" s="415" t="str">
        <f>IFERROR(IF($A135&lt;'DWV PVC'!$A$285,VLOOKUP($A135,'DWV PVC'!$A$8:$M$284,4,FALSE),
IF($A135&lt;'DWV ABS'!$A$117,VLOOKUP($A135,'DWV ABS'!$A$8:$M$116,4,FALSE),
IF($A135&lt;'PVC SCH40'!$A$376,VLOOKUP($A135,'PVC SCH40'!$A$8:$M$375,4,FALSE),
IF($A135&lt;'PVC SCH40 LD'!$A$22,VLOOKUP($A135,'PVC SCH40 LD'!$A$8:$M$21,4,FALSE),
IF($A135&lt;'Pool &amp; SPA Sweep Elbows'!$A$12,VLOOKUP($A135,'Pool &amp; SPA Sweep Elbows'!$A$8:$M$11,4,FALSE),
IF($A135&lt;'Pool &amp; SPA Pipe Extender'!$A$11,VLOOKUP($A135,'Pool &amp; SPA Pipe Extender'!$A$8:$M$10,4,FALSE),
IF($A135&lt;'PVC SCH80'!$A$250,VLOOKUP($A135,'PVC SCH80'!$A$8:$M$249,4,FALSE),
IF($A135&lt;'PVC SCH80 Flange'!$A$49,VLOOKUP($A135,'PVC SCH80 Flange'!$A$8:$M$48,4,FALSE),
IF($A135&lt;'PVC SCH80 LD Flange'!$A$17,VLOOKUP($A135,'PVC SCH80 LD Flange'!$A$8:$M$16,4,FALSE),
IF($A135&lt;CPVC!$A$100,VLOOKUP($A135,CPVC!$A$8:$M$99,4,FALSE),
IF($A135&lt;InsertFittings!$A$237,VLOOKUP($A135,InsertFittings!$A$11:$M$236,4,FALSE),
IF($A135&lt;Valves!$A$132,VLOOKUP($A135,Valves!$A$8:$M$131,4,FALSE),
IF($A135&lt;SDR35SW!$A$124,VLOOKUP($A135,SDR35SW!$A$8:$M$123,4,FALSE),
IF($A135&lt;SDR35G!$A$143,VLOOKUP($A135, SDR35G!$A$8:$M$142,4,FALSE),
IF($A135&lt;SDR26G!$A$61,VLOOKUP($A135,SDR26G!$A$8:$N$60,4,FALSE),
IF($A135&lt;Cements!$A$100,VLOOKUP($A135,Cements!$A$8:$Q$99,4,FALSE),
IF($A135&lt;ValveBox!$A$143,VLOOKUP($A135,ValveBox!$A$10:$O$142,4,FALSE),
IF($A135&lt;'ValveBox Components'!$A$165,VLOOKUP($A135,'ValveBox Components'!$A$10:$O$164,4,FALSE),
IF($A135&lt;Drainage!$A$92,VLOOKUP($A135,Drainage!$A$8:$M$91,4,FALSE),
IF($A135&lt;Nipples!$A$82,VLOOKUP($A135,Nipples!$A$9:$Q$81,4,FALSE),
IF($A135&lt;Manifold!$A$33,VLOOKUP($A135,Manifold!$A$9:$M$32,4,FALSE),
IF($A135&lt;FlexibleRepairCouplings!$A$13,VLOOKUP($A135,FlexibleRepairCouplings!$A$10:$M$12,4,FALSE),
IF($A135&lt;DuraFix!$A$15,VLOOKUP($A135,DuraFix!$A$9:$M$14,4,FALSE),
IF($A135&lt;'Compression Fittings'!$A$16,VLOOKUP($A135,'Compression Fittings'!$A$8:$M$15,4,FALSE),
IF($A135&lt;'Hose Fittings'!$A$30,VLOOKUP($A135,'Hose Fittings'!$A$8:$M$29,4,FALSE),
IF($A135&lt;'Swing Joints'!$A$496,VLOOKUP($A135,'Swing Joints'!$A$9:$M$495,4,FALSE),
IF($A135&lt;'Swing Joints Components'!$A$135,VLOOKUP($A135,'Swing Joints Components'!$A$9:$M$134,4,FALSE),
IF($A135&lt;Nonstandard!$A$42,VLOOKUP($A135,Nonstandard!$A$31:$J$41,5,FALSE),"")))))))))))))))))))))))))))),"")</f>
        <v/>
      </c>
      <c r="C135" s="415" t="str">
        <f>IFERROR(IF($A135&lt;'DWV PVC'!$A$285,VLOOKUP($A135,'DWV PVC'!$A$8:$M$284,5,FALSE),
IF($A135&lt;'DWV ABS'!$A$117,VLOOKUP($A135,'DWV ABS'!$A$8:$M$116,5,FALSE),
IF($A135&lt;'PVC SCH40'!$A$376,VLOOKUP($A135,'PVC SCH40'!$A$8:$M$375,5,FALSE),
IF($A135&lt;'PVC SCH40 LD'!$A$22,VLOOKUP($A135,'PVC SCH40 LD'!$A$8:$M$21,5,FALSE),
IF($A135&lt;'Pool &amp; SPA Sweep Elbows'!$A$12,VLOOKUP($A135,'Pool &amp; SPA Sweep Elbows'!$A$8:$M$11,5,FALSE),
IF($A135&lt;'Pool &amp; SPA Pipe Extender'!$A$11,VLOOKUP($A135,'Pool &amp; SPA Pipe Extender'!$A$8:$M$10,5,FALSE),
IF($A135&lt;'PVC SCH80'!$A$250,VLOOKUP($A135,'PVC SCH80'!$A$8:$M$249,5,FALSE),
IF($A135&lt;'PVC SCH80 Flange'!$A$49,VLOOKUP($A135,'PVC SCH80 Flange'!$A$8:$M$48,5,FALSE),
IF($A135&lt;'PVC SCH80 LD Flange'!$A$17,VLOOKUP($A135,'PVC SCH80 LD Flange'!$A$8:$M$16,5,FALSE),
IF($A135&lt;CPVC!$A$100,VLOOKUP($A135,CPVC!$A$8:$M$99,5,FALSE),
IF($A135&lt;InsertFittings!$A$237,VLOOKUP($A135,InsertFittings!$A$11:$M$236,5,FALSE),
IF($A135&lt;Valves!$A$132,VLOOKUP($A135,Valves!$A$8:$M$131,5,FALSE),
IF($A135&lt;SDR35SW!$A$124,VLOOKUP($A135,SDR35SW!$A$8:$M$123,5,FALSE),
IF($A135&lt;SDR35G!$A$143,VLOOKUP($A135, SDR35G!$A$8:$M$142,5,FALSE),
IF($A135&lt;SDR26G!$A$61,VLOOKUP($A135,SDR26G!$A$8:$N$60,5,FALSE),
IF($A135&lt;Cements!$A$100,VLOOKUP($A135,Cements!$A$8:$Q$99,5,FALSE),
IF($A135&lt;ValveBox!$A$143,VLOOKUP($A135,ValveBox!$A$10:$O$142,5,FALSE),
IF($A135&lt;'ValveBox Components'!$A$165,VLOOKUP($A135,'ValveBox Components'!$A$10:$O$164,5,FALSE),
IF($A135&lt;Drainage!$A$92,VLOOKUP($A135,Drainage!$A$8:$M$91,5,FALSE),
IF($A135&lt;Nipples!$A$82,VLOOKUP($A135,Nipples!$A$9:$Q$81,5,FALSE),
IF($A135&lt;Manifold!$A$33,VLOOKUP($A135,Manifold!$A$9:$M$32,5,FALSE),
IF($A135&lt;FlexibleRepairCouplings!$A$13,VLOOKUP($A135,FlexibleRepairCouplings!$A$10:$M$12,5,FALSE),
IF($A135&lt;DuraFix!$A$15,VLOOKUP($A135,DuraFix!$A$9:$M$14,5,FALSE),
IF($A135&lt;'Compression Fittings'!$A$16,VLOOKUP($A135,'Compression Fittings'!$A$8:$M$15,5,FALSE),
IF($A135&lt;'Hose Fittings'!$A$30,VLOOKUP($A135,'Hose Fittings'!$A$8:$M$29,5,FALSE),
IF($A135&lt;'Swing Joints'!$A$496,VLOOKUP($A135,'Swing Joints'!$A$9:$M$495,5,FALSE),
IF($A135&lt;'Swing Joints Components'!$A$135,VLOOKUP($A135,'Swing Joints Components'!$A$9:$M$134,5,FALSE),
IF($A135&lt;Nonstandard!$A$42,VLOOKUP($A135,Nonstandard!$A$31:$J$41,6,FALSE),"")))))))))))))))))))))))))))),"")</f>
        <v/>
      </c>
      <c r="D135" s="426" t="str">
        <f>IFERROR(IF($A135&lt;'DWV PVC'!$A$285,VLOOKUP($A135,'DWV PVC'!$A$8:$M$284,6,FALSE),
IF($A135&lt;'DWV ABS'!$A$117,VLOOKUP($A135,'DWV ABS'!$A$8:$M$116,6,FALSE),
IF($A135&lt;'PVC SCH40'!$A$376,VLOOKUP($A135,'PVC SCH40'!$A$8:$M$375,6,FALSE),
IF($A135&lt;'PVC SCH40 LD'!$A$22,VLOOKUP($A135,'PVC SCH40 LD'!$A$8:$M$21,6,FALSE),
IF($A135&lt;'Pool &amp; SPA Sweep Elbows'!$A$12,VLOOKUP($A135,'Pool &amp; SPA Sweep Elbows'!$A$8:$M$11,6,FALSE),
IF($A135&lt;'Pool &amp; SPA Pipe Extender'!$A$11,VLOOKUP($A135,'Pool &amp; SPA Pipe Extender'!$A$8:$M$10,6,FALSE),
IF($A135&lt;'PVC SCH80'!$A$250,VLOOKUP($A135,'PVC SCH80'!$A$8:$M$249,6,FALSE),
IF($A135&lt;'PVC SCH80 Flange'!$A$49,VLOOKUP($A135,'PVC SCH80 Flange'!$A$8:$M$48,6,FALSE),
IF($A135&lt;'PVC SCH80 LD Flange'!$A$17,VLOOKUP($A135,'PVC SCH80 LD Flange'!$A$8:$M$16,6,FALSE),
IF($A135&lt;CPVC!$A$100,VLOOKUP($A135,CPVC!$A$8:$M$99,6,FALSE),
IF($A135&lt;InsertFittings!$A$237,VLOOKUP($A135,InsertFittings!$A$11:$M$236,6,FALSE),
IF($A135&lt;Valves!$A$132,VLOOKUP($A135,Valves!$A$8:$M$131,6,FALSE),
IF($A135&lt;SDR35SW!$A$124,VLOOKUP($A135,SDR35SW!$A$8:$M$123,6,FALSE),
IF($A135&lt;SDR35G!$A$143,VLOOKUP($A135, SDR35G!$A$8:$M$142,6,FALSE),
IF($A135&lt;SDR26G!$A$61,VLOOKUP($A135,SDR26G!$A$8:$N$60,6,FALSE),
IF($A135&lt;Cements!$A$100,VLOOKUP($A135,Cements!$A$8:$Q$99,6,FALSE),
IF($A135&lt;ValveBox!$A$143,VLOOKUP($A135,ValveBox!$A$10:$O$142,6,FALSE),
IF($A135&lt;'ValveBox Components'!$A$165,VLOOKUP($A135,'ValveBox Components'!$A$10:$O$164,6,FALSE),
IF($A135&lt;Drainage!$A$92,VLOOKUP($A135,Drainage!$A$8:$M$91,6,FALSE),
IF($A135&lt;Nipples!$A$82,VLOOKUP($A135,Nipples!$A$9:$Q$81,6,FALSE),
IF($A135&lt;Manifold!$A$33,VLOOKUP($A135,Manifold!$A$9:$M$32,6,FALSE),
IF($A135&lt;FlexibleRepairCouplings!$A$13,VLOOKUP($A135,FlexibleRepairCouplings!$A$10:$M$12,6,FALSE),
IF($A135&lt;DuraFix!$A$15,VLOOKUP($A135,DuraFix!$A$9:$M$14,6,FALSE),
IF($A135&lt;'Compression Fittings'!$A$16,VLOOKUP($A135,'Compression Fittings'!$A$8:$M$15,6,FALSE),
IF($A135&lt;'Hose Fittings'!$A$30,VLOOKUP($A135,'Hose Fittings'!$A$8:$M$29,6,FALSE),
IF($A135&lt;'Swing Joints'!$A$496,VLOOKUP($A135,'Swing Joints'!$A$9:$M$495,6,FALSE),
IF($A135&lt;'Swing Joints Components'!$A$135,VLOOKUP($A135,'Swing Joints Components'!$A$9:$M$134,6,FALSE),
IF($A135&lt;Nonstandard!$A$42,VLOOKUP($A135,Nonstandard!$A$31:$J$41,7,FALSE),"")))))))))))))))))))))))))))),"")</f>
        <v/>
      </c>
      <c r="E135" s="427"/>
      <c r="F135" s="418" t="str">
        <f>IFERROR(IF($A135&lt;'DWV PVC'!$A$285,VLOOKUP($A135,'DWV PVC'!$A$8:$M$284,9,FALSE),
IF($A135&lt;'DWV ABS'!$A$117,VLOOKUP($A135,'DWV ABS'!$A$8:$M$116,9,FALSE),
IF($A135&lt;'PVC SCH40'!$A$376,VLOOKUP($A135,'PVC SCH40'!$A$8:$M$375,9,FALSE),
IF($A135&lt;'PVC SCH40 LD'!$A$22,VLOOKUP($A135,'PVC SCH40 LD'!$A$8:$M$21,9,FALSE),
IF($A135&lt;'Pool &amp; SPA Sweep Elbows'!$A$12,VLOOKUP($A135,'Pool &amp; SPA Sweep Elbows'!$A$8:$M$11,9,FALSE),
IF($A135&lt;'Pool &amp; SPA Pipe Extender'!$A$11,VLOOKUP($A135,'Pool &amp; SPA Pipe Extender'!$A$8:$M$10,9,FALSE),
IF($A135&lt;'PVC SCH80'!$A$250,VLOOKUP($A135,'PVC SCH80'!$A$8:$M$249,9,FALSE),
IF($A135&lt;'PVC SCH80 Flange'!$A$49,VLOOKUP($A135,'PVC SCH80 Flange'!$A$8:$M$48,9,FALSE),
IF($A135&lt;'PVC SCH80 LD Flange'!$A$17,VLOOKUP($A135,'PVC SCH80 LD Flange'!$A$8:$M$16,9,FALSE),
IF($A135&lt;CPVC!$A$100,VLOOKUP($A135,CPVC!$A$8:$M$99,9,FALSE),
IF($A135&lt;InsertFittings!$A$237,VLOOKUP($A135,InsertFittings!$A$11:$M$236,9,FALSE),
IF($A135&lt;Valves!$A$132,VLOOKUP($A135,Valves!$A$8:$M$131,9,FALSE),
IF($A135&lt;SDR35SW!$A$124,VLOOKUP($A135,SDR35SW!$A$8:$M$123,9,FALSE),
IF($A135&lt;SDR35G!$A$143,VLOOKUP($A135, SDR35G!$A$8:$M$142,9,FALSE),
IF($A135&lt;SDR26G!$A$61,VLOOKUP($A135,SDR26G!$A$8:$N$60,10,FALSE),
IF($A135&lt;Cements!$A$100,VLOOKUP($A135,Cements!$A$8:$Q$99,13,FALSE),
IF($A135&lt;ValveBox!$A$143,VLOOKUP($A135,ValveBox!$A$10:$O$142,11,FALSE),
IF($A135&lt;'ValveBox Components'!$A$165,VLOOKUP($A135,'ValveBox Components'!$A$10:$O$164,11,FALSE),
IF($A135&lt;Drainage!$A$92,VLOOKUP($A135,Drainage!$A$8:$M$91,9,FALSE),
IF($A135&lt;Nipples!$A$82,VLOOKUP($A135,Nipples!$A$9:$Q$81,13,FALSE),
IF($A135&lt;Manifold!$A$33,VLOOKUP($A135,Manifold!$A$9:$M$32,9,FALSE),
IF($A135&lt;FlexibleRepairCouplings!$A$13,VLOOKUP($A135,FlexibleRepairCouplings!$A$10:$M$12,9,FALSE),
IF($A135&lt;DuraFix!$A$15,VLOOKUP($A135,DuraFix!$A$9:$M$14,9,FALSE),
IF($A135&lt;'Compression Fittings'!$A$16,VLOOKUP($A135,'Compression Fittings'!$A$8:$M$15,9,FALSE),
IF($A135&lt;'Hose Fittings'!$A$30,VLOOKUP($A135,'Hose Fittings'!$A$8:$M$29,9,FALSE),
IF($A135&lt;'Swing Joints'!$A$496,VLOOKUP($A135,'Swing Joints'!$A$9:$M$495,9,FALSE),
IF($A135&lt;'Swing Joints Components'!$A$135,VLOOKUP($A135,'Swing Joints Components'!$A$9:$M$134,9,FALSE),
IF($A135&lt;Nonstandard!$A$42,VLOOKUP($A135,Nonstandard!$A$31:$J$41,8,FALSE),"")))))))))))))))))))))))))))),"")</f>
        <v/>
      </c>
      <c r="G135" s="416" t="str">
        <f>IFERROR(IF($A135&lt;'DWV PVC'!$A$285,VLOOKUP($A135,'DWV PVC'!$A$8:$M$284,11,FALSE),
IF($A135&lt;'DWV ABS'!$A$117,VLOOKUP($A135,'DWV ABS'!$A$8:$M$116,11,FALSE),
IF($A135&lt;'PVC SCH40'!$A$376,VLOOKUP($A135,'PVC SCH40'!$A$8:$M$375,11,FALSE),
IF($A135&lt;'PVC SCH40 LD'!$A$22,VLOOKUP($A135,'PVC SCH40 LD'!$A$8:$M$21,11,FALSE),
IF($A135&lt;'Pool &amp; SPA Sweep Elbows'!$A$12,VLOOKUP($A135,'Pool &amp; SPA Sweep Elbows'!$A$8:$M$11,11,FALSE),
IF($A135&lt;'Pool &amp; SPA Pipe Extender'!$A$11,VLOOKUP($A135,'Pool &amp; SPA Pipe Extender'!$A$8:$M$10,11,FALSE),
IF($A135&lt;'PVC SCH80'!$A$250,VLOOKUP($A135,'PVC SCH80'!$A$8:$M$249,11,FALSE),
IF($A135&lt;'PVC SCH80 Flange'!$A$49,VLOOKUP($A135,'PVC SCH80 Flange'!$A$8:$M$48,11,FALSE),
IF($A135&lt;'PVC SCH80 LD Flange'!$A$17,VLOOKUP($A135,'PVC SCH80 LD Flange'!$A$8:$M$16,11,FALSE),
IF($A135&lt;CPVC!$A$100,VLOOKUP($A135,CPVC!$A$8:$M$99,11,FALSE),
IF($A135&lt;InsertFittings!$A$237,VLOOKUP($A135,InsertFittings!$A$11:$M$236,11,FALSE),
IF($A135&lt;Valves!$A$132,VLOOKUP($A135,Valves!$A$8:$M$131,11,FALSE),
IF($A135&lt;SDR35SW!$A$124,VLOOKUP($A135,SDR35SW!$A$8:$M$123,11,FALSE),
IF($A135&lt;SDR35G!$A$143,VLOOKUP($A135, SDR35G!$A$8:$M$142,11,FALSE),
IF($A135&lt;SDR26G!$A$61,VLOOKUP($A135,SDR26G!$A$8:$N$60,12,FALSE),
IF($A135&lt;Cements!$A$100,VLOOKUP($A135,Cements!$A$8:$Q$99,15,FALSE),
IF($A135&lt;ValveBox!$A$143,VLOOKUP($A135,ValveBox!$A$10:$O$142,13,FALSE),
IF($A135&lt;'ValveBox Components'!$A$165,VLOOKUP($A135,'ValveBox Components'!$A$10:$O$164,13,FALSE),
IF($A135&lt;Drainage!$A$92,VLOOKUP($A135,Drainage!$A$8:$M$91,11,FALSE),
IF($A135&lt;Nipples!$A$82,VLOOKUP($A135,Nipples!$A$9:$Q$81,15,FALSE),
IF($A135&lt;Manifold!$A$33,VLOOKUP($A135,Manifold!$A$9:$M$32,11,FALSE),
IF($A135&lt;FlexibleRepairCouplings!$A$13,VLOOKUP($A135,FlexibleRepairCouplings!$A$10:$M$12,11,FALSE),
IF($A135&lt;DuraFix!$A$15,VLOOKUP($A135,DuraFix!$A$9:$M$14,11,FALSE),
IF($A135&lt;'Compression Fittings'!$A$16,VLOOKUP($A135,'Compression Fittings'!$A$8:$M$15,11,FALSE),
IF($A135&lt;'Hose Fittings'!$A$30,VLOOKUP($A135,'Hose Fittings'!$A$8:$M$29,11,FALSE),
IF($A135&lt;'Swing Joints'!$A$496,VLOOKUP($A135,'Swing Joints'!$A$9:$M$495,11,FALSE),
IF($A135&lt;'Swing Joints Components'!$A$135,VLOOKUP($A135,'Swing Joints Components'!$A$9:$M$134,11,FALSE),
IF($A135&lt;Nonstandard!$A$42,VLOOKUP($A135,Nonstandard!$A$31:$J$41,3,FALSE),"")))))))))))))))))))))))))))),"")</f>
        <v/>
      </c>
      <c r="H135" s="586" t="str">
        <f>IFERROR(IF($A135&lt;'DWV PVC'!$A$285,VLOOKUP($A135,'DWV PVC'!$A$8:$M$284,7,FALSE),
IF($A135&lt;'DWV ABS'!$A$117,VLOOKUP($A135,'DWV ABS'!$A$8:$M$116,7,FALSE),
IF($A135&lt;'PVC SCH40'!$A$376,VLOOKUP($A135,'PVC SCH40'!$A$8:$M$375,7,FALSE),
IF($A135&lt;'PVC SCH40 LD'!$A$22,VLOOKUP($A135,'PVC SCH40 LD'!$A$8:$M$21,7,FALSE),
IF($A135&lt;'Pool &amp; SPA Sweep Elbows'!$A$12,VLOOKUP($A135,'Pool &amp; SPA Sweep Elbows'!$A$8:$M$11,7,FALSE),
IF($A135&lt;'Pool &amp; SPA Pipe Extender'!$A$11,VLOOKUP($A135,'Pool &amp; SPA Pipe Extender'!$A$8:$M$10,7,FALSE),
IF($A135&lt;'PVC SCH80'!$A$250,VLOOKUP($A135,'PVC SCH80'!$A$8:$M$249,7,FALSE),
IF($A135&lt;'PVC SCH80 Flange'!$A$49,VLOOKUP($A135,'PVC SCH80 Flange'!$A$8:$M$48,7,FALSE),
IF($A135&lt;'PVC SCH80 LD Flange'!$A$17,VLOOKUP($A135,'PVC SCH80 LD Flange'!$A$8:$M$16,7,FALSE),
IF($A135&lt;CPVC!$A$100,VLOOKUP($A135,CPVC!$A$8:$M$99,7,FALSE),
IF($A135&lt;InsertFittings!$A$237,VLOOKUP($A135,InsertFittings!$A$11:$M$236,7,FALSE),
IF($A135&lt;Valves!$A$132,VLOOKUP($A135,Valves!$A$8:$M$131,7,FALSE),
IF($A135&lt;SDR35SW!$A$124,VLOOKUP($A135,SDR35SW!$A$8:$M$123,7,FALSE),
IF($A135&lt;SDR35G!$A$143,VLOOKUP($A135, SDR35G!$A$8:$M$142,7,FALSE),
IF($A135&lt;SDR26G!$A$61,VLOOKUP($A135,SDR26G!$A$8:$N$60,10,FALSE),
IF($A135&lt;Cements!$A$100,VLOOKUP($A135,Cements!$A$8:$Q$99,13,FALSE),
IF($A135&lt;ValveBox!$A$143,VLOOKUP($A135,ValveBox!$A$10:$O$142,11,FALSE),
IF($A135&lt;'ValveBox Components'!$A$165,VLOOKUP($A135,'ValveBox Components'!$A$10:$O$164,11,FALSE),
IF($A135&lt;Drainage!$A$92,VLOOKUP($A135,Drainage!$A$8:$M$91,7,FALSE),
IF($A135&lt;Nipples!$A$82,VLOOKUP($A135,Nipples!$A$9:$Q$81,13,FALSE),
IF($A135&lt;Manifold!$A$33,VLOOKUP($A135,Manifold!$A$9:$M$32,7,FALSE),
IF($A135&lt;FlexibleRepairCouplings!$A$13,VLOOKUP($A135,FlexibleRepairCouplings!$A$10:$M$12,7,FALSE),
IF($A135&lt;DuraFix!$A$15,VLOOKUP($A135,DuraFix!$A$9:$M$14,7,FALSE),
IF($A135&lt;'Compression Fittings'!$A$16,VLOOKUP($A135,'Compression Fittings'!$A$8:$M$15,7,FALSE),
IF($A135&lt;'Hose Fittings'!$A$30,VLOOKUP($A135,'Hose Fittings'!$A$8:$M$29,7,FALSE),
IF($A135&lt;'Swing Joints'!$A$496,VLOOKUP($A135,'Swing Joints'!$A$9:$M$495,7,FALSE),
IF($A135&lt;'Swing Joints Components'!$A$135,VLOOKUP($A135,'Swing Joints Components'!$A$9:$M$134,7,FALSE),
IF($A135&lt;Nonstandard!$A$42,VLOOKUP($A135,Nonstandard!$A$31:$J$41,3,FALSE),"")))))))))))))))))))))))))))),"")</f>
        <v/>
      </c>
      <c r="I135" s="587"/>
      <c r="J135" s="383" t="str">
        <f t="shared" si="3"/>
        <v/>
      </c>
      <c r="K135" s="417" t="str">
        <f>IFERROR(IF($A135&lt;'DWV PVC'!$A$285,VLOOKUP($A135,'DWV PVC'!$A$8:$M$284,10,FALSE),
IF($A135&lt;'DWV ABS'!$A$117,VLOOKUP($A135,'DWV ABS'!$A$8:$M$116,10,FALSE),
IF($A135&lt;'PVC SCH40'!$A$376,VLOOKUP($A135,'PVC SCH40'!$A$8:$M$375,10,FALSE),
IF($A135&lt;'PVC SCH40 LD'!$A$22,VLOOKUP($A135,'PVC SCH40 LD'!$A$8:$M$21,10,FALSE),
IF($A135&lt;'Pool &amp; SPA Sweep Elbows'!$A$12,VLOOKUP($A135,'Pool &amp; SPA Sweep Elbows'!$A$8:$M$11,10,FALSE),
IF($A135&lt;'Pool &amp; SPA Pipe Extender'!$A$11,VLOOKUP($A135,'Pool &amp; SPA Pipe Extender'!$A$8:$M$10,10,FALSE),
IF($A135&lt;'PVC SCH80'!$A$250,VLOOKUP($A135,'PVC SCH80'!$A$8:$M$249,10,FALSE),
IF($A135&lt;'PVC SCH80 Flange'!$A$49,VLOOKUP($A135,'PVC SCH80 Flange'!$A$8:$M$48,10,FALSE),
IF($A135&lt;'PVC SCH80 LD Flange'!$A$17,VLOOKUP($A135,'PVC SCH80 LD Flange'!$A$8:$M$16,10,FALSE),
IF($A135&lt;CPVC!$A$100,VLOOKUP($A135,CPVC!$A$8:$M$99,10,FALSE),
IF($A135&lt;InsertFittings!$A$237,VLOOKUP($A135,InsertFittings!$A$11:$M$236,10,FALSE),
IF($A135&lt;Valves!$A$132,VLOOKUP($A135,Valves!$A$8:$M$131,10,FALSE),
IF($A135&lt;SDR35SW!$A$124,VLOOKUP($A135,SDR35SW!$A$8:$M$123,10,FALSE),
IF($A135&lt;SDR35G!$A$143,VLOOKUP($A135, SDR35G!$A$8:$M$142,10,FALSE),
IF($A135&lt;SDR26G!$A$61,VLOOKUP($A135,SDR26G!$A$8:$N$60,11,FALSE),
IF($A135&lt;Cements!$A$100,VLOOKUP($A135,Cements!$A$8:$Q$99,14,FALSE),
IF($A135&lt;ValveBox!$A$143,VLOOKUP($A135,ValveBox!$A$10:$O$142,12,FALSE),
IF($A135&lt;'ValveBox Components'!$A$165,VLOOKUP($A135,'ValveBox Components'!$A$10:$O$164,12,FALSE),
IF($A135&lt;Drainage!$A$92,VLOOKUP($A135,Drainage!$A$8:$M$91,10,FALSE),
IF($A135&lt;Nipples!$A$82,VLOOKUP($A135,Nipples!$A$9:$Q$81,14,FALSE),
IF($A135&lt;Manifold!$A$33,VLOOKUP($A135,Manifold!$A$9:$M$32,10,FALSE),
IF($A135&lt;FlexibleRepairCouplings!$A$13,VLOOKUP($A135,FlexibleRepairCouplings!$A$10:$M$12,10,FALSE),
IF($A135&lt;DuraFix!$A$15,VLOOKUP($A135,DuraFix!$A$9:$M$14,10,FALSE),
IF($A135&lt;'Compression Fittings'!$A$16,VLOOKUP($A135,'Compression Fittings'!$A$8:$M$15,10,FALSE),
IF($A135&lt;'Hose Fittings'!$A$30,VLOOKUP($A135,'Hose Fittings'!$A$8:$M$29,10,FALSE),
IF($A135&lt;'Swing Joints'!$A$496,VLOOKUP($A135,'Swing Joints'!$A$9:$M$495,10,FALSE),
IF($A135&lt;'Swing Joints Components'!$A$135,VLOOKUP($A135,'Swing Joints Components'!$A$9:$M$134,10,FALSE),
IF($A135&lt;Nonstandard!$A$42,VLOOKUP($A135,Nonstandard!$A$31:$J$41,10,FALSE),"")))))))))))))))))))))))))))),"")</f>
        <v/>
      </c>
      <c r="L135" s="418" t="str">
        <f t="shared" si="2"/>
        <v>-</v>
      </c>
      <c r="M135" s="419"/>
    </row>
    <row r="136" spans="1:13" ht="15.75">
      <c r="A136" s="420">
        <v>104</v>
      </c>
      <c r="B136" s="420" t="str">
        <f>IFERROR(IF($A136&lt;'DWV PVC'!$A$285,VLOOKUP($A136,'DWV PVC'!$A$8:$M$284,4,FALSE),
IF($A136&lt;'DWV ABS'!$A$117,VLOOKUP($A136,'DWV ABS'!$A$8:$M$116,4,FALSE),
IF($A136&lt;'PVC SCH40'!$A$376,VLOOKUP($A136,'PVC SCH40'!$A$8:$M$375,4,FALSE),
IF($A136&lt;'PVC SCH40 LD'!$A$22,VLOOKUP($A136,'PVC SCH40 LD'!$A$8:$M$21,4,FALSE),
IF($A136&lt;'Pool &amp; SPA Sweep Elbows'!$A$12,VLOOKUP($A136,'Pool &amp; SPA Sweep Elbows'!$A$8:$M$11,4,FALSE),
IF($A136&lt;'Pool &amp; SPA Pipe Extender'!$A$11,VLOOKUP($A136,'Pool &amp; SPA Pipe Extender'!$A$8:$M$10,4,FALSE),
IF($A136&lt;'PVC SCH80'!$A$250,VLOOKUP($A136,'PVC SCH80'!$A$8:$M$249,4,FALSE),
IF($A136&lt;'PVC SCH80 Flange'!$A$49,VLOOKUP($A136,'PVC SCH80 Flange'!$A$8:$M$48,4,FALSE),
IF($A136&lt;'PVC SCH80 LD Flange'!$A$17,VLOOKUP($A136,'PVC SCH80 LD Flange'!$A$8:$M$16,4,FALSE),
IF($A136&lt;CPVC!$A$100,VLOOKUP($A136,CPVC!$A$8:$M$99,4,FALSE),
IF($A136&lt;InsertFittings!$A$237,VLOOKUP($A136,InsertFittings!$A$11:$M$236,4,FALSE),
IF($A136&lt;Valves!$A$132,VLOOKUP($A136,Valves!$A$8:$M$131,4,FALSE),
IF($A136&lt;SDR35SW!$A$124,VLOOKUP($A136,SDR35SW!$A$8:$M$123,4,FALSE),
IF($A136&lt;SDR35G!$A$143,VLOOKUP($A136, SDR35G!$A$8:$M$142,4,FALSE),
IF($A136&lt;SDR26G!$A$61,VLOOKUP($A136,SDR26G!$A$8:$N$60,4,FALSE),
IF($A136&lt;Cements!$A$100,VLOOKUP($A136,Cements!$A$8:$Q$99,4,FALSE),
IF($A136&lt;ValveBox!$A$143,VLOOKUP($A136,ValveBox!$A$10:$O$142,4,FALSE),
IF($A136&lt;'ValveBox Components'!$A$165,VLOOKUP($A136,'ValveBox Components'!$A$10:$O$164,4,FALSE),
IF($A136&lt;Drainage!$A$92,VLOOKUP($A136,Drainage!$A$8:$M$91,4,FALSE),
IF($A136&lt;Nipples!$A$82,VLOOKUP($A136,Nipples!$A$9:$Q$81,4,FALSE),
IF($A136&lt;Manifold!$A$33,VLOOKUP($A136,Manifold!$A$9:$M$32,4,FALSE),
IF($A136&lt;FlexibleRepairCouplings!$A$13,VLOOKUP($A136,FlexibleRepairCouplings!$A$10:$M$12,4,FALSE),
IF($A136&lt;DuraFix!$A$15,VLOOKUP($A136,DuraFix!$A$9:$M$14,4,FALSE),
IF($A136&lt;'Compression Fittings'!$A$16,VLOOKUP($A136,'Compression Fittings'!$A$8:$M$15,4,FALSE),
IF($A136&lt;'Hose Fittings'!$A$30,VLOOKUP($A136,'Hose Fittings'!$A$8:$M$29,4,FALSE),
IF($A136&lt;'Swing Joints'!$A$496,VLOOKUP($A136,'Swing Joints'!$A$9:$M$495,4,FALSE),
IF($A136&lt;'Swing Joints Components'!$A$135,VLOOKUP($A136,'Swing Joints Components'!$A$9:$M$134,4,FALSE),
IF($A136&lt;Nonstandard!$A$42,VLOOKUP($A136,Nonstandard!$A$31:$J$41,5,FALSE),"")))))))))))))))))))))))))))),"")</f>
        <v/>
      </c>
      <c r="C136" s="420" t="str">
        <f>IFERROR(IF($A136&lt;'DWV PVC'!$A$285,VLOOKUP($A136,'DWV PVC'!$A$8:$M$284,5,FALSE),
IF($A136&lt;'DWV ABS'!$A$117,VLOOKUP($A136,'DWV ABS'!$A$8:$M$116,5,FALSE),
IF($A136&lt;'PVC SCH40'!$A$376,VLOOKUP($A136,'PVC SCH40'!$A$8:$M$375,5,FALSE),
IF($A136&lt;'PVC SCH40 LD'!$A$22,VLOOKUP($A136,'PVC SCH40 LD'!$A$8:$M$21,5,FALSE),
IF($A136&lt;'Pool &amp; SPA Sweep Elbows'!$A$12,VLOOKUP($A136,'Pool &amp; SPA Sweep Elbows'!$A$8:$M$11,5,FALSE),
IF($A136&lt;'Pool &amp; SPA Pipe Extender'!$A$11,VLOOKUP($A136,'Pool &amp; SPA Pipe Extender'!$A$8:$M$10,5,FALSE),
IF($A136&lt;'PVC SCH80'!$A$250,VLOOKUP($A136,'PVC SCH80'!$A$8:$M$249,5,FALSE),
IF($A136&lt;'PVC SCH80 Flange'!$A$49,VLOOKUP($A136,'PVC SCH80 Flange'!$A$8:$M$48,5,FALSE),
IF($A136&lt;'PVC SCH80 LD Flange'!$A$17,VLOOKUP($A136,'PVC SCH80 LD Flange'!$A$8:$M$16,5,FALSE),
IF($A136&lt;CPVC!$A$100,VLOOKUP($A136,CPVC!$A$8:$M$99,5,FALSE),
IF($A136&lt;InsertFittings!$A$237,VLOOKUP($A136,InsertFittings!$A$11:$M$236,5,FALSE),
IF($A136&lt;Valves!$A$132,VLOOKUP($A136,Valves!$A$8:$M$131,5,FALSE),
IF($A136&lt;SDR35SW!$A$124,VLOOKUP($A136,SDR35SW!$A$8:$M$123,5,FALSE),
IF($A136&lt;SDR35G!$A$143,VLOOKUP($A136, SDR35G!$A$8:$M$142,5,FALSE),
IF($A136&lt;SDR26G!$A$61,VLOOKUP($A136,SDR26G!$A$8:$N$60,5,FALSE),
IF($A136&lt;Cements!$A$100,VLOOKUP($A136,Cements!$A$8:$Q$99,5,FALSE),
IF($A136&lt;ValveBox!$A$143,VLOOKUP($A136,ValveBox!$A$10:$O$142,5,FALSE),
IF($A136&lt;'ValveBox Components'!$A$165,VLOOKUP($A136,'ValveBox Components'!$A$10:$O$164,5,FALSE),
IF($A136&lt;Drainage!$A$92,VLOOKUP($A136,Drainage!$A$8:$M$91,5,FALSE),
IF($A136&lt;Nipples!$A$82,VLOOKUP($A136,Nipples!$A$9:$Q$81,5,FALSE),
IF($A136&lt;Manifold!$A$33,VLOOKUP($A136,Manifold!$A$9:$M$32,5,FALSE),
IF($A136&lt;FlexibleRepairCouplings!$A$13,VLOOKUP($A136,FlexibleRepairCouplings!$A$10:$M$12,5,FALSE),
IF($A136&lt;DuraFix!$A$15,VLOOKUP($A136,DuraFix!$A$9:$M$14,5,FALSE),
IF($A136&lt;'Compression Fittings'!$A$16,VLOOKUP($A136,'Compression Fittings'!$A$8:$M$15,5,FALSE),
IF($A136&lt;'Hose Fittings'!$A$30,VLOOKUP($A136,'Hose Fittings'!$A$8:$M$29,5,FALSE),
IF($A136&lt;'Swing Joints'!$A$496,VLOOKUP($A136,'Swing Joints'!$A$9:$M$495,5,FALSE),
IF($A136&lt;'Swing Joints Components'!$A$135,VLOOKUP($A136,'Swing Joints Components'!$A$9:$M$134,5,FALSE),
IF($A136&lt;Nonstandard!$A$42,VLOOKUP($A136,Nonstandard!$A$31:$J$41,6,FALSE),"")))))))))))))))))))))))))))),"")</f>
        <v/>
      </c>
      <c r="D136" s="428" t="str">
        <f>IFERROR(IF($A136&lt;'DWV PVC'!$A$285,VLOOKUP($A136,'DWV PVC'!$A$8:$M$284,6,FALSE),
IF($A136&lt;'DWV ABS'!$A$117,VLOOKUP($A136,'DWV ABS'!$A$8:$M$116,6,FALSE),
IF($A136&lt;'PVC SCH40'!$A$376,VLOOKUP($A136,'PVC SCH40'!$A$8:$M$375,6,FALSE),
IF($A136&lt;'PVC SCH40 LD'!$A$22,VLOOKUP($A136,'PVC SCH40 LD'!$A$8:$M$21,6,FALSE),
IF($A136&lt;'Pool &amp; SPA Sweep Elbows'!$A$12,VLOOKUP($A136,'Pool &amp; SPA Sweep Elbows'!$A$8:$M$11,6,FALSE),
IF($A136&lt;'Pool &amp; SPA Pipe Extender'!$A$11,VLOOKUP($A136,'Pool &amp; SPA Pipe Extender'!$A$8:$M$10,6,FALSE),
IF($A136&lt;'PVC SCH80'!$A$250,VLOOKUP($A136,'PVC SCH80'!$A$8:$M$249,6,FALSE),
IF($A136&lt;'PVC SCH80 Flange'!$A$49,VLOOKUP($A136,'PVC SCH80 Flange'!$A$8:$M$48,6,FALSE),
IF($A136&lt;'PVC SCH80 LD Flange'!$A$17,VLOOKUP($A136,'PVC SCH80 LD Flange'!$A$8:$M$16,6,FALSE),
IF($A136&lt;CPVC!$A$100,VLOOKUP($A136,CPVC!$A$8:$M$99,6,FALSE),
IF($A136&lt;InsertFittings!$A$237,VLOOKUP($A136,InsertFittings!$A$11:$M$236,6,FALSE),
IF($A136&lt;Valves!$A$132,VLOOKUP($A136,Valves!$A$8:$M$131,6,FALSE),
IF($A136&lt;SDR35SW!$A$124,VLOOKUP($A136,SDR35SW!$A$8:$M$123,6,FALSE),
IF($A136&lt;SDR35G!$A$143,VLOOKUP($A136, SDR35G!$A$8:$M$142,6,FALSE),
IF($A136&lt;SDR26G!$A$61,VLOOKUP($A136,SDR26G!$A$8:$N$60,6,FALSE),
IF($A136&lt;Cements!$A$100,VLOOKUP($A136,Cements!$A$8:$Q$99,6,FALSE),
IF($A136&lt;ValveBox!$A$143,VLOOKUP($A136,ValveBox!$A$10:$O$142,6,FALSE),
IF($A136&lt;'ValveBox Components'!$A$165,VLOOKUP($A136,'ValveBox Components'!$A$10:$O$164,6,FALSE),
IF($A136&lt;Drainage!$A$92,VLOOKUP($A136,Drainage!$A$8:$M$91,6,FALSE),
IF($A136&lt;Nipples!$A$82,VLOOKUP($A136,Nipples!$A$9:$Q$81,6,FALSE),
IF($A136&lt;Manifold!$A$33,VLOOKUP($A136,Manifold!$A$9:$M$32,6,FALSE),
IF($A136&lt;FlexibleRepairCouplings!$A$13,VLOOKUP($A136,FlexibleRepairCouplings!$A$10:$M$12,6,FALSE),
IF($A136&lt;DuraFix!$A$15,VLOOKUP($A136,DuraFix!$A$9:$M$14,6,FALSE),
IF($A136&lt;'Compression Fittings'!$A$16,VLOOKUP($A136,'Compression Fittings'!$A$8:$M$15,6,FALSE),
IF($A136&lt;'Hose Fittings'!$A$30,VLOOKUP($A136,'Hose Fittings'!$A$8:$M$29,6,FALSE),
IF($A136&lt;'Swing Joints'!$A$496,VLOOKUP($A136,'Swing Joints'!$A$9:$M$495,6,FALSE),
IF($A136&lt;'Swing Joints Components'!$A$135,VLOOKUP($A136,'Swing Joints Components'!$A$9:$M$134,6,FALSE),
IF($A136&lt;Nonstandard!$A$42,VLOOKUP($A136,Nonstandard!$A$31:$J$41,7,FALSE),"")))))))))))))))))))))))))))),"")</f>
        <v/>
      </c>
      <c r="E136" s="429"/>
      <c r="F136" s="421" t="str">
        <f>IFERROR(IF($A136&lt;'DWV PVC'!$A$285,VLOOKUP($A136,'DWV PVC'!$A$8:$M$284,9,FALSE),
IF($A136&lt;'DWV ABS'!$A$117,VLOOKUP($A136,'DWV ABS'!$A$8:$M$116,9,FALSE),
IF($A136&lt;'PVC SCH40'!$A$376,VLOOKUP($A136,'PVC SCH40'!$A$8:$M$375,9,FALSE),
IF($A136&lt;'PVC SCH40 LD'!$A$22,VLOOKUP($A136,'PVC SCH40 LD'!$A$8:$M$21,9,FALSE),
IF($A136&lt;'Pool &amp; SPA Sweep Elbows'!$A$12,VLOOKUP($A136,'Pool &amp; SPA Sweep Elbows'!$A$8:$M$11,9,FALSE),
IF($A136&lt;'Pool &amp; SPA Pipe Extender'!$A$11,VLOOKUP($A136,'Pool &amp; SPA Pipe Extender'!$A$8:$M$10,9,FALSE),
IF($A136&lt;'PVC SCH80'!$A$250,VLOOKUP($A136,'PVC SCH80'!$A$8:$M$249,9,FALSE),
IF($A136&lt;'PVC SCH80 Flange'!$A$49,VLOOKUP($A136,'PVC SCH80 Flange'!$A$8:$M$48,9,FALSE),
IF($A136&lt;'PVC SCH80 LD Flange'!$A$17,VLOOKUP($A136,'PVC SCH80 LD Flange'!$A$8:$M$16,9,FALSE),
IF($A136&lt;CPVC!$A$100,VLOOKUP($A136,CPVC!$A$8:$M$99,9,FALSE),
IF($A136&lt;InsertFittings!$A$237,VLOOKUP($A136,InsertFittings!$A$11:$M$236,9,FALSE),
IF($A136&lt;Valves!$A$132,VLOOKUP($A136,Valves!$A$8:$M$131,9,FALSE),
IF($A136&lt;SDR35SW!$A$124,VLOOKUP($A136,SDR35SW!$A$8:$M$123,9,FALSE),
IF($A136&lt;SDR35G!$A$143,VLOOKUP($A136, SDR35G!$A$8:$M$142,9,FALSE),
IF($A136&lt;SDR26G!$A$61,VLOOKUP($A136,SDR26G!$A$8:$N$60,10,FALSE),
IF($A136&lt;Cements!$A$100,VLOOKUP($A136,Cements!$A$8:$Q$99,13,FALSE),
IF($A136&lt;ValveBox!$A$143,VLOOKUP($A136,ValveBox!$A$10:$O$142,11,FALSE),
IF($A136&lt;'ValveBox Components'!$A$165,VLOOKUP($A136,'ValveBox Components'!$A$10:$O$164,11,FALSE),
IF($A136&lt;Drainage!$A$92,VLOOKUP($A136,Drainage!$A$8:$M$91,9,FALSE),
IF($A136&lt;Nipples!$A$82,VLOOKUP($A136,Nipples!$A$9:$Q$81,13,FALSE),
IF($A136&lt;Manifold!$A$33,VLOOKUP($A136,Manifold!$A$9:$M$32,9,FALSE),
IF($A136&lt;FlexibleRepairCouplings!$A$13,VLOOKUP($A136,FlexibleRepairCouplings!$A$10:$M$12,9,FALSE),
IF($A136&lt;DuraFix!$A$15,VLOOKUP($A136,DuraFix!$A$9:$M$14,9,FALSE),
IF($A136&lt;'Compression Fittings'!$A$16,VLOOKUP($A136,'Compression Fittings'!$A$8:$M$15,9,FALSE),
IF($A136&lt;'Hose Fittings'!$A$30,VLOOKUP($A136,'Hose Fittings'!$A$8:$M$29,9,FALSE),
IF($A136&lt;'Swing Joints'!$A$496,VLOOKUP($A136,'Swing Joints'!$A$9:$M$495,9,FALSE),
IF($A136&lt;'Swing Joints Components'!$A$135,VLOOKUP($A136,'Swing Joints Components'!$A$9:$M$134,9,FALSE),
IF($A136&lt;Nonstandard!$A$42,VLOOKUP($A136,Nonstandard!$A$31:$J$41,8,FALSE),"")))))))))))))))))))))))))))),"")</f>
        <v/>
      </c>
      <c r="G136" s="422" t="str">
        <f>IFERROR(IF($A136&lt;'DWV PVC'!$A$285,VLOOKUP($A136,'DWV PVC'!$A$8:$M$284,11,FALSE),
IF($A136&lt;'DWV ABS'!$A$117,VLOOKUP($A136,'DWV ABS'!$A$8:$M$116,11,FALSE),
IF($A136&lt;'PVC SCH40'!$A$376,VLOOKUP($A136,'PVC SCH40'!$A$8:$M$375,11,FALSE),
IF($A136&lt;'PVC SCH40 LD'!$A$22,VLOOKUP($A136,'PVC SCH40 LD'!$A$8:$M$21,11,FALSE),
IF($A136&lt;'Pool &amp; SPA Sweep Elbows'!$A$12,VLOOKUP($A136,'Pool &amp; SPA Sweep Elbows'!$A$8:$M$11,11,FALSE),
IF($A136&lt;'Pool &amp; SPA Pipe Extender'!$A$11,VLOOKUP($A136,'Pool &amp; SPA Pipe Extender'!$A$8:$M$10,11,FALSE),
IF($A136&lt;'PVC SCH80'!$A$250,VLOOKUP($A136,'PVC SCH80'!$A$8:$M$249,11,FALSE),
IF($A136&lt;'PVC SCH80 Flange'!$A$49,VLOOKUP($A136,'PVC SCH80 Flange'!$A$8:$M$48,11,FALSE),
IF($A136&lt;'PVC SCH80 LD Flange'!$A$17,VLOOKUP($A136,'PVC SCH80 LD Flange'!$A$8:$M$16,11,FALSE),
IF($A136&lt;CPVC!$A$100,VLOOKUP($A136,CPVC!$A$8:$M$99,11,FALSE),
IF($A136&lt;InsertFittings!$A$237,VLOOKUP($A136,InsertFittings!$A$11:$M$236,11,FALSE),
IF($A136&lt;Valves!$A$132,VLOOKUP($A136,Valves!$A$8:$M$131,11,FALSE),
IF($A136&lt;SDR35SW!$A$124,VLOOKUP($A136,SDR35SW!$A$8:$M$123,11,FALSE),
IF($A136&lt;SDR35G!$A$143,VLOOKUP($A136, SDR35G!$A$8:$M$142,11,FALSE),
IF($A136&lt;SDR26G!$A$61,VLOOKUP($A136,SDR26G!$A$8:$N$60,12,FALSE),
IF($A136&lt;Cements!$A$100,VLOOKUP($A136,Cements!$A$8:$Q$99,15,FALSE),
IF($A136&lt;ValveBox!$A$143,VLOOKUP($A136,ValveBox!$A$10:$O$142,13,FALSE),
IF($A136&lt;'ValveBox Components'!$A$165,VLOOKUP($A136,'ValveBox Components'!$A$10:$O$164,13,FALSE),
IF($A136&lt;Drainage!$A$92,VLOOKUP($A136,Drainage!$A$8:$M$91,11,FALSE),
IF($A136&lt;Nipples!$A$82,VLOOKUP($A136,Nipples!$A$9:$Q$81,15,FALSE),
IF($A136&lt;Manifold!$A$33,VLOOKUP($A136,Manifold!$A$9:$M$32,11,FALSE),
IF($A136&lt;FlexibleRepairCouplings!$A$13,VLOOKUP($A136,FlexibleRepairCouplings!$A$10:$M$12,11,FALSE),
IF($A136&lt;DuraFix!$A$15,VLOOKUP($A136,DuraFix!$A$9:$M$14,11,FALSE),
IF($A136&lt;'Compression Fittings'!$A$16,VLOOKUP($A136,'Compression Fittings'!$A$8:$M$15,11,FALSE),
IF($A136&lt;'Hose Fittings'!$A$30,VLOOKUP($A136,'Hose Fittings'!$A$8:$M$29,11,FALSE),
IF($A136&lt;'Swing Joints'!$A$496,VLOOKUP($A136,'Swing Joints'!$A$9:$M$495,11,FALSE),
IF($A136&lt;'Swing Joints Components'!$A$135,VLOOKUP($A136,'Swing Joints Components'!$A$9:$M$134,11,FALSE),
IF($A136&lt;Nonstandard!$A$42,VLOOKUP($A136,Nonstandard!$A$31:$J$41,3,FALSE),"")))))))))))))))))))))))))))),"")</f>
        <v/>
      </c>
      <c r="H136" s="588" t="str">
        <f>IFERROR(IF($A136&lt;'DWV PVC'!$A$285,VLOOKUP($A136,'DWV PVC'!$A$8:$M$284,7,FALSE),
IF($A136&lt;'DWV ABS'!$A$117,VLOOKUP($A136,'DWV ABS'!$A$8:$M$116,7,FALSE),
IF($A136&lt;'PVC SCH40'!$A$376,VLOOKUP($A136,'PVC SCH40'!$A$8:$M$375,7,FALSE),
IF($A136&lt;'PVC SCH40 LD'!$A$22,VLOOKUP($A136,'PVC SCH40 LD'!$A$8:$M$21,7,FALSE),
IF($A136&lt;'Pool &amp; SPA Sweep Elbows'!$A$12,VLOOKUP($A136,'Pool &amp; SPA Sweep Elbows'!$A$8:$M$11,7,FALSE),
IF($A136&lt;'Pool &amp; SPA Pipe Extender'!$A$11,VLOOKUP($A136,'Pool &amp; SPA Pipe Extender'!$A$8:$M$10,7,FALSE),
IF($A136&lt;'PVC SCH80'!$A$250,VLOOKUP($A136,'PVC SCH80'!$A$8:$M$249,7,FALSE),
IF($A136&lt;'PVC SCH80 Flange'!$A$49,VLOOKUP($A136,'PVC SCH80 Flange'!$A$8:$M$48,7,FALSE),
IF($A136&lt;'PVC SCH80 LD Flange'!$A$17,VLOOKUP($A136,'PVC SCH80 LD Flange'!$A$8:$M$16,7,FALSE),
IF($A136&lt;CPVC!$A$100,VLOOKUP($A136,CPVC!$A$8:$M$99,7,FALSE),
IF($A136&lt;InsertFittings!$A$237,VLOOKUP($A136,InsertFittings!$A$11:$M$236,7,FALSE),
IF($A136&lt;Valves!$A$132,VLOOKUP($A136,Valves!$A$8:$M$131,7,FALSE),
IF($A136&lt;SDR35SW!$A$124,VLOOKUP($A136,SDR35SW!$A$8:$M$123,7,FALSE),
IF($A136&lt;SDR35G!$A$143,VLOOKUP($A136, SDR35G!$A$8:$M$142,7,FALSE),
IF($A136&lt;SDR26G!$A$61,VLOOKUP($A136,SDR26G!$A$8:$N$60,10,FALSE),
IF($A136&lt;Cements!$A$100,VLOOKUP($A136,Cements!$A$8:$Q$99,13,FALSE),
IF($A136&lt;ValveBox!$A$143,VLOOKUP($A136,ValveBox!$A$10:$O$142,11,FALSE),
IF($A136&lt;'ValveBox Components'!$A$165,VLOOKUP($A136,'ValveBox Components'!$A$10:$O$164,11,FALSE),
IF($A136&lt;Drainage!$A$92,VLOOKUP($A136,Drainage!$A$8:$M$91,7,FALSE),
IF($A136&lt;Nipples!$A$82,VLOOKUP($A136,Nipples!$A$9:$Q$81,13,FALSE),
IF($A136&lt;Manifold!$A$33,VLOOKUP($A136,Manifold!$A$9:$M$32,7,FALSE),
IF($A136&lt;FlexibleRepairCouplings!$A$13,VLOOKUP($A136,FlexibleRepairCouplings!$A$10:$M$12,7,FALSE),
IF($A136&lt;DuraFix!$A$15,VLOOKUP($A136,DuraFix!$A$9:$M$14,7,FALSE),
IF($A136&lt;'Compression Fittings'!$A$16,VLOOKUP($A136,'Compression Fittings'!$A$8:$M$15,7,FALSE),
IF($A136&lt;'Hose Fittings'!$A$30,VLOOKUP($A136,'Hose Fittings'!$A$8:$M$29,7,FALSE),
IF($A136&lt;'Swing Joints'!$A$496,VLOOKUP($A136,'Swing Joints'!$A$9:$M$495,7,FALSE),
IF($A136&lt;'Swing Joints Components'!$A$135,VLOOKUP($A136,'Swing Joints Components'!$A$9:$M$134,7,FALSE),
IF($A136&lt;Nonstandard!$A$42,VLOOKUP($A136,Nonstandard!$A$31:$J$41,3,FALSE),"")))))))))))))))))))))))))))),"")</f>
        <v/>
      </c>
      <c r="I136" s="589"/>
      <c r="J136" s="423" t="str">
        <f t="shared" si="3"/>
        <v/>
      </c>
      <c r="K136" s="424" t="str">
        <f>IFERROR(IF($A136&lt;'DWV PVC'!$A$285,VLOOKUP($A136,'DWV PVC'!$A$8:$M$284,10,FALSE),
IF($A136&lt;'DWV ABS'!$A$117,VLOOKUP($A136,'DWV ABS'!$A$8:$M$116,10,FALSE),
IF($A136&lt;'PVC SCH40'!$A$376,VLOOKUP($A136,'PVC SCH40'!$A$8:$M$375,10,FALSE),
IF($A136&lt;'PVC SCH40 LD'!$A$22,VLOOKUP($A136,'PVC SCH40 LD'!$A$8:$M$21,10,FALSE),
IF($A136&lt;'Pool &amp; SPA Sweep Elbows'!$A$12,VLOOKUP($A136,'Pool &amp; SPA Sweep Elbows'!$A$8:$M$11,10,FALSE),
IF($A136&lt;'Pool &amp; SPA Pipe Extender'!$A$11,VLOOKUP($A136,'Pool &amp; SPA Pipe Extender'!$A$8:$M$10,10,FALSE),
IF($A136&lt;'PVC SCH80'!$A$250,VLOOKUP($A136,'PVC SCH80'!$A$8:$M$249,10,FALSE),
IF($A136&lt;'PVC SCH80 Flange'!$A$49,VLOOKUP($A136,'PVC SCH80 Flange'!$A$8:$M$48,10,FALSE),
IF($A136&lt;'PVC SCH80 LD Flange'!$A$17,VLOOKUP($A136,'PVC SCH80 LD Flange'!$A$8:$M$16,10,FALSE),
IF($A136&lt;CPVC!$A$100,VLOOKUP($A136,CPVC!$A$8:$M$99,10,FALSE),
IF($A136&lt;InsertFittings!$A$237,VLOOKUP($A136,InsertFittings!$A$11:$M$236,10,FALSE),
IF($A136&lt;Valves!$A$132,VLOOKUP($A136,Valves!$A$8:$M$131,10,FALSE),
IF($A136&lt;SDR35SW!$A$124,VLOOKUP($A136,SDR35SW!$A$8:$M$123,10,FALSE),
IF($A136&lt;SDR35G!$A$143,VLOOKUP($A136, SDR35G!$A$8:$M$142,10,FALSE),
IF($A136&lt;SDR26G!$A$61,VLOOKUP($A136,SDR26G!$A$8:$N$60,11,FALSE),
IF($A136&lt;Cements!$A$100,VLOOKUP($A136,Cements!$A$8:$Q$99,14,FALSE),
IF($A136&lt;ValveBox!$A$143,VLOOKUP($A136,ValveBox!$A$10:$O$142,12,FALSE),
IF($A136&lt;'ValveBox Components'!$A$165,VLOOKUP($A136,'ValveBox Components'!$A$10:$O$164,12,FALSE),
IF($A136&lt;Drainage!$A$92,VLOOKUP($A136,Drainage!$A$8:$M$91,10,FALSE),
IF($A136&lt;Nipples!$A$82,VLOOKUP($A136,Nipples!$A$9:$Q$81,14,FALSE),
IF($A136&lt;Manifold!$A$33,VLOOKUP($A136,Manifold!$A$9:$M$32,10,FALSE),
IF($A136&lt;FlexibleRepairCouplings!$A$13,VLOOKUP($A136,FlexibleRepairCouplings!$A$10:$M$12,10,FALSE),
IF($A136&lt;DuraFix!$A$15,VLOOKUP($A136,DuraFix!$A$9:$M$14,10,FALSE),
IF($A136&lt;'Compression Fittings'!$A$16,VLOOKUP($A136,'Compression Fittings'!$A$8:$M$15,10,FALSE),
IF($A136&lt;'Hose Fittings'!$A$30,VLOOKUP($A136,'Hose Fittings'!$A$8:$M$29,10,FALSE),
IF($A136&lt;'Swing Joints'!$A$496,VLOOKUP($A136,'Swing Joints'!$A$9:$M$495,10,FALSE),
IF($A136&lt;'Swing Joints Components'!$A$135,VLOOKUP($A136,'Swing Joints Components'!$A$9:$M$134,10,FALSE),
IF($A136&lt;Nonstandard!$A$42,VLOOKUP($A136,Nonstandard!$A$31:$J$41,10,FALSE),"")))))))))))))))))))))))))))),"")</f>
        <v/>
      </c>
      <c r="L136" s="421" t="str">
        <f t="shared" si="2"/>
        <v>-</v>
      </c>
      <c r="M136" s="425"/>
    </row>
    <row r="137" spans="1:13" ht="15.75">
      <c r="A137" s="415">
        <v>105</v>
      </c>
      <c r="B137" s="415" t="str">
        <f>IFERROR(IF($A137&lt;'DWV PVC'!$A$285,VLOOKUP($A137,'DWV PVC'!$A$8:$M$284,4,FALSE),
IF($A137&lt;'DWV ABS'!$A$117,VLOOKUP($A137,'DWV ABS'!$A$8:$M$116,4,FALSE),
IF($A137&lt;'PVC SCH40'!$A$376,VLOOKUP($A137,'PVC SCH40'!$A$8:$M$375,4,FALSE),
IF($A137&lt;'PVC SCH40 LD'!$A$22,VLOOKUP($A137,'PVC SCH40 LD'!$A$8:$M$21,4,FALSE),
IF($A137&lt;'Pool &amp; SPA Sweep Elbows'!$A$12,VLOOKUP($A137,'Pool &amp; SPA Sweep Elbows'!$A$8:$M$11,4,FALSE),
IF($A137&lt;'Pool &amp; SPA Pipe Extender'!$A$11,VLOOKUP($A137,'Pool &amp; SPA Pipe Extender'!$A$8:$M$10,4,FALSE),
IF($A137&lt;'PVC SCH80'!$A$250,VLOOKUP($A137,'PVC SCH80'!$A$8:$M$249,4,FALSE),
IF($A137&lt;'PVC SCH80 Flange'!$A$49,VLOOKUP($A137,'PVC SCH80 Flange'!$A$8:$M$48,4,FALSE),
IF($A137&lt;'PVC SCH80 LD Flange'!$A$17,VLOOKUP($A137,'PVC SCH80 LD Flange'!$A$8:$M$16,4,FALSE),
IF($A137&lt;CPVC!$A$100,VLOOKUP($A137,CPVC!$A$8:$M$99,4,FALSE),
IF($A137&lt;InsertFittings!$A$237,VLOOKUP($A137,InsertFittings!$A$11:$M$236,4,FALSE),
IF($A137&lt;Valves!$A$132,VLOOKUP($A137,Valves!$A$8:$M$131,4,FALSE),
IF($A137&lt;SDR35SW!$A$124,VLOOKUP($A137,SDR35SW!$A$8:$M$123,4,FALSE),
IF($A137&lt;SDR35G!$A$143,VLOOKUP($A137, SDR35G!$A$8:$M$142,4,FALSE),
IF($A137&lt;SDR26G!$A$61,VLOOKUP($A137,SDR26G!$A$8:$N$60,4,FALSE),
IF($A137&lt;Cements!$A$100,VLOOKUP($A137,Cements!$A$8:$Q$99,4,FALSE),
IF($A137&lt;ValveBox!$A$143,VLOOKUP($A137,ValveBox!$A$10:$O$142,4,FALSE),
IF($A137&lt;'ValveBox Components'!$A$165,VLOOKUP($A137,'ValveBox Components'!$A$10:$O$164,4,FALSE),
IF($A137&lt;Drainage!$A$92,VLOOKUP($A137,Drainage!$A$8:$M$91,4,FALSE),
IF($A137&lt;Nipples!$A$82,VLOOKUP($A137,Nipples!$A$9:$Q$81,4,FALSE),
IF($A137&lt;Manifold!$A$33,VLOOKUP($A137,Manifold!$A$9:$M$32,4,FALSE),
IF($A137&lt;FlexibleRepairCouplings!$A$13,VLOOKUP($A137,FlexibleRepairCouplings!$A$10:$M$12,4,FALSE),
IF($A137&lt;DuraFix!$A$15,VLOOKUP($A137,DuraFix!$A$9:$M$14,4,FALSE),
IF($A137&lt;'Compression Fittings'!$A$16,VLOOKUP($A137,'Compression Fittings'!$A$8:$M$15,4,FALSE),
IF($A137&lt;'Hose Fittings'!$A$30,VLOOKUP($A137,'Hose Fittings'!$A$8:$M$29,4,FALSE),
IF($A137&lt;'Swing Joints'!$A$496,VLOOKUP($A137,'Swing Joints'!$A$9:$M$495,4,FALSE),
IF($A137&lt;'Swing Joints Components'!$A$135,VLOOKUP($A137,'Swing Joints Components'!$A$9:$M$134,4,FALSE),
IF($A137&lt;Nonstandard!$A$42,VLOOKUP($A137,Nonstandard!$A$31:$J$41,5,FALSE),"")))))))))))))))))))))))))))),"")</f>
        <v/>
      </c>
      <c r="C137" s="415" t="str">
        <f>IFERROR(IF($A137&lt;'DWV PVC'!$A$285,VLOOKUP($A137,'DWV PVC'!$A$8:$M$284,5,FALSE),
IF($A137&lt;'DWV ABS'!$A$117,VLOOKUP($A137,'DWV ABS'!$A$8:$M$116,5,FALSE),
IF($A137&lt;'PVC SCH40'!$A$376,VLOOKUP($A137,'PVC SCH40'!$A$8:$M$375,5,FALSE),
IF($A137&lt;'PVC SCH40 LD'!$A$22,VLOOKUP($A137,'PVC SCH40 LD'!$A$8:$M$21,5,FALSE),
IF($A137&lt;'Pool &amp; SPA Sweep Elbows'!$A$12,VLOOKUP($A137,'Pool &amp; SPA Sweep Elbows'!$A$8:$M$11,5,FALSE),
IF($A137&lt;'Pool &amp; SPA Pipe Extender'!$A$11,VLOOKUP($A137,'Pool &amp; SPA Pipe Extender'!$A$8:$M$10,5,FALSE),
IF($A137&lt;'PVC SCH80'!$A$250,VLOOKUP($A137,'PVC SCH80'!$A$8:$M$249,5,FALSE),
IF($A137&lt;'PVC SCH80 Flange'!$A$49,VLOOKUP($A137,'PVC SCH80 Flange'!$A$8:$M$48,5,FALSE),
IF($A137&lt;'PVC SCH80 LD Flange'!$A$17,VLOOKUP($A137,'PVC SCH80 LD Flange'!$A$8:$M$16,5,FALSE),
IF($A137&lt;CPVC!$A$100,VLOOKUP($A137,CPVC!$A$8:$M$99,5,FALSE),
IF($A137&lt;InsertFittings!$A$237,VLOOKUP($A137,InsertFittings!$A$11:$M$236,5,FALSE),
IF($A137&lt;Valves!$A$132,VLOOKUP($A137,Valves!$A$8:$M$131,5,FALSE),
IF($A137&lt;SDR35SW!$A$124,VLOOKUP($A137,SDR35SW!$A$8:$M$123,5,FALSE),
IF($A137&lt;SDR35G!$A$143,VLOOKUP($A137, SDR35G!$A$8:$M$142,5,FALSE),
IF($A137&lt;SDR26G!$A$61,VLOOKUP($A137,SDR26G!$A$8:$N$60,5,FALSE),
IF($A137&lt;Cements!$A$100,VLOOKUP($A137,Cements!$A$8:$Q$99,5,FALSE),
IF($A137&lt;ValveBox!$A$143,VLOOKUP($A137,ValveBox!$A$10:$O$142,5,FALSE),
IF($A137&lt;'ValveBox Components'!$A$165,VLOOKUP($A137,'ValveBox Components'!$A$10:$O$164,5,FALSE),
IF($A137&lt;Drainage!$A$92,VLOOKUP($A137,Drainage!$A$8:$M$91,5,FALSE),
IF($A137&lt;Nipples!$A$82,VLOOKUP($A137,Nipples!$A$9:$Q$81,5,FALSE),
IF($A137&lt;Manifold!$A$33,VLOOKUP($A137,Manifold!$A$9:$M$32,5,FALSE),
IF($A137&lt;FlexibleRepairCouplings!$A$13,VLOOKUP($A137,FlexibleRepairCouplings!$A$10:$M$12,5,FALSE),
IF($A137&lt;DuraFix!$A$15,VLOOKUP($A137,DuraFix!$A$9:$M$14,5,FALSE),
IF($A137&lt;'Compression Fittings'!$A$16,VLOOKUP($A137,'Compression Fittings'!$A$8:$M$15,5,FALSE),
IF($A137&lt;'Hose Fittings'!$A$30,VLOOKUP($A137,'Hose Fittings'!$A$8:$M$29,5,FALSE),
IF($A137&lt;'Swing Joints'!$A$496,VLOOKUP($A137,'Swing Joints'!$A$9:$M$495,5,FALSE),
IF($A137&lt;'Swing Joints Components'!$A$135,VLOOKUP($A137,'Swing Joints Components'!$A$9:$M$134,5,FALSE),
IF($A137&lt;Nonstandard!$A$42,VLOOKUP($A137,Nonstandard!$A$31:$J$41,6,FALSE),"")))))))))))))))))))))))))))),"")</f>
        <v/>
      </c>
      <c r="D137" s="426" t="str">
        <f>IFERROR(IF($A137&lt;'DWV PVC'!$A$285,VLOOKUP($A137,'DWV PVC'!$A$8:$M$284,6,FALSE),
IF($A137&lt;'DWV ABS'!$A$117,VLOOKUP($A137,'DWV ABS'!$A$8:$M$116,6,FALSE),
IF($A137&lt;'PVC SCH40'!$A$376,VLOOKUP($A137,'PVC SCH40'!$A$8:$M$375,6,FALSE),
IF($A137&lt;'PVC SCH40 LD'!$A$22,VLOOKUP($A137,'PVC SCH40 LD'!$A$8:$M$21,6,FALSE),
IF($A137&lt;'Pool &amp; SPA Sweep Elbows'!$A$12,VLOOKUP($A137,'Pool &amp; SPA Sweep Elbows'!$A$8:$M$11,6,FALSE),
IF($A137&lt;'Pool &amp; SPA Pipe Extender'!$A$11,VLOOKUP($A137,'Pool &amp; SPA Pipe Extender'!$A$8:$M$10,6,FALSE),
IF($A137&lt;'PVC SCH80'!$A$250,VLOOKUP($A137,'PVC SCH80'!$A$8:$M$249,6,FALSE),
IF($A137&lt;'PVC SCH80 Flange'!$A$49,VLOOKUP($A137,'PVC SCH80 Flange'!$A$8:$M$48,6,FALSE),
IF($A137&lt;'PVC SCH80 LD Flange'!$A$17,VLOOKUP($A137,'PVC SCH80 LD Flange'!$A$8:$M$16,6,FALSE),
IF($A137&lt;CPVC!$A$100,VLOOKUP($A137,CPVC!$A$8:$M$99,6,FALSE),
IF($A137&lt;InsertFittings!$A$237,VLOOKUP($A137,InsertFittings!$A$11:$M$236,6,FALSE),
IF($A137&lt;Valves!$A$132,VLOOKUP($A137,Valves!$A$8:$M$131,6,FALSE),
IF($A137&lt;SDR35SW!$A$124,VLOOKUP($A137,SDR35SW!$A$8:$M$123,6,FALSE),
IF($A137&lt;SDR35G!$A$143,VLOOKUP($A137, SDR35G!$A$8:$M$142,6,FALSE),
IF($A137&lt;SDR26G!$A$61,VLOOKUP($A137,SDR26G!$A$8:$N$60,6,FALSE),
IF($A137&lt;Cements!$A$100,VLOOKUP($A137,Cements!$A$8:$Q$99,6,FALSE),
IF($A137&lt;ValveBox!$A$143,VLOOKUP($A137,ValveBox!$A$10:$O$142,6,FALSE),
IF($A137&lt;'ValveBox Components'!$A$165,VLOOKUP($A137,'ValveBox Components'!$A$10:$O$164,6,FALSE),
IF($A137&lt;Drainage!$A$92,VLOOKUP($A137,Drainage!$A$8:$M$91,6,FALSE),
IF($A137&lt;Nipples!$A$82,VLOOKUP($A137,Nipples!$A$9:$Q$81,6,FALSE),
IF($A137&lt;Manifold!$A$33,VLOOKUP($A137,Manifold!$A$9:$M$32,6,FALSE),
IF($A137&lt;FlexibleRepairCouplings!$A$13,VLOOKUP($A137,FlexibleRepairCouplings!$A$10:$M$12,6,FALSE),
IF($A137&lt;DuraFix!$A$15,VLOOKUP($A137,DuraFix!$A$9:$M$14,6,FALSE),
IF($A137&lt;'Compression Fittings'!$A$16,VLOOKUP($A137,'Compression Fittings'!$A$8:$M$15,6,FALSE),
IF($A137&lt;'Hose Fittings'!$A$30,VLOOKUP($A137,'Hose Fittings'!$A$8:$M$29,6,FALSE),
IF($A137&lt;'Swing Joints'!$A$496,VLOOKUP($A137,'Swing Joints'!$A$9:$M$495,6,FALSE),
IF($A137&lt;'Swing Joints Components'!$A$135,VLOOKUP($A137,'Swing Joints Components'!$A$9:$M$134,6,FALSE),
IF($A137&lt;Nonstandard!$A$42,VLOOKUP($A137,Nonstandard!$A$31:$J$41,7,FALSE),"")))))))))))))))))))))))))))),"")</f>
        <v/>
      </c>
      <c r="E137" s="427"/>
      <c r="F137" s="418" t="str">
        <f>IFERROR(IF($A137&lt;'DWV PVC'!$A$285,VLOOKUP($A137,'DWV PVC'!$A$8:$M$284,9,FALSE),
IF($A137&lt;'DWV ABS'!$A$117,VLOOKUP($A137,'DWV ABS'!$A$8:$M$116,9,FALSE),
IF($A137&lt;'PVC SCH40'!$A$376,VLOOKUP($A137,'PVC SCH40'!$A$8:$M$375,9,FALSE),
IF($A137&lt;'PVC SCH40 LD'!$A$22,VLOOKUP($A137,'PVC SCH40 LD'!$A$8:$M$21,9,FALSE),
IF($A137&lt;'Pool &amp; SPA Sweep Elbows'!$A$12,VLOOKUP($A137,'Pool &amp; SPA Sweep Elbows'!$A$8:$M$11,9,FALSE),
IF($A137&lt;'Pool &amp; SPA Pipe Extender'!$A$11,VLOOKUP($A137,'Pool &amp; SPA Pipe Extender'!$A$8:$M$10,9,FALSE),
IF($A137&lt;'PVC SCH80'!$A$250,VLOOKUP($A137,'PVC SCH80'!$A$8:$M$249,9,FALSE),
IF($A137&lt;'PVC SCH80 Flange'!$A$49,VLOOKUP($A137,'PVC SCH80 Flange'!$A$8:$M$48,9,FALSE),
IF($A137&lt;'PVC SCH80 LD Flange'!$A$17,VLOOKUP($A137,'PVC SCH80 LD Flange'!$A$8:$M$16,9,FALSE),
IF($A137&lt;CPVC!$A$100,VLOOKUP($A137,CPVC!$A$8:$M$99,9,FALSE),
IF($A137&lt;InsertFittings!$A$237,VLOOKUP($A137,InsertFittings!$A$11:$M$236,9,FALSE),
IF($A137&lt;Valves!$A$132,VLOOKUP($A137,Valves!$A$8:$M$131,9,FALSE),
IF($A137&lt;SDR35SW!$A$124,VLOOKUP($A137,SDR35SW!$A$8:$M$123,9,FALSE),
IF($A137&lt;SDR35G!$A$143,VLOOKUP($A137, SDR35G!$A$8:$M$142,9,FALSE),
IF($A137&lt;SDR26G!$A$61,VLOOKUP($A137,SDR26G!$A$8:$N$60,10,FALSE),
IF($A137&lt;Cements!$A$100,VLOOKUP($A137,Cements!$A$8:$Q$99,13,FALSE),
IF($A137&lt;ValveBox!$A$143,VLOOKUP($A137,ValveBox!$A$10:$O$142,11,FALSE),
IF($A137&lt;'ValveBox Components'!$A$165,VLOOKUP($A137,'ValveBox Components'!$A$10:$O$164,11,FALSE),
IF($A137&lt;Drainage!$A$92,VLOOKUP($A137,Drainage!$A$8:$M$91,9,FALSE),
IF($A137&lt;Nipples!$A$82,VLOOKUP($A137,Nipples!$A$9:$Q$81,13,FALSE),
IF($A137&lt;Manifold!$A$33,VLOOKUP($A137,Manifold!$A$9:$M$32,9,FALSE),
IF($A137&lt;FlexibleRepairCouplings!$A$13,VLOOKUP($A137,FlexibleRepairCouplings!$A$10:$M$12,9,FALSE),
IF($A137&lt;DuraFix!$A$15,VLOOKUP($A137,DuraFix!$A$9:$M$14,9,FALSE),
IF($A137&lt;'Compression Fittings'!$A$16,VLOOKUP($A137,'Compression Fittings'!$A$8:$M$15,9,FALSE),
IF($A137&lt;'Hose Fittings'!$A$30,VLOOKUP($A137,'Hose Fittings'!$A$8:$M$29,9,FALSE),
IF($A137&lt;'Swing Joints'!$A$496,VLOOKUP($A137,'Swing Joints'!$A$9:$M$495,9,FALSE),
IF($A137&lt;'Swing Joints Components'!$A$135,VLOOKUP($A137,'Swing Joints Components'!$A$9:$M$134,9,FALSE),
IF($A137&lt;Nonstandard!$A$42,VLOOKUP($A137,Nonstandard!$A$31:$J$41,8,FALSE),"")))))))))))))))))))))))))))),"")</f>
        <v/>
      </c>
      <c r="G137" s="416" t="str">
        <f>IFERROR(IF($A137&lt;'DWV PVC'!$A$285,VLOOKUP($A137,'DWV PVC'!$A$8:$M$284,11,FALSE),
IF($A137&lt;'DWV ABS'!$A$117,VLOOKUP($A137,'DWV ABS'!$A$8:$M$116,11,FALSE),
IF($A137&lt;'PVC SCH40'!$A$376,VLOOKUP($A137,'PVC SCH40'!$A$8:$M$375,11,FALSE),
IF($A137&lt;'PVC SCH40 LD'!$A$22,VLOOKUP($A137,'PVC SCH40 LD'!$A$8:$M$21,11,FALSE),
IF($A137&lt;'Pool &amp; SPA Sweep Elbows'!$A$12,VLOOKUP($A137,'Pool &amp; SPA Sweep Elbows'!$A$8:$M$11,11,FALSE),
IF($A137&lt;'Pool &amp; SPA Pipe Extender'!$A$11,VLOOKUP($A137,'Pool &amp; SPA Pipe Extender'!$A$8:$M$10,11,FALSE),
IF($A137&lt;'PVC SCH80'!$A$250,VLOOKUP($A137,'PVC SCH80'!$A$8:$M$249,11,FALSE),
IF($A137&lt;'PVC SCH80 Flange'!$A$49,VLOOKUP($A137,'PVC SCH80 Flange'!$A$8:$M$48,11,FALSE),
IF($A137&lt;'PVC SCH80 LD Flange'!$A$17,VLOOKUP($A137,'PVC SCH80 LD Flange'!$A$8:$M$16,11,FALSE),
IF($A137&lt;CPVC!$A$100,VLOOKUP($A137,CPVC!$A$8:$M$99,11,FALSE),
IF($A137&lt;InsertFittings!$A$237,VLOOKUP($A137,InsertFittings!$A$11:$M$236,11,FALSE),
IF($A137&lt;Valves!$A$132,VLOOKUP($A137,Valves!$A$8:$M$131,11,FALSE),
IF($A137&lt;SDR35SW!$A$124,VLOOKUP($A137,SDR35SW!$A$8:$M$123,11,FALSE),
IF($A137&lt;SDR35G!$A$143,VLOOKUP($A137, SDR35G!$A$8:$M$142,11,FALSE),
IF($A137&lt;SDR26G!$A$61,VLOOKUP($A137,SDR26G!$A$8:$N$60,12,FALSE),
IF($A137&lt;Cements!$A$100,VLOOKUP($A137,Cements!$A$8:$Q$99,15,FALSE),
IF($A137&lt;ValveBox!$A$143,VLOOKUP($A137,ValveBox!$A$10:$O$142,13,FALSE),
IF($A137&lt;'ValveBox Components'!$A$165,VLOOKUP($A137,'ValveBox Components'!$A$10:$O$164,13,FALSE),
IF($A137&lt;Drainage!$A$92,VLOOKUP($A137,Drainage!$A$8:$M$91,11,FALSE),
IF($A137&lt;Nipples!$A$82,VLOOKUP($A137,Nipples!$A$9:$Q$81,15,FALSE),
IF($A137&lt;Manifold!$A$33,VLOOKUP($A137,Manifold!$A$9:$M$32,11,FALSE),
IF($A137&lt;FlexibleRepairCouplings!$A$13,VLOOKUP($A137,FlexibleRepairCouplings!$A$10:$M$12,11,FALSE),
IF($A137&lt;DuraFix!$A$15,VLOOKUP($A137,DuraFix!$A$9:$M$14,11,FALSE),
IF($A137&lt;'Compression Fittings'!$A$16,VLOOKUP($A137,'Compression Fittings'!$A$8:$M$15,11,FALSE),
IF($A137&lt;'Hose Fittings'!$A$30,VLOOKUP($A137,'Hose Fittings'!$A$8:$M$29,11,FALSE),
IF($A137&lt;'Swing Joints'!$A$496,VLOOKUP($A137,'Swing Joints'!$A$9:$M$495,11,FALSE),
IF($A137&lt;'Swing Joints Components'!$A$135,VLOOKUP($A137,'Swing Joints Components'!$A$9:$M$134,11,FALSE),
IF($A137&lt;Nonstandard!$A$42,VLOOKUP($A137,Nonstandard!$A$31:$J$41,3,FALSE),"")))))))))))))))))))))))))))),"")</f>
        <v/>
      </c>
      <c r="H137" s="586" t="str">
        <f>IFERROR(IF($A137&lt;'DWV PVC'!$A$285,VLOOKUP($A137,'DWV PVC'!$A$8:$M$284,7,FALSE),
IF($A137&lt;'DWV ABS'!$A$117,VLOOKUP($A137,'DWV ABS'!$A$8:$M$116,7,FALSE),
IF($A137&lt;'PVC SCH40'!$A$376,VLOOKUP($A137,'PVC SCH40'!$A$8:$M$375,7,FALSE),
IF($A137&lt;'PVC SCH40 LD'!$A$22,VLOOKUP($A137,'PVC SCH40 LD'!$A$8:$M$21,7,FALSE),
IF($A137&lt;'Pool &amp; SPA Sweep Elbows'!$A$12,VLOOKUP($A137,'Pool &amp; SPA Sweep Elbows'!$A$8:$M$11,7,FALSE),
IF($A137&lt;'Pool &amp; SPA Pipe Extender'!$A$11,VLOOKUP($A137,'Pool &amp; SPA Pipe Extender'!$A$8:$M$10,7,FALSE),
IF($A137&lt;'PVC SCH80'!$A$250,VLOOKUP($A137,'PVC SCH80'!$A$8:$M$249,7,FALSE),
IF($A137&lt;'PVC SCH80 Flange'!$A$49,VLOOKUP($A137,'PVC SCH80 Flange'!$A$8:$M$48,7,FALSE),
IF($A137&lt;'PVC SCH80 LD Flange'!$A$17,VLOOKUP($A137,'PVC SCH80 LD Flange'!$A$8:$M$16,7,FALSE),
IF($A137&lt;CPVC!$A$100,VLOOKUP($A137,CPVC!$A$8:$M$99,7,FALSE),
IF($A137&lt;InsertFittings!$A$237,VLOOKUP($A137,InsertFittings!$A$11:$M$236,7,FALSE),
IF($A137&lt;Valves!$A$132,VLOOKUP($A137,Valves!$A$8:$M$131,7,FALSE),
IF($A137&lt;SDR35SW!$A$124,VLOOKUP($A137,SDR35SW!$A$8:$M$123,7,FALSE),
IF($A137&lt;SDR35G!$A$143,VLOOKUP($A137, SDR35G!$A$8:$M$142,7,FALSE),
IF($A137&lt;SDR26G!$A$61,VLOOKUP($A137,SDR26G!$A$8:$N$60,10,FALSE),
IF($A137&lt;Cements!$A$100,VLOOKUP($A137,Cements!$A$8:$Q$99,13,FALSE),
IF($A137&lt;ValveBox!$A$143,VLOOKUP($A137,ValveBox!$A$10:$O$142,11,FALSE),
IF($A137&lt;'ValveBox Components'!$A$165,VLOOKUP($A137,'ValveBox Components'!$A$10:$O$164,11,FALSE),
IF($A137&lt;Drainage!$A$92,VLOOKUP($A137,Drainage!$A$8:$M$91,7,FALSE),
IF($A137&lt;Nipples!$A$82,VLOOKUP($A137,Nipples!$A$9:$Q$81,13,FALSE),
IF($A137&lt;Manifold!$A$33,VLOOKUP($A137,Manifold!$A$9:$M$32,7,FALSE),
IF($A137&lt;FlexibleRepairCouplings!$A$13,VLOOKUP($A137,FlexibleRepairCouplings!$A$10:$M$12,7,FALSE),
IF($A137&lt;DuraFix!$A$15,VLOOKUP($A137,DuraFix!$A$9:$M$14,7,FALSE),
IF($A137&lt;'Compression Fittings'!$A$16,VLOOKUP($A137,'Compression Fittings'!$A$8:$M$15,7,FALSE),
IF($A137&lt;'Hose Fittings'!$A$30,VLOOKUP($A137,'Hose Fittings'!$A$8:$M$29,7,FALSE),
IF($A137&lt;'Swing Joints'!$A$496,VLOOKUP($A137,'Swing Joints'!$A$9:$M$495,7,FALSE),
IF($A137&lt;'Swing Joints Components'!$A$135,VLOOKUP($A137,'Swing Joints Components'!$A$9:$M$134,7,FALSE),
IF($A137&lt;Nonstandard!$A$42,VLOOKUP($A137,Nonstandard!$A$31:$J$41,3,FALSE),"")))))))))))))))))))))))))))),"")</f>
        <v/>
      </c>
      <c r="I137" s="587"/>
      <c r="J137" s="383" t="str">
        <f t="shared" si="3"/>
        <v/>
      </c>
      <c r="K137" s="417" t="str">
        <f>IFERROR(IF($A137&lt;'DWV PVC'!$A$285,VLOOKUP($A137,'DWV PVC'!$A$8:$M$284,10,FALSE),
IF($A137&lt;'DWV ABS'!$A$117,VLOOKUP($A137,'DWV ABS'!$A$8:$M$116,10,FALSE),
IF($A137&lt;'PVC SCH40'!$A$376,VLOOKUP($A137,'PVC SCH40'!$A$8:$M$375,10,FALSE),
IF($A137&lt;'PVC SCH40 LD'!$A$22,VLOOKUP($A137,'PVC SCH40 LD'!$A$8:$M$21,10,FALSE),
IF($A137&lt;'Pool &amp; SPA Sweep Elbows'!$A$12,VLOOKUP($A137,'Pool &amp; SPA Sweep Elbows'!$A$8:$M$11,10,FALSE),
IF($A137&lt;'Pool &amp; SPA Pipe Extender'!$A$11,VLOOKUP($A137,'Pool &amp; SPA Pipe Extender'!$A$8:$M$10,10,FALSE),
IF($A137&lt;'PVC SCH80'!$A$250,VLOOKUP($A137,'PVC SCH80'!$A$8:$M$249,10,FALSE),
IF($A137&lt;'PVC SCH80 Flange'!$A$49,VLOOKUP($A137,'PVC SCH80 Flange'!$A$8:$M$48,10,FALSE),
IF($A137&lt;'PVC SCH80 LD Flange'!$A$17,VLOOKUP($A137,'PVC SCH80 LD Flange'!$A$8:$M$16,10,FALSE),
IF($A137&lt;CPVC!$A$100,VLOOKUP($A137,CPVC!$A$8:$M$99,10,FALSE),
IF($A137&lt;InsertFittings!$A$237,VLOOKUP($A137,InsertFittings!$A$11:$M$236,10,FALSE),
IF($A137&lt;Valves!$A$132,VLOOKUP($A137,Valves!$A$8:$M$131,10,FALSE),
IF($A137&lt;SDR35SW!$A$124,VLOOKUP($A137,SDR35SW!$A$8:$M$123,10,FALSE),
IF($A137&lt;SDR35G!$A$143,VLOOKUP($A137, SDR35G!$A$8:$M$142,10,FALSE),
IF($A137&lt;SDR26G!$A$61,VLOOKUP($A137,SDR26G!$A$8:$N$60,11,FALSE),
IF($A137&lt;Cements!$A$100,VLOOKUP($A137,Cements!$A$8:$Q$99,14,FALSE),
IF($A137&lt;ValveBox!$A$143,VLOOKUP($A137,ValveBox!$A$10:$O$142,12,FALSE),
IF($A137&lt;'ValveBox Components'!$A$165,VLOOKUP($A137,'ValveBox Components'!$A$10:$O$164,12,FALSE),
IF($A137&lt;Drainage!$A$92,VLOOKUP($A137,Drainage!$A$8:$M$91,10,FALSE),
IF($A137&lt;Nipples!$A$82,VLOOKUP($A137,Nipples!$A$9:$Q$81,14,FALSE),
IF($A137&lt;Manifold!$A$33,VLOOKUP($A137,Manifold!$A$9:$M$32,10,FALSE),
IF($A137&lt;FlexibleRepairCouplings!$A$13,VLOOKUP($A137,FlexibleRepairCouplings!$A$10:$M$12,10,FALSE),
IF($A137&lt;DuraFix!$A$15,VLOOKUP($A137,DuraFix!$A$9:$M$14,10,FALSE),
IF($A137&lt;'Compression Fittings'!$A$16,VLOOKUP($A137,'Compression Fittings'!$A$8:$M$15,10,FALSE),
IF($A137&lt;'Hose Fittings'!$A$30,VLOOKUP($A137,'Hose Fittings'!$A$8:$M$29,10,FALSE),
IF($A137&lt;'Swing Joints'!$A$496,VLOOKUP($A137,'Swing Joints'!$A$9:$M$495,10,FALSE),
IF($A137&lt;'Swing Joints Components'!$A$135,VLOOKUP($A137,'Swing Joints Components'!$A$9:$M$134,10,FALSE),
IF($A137&lt;Nonstandard!$A$42,VLOOKUP($A137,Nonstandard!$A$31:$J$41,10,FALSE),"")))))))))))))))))))))))))))),"")</f>
        <v/>
      </c>
      <c r="L137" s="418" t="str">
        <f t="shared" si="2"/>
        <v>-</v>
      </c>
      <c r="M137" s="419"/>
    </row>
    <row r="138" spans="1:13" ht="15.75">
      <c r="A138" s="420">
        <v>106</v>
      </c>
      <c r="B138" s="420" t="str">
        <f>IFERROR(IF($A138&lt;'DWV PVC'!$A$285,VLOOKUP($A138,'DWV PVC'!$A$8:$M$284,4,FALSE),
IF($A138&lt;'DWV ABS'!$A$117,VLOOKUP($A138,'DWV ABS'!$A$8:$M$116,4,FALSE),
IF($A138&lt;'PVC SCH40'!$A$376,VLOOKUP($A138,'PVC SCH40'!$A$8:$M$375,4,FALSE),
IF($A138&lt;'PVC SCH40 LD'!$A$22,VLOOKUP($A138,'PVC SCH40 LD'!$A$8:$M$21,4,FALSE),
IF($A138&lt;'Pool &amp; SPA Sweep Elbows'!$A$12,VLOOKUP($A138,'Pool &amp; SPA Sweep Elbows'!$A$8:$M$11,4,FALSE),
IF($A138&lt;'Pool &amp; SPA Pipe Extender'!$A$11,VLOOKUP($A138,'Pool &amp; SPA Pipe Extender'!$A$8:$M$10,4,FALSE),
IF($A138&lt;'PVC SCH80'!$A$250,VLOOKUP($A138,'PVC SCH80'!$A$8:$M$249,4,FALSE),
IF($A138&lt;'PVC SCH80 Flange'!$A$49,VLOOKUP($A138,'PVC SCH80 Flange'!$A$8:$M$48,4,FALSE),
IF($A138&lt;'PVC SCH80 LD Flange'!$A$17,VLOOKUP($A138,'PVC SCH80 LD Flange'!$A$8:$M$16,4,FALSE),
IF($A138&lt;CPVC!$A$100,VLOOKUP($A138,CPVC!$A$8:$M$99,4,FALSE),
IF($A138&lt;InsertFittings!$A$237,VLOOKUP($A138,InsertFittings!$A$11:$M$236,4,FALSE),
IF($A138&lt;Valves!$A$132,VLOOKUP($A138,Valves!$A$8:$M$131,4,FALSE),
IF($A138&lt;SDR35SW!$A$124,VLOOKUP($A138,SDR35SW!$A$8:$M$123,4,FALSE),
IF($A138&lt;SDR35G!$A$143,VLOOKUP($A138, SDR35G!$A$8:$M$142,4,FALSE),
IF($A138&lt;SDR26G!$A$61,VLOOKUP($A138,SDR26G!$A$8:$N$60,4,FALSE),
IF($A138&lt;Cements!$A$100,VLOOKUP($A138,Cements!$A$8:$Q$99,4,FALSE),
IF($A138&lt;ValveBox!$A$143,VLOOKUP($A138,ValveBox!$A$10:$O$142,4,FALSE),
IF($A138&lt;'ValveBox Components'!$A$165,VLOOKUP($A138,'ValveBox Components'!$A$10:$O$164,4,FALSE),
IF($A138&lt;Drainage!$A$92,VLOOKUP($A138,Drainage!$A$8:$M$91,4,FALSE),
IF($A138&lt;Nipples!$A$82,VLOOKUP($A138,Nipples!$A$9:$Q$81,4,FALSE),
IF($A138&lt;Manifold!$A$33,VLOOKUP($A138,Manifold!$A$9:$M$32,4,FALSE),
IF($A138&lt;FlexibleRepairCouplings!$A$13,VLOOKUP($A138,FlexibleRepairCouplings!$A$10:$M$12,4,FALSE),
IF($A138&lt;DuraFix!$A$15,VLOOKUP($A138,DuraFix!$A$9:$M$14,4,FALSE),
IF($A138&lt;'Compression Fittings'!$A$16,VLOOKUP($A138,'Compression Fittings'!$A$8:$M$15,4,FALSE),
IF($A138&lt;'Hose Fittings'!$A$30,VLOOKUP($A138,'Hose Fittings'!$A$8:$M$29,4,FALSE),
IF($A138&lt;'Swing Joints'!$A$496,VLOOKUP($A138,'Swing Joints'!$A$9:$M$495,4,FALSE),
IF($A138&lt;'Swing Joints Components'!$A$135,VLOOKUP($A138,'Swing Joints Components'!$A$9:$M$134,4,FALSE),
IF($A138&lt;Nonstandard!$A$42,VLOOKUP($A138,Nonstandard!$A$31:$J$41,5,FALSE),"")))))))))))))))))))))))))))),"")</f>
        <v/>
      </c>
      <c r="C138" s="420" t="str">
        <f>IFERROR(IF($A138&lt;'DWV PVC'!$A$285,VLOOKUP($A138,'DWV PVC'!$A$8:$M$284,5,FALSE),
IF($A138&lt;'DWV ABS'!$A$117,VLOOKUP($A138,'DWV ABS'!$A$8:$M$116,5,FALSE),
IF($A138&lt;'PVC SCH40'!$A$376,VLOOKUP($A138,'PVC SCH40'!$A$8:$M$375,5,FALSE),
IF($A138&lt;'PVC SCH40 LD'!$A$22,VLOOKUP($A138,'PVC SCH40 LD'!$A$8:$M$21,5,FALSE),
IF($A138&lt;'Pool &amp; SPA Sweep Elbows'!$A$12,VLOOKUP($A138,'Pool &amp; SPA Sweep Elbows'!$A$8:$M$11,5,FALSE),
IF($A138&lt;'Pool &amp; SPA Pipe Extender'!$A$11,VLOOKUP($A138,'Pool &amp; SPA Pipe Extender'!$A$8:$M$10,5,FALSE),
IF($A138&lt;'PVC SCH80'!$A$250,VLOOKUP($A138,'PVC SCH80'!$A$8:$M$249,5,FALSE),
IF($A138&lt;'PVC SCH80 Flange'!$A$49,VLOOKUP($A138,'PVC SCH80 Flange'!$A$8:$M$48,5,FALSE),
IF($A138&lt;'PVC SCH80 LD Flange'!$A$17,VLOOKUP($A138,'PVC SCH80 LD Flange'!$A$8:$M$16,5,FALSE),
IF($A138&lt;CPVC!$A$100,VLOOKUP($A138,CPVC!$A$8:$M$99,5,FALSE),
IF($A138&lt;InsertFittings!$A$237,VLOOKUP($A138,InsertFittings!$A$11:$M$236,5,FALSE),
IF($A138&lt;Valves!$A$132,VLOOKUP($A138,Valves!$A$8:$M$131,5,FALSE),
IF($A138&lt;SDR35SW!$A$124,VLOOKUP($A138,SDR35SW!$A$8:$M$123,5,FALSE),
IF($A138&lt;SDR35G!$A$143,VLOOKUP($A138, SDR35G!$A$8:$M$142,5,FALSE),
IF($A138&lt;SDR26G!$A$61,VLOOKUP($A138,SDR26G!$A$8:$N$60,5,FALSE),
IF($A138&lt;Cements!$A$100,VLOOKUP($A138,Cements!$A$8:$Q$99,5,FALSE),
IF($A138&lt;ValveBox!$A$143,VLOOKUP($A138,ValveBox!$A$10:$O$142,5,FALSE),
IF($A138&lt;'ValveBox Components'!$A$165,VLOOKUP($A138,'ValveBox Components'!$A$10:$O$164,5,FALSE),
IF($A138&lt;Drainage!$A$92,VLOOKUP($A138,Drainage!$A$8:$M$91,5,FALSE),
IF($A138&lt;Nipples!$A$82,VLOOKUP($A138,Nipples!$A$9:$Q$81,5,FALSE),
IF($A138&lt;Manifold!$A$33,VLOOKUP($A138,Manifold!$A$9:$M$32,5,FALSE),
IF($A138&lt;FlexibleRepairCouplings!$A$13,VLOOKUP($A138,FlexibleRepairCouplings!$A$10:$M$12,5,FALSE),
IF($A138&lt;DuraFix!$A$15,VLOOKUP($A138,DuraFix!$A$9:$M$14,5,FALSE),
IF($A138&lt;'Compression Fittings'!$A$16,VLOOKUP($A138,'Compression Fittings'!$A$8:$M$15,5,FALSE),
IF($A138&lt;'Hose Fittings'!$A$30,VLOOKUP($A138,'Hose Fittings'!$A$8:$M$29,5,FALSE),
IF($A138&lt;'Swing Joints'!$A$496,VLOOKUP($A138,'Swing Joints'!$A$9:$M$495,5,FALSE),
IF($A138&lt;'Swing Joints Components'!$A$135,VLOOKUP($A138,'Swing Joints Components'!$A$9:$M$134,5,FALSE),
IF($A138&lt;Nonstandard!$A$42,VLOOKUP($A138,Nonstandard!$A$31:$J$41,6,FALSE),"")))))))))))))))))))))))))))),"")</f>
        <v/>
      </c>
      <c r="D138" s="428" t="str">
        <f>IFERROR(IF($A138&lt;'DWV PVC'!$A$285,VLOOKUP($A138,'DWV PVC'!$A$8:$M$284,6,FALSE),
IF($A138&lt;'DWV ABS'!$A$117,VLOOKUP($A138,'DWV ABS'!$A$8:$M$116,6,FALSE),
IF($A138&lt;'PVC SCH40'!$A$376,VLOOKUP($A138,'PVC SCH40'!$A$8:$M$375,6,FALSE),
IF($A138&lt;'PVC SCH40 LD'!$A$22,VLOOKUP($A138,'PVC SCH40 LD'!$A$8:$M$21,6,FALSE),
IF($A138&lt;'Pool &amp; SPA Sweep Elbows'!$A$12,VLOOKUP($A138,'Pool &amp; SPA Sweep Elbows'!$A$8:$M$11,6,FALSE),
IF($A138&lt;'Pool &amp; SPA Pipe Extender'!$A$11,VLOOKUP($A138,'Pool &amp; SPA Pipe Extender'!$A$8:$M$10,6,FALSE),
IF($A138&lt;'PVC SCH80'!$A$250,VLOOKUP($A138,'PVC SCH80'!$A$8:$M$249,6,FALSE),
IF($A138&lt;'PVC SCH80 Flange'!$A$49,VLOOKUP($A138,'PVC SCH80 Flange'!$A$8:$M$48,6,FALSE),
IF($A138&lt;'PVC SCH80 LD Flange'!$A$17,VLOOKUP($A138,'PVC SCH80 LD Flange'!$A$8:$M$16,6,FALSE),
IF($A138&lt;CPVC!$A$100,VLOOKUP($A138,CPVC!$A$8:$M$99,6,FALSE),
IF($A138&lt;InsertFittings!$A$237,VLOOKUP($A138,InsertFittings!$A$11:$M$236,6,FALSE),
IF($A138&lt;Valves!$A$132,VLOOKUP($A138,Valves!$A$8:$M$131,6,FALSE),
IF($A138&lt;SDR35SW!$A$124,VLOOKUP($A138,SDR35SW!$A$8:$M$123,6,FALSE),
IF($A138&lt;SDR35G!$A$143,VLOOKUP($A138, SDR35G!$A$8:$M$142,6,FALSE),
IF($A138&lt;SDR26G!$A$61,VLOOKUP($A138,SDR26G!$A$8:$N$60,6,FALSE),
IF($A138&lt;Cements!$A$100,VLOOKUP($A138,Cements!$A$8:$Q$99,6,FALSE),
IF($A138&lt;ValveBox!$A$143,VLOOKUP($A138,ValveBox!$A$10:$O$142,6,FALSE),
IF($A138&lt;'ValveBox Components'!$A$165,VLOOKUP($A138,'ValveBox Components'!$A$10:$O$164,6,FALSE),
IF($A138&lt;Drainage!$A$92,VLOOKUP($A138,Drainage!$A$8:$M$91,6,FALSE),
IF($A138&lt;Nipples!$A$82,VLOOKUP($A138,Nipples!$A$9:$Q$81,6,FALSE),
IF($A138&lt;Manifold!$A$33,VLOOKUP($A138,Manifold!$A$9:$M$32,6,FALSE),
IF($A138&lt;FlexibleRepairCouplings!$A$13,VLOOKUP($A138,FlexibleRepairCouplings!$A$10:$M$12,6,FALSE),
IF($A138&lt;DuraFix!$A$15,VLOOKUP($A138,DuraFix!$A$9:$M$14,6,FALSE),
IF($A138&lt;'Compression Fittings'!$A$16,VLOOKUP($A138,'Compression Fittings'!$A$8:$M$15,6,FALSE),
IF($A138&lt;'Hose Fittings'!$A$30,VLOOKUP($A138,'Hose Fittings'!$A$8:$M$29,6,FALSE),
IF($A138&lt;'Swing Joints'!$A$496,VLOOKUP($A138,'Swing Joints'!$A$9:$M$495,6,FALSE),
IF($A138&lt;'Swing Joints Components'!$A$135,VLOOKUP($A138,'Swing Joints Components'!$A$9:$M$134,6,FALSE),
IF($A138&lt;Nonstandard!$A$42,VLOOKUP($A138,Nonstandard!$A$31:$J$41,7,FALSE),"")))))))))))))))))))))))))))),"")</f>
        <v/>
      </c>
      <c r="E138" s="429"/>
      <c r="F138" s="421" t="str">
        <f>IFERROR(IF($A138&lt;'DWV PVC'!$A$285,VLOOKUP($A138,'DWV PVC'!$A$8:$M$284,9,FALSE),
IF($A138&lt;'DWV ABS'!$A$117,VLOOKUP($A138,'DWV ABS'!$A$8:$M$116,9,FALSE),
IF($A138&lt;'PVC SCH40'!$A$376,VLOOKUP($A138,'PVC SCH40'!$A$8:$M$375,9,FALSE),
IF($A138&lt;'PVC SCH40 LD'!$A$22,VLOOKUP($A138,'PVC SCH40 LD'!$A$8:$M$21,9,FALSE),
IF($A138&lt;'Pool &amp; SPA Sweep Elbows'!$A$12,VLOOKUP($A138,'Pool &amp; SPA Sweep Elbows'!$A$8:$M$11,9,FALSE),
IF($A138&lt;'Pool &amp; SPA Pipe Extender'!$A$11,VLOOKUP($A138,'Pool &amp; SPA Pipe Extender'!$A$8:$M$10,9,FALSE),
IF($A138&lt;'PVC SCH80'!$A$250,VLOOKUP($A138,'PVC SCH80'!$A$8:$M$249,9,FALSE),
IF($A138&lt;'PVC SCH80 Flange'!$A$49,VLOOKUP($A138,'PVC SCH80 Flange'!$A$8:$M$48,9,FALSE),
IF($A138&lt;'PVC SCH80 LD Flange'!$A$17,VLOOKUP($A138,'PVC SCH80 LD Flange'!$A$8:$M$16,9,FALSE),
IF($A138&lt;CPVC!$A$100,VLOOKUP($A138,CPVC!$A$8:$M$99,9,FALSE),
IF($A138&lt;InsertFittings!$A$237,VLOOKUP($A138,InsertFittings!$A$11:$M$236,9,FALSE),
IF($A138&lt;Valves!$A$132,VLOOKUP($A138,Valves!$A$8:$M$131,9,FALSE),
IF($A138&lt;SDR35SW!$A$124,VLOOKUP($A138,SDR35SW!$A$8:$M$123,9,FALSE),
IF($A138&lt;SDR35G!$A$143,VLOOKUP($A138, SDR35G!$A$8:$M$142,9,FALSE),
IF($A138&lt;SDR26G!$A$61,VLOOKUP($A138,SDR26G!$A$8:$N$60,10,FALSE),
IF($A138&lt;Cements!$A$100,VLOOKUP($A138,Cements!$A$8:$Q$99,13,FALSE),
IF($A138&lt;ValveBox!$A$143,VLOOKUP($A138,ValveBox!$A$10:$O$142,11,FALSE),
IF($A138&lt;'ValveBox Components'!$A$165,VLOOKUP($A138,'ValveBox Components'!$A$10:$O$164,11,FALSE),
IF($A138&lt;Drainage!$A$92,VLOOKUP($A138,Drainage!$A$8:$M$91,9,FALSE),
IF($A138&lt;Nipples!$A$82,VLOOKUP($A138,Nipples!$A$9:$Q$81,13,FALSE),
IF($A138&lt;Manifold!$A$33,VLOOKUP($A138,Manifold!$A$9:$M$32,9,FALSE),
IF($A138&lt;FlexibleRepairCouplings!$A$13,VLOOKUP($A138,FlexibleRepairCouplings!$A$10:$M$12,9,FALSE),
IF($A138&lt;DuraFix!$A$15,VLOOKUP($A138,DuraFix!$A$9:$M$14,9,FALSE),
IF($A138&lt;'Compression Fittings'!$A$16,VLOOKUP($A138,'Compression Fittings'!$A$8:$M$15,9,FALSE),
IF($A138&lt;'Hose Fittings'!$A$30,VLOOKUP($A138,'Hose Fittings'!$A$8:$M$29,9,FALSE),
IF($A138&lt;'Swing Joints'!$A$496,VLOOKUP($A138,'Swing Joints'!$A$9:$M$495,9,FALSE),
IF($A138&lt;'Swing Joints Components'!$A$135,VLOOKUP($A138,'Swing Joints Components'!$A$9:$M$134,9,FALSE),
IF($A138&lt;Nonstandard!$A$42,VLOOKUP($A138,Nonstandard!$A$31:$J$41,8,FALSE),"")))))))))))))))))))))))))))),"")</f>
        <v/>
      </c>
      <c r="G138" s="422" t="str">
        <f>IFERROR(IF($A138&lt;'DWV PVC'!$A$285,VLOOKUP($A138,'DWV PVC'!$A$8:$M$284,11,FALSE),
IF($A138&lt;'DWV ABS'!$A$117,VLOOKUP($A138,'DWV ABS'!$A$8:$M$116,11,FALSE),
IF($A138&lt;'PVC SCH40'!$A$376,VLOOKUP($A138,'PVC SCH40'!$A$8:$M$375,11,FALSE),
IF($A138&lt;'PVC SCH40 LD'!$A$22,VLOOKUP($A138,'PVC SCH40 LD'!$A$8:$M$21,11,FALSE),
IF($A138&lt;'Pool &amp; SPA Sweep Elbows'!$A$12,VLOOKUP($A138,'Pool &amp; SPA Sweep Elbows'!$A$8:$M$11,11,FALSE),
IF($A138&lt;'Pool &amp; SPA Pipe Extender'!$A$11,VLOOKUP($A138,'Pool &amp; SPA Pipe Extender'!$A$8:$M$10,11,FALSE),
IF($A138&lt;'PVC SCH80'!$A$250,VLOOKUP($A138,'PVC SCH80'!$A$8:$M$249,11,FALSE),
IF($A138&lt;'PVC SCH80 Flange'!$A$49,VLOOKUP($A138,'PVC SCH80 Flange'!$A$8:$M$48,11,FALSE),
IF($A138&lt;'PVC SCH80 LD Flange'!$A$17,VLOOKUP($A138,'PVC SCH80 LD Flange'!$A$8:$M$16,11,FALSE),
IF($A138&lt;CPVC!$A$100,VLOOKUP($A138,CPVC!$A$8:$M$99,11,FALSE),
IF($A138&lt;InsertFittings!$A$237,VLOOKUP($A138,InsertFittings!$A$11:$M$236,11,FALSE),
IF($A138&lt;Valves!$A$132,VLOOKUP($A138,Valves!$A$8:$M$131,11,FALSE),
IF($A138&lt;SDR35SW!$A$124,VLOOKUP($A138,SDR35SW!$A$8:$M$123,11,FALSE),
IF($A138&lt;SDR35G!$A$143,VLOOKUP($A138, SDR35G!$A$8:$M$142,11,FALSE),
IF($A138&lt;SDR26G!$A$61,VLOOKUP($A138,SDR26G!$A$8:$N$60,12,FALSE),
IF($A138&lt;Cements!$A$100,VLOOKUP($A138,Cements!$A$8:$Q$99,15,FALSE),
IF($A138&lt;ValveBox!$A$143,VLOOKUP($A138,ValveBox!$A$10:$O$142,13,FALSE),
IF($A138&lt;'ValveBox Components'!$A$165,VLOOKUP($A138,'ValveBox Components'!$A$10:$O$164,13,FALSE),
IF($A138&lt;Drainage!$A$92,VLOOKUP($A138,Drainage!$A$8:$M$91,11,FALSE),
IF($A138&lt;Nipples!$A$82,VLOOKUP($A138,Nipples!$A$9:$Q$81,15,FALSE),
IF($A138&lt;Manifold!$A$33,VLOOKUP($A138,Manifold!$A$9:$M$32,11,FALSE),
IF($A138&lt;FlexibleRepairCouplings!$A$13,VLOOKUP($A138,FlexibleRepairCouplings!$A$10:$M$12,11,FALSE),
IF($A138&lt;DuraFix!$A$15,VLOOKUP($A138,DuraFix!$A$9:$M$14,11,FALSE),
IF($A138&lt;'Compression Fittings'!$A$16,VLOOKUP($A138,'Compression Fittings'!$A$8:$M$15,11,FALSE),
IF($A138&lt;'Hose Fittings'!$A$30,VLOOKUP($A138,'Hose Fittings'!$A$8:$M$29,11,FALSE),
IF($A138&lt;'Swing Joints'!$A$496,VLOOKUP($A138,'Swing Joints'!$A$9:$M$495,11,FALSE),
IF($A138&lt;'Swing Joints Components'!$A$135,VLOOKUP($A138,'Swing Joints Components'!$A$9:$M$134,11,FALSE),
IF($A138&lt;Nonstandard!$A$42,VLOOKUP($A138,Nonstandard!$A$31:$J$41,3,FALSE),"")))))))))))))))))))))))))))),"")</f>
        <v/>
      </c>
      <c r="H138" s="588" t="str">
        <f>IFERROR(IF($A138&lt;'DWV PVC'!$A$285,VLOOKUP($A138,'DWV PVC'!$A$8:$M$284,7,FALSE),
IF($A138&lt;'DWV ABS'!$A$117,VLOOKUP($A138,'DWV ABS'!$A$8:$M$116,7,FALSE),
IF($A138&lt;'PVC SCH40'!$A$376,VLOOKUP($A138,'PVC SCH40'!$A$8:$M$375,7,FALSE),
IF($A138&lt;'PVC SCH40 LD'!$A$22,VLOOKUP($A138,'PVC SCH40 LD'!$A$8:$M$21,7,FALSE),
IF($A138&lt;'Pool &amp; SPA Sweep Elbows'!$A$12,VLOOKUP($A138,'Pool &amp; SPA Sweep Elbows'!$A$8:$M$11,7,FALSE),
IF($A138&lt;'Pool &amp; SPA Pipe Extender'!$A$11,VLOOKUP($A138,'Pool &amp; SPA Pipe Extender'!$A$8:$M$10,7,FALSE),
IF($A138&lt;'PVC SCH80'!$A$250,VLOOKUP($A138,'PVC SCH80'!$A$8:$M$249,7,FALSE),
IF($A138&lt;'PVC SCH80 Flange'!$A$49,VLOOKUP($A138,'PVC SCH80 Flange'!$A$8:$M$48,7,FALSE),
IF($A138&lt;'PVC SCH80 LD Flange'!$A$17,VLOOKUP($A138,'PVC SCH80 LD Flange'!$A$8:$M$16,7,FALSE),
IF($A138&lt;CPVC!$A$100,VLOOKUP($A138,CPVC!$A$8:$M$99,7,FALSE),
IF($A138&lt;InsertFittings!$A$237,VLOOKUP($A138,InsertFittings!$A$11:$M$236,7,FALSE),
IF($A138&lt;Valves!$A$132,VLOOKUP($A138,Valves!$A$8:$M$131,7,FALSE),
IF($A138&lt;SDR35SW!$A$124,VLOOKUP($A138,SDR35SW!$A$8:$M$123,7,FALSE),
IF($A138&lt;SDR35G!$A$143,VLOOKUP($A138, SDR35G!$A$8:$M$142,7,FALSE),
IF($A138&lt;SDR26G!$A$61,VLOOKUP($A138,SDR26G!$A$8:$N$60,10,FALSE),
IF($A138&lt;Cements!$A$100,VLOOKUP($A138,Cements!$A$8:$Q$99,13,FALSE),
IF($A138&lt;ValveBox!$A$143,VLOOKUP($A138,ValveBox!$A$10:$O$142,11,FALSE),
IF($A138&lt;'ValveBox Components'!$A$165,VLOOKUP($A138,'ValveBox Components'!$A$10:$O$164,11,FALSE),
IF($A138&lt;Drainage!$A$92,VLOOKUP($A138,Drainage!$A$8:$M$91,7,FALSE),
IF($A138&lt;Nipples!$A$82,VLOOKUP($A138,Nipples!$A$9:$Q$81,13,FALSE),
IF($A138&lt;Manifold!$A$33,VLOOKUP($A138,Manifold!$A$9:$M$32,7,FALSE),
IF($A138&lt;FlexibleRepairCouplings!$A$13,VLOOKUP($A138,FlexibleRepairCouplings!$A$10:$M$12,7,FALSE),
IF($A138&lt;DuraFix!$A$15,VLOOKUP($A138,DuraFix!$A$9:$M$14,7,FALSE),
IF($A138&lt;'Compression Fittings'!$A$16,VLOOKUP($A138,'Compression Fittings'!$A$8:$M$15,7,FALSE),
IF($A138&lt;'Hose Fittings'!$A$30,VLOOKUP($A138,'Hose Fittings'!$A$8:$M$29,7,FALSE),
IF($A138&lt;'Swing Joints'!$A$496,VLOOKUP($A138,'Swing Joints'!$A$9:$M$495,7,FALSE),
IF($A138&lt;'Swing Joints Components'!$A$135,VLOOKUP($A138,'Swing Joints Components'!$A$9:$M$134,7,FALSE),
IF($A138&lt;Nonstandard!$A$42,VLOOKUP($A138,Nonstandard!$A$31:$J$41,3,FALSE),"")))))))))))))))))))))))))))),"")</f>
        <v/>
      </c>
      <c r="I138" s="589"/>
      <c r="J138" s="423" t="str">
        <f t="shared" si="3"/>
        <v/>
      </c>
      <c r="K138" s="424" t="str">
        <f>IFERROR(IF($A138&lt;'DWV PVC'!$A$285,VLOOKUP($A138,'DWV PVC'!$A$8:$M$284,10,FALSE),
IF($A138&lt;'DWV ABS'!$A$117,VLOOKUP($A138,'DWV ABS'!$A$8:$M$116,10,FALSE),
IF($A138&lt;'PVC SCH40'!$A$376,VLOOKUP($A138,'PVC SCH40'!$A$8:$M$375,10,FALSE),
IF($A138&lt;'PVC SCH40 LD'!$A$22,VLOOKUP($A138,'PVC SCH40 LD'!$A$8:$M$21,10,FALSE),
IF($A138&lt;'Pool &amp; SPA Sweep Elbows'!$A$12,VLOOKUP($A138,'Pool &amp; SPA Sweep Elbows'!$A$8:$M$11,10,FALSE),
IF($A138&lt;'Pool &amp; SPA Pipe Extender'!$A$11,VLOOKUP($A138,'Pool &amp; SPA Pipe Extender'!$A$8:$M$10,10,FALSE),
IF($A138&lt;'PVC SCH80'!$A$250,VLOOKUP($A138,'PVC SCH80'!$A$8:$M$249,10,FALSE),
IF($A138&lt;'PVC SCH80 Flange'!$A$49,VLOOKUP($A138,'PVC SCH80 Flange'!$A$8:$M$48,10,FALSE),
IF($A138&lt;'PVC SCH80 LD Flange'!$A$17,VLOOKUP($A138,'PVC SCH80 LD Flange'!$A$8:$M$16,10,FALSE),
IF($A138&lt;CPVC!$A$100,VLOOKUP($A138,CPVC!$A$8:$M$99,10,FALSE),
IF($A138&lt;InsertFittings!$A$237,VLOOKUP($A138,InsertFittings!$A$11:$M$236,10,FALSE),
IF($A138&lt;Valves!$A$132,VLOOKUP($A138,Valves!$A$8:$M$131,10,FALSE),
IF($A138&lt;SDR35SW!$A$124,VLOOKUP($A138,SDR35SW!$A$8:$M$123,10,FALSE),
IF($A138&lt;SDR35G!$A$143,VLOOKUP($A138, SDR35G!$A$8:$M$142,10,FALSE),
IF($A138&lt;SDR26G!$A$61,VLOOKUP($A138,SDR26G!$A$8:$N$60,11,FALSE),
IF($A138&lt;Cements!$A$100,VLOOKUP($A138,Cements!$A$8:$Q$99,14,FALSE),
IF($A138&lt;ValveBox!$A$143,VLOOKUP($A138,ValveBox!$A$10:$O$142,12,FALSE),
IF($A138&lt;'ValveBox Components'!$A$165,VLOOKUP($A138,'ValveBox Components'!$A$10:$O$164,12,FALSE),
IF($A138&lt;Drainage!$A$92,VLOOKUP($A138,Drainage!$A$8:$M$91,10,FALSE),
IF($A138&lt;Nipples!$A$82,VLOOKUP($A138,Nipples!$A$9:$Q$81,14,FALSE),
IF($A138&lt;Manifold!$A$33,VLOOKUP($A138,Manifold!$A$9:$M$32,10,FALSE),
IF($A138&lt;FlexibleRepairCouplings!$A$13,VLOOKUP($A138,FlexibleRepairCouplings!$A$10:$M$12,10,FALSE),
IF($A138&lt;DuraFix!$A$15,VLOOKUP($A138,DuraFix!$A$9:$M$14,10,FALSE),
IF($A138&lt;'Compression Fittings'!$A$16,VLOOKUP($A138,'Compression Fittings'!$A$8:$M$15,10,FALSE),
IF($A138&lt;'Hose Fittings'!$A$30,VLOOKUP($A138,'Hose Fittings'!$A$8:$M$29,10,FALSE),
IF($A138&lt;'Swing Joints'!$A$496,VLOOKUP($A138,'Swing Joints'!$A$9:$M$495,10,FALSE),
IF($A138&lt;'Swing Joints Components'!$A$135,VLOOKUP($A138,'Swing Joints Components'!$A$9:$M$134,10,FALSE),
IF($A138&lt;Nonstandard!$A$42,VLOOKUP($A138,Nonstandard!$A$31:$J$41,10,FALSE),"")))))))))))))))))))))))))))),"")</f>
        <v/>
      </c>
      <c r="L138" s="421" t="str">
        <f t="shared" si="2"/>
        <v>-</v>
      </c>
      <c r="M138" s="425"/>
    </row>
    <row r="139" spans="1:13" ht="15.75">
      <c r="A139" s="415">
        <v>107</v>
      </c>
      <c r="B139" s="415" t="str">
        <f>IFERROR(IF($A139&lt;'DWV PVC'!$A$285,VLOOKUP($A139,'DWV PVC'!$A$8:$M$284,4,FALSE),
IF($A139&lt;'DWV ABS'!$A$117,VLOOKUP($A139,'DWV ABS'!$A$8:$M$116,4,FALSE),
IF($A139&lt;'PVC SCH40'!$A$376,VLOOKUP($A139,'PVC SCH40'!$A$8:$M$375,4,FALSE),
IF($A139&lt;'PVC SCH40 LD'!$A$22,VLOOKUP($A139,'PVC SCH40 LD'!$A$8:$M$21,4,FALSE),
IF($A139&lt;'Pool &amp; SPA Sweep Elbows'!$A$12,VLOOKUP($A139,'Pool &amp; SPA Sweep Elbows'!$A$8:$M$11,4,FALSE),
IF($A139&lt;'Pool &amp; SPA Pipe Extender'!$A$11,VLOOKUP($A139,'Pool &amp; SPA Pipe Extender'!$A$8:$M$10,4,FALSE),
IF($A139&lt;'PVC SCH80'!$A$250,VLOOKUP($A139,'PVC SCH80'!$A$8:$M$249,4,FALSE),
IF($A139&lt;'PVC SCH80 Flange'!$A$49,VLOOKUP($A139,'PVC SCH80 Flange'!$A$8:$M$48,4,FALSE),
IF($A139&lt;'PVC SCH80 LD Flange'!$A$17,VLOOKUP($A139,'PVC SCH80 LD Flange'!$A$8:$M$16,4,FALSE),
IF($A139&lt;CPVC!$A$100,VLOOKUP($A139,CPVC!$A$8:$M$99,4,FALSE),
IF($A139&lt;InsertFittings!$A$237,VLOOKUP($A139,InsertFittings!$A$11:$M$236,4,FALSE),
IF($A139&lt;Valves!$A$132,VLOOKUP($A139,Valves!$A$8:$M$131,4,FALSE),
IF($A139&lt;SDR35SW!$A$124,VLOOKUP($A139,SDR35SW!$A$8:$M$123,4,FALSE),
IF($A139&lt;SDR35G!$A$143,VLOOKUP($A139, SDR35G!$A$8:$M$142,4,FALSE),
IF($A139&lt;SDR26G!$A$61,VLOOKUP($A139,SDR26G!$A$8:$N$60,4,FALSE),
IF($A139&lt;Cements!$A$100,VLOOKUP($A139,Cements!$A$8:$Q$99,4,FALSE),
IF($A139&lt;ValveBox!$A$143,VLOOKUP($A139,ValveBox!$A$10:$O$142,4,FALSE),
IF($A139&lt;'ValveBox Components'!$A$165,VLOOKUP($A139,'ValveBox Components'!$A$10:$O$164,4,FALSE),
IF($A139&lt;Drainage!$A$92,VLOOKUP($A139,Drainage!$A$8:$M$91,4,FALSE),
IF($A139&lt;Nipples!$A$82,VLOOKUP($A139,Nipples!$A$9:$Q$81,4,FALSE),
IF($A139&lt;Manifold!$A$33,VLOOKUP($A139,Manifold!$A$9:$M$32,4,FALSE),
IF($A139&lt;FlexibleRepairCouplings!$A$13,VLOOKUP($A139,FlexibleRepairCouplings!$A$10:$M$12,4,FALSE),
IF($A139&lt;DuraFix!$A$15,VLOOKUP($A139,DuraFix!$A$9:$M$14,4,FALSE),
IF($A139&lt;'Compression Fittings'!$A$16,VLOOKUP($A139,'Compression Fittings'!$A$8:$M$15,4,FALSE),
IF($A139&lt;'Hose Fittings'!$A$30,VLOOKUP($A139,'Hose Fittings'!$A$8:$M$29,4,FALSE),
IF($A139&lt;'Swing Joints'!$A$496,VLOOKUP($A139,'Swing Joints'!$A$9:$M$495,4,FALSE),
IF($A139&lt;'Swing Joints Components'!$A$135,VLOOKUP($A139,'Swing Joints Components'!$A$9:$M$134,4,FALSE),
IF($A139&lt;Nonstandard!$A$42,VLOOKUP($A139,Nonstandard!$A$31:$J$41,5,FALSE),"")))))))))))))))))))))))))))),"")</f>
        <v/>
      </c>
      <c r="C139" s="415" t="str">
        <f>IFERROR(IF($A139&lt;'DWV PVC'!$A$285,VLOOKUP($A139,'DWV PVC'!$A$8:$M$284,5,FALSE),
IF($A139&lt;'DWV ABS'!$A$117,VLOOKUP($A139,'DWV ABS'!$A$8:$M$116,5,FALSE),
IF($A139&lt;'PVC SCH40'!$A$376,VLOOKUP($A139,'PVC SCH40'!$A$8:$M$375,5,FALSE),
IF($A139&lt;'PVC SCH40 LD'!$A$22,VLOOKUP($A139,'PVC SCH40 LD'!$A$8:$M$21,5,FALSE),
IF($A139&lt;'Pool &amp; SPA Sweep Elbows'!$A$12,VLOOKUP($A139,'Pool &amp; SPA Sweep Elbows'!$A$8:$M$11,5,FALSE),
IF($A139&lt;'Pool &amp; SPA Pipe Extender'!$A$11,VLOOKUP($A139,'Pool &amp; SPA Pipe Extender'!$A$8:$M$10,5,FALSE),
IF($A139&lt;'PVC SCH80'!$A$250,VLOOKUP($A139,'PVC SCH80'!$A$8:$M$249,5,FALSE),
IF($A139&lt;'PVC SCH80 Flange'!$A$49,VLOOKUP($A139,'PVC SCH80 Flange'!$A$8:$M$48,5,FALSE),
IF($A139&lt;'PVC SCH80 LD Flange'!$A$17,VLOOKUP($A139,'PVC SCH80 LD Flange'!$A$8:$M$16,5,FALSE),
IF($A139&lt;CPVC!$A$100,VLOOKUP($A139,CPVC!$A$8:$M$99,5,FALSE),
IF($A139&lt;InsertFittings!$A$237,VLOOKUP($A139,InsertFittings!$A$11:$M$236,5,FALSE),
IF($A139&lt;Valves!$A$132,VLOOKUP($A139,Valves!$A$8:$M$131,5,FALSE),
IF($A139&lt;SDR35SW!$A$124,VLOOKUP($A139,SDR35SW!$A$8:$M$123,5,FALSE),
IF($A139&lt;SDR35G!$A$143,VLOOKUP($A139, SDR35G!$A$8:$M$142,5,FALSE),
IF($A139&lt;SDR26G!$A$61,VLOOKUP($A139,SDR26G!$A$8:$N$60,5,FALSE),
IF($A139&lt;Cements!$A$100,VLOOKUP($A139,Cements!$A$8:$Q$99,5,FALSE),
IF($A139&lt;ValveBox!$A$143,VLOOKUP($A139,ValveBox!$A$10:$O$142,5,FALSE),
IF($A139&lt;'ValveBox Components'!$A$165,VLOOKUP($A139,'ValveBox Components'!$A$10:$O$164,5,FALSE),
IF($A139&lt;Drainage!$A$92,VLOOKUP($A139,Drainage!$A$8:$M$91,5,FALSE),
IF($A139&lt;Nipples!$A$82,VLOOKUP($A139,Nipples!$A$9:$Q$81,5,FALSE),
IF($A139&lt;Manifold!$A$33,VLOOKUP($A139,Manifold!$A$9:$M$32,5,FALSE),
IF($A139&lt;FlexibleRepairCouplings!$A$13,VLOOKUP($A139,FlexibleRepairCouplings!$A$10:$M$12,5,FALSE),
IF($A139&lt;DuraFix!$A$15,VLOOKUP($A139,DuraFix!$A$9:$M$14,5,FALSE),
IF($A139&lt;'Compression Fittings'!$A$16,VLOOKUP($A139,'Compression Fittings'!$A$8:$M$15,5,FALSE),
IF($A139&lt;'Hose Fittings'!$A$30,VLOOKUP($A139,'Hose Fittings'!$A$8:$M$29,5,FALSE),
IF($A139&lt;'Swing Joints'!$A$496,VLOOKUP($A139,'Swing Joints'!$A$9:$M$495,5,FALSE),
IF($A139&lt;'Swing Joints Components'!$A$135,VLOOKUP($A139,'Swing Joints Components'!$A$9:$M$134,5,FALSE),
IF($A139&lt;Nonstandard!$A$42,VLOOKUP($A139,Nonstandard!$A$31:$J$41,6,FALSE),"")))))))))))))))))))))))))))),"")</f>
        <v/>
      </c>
      <c r="D139" s="426" t="str">
        <f>IFERROR(IF($A139&lt;'DWV PVC'!$A$285,VLOOKUP($A139,'DWV PVC'!$A$8:$M$284,6,FALSE),
IF($A139&lt;'DWV ABS'!$A$117,VLOOKUP($A139,'DWV ABS'!$A$8:$M$116,6,FALSE),
IF($A139&lt;'PVC SCH40'!$A$376,VLOOKUP($A139,'PVC SCH40'!$A$8:$M$375,6,FALSE),
IF($A139&lt;'PVC SCH40 LD'!$A$22,VLOOKUP($A139,'PVC SCH40 LD'!$A$8:$M$21,6,FALSE),
IF($A139&lt;'Pool &amp; SPA Sweep Elbows'!$A$12,VLOOKUP($A139,'Pool &amp; SPA Sweep Elbows'!$A$8:$M$11,6,FALSE),
IF($A139&lt;'Pool &amp; SPA Pipe Extender'!$A$11,VLOOKUP($A139,'Pool &amp; SPA Pipe Extender'!$A$8:$M$10,6,FALSE),
IF($A139&lt;'PVC SCH80'!$A$250,VLOOKUP($A139,'PVC SCH80'!$A$8:$M$249,6,FALSE),
IF($A139&lt;'PVC SCH80 Flange'!$A$49,VLOOKUP($A139,'PVC SCH80 Flange'!$A$8:$M$48,6,FALSE),
IF($A139&lt;'PVC SCH80 LD Flange'!$A$17,VLOOKUP($A139,'PVC SCH80 LD Flange'!$A$8:$M$16,6,FALSE),
IF($A139&lt;CPVC!$A$100,VLOOKUP($A139,CPVC!$A$8:$M$99,6,FALSE),
IF($A139&lt;InsertFittings!$A$237,VLOOKUP($A139,InsertFittings!$A$11:$M$236,6,FALSE),
IF($A139&lt;Valves!$A$132,VLOOKUP($A139,Valves!$A$8:$M$131,6,FALSE),
IF($A139&lt;SDR35SW!$A$124,VLOOKUP($A139,SDR35SW!$A$8:$M$123,6,FALSE),
IF($A139&lt;SDR35G!$A$143,VLOOKUP($A139, SDR35G!$A$8:$M$142,6,FALSE),
IF($A139&lt;SDR26G!$A$61,VLOOKUP($A139,SDR26G!$A$8:$N$60,6,FALSE),
IF($A139&lt;Cements!$A$100,VLOOKUP($A139,Cements!$A$8:$Q$99,6,FALSE),
IF($A139&lt;ValveBox!$A$143,VLOOKUP($A139,ValveBox!$A$10:$O$142,6,FALSE),
IF($A139&lt;'ValveBox Components'!$A$165,VLOOKUP($A139,'ValveBox Components'!$A$10:$O$164,6,FALSE),
IF($A139&lt;Drainage!$A$92,VLOOKUP($A139,Drainage!$A$8:$M$91,6,FALSE),
IF($A139&lt;Nipples!$A$82,VLOOKUP($A139,Nipples!$A$9:$Q$81,6,FALSE),
IF($A139&lt;Manifold!$A$33,VLOOKUP($A139,Manifold!$A$9:$M$32,6,FALSE),
IF($A139&lt;FlexibleRepairCouplings!$A$13,VLOOKUP($A139,FlexibleRepairCouplings!$A$10:$M$12,6,FALSE),
IF($A139&lt;DuraFix!$A$15,VLOOKUP($A139,DuraFix!$A$9:$M$14,6,FALSE),
IF($A139&lt;'Compression Fittings'!$A$16,VLOOKUP($A139,'Compression Fittings'!$A$8:$M$15,6,FALSE),
IF($A139&lt;'Hose Fittings'!$A$30,VLOOKUP($A139,'Hose Fittings'!$A$8:$M$29,6,FALSE),
IF($A139&lt;'Swing Joints'!$A$496,VLOOKUP($A139,'Swing Joints'!$A$9:$M$495,6,FALSE),
IF($A139&lt;'Swing Joints Components'!$A$135,VLOOKUP($A139,'Swing Joints Components'!$A$9:$M$134,6,FALSE),
IF($A139&lt;Nonstandard!$A$42,VLOOKUP($A139,Nonstandard!$A$31:$J$41,7,FALSE),"")))))))))))))))))))))))))))),"")</f>
        <v/>
      </c>
      <c r="E139" s="427"/>
      <c r="F139" s="418" t="str">
        <f>IFERROR(IF($A139&lt;'DWV PVC'!$A$285,VLOOKUP($A139,'DWV PVC'!$A$8:$M$284,9,FALSE),
IF($A139&lt;'DWV ABS'!$A$117,VLOOKUP($A139,'DWV ABS'!$A$8:$M$116,9,FALSE),
IF($A139&lt;'PVC SCH40'!$A$376,VLOOKUP($A139,'PVC SCH40'!$A$8:$M$375,9,FALSE),
IF($A139&lt;'PVC SCH40 LD'!$A$22,VLOOKUP($A139,'PVC SCH40 LD'!$A$8:$M$21,9,FALSE),
IF($A139&lt;'Pool &amp; SPA Sweep Elbows'!$A$12,VLOOKUP($A139,'Pool &amp; SPA Sweep Elbows'!$A$8:$M$11,9,FALSE),
IF($A139&lt;'Pool &amp; SPA Pipe Extender'!$A$11,VLOOKUP($A139,'Pool &amp; SPA Pipe Extender'!$A$8:$M$10,9,FALSE),
IF($A139&lt;'PVC SCH80'!$A$250,VLOOKUP($A139,'PVC SCH80'!$A$8:$M$249,9,FALSE),
IF($A139&lt;'PVC SCH80 Flange'!$A$49,VLOOKUP($A139,'PVC SCH80 Flange'!$A$8:$M$48,9,FALSE),
IF($A139&lt;'PVC SCH80 LD Flange'!$A$17,VLOOKUP($A139,'PVC SCH80 LD Flange'!$A$8:$M$16,9,FALSE),
IF($A139&lt;CPVC!$A$100,VLOOKUP($A139,CPVC!$A$8:$M$99,9,FALSE),
IF($A139&lt;InsertFittings!$A$237,VLOOKUP($A139,InsertFittings!$A$11:$M$236,9,FALSE),
IF($A139&lt;Valves!$A$132,VLOOKUP($A139,Valves!$A$8:$M$131,9,FALSE),
IF($A139&lt;SDR35SW!$A$124,VLOOKUP($A139,SDR35SW!$A$8:$M$123,9,FALSE),
IF($A139&lt;SDR35G!$A$143,VLOOKUP($A139, SDR35G!$A$8:$M$142,9,FALSE),
IF($A139&lt;SDR26G!$A$61,VLOOKUP($A139,SDR26G!$A$8:$N$60,10,FALSE),
IF($A139&lt;Cements!$A$100,VLOOKUP($A139,Cements!$A$8:$Q$99,13,FALSE),
IF($A139&lt;ValveBox!$A$143,VLOOKUP($A139,ValveBox!$A$10:$O$142,11,FALSE),
IF($A139&lt;'ValveBox Components'!$A$165,VLOOKUP($A139,'ValveBox Components'!$A$10:$O$164,11,FALSE),
IF($A139&lt;Drainage!$A$92,VLOOKUP($A139,Drainage!$A$8:$M$91,9,FALSE),
IF($A139&lt;Nipples!$A$82,VLOOKUP($A139,Nipples!$A$9:$Q$81,13,FALSE),
IF($A139&lt;Manifold!$A$33,VLOOKUP($A139,Manifold!$A$9:$M$32,9,FALSE),
IF($A139&lt;FlexibleRepairCouplings!$A$13,VLOOKUP($A139,FlexibleRepairCouplings!$A$10:$M$12,9,FALSE),
IF($A139&lt;DuraFix!$A$15,VLOOKUP($A139,DuraFix!$A$9:$M$14,9,FALSE),
IF($A139&lt;'Compression Fittings'!$A$16,VLOOKUP($A139,'Compression Fittings'!$A$8:$M$15,9,FALSE),
IF($A139&lt;'Hose Fittings'!$A$30,VLOOKUP($A139,'Hose Fittings'!$A$8:$M$29,9,FALSE),
IF($A139&lt;'Swing Joints'!$A$496,VLOOKUP($A139,'Swing Joints'!$A$9:$M$495,9,FALSE),
IF($A139&lt;'Swing Joints Components'!$A$135,VLOOKUP($A139,'Swing Joints Components'!$A$9:$M$134,9,FALSE),
IF($A139&lt;Nonstandard!$A$42,VLOOKUP($A139,Nonstandard!$A$31:$J$41,8,FALSE),"")))))))))))))))))))))))))))),"")</f>
        <v/>
      </c>
      <c r="G139" s="416" t="str">
        <f>IFERROR(IF($A139&lt;'DWV PVC'!$A$285,VLOOKUP($A139,'DWV PVC'!$A$8:$M$284,11,FALSE),
IF($A139&lt;'DWV ABS'!$A$117,VLOOKUP($A139,'DWV ABS'!$A$8:$M$116,11,FALSE),
IF($A139&lt;'PVC SCH40'!$A$376,VLOOKUP($A139,'PVC SCH40'!$A$8:$M$375,11,FALSE),
IF($A139&lt;'PVC SCH40 LD'!$A$22,VLOOKUP($A139,'PVC SCH40 LD'!$A$8:$M$21,11,FALSE),
IF($A139&lt;'Pool &amp; SPA Sweep Elbows'!$A$12,VLOOKUP($A139,'Pool &amp; SPA Sweep Elbows'!$A$8:$M$11,11,FALSE),
IF($A139&lt;'Pool &amp; SPA Pipe Extender'!$A$11,VLOOKUP($A139,'Pool &amp; SPA Pipe Extender'!$A$8:$M$10,11,FALSE),
IF($A139&lt;'PVC SCH80'!$A$250,VLOOKUP($A139,'PVC SCH80'!$A$8:$M$249,11,FALSE),
IF($A139&lt;'PVC SCH80 Flange'!$A$49,VLOOKUP($A139,'PVC SCH80 Flange'!$A$8:$M$48,11,FALSE),
IF($A139&lt;'PVC SCH80 LD Flange'!$A$17,VLOOKUP($A139,'PVC SCH80 LD Flange'!$A$8:$M$16,11,FALSE),
IF($A139&lt;CPVC!$A$100,VLOOKUP($A139,CPVC!$A$8:$M$99,11,FALSE),
IF($A139&lt;InsertFittings!$A$237,VLOOKUP($A139,InsertFittings!$A$11:$M$236,11,FALSE),
IF($A139&lt;Valves!$A$132,VLOOKUP($A139,Valves!$A$8:$M$131,11,FALSE),
IF($A139&lt;SDR35SW!$A$124,VLOOKUP($A139,SDR35SW!$A$8:$M$123,11,FALSE),
IF($A139&lt;SDR35G!$A$143,VLOOKUP($A139, SDR35G!$A$8:$M$142,11,FALSE),
IF($A139&lt;SDR26G!$A$61,VLOOKUP($A139,SDR26G!$A$8:$N$60,12,FALSE),
IF($A139&lt;Cements!$A$100,VLOOKUP($A139,Cements!$A$8:$Q$99,15,FALSE),
IF($A139&lt;ValveBox!$A$143,VLOOKUP($A139,ValveBox!$A$10:$O$142,13,FALSE),
IF($A139&lt;'ValveBox Components'!$A$165,VLOOKUP($A139,'ValveBox Components'!$A$10:$O$164,13,FALSE),
IF($A139&lt;Drainage!$A$92,VLOOKUP($A139,Drainage!$A$8:$M$91,11,FALSE),
IF($A139&lt;Nipples!$A$82,VLOOKUP($A139,Nipples!$A$9:$Q$81,15,FALSE),
IF($A139&lt;Manifold!$A$33,VLOOKUP($A139,Manifold!$A$9:$M$32,11,FALSE),
IF($A139&lt;FlexibleRepairCouplings!$A$13,VLOOKUP($A139,FlexibleRepairCouplings!$A$10:$M$12,11,FALSE),
IF($A139&lt;DuraFix!$A$15,VLOOKUP($A139,DuraFix!$A$9:$M$14,11,FALSE),
IF($A139&lt;'Compression Fittings'!$A$16,VLOOKUP($A139,'Compression Fittings'!$A$8:$M$15,11,FALSE),
IF($A139&lt;'Hose Fittings'!$A$30,VLOOKUP($A139,'Hose Fittings'!$A$8:$M$29,11,FALSE),
IF($A139&lt;'Swing Joints'!$A$496,VLOOKUP($A139,'Swing Joints'!$A$9:$M$495,11,FALSE),
IF($A139&lt;'Swing Joints Components'!$A$135,VLOOKUP($A139,'Swing Joints Components'!$A$9:$M$134,11,FALSE),
IF($A139&lt;Nonstandard!$A$42,VLOOKUP($A139,Nonstandard!$A$31:$J$41,3,FALSE),"")))))))))))))))))))))))))))),"")</f>
        <v/>
      </c>
      <c r="H139" s="586" t="str">
        <f>IFERROR(IF($A139&lt;'DWV PVC'!$A$285,VLOOKUP($A139,'DWV PVC'!$A$8:$M$284,7,FALSE),
IF($A139&lt;'DWV ABS'!$A$117,VLOOKUP($A139,'DWV ABS'!$A$8:$M$116,7,FALSE),
IF($A139&lt;'PVC SCH40'!$A$376,VLOOKUP($A139,'PVC SCH40'!$A$8:$M$375,7,FALSE),
IF($A139&lt;'PVC SCH40 LD'!$A$22,VLOOKUP($A139,'PVC SCH40 LD'!$A$8:$M$21,7,FALSE),
IF($A139&lt;'Pool &amp; SPA Sweep Elbows'!$A$12,VLOOKUP($A139,'Pool &amp; SPA Sweep Elbows'!$A$8:$M$11,7,FALSE),
IF($A139&lt;'Pool &amp; SPA Pipe Extender'!$A$11,VLOOKUP($A139,'Pool &amp; SPA Pipe Extender'!$A$8:$M$10,7,FALSE),
IF($A139&lt;'PVC SCH80'!$A$250,VLOOKUP($A139,'PVC SCH80'!$A$8:$M$249,7,FALSE),
IF($A139&lt;'PVC SCH80 Flange'!$A$49,VLOOKUP($A139,'PVC SCH80 Flange'!$A$8:$M$48,7,FALSE),
IF($A139&lt;'PVC SCH80 LD Flange'!$A$17,VLOOKUP($A139,'PVC SCH80 LD Flange'!$A$8:$M$16,7,FALSE),
IF($A139&lt;CPVC!$A$100,VLOOKUP($A139,CPVC!$A$8:$M$99,7,FALSE),
IF($A139&lt;InsertFittings!$A$237,VLOOKUP($A139,InsertFittings!$A$11:$M$236,7,FALSE),
IF($A139&lt;Valves!$A$132,VLOOKUP($A139,Valves!$A$8:$M$131,7,FALSE),
IF($A139&lt;SDR35SW!$A$124,VLOOKUP($A139,SDR35SW!$A$8:$M$123,7,FALSE),
IF($A139&lt;SDR35G!$A$143,VLOOKUP($A139, SDR35G!$A$8:$M$142,7,FALSE),
IF($A139&lt;SDR26G!$A$61,VLOOKUP($A139,SDR26G!$A$8:$N$60,10,FALSE),
IF($A139&lt;Cements!$A$100,VLOOKUP($A139,Cements!$A$8:$Q$99,13,FALSE),
IF($A139&lt;ValveBox!$A$143,VLOOKUP($A139,ValveBox!$A$10:$O$142,11,FALSE),
IF($A139&lt;'ValveBox Components'!$A$165,VLOOKUP($A139,'ValveBox Components'!$A$10:$O$164,11,FALSE),
IF($A139&lt;Drainage!$A$92,VLOOKUP($A139,Drainage!$A$8:$M$91,7,FALSE),
IF($A139&lt;Nipples!$A$82,VLOOKUP($A139,Nipples!$A$9:$Q$81,13,FALSE),
IF($A139&lt;Manifold!$A$33,VLOOKUP($A139,Manifold!$A$9:$M$32,7,FALSE),
IF($A139&lt;FlexibleRepairCouplings!$A$13,VLOOKUP($A139,FlexibleRepairCouplings!$A$10:$M$12,7,FALSE),
IF($A139&lt;DuraFix!$A$15,VLOOKUP($A139,DuraFix!$A$9:$M$14,7,FALSE),
IF($A139&lt;'Compression Fittings'!$A$16,VLOOKUP($A139,'Compression Fittings'!$A$8:$M$15,7,FALSE),
IF($A139&lt;'Hose Fittings'!$A$30,VLOOKUP($A139,'Hose Fittings'!$A$8:$M$29,7,FALSE),
IF($A139&lt;'Swing Joints'!$A$496,VLOOKUP($A139,'Swing Joints'!$A$9:$M$495,7,FALSE),
IF($A139&lt;'Swing Joints Components'!$A$135,VLOOKUP($A139,'Swing Joints Components'!$A$9:$M$134,7,FALSE),
IF($A139&lt;Nonstandard!$A$42,VLOOKUP($A139,Nonstandard!$A$31:$J$41,3,FALSE),"")))))))))))))))))))))))))))),"")</f>
        <v/>
      </c>
      <c r="I139" s="587"/>
      <c r="J139" s="383" t="str">
        <f t="shared" si="3"/>
        <v/>
      </c>
      <c r="K139" s="417" t="str">
        <f>IFERROR(IF($A139&lt;'DWV PVC'!$A$285,VLOOKUP($A139,'DWV PVC'!$A$8:$M$284,10,FALSE),
IF($A139&lt;'DWV ABS'!$A$117,VLOOKUP($A139,'DWV ABS'!$A$8:$M$116,10,FALSE),
IF($A139&lt;'PVC SCH40'!$A$376,VLOOKUP($A139,'PVC SCH40'!$A$8:$M$375,10,FALSE),
IF($A139&lt;'PVC SCH40 LD'!$A$22,VLOOKUP($A139,'PVC SCH40 LD'!$A$8:$M$21,10,FALSE),
IF($A139&lt;'Pool &amp; SPA Sweep Elbows'!$A$12,VLOOKUP($A139,'Pool &amp; SPA Sweep Elbows'!$A$8:$M$11,10,FALSE),
IF($A139&lt;'Pool &amp; SPA Pipe Extender'!$A$11,VLOOKUP($A139,'Pool &amp; SPA Pipe Extender'!$A$8:$M$10,10,FALSE),
IF($A139&lt;'PVC SCH80'!$A$250,VLOOKUP($A139,'PVC SCH80'!$A$8:$M$249,10,FALSE),
IF($A139&lt;'PVC SCH80 Flange'!$A$49,VLOOKUP($A139,'PVC SCH80 Flange'!$A$8:$M$48,10,FALSE),
IF($A139&lt;'PVC SCH80 LD Flange'!$A$17,VLOOKUP($A139,'PVC SCH80 LD Flange'!$A$8:$M$16,10,FALSE),
IF($A139&lt;CPVC!$A$100,VLOOKUP($A139,CPVC!$A$8:$M$99,10,FALSE),
IF($A139&lt;InsertFittings!$A$237,VLOOKUP($A139,InsertFittings!$A$11:$M$236,10,FALSE),
IF($A139&lt;Valves!$A$132,VLOOKUP($A139,Valves!$A$8:$M$131,10,FALSE),
IF($A139&lt;SDR35SW!$A$124,VLOOKUP($A139,SDR35SW!$A$8:$M$123,10,FALSE),
IF($A139&lt;SDR35G!$A$143,VLOOKUP($A139, SDR35G!$A$8:$M$142,10,FALSE),
IF($A139&lt;SDR26G!$A$61,VLOOKUP($A139,SDR26G!$A$8:$N$60,11,FALSE),
IF($A139&lt;Cements!$A$100,VLOOKUP($A139,Cements!$A$8:$Q$99,14,FALSE),
IF($A139&lt;ValveBox!$A$143,VLOOKUP($A139,ValveBox!$A$10:$O$142,12,FALSE),
IF($A139&lt;'ValveBox Components'!$A$165,VLOOKUP($A139,'ValveBox Components'!$A$10:$O$164,12,FALSE),
IF($A139&lt;Drainage!$A$92,VLOOKUP($A139,Drainage!$A$8:$M$91,10,FALSE),
IF($A139&lt;Nipples!$A$82,VLOOKUP($A139,Nipples!$A$9:$Q$81,14,FALSE),
IF($A139&lt;Manifold!$A$33,VLOOKUP($A139,Manifold!$A$9:$M$32,10,FALSE),
IF($A139&lt;FlexibleRepairCouplings!$A$13,VLOOKUP($A139,FlexibleRepairCouplings!$A$10:$M$12,10,FALSE),
IF($A139&lt;DuraFix!$A$15,VLOOKUP($A139,DuraFix!$A$9:$M$14,10,FALSE),
IF($A139&lt;'Compression Fittings'!$A$16,VLOOKUP($A139,'Compression Fittings'!$A$8:$M$15,10,FALSE),
IF($A139&lt;'Hose Fittings'!$A$30,VLOOKUP($A139,'Hose Fittings'!$A$8:$M$29,10,FALSE),
IF($A139&lt;'Swing Joints'!$A$496,VLOOKUP($A139,'Swing Joints'!$A$9:$M$495,10,FALSE),
IF($A139&lt;'Swing Joints Components'!$A$135,VLOOKUP($A139,'Swing Joints Components'!$A$9:$M$134,10,FALSE),
IF($A139&lt;Nonstandard!$A$42,VLOOKUP($A139,Nonstandard!$A$31:$J$41,10,FALSE),"")))))))))))))))))))))))))))),"")</f>
        <v/>
      </c>
      <c r="L139" s="418" t="str">
        <f t="shared" si="2"/>
        <v>-</v>
      </c>
      <c r="M139" s="419"/>
    </row>
    <row r="140" spans="1:13" ht="15.75">
      <c r="A140" s="420">
        <v>108</v>
      </c>
      <c r="B140" s="420" t="str">
        <f>IFERROR(IF($A140&lt;'DWV PVC'!$A$285,VLOOKUP($A140,'DWV PVC'!$A$8:$M$284,4,FALSE),
IF($A140&lt;'DWV ABS'!$A$117,VLOOKUP($A140,'DWV ABS'!$A$8:$M$116,4,FALSE),
IF($A140&lt;'PVC SCH40'!$A$376,VLOOKUP($A140,'PVC SCH40'!$A$8:$M$375,4,FALSE),
IF($A140&lt;'PVC SCH40 LD'!$A$22,VLOOKUP($A140,'PVC SCH40 LD'!$A$8:$M$21,4,FALSE),
IF($A140&lt;'Pool &amp; SPA Sweep Elbows'!$A$12,VLOOKUP($A140,'Pool &amp; SPA Sweep Elbows'!$A$8:$M$11,4,FALSE),
IF($A140&lt;'Pool &amp; SPA Pipe Extender'!$A$11,VLOOKUP($A140,'Pool &amp; SPA Pipe Extender'!$A$8:$M$10,4,FALSE),
IF($A140&lt;'PVC SCH80'!$A$250,VLOOKUP($A140,'PVC SCH80'!$A$8:$M$249,4,FALSE),
IF($A140&lt;'PVC SCH80 Flange'!$A$49,VLOOKUP($A140,'PVC SCH80 Flange'!$A$8:$M$48,4,FALSE),
IF($A140&lt;'PVC SCH80 LD Flange'!$A$17,VLOOKUP($A140,'PVC SCH80 LD Flange'!$A$8:$M$16,4,FALSE),
IF($A140&lt;CPVC!$A$100,VLOOKUP($A140,CPVC!$A$8:$M$99,4,FALSE),
IF($A140&lt;InsertFittings!$A$237,VLOOKUP($A140,InsertFittings!$A$11:$M$236,4,FALSE),
IF($A140&lt;Valves!$A$132,VLOOKUP($A140,Valves!$A$8:$M$131,4,FALSE),
IF($A140&lt;SDR35SW!$A$124,VLOOKUP($A140,SDR35SW!$A$8:$M$123,4,FALSE),
IF($A140&lt;SDR35G!$A$143,VLOOKUP($A140, SDR35G!$A$8:$M$142,4,FALSE),
IF($A140&lt;SDR26G!$A$61,VLOOKUP($A140,SDR26G!$A$8:$N$60,4,FALSE),
IF($A140&lt;Cements!$A$100,VLOOKUP($A140,Cements!$A$8:$Q$99,4,FALSE),
IF($A140&lt;ValveBox!$A$143,VLOOKUP($A140,ValveBox!$A$10:$O$142,4,FALSE),
IF($A140&lt;'ValveBox Components'!$A$165,VLOOKUP($A140,'ValveBox Components'!$A$10:$O$164,4,FALSE),
IF($A140&lt;Drainage!$A$92,VLOOKUP($A140,Drainage!$A$8:$M$91,4,FALSE),
IF($A140&lt;Nipples!$A$82,VLOOKUP($A140,Nipples!$A$9:$Q$81,4,FALSE),
IF($A140&lt;Manifold!$A$33,VLOOKUP($A140,Manifold!$A$9:$M$32,4,FALSE),
IF($A140&lt;FlexibleRepairCouplings!$A$13,VLOOKUP($A140,FlexibleRepairCouplings!$A$10:$M$12,4,FALSE),
IF($A140&lt;DuraFix!$A$15,VLOOKUP($A140,DuraFix!$A$9:$M$14,4,FALSE),
IF($A140&lt;'Compression Fittings'!$A$16,VLOOKUP($A140,'Compression Fittings'!$A$8:$M$15,4,FALSE),
IF($A140&lt;'Hose Fittings'!$A$30,VLOOKUP($A140,'Hose Fittings'!$A$8:$M$29,4,FALSE),
IF($A140&lt;'Swing Joints'!$A$496,VLOOKUP($A140,'Swing Joints'!$A$9:$M$495,4,FALSE),
IF($A140&lt;'Swing Joints Components'!$A$135,VLOOKUP($A140,'Swing Joints Components'!$A$9:$M$134,4,FALSE),
IF($A140&lt;Nonstandard!$A$42,VLOOKUP($A140,Nonstandard!$A$31:$J$41,5,FALSE),"")))))))))))))))))))))))))))),"")</f>
        <v/>
      </c>
      <c r="C140" s="420" t="str">
        <f>IFERROR(IF($A140&lt;'DWV PVC'!$A$285,VLOOKUP($A140,'DWV PVC'!$A$8:$M$284,5,FALSE),
IF($A140&lt;'DWV ABS'!$A$117,VLOOKUP($A140,'DWV ABS'!$A$8:$M$116,5,FALSE),
IF($A140&lt;'PVC SCH40'!$A$376,VLOOKUP($A140,'PVC SCH40'!$A$8:$M$375,5,FALSE),
IF($A140&lt;'PVC SCH40 LD'!$A$22,VLOOKUP($A140,'PVC SCH40 LD'!$A$8:$M$21,5,FALSE),
IF($A140&lt;'Pool &amp; SPA Sweep Elbows'!$A$12,VLOOKUP($A140,'Pool &amp; SPA Sweep Elbows'!$A$8:$M$11,5,FALSE),
IF($A140&lt;'Pool &amp; SPA Pipe Extender'!$A$11,VLOOKUP($A140,'Pool &amp; SPA Pipe Extender'!$A$8:$M$10,5,FALSE),
IF($A140&lt;'PVC SCH80'!$A$250,VLOOKUP($A140,'PVC SCH80'!$A$8:$M$249,5,FALSE),
IF($A140&lt;'PVC SCH80 Flange'!$A$49,VLOOKUP($A140,'PVC SCH80 Flange'!$A$8:$M$48,5,FALSE),
IF($A140&lt;'PVC SCH80 LD Flange'!$A$17,VLOOKUP($A140,'PVC SCH80 LD Flange'!$A$8:$M$16,5,FALSE),
IF($A140&lt;CPVC!$A$100,VLOOKUP($A140,CPVC!$A$8:$M$99,5,FALSE),
IF($A140&lt;InsertFittings!$A$237,VLOOKUP($A140,InsertFittings!$A$11:$M$236,5,FALSE),
IF($A140&lt;Valves!$A$132,VLOOKUP($A140,Valves!$A$8:$M$131,5,FALSE),
IF($A140&lt;SDR35SW!$A$124,VLOOKUP($A140,SDR35SW!$A$8:$M$123,5,FALSE),
IF($A140&lt;SDR35G!$A$143,VLOOKUP($A140, SDR35G!$A$8:$M$142,5,FALSE),
IF($A140&lt;SDR26G!$A$61,VLOOKUP($A140,SDR26G!$A$8:$N$60,5,FALSE),
IF($A140&lt;Cements!$A$100,VLOOKUP($A140,Cements!$A$8:$Q$99,5,FALSE),
IF($A140&lt;ValveBox!$A$143,VLOOKUP($A140,ValveBox!$A$10:$O$142,5,FALSE),
IF($A140&lt;'ValveBox Components'!$A$165,VLOOKUP($A140,'ValveBox Components'!$A$10:$O$164,5,FALSE),
IF($A140&lt;Drainage!$A$92,VLOOKUP($A140,Drainage!$A$8:$M$91,5,FALSE),
IF($A140&lt;Nipples!$A$82,VLOOKUP($A140,Nipples!$A$9:$Q$81,5,FALSE),
IF($A140&lt;Manifold!$A$33,VLOOKUP($A140,Manifold!$A$9:$M$32,5,FALSE),
IF($A140&lt;FlexibleRepairCouplings!$A$13,VLOOKUP($A140,FlexibleRepairCouplings!$A$10:$M$12,5,FALSE),
IF($A140&lt;DuraFix!$A$15,VLOOKUP($A140,DuraFix!$A$9:$M$14,5,FALSE),
IF($A140&lt;'Compression Fittings'!$A$16,VLOOKUP($A140,'Compression Fittings'!$A$8:$M$15,5,FALSE),
IF($A140&lt;'Hose Fittings'!$A$30,VLOOKUP($A140,'Hose Fittings'!$A$8:$M$29,5,FALSE),
IF($A140&lt;'Swing Joints'!$A$496,VLOOKUP($A140,'Swing Joints'!$A$9:$M$495,5,FALSE),
IF($A140&lt;'Swing Joints Components'!$A$135,VLOOKUP($A140,'Swing Joints Components'!$A$9:$M$134,5,FALSE),
IF($A140&lt;Nonstandard!$A$42,VLOOKUP($A140,Nonstandard!$A$31:$J$41,6,FALSE),"")))))))))))))))))))))))))))),"")</f>
        <v/>
      </c>
      <c r="D140" s="428" t="str">
        <f>IFERROR(IF($A140&lt;'DWV PVC'!$A$285,VLOOKUP($A140,'DWV PVC'!$A$8:$M$284,6,FALSE),
IF($A140&lt;'DWV ABS'!$A$117,VLOOKUP($A140,'DWV ABS'!$A$8:$M$116,6,FALSE),
IF($A140&lt;'PVC SCH40'!$A$376,VLOOKUP($A140,'PVC SCH40'!$A$8:$M$375,6,FALSE),
IF($A140&lt;'PVC SCH40 LD'!$A$22,VLOOKUP($A140,'PVC SCH40 LD'!$A$8:$M$21,6,FALSE),
IF($A140&lt;'Pool &amp; SPA Sweep Elbows'!$A$12,VLOOKUP($A140,'Pool &amp; SPA Sweep Elbows'!$A$8:$M$11,6,FALSE),
IF($A140&lt;'Pool &amp; SPA Pipe Extender'!$A$11,VLOOKUP($A140,'Pool &amp; SPA Pipe Extender'!$A$8:$M$10,6,FALSE),
IF($A140&lt;'PVC SCH80'!$A$250,VLOOKUP($A140,'PVC SCH80'!$A$8:$M$249,6,FALSE),
IF($A140&lt;'PVC SCH80 Flange'!$A$49,VLOOKUP($A140,'PVC SCH80 Flange'!$A$8:$M$48,6,FALSE),
IF($A140&lt;'PVC SCH80 LD Flange'!$A$17,VLOOKUP($A140,'PVC SCH80 LD Flange'!$A$8:$M$16,6,FALSE),
IF($A140&lt;CPVC!$A$100,VLOOKUP($A140,CPVC!$A$8:$M$99,6,FALSE),
IF($A140&lt;InsertFittings!$A$237,VLOOKUP($A140,InsertFittings!$A$11:$M$236,6,FALSE),
IF($A140&lt;Valves!$A$132,VLOOKUP($A140,Valves!$A$8:$M$131,6,FALSE),
IF($A140&lt;SDR35SW!$A$124,VLOOKUP($A140,SDR35SW!$A$8:$M$123,6,FALSE),
IF($A140&lt;SDR35G!$A$143,VLOOKUP($A140, SDR35G!$A$8:$M$142,6,FALSE),
IF($A140&lt;SDR26G!$A$61,VLOOKUP($A140,SDR26G!$A$8:$N$60,6,FALSE),
IF($A140&lt;Cements!$A$100,VLOOKUP($A140,Cements!$A$8:$Q$99,6,FALSE),
IF($A140&lt;ValveBox!$A$143,VLOOKUP($A140,ValveBox!$A$10:$O$142,6,FALSE),
IF($A140&lt;'ValveBox Components'!$A$165,VLOOKUP($A140,'ValveBox Components'!$A$10:$O$164,6,FALSE),
IF($A140&lt;Drainage!$A$92,VLOOKUP($A140,Drainage!$A$8:$M$91,6,FALSE),
IF($A140&lt;Nipples!$A$82,VLOOKUP($A140,Nipples!$A$9:$Q$81,6,FALSE),
IF($A140&lt;Manifold!$A$33,VLOOKUP($A140,Manifold!$A$9:$M$32,6,FALSE),
IF($A140&lt;FlexibleRepairCouplings!$A$13,VLOOKUP($A140,FlexibleRepairCouplings!$A$10:$M$12,6,FALSE),
IF($A140&lt;DuraFix!$A$15,VLOOKUP($A140,DuraFix!$A$9:$M$14,6,FALSE),
IF($A140&lt;'Compression Fittings'!$A$16,VLOOKUP($A140,'Compression Fittings'!$A$8:$M$15,6,FALSE),
IF($A140&lt;'Hose Fittings'!$A$30,VLOOKUP($A140,'Hose Fittings'!$A$8:$M$29,6,FALSE),
IF($A140&lt;'Swing Joints'!$A$496,VLOOKUP($A140,'Swing Joints'!$A$9:$M$495,6,FALSE),
IF($A140&lt;'Swing Joints Components'!$A$135,VLOOKUP($A140,'Swing Joints Components'!$A$9:$M$134,6,FALSE),
IF($A140&lt;Nonstandard!$A$42,VLOOKUP($A140,Nonstandard!$A$31:$J$41,7,FALSE),"")))))))))))))))))))))))))))),"")</f>
        <v/>
      </c>
      <c r="E140" s="429"/>
      <c r="F140" s="421" t="str">
        <f>IFERROR(IF($A140&lt;'DWV PVC'!$A$285,VLOOKUP($A140,'DWV PVC'!$A$8:$M$284,9,FALSE),
IF($A140&lt;'DWV ABS'!$A$117,VLOOKUP($A140,'DWV ABS'!$A$8:$M$116,9,FALSE),
IF($A140&lt;'PVC SCH40'!$A$376,VLOOKUP($A140,'PVC SCH40'!$A$8:$M$375,9,FALSE),
IF($A140&lt;'PVC SCH40 LD'!$A$22,VLOOKUP($A140,'PVC SCH40 LD'!$A$8:$M$21,9,FALSE),
IF($A140&lt;'Pool &amp; SPA Sweep Elbows'!$A$12,VLOOKUP($A140,'Pool &amp; SPA Sweep Elbows'!$A$8:$M$11,9,FALSE),
IF($A140&lt;'Pool &amp; SPA Pipe Extender'!$A$11,VLOOKUP($A140,'Pool &amp; SPA Pipe Extender'!$A$8:$M$10,9,FALSE),
IF($A140&lt;'PVC SCH80'!$A$250,VLOOKUP($A140,'PVC SCH80'!$A$8:$M$249,9,FALSE),
IF($A140&lt;'PVC SCH80 Flange'!$A$49,VLOOKUP($A140,'PVC SCH80 Flange'!$A$8:$M$48,9,FALSE),
IF($A140&lt;'PVC SCH80 LD Flange'!$A$17,VLOOKUP($A140,'PVC SCH80 LD Flange'!$A$8:$M$16,9,FALSE),
IF($A140&lt;CPVC!$A$100,VLOOKUP($A140,CPVC!$A$8:$M$99,9,FALSE),
IF($A140&lt;InsertFittings!$A$237,VLOOKUP($A140,InsertFittings!$A$11:$M$236,9,FALSE),
IF($A140&lt;Valves!$A$132,VLOOKUP($A140,Valves!$A$8:$M$131,9,FALSE),
IF($A140&lt;SDR35SW!$A$124,VLOOKUP($A140,SDR35SW!$A$8:$M$123,9,FALSE),
IF($A140&lt;SDR35G!$A$143,VLOOKUP($A140, SDR35G!$A$8:$M$142,9,FALSE),
IF($A140&lt;SDR26G!$A$61,VLOOKUP($A140,SDR26G!$A$8:$N$60,10,FALSE),
IF($A140&lt;Cements!$A$100,VLOOKUP($A140,Cements!$A$8:$Q$99,13,FALSE),
IF($A140&lt;ValveBox!$A$143,VLOOKUP($A140,ValveBox!$A$10:$O$142,11,FALSE),
IF($A140&lt;'ValveBox Components'!$A$165,VLOOKUP($A140,'ValveBox Components'!$A$10:$O$164,11,FALSE),
IF($A140&lt;Drainage!$A$92,VLOOKUP($A140,Drainage!$A$8:$M$91,9,FALSE),
IF($A140&lt;Nipples!$A$82,VLOOKUP($A140,Nipples!$A$9:$Q$81,13,FALSE),
IF($A140&lt;Manifold!$A$33,VLOOKUP($A140,Manifold!$A$9:$M$32,9,FALSE),
IF($A140&lt;FlexibleRepairCouplings!$A$13,VLOOKUP($A140,FlexibleRepairCouplings!$A$10:$M$12,9,FALSE),
IF($A140&lt;DuraFix!$A$15,VLOOKUP($A140,DuraFix!$A$9:$M$14,9,FALSE),
IF($A140&lt;'Compression Fittings'!$A$16,VLOOKUP($A140,'Compression Fittings'!$A$8:$M$15,9,FALSE),
IF($A140&lt;'Hose Fittings'!$A$30,VLOOKUP($A140,'Hose Fittings'!$A$8:$M$29,9,FALSE),
IF($A140&lt;'Swing Joints'!$A$496,VLOOKUP($A140,'Swing Joints'!$A$9:$M$495,9,FALSE),
IF($A140&lt;'Swing Joints Components'!$A$135,VLOOKUP($A140,'Swing Joints Components'!$A$9:$M$134,9,FALSE),
IF($A140&lt;Nonstandard!$A$42,VLOOKUP($A140,Nonstandard!$A$31:$J$41,8,FALSE),"")))))))))))))))))))))))))))),"")</f>
        <v/>
      </c>
      <c r="G140" s="422" t="str">
        <f>IFERROR(IF($A140&lt;'DWV PVC'!$A$285,VLOOKUP($A140,'DWV PVC'!$A$8:$M$284,11,FALSE),
IF($A140&lt;'DWV ABS'!$A$117,VLOOKUP($A140,'DWV ABS'!$A$8:$M$116,11,FALSE),
IF($A140&lt;'PVC SCH40'!$A$376,VLOOKUP($A140,'PVC SCH40'!$A$8:$M$375,11,FALSE),
IF($A140&lt;'PVC SCH40 LD'!$A$22,VLOOKUP($A140,'PVC SCH40 LD'!$A$8:$M$21,11,FALSE),
IF($A140&lt;'Pool &amp; SPA Sweep Elbows'!$A$12,VLOOKUP($A140,'Pool &amp; SPA Sweep Elbows'!$A$8:$M$11,11,FALSE),
IF($A140&lt;'Pool &amp; SPA Pipe Extender'!$A$11,VLOOKUP($A140,'Pool &amp; SPA Pipe Extender'!$A$8:$M$10,11,FALSE),
IF($A140&lt;'PVC SCH80'!$A$250,VLOOKUP($A140,'PVC SCH80'!$A$8:$M$249,11,FALSE),
IF($A140&lt;'PVC SCH80 Flange'!$A$49,VLOOKUP($A140,'PVC SCH80 Flange'!$A$8:$M$48,11,FALSE),
IF($A140&lt;'PVC SCH80 LD Flange'!$A$17,VLOOKUP($A140,'PVC SCH80 LD Flange'!$A$8:$M$16,11,FALSE),
IF($A140&lt;CPVC!$A$100,VLOOKUP($A140,CPVC!$A$8:$M$99,11,FALSE),
IF($A140&lt;InsertFittings!$A$237,VLOOKUP($A140,InsertFittings!$A$11:$M$236,11,FALSE),
IF($A140&lt;Valves!$A$132,VLOOKUP($A140,Valves!$A$8:$M$131,11,FALSE),
IF($A140&lt;SDR35SW!$A$124,VLOOKUP($A140,SDR35SW!$A$8:$M$123,11,FALSE),
IF($A140&lt;SDR35G!$A$143,VLOOKUP($A140, SDR35G!$A$8:$M$142,11,FALSE),
IF($A140&lt;SDR26G!$A$61,VLOOKUP($A140,SDR26G!$A$8:$N$60,12,FALSE),
IF($A140&lt;Cements!$A$100,VLOOKUP($A140,Cements!$A$8:$Q$99,15,FALSE),
IF($A140&lt;ValveBox!$A$143,VLOOKUP($A140,ValveBox!$A$10:$O$142,13,FALSE),
IF($A140&lt;'ValveBox Components'!$A$165,VLOOKUP($A140,'ValveBox Components'!$A$10:$O$164,13,FALSE),
IF($A140&lt;Drainage!$A$92,VLOOKUP($A140,Drainage!$A$8:$M$91,11,FALSE),
IF($A140&lt;Nipples!$A$82,VLOOKUP($A140,Nipples!$A$9:$Q$81,15,FALSE),
IF($A140&lt;Manifold!$A$33,VLOOKUP($A140,Manifold!$A$9:$M$32,11,FALSE),
IF($A140&lt;FlexibleRepairCouplings!$A$13,VLOOKUP($A140,FlexibleRepairCouplings!$A$10:$M$12,11,FALSE),
IF($A140&lt;DuraFix!$A$15,VLOOKUP($A140,DuraFix!$A$9:$M$14,11,FALSE),
IF($A140&lt;'Compression Fittings'!$A$16,VLOOKUP($A140,'Compression Fittings'!$A$8:$M$15,11,FALSE),
IF($A140&lt;'Hose Fittings'!$A$30,VLOOKUP($A140,'Hose Fittings'!$A$8:$M$29,11,FALSE),
IF($A140&lt;'Swing Joints'!$A$496,VLOOKUP($A140,'Swing Joints'!$A$9:$M$495,11,FALSE),
IF($A140&lt;'Swing Joints Components'!$A$135,VLOOKUP($A140,'Swing Joints Components'!$A$9:$M$134,11,FALSE),
IF($A140&lt;Nonstandard!$A$42,VLOOKUP($A140,Nonstandard!$A$31:$J$41,3,FALSE),"")))))))))))))))))))))))))))),"")</f>
        <v/>
      </c>
      <c r="H140" s="588" t="str">
        <f>IFERROR(IF($A140&lt;'DWV PVC'!$A$285,VLOOKUP($A140,'DWV PVC'!$A$8:$M$284,7,FALSE),
IF($A140&lt;'DWV ABS'!$A$117,VLOOKUP($A140,'DWV ABS'!$A$8:$M$116,7,FALSE),
IF($A140&lt;'PVC SCH40'!$A$376,VLOOKUP($A140,'PVC SCH40'!$A$8:$M$375,7,FALSE),
IF($A140&lt;'PVC SCH40 LD'!$A$22,VLOOKUP($A140,'PVC SCH40 LD'!$A$8:$M$21,7,FALSE),
IF($A140&lt;'Pool &amp; SPA Sweep Elbows'!$A$12,VLOOKUP($A140,'Pool &amp; SPA Sweep Elbows'!$A$8:$M$11,7,FALSE),
IF($A140&lt;'Pool &amp; SPA Pipe Extender'!$A$11,VLOOKUP($A140,'Pool &amp; SPA Pipe Extender'!$A$8:$M$10,7,FALSE),
IF($A140&lt;'PVC SCH80'!$A$250,VLOOKUP($A140,'PVC SCH80'!$A$8:$M$249,7,FALSE),
IF($A140&lt;'PVC SCH80 Flange'!$A$49,VLOOKUP($A140,'PVC SCH80 Flange'!$A$8:$M$48,7,FALSE),
IF($A140&lt;'PVC SCH80 LD Flange'!$A$17,VLOOKUP($A140,'PVC SCH80 LD Flange'!$A$8:$M$16,7,FALSE),
IF($A140&lt;CPVC!$A$100,VLOOKUP($A140,CPVC!$A$8:$M$99,7,FALSE),
IF($A140&lt;InsertFittings!$A$237,VLOOKUP($A140,InsertFittings!$A$11:$M$236,7,FALSE),
IF($A140&lt;Valves!$A$132,VLOOKUP($A140,Valves!$A$8:$M$131,7,FALSE),
IF($A140&lt;SDR35SW!$A$124,VLOOKUP($A140,SDR35SW!$A$8:$M$123,7,FALSE),
IF($A140&lt;SDR35G!$A$143,VLOOKUP($A140, SDR35G!$A$8:$M$142,7,FALSE),
IF($A140&lt;SDR26G!$A$61,VLOOKUP($A140,SDR26G!$A$8:$N$60,10,FALSE),
IF($A140&lt;Cements!$A$100,VLOOKUP($A140,Cements!$A$8:$Q$99,13,FALSE),
IF($A140&lt;ValveBox!$A$143,VLOOKUP($A140,ValveBox!$A$10:$O$142,11,FALSE),
IF($A140&lt;'ValveBox Components'!$A$165,VLOOKUP($A140,'ValveBox Components'!$A$10:$O$164,11,FALSE),
IF($A140&lt;Drainage!$A$92,VLOOKUP($A140,Drainage!$A$8:$M$91,7,FALSE),
IF($A140&lt;Nipples!$A$82,VLOOKUP($A140,Nipples!$A$9:$Q$81,13,FALSE),
IF($A140&lt;Manifold!$A$33,VLOOKUP($A140,Manifold!$A$9:$M$32,7,FALSE),
IF($A140&lt;FlexibleRepairCouplings!$A$13,VLOOKUP($A140,FlexibleRepairCouplings!$A$10:$M$12,7,FALSE),
IF($A140&lt;DuraFix!$A$15,VLOOKUP($A140,DuraFix!$A$9:$M$14,7,FALSE),
IF($A140&lt;'Compression Fittings'!$A$16,VLOOKUP($A140,'Compression Fittings'!$A$8:$M$15,7,FALSE),
IF($A140&lt;'Hose Fittings'!$A$30,VLOOKUP($A140,'Hose Fittings'!$A$8:$M$29,7,FALSE),
IF($A140&lt;'Swing Joints'!$A$496,VLOOKUP($A140,'Swing Joints'!$A$9:$M$495,7,FALSE),
IF($A140&lt;'Swing Joints Components'!$A$135,VLOOKUP($A140,'Swing Joints Components'!$A$9:$M$134,7,FALSE),
IF($A140&lt;Nonstandard!$A$42,VLOOKUP($A140,Nonstandard!$A$31:$J$41,3,FALSE),"")))))))))))))))))))))))))))),"")</f>
        <v/>
      </c>
      <c r="I140" s="589"/>
      <c r="J140" s="423" t="str">
        <f t="shared" si="3"/>
        <v/>
      </c>
      <c r="K140" s="424" t="str">
        <f>IFERROR(IF($A140&lt;'DWV PVC'!$A$285,VLOOKUP($A140,'DWV PVC'!$A$8:$M$284,10,FALSE),
IF($A140&lt;'DWV ABS'!$A$117,VLOOKUP($A140,'DWV ABS'!$A$8:$M$116,10,FALSE),
IF($A140&lt;'PVC SCH40'!$A$376,VLOOKUP($A140,'PVC SCH40'!$A$8:$M$375,10,FALSE),
IF($A140&lt;'PVC SCH40 LD'!$A$22,VLOOKUP($A140,'PVC SCH40 LD'!$A$8:$M$21,10,FALSE),
IF($A140&lt;'Pool &amp; SPA Sweep Elbows'!$A$12,VLOOKUP($A140,'Pool &amp; SPA Sweep Elbows'!$A$8:$M$11,10,FALSE),
IF($A140&lt;'Pool &amp; SPA Pipe Extender'!$A$11,VLOOKUP($A140,'Pool &amp; SPA Pipe Extender'!$A$8:$M$10,10,FALSE),
IF($A140&lt;'PVC SCH80'!$A$250,VLOOKUP($A140,'PVC SCH80'!$A$8:$M$249,10,FALSE),
IF($A140&lt;'PVC SCH80 Flange'!$A$49,VLOOKUP($A140,'PVC SCH80 Flange'!$A$8:$M$48,10,FALSE),
IF($A140&lt;'PVC SCH80 LD Flange'!$A$17,VLOOKUP($A140,'PVC SCH80 LD Flange'!$A$8:$M$16,10,FALSE),
IF($A140&lt;CPVC!$A$100,VLOOKUP($A140,CPVC!$A$8:$M$99,10,FALSE),
IF($A140&lt;InsertFittings!$A$237,VLOOKUP($A140,InsertFittings!$A$11:$M$236,10,FALSE),
IF($A140&lt;Valves!$A$132,VLOOKUP($A140,Valves!$A$8:$M$131,10,FALSE),
IF($A140&lt;SDR35SW!$A$124,VLOOKUP($A140,SDR35SW!$A$8:$M$123,10,FALSE),
IF($A140&lt;SDR35G!$A$143,VLOOKUP($A140, SDR35G!$A$8:$M$142,10,FALSE),
IF($A140&lt;SDR26G!$A$61,VLOOKUP($A140,SDR26G!$A$8:$N$60,11,FALSE),
IF($A140&lt;Cements!$A$100,VLOOKUP($A140,Cements!$A$8:$Q$99,14,FALSE),
IF($A140&lt;ValveBox!$A$143,VLOOKUP($A140,ValveBox!$A$10:$O$142,12,FALSE),
IF($A140&lt;'ValveBox Components'!$A$165,VLOOKUP($A140,'ValveBox Components'!$A$10:$O$164,12,FALSE),
IF($A140&lt;Drainage!$A$92,VLOOKUP($A140,Drainage!$A$8:$M$91,10,FALSE),
IF($A140&lt;Nipples!$A$82,VLOOKUP($A140,Nipples!$A$9:$Q$81,14,FALSE),
IF($A140&lt;Manifold!$A$33,VLOOKUP($A140,Manifold!$A$9:$M$32,10,FALSE),
IF($A140&lt;FlexibleRepairCouplings!$A$13,VLOOKUP($A140,FlexibleRepairCouplings!$A$10:$M$12,10,FALSE),
IF($A140&lt;DuraFix!$A$15,VLOOKUP($A140,DuraFix!$A$9:$M$14,10,FALSE),
IF($A140&lt;'Compression Fittings'!$A$16,VLOOKUP($A140,'Compression Fittings'!$A$8:$M$15,10,FALSE),
IF($A140&lt;'Hose Fittings'!$A$30,VLOOKUP($A140,'Hose Fittings'!$A$8:$M$29,10,FALSE),
IF($A140&lt;'Swing Joints'!$A$496,VLOOKUP($A140,'Swing Joints'!$A$9:$M$495,10,FALSE),
IF($A140&lt;'Swing Joints Components'!$A$135,VLOOKUP($A140,'Swing Joints Components'!$A$9:$M$134,10,FALSE),
IF($A140&lt;Nonstandard!$A$42,VLOOKUP($A140,Nonstandard!$A$31:$J$41,10,FALSE),"")))))))))))))))))))))))))))),"")</f>
        <v/>
      </c>
      <c r="L140" s="421" t="str">
        <f t="shared" si="2"/>
        <v>-</v>
      </c>
      <c r="M140" s="425"/>
    </row>
    <row r="141" spans="1:13" ht="15.75">
      <c r="A141" s="415">
        <v>109</v>
      </c>
      <c r="B141" s="415" t="str">
        <f>IFERROR(IF($A141&lt;'DWV PVC'!$A$285,VLOOKUP($A141,'DWV PVC'!$A$8:$M$284,4,FALSE),
IF($A141&lt;'DWV ABS'!$A$117,VLOOKUP($A141,'DWV ABS'!$A$8:$M$116,4,FALSE),
IF($A141&lt;'PVC SCH40'!$A$376,VLOOKUP($A141,'PVC SCH40'!$A$8:$M$375,4,FALSE),
IF($A141&lt;'PVC SCH40 LD'!$A$22,VLOOKUP($A141,'PVC SCH40 LD'!$A$8:$M$21,4,FALSE),
IF($A141&lt;'Pool &amp; SPA Sweep Elbows'!$A$12,VLOOKUP($A141,'Pool &amp; SPA Sweep Elbows'!$A$8:$M$11,4,FALSE),
IF($A141&lt;'Pool &amp; SPA Pipe Extender'!$A$11,VLOOKUP($A141,'Pool &amp; SPA Pipe Extender'!$A$8:$M$10,4,FALSE),
IF($A141&lt;'PVC SCH80'!$A$250,VLOOKUP($A141,'PVC SCH80'!$A$8:$M$249,4,FALSE),
IF($A141&lt;'PVC SCH80 Flange'!$A$49,VLOOKUP($A141,'PVC SCH80 Flange'!$A$8:$M$48,4,FALSE),
IF($A141&lt;'PVC SCH80 LD Flange'!$A$17,VLOOKUP($A141,'PVC SCH80 LD Flange'!$A$8:$M$16,4,FALSE),
IF($A141&lt;CPVC!$A$100,VLOOKUP($A141,CPVC!$A$8:$M$99,4,FALSE),
IF($A141&lt;InsertFittings!$A$237,VLOOKUP($A141,InsertFittings!$A$11:$M$236,4,FALSE),
IF($A141&lt;Valves!$A$132,VLOOKUP($A141,Valves!$A$8:$M$131,4,FALSE),
IF($A141&lt;SDR35SW!$A$124,VLOOKUP($A141,SDR35SW!$A$8:$M$123,4,FALSE),
IF($A141&lt;SDR35G!$A$143,VLOOKUP($A141, SDR35G!$A$8:$M$142,4,FALSE),
IF($A141&lt;SDR26G!$A$61,VLOOKUP($A141,SDR26G!$A$8:$N$60,4,FALSE),
IF($A141&lt;Cements!$A$100,VLOOKUP($A141,Cements!$A$8:$Q$99,4,FALSE),
IF($A141&lt;ValveBox!$A$143,VLOOKUP($A141,ValveBox!$A$10:$O$142,4,FALSE),
IF($A141&lt;'ValveBox Components'!$A$165,VLOOKUP($A141,'ValveBox Components'!$A$10:$O$164,4,FALSE),
IF($A141&lt;Drainage!$A$92,VLOOKUP($A141,Drainage!$A$8:$M$91,4,FALSE),
IF($A141&lt;Nipples!$A$82,VLOOKUP($A141,Nipples!$A$9:$Q$81,4,FALSE),
IF($A141&lt;Manifold!$A$33,VLOOKUP($A141,Manifold!$A$9:$M$32,4,FALSE),
IF($A141&lt;FlexibleRepairCouplings!$A$13,VLOOKUP($A141,FlexibleRepairCouplings!$A$10:$M$12,4,FALSE),
IF($A141&lt;DuraFix!$A$15,VLOOKUP($A141,DuraFix!$A$9:$M$14,4,FALSE),
IF($A141&lt;'Compression Fittings'!$A$16,VLOOKUP($A141,'Compression Fittings'!$A$8:$M$15,4,FALSE),
IF($A141&lt;'Hose Fittings'!$A$30,VLOOKUP($A141,'Hose Fittings'!$A$8:$M$29,4,FALSE),
IF($A141&lt;'Swing Joints'!$A$496,VLOOKUP($A141,'Swing Joints'!$A$9:$M$495,4,FALSE),
IF($A141&lt;'Swing Joints Components'!$A$135,VLOOKUP($A141,'Swing Joints Components'!$A$9:$M$134,4,FALSE),
IF($A141&lt;Nonstandard!$A$42,VLOOKUP($A141,Nonstandard!$A$31:$J$41,5,FALSE),"")))))))))))))))))))))))))))),"")</f>
        <v/>
      </c>
      <c r="C141" s="415" t="str">
        <f>IFERROR(IF($A141&lt;'DWV PVC'!$A$285,VLOOKUP($A141,'DWV PVC'!$A$8:$M$284,5,FALSE),
IF($A141&lt;'DWV ABS'!$A$117,VLOOKUP($A141,'DWV ABS'!$A$8:$M$116,5,FALSE),
IF($A141&lt;'PVC SCH40'!$A$376,VLOOKUP($A141,'PVC SCH40'!$A$8:$M$375,5,FALSE),
IF($A141&lt;'PVC SCH40 LD'!$A$22,VLOOKUP($A141,'PVC SCH40 LD'!$A$8:$M$21,5,FALSE),
IF($A141&lt;'Pool &amp; SPA Sweep Elbows'!$A$12,VLOOKUP($A141,'Pool &amp; SPA Sweep Elbows'!$A$8:$M$11,5,FALSE),
IF($A141&lt;'Pool &amp; SPA Pipe Extender'!$A$11,VLOOKUP($A141,'Pool &amp; SPA Pipe Extender'!$A$8:$M$10,5,FALSE),
IF($A141&lt;'PVC SCH80'!$A$250,VLOOKUP($A141,'PVC SCH80'!$A$8:$M$249,5,FALSE),
IF($A141&lt;'PVC SCH80 Flange'!$A$49,VLOOKUP($A141,'PVC SCH80 Flange'!$A$8:$M$48,5,FALSE),
IF($A141&lt;'PVC SCH80 LD Flange'!$A$17,VLOOKUP($A141,'PVC SCH80 LD Flange'!$A$8:$M$16,5,FALSE),
IF($A141&lt;CPVC!$A$100,VLOOKUP($A141,CPVC!$A$8:$M$99,5,FALSE),
IF($A141&lt;InsertFittings!$A$237,VLOOKUP($A141,InsertFittings!$A$11:$M$236,5,FALSE),
IF($A141&lt;Valves!$A$132,VLOOKUP($A141,Valves!$A$8:$M$131,5,FALSE),
IF($A141&lt;SDR35SW!$A$124,VLOOKUP($A141,SDR35SW!$A$8:$M$123,5,FALSE),
IF($A141&lt;SDR35G!$A$143,VLOOKUP($A141, SDR35G!$A$8:$M$142,5,FALSE),
IF($A141&lt;SDR26G!$A$61,VLOOKUP($A141,SDR26G!$A$8:$N$60,5,FALSE),
IF($A141&lt;Cements!$A$100,VLOOKUP($A141,Cements!$A$8:$Q$99,5,FALSE),
IF($A141&lt;ValveBox!$A$143,VLOOKUP($A141,ValveBox!$A$10:$O$142,5,FALSE),
IF($A141&lt;'ValveBox Components'!$A$165,VLOOKUP($A141,'ValveBox Components'!$A$10:$O$164,5,FALSE),
IF($A141&lt;Drainage!$A$92,VLOOKUP($A141,Drainage!$A$8:$M$91,5,FALSE),
IF($A141&lt;Nipples!$A$82,VLOOKUP($A141,Nipples!$A$9:$Q$81,5,FALSE),
IF($A141&lt;Manifold!$A$33,VLOOKUP($A141,Manifold!$A$9:$M$32,5,FALSE),
IF($A141&lt;FlexibleRepairCouplings!$A$13,VLOOKUP($A141,FlexibleRepairCouplings!$A$10:$M$12,5,FALSE),
IF($A141&lt;DuraFix!$A$15,VLOOKUP($A141,DuraFix!$A$9:$M$14,5,FALSE),
IF($A141&lt;'Compression Fittings'!$A$16,VLOOKUP($A141,'Compression Fittings'!$A$8:$M$15,5,FALSE),
IF($A141&lt;'Hose Fittings'!$A$30,VLOOKUP($A141,'Hose Fittings'!$A$8:$M$29,5,FALSE),
IF($A141&lt;'Swing Joints'!$A$496,VLOOKUP($A141,'Swing Joints'!$A$9:$M$495,5,FALSE),
IF($A141&lt;'Swing Joints Components'!$A$135,VLOOKUP($A141,'Swing Joints Components'!$A$9:$M$134,5,FALSE),
IF($A141&lt;Nonstandard!$A$42,VLOOKUP($A141,Nonstandard!$A$31:$J$41,6,FALSE),"")))))))))))))))))))))))))))),"")</f>
        <v/>
      </c>
      <c r="D141" s="426" t="str">
        <f>IFERROR(IF($A141&lt;'DWV PVC'!$A$285,VLOOKUP($A141,'DWV PVC'!$A$8:$M$284,6,FALSE),
IF($A141&lt;'DWV ABS'!$A$117,VLOOKUP($A141,'DWV ABS'!$A$8:$M$116,6,FALSE),
IF($A141&lt;'PVC SCH40'!$A$376,VLOOKUP($A141,'PVC SCH40'!$A$8:$M$375,6,FALSE),
IF($A141&lt;'PVC SCH40 LD'!$A$22,VLOOKUP($A141,'PVC SCH40 LD'!$A$8:$M$21,6,FALSE),
IF($A141&lt;'Pool &amp; SPA Sweep Elbows'!$A$12,VLOOKUP($A141,'Pool &amp; SPA Sweep Elbows'!$A$8:$M$11,6,FALSE),
IF($A141&lt;'Pool &amp; SPA Pipe Extender'!$A$11,VLOOKUP($A141,'Pool &amp; SPA Pipe Extender'!$A$8:$M$10,6,FALSE),
IF($A141&lt;'PVC SCH80'!$A$250,VLOOKUP($A141,'PVC SCH80'!$A$8:$M$249,6,FALSE),
IF($A141&lt;'PVC SCH80 Flange'!$A$49,VLOOKUP($A141,'PVC SCH80 Flange'!$A$8:$M$48,6,FALSE),
IF($A141&lt;'PVC SCH80 LD Flange'!$A$17,VLOOKUP($A141,'PVC SCH80 LD Flange'!$A$8:$M$16,6,FALSE),
IF($A141&lt;CPVC!$A$100,VLOOKUP($A141,CPVC!$A$8:$M$99,6,FALSE),
IF($A141&lt;InsertFittings!$A$237,VLOOKUP($A141,InsertFittings!$A$11:$M$236,6,FALSE),
IF($A141&lt;Valves!$A$132,VLOOKUP($A141,Valves!$A$8:$M$131,6,FALSE),
IF($A141&lt;SDR35SW!$A$124,VLOOKUP($A141,SDR35SW!$A$8:$M$123,6,FALSE),
IF($A141&lt;SDR35G!$A$143,VLOOKUP($A141, SDR35G!$A$8:$M$142,6,FALSE),
IF($A141&lt;SDR26G!$A$61,VLOOKUP($A141,SDR26G!$A$8:$N$60,6,FALSE),
IF($A141&lt;Cements!$A$100,VLOOKUP($A141,Cements!$A$8:$Q$99,6,FALSE),
IF($A141&lt;ValveBox!$A$143,VLOOKUP($A141,ValveBox!$A$10:$O$142,6,FALSE),
IF($A141&lt;'ValveBox Components'!$A$165,VLOOKUP($A141,'ValveBox Components'!$A$10:$O$164,6,FALSE),
IF($A141&lt;Drainage!$A$92,VLOOKUP($A141,Drainage!$A$8:$M$91,6,FALSE),
IF($A141&lt;Nipples!$A$82,VLOOKUP($A141,Nipples!$A$9:$Q$81,6,FALSE),
IF($A141&lt;Manifold!$A$33,VLOOKUP($A141,Manifold!$A$9:$M$32,6,FALSE),
IF($A141&lt;FlexibleRepairCouplings!$A$13,VLOOKUP($A141,FlexibleRepairCouplings!$A$10:$M$12,6,FALSE),
IF($A141&lt;DuraFix!$A$15,VLOOKUP($A141,DuraFix!$A$9:$M$14,6,FALSE),
IF($A141&lt;'Compression Fittings'!$A$16,VLOOKUP($A141,'Compression Fittings'!$A$8:$M$15,6,FALSE),
IF($A141&lt;'Hose Fittings'!$A$30,VLOOKUP($A141,'Hose Fittings'!$A$8:$M$29,6,FALSE),
IF($A141&lt;'Swing Joints'!$A$496,VLOOKUP($A141,'Swing Joints'!$A$9:$M$495,6,FALSE),
IF($A141&lt;'Swing Joints Components'!$A$135,VLOOKUP($A141,'Swing Joints Components'!$A$9:$M$134,6,FALSE),
IF($A141&lt;Nonstandard!$A$42,VLOOKUP($A141,Nonstandard!$A$31:$J$41,7,FALSE),"")))))))))))))))))))))))))))),"")</f>
        <v/>
      </c>
      <c r="E141" s="427"/>
      <c r="F141" s="418" t="str">
        <f>IFERROR(IF($A141&lt;'DWV PVC'!$A$285,VLOOKUP($A141,'DWV PVC'!$A$8:$M$284,9,FALSE),
IF($A141&lt;'DWV ABS'!$A$117,VLOOKUP($A141,'DWV ABS'!$A$8:$M$116,9,FALSE),
IF($A141&lt;'PVC SCH40'!$A$376,VLOOKUP($A141,'PVC SCH40'!$A$8:$M$375,9,FALSE),
IF($A141&lt;'PVC SCH40 LD'!$A$22,VLOOKUP($A141,'PVC SCH40 LD'!$A$8:$M$21,9,FALSE),
IF($A141&lt;'Pool &amp; SPA Sweep Elbows'!$A$12,VLOOKUP($A141,'Pool &amp; SPA Sweep Elbows'!$A$8:$M$11,9,FALSE),
IF($A141&lt;'Pool &amp; SPA Pipe Extender'!$A$11,VLOOKUP($A141,'Pool &amp; SPA Pipe Extender'!$A$8:$M$10,9,FALSE),
IF($A141&lt;'PVC SCH80'!$A$250,VLOOKUP($A141,'PVC SCH80'!$A$8:$M$249,9,FALSE),
IF($A141&lt;'PVC SCH80 Flange'!$A$49,VLOOKUP($A141,'PVC SCH80 Flange'!$A$8:$M$48,9,FALSE),
IF($A141&lt;'PVC SCH80 LD Flange'!$A$17,VLOOKUP($A141,'PVC SCH80 LD Flange'!$A$8:$M$16,9,FALSE),
IF($A141&lt;CPVC!$A$100,VLOOKUP($A141,CPVC!$A$8:$M$99,9,FALSE),
IF($A141&lt;InsertFittings!$A$237,VLOOKUP($A141,InsertFittings!$A$11:$M$236,9,FALSE),
IF($A141&lt;Valves!$A$132,VLOOKUP($A141,Valves!$A$8:$M$131,9,FALSE),
IF($A141&lt;SDR35SW!$A$124,VLOOKUP($A141,SDR35SW!$A$8:$M$123,9,FALSE),
IF($A141&lt;SDR35G!$A$143,VLOOKUP($A141, SDR35G!$A$8:$M$142,9,FALSE),
IF($A141&lt;SDR26G!$A$61,VLOOKUP($A141,SDR26G!$A$8:$N$60,10,FALSE),
IF($A141&lt;Cements!$A$100,VLOOKUP($A141,Cements!$A$8:$Q$99,13,FALSE),
IF($A141&lt;ValveBox!$A$143,VLOOKUP($A141,ValveBox!$A$10:$O$142,11,FALSE),
IF($A141&lt;'ValveBox Components'!$A$165,VLOOKUP($A141,'ValveBox Components'!$A$10:$O$164,11,FALSE),
IF($A141&lt;Drainage!$A$92,VLOOKUP($A141,Drainage!$A$8:$M$91,9,FALSE),
IF($A141&lt;Nipples!$A$82,VLOOKUP($A141,Nipples!$A$9:$Q$81,13,FALSE),
IF($A141&lt;Manifold!$A$33,VLOOKUP($A141,Manifold!$A$9:$M$32,9,FALSE),
IF($A141&lt;FlexibleRepairCouplings!$A$13,VLOOKUP($A141,FlexibleRepairCouplings!$A$10:$M$12,9,FALSE),
IF($A141&lt;DuraFix!$A$15,VLOOKUP($A141,DuraFix!$A$9:$M$14,9,FALSE),
IF($A141&lt;'Compression Fittings'!$A$16,VLOOKUP($A141,'Compression Fittings'!$A$8:$M$15,9,FALSE),
IF($A141&lt;'Hose Fittings'!$A$30,VLOOKUP($A141,'Hose Fittings'!$A$8:$M$29,9,FALSE),
IF($A141&lt;'Swing Joints'!$A$496,VLOOKUP($A141,'Swing Joints'!$A$9:$M$495,9,FALSE),
IF($A141&lt;'Swing Joints Components'!$A$135,VLOOKUP($A141,'Swing Joints Components'!$A$9:$M$134,9,FALSE),
IF($A141&lt;Nonstandard!$A$42,VLOOKUP($A141,Nonstandard!$A$31:$J$41,8,FALSE),"")))))))))))))))))))))))))))),"")</f>
        <v/>
      </c>
      <c r="G141" s="416" t="str">
        <f>IFERROR(IF($A141&lt;'DWV PVC'!$A$285,VLOOKUP($A141,'DWV PVC'!$A$8:$M$284,11,FALSE),
IF($A141&lt;'DWV ABS'!$A$117,VLOOKUP($A141,'DWV ABS'!$A$8:$M$116,11,FALSE),
IF($A141&lt;'PVC SCH40'!$A$376,VLOOKUP($A141,'PVC SCH40'!$A$8:$M$375,11,FALSE),
IF($A141&lt;'PVC SCH40 LD'!$A$22,VLOOKUP($A141,'PVC SCH40 LD'!$A$8:$M$21,11,FALSE),
IF($A141&lt;'Pool &amp; SPA Sweep Elbows'!$A$12,VLOOKUP($A141,'Pool &amp; SPA Sweep Elbows'!$A$8:$M$11,11,FALSE),
IF($A141&lt;'Pool &amp; SPA Pipe Extender'!$A$11,VLOOKUP($A141,'Pool &amp; SPA Pipe Extender'!$A$8:$M$10,11,FALSE),
IF($A141&lt;'PVC SCH80'!$A$250,VLOOKUP($A141,'PVC SCH80'!$A$8:$M$249,11,FALSE),
IF($A141&lt;'PVC SCH80 Flange'!$A$49,VLOOKUP($A141,'PVC SCH80 Flange'!$A$8:$M$48,11,FALSE),
IF($A141&lt;'PVC SCH80 LD Flange'!$A$17,VLOOKUP($A141,'PVC SCH80 LD Flange'!$A$8:$M$16,11,FALSE),
IF($A141&lt;CPVC!$A$100,VLOOKUP($A141,CPVC!$A$8:$M$99,11,FALSE),
IF($A141&lt;InsertFittings!$A$237,VLOOKUP($A141,InsertFittings!$A$11:$M$236,11,FALSE),
IF($A141&lt;Valves!$A$132,VLOOKUP($A141,Valves!$A$8:$M$131,11,FALSE),
IF($A141&lt;SDR35SW!$A$124,VLOOKUP($A141,SDR35SW!$A$8:$M$123,11,FALSE),
IF($A141&lt;SDR35G!$A$143,VLOOKUP($A141, SDR35G!$A$8:$M$142,11,FALSE),
IF($A141&lt;SDR26G!$A$61,VLOOKUP($A141,SDR26G!$A$8:$N$60,12,FALSE),
IF($A141&lt;Cements!$A$100,VLOOKUP($A141,Cements!$A$8:$Q$99,15,FALSE),
IF($A141&lt;ValveBox!$A$143,VLOOKUP($A141,ValveBox!$A$10:$O$142,13,FALSE),
IF($A141&lt;'ValveBox Components'!$A$165,VLOOKUP($A141,'ValveBox Components'!$A$10:$O$164,13,FALSE),
IF($A141&lt;Drainage!$A$92,VLOOKUP($A141,Drainage!$A$8:$M$91,11,FALSE),
IF($A141&lt;Nipples!$A$82,VLOOKUP($A141,Nipples!$A$9:$Q$81,15,FALSE),
IF($A141&lt;Manifold!$A$33,VLOOKUP($A141,Manifold!$A$9:$M$32,11,FALSE),
IF($A141&lt;FlexibleRepairCouplings!$A$13,VLOOKUP($A141,FlexibleRepairCouplings!$A$10:$M$12,11,FALSE),
IF($A141&lt;DuraFix!$A$15,VLOOKUP($A141,DuraFix!$A$9:$M$14,11,FALSE),
IF($A141&lt;'Compression Fittings'!$A$16,VLOOKUP($A141,'Compression Fittings'!$A$8:$M$15,11,FALSE),
IF($A141&lt;'Hose Fittings'!$A$30,VLOOKUP($A141,'Hose Fittings'!$A$8:$M$29,11,FALSE),
IF($A141&lt;'Swing Joints'!$A$496,VLOOKUP($A141,'Swing Joints'!$A$9:$M$495,11,FALSE),
IF($A141&lt;'Swing Joints Components'!$A$135,VLOOKUP($A141,'Swing Joints Components'!$A$9:$M$134,11,FALSE),
IF($A141&lt;Nonstandard!$A$42,VLOOKUP($A141,Nonstandard!$A$31:$J$41,3,FALSE),"")))))))))))))))))))))))))))),"")</f>
        <v/>
      </c>
      <c r="H141" s="586" t="str">
        <f>IFERROR(IF($A141&lt;'DWV PVC'!$A$285,VLOOKUP($A141,'DWV PVC'!$A$8:$M$284,7,FALSE),
IF($A141&lt;'DWV ABS'!$A$117,VLOOKUP($A141,'DWV ABS'!$A$8:$M$116,7,FALSE),
IF($A141&lt;'PVC SCH40'!$A$376,VLOOKUP($A141,'PVC SCH40'!$A$8:$M$375,7,FALSE),
IF($A141&lt;'PVC SCH40 LD'!$A$22,VLOOKUP($A141,'PVC SCH40 LD'!$A$8:$M$21,7,FALSE),
IF($A141&lt;'Pool &amp; SPA Sweep Elbows'!$A$12,VLOOKUP($A141,'Pool &amp; SPA Sweep Elbows'!$A$8:$M$11,7,FALSE),
IF($A141&lt;'Pool &amp; SPA Pipe Extender'!$A$11,VLOOKUP($A141,'Pool &amp; SPA Pipe Extender'!$A$8:$M$10,7,FALSE),
IF($A141&lt;'PVC SCH80'!$A$250,VLOOKUP($A141,'PVC SCH80'!$A$8:$M$249,7,FALSE),
IF($A141&lt;'PVC SCH80 Flange'!$A$49,VLOOKUP($A141,'PVC SCH80 Flange'!$A$8:$M$48,7,FALSE),
IF($A141&lt;'PVC SCH80 LD Flange'!$A$17,VLOOKUP($A141,'PVC SCH80 LD Flange'!$A$8:$M$16,7,FALSE),
IF($A141&lt;CPVC!$A$100,VLOOKUP($A141,CPVC!$A$8:$M$99,7,FALSE),
IF($A141&lt;InsertFittings!$A$237,VLOOKUP($A141,InsertFittings!$A$11:$M$236,7,FALSE),
IF($A141&lt;Valves!$A$132,VLOOKUP($A141,Valves!$A$8:$M$131,7,FALSE),
IF($A141&lt;SDR35SW!$A$124,VLOOKUP($A141,SDR35SW!$A$8:$M$123,7,FALSE),
IF($A141&lt;SDR35G!$A$143,VLOOKUP($A141, SDR35G!$A$8:$M$142,7,FALSE),
IF($A141&lt;SDR26G!$A$61,VLOOKUP($A141,SDR26G!$A$8:$N$60,10,FALSE),
IF($A141&lt;Cements!$A$100,VLOOKUP($A141,Cements!$A$8:$Q$99,13,FALSE),
IF($A141&lt;ValveBox!$A$143,VLOOKUP($A141,ValveBox!$A$10:$O$142,11,FALSE),
IF($A141&lt;'ValveBox Components'!$A$165,VLOOKUP($A141,'ValveBox Components'!$A$10:$O$164,11,FALSE),
IF($A141&lt;Drainage!$A$92,VLOOKUP($A141,Drainage!$A$8:$M$91,7,FALSE),
IF($A141&lt;Nipples!$A$82,VLOOKUP($A141,Nipples!$A$9:$Q$81,13,FALSE),
IF($A141&lt;Manifold!$A$33,VLOOKUP($A141,Manifold!$A$9:$M$32,7,FALSE),
IF($A141&lt;FlexibleRepairCouplings!$A$13,VLOOKUP($A141,FlexibleRepairCouplings!$A$10:$M$12,7,FALSE),
IF($A141&lt;DuraFix!$A$15,VLOOKUP($A141,DuraFix!$A$9:$M$14,7,FALSE),
IF($A141&lt;'Compression Fittings'!$A$16,VLOOKUP($A141,'Compression Fittings'!$A$8:$M$15,7,FALSE),
IF($A141&lt;'Hose Fittings'!$A$30,VLOOKUP($A141,'Hose Fittings'!$A$8:$M$29,7,FALSE),
IF($A141&lt;'Swing Joints'!$A$496,VLOOKUP($A141,'Swing Joints'!$A$9:$M$495,7,FALSE),
IF($A141&lt;'Swing Joints Components'!$A$135,VLOOKUP($A141,'Swing Joints Components'!$A$9:$M$134,7,FALSE),
IF($A141&lt;Nonstandard!$A$42,VLOOKUP($A141,Nonstandard!$A$31:$J$41,3,FALSE),"")))))))))))))))))))))))))))),"")</f>
        <v/>
      </c>
      <c r="I141" s="587"/>
      <c r="J141" s="383" t="str">
        <f t="shared" si="3"/>
        <v/>
      </c>
      <c r="K141" s="417" t="str">
        <f>IFERROR(IF($A141&lt;'DWV PVC'!$A$285,VLOOKUP($A141,'DWV PVC'!$A$8:$M$284,10,FALSE),
IF($A141&lt;'DWV ABS'!$A$117,VLOOKUP($A141,'DWV ABS'!$A$8:$M$116,10,FALSE),
IF($A141&lt;'PVC SCH40'!$A$376,VLOOKUP($A141,'PVC SCH40'!$A$8:$M$375,10,FALSE),
IF($A141&lt;'PVC SCH40 LD'!$A$22,VLOOKUP($A141,'PVC SCH40 LD'!$A$8:$M$21,10,FALSE),
IF($A141&lt;'Pool &amp; SPA Sweep Elbows'!$A$12,VLOOKUP($A141,'Pool &amp; SPA Sweep Elbows'!$A$8:$M$11,10,FALSE),
IF($A141&lt;'Pool &amp; SPA Pipe Extender'!$A$11,VLOOKUP($A141,'Pool &amp; SPA Pipe Extender'!$A$8:$M$10,10,FALSE),
IF($A141&lt;'PVC SCH80'!$A$250,VLOOKUP($A141,'PVC SCH80'!$A$8:$M$249,10,FALSE),
IF($A141&lt;'PVC SCH80 Flange'!$A$49,VLOOKUP($A141,'PVC SCH80 Flange'!$A$8:$M$48,10,FALSE),
IF($A141&lt;'PVC SCH80 LD Flange'!$A$17,VLOOKUP($A141,'PVC SCH80 LD Flange'!$A$8:$M$16,10,FALSE),
IF($A141&lt;CPVC!$A$100,VLOOKUP($A141,CPVC!$A$8:$M$99,10,FALSE),
IF($A141&lt;InsertFittings!$A$237,VLOOKUP($A141,InsertFittings!$A$11:$M$236,10,FALSE),
IF($A141&lt;Valves!$A$132,VLOOKUP($A141,Valves!$A$8:$M$131,10,FALSE),
IF($A141&lt;SDR35SW!$A$124,VLOOKUP($A141,SDR35SW!$A$8:$M$123,10,FALSE),
IF($A141&lt;SDR35G!$A$143,VLOOKUP($A141, SDR35G!$A$8:$M$142,10,FALSE),
IF($A141&lt;SDR26G!$A$61,VLOOKUP($A141,SDR26G!$A$8:$N$60,11,FALSE),
IF($A141&lt;Cements!$A$100,VLOOKUP($A141,Cements!$A$8:$Q$99,14,FALSE),
IF($A141&lt;ValveBox!$A$143,VLOOKUP($A141,ValveBox!$A$10:$O$142,12,FALSE),
IF($A141&lt;'ValveBox Components'!$A$165,VLOOKUP($A141,'ValveBox Components'!$A$10:$O$164,12,FALSE),
IF($A141&lt;Drainage!$A$92,VLOOKUP($A141,Drainage!$A$8:$M$91,10,FALSE),
IF($A141&lt;Nipples!$A$82,VLOOKUP($A141,Nipples!$A$9:$Q$81,14,FALSE),
IF($A141&lt;Manifold!$A$33,VLOOKUP($A141,Manifold!$A$9:$M$32,10,FALSE),
IF($A141&lt;FlexibleRepairCouplings!$A$13,VLOOKUP($A141,FlexibleRepairCouplings!$A$10:$M$12,10,FALSE),
IF($A141&lt;DuraFix!$A$15,VLOOKUP($A141,DuraFix!$A$9:$M$14,10,FALSE),
IF($A141&lt;'Compression Fittings'!$A$16,VLOOKUP($A141,'Compression Fittings'!$A$8:$M$15,10,FALSE),
IF($A141&lt;'Hose Fittings'!$A$30,VLOOKUP($A141,'Hose Fittings'!$A$8:$M$29,10,FALSE),
IF($A141&lt;'Swing Joints'!$A$496,VLOOKUP($A141,'Swing Joints'!$A$9:$M$495,10,FALSE),
IF($A141&lt;'Swing Joints Components'!$A$135,VLOOKUP($A141,'Swing Joints Components'!$A$9:$M$134,10,FALSE),
IF($A141&lt;Nonstandard!$A$42,VLOOKUP($A141,Nonstandard!$A$31:$J$41,10,FALSE),"")))))))))))))))))))))))))))),"")</f>
        <v/>
      </c>
      <c r="L141" s="418" t="str">
        <f t="shared" si="2"/>
        <v>-</v>
      </c>
      <c r="M141" s="419"/>
    </row>
    <row r="142" spans="1:13" ht="15.75">
      <c r="A142" s="420">
        <v>110</v>
      </c>
      <c r="B142" s="420" t="str">
        <f>IFERROR(IF($A142&lt;'DWV PVC'!$A$285,VLOOKUP($A142,'DWV PVC'!$A$8:$M$284,4,FALSE),
IF($A142&lt;'DWV ABS'!$A$117,VLOOKUP($A142,'DWV ABS'!$A$8:$M$116,4,FALSE),
IF($A142&lt;'PVC SCH40'!$A$376,VLOOKUP($A142,'PVC SCH40'!$A$8:$M$375,4,FALSE),
IF($A142&lt;'PVC SCH40 LD'!$A$22,VLOOKUP($A142,'PVC SCH40 LD'!$A$8:$M$21,4,FALSE),
IF($A142&lt;'Pool &amp; SPA Sweep Elbows'!$A$12,VLOOKUP($A142,'Pool &amp; SPA Sweep Elbows'!$A$8:$M$11,4,FALSE),
IF($A142&lt;'Pool &amp; SPA Pipe Extender'!$A$11,VLOOKUP($A142,'Pool &amp; SPA Pipe Extender'!$A$8:$M$10,4,FALSE),
IF($A142&lt;'PVC SCH80'!$A$250,VLOOKUP($A142,'PVC SCH80'!$A$8:$M$249,4,FALSE),
IF($A142&lt;'PVC SCH80 Flange'!$A$49,VLOOKUP($A142,'PVC SCH80 Flange'!$A$8:$M$48,4,FALSE),
IF($A142&lt;'PVC SCH80 LD Flange'!$A$17,VLOOKUP($A142,'PVC SCH80 LD Flange'!$A$8:$M$16,4,FALSE),
IF($A142&lt;CPVC!$A$100,VLOOKUP($A142,CPVC!$A$8:$M$99,4,FALSE),
IF($A142&lt;InsertFittings!$A$237,VLOOKUP($A142,InsertFittings!$A$11:$M$236,4,FALSE),
IF($A142&lt;Valves!$A$132,VLOOKUP($A142,Valves!$A$8:$M$131,4,FALSE),
IF($A142&lt;SDR35SW!$A$124,VLOOKUP($A142,SDR35SW!$A$8:$M$123,4,FALSE),
IF($A142&lt;SDR35G!$A$143,VLOOKUP($A142, SDR35G!$A$8:$M$142,4,FALSE),
IF($A142&lt;SDR26G!$A$61,VLOOKUP($A142,SDR26G!$A$8:$N$60,4,FALSE),
IF($A142&lt;Cements!$A$100,VLOOKUP($A142,Cements!$A$8:$Q$99,4,FALSE),
IF($A142&lt;ValveBox!$A$143,VLOOKUP($A142,ValveBox!$A$10:$O$142,4,FALSE),
IF($A142&lt;'ValveBox Components'!$A$165,VLOOKUP($A142,'ValveBox Components'!$A$10:$O$164,4,FALSE),
IF($A142&lt;Drainage!$A$92,VLOOKUP($A142,Drainage!$A$8:$M$91,4,FALSE),
IF($A142&lt;Nipples!$A$82,VLOOKUP($A142,Nipples!$A$9:$Q$81,4,FALSE),
IF($A142&lt;Manifold!$A$33,VLOOKUP($A142,Manifold!$A$9:$M$32,4,FALSE),
IF($A142&lt;FlexibleRepairCouplings!$A$13,VLOOKUP($A142,FlexibleRepairCouplings!$A$10:$M$12,4,FALSE),
IF($A142&lt;DuraFix!$A$15,VLOOKUP($A142,DuraFix!$A$9:$M$14,4,FALSE),
IF($A142&lt;'Compression Fittings'!$A$16,VLOOKUP($A142,'Compression Fittings'!$A$8:$M$15,4,FALSE),
IF($A142&lt;'Hose Fittings'!$A$30,VLOOKUP($A142,'Hose Fittings'!$A$8:$M$29,4,FALSE),
IF($A142&lt;'Swing Joints'!$A$496,VLOOKUP($A142,'Swing Joints'!$A$9:$M$495,4,FALSE),
IF($A142&lt;'Swing Joints Components'!$A$135,VLOOKUP($A142,'Swing Joints Components'!$A$9:$M$134,4,FALSE),
IF($A142&lt;Nonstandard!$A$42,VLOOKUP($A142,Nonstandard!$A$31:$J$41,5,FALSE),"")))))))))))))))))))))))))))),"")</f>
        <v/>
      </c>
      <c r="C142" s="420" t="str">
        <f>IFERROR(IF($A142&lt;'DWV PVC'!$A$285,VLOOKUP($A142,'DWV PVC'!$A$8:$M$284,5,FALSE),
IF($A142&lt;'DWV ABS'!$A$117,VLOOKUP($A142,'DWV ABS'!$A$8:$M$116,5,FALSE),
IF($A142&lt;'PVC SCH40'!$A$376,VLOOKUP($A142,'PVC SCH40'!$A$8:$M$375,5,FALSE),
IF($A142&lt;'PVC SCH40 LD'!$A$22,VLOOKUP($A142,'PVC SCH40 LD'!$A$8:$M$21,5,FALSE),
IF($A142&lt;'Pool &amp; SPA Sweep Elbows'!$A$12,VLOOKUP($A142,'Pool &amp; SPA Sweep Elbows'!$A$8:$M$11,5,FALSE),
IF($A142&lt;'Pool &amp; SPA Pipe Extender'!$A$11,VLOOKUP($A142,'Pool &amp; SPA Pipe Extender'!$A$8:$M$10,5,FALSE),
IF($A142&lt;'PVC SCH80'!$A$250,VLOOKUP($A142,'PVC SCH80'!$A$8:$M$249,5,FALSE),
IF($A142&lt;'PVC SCH80 Flange'!$A$49,VLOOKUP($A142,'PVC SCH80 Flange'!$A$8:$M$48,5,FALSE),
IF($A142&lt;'PVC SCH80 LD Flange'!$A$17,VLOOKUP($A142,'PVC SCH80 LD Flange'!$A$8:$M$16,5,FALSE),
IF($A142&lt;CPVC!$A$100,VLOOKUP($A142,CPVC!$A$8:$M$99,5,FALSE),
IF($A142&lt;InsertFittings!$A$237,VLOOKUP($A142,InsertFittings!$A$11:$M$236,5,FALSE),
IF($A142&lt;Valves!$A$132,VLOOKUP($A142,Valves!$A$8:$M$131,5,FALSE),
IF($A142&lt;SDR35SW!$A$124,VLOOKUP($A142,SDR35SW!$A$8:$M$123,5,FALSE),
IF($A142&lt;SDR35G!$A$143,VLOOKUP($A142, SDR35G!$A$8:$M$142,5,FALSE),
IF($A142&lt;SDR26G!$A$61,VLOOKUP($A142,SDR26G!$A$8:$N$60,5,FALSE),
IF($A142&lt;Cements!$A$100,VLOOKUP($A142,Cements!$A$8:$Q$99,5,FALSE),
IF($A142&lt;ValveBox!$A$143,VLOOKUP($A142,ValveBox!$A$10:$O$142,5,FALSE),
IF($A142&lt;'ValveBox Components'!$A$165,VLOOKUP($A142,'ValveBox Components'!$A$10:$O$164,5,FALSE),
IF($A142&lt;Drainage!$A$92,VLOOKUP($A142,Drainage!$A$8:$M$91,5,FALSE),
IF($A142&lt;Nipples!$A$82,VLOOKUP($A142,Nipples!$A$9:$Q$81,5,FALSE),
IF($A142&lt;Manifold!$A$33,VLOOKUP($A142,Manifold!$A$9:$M$32,5,FALSE),
IF($A142&lt;FlexibleRepairCouplings!$A$13,VLOOKUP($A142,FlexibleRepairCouplings!$A$10:$M$12,5,FALSE),
IF($A142&lt;DuraFix!$A$15,VLOOKUP($A142,DuraFix!$A$9:$M$14,5,FALSE),
IF($A142&lt;'Compression Fittings'!$A$16,VLOOKUP($A142,'Compression Fittings'!$A$8:$M$15,5,FALSE),
IF($A142&lt;'Hose Fittings'!$A$30,VLOOKUP($A142,'Hose Fittings'!$A$8:$M$29,5,FALSE),
IF($A142&lt;'Swing Joints'!$A$496,VLOOKUP($A142,'Swing Joints'!$A$9:$M$495,5,FALSE),
IF($A142&lt;'Swing Joints Components'!$A$135,VLOOKUP($A142,'Swing Joints Components'!$A$9:$M$134,5,FALSE),
IF($A142&lt;Nonstandard!$A$42,VLOOKUP($A142,Nonstandard!$A$31:$J$41,6,FALSE),"")))))))))))))))))))))))))))),"")</f>
        <v/>
      </c>
      <c r="D142" s="428" t="str">
        <f>IFERROR(IF($A142&lt;'DWV PVC'!$A$285,VLOOKUP($A142,'DWV PVC'!$A$8:$M$284,6,FALSE),
IF($A142&lt;'DWV ABS'!$A$117,VLOOKUP($A142,'DWV ABS'!$A$8:$M$116,6,FALSE),
IF($A142&lt;'PVC SCH40'!$A$376,VLOOKUP($A142,'PVC SCH40'!$A$8:$M$375,6,FALSE),
IF($A142&lt;'PVC SCH40 LD'!$A$22,VLOOKUP($A142,'PVC SCH40 LD'!$A$8:$M$21,6,FALSE),
IF($A142&lt;'Pool &amp; SPA Sweep Elbows'!$A$12,VLOOKUP($A142,'Pool &amp; SPA Sweep Elbows'!$A$8:$M$11,6,FALSE),
IF($A142&lt;'Pool &amp; SPA Pipe Extender'!$A$11,VLOOKUP($A142,'Pool &amp; SPA Pipe Extender'!$A$8:$M$10,6,FALSE),
IF($A142&lt;'PVC SCH80'!$A$250,VLOOKUP($A142,'PVC SCH80'!$A$8:$M$249,6,FALSE),
IF($A142&lt;'PVC SCH80 Flange'!$A$49,VLOOKUP($A142,'PVC SCH80 Flange'!$A$8:$M$48,6,FALSE),
IF($A142&lt;'PVC SCH80 LD Flange'!$A$17,VLOOKUP($A142,'PVC SCH80 LD Flange'!$A$8:$M$16,6,FALSE),
IF($A142&lt;CPVC!$A$100,VLOOKUP($A142,CPVC!$A$8:$M$99,6,FALSE),
IF($A142&lt;InsertFittings!$A$237,VLOOKUP($A142,InsertFittings!$A$11:$M$236,6,FALSE),
IF($A142&lt;Valves!$A$132,VLOOKUP($A142,Valves!$A$8:$M$131,6,FALSE),
IF($A142&lt;SDR35SW!$A$124,VLOOKUP($A142,SDR35SW!$A$8:$M$123,6,FALSE),
IF($A142&lt;SDR35G!$A$143,VLOOKUP($A142, SDR35G!$A$8:$M$142,6,FALSE),
IF($A142&lt;SDR26G!$A$61,VLOOKUP($A142,SDR26G!$A$8:$N$60,6,FALSE),
IF($A142&lt;Cements!$A$100,VLOOKUP($A142,Cements!$A$8:$Q$99,6,FALSE),
IF($A142&lt;ValveBox!$A$143,VLOOKUP($A142,ValveBox!$A$10:$O$142,6,FALSE),
IF($A142&lt;'ValveBox Components'!$A$165,VLOOKUP($A142,'ValveBox Components'!$A$10:$O$164,6,FALSE),
IF($A142&lt;Drainage!$A$92,VLOOKUP($A142,Drainage!$A$8:$M$91,6,FALSE),
IF($A142&lt;Nipples!$A$82,VLOOKUP($A142,Nipples!$A$9:$Q$81,6,FALSE),
IF($A142&lt;Manifold!$A$33,VLOOKUP($A142,Manifold!$A$9:$M$32,6,FALSE),
IF($A142&lt;FlexibleRepairCouplings!$A$13,VLOOKUP($A142,FlexibleRepairCouplings!$A$10:$M$12,6,FALSE),
IF($A142&lt;DuraFix!$A$15,VLOOKUP($A142,DuraFix!$A$9:$M$14,6,FALSE),
IF($A142&lt;'Compression Fittings'!$A$16,VLOOKUP($A142,'Compression Fittings'!$A$8:$M$15,6,FALSE),
IF($A142&lt;'Hose Fittings'!$A$30,VLOOKUP($A142,'Hose Fittings'!$A$8:$M$29,6,FALSE),
IF($A142&lt;'Swing Joints'!$A$496,VLOOKUP($A142,'Swing Joints'!$A$9:$M$495,6,FALSE),
IF($A142&lt;'Swing Joints Components'!$A$135,VLOOKUP($A142,'Swing Joints Components'!$A$9:$M$134,6,FALSE),
IF($A142&lt;Nonstandard!$A$42,VLOOKUP($A142,Nonstandard!$A$31:$J$41,7,FALSE),"")))))))))))))))))))))))))))),"")</f>
        <v/>
      </c>
      <c r="E142" s="429"/>
      <c r="F142" s="421" t="str">
        <f>IFERROR(IF($A142&lt;'DWV PVC'!$A$285,VLOOKUP($A142,'DWV PVC'!$A$8:$M$284,9,FALSE),
IF($A142&lt;'DWV ABS'!$A$117,VLOOKUP($A142,'DWV ABS'!$A$8:$M$116,9,FALSE),
IF($A142&lt;'PVC SCH40'!$A$376,VLOOKUP($A142,'PVC SCH40'!$A$8:$M$375,9,FALSE),
IF($A142&lt;'PVC SCH40 LD'!$A$22,VLOOKUP($A142,'PVC SCH40 LD'!$A$8:$M$21,9,FALSE),
IF($A142&lt;'Pool &amp; SPA Sweep Elbows'!$A$12,VLOOKUP($A142,'Pool &amp; SPA Sweep Elbows'!$A$8:$M$11,9,FALSE),
IF($A142&lt;'Pool &amp; SPA Pipe Extender'!$A$11,VLOOKUP($A142,'Pool &amp; SPA Pipe Extender'!$A$8:$M$10,9,FALSE),
IF($A142&lt;'PVC SCH80'!$A$250,VLOOKUP($A142,'PVC SCH80'!$A$8:$M$249,9,FALSE),
IF($A142&lt;'PVC SCH80 Flange'!$A$49,VLOOKUP($A142,'PVC SCH80 Flange'!$A$8:$M$48,9,FALSE),
IF($A142&lt;'PVC SCH80 LD Flange'!$A$17,VLOOKUP($A142,'PVC SCH80 LD Flange'!$A$8:$M$16,9,FALSE),
IF($A142&lt;CPVC!$A$100,VLOOKUP($A142,CPVC!$A$8:$M$99,9,FALSE),
IF($A142&lt;InsertFittings!$A$237,VLOOKUP($A142,InsertFittings!$A$11:$M$236,9,FALSE),
IF($A142&lt;Valves!$A$132,VLOOKUP($A142,Valves!$A$8:$M$131,9,FALSE),
IF($A142&lt;SDR35SW!$A$124,VLOOKUP($A142,SDR35SW!$A$8:$M$123,9,FALSE),
IF($A142&lt;SDR35G!$A$143,VLOOKUP($A142, SDR35G!$A$8:$M$142,9,FALSE),
IF($A142&lt;SDR26G!$A$61,VLOOKUP($A142,SDR26G!$A$8:$N$60,10,FALSE),
IF($A142&lt;Cements!$A$100,VLOOKUP($A142,Cements!$A$8:$Q$99,13,FALSE),
IF($A142&lt;ValveBox!$A$143,VLOOKUP($A142,ValveBox!$A$10:$O$142,11,FALSE),
IF($A142&lt;'ValveBox Components'!$A$165,VLOOKUP($A142,'ValveBox Components'!$A$10:$O$164,11,FALSE),
IF($A142&lt;Drainage!$A$92,VLOOKUP($A142,Drainage!$A$8:$M$91,9,FALSE),
IF($A142&lt;Nipples!$A$82,VLOOKUP($A142,Nipples!$A$9:$Q$81,13,FALSE),
IF($A142&lt;Manifold!$A$33,VLOOKUP($A142,Manifold!$A$9:$M$32,9,FALSE),
IF($A142&lt;FlexibleRepairCouplings!$A$13,VLOOKUP($A142,FlexibleRepairCouplings!$A$10:$M$12,9,FALSE),
IF($A142&lt;DuraFix!$A$15,VLOOKUP($A142,DuraFix!$A$9:$M$14,9,FALSE),
IF($A142&lt;'Compression Fittings'!$A$16,VLOOKUP($A142,'Compression Fittings'!$A$8:$M$15,9,FALSE),
IF($A142&lt;'Hose Fittings'!$A$30,VLOOKUP($A142,'Hose Fittings'!$A$8:$M$29,9,FALSE),
IF($A142&lt;'Swing Joints'!$A$496,VLOOKUP($A142,'Swing Joints'!$A$9:$M$495,9,FALSE),
IF($A142&lt;'Swing Joints Components'!$A$135,VLOOKUP($A142,'Swing Joints Components'!$A$9:$M$134,9,FALSE),
IF($A142&lt;Nonstandard!$A$42,VLOOKUP($A142,Nonstandard!$A$31:$J$41,8,FALSE),"")))))))))))))))))))))))))))),"")</f>
        <v/>
      </c>
      <c r="G142" s="422" t="str">
        <f>IFERROR(IF($A142&lt;'DWV PVC'!$A$285,VLOOKUP($A142,'DWV PVC'!$A$8:$M$284,11,FALSE),
IF($A142&lt;'DWV ABS'!$A$117,VLOOKUP($A142,'DWV ABS'!$A$8:$M$116,11,FALSE),
IF($A142&lt;'PVC SCH40'!$A$376,VLOOKUP($A142,'PVC SCH40'!$A$8:$M$375,11,FALSE),
IF($A142&lt;'PVC SCH40 LD'!$A$22,VLOOKUP($A142,'PVC SCH40 LD'!$A$8:$M$21,11,FALSE),
IF($A142&lt;'Pool &amp; SPA Sweep Elbows'!$A$12,VLOOKUP($A142,'Pool &amp; SPA Sweep Elbows'!$A$8:$M$11,11,FALSE),
IF($A142&lt;'Pool &amp; SPA Pipe Extender'!$A$11,VLOOKUP($A142,'Pool &amp; SPA Pipe Extender'!$A$8:$M$10,11,FALSE),
IF($A142&lt;'PVC SCH80'!$A$250,VLOOKUP($A142,'PVC SCH80'!$A$8:$M$249,11,FALSE),
IF($A142&lt;'PVC SCH80 Flange'!$A$49,VLOOKUP($A142,'PVC SCH80 Flange'!$A$8:$M$48,11,FALSE),
IF($A142&lt;'PVC SCH80 LD Flange'!$A$17,VLOOKUP($A142,'PVC SCH80 LD Flange'!$A$8:$M$16,11,FALSE),
IF($A142&lt;CPVC!$A$100,VLOOKUP($A142,CPVC!$A$8:$M$99,11,FALSE),
IF($A142&lt;InsertFittings!$A$237,VLOOKUP($A142,InsertFittings!$A$11:$M$236,11,FALSE),
IF($A142&lt;Valves!$A$132,VLOOKUP($A142,Valves!$A$8:$M$131,11,FALSE),
IF($A142&lt;SDR35SW!$A$124,VLOOKUP($A142,SDR35SW!$A$8:$M$123,11,FALSE),
IF($A142&lt;SDR35G!$A$143,VLOOKUP($A142, SDR35G!$A$8:$M$142,11,FALSE),
IF($A142&lt;SDR26G!$A$61,VLOOKUP($A142,SDR26G!$A$8:$N$60,12,FALSE),
IF($A142&lt;Cements!$A$100,VLOOKUP($A142,Cements!$A$8:$Q$99,15,FALSE),
IF($A142&lt;ValveBox!$A$143,VLOOKUP($A142,ValveBox!$A$10:$O$142,13,FALSE),
IF($A142&lt;'ValveBox Components'!$A$165,VLOOKUP($A142,'ValveBox Components'!$A$10:$O$164,13,FALSE),
IF($A142&lt;Drainage!$A$92,VLOOKUP($A142,Drainage!$A$8:$M$91,11,FALSE),
IF($A142&lt;Nipples!$A$82,VLOOKUP($A142,Nipples!$A$9:$Q$81,15,FALSE),
IF($A142&lt;Manifold!$A$33,VLOOKUP($A142,Manifold!$A$9:$M$32,11,FALSE),
IF($A142&lt;FlexibleRepairCouplings!$A$13,VLOOKUP($A142,FlexibleRepairCouplings!$A$10:$M$12,11,FALSE),
IF($A142&lt;DuraFix!$A$15,VLOOKUP($A142,DuraFix!$A$9:$M$14,11,FALSE),
IF($A142&lt;'Compression Fittings'!$A$16,VLOOKUP($A142,'Compression Fittings'!$A$8:$M$15,11,FALSE),
IF($A142&lt;'Hose Fittings'!$A$30,VLOOKUP($A142,'Hose Fittings'!$A$8:$M$29,11,FALSE),
IF($A142&lt;'Swing Joints'!$A$496,VLOOKUP($A142,'Swing Joints'!$A$9:$M$495,11,FALSE),
IF($A142&lt;'Swing Joints Components'!$A$135,VLOOKUP($A142,'Swing Joints Components'!$A$9:$M$134,11,FALSE),
IF($A142&lt;Nonstandard!$A$42,VLOOKUP($A142,Nonstandard!$A$31:$J$41,3,FALSE),"")))))))))))))))))))))))))))),"")</f>
        <v/>
      </c>
      <c r="H142" s="588" t="str">
        <f>IFERROR(IF($A142&lt;'DWV PVC'!$A$285,VLOOKUP($A142,'DWV PVC'!$A$8:$M$284,7,FALSE),
IF($A142&lt;'DWV ABS'!$A$117,VLOOKUP($A142,'DWV ABS'!$A$8:$M$116,7,FALSE),
IF($A142&lt;'PVC SCH40'!$A$376,VLOOKUP($A142,'PVC SCH40'!$A$8:$M$375,7,FALSE),
IF($A142&lt;'PVC SCH40 LD'!$A$22,VLOOKUP($A142,'PVC SCH40 LD'!$A$8:$M$21,7,FALSE),
IF($A142&lt;'Pool &amp; SPA Sweep Elbows'!$A$12,VLOOKUP($A142,'Pool &amp; SPA Sweep Elbows'!$A$8:$M$11,7,FALSE),
IF($A142&lt;'Pool &amp; SPA Pipe Extender'!$A$11,VLOOKUP($A142,'Pool &amp; SPA Pipe Extender'!$A$8:$M$10,7,FALSE),
IF($A142&lt;'PVC SCH80'!$A$250,VLOOKUP($A142,'PVC SCH80'!$A$8:$M$249,7,FALSE),
IF($A142&lt;'PVC SCH80 Flange'!$A$49,VLOOKUP($A142,'PVC SCH80 Flange'!$A$8:$M$48,7,FALSE),
IF($A142&lt;'PVC SCH80 LD Flange'!$A$17,VLOOKUP($A142,'PVC SCH80 LD Flange'!$A$8:$M$16,7,FALSE),
IF($A142&lt;CPVC!$A$100,VLOOKUP($A142,CPVC!$A$8:$M$99,7,FALSE),
IF($A142&lt;InsertFittings!$A$237,VLOOKUP($A142,InsertFittings!$A$11:$M$236,7,FALSE),
IF($A142&lt;Valves!$A$132,VLOOKUP($A142,Valves!$A$8:$M$131,7,FALSE),
IF($A142&lt;SDR35SW!$A$124,VLOOKUP($A142,SDR35SW!$A$8:$M$123,7,FALSE),
IF($A142&lt;SDR35G!$A$143,VLOOKUP($A142, SDR35G!$A$8:$M$142,7,FALSE),
IF($A142&lt;SDR26G!$A$61,VLOOKUP($A142,SDR26G!$A$8:$N$60,10,FALSE),
IF($A142&lt;Cements!$A$100,VLOOKUP($A142,Cements!$A$8:$Q$99,13,FALSE),
IF($A142&lt;ValveBox!$A$143,VLOOKUP($A142,ValveBox!$A$10:$O$142,11,FALSE),
IF($A142&lt;'ValveBox Components'!$A$165,VLOOKUP($A142,'ValveBox Components'!$A$10:$O$164,11,FALSE),
IF($A142&lt;Drainage!$A$92,VLOOKUP($A142,Drainage!$A$8:$M$91,7,FALSE),
IF($A142&lt;Nipples!$A$82,VLOOKUP($A142,Nipples!$A$9:$Q$81,13,FALSE),
IF($A142&lt;Manifold!$A$33,VLOOKUP($A142,Manifold!$A$9:$M$32,7,FALSE),
IF($A142&lt;FlexibleRepairCouplings!$A$13,VLOOKUP($A142,FlexibleRepairCouplings!$A$10:$M$12,7,FALSE),
IF($A142&lt;DuraFix!$A$15,VLOOKUP($A142,DuraFix!$A$9:$M$14,7,FALSE),
IF($A142&lt;'Compression Fittings'!$A$16,VLOOKUP($A142,'Compression Fittings'!$A$8:$M$15,7,FALSE),
IF($A142&lt;'Hose Fittings'!$A$30,VLOOKUP($A142,'Hose Fittings'!$A$8:$M$29,7,FALSE),
IF($A142&lt;'Swing Joints'!$A$496,VLOOKUP($A142,'Swing Joints'!$A$9:$M$495,7,FALSE),
IF($A142&lt;'Swing Joints Components'!$A$135,VLOOKUP($A142,'Swing Joints Components'!$A$9:$M$134,7,FALSE),
IF($A142&lt;Nonstandard!$A$42,VLOOKUP($A142,Nonstandard!$A$31:$J$41,3,FALSE),"")))))))))))))))))))))))))))),"")</f>
        <v/>
      </c>
      <c r="I142" s="589"/>
      <c r="J142" s="423" t="str">
        <f t="shared" si="3"/>
        <v/>
      </c>
      <c r="K142" s="424" t="str">
        <f>IFERROR(IF($A142&lt;'DWV PVC'!$A$285,VLOOKUP($A142,'DWV PVC'!$A$8:$M$284,10,FALSE),
IF($A142&lt;'DWV ABS'!$A$117,VLOOKUP($A142,'DWV ABS'!$A$8:$M$116,10,FALSE),
IF($A142&lt;'PVC SCH40'!$A$376,VLOOKUP($A142,'PVC SCH40'!$A$8:$M$375,10,FALSE),
IF($A142&lt;'PVC SCH40 LD'!$A$22,VLOOKUP($A142,'PVC SCH40 LD'!$A$8:$M$21,10,FALSE),
IF($A142&lt;'Pool &amp; SPA Sweep Elbows'!$A$12,VLOOKUP($A142,'Pool &amp; SPA Sweep Elbows'!$A$8:$M$11,10,FALSE),
IF($A142&lt;'Pool &amp; SPA Pipe Extender'!$A$11,VLOOKUP($A142,'Pool &amp; SPA Pipe Extender'!$A$8:$M$10,10,FALSE),
IF($A142&lt;'PVC SCH80'!$A$250,VLOOKUP($A142,'PVC SCH80'!$A$8:$M$249,10,FALSE),
IF($A142&lt;'PVC SCH80 Flange'!$A$49,VLOOKUP($A142,'PVC SCH80 Flange'!$A$8:$M$48,10,FALSE),
IF($A142&lt;'PVC SCH80 LD Flange'!$A$17,VLOOKUP($A142,'PVC SCH80 LD Flange'!$A$8:$M$16,10,FALSE),
IF($A142&lt;CPVC!$A$100,VLOOKUP($A142,CPVC!$A$8:$M$99,10,FALSE),
IF($A142&lt;InsertFittings!$A$237,VLOOKUP($A142,InsertFittings!$A$11:$M$236,10,FALSE),
IF($A142&lt;Valves!$A$132,VLOOKUP($A142,Valves!$A$8:$M$131,10,FALSE),
IF($A142&lt;SDR35SW!$A$124,VLOOKUP($A142,SDR35SW!$A$8:$M$123,10,FALSE),
IF($A142&lt;SDR35G!$A$143,VLOOKUP($A142, SDR35G!$A$8:$M$142,10,FALSE),
IF($A142&lt;SDR26G!$A$61,VLOOKUP($A142,SDR26G!$A$8:$N$60,11,FALSE),
IF($A142&lt;Cements!$A$100,VLOOKUP($A142,Cements!$A$8:$Q$99,14,FALSE),
IF($A142&lt;ValveBox!$A$143,VLOOKUP($A142,ValveBox!$A$10:$O$142,12,FALSE),
IF($A142&lt;'ValveBox Components'!$A$165,VLOOKUP($A142,'ValveBox Components'!$A$10:$O$164,12,FALSE),
IF($A142&lt;Drainage!$A$92,VLOOKUP($A142,Drainage!$A$8:$M$91,10,FALSE),
IF($A142&lt;Nipples!$A$82,VLOOKUP($A142,Nipples!$A$9:$Q$81,14,FALSE),
IF($A142&lt;Manifold!$A$33,VLOOKUP($A142,Manifold!$A$9:$M$32,10,FALSE),
IF($A142&lt;FlexibleRepairCouplings!$A$13,VLOOKUP($A142,FlexibleRepairCouplings!$A$10:$M$12,10,FALSE),
IF($A142&lt;DuraFix!$A$15,VLOOKUP($A142,DuraFix!$A$9:$M$14,10,FALSE),
IF($A142&lt;'Compression Fittings'!$A$16,VLOOKUP($A142,'Compression Fittings'!$A$8:$M$15,10,FALSE),
IF($A142&lt;'Hose Fittings'!$A$30,VLOOKUP($A142,'Hose Fittings'!$A$8:$M$29,10,FALSE),
IF($A142&lt;'Swing Joints'!$A$496,VLOOKUP($A142,'Swing Joints'!$A$9:$M$495,10,FALSE),
IF($A142&lt;'Swing Joints Components'!$A$135,VLOOKUP($A142,'Swing Joints Components'!$A$9:$M$134,10,FALSE),
IF($A142&lt;Nonstandard!$A$42,VLOOKUP($A142,Nonstandard!$A$31:$J$41,10,FALSE),"")))))))))))))))))))))))))))),"")</f>
        <v/>
      </c>
      <c r="L142" s="421" t="str">
        <f t="shared" si="2"/>
        <v>-</v>
      </c>
      <c r="M142" s="425"/>
    </row>
    <row r="143" spans="1:13" ht="15.75">
      <c r="A143" s="415">
        <v>111</v>
      </c>
      <c r="B143" s="415" t="str">
        <f>IFERROR(IF($A143&lt;'DWV PVC'!$A$285,VLOOKUP($A143,'DWV PVC'!$A$8:$M$284,4,FALSE),
IF($A143&lt;'DWV ABS'!$A$117,VLOOKUP($A143,'DWV ABS'!$A$8:$M$116,4,FALSE),
IF($A143&lt;'PVC SCH40'!$A$376,VLOOKUP($A143,'PVC SCH40'!$A$8:$M$375,4,FALSE),
IF($A143&lt;'PVC SCH40 LD'!$A$22,VLOOKUP($A143,'PVC SCH40 LD'!$A$8:$M$21,4,FALSE),
IF($A143&lt;'Pool &amp; SPA Sweep Elbows'!$A$12,VLOOKUP($A143,'Pool &amp; SPA Sweep Elbows'!$A$8:$M$11,4,FALSE),
IF($A143&lt;'Pool &amp; SPA Pipe Extender'!$A$11,VLOOKUP($A143,'Pool &amp; SPA Pipe Extender'!$A$8:$M$10,4,FALSE),
IF($A143&lt;'PVC SCH80'!$A$250,VLOOKUP($A143,'PVC SCH80'!$A$8:$M$249,4,FALSE),
IF($A143&lt;'PVC SCH80 Flange'!$A$49,VLOOKUP($A143,'PVC SCH80 Flange'!$A$8:$M$48,4,FALSE),
IF($A143&lt;'PVC SCH80 LD Flange'!$A$17,VLOOKUP($A143,'PVC SCH80 LD Flange'!$A$8:$M$16,4,FALSE),
IF($A143&lt;CPVC!$A$100,VLOOKUP($A143,CPVC!$A$8:$M$99,4,FALSE),
IF($A143&lt;InsertFittings!$A$237,VLOOKUP($A143,InsertFittings!$A$11:$M$236,4,FALSE),
IF($A143&lt;Valves!$A$132,VLOOKUP($A143,Valves!$A$8:$M$131,4,FALSE),
IF($A143&lt;SDR35SW!$A$124,VLOOKUP($A143,SDR35SW!$A$8:$M$123,4,FALSE),
IF($A143&lt;SDR35G!$A$143,VLOOKUP($A143, SDR35G!$A$8:$M$142,4,FALSE),
IF($A143&lt;SDR26G!$A$61,VLOOKUP($A143,SDR26G!$A$8:$N$60,4,FALSE),
IF($A143&lt;Cements!$A$100,VLOOKUP($A143,Cements!$A$8:$Q$99,4,FALSE),
IF($A143&lt;ValveBox!$A$143,VLOOKUP($A143,ValveBox!$A$10:$O$142,4,FALSE),
IF($A143&lt;'ValveBox Components'!$A$165,VLOOKUP($A143,'ValveBox Components'!$A$10:$O$164,4,FALSE),
IF($A143&lt;Drainage!$A$92,VLOOKUP($A143,Drainage!$A$8:$M$91,4,FALSE),
IF($A143&lt;Nipples!$A$82,VLOOKUP($A143,Nipples!$A$9:$Q$81,4,FALSE),
IF($A143&lt;Manifold!$A$33,VLOOKUP($A143,Manifold!$A$9:$M$32,4,FALSE),
IF($A143&lt;FlexibleRepairCouplings!$A$13,VLOOKUP($A143,FlexibleRepairCouplings!$A$10:$M$12,4,FALSE),
IF($A143&lt;DuraFix!$A$15,VLOOKUP($A143,DuraFix!$A$9:$M$14,4,FALSE),
IF($A143&lt;'Compression Fittings'!$A$16,VLOOKUP($A143,'Compression Fittings'!$A$8:$M$15,4,FALSE),
IF($A143&lt;'Hose Fittings'!$A$30,VLOOKUP($A143,'Hose Fittings'!$A$8:$M$29,4,FALSE),
IF($A143&lt;'Swing Joints'!$A$496,VLOOKUP($A143,'Swing Joints'!$A$9:$M$495,4,FALSE),
IF($A143&lt;'Swing Joints Components'!$A$135,VLOOKUP($A143,'Swing Joints Components'!$A$9:$M$134,4,FALSE),
IF($A143&lt;Nonstandard!$A$42,VLOOKUP($A143,Nonstandard!$A$31:$J$41,5,FALSE),"")))))))))))))))))))))))))))),"")</f>
        <v/>
      </c>
      <c r="C143" s="415" t="str">
        <f>IFERROR(IF($A143&lt;'DWV PVC'!$A$285,VLOOKUP($A143,'DWV PVC'!$A$8:$M$284,5,FALSE),
IF($A143&lt;'DWV ABS'!$A$117,VLOOKUP($A143,'DWV ABS'!$A$8:$M$116,5,FALSE),
IF($A143&lt;'PVC SCH40'!$A$376,VLOOKUP($A143,'PVC SCH40'!$A$8:$M$375,5,FALSE),
IF($A143&lt;'PVC SCH40 LD'!$A$22,VLOOKUP($A143,'PVC SCH40 LD'!$A$8:$M$21,5,FALSE),
IF($A143&lt;'Pool &amp; SPA Sweep Elbows'!$A$12,VLOOKUP($A143,'Pool &amp; SPA Sweep Elbows'!$A$8:$M$11,5,FALSE),
IF($A143&lt;'Pool &amp; SPA Pipe Extender'!$A$11,VLOOKUP($A143,'Pool &amp; SPA Pipe Extender'!$A$8:$M$10,5,FALSE),
IF($A143&lt;'PVC SCH80'!$A$250,VLOOKUP($A143,'PVC SCH80'!$A$8:$M$249,5,FALSE),
IF($A143&lt;'PVC SCH80 Flange'!$A$49,VLOOKUP($A143,'PVC SCH80 Flange'!$A$8:$M$48,5,FALSE),
IF($A143&lt;'PVC SCH80 LD Flange'!$A$17,VLOOKUP($A143,'PVC SCH80 LD Flange'!$A$8:$M$16,5,FALSE),
IF($A143&lt;CPVC!$A$100,VLOOKUP($A143,CPVC!$A$8:$M$99,5,FALSE),
IF($A143&lt;InsertFittings!$A$237,VLOOKUP($A143,InsertFittings!$A$11:$M$236,5,FALSE),
IF($A143&lt;Valves!$A$132,VLOOKUP($A143,Valves!$A$8:$M$131,5,FALSE),
IF($A143&lt;SDR35SW!$A$124,VLOOKUP($A143,SDR35SW!$A$8:$M$123,5,FALSE),
IF($A143&lt;SDR35G!$A$143,VLOOKUP($A143, SDR35G!$A$8:$M$142,5,FALSE),
IF($A143&lt;SDR26G!$A$61,VLOOKUP($A143,SDR26G!$A$8:$N$60,5,FALSE),
IF($A143&lt;Cements!$A$100,VLOOKUP($A143,Cements!$A$8:$Q$99,5,FALSE),
IF($A143&lt;ValveBox!$A$143,VLOOKUP($A143,ValveBox!$A$10:$O$142,5,FALSE),
IF($A143&lt;'ValveBox Components'!$A$165,VLOOKUP($A143,'ValveBox Components'!$A$10:$O$164,5,FALSE),
IF($A143&lt;Drainage!$A$92,VLOOKUP($A143,Drainage!$A$8:$M$91,5,FALSE),
IF($A143&lt;Nipples!$A$82,VLOOKUP($A143,Nipples!$A$9:$Q$81,5,FALSE),
IF($A143&lt;Manifold!$A$33,VLOOKUP($A143,Manifold!$A$9:$M$32,5,FALSE),
IF($A143&lt;FlexibleRepairCouplings!$A$13,VLOOKUP($A143,FlexibleRepairCouplings!$A$10:$M$12,5,FALSE),
IF($A143&lt;DuraFix!$A$15,VLOOKUP($A143,DuraFix!$A$9:$M$14,5,FALSE),
IF($A143&lt;'Compression Fittings'!$A$16,VLOOKUP($A143,'Compression Fittings'!$A$8:$M$15,5,FALSE),
IF($A143&lt;'Hose Fittings'!$A$30,VLOOKUP($A143,'Hose Fittings'!$A$8:$M$29,5,FALSE),
IF($A143&lt;'Swing Joints'!$A$496,VLOOKUP($A143,'Swing Joints'!$A$9:$M$495,5,FALSE),
IF($A143&lt;'Swing Joints Components'!$A$135,VLOOKUP($A143,'Swing Joints Components'!$A$9:$M$134,5,FALSE),
IF($A143&lt;Nonstandard!$A$42,VLOOKUP($A143,Nonstandard!$A$31:$J$41,6,FALSE),"")))))))))))))))))))))))))))),"")</f>
        <v/>
      </c>
      <c r="D143" s="426" t="str">
        <f>IFERROR(IF($A143&lt;'DWV PVC'!$A$285,VLOOKUP($A143,'DWV PVC'!$A$8:$M$284,6,FALSE),
IF($A143&lt;'DWV ABS'!$A$117,VLOOKUP($A143,'DWV ABS'!$A$8:$M$116,6,FALSE),
IF($A143&lt;'PVC SCH40'!$A$376,VLOOKUP($A143,'PVC SCH40'!$A$8:$M$375,6,FALSE),
IF($A143&lt;'PVC SCH40 LD'!$A$22,VLOOKUP($A143,'PVC SCH40 LD'!$A$8:$M$21,6,FALSE),
IF($A143&lt;'Pool &amp; SPA Sweep Elbows'!$A$12,VLOOKUP($A143,'Pool &amp; SPA Sweep Elbows'!$A$8:$M$11,6,FALSE),
IF($A143&lt;'Pool &amp; SPA Pipe Extender'!$A$11,VLOOKUP($A143,'Pool &amp; SPA Pipe Extender'!$A$8:$M$10,6,FALSE),
IF($A143&lt;'PVC SCH80'!$A$250,VLOOKUP($A143,'PVC SCH80'!$A$8:$M$249,6,FALSE),
IF($A143&lt;'PVC SCH80 Flange'!$A$49,VLOOKUP($A143,'PVC SCH80 Flange'!$A$8:$M$48,6,FALSE),
IF($A143&lt;'PVC SCH80 LD Flange'!$A$17,VLOOKUP($A143,'PVC SCH80 LD Flange'!$A$8:$M$16,6,FALSE),
IF($A143&lt;CPVC!$A$100,VLOOKUP($A143,CPVC!$A$8:$M$99,6,FALSE),
IF($A143&lt;InsertFittings!$A$237,VLOOKUP($A143,InsertFittings!$A$11:$M$236,6,FALSE),
IF($A143&lt;Valves!$A$132,VLOOKUP($A143,Valves!$A$8:$M$131,6,FALSE),
IF($A143&lt;SDR35SW!$A$124,VLOOKUP($A143,SDR35SW!$A$8:$M$123,6,FALSE),
IF($A143&lt;SDR35G!$A$143,VLOOKUP($A143, SDR35G!$A$8:$M$142,6,FALSE),
IF($A143&lt;SDR26G!$A$61,VLOOKUP($A143,SDR26G!$A$8:$N$60,6,FALSE),
IF($A143&lt;Cements!$A$100,VLOOKUP($A143,Cements!$A$8:$Q$99,6,FALSE),
IF($A143&lt;ValveBox!$A$143,VLOOKUP($A143,ValveBox!$A$10:$O$142,6,FALSE),
IF($A143&lt;'ValveBox Components'!$A$165,VLOOKUP($A143,'ValveBox Components'!$A$10:$O$164,6,FALSE),
IF($A143&lt;Drainage!$A$92,VLOOKUP($A143,Drainage!$A$8:$M$91,6,FALSE),
IF($A143&lt;Nipples!$A$82,VLOOKUP($A143,Nipples!$A$9:$Q$81,6,FALSE),
IF($A143&lt;Manifold!$A$33,VLOOKUP($A143,Manifold!$A$9:$M$32,6,FALSE),
IF($A143&lt;FlexibleRepairCouplings!$A$13,VLOOKUP($A143,FlexibleRepairCouplings!$A$10:$M$12,6,FALSE),
IF($A143&lt;DuraFix!$A$15,VLOOKUP($A143,DuraFix!$A$9:$M$14,6,FALSE),
IF($A143&lt;'Compression Fittings'!$A$16,VLOOKUP($A143,'Compression Fittings'!$A$8:$M$15,6,FALSE),
IF($A143&lt;'Hose Fittings'!$A$30,VLOOKUP($A143,'Hose Fittings'!$A$8:$M$29,6,FALSE),
IF($A143&lt;'Swing Joints'!$A$496,VLOOKUP($A143,'Swing Joints'!$A$9:$M$495,6,FALSE),
IF($A143&lt;'Swing Joints Components'!$A$135,VLOOKUP($A143,'Swing Joints Components'!$A$9:$M$134,6,FALSE),
IF($A143&lt;Nonstandard!$A$42,VLOOKUP($A143,Nonstandard!$A$31:$J$41,7,FALSE),"")))))))))))))))))))))))))))),"")</f>
        <v/>
      </c>
      <c r="E143" s="427"/>
      <c r="F143" s="418" t="str">
        <f>IFERROR(IF($A143&lt;'DWV PVC'!$A$285,VLOOKUP($A143,'DWV PVC'!$A$8:$M$284,9,FALSE),
IF($A143&lt;'DWV ABS'!$A$117,VLOOKUP($A143,'DWV ABS'!$A$8:$M$116,9,FALSE),
IF($A143&lt;'PVC SCH40'!$A$376,VLOOKUP($A143,'PVC SCH40'!$A$8:$M$375,9,FALSE),
IF($A143&lt;'PVC SCH40 LD'!$A$22,VLOOKUP($A143,'PVC SCH40 LD'!$A$8:$M$21,9,FALSE),
IF($A143&lt;'Pool &amp; SPA Sweep Elbows'!$A$12,VLOOKUP($A143,'Pool &amp; SPA Sweep Elbows'!$A$8:$M$11,9,FALSE),
IF($A143&lt;'Pool &amp; SPA Pipe Extender'!$A$11,VLOOKUP($A143,'Pool &amp; SPA Pipe Extender'!$A$8:$M$10,9,FALSE),
IF($A143&lt;'PVC SCH80'!$A$250,VLOOKUP($A143,'PVC SCH80'!$A$8:$M$249,9,FALSE),
IF($A143&lt;'PVC SCH80 Flange'!$A$49,VLOOKUP($A143,'PVC SCH80 Flange'!$A$8:$M$48,9,FALSE),
IF($A143&lt;'PVC SCH80 LD Flange'!$A$17,VLOOKUP($A143,'PVC SCH80 LD Flange'!$A$8:$M$16,9,FALSE),
IF($A143&lt;CPVC!$A$100,VLOOKUP($A143,CPVC!$A$8:$M$99,9,FALSE),
IF($A143&lt;InsertFittings!$A$237,VLOOKUP($A143,InsertFittings!$A$11:$M$236,9,FALSE),
IF($A143&lt;Valves!$A$132,VLOOKUP($A143,Valves!$A$8:$M$131,9,FALSE),
IF($A143&lt;SDR35SW!$A$124,VLOOKUP($A143,SDR35SW!$A$8:$M$123,9,FALSE),
IF($A143&lt;SDR35G!$A$143,VLOOKUP($A143, SDR35G!$A$8:$M$142,9,FALSE),
IF($A143&lt;SDR26G!$A$61,VLOOKUP($A143,SDR26G!$A$8:$N$60,10,FALSE),
IF($A143&lt;Cements!$A$100,VLOOKUP($A143,Cements!$A$8:$Q$99,13,FALSE),
IF($A143&lt;ValveBox!$A$143,VLOOKUP($A143,ValveBox!$A$10:$O$142,11,FALSE),
IF($A143&lt;'ValveBox Components'!$A$165,VLOOKUP($A143,'ValveBox Components'!$A$10:$O$164,11,FALSE),
IF($A143&lt;Drainage!$A$92,VLOOKUP($A143,Drainage!$A$8:$M$91,9,FALSE),
IF($A143&lt;Nipples!$A$82,VLOOKUP($A143,Nipples!$A$9:$Q$81,13,FALSE),
IF($A143&lt;Manifold!$A$33,VLOOKUP($A143,Manifold!$A$9:$M$32,9,FALSE),
IF($A143&lt;FlexibleRepairCouplings!$A$13,VLOOKUP($A143,FlexibleRepairCouplings!$A$10:$M$12,9,FALSE),
IF($A143&lt;DuraFix!$A$15,VLOOKUP($A143,DuraFix!$A$9:$M$14,9,FALSE),
IF($A143&lt;'Compression Fittings'!$A$16,VLOOKUP($A143,'Compression Fittings'!$A$8:$M$15,9,FALSE),
IF($A143&lt;'Hose Fittings'!$A$30,VLOOKUP($A143,'Hose Fittings'!$A$8:$M$29,9,FALSE),
IF($A143&lt;'Swing Joints'!$A$496,VLOOKUP($A143,'Swing Joints'!$A$9:$M$495,9,FALSE),
IF($A143&lt;'Swing Joints Components'!$A$135,VLOOKUP($A143,'Swing Joints Components'!$A$9:$M$134,9,FALSE),
IF($A143&lt;Nonstandard!$A$42,VLOOKUP($A143,Nonstandard!$A$31:$J$41,8,FALSE),"")))))))))))))))))))))))))))),"")</f>
        <v/>
      </c>
      <c r="G143" s="416" t="str">
        <f>IFERROR(IF($A143&lt;'DWV PVC'!$A$285,VLOOKUP($A143,'DWV PVC'!$A$8:$M$284,11,FALSE),
IF($A143&lt;'DWV ABS'!$A$117,VLOOKUP($A143,'DWV ABS'!$A$8:$M$116,11,FALSE),
IF($A143&lt;'PVC SCH40'!$A$376,VLOOKUP($A143,'PVC SCH40'!$A$8:$M$375,11,FALSE),
IF($A143&lt;'PVC SCH40 LD'!$A$22,VLOOKUP($A143,'PVC SCH40 LD'!$A$8:$M$21,11,FALSE),
IF($A143&lt;'Pool &amp; SPA Sweep Elbows'!$A$12,VLOOKUP($A143,'Pool &amp; SPA Sweep Elbows'!$A$8:$M$11,11,FALSE),
IF($A143&lt;'Pool &amp; SPA Pipe Extender'!$A$11,VLOOKUP($A143,'Pool &amp; SPA Pipe Extender'!$A$8:$M$10,11,FALSE),
IF($A143&lt;'PVC SCH80'!$A$250,VLOOKUP($A143,'PVC SCH80'!$A$8:$M$249,11,FALSE),
IF($A143&lt;'PVC SCH80 Flange'!$A$49,VLOOKUP($A143,'PVC SCH80 Flange'!$A$8:$M$48,11,FALSE),
IF($A143&lt;'PVC SCH80 LD Flange'!$A$17,VLOOKUP($A143,'PVC SCH80 LD Flange'!$A$8:$M$16,11,FALSE),
IF($A143&lt;CPVC!$A$100,VLOOKUP($A143,CPVC!$A$8:$M$99,11,FALSE),
IF($A143&lt;InsertFittings!$A$237,VLOOKUP($A143,InsertFittings!$A$11:$M$236,11,FALSE),
IF($A143&lt;Valves!$A$132,VLOOKUP($A143,Valves!$A$8:$M$131,11,FALSE),
IF($A143&lt;SDR35SW!$A$124,VLOOKUP($A143,SDR35SW!$A$8:$M$123,11,FALSE),
IF($A143&lt;SDR35G!$A$143,VLOOKUP($A143, SDR35G!$A$8:$M$142,11,FALSE),
IF($A143&lt;SDR26G!$A$61,VLOOKUP($A143,SDR26G!$A$8:$N$60,12,FALSE),
IF($A143&lt;Cements!$A$100,VLOOKUP($A143,Cements!$A$8:$Q$99,15,FALSE),
IF($A143&lt;ValveBox!$A$143,VLOOKUP($A143,ValveBox!$A$10:$O$142,13,FALSE),
IF($A143&lt;'ValveBox Components'!$A$165,VLOOKUP($A143,'ValveBox Components'!$A$10:$O$164,13,FALSE),
IF($A143&lt;Drainage!$A$92,VLOOKUP($A143,Drainage!$A$8:$M$91,11,FALSE),
IF($A143&lt;Nipples!$A$82,VLOOKUP($A143,Nipples!$A$9:$Q$81,15,FALSE),
IF($A143&lt;Manifold!$A$33,VLOOKUP($A143,Manifold!$A$9:$M$32,11,FALSE),
IF($A143&lt;FlexibleRepairCouplings!$A$13,VLOOKUP($A143,FlexibleRepairCouplings!$A$10:$M$12,11,FALSE),
IF($A143&lt;DuraFix!$A$15,VLOOKUP($A143,DuraFix!$A$9:$M$14,11,FALSE),
IF($A143&lt;'Compression Fittings'!$A$16,VLOOKUP($A143,'Compression Fittings'!$A$8:$M$15,11,FALSE),
IF($A143&lt;'Hose Fittings'!$A$30,VLOOKUP($A143,'Hose Fittings'!$A$8:$M$29,11,FALSE),
IF($A143&lt;'Swing Joints'!$A$496,VLOOKUP($A143,'Swing Joints'!$A$9:$M$495,11,FALSE),
IF($A143&lt;'Swing Joints Components'!$A$135,VLOOKUP($A143,'Swing Joints Components'!$A$9:$M$134,11,FALSE),
IF($A143&lt;Nonstandard!$A$42,VLOOKUP($A143,Nonstandard!$A$31:$J$41,3,FALSE),"")))))))))))))))))))))))))))),"")</f>
        <v/>
      </c>
      <c r="H143" s="586" t="str">
        <f>IFERROR(IF($A143&lt;'DWV PVC'!$A$285,VLOOKUP($A143,'DWV PVC'!$A$8:$M$284,7,FALSE),
IF($A143&lt;'DWV ABS'!$A$117,VLOOKUP($A143,'DWV ABS'!$A$8:$M$116,7,FALSE),
IF($A143&lt;'PVC SCH40'!$A$376,VLOOKUP($A143,'PVC SCH40'!$A$8:$M$375,7,FALSE),
IF($A143&lt;'PVC SCH40 LD'!$A$22,VLOOKUP($A143,'PVC SCH40 LD'!$A$8:$M$21,7,FALSE),
IF($A143&lt;'Pool &amp; SPA Sweep Elbows'!$A$12,VLOOKUP($A143,'Pool &amp; SPA Sweep Elbows'!$A$8:$M$11,7,FALSE),
IF($A143&lt;'Pool &amp; SPA Pipe Extender'!$A$11,VLOOKUP($A143,'Pool &amp; SPA Pipe Extender'!$A$8:$M$10,7,FALSE),
IF($A143&lt;'PVC SCH80'!$A$250,VLOOKUP($A143,'PVC SCH80'!$A$8:$M$249,7,FALSE),
IF($A143&lt;'PVC SCH80 Flange'!$A$49,VLOOKUP($A143,'PVC SCH80 Flange'!$A$8:$M$48,7,FALSE),
IF($A143&lt;'PVC SCH80 LD Flange'!$A$17,VLOOKUP($A143,'PVC SCH80 LD Flange'!$A$8:$M$16,7,FALSE),
IF($A143&lt;CPVC!$A$100,VLOOKUP($A143,CPVC!$A$8:$M$99,7,FALSE),
IF($A143&lt;InsertFittings!$A$237,VLOOKUP($A143,InsertFittings!$A$11:$M$236,7,FALSE),
IF($A143&lt;Valves!$A$132,VLOOKUP($A143,Valves!$A$8:$M$131,7,FALSE),
IF($A143&lt;SDR35SW!$A$124,VLOOKUP($A143,SDR35SW!$A$8:$M$123,7,FALSE),
IF($A143&lt;SDR35G!$A$143,VLOOKUP($A143, SDR35G!$A$8:$M$142,7,FALSE),
IF($A143&lt;SDR26G!$A$61,VLOOKUP($A143,SDR26G!$A$8:$N$60,10,FALSE),
IF($A143&lt;Cements!$A$100,VLOOKUP($A143,Cements!$A$8:$Q$99,13,FALSE),
IF($A143&lt;ValveBox!$A$143,VLOOKUP($A143,ValveBox!$A$10:$O$142,11,FALSE),
IF($A143&lt;'ValveBox Components'!$A$165,VLOOKUP($A143,'ValveBox Components'!$A$10:$O$164,11,FALSE),
IF($A143&lt;Drainage!$A$92,VLOOKUP($A143,Drainage!$A$8:$M$91,7,FALSE),
IF($A143&lt;Nipples!$A$82,VLOOKUP($A143,Nipples!$A$9:$Q$81,13,FALSE),
IF($A143&lt;Manifold!$A$33,VLOOKUP($A143,Manifold!$A$9:$M$32,7,FALSE),
IF($A143&lt;FlexibleRepairCouplings!$A$13,VLOOKUP($A143,FlexibleRepairCouplings!$A$10:$M$12,7,FALSE),
IF($A143&lt;DuraFix!$A$15,VLOOKUP($A143,DuraFix!$A$9:$M$14,7,FALSE),
IF($A143&lt;'Compression Fittings'!$A$16,VLOOKUP($A143,'Compression Fittings'!$A$8:$M$15,7,FALSE),
IF($A143&lt;'Hose Fittings'!$A$30,VLOOKUP($A143,'Hose Fittings'!$A$8:$M$29,7,FALSE),
IF($A143&lt;'Swing Joints'!$A$496,VLOOKUP($A143,'Swing Joints'!$A$9:$M$495,7,FALSE),
IF($A143&lt;'Swing Joints Components'!$A$135,VLOOKUP($A143,'Swing Joints Components'!$A$9:$M$134,7,FALSE),
IF($A143&lt;Nonstandard!$A$42,VLOOKUP($A143,Nonstandard!$A$31:$J$41,3,FALSE),"")))))))))))))))))))))))))))),"")</f>
        <v/>
      </c>
      <c r="I143" s="587"/>
      <c r="J143" s="383" t="str">
        <f t="shared" si="3"/>
        <v/>
      </c>
      <c r="K143" s="417" t="str">
        <f>IFERROR(IF($A143&lt;'DWV PVC'!$A$285,VLOOKUP($A143,'DWV PVC'!$A$8:$M$284,10,FALSE),
IF($A143&lt;'DWV ABS'!$A$117,VLOOKUP($A143,'DWV ABS'!$A$8:$M$116,10,FALSE),
IF($A143&lt;'PVC SCH40'!$A$376,VLOOKUP($A143,'PVC SCH40'!$A$8:$M$375,10,FALSE),
IF($A143&lt;'PVC SCH40 LD'!$A$22,VLOOKUP($A143,'PVC SCH40 LD'!$A$8:$M$21,10,FALSE),
IF($A143&lt;'Pool &amp; SPA Sweep Elbows'!$A$12,VLOOKUP($A143,'Pool &amp; SPA Sweep Elbows'!$A$8:$M$11,10,FALSE),
IF($A143&lt;'Pool &amp; SPA Pipe Extender'!$A$11,VLOOKUP($A143,'Pool &amp; SPA Pipe Extender'!$A$8:$M$10,10,FALSE),
IF($A143&lt;'PVC SCH80'!$A$250,VLOOKUP($A143,'PVC SCH80'!$A$8:$M$249,10,FALSE),
IF($A143&lt;'PVC SCH80 Flange'!$A$49,VLOOKUP($A143,'PVC SCH80 Flange'!$A$8:$M$48,10,FALSE),
IF($A143&lt;'PVC SCH80 LD Flange'!$A$17,VLOOKUP($A143,'PVC SCH80 LD Flange'!$A$8:$M$16,10,FALSE),
IF($A143&lt;CPVC!$A$100,VLOOKUP($A143,CPVC!$A$8:$M$99,10,FALSE),
IF($A143&lt;InsertFittings!$A$237,VLOOKUP($A143,InsertFittings!$A$11:$M$236,10,FALSE),
IF($A143&lt;Valves!$A$132,VLOOKUP($A143,Valves!$A$8:$M$131,10,FALSE),
IF($A143&lt;SDR35SW!$A$124,VLOOKUP($A143,SDR35SW!$A$8:$M$123,10,FALSE),
IF($A143&lt;SDR35G!$A$143,VLOOKUP($A143, SDR35G!$A$8:$M$142,10,FALSE),
IF($A143&lt;SDR26G!$A$61,VLOOKUP($A143,SDR26G!$A$8:$N$60,11,FALSE),
IF($A143&lt;Cements!$A$100,VLOOKUP($A143,Cements!$A$8:$Q$99,14,FALSE),
IF($A143&lt;ValveBox!$A$143,VLOOKUP($A143,ValveBox!$A$10:$O$142,12,FALSE),
IF($A143&lt;'ValveBox Components'!$A$165,VLOOKUP($A143,'ValveBox Components'!$A$10:$O$164,12,FALSE),
IF($A143&lt;Drainage!$A$92,VLOOKUP($A143,Drainage!$A$8:$M$91,10,FALSE),
IF($A143&lt;Nipples!$A$82,VLOOKUP($A143,Nipples!$A$9:$Q$81,14,FALSE),
IF($A143&lt;Manifold!$A$33,VLOOKUP($A143,Manifold!$A$9:$M$32,10,FALSE),
IF($A143&lt;FlexibleRepairCouplings!$A$13,VLOOKUP($A143,FlexibleRepairCouplings!$A$10:$M$12,10,FALSE),
IF($A143&lt;DuraFix!$A$15,VLOOKUP($A143,DuraFix!$A$9:$M$14,10,FALSE),
IF($A143&lt;'Compression Fittings'!$A$16,VLOOKUP($A143,'Compression Fittings'!$A$8:$M$15,10,FALSE),
IF($A143&lt;'Hose Fittings'!$A$30,VLOOKUP($A143,'Hose Fittings'!$A$8:$M$29,10,FALSE),
IF($A143&lt;'Swing Joints'!$A$496,VLOOKUP($A143,'Swing Joints'!$A$9:$M$495,10,FALSE),
IF($A143&lt;'Swing Joints Components'!$A$135,VLOOKUP($A143,'Swing Joints Components'!$A$9:$M$134,10,FALSE),
IF($A143&lt;Nonstandard!$A$42,VLOOKUP($A143,Nonstandard!$A$31:$J$41,10,FALSE),"")))))))))))))))))))))))))))),"")</f>
        <v/>
      </c>
      <c r="L143" s="418" t="str">
        <f t="shared" si="2"/>
        <v>-</v>
      </c>
      <c r="M143" s="419"/>
    </row>
    <row r="144" spans="1:13" ht="15.75">
      <c r="A144" s="420">
        <v>112</v>
      </c>
      <c r="B144" s="420" t="str">
        <f>IFERROR(IF($A144&lt;'DWV PVC'!$A$285,VLOOKUP($A144,'DWV PVC'!$A$8:$M$284,4,FALSE),
IF($A144&lt;'DWV ABS'!$A$117,VLOOKUP($A144,'DWV ABS'!$A$8:$M$116,4,FALSE),
IF($A144&lt;'PVC SCH40'!$A$376,VLOOKUP($A144,'PVC SCH40'!$A$8:$M$375,4,FALSE),
IF($A144&lt;'PVC SCH40 LD'!$A$22,VLOOKUP($A144,'PVC SCH40 LD'!$A$8:$M$21,4,FALSE),
IF($A144&lt;'Pool &amp; SPA Sweep Elbows'!$A$12,VLOOKUP($A144,'Pool &amp; SPA Sweep Elbows'!$A$8:$M$11,4,FALSE),
IF($A144&lt;'Pool &amp; SPA Pipe Extender'!$A$11,VLOOKUP($A144,'Pool &amp; SPA Pipe Extender'!$A$8:$M$10,4,FALSE),
IF($A144&lt;'PVC SCH80'!$A$250,VLOOKUP($A144,'PVC SCH80'!$A$8:$M$249,4,FALSE),
IF($A144&lt;'PVC SCH80 Flange'!$A$49,VLOOKUP($A144,'PVC SCH80 Flange'!$A$8:$M$48,4,FALSE),
IF($A144&lt;'PVC SCH80 LD Flange'!$A$17,VLOOKUP($A144,'PVC SCH80 LD Flange'!$A$8:$M$16,4,FALSE),
IF($A144&lt;CPVC!$A$100,VLOOKUP($A144,CPVC!$A$8:$M$99,4,FALSE),
IF($A144&lt;InsertFittings!$A$237,VLOOKUP($A144,InsertFittings!$A$11:$M$236,4,FALSE),
IF($A144&lt;Valves!$A$132,VLOOKUP($A144,Valves!$A$8:$M$131,4,FALSE),
IF($A144&lt;SDR35SW!$A$124,VLOOKUP($A144,SDR35SW!$A$8:$M$123,4,FALSE),
IF($A144&lt;SDR35G!$A$143,VLOOKUP($A144, SDR35G!$A$8:$M$142,4,FALSE),
IF($A144&lt;SDR26G!$A$61,VLOOKUP($A144,SDR26G!$A$8:$N$60,4,FALSE),
IF($A144&lt;Cements!$A$100,VLOOKUP($A144,Cements!$A$8:$Q$99,4,FALSE),
IF($A144&lt;ValveBox!$A$143,VLOOKUP($A144,ValveBox!$A$10:$O$142,4,FALSE),
IF($A144&lt;'ValveBox Components'!$A$165,VLOOKUP($A144,'ValveBox Components'!$A$10:$O$164,4,FALSE),
IF($A144&lt;Drainage!$A$92,VLOOKUP($A144,Drainage!$A$8:$M$91,4,FALSE),
IF($A144&lt;Nipples!$A$82,VLOOKUP($A144,Nipples!$A$9:$Q$81,4,FALSE),
IF($A144&lt;Manifold!$A$33,VLOOKUP($A144,Manifold!$A$9:$M$32,4,FALSE),
IF($A144&lt;FlexibleRepairCouplings!$A$13,VLOOKUP($A144,FlexibleRepairCouplings!$A$10:$M$12,4,FALSE),
IF($A144&lt;DuraFix!$A$15,VLOOKUP($A144,DuraFix!$A$9:$M$14,4,FALSE),
IF($A144&lt;'Compression Fittings'!$A$16,VLOOKUP($A144,'Compression Fittings'!$A$8:$M$15,4,FALSE),
IF($A144&lt;'Hose Fittings'!$A$30,VLOOKUP($A144,'Hose Fittings'!$A$8:$M$29,4,FALSE),
IF($A144&lt;'Swing Joints'!$A$496,VLOOKUP($A144,'Swing Joints'!$A$9:$M$495,4,FALSE),
IF($A144&lt;'Swing Joints Components'!$A$135,VLOOKUP($A144,'Swing Joints Components'!$A$9:$M$134,4,FALSE),
IF($A144&lt;Nonstandard!$A$42,VLOOKUP($A144,Nonstandard!$A$31:$J$41,5,FALSE),"")))))))))))))))))))))))))))),"")</f>
        <v/>
      </c>
      <c r="C144" s="420" t="str">
        <f>IFERROR(IF($A144&lt;'DWV PVC'!$A$285,VLOOKUP($A144,'DWV PVC'!$A$8:$M$284,5,FALSE),
IF($A144&lt;'DWV ABS'!$A$117,VLOOKUP($A144,'DWV ABS'!$A$8:$M$116,5,FALSE),
IF($A144&lt;'PVC SCH40'!$A$376,VLOOKUP($A144,'PVC SCH40'!$A$8:$M$375,5,FALSE),
IF($A144&lt;'PVC SCH40 LD'!$A$22,VLOOKUP($A144,'PVC SCH40 LD'!$A$8:$M$21,5,FALSE),
IF($A144&lt;'Pool &amp; SPA Sweep Elbows'!$A$12,VLOOKUP($A144,'Pool &amp; SPA Sweep Elbows'!$A$8:$M$11,5,FALSE),
IF($A144&lt;'Pool &amp; SPA Pipe Extender'!$A$11,VLOOKUP($A144,'Pool &amp; SPA Pipe Extender'!$A$8:$M$10,5,FALSE),
IF($A144&lt;'PVC SCH80'!$A$250,VLOOKUP($A144,'PVC SCH80'!$A$8:$M$249,5,FALSE),
IF($A144&lt;'PVC SCH80 Flange'!$A$49,VLOOKUP($A144,'PVC SCH80 Flange'!$A$8:$M$48,5,FALSE),
IF($A144&lt;'PVC SCH80 LD Flange'!$A$17,VLOOKUP($A144,'PVC SCH80 LD Flange'!$A$8:$M$16,5,FALSE),
IF($A144&lt;CPVC!$A$100,VLOOKUP($A144,CPVC!$A$8:$M$99,5,FALSE),
IF($A144&lt;InsertFittings!$A$237,VLOOKUP($A144,InsertFittings!$A$11:$M$236,5,FALSE),
IF($A144&lt;Valves!$A$132,VLOOKUP($A144,Valves!$A$8:$M$131,5,FALSE),
IF($A144&lt;SDR35SW!$A$124,VLOOKUP($A144,SDR35SW!$A$8:$M$123,5,FALSE),
IF($A144&lt;SDR35G!$A$143,VLOOKUP($A144, SDR35G!$A$8:$M$142,5,FALSE),
IF($A144&lt;SDR26G!$A$61,VLOOKUP($A144,SDR26G!$A$8:$N$60,5,FALSE),
IF($A144&lt;Cements!$A$100,VLOOKUP($A144,Cements!$A$8:$Q$99,5,FALSE),
IF($A144&lt;ValveBox!$A$143,VLOOKUP($A144,ValveBox!$A$10:$O$142,5,FALSE),
IF($A144&lt;'ValveBox Components'!$A$165,VLOOKUP($A144,'ValveBox Components'!$A$10:$O$164,5,FALSE),
IF($A144&lt;Drainage!$A$92,VLOOKUP($A144,Drainage!$A$8:$M$91,5,FALSE),
IF($A144&lt;Nipples!$A$82,VLOOKUP($A144,Nipples!$A$9:$Q$81,5,FALSE),
IF($A144&lt;Manifold!$A$33,VLOOKUP($A144,Manifold!$A$9:$M$32,5,FALSE),
IF($A144&lt;FlexibleRepairCouplings!$A$13,VLOOKUP($A144,FlexibleRepairCouplings!$A$10:$M$12,5,FALSE),
IF($A144&lt;DuraFix!$A$15,VLOOKUP($A144,DuraFix!$A$9:$M$14,5,FALSE),
IF($A144&lt;'Compression Fittings'!$A$16,VLOOKUP($A144,'Compression Fittings'!$A$8:$M$15,5,FALSE),
IF($A144&lt;'Hose Fittings'!$A$30,VLOOKUP($A144,'Hose Fittings'!$A$8:$M$29,5,FALSE),
IF($A144&lt;'Swing Joints'!$A$496,VLOOKUP($A144,'Swing Joints'!$A$9:$M$495,5,FALSE),
IF($A144&lt;'Swing Joints Components'!$A$135,VLOOKUP($A144,'Swing Joints Components'!$A$9:$M$134,5,FALSE),
IF($A144&lt;Nonstandard!$A$42,VLOOKUP($A144,Nonstandard!$A$31:$J$41,6,FALSE),"")))))))))))))))))))))))))))),"")</f>
        <v/>
      </c>
      <c r="D144" s="428" t="str">
        <f>IFERROR(IF($A144&lt;'DWV PVC'!$A$285,VLOOKUP($A144,'DWV PVC'!$A$8:$M$284,6,FALSE),
IF($A144&lt;'DWV ABS'!$A$117,VLOOKUP($A144,'DWV ABS'!$A$8:$M$116,6,FALSE),
IF($A144&lt;'PVC SCH40'!$A$376,VLOOKUP($A144,'PVC SCH40'!$A$8:$M$375,6,FALSE),
IF($A144&lt;'PVC SCH40 LD'!$A$22,VLOOKUP($A144,'PVC SCH40 LD'!$A$8:$M$21,6,FALSE),
IF($A144&lt;'Pool &amp; SPA Sweep Elbows'!$A$12,VLOOKUP($A144,'Pool &amp; SPA Sweep Elbows'!$A$8:$M$11,6,FALSE),
IF($A144&lt;'Pool &amp; SPA Pipe Extender'!$A$11,VLOOKUP($A144,'Pool &amp; SPA Pipe Extender'!$A$8:$M$10,6,FALSE),
IF($A144&lt;'PVC SCH80'!$A$250,VLOOKUP($A144,'PVC SCH80'!$A$8:$M$249,6,FALSE),
IF($A144&lt;'PVC SCH80 Flange'!$A$49,VLOOKUP($A144,'PVC SCH80 Flange'!$A$8:$M$48,6,FALSE),
IF($A144&lt;'PVC SCH80 LD Flange'!$A$17,VLOOKUP($A144,'PVC SCH80 LD Flange'!$A$8:$M$16,6,FALSE),
IF($A144&lt;CPVC!$A$100,VLOOKUP($A144,CPVC!$A$8:$M$99,6,FALSE),
IF($A144&lt;InsertFittings!$A$237,VLOOKUP($A144,InsertFittings!$A$11:$M$236,6,FALSE),
IF($A144&lt;Valves!$A$132,VLOOKUP($A144,Valves!$A$8:$M$131,6,FALSE),
IF($A144&lt;SDR35SW!$A$124,VLOOKUP($A144,SDR35SW!$A$8:$M$123,6,FALSE),
IF($A144&lt;SDR35G!$A$143,VLOOKUP($A144, SDR35G!$A$8:$M$142,6,FALSE),
IF($A144&lt;SDR26G!$A$61,VLOOKUP($A144,SDR26G!$A$8:$N$60,6,FALSE),
IF($A144&lt;Cements!$A$100,VLOOKUP($A144,Cements!$A$8:$Q$99,6,FALSE),
IF($A144&lt;ValveBox!$A$143,VLOOKUP($A144,ValveBox!$A$10:$O$142,6,FALSE),
IF($A144&lt;'ValveBox Components'!$A$165,VLOOKUP($A144,'ValveBox Components'!$A$10:$O$164,6,FALSE),
IF($A144&lt;Drainage!$A$92,VLOOKUP($A144,Drainage!$A$8:$M$91,6,FALSE),
IF($A144&lt;Nipples!$A$82,VLOOKUP($A144,Nipples!$A$9:$Q$81,6,FALSE),
IF($A144&lt;Manifold!$A$33,VLOOKUP($A144,Manifold!$A$9:$M$32,6,FALSE),
IF($A144&lt;FlexibleRepairCouplings!$A$13,VLOOKUP($A144,FlexibleRepairCouplings!$A$10:$M$12,6,FALSE),
IF($A144&lt;DuraFix!$A$15,VLOOKUP($A144,DuraFix!$A$9:$M$14,6,FALSE),
IF($A144&lt;'Compression Fittings'!$A$16,VLOOKUP($A144,'Compression Fittings'!$A$8:$M$15,6,FALSE),
IF($A144&lt;'Hose Fittings'!$A$30,VLOOKUP($A144,'Hose Fittings'!$A$8:$M$29,6,FALSE),
IF($A144&lt;'Swing Joints'!$A$496,VLOOKUP($A144,'Swing Joints'!$A$9:$M$495,6,FALSE),
IF($A144&lt;'Swing Joints Components'!$A$135,VLOOKUP($A144,'Swing Joints Components'!$A$9:$M$134,6,FALSE),
IF($A144&lt;Nonstandard!$A$42,VLOOKUP($A144,Nonstandard!$A$31:$J$41,7,FALSE),"")))))))))))))))))))))))))))),"")</f>
        <v/>
      </c>
      <c r="E144" s="429"/>
      <c r="F144" s="421" t="str">
        <f>IFERROR(IF($A144&lt;'DWV PVC'!$A$285,VLOOKUP($A144,'DWV PVC'!$A$8:$M$284,9,FALSE),
IF($A144&lt;'DWV ABS'!$A$117,VLOOKUP($A144,'DWV ABS'!$A$8:$M$116,9,FALSE),
IF($A144&lt;'PVC SCH40'!$A$376,VLOOKUP($A144,'PVC SCH40'!$A$8:$M$375,9,FALSE),
IF($A144&lt;'PVC SCH40 LD'!$A$22,VLOOKUP($A144,'PVC SCH40 LD'!$A$8:$M$21,9,FALSE),
IF($A144&lt;'Pool &amp; SPA Sweep Elbows'!$A$12,VLOOKUP($A144,'Pool &amp; SPA Sweep Elbows'!$A$8:$M$11,9,FALSE),
IF($A144&lt;'Pool &amp; SPA Pipe Extender'!$A$11,VLOOKUP($A144,'Pool &amp; SPA Pipe Extender'!$A$8:$M$10,9,FALSE),
IF($A144&lt;'PVC SCH80'!$A$250,VLOOKUP($A144,'PVC SCH80'!$A$8:$M$249,9,FALSE),
IF($A144&lt;'PVC SCH80 Flange'!$A$49,VLOOKUP($A144,'PVC SCH80 Flange'!$A$8:$M$48,9,FALSE),
IF($A144&lt;'PVC SCH80 LD Flange'!$A$17,VLOOKUP($A144,'PVC SCH80 LD Flange'!$A$8:$M$16,9,FALSE),
IF($A144&lt;CPVC!$A$100,VLOOKUP($A144,CPVC!$A$8:$M$99,9,FALSE),
IF($A144&lt;InsertFittings!$A$237,VLOOKUP($A144,InsertFittings!$A$11:$M$236,9,FALSE),
IF($A144&lt;Valves!$A$132,VLOOKUP($A144,Valves!$A$8:$M$131,9,FALSE),
IF($A144&lt;SDR35SW!$A$124,VLOOKUP($A144,SDR35SW!$A$8:$M$123,9,FALSE),
IF($A144&lt;SDR35G!$A$143,VLOOKUP($A144, SDR35G!$A$8:$M$142,9,FALSE),
IF($A144&lt;SDR26G!$A$61,VLOOKUP($A144,SDR26G!$A$8:$N$60,10,FALSE),
IF($A144&lt;Cements!$A$100,VLOOKUP($A144,Cements!$A$8:$Q$99,13,FALSE),
IF($A144&lt;ValveBox!$A$143,VLOOKUP($A144,ValveBox!$A$10:$O$142,11,FALSE),
IF($A144&lt;'ValveBox Components'!$A$165,VLOOKUP($A144,'ValveBox Components'!$A$10:$O$164,11,FALSE),
IF($A144&lt;Drainage!$A$92,VLOOKUP($A144,Drainage!$A$8:$M$91,9,FALSE),
IF($A144&lt;Nipples!$A$82,VLOOKUP($A144,Nipples!$A$9:$Q$81,13,FALSE),
IF($A144&lt;Manifold!$A$33,VLOOKUP($A144,Manifold!$A$9:$M$32,9,FALSE),
IF($A144&lt;FlexibleRepairCouplings!$A$13,VLOOKUP($A144,FlexibleRepairCouplings!$A$10:$M$12,9,FALSE),
IF($A144&lt;DuraFix!$A$15,VLOOKUP($A144,DuraFix!$A$9:$M$14,9,FALSE),
IF($A144&lt;'Compression Fittings'!$A$16,VLOOKUP($A144,'Compression Fittings'!$A$8:$M$15,9,FALSE),
IF($A144&lt;'Hose Fittings'!$A$30,VLOOKUP($A144,'Hose Fittings'!$A$8:$M$29,9,FALSE),
IF($A144&lt;'Swing Joints'!$A$496,VLOOKUP($A144,'Swing Joints'!$A$9:$M$495,9,FALSE),
IF($A144&lt;'Swing Joints Components'!$A$135,VLOOKUP($A144,'Swing Joints Components'!$A$9:$M$134,9,FALSE),
IF($A144&lt;Nonstandard!$A$42,VLOOKUP($A144,Nonstandard!$A$31:$J$41,8,FALSE),"")))))))))))))))))))))))))))),"")</f>
        <v/>
      </c>
      <c r="G144" s="422" t="str">
        <f>IFERROR(IF($A144&lt;'DWV PVC'!$A$285,VLOOKUP($A144,'DWV PVC'!$A$8:$M$284,11,FALSE),
IF($A144&lt;'DWV ABS'!$A$117,VLOOKUP($A144,'DWV ABS'!$A$8:$M$116,11,FALSE),
IF($A144&lt;'PVC SCH40'!$A$376,VLOOKUP($A144,'PVC SCH40'!$A$8:$M$375,11,FALSE),
IF($A144&lt;'PVC SCH40 LD'!$A$22,VLOOKUP($A144,'PVC SCH40 LD'!$A$8:$M$21,11,FALSE),
IF($A144&lt;'Pool &amp; SPA Sweep Elbows'!$A$12,VLOOKUP($A144,'Pool &amp; SPA Sweep Elbows'!$A$8:$M$11,11,FALSE),
IF($A144&lt;'Pool &amp; SPA Pipe Extender'!$A$11,VLOOKUP($A144,'Pool &amp; SPA Pipe Extender'!$A$8:$M$10,11,FALSE),
IF($A144&lt;'PVC SCH80'!$A$250,VLOOKUP($A144,'PVC SCH80'!$A$8:$M$249,11,FALSE),
IF($A144&lt;'PVC SCH80 Flange'!$A$49,VLOOKUP($A144,'PVC SCH80 Flange'!$A$8:$M$48,11,FALSE),
IF($A144&lt;'PVC SCH80 LD Flange'!$A$17,VLOOKUP($A144,'PVC SCH80 LD Flange'!$A$8:$M$16,11,FALSE),
IF($A144&lt;CPVC!$A$100,VLOOKUP($A144,CPVC!$A$8:$M$99,11,FALSE),
IF($A144&lt;InsertFittings!$A$237,VLOOKUP($A144,InsertFittings!$A$11:$M$236,11,FALSE),
IF($A144&lt;Valves!$A$132,VLOOKUP($A144,Valves!$A$8:$M$131,11,FALSE),
IF($A144&lt;SDR35SW!$A$124,VLOOKUP($A144,SDR35SW!$A$8:$M$123,11,FALSE),
IF($A144&lt;SDR35G!$A$143,VLOOKUP($A144, SDR35G!$A$8:$M$142,11,FALSE),
IF($A144&lt;SDR26G!$A$61,VLOOKUP($A144,SDR26G!$A$8:$N$60,12,FALSE),
IF($A144&lt;Cements!$A$100,VLOOKUP($A144,Cements!$A$8:$Q$99,15,FALSE),
IF($A144&lt;ValveBox!$A$143,VLOOKUP($A144,ValveBox!$A$10:$O$142,13,FALSE),
IF($A144&lt;'ValveBox Components'!$A$165,VLOOKUP($A144,'ValveBox Components'!$A$10:$O$164,13,FALSE),
IF($A144&lt;Drainage!$A$92,VLOOKUP($A144,Drainage!$A$8:$M$91,11,FALSE),
IF($A144&lt;Nipples!$A$82,VLOOKUP($A144,Nipples!$A$9:$Q$81,15,FALSE),
IF($A144&lt;Manifold!$A$33,VLOOKUP($A144,Manifold!$A$9:$M$32,11,FALSE),
IF($A144&lt;FlexibleRepairCouplings!$A$13,VLOOKUP($A144,FlexibleRepairCouplings!$A$10:$M$12,11,FALSE),
IF($A144&lt;DuraFix!$A$15,VLOOKUP($A144,DuraFix!$A$9:$M$14,11,FALSE),
IF($A144&lt;'Compression Fittings'!$A$16,VLOOKUP($A144,'Compression Fittings'!$A$8:$M$15,11,FALSE),
IF($A144&lt;'Hose Fittings'!$A$30,VLOOKUP($A144,'Hose Fittings'!$A$8:$M$29,11,FALSE),
IF($A144&lt;'Swing Joints'!$A$496,VLOOKUP($A144,'Swing Joints'!$A$9:$M$495,11,FALSE),
IF($A144&lt;'Swing Joints Components'!$A$135,VLOOKUP($A144,'Swing Joints Components'!$A$9:$M$134,11,FALSE),
IF($A144&lt;Nonstandard!$A$42,VLOOKUP($A144,Nonstandard!$A$31:$J$41,3,FALSE),"")))))))))))))))))))))))))))),"")</f>
        <v/>
      </c>
      <c r="H144" s="588" t="str">
        <f>IFERROR(IF($A144&lt;'DWV PVC'!$A$285,VLOOKUP($A144,'DWV PVC'!$A$8:$M$284,7,FALSE),
IF($A144&lt;'DWV ABS'!$A$117,VLOOKUP($A144,'DWV ABS'!$A$8:$M$116,7,FALSE),
IF($A144&lt;'PVC SCH40'!$A$376,VLOOKUP($A144,'PVC SCH40'!$A$8:$M$375,7,FALSE),
IF($A144&lt;'PVC SCH40 LD'!$A$22,VLOOKUP($A144,'PVC SCH40 LD'!$A$8:$M$21,7,FALSE),
IF($A144&lt;'Pool &amp; SPA Sweep Elbows'!$A$12,VLOOKUP($A144,'Pool &amp; SPA Sweep Elbows'!$A$8:$M$11,7,FALSE),
IF($A144&lt;'Pool &amp; SPA Pipe Extender'!$A$11,VLOOKUP($A144,'Pool &amp; SPA Pipe Extender'!$A$8:$M$10,7,FALSE),
IF($A144&lt;'PVC SCH80'!$A$250,VLOOKUP($A144,'PVC SCH80'!$A$8:$M$249,7,FALSE),
IF($A144&lt;'PVC SCH80 Flange'!$A$49,VLOOKUP($A144,'PVC SCH80 Flange'!$A$8:$M$48,7,FALSE),
IF($A144&lt;'PVC SCH80 LD Flange'!$A$17,VLOOKUP($A144,'PVC SCH80 LD Flange'!$A$8:$M$16,7,FALSE),
IF($A144&lt;CPVC!$A$100,VLOOKUP($A144,CPVC!$A$8:$M$99,7,FALSE),
IF($A144&lt;InsertFittings!$A$237,VLOOKUP($A144,InsertFittings!$A$11:$M$236,7,FALSE),
IF($A144&lt;Valves!$A$132,VLOOKUP($A144,Valves!$A$8:$M$131,7,FALSE),
IF($A144&lt;SDR35SW!$A$124,VLOOKUP($A144,SDR35SW!$A$8:$M$123,7,FALSE),
IF($A144&lt;SDR35G!$A$143,VLOOKUP($A144, SDR35G!$A$8:$M$142,7,FALSE),
IF($A144&lt;SDR26G!$A$61,VLOOKUP($A144,SDR26G!$A$8:$N$60,10,FALSE),
IF($A144&lt;Cements!$A$100,VLOOKUP($A144,Cements!$A$8:$Q$99,13,FALSE),
IF($A144&lt;ValveBox!$A$143,VLOOKUP($A144,ValveBox!$A$10:$O$142,11,FALSE),
IF($A144&lt;'ValveBox Components'!$A$165,VLOOKUP($A144,'ValveBox Components'!$A$10:$O$164,11,FALSE),
IF($A144&lt;Drainage!$A$92,VLOOKUP($A144,Drainage!$A$8:$M$91,7,FALSE),
IF($A144&lt;Nipples!$A$82,VLOOKUP($A144,Nipples!$A$9:$Q$81,13,FALSE),
IF($A144&lt;Manifold!$A$33,VLOOKUP($A144,Manifold!$A$9:$M$32,7,FALSE),
IF($A144&lt;FlexibleRepairCouplings!$A$13,VLOOKUP($A144,FlexibleRepairCouplings!$A$10:$M$12,7,FALSE),
IF($A144&lt;DuraFix!$A$15,VLOOKUP($A144,DuraFix!$A$9:$M$14,7,FALSE),
IF($A144&lt;'Compression Fittings'!$A$16,VLOOKUP($A144,'Compression Fittings'!$A$8:$M$15,7,FALSE),
IF($A144&lt;'Hose Fittings'!$A$30,VLOOKUP($A144,'Hose Fittings'!$A$8:$M$29,7,FALSE),
IF($A144&lt;'Swing Joints'!$A$496,VLOOKUP($A144,'Swing Joints'!$A$9:$M$495,7,FALSE),
IF($A144&lt;'Swing Joints Components'!$A$135,VLOOKUP($A144,'Swing Joints Components'!$A$9:$M$134,7,FALSE),
IF($A144&lt;Nonstandard!$A$42,VLOOKUP($A144,Nonstandard!$A$31:$J$41,3,FALSE),"")))))))))))))))))))))))))))),"")</f>
        <v/>
      </c>
      <c r="I144" s="589"/>
      <c r="J144" s="423" t="str">
        <f t="shared" si="3"/>
        <v/>
      </c>
      <c r="K144" s="424" t="str">
        <f>IFERROR(IF($A144&lt;'DWV PVC'!$A$285,VLOOKUP($A144,'DWV PVC'!$A$8:$M$284,10,FALSE),
IF($A144&lt;'DWV ABS'!$A$117,VLOOKUP($A144,'DWV ABS'!$A$8:$M$116,10,FALSE),
IF($A144&lt;'PVC SCH40'!$A$376,VLOOKUP($A144,'PVC SCH40'!$A$8:$M$375,10,FALSE),
IF($A144&lt;'PVC SCH40 LD'!$A$22,VLOOKUP($A144,'PVC SCH40 LD'!$A$8:$M$21,10,FALSE),
IF($A144&lt;'Pool &amp; SPA Sweep Elbows'!$A$12,VLOOKUP($A144,'Pool &amp; SPA Sweep Elbows'!$A$8:$M$11,10,FALSE),
IF($A144&lt;'Pool &amp; SPA Pipe Extender'!$A$11,VLOOKUP($A144,'Pool &amp; SPA Pipe Extender'!$A$8:$M$10,10,FALSE),
IF($A144&lt;'PVC SCH80'!$A$250,VLOOKUP($A144,'PVC SCH80'!$A$8:$M$249,10,FALSE),
IF($A144&lt;'PVC SCH80 Flange'!$A$49,VLOOKUP($A144,'PVC SCH80 Flange'!$A$8:$M$48,10,FALSE),
IF($A144&lt;'PVC SCH80 LD Flange'!$A$17,VLOOKUP($A144,'PVC SCH80 LD Flange'!$A$8:$M$16,10,FALSE),
IF($A144&lt;CPVC!$A$100,VLOOKUP($A144,CPVC!$A$8:$M$99,10,FALSE),
IF($A144&lt;InsertFittings!$A$237,VLOOKUP($A144,InsertFittings!$A$11:$M$236,10,FALSE),
IF($A144&lt;Valves!$A$132,VLOOKUP($A144,Valves!$A$8:$M$131,10,FALSE),
IF($A144&lt;SDR35SW!$A$124,VLOOKUP($A144,SDR35SW!$A$8:$M$123,10,FALSE),
IF($A144&lt;SDR35G!$A$143,VLOOKUP($A144, SDR35G!$A$8:$M$142,10,FALSE),
IF($A144&lt;SDR26G!$A$61,VLOOKUP($A144,SDR26G!$A$8:$N$60,11,FALSE),
IF($A144&lt;Cements!$A$100,VLOOKUP($A144,Cements!$A$8:$Q$99,14,FALSE),
IF($A144&lt;ValveBox!$A$143,VLOOKUP($A144,ValveBox!$A$10:$O$142,12,FALSE),
IF($A144&lt;'ValveBox Components'!$A$165,VLOOKUP($A144,'ValveBox Components'!$A$10:$O$164,12,FALSE),
IF($A144&lt;Drainage!$A$92,VLOOKUP($A144,Drainage!$A$8:$M$91,10,FALSE),
IF($A144&lt;Nipples!$A$82,VLOOKUP($A144,Nipples!$A$9:$Q$81,14,FALSE),
IF($A144&lt;Manifold!$A$33,VLOOKUP($A144,Manifold!$A$9:$M$32,10,FALSE),
IF($A144&lt;FlexibleRepairCouplings!$A$13,VLOOKUP($A144,FlexibleRepairCouplings!$A$10:$M$12,10,FALSE),
IF($A144&lt;DuraFix!$A$15,VLOOKUP($A144,DuraFix!$A$9:$M$14,10,FALSE),
IF($A144&lt;'Compression Fittings'!$A$16,VLOOKUP($A144,'Compression Fittings'!$A$8:$M$15,10,FALSE),
IF($A144&lt;'Hose Fittings'!$A$30,VLOOKUP($A144,'Hose Fittings'!$A$8:$M$29,10,FALSE),
IF($A144&lt;'Swing Joints'!$A$496,VLOOKUP($A144,'Swing Joints'!$A$9:$M$495,10,FALSE),
IF($A144&lt;'Swing Joints Components'!$A$135,VLOOKUP($A144,'Swing Joints Components'!$A$9:$M$134,10,FALSE),
IF($A144&lt;Nonstandard!$A$42,VLOOKUP($A144,Nonstandard!$A$31:$J$41,10,FALSE),"")))))))))))))))))))))))))))),"")</f>
        <v/>
      </c>
      <c r="L144" s="421" t="str">
        <f t="shared" si="2"/>
        <v>-</v>
      </c>
      <c r="M144" s="425"/>
    </row>
    <row r="145" spans="1:13" ht="15.75">
      <c r="A145" s="415">
        <v>113</v>
      </c>
      <c r="B145" s="415" t="str">
        <f>IFERROR(IF($A145&lt;'DWV PVC'!$A$285,VLOOKUP($A145,'DWV PVC'!$A$8:$M$284,4,FALSE),
IF($A145&lt;'DWV ABS'!$A$117,VLOOKUP($A145,'DWV ABS'!$A$8:$M$116,4,FALSE),
IF($A145&lt;'PVC SCH40'!$A$376,VLOOKUP($A145,'PVC SCH40'!$A$8:$M$375,4,FALSE),
IF($A145&lt;'PVC SCH40 LD'!$A$22,VLOOKUP($A145,'PVC SCH40 LD'!$A$8:$M$21,4,FALSE),
IF($A145&lt;'Pool &amp; SPA Sweep Elbows'!$A$12,VLOOKUP($A145,'Pool &amp; SPA Sweep Elbows'!$A$8:$M$11,4,FALSE),
IF($A145&lt;'Pool &amp; SPA Pipe Extender'!$A$11,VLOOKUP($A145,'Pool &amp; SPA Pipe Extender'!$A$8:$M$10,4,FALSE),
IF($A145&lt;'PVC SCH80'!$A$250,VLOOKUP($A145,'PVC SCH80'!$A$8:$M$249,4,FALSE),
IF($A145&lt;'PVC SCH80 Flange'!$A$49,VLOOKUP($A145,'PVC SCH80 Flange'!$A$8:$M$48,4,FALSE),
IF($A145&lt;'PVC SCH80 LD Flange'!$A$17,VLOOKUP($A145,'PVC SCH80 LD Flange'!$A$8:$M$16,4,FALSE),
IF($A145&lt;CPVC!$A$100,VLOOKUP($A145,CPVC!$A$8:$M$99,4,FALSE),
IF($A145&lt;InsertFittings!$A$237,VLOOKUP($A145,InsertFittings!$A$11:$M$236,4,FALSE),
IF($A145&lt;Valves!$A$132,VLOOKUP($A145,Valves!$A$8:$M$131,4,FALSE),
IF($A145&lt;SDR35SW!$A$124,VLOOKUP($A145,SDR35SW!$A$8:$M$123,4,FALSE),
IF($A145&lt;SDR35G!$A$143,VLOOKUP($A145, SDR35G!$A$8:$M$142,4,FALSE),
IF($A145&lt;SDR26G!$A$61,VLOOKUP($A145,SDR26G!$A$8:$N$60,4,FALSE),
IF($A145&lt;Cements!$A$100,VLOOKUP($A145,Cements!$A$8:$Q$99,4,FALSE),
IF($A145&lt;ValveBox!$A$143,VLOOKUP($A145,ValveBox!$A$10:$O$142,4,FALSE),
IF($A145&lt;'ValveBox Components'!$A$165,VLOOKUP($A145,'ValveBox Components'!$A$10:$O$164,4,FALSE),
IF($A145&lt;Drainage!$A$92,VLOOKUP($A145,Drainage!$A$8:$M$91,4,FALSE),
IF($A145&lt;Nipples!$A$82,VLOOKUP($A145,Nipples!$A$9:$Q$81,4,FALSE),
IF($A145&lt;Manifold!$A$33,VLOOKUP($A145,Manifold!$A$9:$M$32,4,FALSE),
IF($A145&lt;FlexibleRepairCouplings!$A$13,VLOOKUP($A145,FlexibleRepairCouplings!$A$10:$M$12,4,FALSE),
IF($A145&lt;DuraFix!$A$15,VLOOKUP($A145,DuraFix!$A$9:$M$14,4,FALSE),
IF($A145&lt;'Compression Fittings'!$A$16,VLOOKUP($A145,'Compression Fittings'!$A$8:$M$15,4,FALSE),
IF($A145&lt;'Hose Fittings'!$A$30,VLOOKUP($A145,'Hose Fittings'!$A$8:$M$29,4,FALSE),
IF($A145&lt;'Swing Joints'!$A$496,VLOOKUP($A145,'Swing Joints'!$A$9:$M$495,4,FALSE),
IF($A145&lt;'Swing Joints Components'!$A$135,VLOOKUP($A145,'Swing Joints Components'!$A$9:$M$134,4,FALSE),
IF($A145&lt;Nonstandard!$A$42,VLOOKUP($A145,Nonstandard!$A$31:$J$41,5,FALSE),"")))))))))))))))))))))))))))),"")</f>
        <v/>
      </c>
      <c r="C145" s="415" t="str">
        <f>IFERROR(IF($A145&lt;'DWV PVC'!$A$285,VLOOKUP($A145,'DWV PVC'!$A$8:$M$284,5,FALSE),
IF($A145&lt;'DWV ABS'!$A$117,VLOOKUP($A145,'DWV ABS'!$A$8:$M$116,5,FALSE),
IF($A145&lt;'PVC SCH40'!$A$376,VLOOKUP($A145,'PVC SCH40'!$A$8:$M$375,5,FALSE),
IF($A145&lt;'PVC SCH40 LD'!$A$22,VLOOKUP($A145,'PVC SCH40 LD'!$A$8:$M$21,5,FALSE),
IF($A145&lt;'Pool &amp; SPA Sweep Elbows'!$A$12,VLOOKUP($A145,'Pool &amp; SPA Sweep Elbows'!$A$8:$M$11,5,FALSE),
IF($A145&lt;'Pool &amp; SPA Pipe Extender'!$A$11,VLOOKUP($A145,'Pool &amp; SPA Pipe Extender'!$A$8:$M$10,5,FALSE),
IF($A145&lt;'PVC SCH80'!$A$250,VLOOKUP($A145,'PVC SCH80'!$A$8:$M$249,5,FALSE),
IF($A145&lt;'PVC SCH80 Flange'!$A$49,VLOOKUP($A145,'PVC SCH80 Flange'!$A$8:$M$48,5,FALSE),
IF($A145&lt;'PVC SCH80 LD Flange'!$A$17,VLOOKUP($A145,'PVC SCH80 LD Flange'!$A$8:$M$16,5,FALSE),
IF($A145&lt;CPVC!$A$100,VLOOKUP($A145,CPVC!$A$8:$M$99,5,FALSE),
IF($A145&lt;InsertFittings!$A$237,VLOOKUP($A145,InsertFittings!$A$11:$M$236,5,FALSE),
IF($A145&lt;Valves!$A$132,VLOOKUP($A145,Valves!$A$8:$M$131,5,FALSE),
IF($A145&lt;SDR35SW!$A$124,VLOOKUP($A145,SDR35SW!$A$8:$M$123,5,FALSE),
IF($A145&lt;SDR35G!$A$143,VLOOKUP($A145, SDR35G!$A$8:$M$142,5,FALSE),
IF($A145&lt;SDR26G!$A$61,VLOOKUP($A145,SDR26G!$A$8:$N$60,5,FALSE),
IF($A145&lt;Cements!$A$100,VLOOKUP($A145,Cements!$A$8:$Q$99,5,FALSE),
IF($A145&lt;ValveBox!$A$143,VLOOKUP($A145,ValveBox!$A$10:$O$142,5,FALSE),
IF($A145&lt;'ValveBox Components'!$A$165,VLOOKUP($A145,'ValveBox Components'!$A$10:$O$164,5,FALSE),
IF($A145&lt;Drainage!$A$92,VLOOKUP($A145,Drainage!$A$8:$M$91,5,FALSE),
IF($A145&lt;Nipples!$A$82,VLOOKUP($A145,Nipples!$A$9:$Q$81,5,FALSE),
IF($A145&lt;Manifold!$A$33,VLOOKUP($A145,Manifold!$A$9:$M$32,5,FALSE),
IF($A145&lt;FlexibleRepairCouplings!$A$13,VLOOKUP($A145,FlexibleRepairCouplings!$A$10:$M$12,5,FALSE),
IF($A145&lt;DuraFix!$A$15,VLOOKUP($A145,DuraFix!$A$9:$M$14,5,FALSE),
IF($A145&lt;'Compression Fittings'!$A$16,VLOOKUP($A145,'Compression Fittings'!$A$8:$M$15,5,FALSE),
IF($A145&lt;'Hose Fittings'!$A$30,VLOOKUP($A145,'Hose Fittings'!$A$8:$M$29,5,FALSE),
IF($A145&lt;'Swing Joints'!$A$496,VLOOKUP($A145,'Swing Joints'!$A$9:$M$495,5,FALSE),
IF($A145&lt;'Swing Joints Components'!$A$135,VLOOKUP($A145,'Swing Joints Components'!$A$9:$M$134,5,FALSE),
IF($A145&lt;Nonstandard!$A$42,VLOOKUP($A145,Nonstandard!$A$31:$J$41,6,FALSE),"")))))))))))))))))))))))))))),"")</f>
        <v/>
      </c>
      <c r="D145" s="426" t="str">
        <f>IFERROR(IF($A145&lt;'DWV PVC'!$A$285,VLOOKUP($A145,'DWV PVC'!$A$8:$M$284,6,FALSE),
IF($A145&lt;'DWV ABS'!$A$117,VLOOKUP($A145,'DWV ABS'!$A$8:$M$116,6,FALSE),
IF($A145&lt;'PVC SCH40'!$A$376,VLOOKUP($A145,'PVC SCH40'!$A$8:$M$375,6,FALSE),
IF($A145&lt;'PVC SCH40 LD'!$A$22,VLOOKUP($A145,'PVC SCH40 LD'!$A$8:$M$21,6,FALSE),
IF($A145&lt;'Pool &amp; SPA Sweep Elbows'!$A$12,VLOOKUP($A145,'Pool &amp; SPA Sweep Elbows'!$A$8:$M$11,6,FALSE),
IF($A145&lt;'Pool &amp; SPA Pipe Extender'!$A$11,VLOOKUP($A145,'Pool &amp; SPA Pipe Extender'!$A$8:$M$10,6,FALSE),
IF($A145&lt;'PVC SCH80'!$A$250,VLOOKUP($A145,'PVC SCH80'!$A$8:$M$249,6,FALSE),
IF($A145&lt;'PVC SCH80 Flange'!$A$49,VLOOKUP($A145,'PVC SCH80 Flange'!$A$8:$M$48,6,FALSE),
IF($A145&lt;'PVC SCH80 LD Flange'!$A$17,VLOOKUP($A145,'PVC SCH80 LD Flange'!$A$8:$M$16,6,FALSE),
IF($A145&lt;CPVC!$A$100,VLOOKUP($A145,CPVC!$A$8:$M$99,6,FALSE),
IF($A145&lt;InsertFittings!$A$237,VLOOKUP($A145,InsertFittings!$A$11:$M$236,6,FALSE),
IF($A145&lt;Valves!$A$132,VLOOKUP($A145,Valves!$A$8:$M$131,6,FALSE),
IF($A145&lt;SDR35SW!$A$124,VLOOKUP($A145,SDR35SW!$A$8:$M$123,6,FALSE),
IF($A145&lt;SDR35G!$A$143,VLOOKUP($A145, SDR35G!$A$8:$M$142,6,FALSE),
IF($A145&lt;SDR26G!$A$61,VLOOKUP($A145,SDR26G!$A$8:$N$60,6,FALSE),
IF($A145&lt;Cements!$A$100,VLOOKUP($A145,Cements!$A$8:$Q$99,6,FALSE),
IF($A145&lt;ValveBox!$A$143,VLOOKUP($A145,ValveBox!$A$10:$O$142,6,FALSE),
IF($A145&lt;'ValveBox Components'!$A$165,VLOOKUP($A145,'ValveBox Components'!$A$10:$O$164,6,FALSE),
IF($A145&lt;Drainage!$A$92,VLOOKUP($A145,Drainage!$A$8:$M$91,6,FALSE),
IF($A145&lt;Nipples!$A$82,VLOOKUP($A145,Nipples!$A$9:$Q$81,6,FALSE),
IF($A145&lt;Manifold!$A$33,VLOOKUP($A145,Manifold!$A$9:$M$32,6,FALSE),
IF($A145&lt;FlexibleRepairCouplings!$A$13,VLOOKUP($A145,FlexibleRepairCouplings!$A$10:$M$12,6,FALSE),
IF($A145&lt;DuraFix!$A$15,VLOOKUP($A145,DuraFix!$A$9:$M$14,6,FALSE),
IF($A145&lt;'Compression Fittings'!$A$16,VLOOKUP($A145,'Compression Fittings'!$A$8:$M$15,6,FALSE),
IF($A145&lt;'Hose Fittings'!$A$30,VLOOKUP($A145,'Hose Fittings'!$A$8:$M$29,6,FALSE),
IF($A145&lt;'Swing Joints'!$A$496,VLOOKUP($A145,'Swing Joints'!$A$9:$M$495,6,FALSE),
IF($A145&lt;'Swing Joints Components'!$A$135,VLOOKUP($A145,'Swing Joints Components'!$A$9:$M$134,6,FALSE),
IF($A145&lt;Nonstandard!$A$42,VLOOKUP($A145,Nonstandard!$A$31:$J$41,7,FALSE),"")))))))))))))))))))))))))))),"")</f>
        <v/>
      </c>
      <c r="E145" s="427"/>
      <c r="F145" s="418" t="str">
        <f>IFERROR(IF($A145&lt;'DWV PVC'!$A$285,VLOOKUP($A145,'DWV PVC'!$A$8:$M$284,9,FALSE),
IF($A145&lt;'DWV ABS'!$A$117,VLOOKUP($A145,'DWV ABS'!$A$8:$M$116,9,FALSE),
IF($A145&lt;'PVC SCH40'!$A$376,VLOOKUP($A145,'PVC SCH40'!$A$8:$M$375,9,FALSE),
IF($A145&lt;'PVC SCH40 LD'!$A$22,VLOOKUP($A145,'PVC SCH40 LD'!$A$8:$M$21,9,FALSE),
IF($A145&lt;'Pool &amp; SPA Sweep Elbows'!$A$12,VLOOKUP($A145,'Pool &amp; SPA Sweep Elbows'!$A$8:$M$11,9,FALSE),
IF($A145&lt;'Pool &amp; SPA Pipe Extender'!$A$11,VLOOKUP($A145,'Pool &amp; SPA Pipe Extender'!$A$8:$M$10,9,FALSE),
IF($A145&lt;'PVC SCH80'!$A$250,VLOOKUP($A145,'PVC SCH80'!$A$8:$M$249,9,FALSE),
IF($A145&lt;'PVC SCH80 Flange'!$A$49,VLOOKUP($A145,'PVC SCH80 Flange'!$A$8:$M$48,9,FALSE),
IF($A145&lt;'PVC SCH80 LD Flange'!$A$17,VLOOKUP($A145,'PVC SCH80 LD Flange'!$A$8:$M$16,9,FALSE),
IF($A145&lt;CPVC!$A$100,VLOOKUP($A145,CPVC!$A$8:$M$99,9,FALSE),
IF($A145&lt;InsertFittings!$A$237,VLOOKUP($A145,InsertFittings!$A$11:$M$236,9,FALSE),
IF($A145&lt;Valves!$A$132,VLOOKUP($A145,Valves!$A$8:$M$131,9,FALSE),
IF($A145&lt;SDR35SW!$A$124,VLOOKUP($A145,SDR35SW!$A$8:$M$123,9,FALSE),
IF($A145&lt;SDR35G!$A$143,VLOOKUP($A145, SDR35G!$A$8:$M$142,9,FALSE),
IF($A145&lt;SDR26G!$A$61,VLOOKUP($A145,SDR26G!$A$8:$N$60,10,FALSE),
IF($A145&lt;Cements!$A$100,VLOOKUP($A145,Cements!$A$8:$Q$99,13,FALSE),
IF($A145&lt;ValveBox!$A$143,VLOOKUP($A145,ValveBox!$A$10:$O$142,11,FALSE),
IF($A145&lt;'ValveBox Components'!$A$165,VLOOKUP($A145,'ValveBox Components'!$A$10:$O$164,11,FALSE),
IF($A145&lt;Drainage!$A$92,VLOOKUP($A145,Drainage!$A$8:$M$91,9,FALSE),
IF($A145&lt;Nipples!$A$82,VLOOKUP($A145,Nipples!$A$9:$Q$81,13,FALSE),
IF($A145&lt;Manifold!$A$33,VLOOKUP($A145,Manifold!$A$9:$M$32,9,FALSE),
IF($A145&lt;FlexibleRepairCouplings!$A$13,VLOOKUP($A145,FlexibleRepairCouplings!$A$10:$M$12,9,FALSE),
IF($A145&lt;DuraFix!$A$15,VLOOKUP($A145,DuraFix!$A$9:$M$14,9,FALSE),
IF($A145&lt;'Compression Fittings'!$A$16,VLOOKUP($A145,'Compression Fittings'!$A$8:$M$15,9,FALSE),
IF($A145&lt;'Hose Fittings'!$A$30,VLOOKUP($A145,'Hose Fittings'!$A$8:$M$29,9,FALSE),
IF($A145&lt;'Swing Joints'!$A$496,VLOOKUP($A145,'Swing Joints'!$A$9:$M$495,9,FALSE),
IF($A145&lt;'Swing Joints Components'!$A$135,VLOOKUP($A145,'Swing Joints Components'!$A$9:$M$134,9,FALSE),
IF($A145&lt;Nonstandard!$A$42,VLOOKUP($A145,Nonstandard!$A$31:$J$41,8,FALSE),"")))))))))))))))))))))))))))),"")</f>
        <v/>
      </c>
      <c r="G145" s="416" t="str">
        <f>IFERROR(IF($A145&lt;'DWV PVC'!$A$285,VLOOKUP($A145,'DWV PVC'!$A$8:$M$284,11,FALSE),
IF($A145&lt;'DWV ABS'!$A$117,VLOOKUP($A145,'DWV ABS'!$A$8:$M$116,11,FALSE),
IF($A145&lt;'PVC SCH40'!$A$376,VLOOKUP($A145,'PVC SCH40'!$A$8:$M$375,11,FALSE),
IF($A145&lt;'PVC SCH40 LD'!$A$22,VLOOKUP($A145,'PVC SCH40 LD'!$A$8:$M$21,11,FALSE),
IF($A145&lt;'Pool &amp; SPA Sweep Elbows'!$A$12,VLOOKUP($A145,'Pool &amp; SPA Sweep Elbows'!$A$8:$M$11,11,FALSE),
IF($A145&lt;'Pool &amp; SPA Pipe Extender'!$A$11,VLOOKUP($A145,'Pool &amp; SPA Pipe Extender'!$A$8:$M$10,11,FALSE),
IF($A145&lt;'PVC SCH80'!$A$250,VLOOKUP($A145,'PVC SCH80'!$A$8:$M$249,11,FALSE),
IF($A145&lt;'PVC SCH80 Flange'!$A$49,VLOOKUP($A145,'PVC SCH80 Flange'!$A$8:$M$48,11,FALSE),
IF($A145&lt;'PVC SCH80 LD Flange'!$A$17,VLOOKUP($A145,'PVC SCH80 LD Flange'!$A$8:$M$16,11,FALSE),
IF($A145&lt;CPVC!$A$100,VLOOKUP($A145,CPVC!$A$8:$M$99,11,FALSE),
IF($A145&lt;InsertFittings!$A$237,VLOOKUP($A145,InsertFittings!$A$11:$M$236,11,FALSE),
IF($A145&lt;Valves!$A$132,VLOOKUP($A145,Valves!$A$8:$M$131,11,FALSE),
IF($A145&lt;SDR35SW!$A$124,VLOOKUP($A145,SDR35SW!$A$8:$M$123,11,FALSE),
IF($A145&lt;SDR35G!$A$143,VLOOKUP($A145, SDR35G!$A$8:$M$142,11,FALSE),
IF($A145&lt;SDR26G!$A$61,VLOOKUP($A145,SDR26G!$A$8:$N$60,12,FALSE),
IF($A145&lt;Cements!$A$100,VLOOKUP($A145,Cements!$A$8:$Q$99,15,FALSE),
IF($A145&lt;ValveBox!$A$143,VLOOKUP($A145,ValveBox!$A$10:$O$142,13,FALSE),
IF($A145&lt;'ValveBox Components'!$A$165,VLOOKUP($A145,'ValveBox Components'!$A$10:$O$164,13,FALSE),
IF($A145&lt;Drainage!$A$92,VLOOKUP($A145,Drainage!$A$8:$M$91,11,FALSE),
IF($A145&lt;Nipples!$A$82,VLOOKUP($A145,Nipples!$A$9:$Q$81,15,FALSE),
IF($A145&lt;Manifold!$A$33,VLOOKUP($A145,Manifold!$A$9:$M$32,11,FALSE),
IF($A145&lt;FlexibleRepairCouplings!$A$13,VLOOKUP($A145,FlexibleRepairCouplings!$A$10:$M$12,11,FALSE),
IF($A145&lt;DuraFix!$A$15,VLOOKUP($A145,DuraFix!$A$9:$M$14,11,FALSE),
IF($A145&lt;'Compression Fittings'!$A$16,VLOOKUP($A145,'Compression Fittings'!$A$8:$M$15,11,FALSE),
IF($A145&lt;'Hose Fittings'!$A$30,VLOOKUP($A145,'Hose Fittings'!$A$8:$M$29,11,FALSE),
IF($A145&lt;'Swing Joints'!$A$496,VLOOKUP($A145,'Swing Joints'!$A$9:$M$495,11,FALSE),
IF($A145&lt;'Swing Joints Components'!$A$135,VLOOKUP($A145,'Swing Joints Components'!$A$9:$M$134,11,FALSE),
IF($A145&lt;Nonstandard!$A$42,VLOOKUP($A145,Nonstandard!$A$31:$J$41,3,FALSE),"")))))))))))))))))))))))))))),"")</f>
        <v/>
      </c>
      <c r="H145" s="586" t="str">
        <f>IFERROR(IF($A145&lt;'DWV PVC'!$A$285,VLOOKUP($A145,'DWV PVC'!$A$8:$M$284,7,FALSE),
IF($A145&lt;'DWV ABS'!$A$117,VLOOKUP($A145,'DWV ABS'!$A$8:$M$116,7,FALSE),
IF($A145&lt;'PVC SCH40'!$A$376,VLOOKUP($A145,'PVC SCH40'!$A$8:$M$375,7,FALSE),
IF($A145&lt;'PVC SCH40 LD'!$A$22,VLOOKUP($A145,'PVC SCH40 LD'!$A$8:$M$21,7,FALSE),
IF($A145&lt;'Pool &amp; SPA Sweep Elbows'!$A$12,VLOOKUP($A145,'Pool &amp; SPA Sweep Elbows'!$A$8:$M$11,7,FALSE),
IF($A145&lt;'Pool &amp; SPA Pipe Extender'!$A$11,VLOOKUP($A145,'Pool &amp; SPA Pipe Extender'!$A$8:$M$10,7,FALSE),
IF($A145&lt;'PVC SCH80'!$A$250,VLOOKUP($A145,'PVC SCH80'!$A$8:$M$249,7,FALSE),
IF($A145&lt;'PVC SCH80 Flange'!$A$49,VLOOKUP($A145,'PVC SCH80 Flange'!$A$8:$M$48,7,FALSE),
IF($A145&lt;'PVC SCH80 LD Flange'!$A$17,VLOOKUP($A145,'PVC SCH80 LD Flange'!$A$8:$M$16,7,FALSE),
IF($A145&lt;CPVC!$A$100,VLOOKUP($A145,CPVC!$A$8:$M$99,7,FALSE),
IF($A145&lt;InsertFittings!$A$237,VLOOKUP($A145,InsertFittings!$A$11:$M$236,7,FALSE),
IF($A145&lt;Valves!$A$132,VLOOKUP($A145,Valves!$A$8:$M$131,7,FALSE),
IF($A145&lt;SDR35SW!$A$124,VLOOKUP($A145,SDR35SW!$A$8:$M$123,7,FALSE),
IF($A145&lt;SDR35G!$A$143,VLOOKUP($A145, SDR35G!$A$8:$M$142,7,FALSE),
IF($A145&lt;SDR26G!$A$61,VLOOKUP($A145,SDR26G!$A$8:$N$60,10,FALSE),
IF($A145&lt;Cements!$A$100,VLOOKUP($A145,Cements!$A$8:$Q$99,13,FALSE),
IF($A145&lt;ValveBox!$A$143,VLOOKUP($A145,ValveBox!$A$10:$O$142,11,FALSE),
IF($A145&lt;'ValveBox Components'!$A$165,VLOOKUP($A145,'ValveBox Components'!$A$10:$O$164,11,FALSE),
IF($A145&lt;Drainage!$A$92,VLOOKUP($A145,Drainage!$A$8:$M$91,7,FALSE),
IF($A145&lt;Nipples!$A$82,VLOOKUP($A145,Nipples!$A$9:$Q$81,13,FALSE),
IF($A145&lt;Manifold!$A$33,VLOOKUP($A145,Manifold!$A$9:$M$32,7,FALSE),
IF($A145&lt;FlexibleRepairCouplings!$A$13,VLOOKUP($A145,FlexibleRepairCouplings!$A$10:$M$12,7,FALSE),
IF($A145&lt;DuraFix!$A$15,VLOOKUP($A145,DuraFix!$A$9:$M$14,7,FALSE),
IF($A145&lt;'Compression Fittings'!$A$16,VLOOKUP($A145,'Compression Fittings'!$A$8:$M$15,7,FALSE),
IF($A145&lt;'Hose Fittings'!$A$30,VLOOKUP($A145,'Hose Fittings'!$A$8:$M$29,7,FALSE),
IF($A145&lt;'Swing Joints'!$A$496,VLOOKUP($A145,'Swing Joints'!$A$9:$M$495,7,FALSE),
IF($A145&lt;'Swing Joints Components'!$A$135,VLOOKUP($A145,'Swing Joints Components'!$A$9:$M$134,7,FALSE),
IF($A145&lt;Nonstandard!$A$42,VLOOKUP($A145,Nonstandard!$A$31:$J$41,3,FALSE),"")))))))))))))))))))))))))))),"")</f>
        <v/>
      </c>
      <c r="I145" s="587"/>
      <c r="J145" s="383" t="str">
        <f t="shared" si="3"/>
        <v/>
      </c>
      <c r="K145" s="417" t="str">
        <f>IFERROR(IF($A145&lt;'DWV PVC'!$A$285,VLOOKUP($A145,'DWV PVC'!$A$8:$M$284,10,FALSE),
IF($A145&lt;'DWV ABS'!$A$117,VLOOKUP($A145,'DWV ABS'!$A$8:$M$116,10,FALSE),
IF($A145&lt;'PVC SCH40'!$A$376,VLOOKUP($A145,'PVC SCH40'!$A$8:$M$375,10,FALSE),
IF($A145&lt;'PVC SCH40 LD'!$A$22,VLOOKUP($A145,'PVC SCH40 LD'!$A$8:$M$21,10,FALSE),
IF($A145&lt;'Pool &amp; SPA Sweep Elbows'!$A$12,VLOOKUP($A145,'Pool &amp; SPA Sweep Elbows'!$A$8:$M$11,10,FALSE),
IF($A145&lt;'Pool &amp; SPA Pipe Extender'!$A$11,VLOOKUP($A145,'Pool &amp; SPA Pipe Extender'!$A$8:$M$10,10,FALSE),
IF($A145&lt;'PVC SCH80'!$A$250,VLOOKUP($A145,'PVC SCH80'!$A$8:$M$249,10,FALSE),
IF($A145&lt;'PVC SCH80 Flange'!$A$49,VLOOKUP($A145,'PVC SCH80 Flange'!$A$8:$M$48,10,FALSE),
IF($A145&lt;'PVC SCH80 LD Flange'!$A$17,VLOOKUP($A145,'PVC SCH80 LD Flange'!$A$8:$M$16,10,FALSE),
IF($A145&lt;CPVC!$A$100,VLOOKUP($A145,CPVC!$A$8:$M$99,10,FALSE),
IF($A145&lt;InsertFittings!$A$237,VLOOKUP($A145,InsertFittings!$A$11:$M$236,10,FALSE),
IF($A145&lt;Valves!$A$132,VLOOKUP($A145,Valves!$A$8:$M$131,10,FALSE),
IF($A145&lt;SDR35SW!$A$124,VLOOKUP($A145,SDR35SW!$A$8:$M$123,10,FALSE),
IF($A145&lt;SDR35G!$A$143,VLOOKUP($A145, SDR35G!$A$8:$M$142,10,FALSE),
IF($A145&lt;SDR26G!$A$61,VLOOKUP($A145,SDR26G!$A$8:$N$60,11,FALSE),
IF($A145&lt;Cements!$A$100,VLOOKUP($A145,Cements!$A$8:$Q$99,14,FALSE),
IF($A145&lt;ValveBox!$A$143,VLOOKUP($A145,ValveBox!$A$10:$O$142,12,FALSE),
IF($A145&lt;'ValveBox Components'!$A$165,VLOOKUP($A145,'ValveBox Components'!$A$10:$O$164,12,FALSE),
IF($A145&lt;Drainage!$A$92,VLOOKUP($A145,Drainage!$A$8:$M$91,10,FALSE),
IF($A145&lt;Nipples!$A$82,VLOOKUP($A145,Nipples!$A$9:$Q$81,14,FALSE),
IF($A145&lt;Manifold!$A$33,VLOOKUP($A145,Manifold!$A$9:$M$32,10,FALSE),
IF($A145&lt;FlexibleRepairCouplings!$A$13,VLOOKUP($A145,FlexibleRepairCouplings!$A$10:$M$12,10,FALSE),
IF($A145&lt;DuraFix!$A$15,VLOOKUP($A145,DuraFix!$A$9:$M$14,10,FALSE),
IF($A145&lt;'Compression Fittings'!$A$16,VLOOKUP($A145,'Compression Fittings'!$A$8:$M$15,10,FALSE),
IF($A145&lt;'Hose Fittings'!$A$30,VLOOKUP($A145,'Hose Fittings'!$A$8:$M$29,10,FALSE),
IF($A145&lt;'Swing Joints'!$A$496,VLOOKUP($A145,'Swing Joints'!$A$9:$M$495,10,FALSE),
IF($A145&lt;'Swing Joints Components'!$A$135,VLOOKUP($A145,'Swing Joints Components'!$A$9:$M$134,10,FALSE),
IF($A145&lt;Nonstandard!$A$42,VLOOKUP($A145,Nonstandard!$A$31:$J$41,10,FALSE),"")))))))))))))))))))))))))))),"")</f>
        <v/>
      </c>
      <c r="L145" s="418" t="str">
        <f t="shared" si="2"/>
        <v>-</v>
      </c>
      <c r="M145" s="419"/>
    </row>
    <row r="146" spans="1:13" ht="15.75">
      <c r="A146" s="420">
        <v>114</v>
      </c>
      <c r="B146" s="420" t="str">
        <f>IFERROR(IF($A146&lt;'DWV PVC'!$A$285,VLOOKUP($A146,'DWV PVC'!$A$8:$M$284,4,FALSE),
IF($A146&lt;'DWV ABS'!$A$117,VLOOKUP($A146,'DWV ABS'!$A$8:$M$116,4,FALSE),
IF($A146&lt;'PVC SCH40'!$A$376,VLOOKUP($A146,'PVC SCH40'!$A$8:$M$375,4,FALSE),
IF($A146&lt;'PVC SCH40 LD'!$A$22,VLOOKUP($A146,'PVC SCH40 LD'!$A$8:$M$21,4,FALSE),
IF($A146&lt;'Pool &amp; SPA Sweep Elbows'!$A$12,VLOOKUP($A146,'Pool &amp; SPA Sweep Elbows'!$A$8:$M$11,4,FALSE),
IF($A146&lt;'Pool &amp; SPA Pipe Extender'!$A$11,VLOOKUP($A146,'Pool &amp; SPA Pipe Extender'!$A$8:$M$10,4,FALSE),
IF($A146&lt;'PVC SCH80'!$A$250,VLOOKUP($A146,'PVC SCH80'!$A$8:$M$249,4,FALSE),
IF($A146&lt;'PVC SCH80 Flange'!$A$49,VLOOKUP($A146,'PVC SCH80 Flange'!$A$8:$M$48,4,FALSE),
IF($A146&lt;'PVC SCH80 LD Flange'!$A$17,VLOOKUP($A146,'PVC SCH80 LD Flange'!$A$8:$M$16,4,FALSE),
IF($A146&lt;CPVC!$A$100,VLOOKUP($A146,CPVC!$A$8:$M$99,4,FALSE),
IF($A146&lt;InsertFittings!$A$237,VLOOKUP($A146,InsertFittings!$A$11:$M$236,4,FALSE),
IF($A146&lt;Valves!$A$132,VLOOKUP($A146,Valves!$A$8:$M$131,4,FALSE),
IF($A146&lt;SDR35SW!$A$124,VLOOKUP($A146,SDR35SW!$A$8:$M$123,4,FALSE),
IF($A146&lt;SDR35G!$A$143,VLOOKUP($A146, SDR35G!$A$8:$M$142,4,FALSE),
IF($A146&lt;SDR26G!$A$61,VLOOKUP($A146,SDR26G!$A$8:$N$60,4,FALSE),
IF($A146&lt;Cements!$A$100,VLOOKUP($A146,Cements!$A$8:$Q$99,4,FALSE),
IF($A146&lt;ValveBox!$A$143,VLOOKUP($A146,ValveBox!$A$10:$O$142,4,FALSE),
IF($A146&lt;'ValveBox Components'!$A$165,VLOOKUP($A146,'ValveBox Components'!$A$10:$O$164,4,FALSE),
IF($A146&lt;Drainage!$A$92,VLOOKUP($A146,Drainage!$A$8:$M$91,4,FALSE),
IF($A146&lt;Nipples!$A$82,VLOOKUP($A146,Nipples!$A$9:$Q$81,4,FALSE),
IF($A146&lt;Manifold!$A$33,VLOOKUP($A146,Manifold!$A$9:$M$32,4,FALSE),
IF($A146&lt;FlexibleRepairCouplings!$A$13,VLOOKUP($A146,FlexibleRepairCouplings!$A$10:$M$12,4,FALSE),
IF($A146&lt;DuraFix!$A$15,VLOOKUP($A146,DuraFix!$A$9:$M$14,4,FALSE),
IF($A146&lt;'Compression Fittings'!$A$16,VLOOKUP($A146,'Compression Fittings'!$A$8:$M$15,4,FALSE),
IF($A146&lt;'Hose Fittings'!$A$30,VLOOKUP($A146,'Hose Fittings'!$A$8:$M$29,4,FALSE),
IF($A146&lt;'Swing Joints'!$A$496,VLOOKUP($A146,'Swing Joints'!$A$9:$M$495,4,FALSE),
IF($A146&lt;'Swing Joints Components'!$A$135,VLOOKUP($A146,'Swing Joints Components'!$A$9:$M$134,4,FALSE),
IF($A146&lt;Nonstandard!$A$42,VLOOKUP($A146,Nonstandard!$A$31:$J$41,5,FALSE),"")))))))))))))))))))))))))))),"")</f>
        <v/>
      </c>
      <c r="C146" s="420" t="str">
        <f>IFERROR(IF($A146&lt;'DWV PVC'!$A$285,VLOOKUP($A146,'DWV PVC'!$A$8:$M$284,5,FALSE),
IF($A146&lt;'DWV ABS'!$A$117,VLOOKUP($A146,'DWV ABS'!$A$8:$M$116,5,FALSE),
IF($A146&lt;'PVC SCH40'!$A$376,VLOOKUP($A146,'PVC SCH40'!$A$8:$M$375,5,FALSE),
IF($A146&lt;'PVC SCH40 LD'!$A$22,VLOOKUP($A146,'PVC SCH40 LD'!$A$8:$M$21,5,FALSE),
IF($A146&lt;'Pool &amp; SPA Sweep Elbows'!$A$12,VLOOKUP($A146,'Pool &amp; SPA Sweep Elbows'!$A$8:$M$11,5,FALSE),
IF($A146&lt;'Pool &amp; SPA Pipe Extender'!$A$11,VLOOKUP($A146,'Pool &amp; SPA Pipe Extender'!$A$8:$M$10,5,FALSE),
IF($A146&lt;'PVC SCH80'!$A$250,VLOOKUP($A146,'PVC SCH80'!$A$8:$M$249,5,FALSE),
IF($A146&lt;'PVC SCH80 Flange'!$A$49,VLOOKUP($A146,'PVC SCH80 Flange'!$A$8:$M$48,5,FALSE),
IF($A146&lt;'PVC SCH80 LD Flange'!$A$17,VLOOKUP($A146,'PVC SCH80 LD Flange'!$A$8:$M$16,5,FALSE),
IF($A146&lt;CPVC!$A$100,VLOOKUP($A146,CPVC!$A$8:$M$99,5,FALSE),
IF($A146&lt;InsertFittings!$A$237,VLOOKUP($A146,InsertFittings!$A$11:$M$236,5,FALSE),
IF($A146&lt;Valves!$A$132,VLOOKUP($A146,Valves!$A$8:$M$131,5,FALSE),
IF($A146&lt;SDR35SW!$A$124,VLOOKUP($A146,SDR35SW!$A$8:$M$123,5,FALSE),
IF($A146&lt;SDR35G!$A$143,VLOOKUP($A146, SDR35G!$A$8:$M$142,5,FALSE),
IF($A146&lt;SDR26G!$A$61,VLOOKUP($A146,SDR26G!$A$8:$N$60,5,FALSE),
IF($A146&lt;Cements!$A$100,VLOOKUP($A146,Cements!$A$8:$Q$99,5,FALSE),
IF($A146&lt;ValveBox!$A$143,VLOOKUP($A146,ValveBox!$A$10:$O$142,5,FALSE),
IF($A146&lt;'ValveBox Components'!$A$165,VLOOKUP($A146,'ValveBox Components'!$A$10:$O$164,5,FALSE),
IF($A146&lt;Drainage!$A$92,VLOOKUP($A146,Drainage!$A$8:$M$91,5,FALSE),
IF($A146&lt;Nipples!$A$82,VLOOKUP($A146,Nipples!$A$9:$Q$81,5,FALSE),
IF($A146&lt;Manifold!$A$33,VLOOKUP($A146,Manifold!$A$9:$M$32,5,FALSE),
IF($A146&lt;FlexibleRepairCouplings!$A$13,VLOOKUP($A146,FlexibleRepairCouplings!$A$10:$M$12,5,FALSE),
IF($A146&lt;DuraFix!$A$15,VLOOKUP($A146,DuraFix!$A$9:$M$14,5,FALSE),
IF($A146&lt;'Compression Fittings'!$A$16,VLOOKUP($A146,'Compression Fittings'!$A$8:$M$15,5,FALSE),
IF($A146&lt;'Hose Fittings'!$A$30,VLOOKUP($A146,'Hose Fittings'!$A$8:$M$29,5,FALSE),
IF($A146&lt;'Swing Joints'!$A$496,VLOOKUP($A146,'Swing Joints'!$A$9:$M$495,5,FALSE),
IF($A146&lt;'Swing Joints Components'!$A$135,VLOOKUP($A146,'Swing Joints Components'!$A$9:$M$134,5,FALSE),
IF($A146&lt;Nonstandard!$A$42,VLOOKUP($A146,Nonstandard!$A$31:$J$41,6,FALSE),"")))))))))))))))))))))))))))),"")</f>
        <v/>
      </c>
      <c r="D146" s="428" t="str">
        <f>IFERROR(IF($A146&lt;'DWV PVC'!$A$285,VLOOKUP($A146,'DWV PVC'!$A$8:$M$284,6,FALSE),
IF($A146&lt;'DWV ABS'!$A$117,VLOOKUP($A146,'DWV ABS'!$A$8:$M$116,6,FALSE),
IF($A146&lt;'PVC SCH40'!$A$376,VLOOKUP($A146,'PVC SCH40'!$A$8:$M$375,6,FALSE),
IF($A146&lt;'PVC SCH40 LD'!$A$22,VLOOKUP($A146,'PVC SCH40 LD'!$A$8:$M$21,6,FALSE),
IF($A146&lt;'Pool &amp; SPA Sweep Elbows'!$A$12,VLOOKUP($A146,'Pool &amp; SPA Sweep Elbows'!$A$8:$M$11,6,FALSE),
IF($A146&lt;'Pool &amp; SPA Pipe Extender'!$A$11,VLOOKUP($A146,'Pool &amp; SPA Pipe Extender'!$A$8:$M$10,6,FALSE),
IF($A146&lt;'PVC SCH80'!$A$250,VLOOKUP($A146,'PVC SCH80'!$A$8:$M$249,6,FALSE),
IF($A146&lt;'PVC SCH80 Flange'!$A$49,VLOOKUP($A146,'PVC SCH80 Flange'!$A$8:$M$48,6,FALSE),
IF($A146&lt;'PVC SCH80 LD Flange'!$A$17,VLOOKUP($A146,'PVC SCH80 LD Flange'!$A$8:$M$16,6,FALSE),
IF($A146&lt;CPVC!$A$100,VLOOKUP($A146,CPVC!$A$8:$M$99,6,FALSE),
IF($A146&lt;InsertFittings!$A$237,VLOOKUP($A146,InsertFittings!$A$11:$M$236,6,FALSE),
IF($A146&lt;Valves!$A$132,VLOOKUP($A146,Valves!$A$8:$M$131,6,FALSE),
IF($A146&lt;SDR35SW!$A$124,VLOOKUP($A146,SDR35SW!$A$8:$M$123,6,FALSE),
IF($A146&lt;SDR35G!$A$143,VLOOKUP($A146, SDR35G!$A$8:$M$142,6,FALSE),
IF($A146&lt;SDR26G!$A$61,VLOOKUP($A146,SDR26G!$A$8:$N$60,6,FALSE),
IF($A146&lt;Cements!$A$100,VLOOKUP($A146,Cements!$A$8:$Q$99,6,FALSE),
IF($A146&lt;ValveBox!$A$143,VLOOKUP($A146,ValveBox!$A$10:$O$142,6,FALSE),
IF($A146&lt;'ValveBox Components'!$A$165,VLOOKUP($A146,'ValveBox Components'!$A$10:$O$164,6,FALSE),
IF($A146&lt;Drainage!$A$92,VLOOKUP($A146,Drainage!$A$8:$M$91,6,FALSE),
IF($A146&lt;Nipples!$A$82,VLOOKUP($A146,Nipples!$A$9:$Q$81,6,FALSE),
IF($A146&lt;Manifold!$A$33,VLOOKUP($A146,Manifold!$A$9:$M$32,6,FALSE),
IF($A146&lt;FlexibleRepairCouplings!$A$13,VLOOKUP($A146,FlexibleRepairCouplings!$A$10:$M$12,6,FALSE),
IF($A146&lt;DuraFix!$A$15,VLOOKUP($A146,DuraFix!$A$9:$M$14,6,FALSE),
IF($A146&lt;'Compression Fittings'!$A$16,VLOOKUP($A146,'Compression Fittings'!$A$8:$M$15,6,FALSE),
IF($A146&lt;'Hose Fittings'!$A$30,VLOOKUP($A146,'Hose Fittings'!$A$8:$M$29,6,FALSE),
IF($A146&lt;'Swing Joints'!$A$496,VLOOKUP($A146,'Swing Joints'!$A$9:$M$495,6,FALSE),
IF($A146&lt;'Swing Joints Components'!$A$135,VLOOKUP($A146,'Swing Joints Components'!$A$9:$M$134,6,FALSE),
IF($A146&lt;Nonstandard!$A$42,VLOOKUP($A146,Nonstandard!$A$31:$J$41,7,FALSE),"")))))))))))))))))))))))))))),"")</f>
        <v/>
      </c>
      <c r="E146" s="429"/>
      <c r="F146" s="421" t="str">
        <f>IFERROR(IF($A146&lt;'DWV PVC'!$A$285,VLOOKUP($A146,'DWV PVC'!$A$8:$M$284,9,FALSE),
IF($A146&lt;'DWV ABS'!$A$117,VLOOKUP($A146,'DWV ABS'!$A$8:$M$116,9,FALSE),
IF($A146&lt;'PVC SCH40'!$A$376,VLOOKUP($A146,'PVC SCH40'!$A$8:$M$375,9,FALSE),
IF($A146&lt;'PVC SCH40 LD'!$A$22,VLOOKUP($A146,'PVC SCH40 LD'!$A$8:$M$21,9,FALSE),
IF($A146&lt;'Pool &amp; SPA Sweep Elbows'!$A$12,VLOOKUP($A146,'Pool &amp; SPA Sweep Elbows'!$A$8:$M$11,9,FALSE),
IF($A146&lt;'Pool &amp; SPA Pipe Extender'!$A$11,VLOOKUP($A146,'Pool &amp; SPA Pipe Extender'!$A$8:$M$10,9,FALSE),
IF($A146&lt;'PVC SCH80'!$A$250,VLOOKUP($A146,'PVC SCH80'!$A$8:$M$249,9,FALSE),
IF($A146&lt;'PVC SCH80 Flange'!$A$49,VLOOKUP($A146,'PVC SCH80 Flange'!$A$8:$M$48,9,FALSE),
IF($A146&lt;'PVC SCH80 LD Flange'!$A$17,VLOOKUP($A146,'PVC SCH80 LD Flange'!$A$8:$M$16,9,FALSE),
IF($A146&lt;CPVC!$A$100,VLOOKUP($A146,CPVC!$A$8:$M$99,9,FALSE),
IF($A146&lt;InsertFittings!$A$237,VLOOKUP($A146,InsertFittings!$A$11:$M$236,9,FALSE),
IF($A146&lt;Valves!$A$132,VLOOKUP($A146,Valves!$A$8:$M$131,9,FALSE),
IF($A146&lt;SDR35SW!$A$124,VLOOKUP($A146,SDR35SW!$A$8:$M$123,9,FALSE),
IF($A146&lt;SDR35G!$A$143,VLOOKUP($A146, SDR35G!$A$8:$M$142,9,FALSE),
IF($A146&lt;SDR26G!$A$61,VLOOKUP($A146,SDR26G!$A$8:$N$60,10,FALSE),
IF($A146&lt;Cements!$A$100,VLOOKUP($A146,Cements!$A$8:$Q$99,13,FALSE),
IF($A146&lt;ValveBox!$A$143,VLOOKUP($A146,ValveBox!$A$10:$O$142,11,FALSE),
IF($A146&lt;'ValveBox Components'!$A$165,VLOOKUP($A146,'ValveBox Components'!$A$10:$O$164,11,FALSE),
IF($A146&lt;Drainage!$A$92,VLOOKUP($A146,Drainage!$A$8:$M$91,9,FALSE),
IF($A146&lt;Nipples!$A$82,VLOOKUP($A146,Nipples!$A$9:$Q$81,13,FALSE),
IF($A146&lt;Manifold!$A$33,VLOOKUP($A146,Manifold!$A$9:$M$32,9,FALSE),
IF($A146&lt;FlexibleRepairCouplings!$A$13,VLOOKUP($A146,FlexibleRepairCouplings!$A$10:$M$12,9,FALSE),
IF($A146&lt;DuraFix!$A$15,VLOOKUP($A146,DuraFix!$A$9:$M$14,9,FALSE),
IF($A146&lt;'Compression Fittings'!$A$16,VLOOKUP($A146,'Compression Fittings'!$A$8:$M$15,9,FALSE),
IF($A146&lt;'Hose Fittings'!$A$30,VLOOKUP($A146,'Hose Fittings'!$A$8:$M$29,9,FALSE),
IF($A146&lt;'Swing Joints'!$A$496,VLOOKUP($A146,'Swing Joints'!$A$9:$M$495,9,FALSE),
IF($A146&lt;'Swing Joints Components'!$A$135,VLOOKUP($A146,'Swing Joints Components'!$A$9:$M$134,9,FALSE),
IF($A146&lt;Nonstandard!$A$42,VLOOKUP($A146,Nonstandard!$A$31:$J$41,8,FALSE),"")))))))))))))))))))))))))))),"")</f>
        <v/>
      </c>
      <c r="G146" s="422" t="str">
        <f>IFERROR(IF($A146&lt;'DWV PVC'!$A$285,VLOOKUP($A146,'DWV PVC'!$A$8:$M$284,11,FALSE),
IF($A146&lt;'DWV ABS'!$A$117,VLOOKUP($A146,'DWV ABS'!$A$8:$M$116,11,FALSE),
IF($A146&lt;'PVC SCH40'!$A$376,VLOOKUP($A146,'PVC SCH40'!$A$8:$M$375,11,FALSE),
IF($A146&lt;'PVC SCH40 LD'!$A$22,VLOOKUP($A146,'PVC SCH40 LD'!$A$8:$M$21,11,FALSE),
IF($A146&lt;'Pool &amp; SPA Sweep Elbows'!$A$12,VLOOKUP($A146,'Pool &amp; SPA Sweep Elbows'!$A$8:$M$11,11,FALSE),
IF($A146&lt;'Pool &amp; SPA Pipe Extender'!$A$11,VLOOKUP($A146,'Pool &amp; SPA Pipe Extender'!$A$8:$M$10,11,FALSE),
IF($A146&lt;'PVC SCH80'!$A$250,VLOOKUP($A146,'PVC SCH80'!$A$8:$M$249,11,FALSE),
IF($A146&lt;'PVC SCH80 Flange'!$A$49,VLOOKUP($A146,'PVC SCH80 Flange'!$A$8:$M$48,11,FALSE),
IF($A146&lt;'PVC SCH80 LD Flange'!$A$17,VLOOKUP($A146,'PVC SCH80 LD Flange'!$A$8:$M$16,11,FALSE),
IF($A146&lt;CPVC!$A$100,VLOOKUP($A146,CPVC!$A$8:$M$99,11,FALSE),
IF($A146&lt;InsertFittings!$A$237,VLOOKUP($A146,InsertFittings!$A$11:$M$236,11,FALSE),
IF($A146&lt;Valves!$A$132,VLOOKUP($A146,Valves!$A$8:$M$131,11,FALSE),
IF($A146&lt;SDR35SW!$A$124,VLOOKUP($A146,SDR35SW!$A$8:$M$123,11,FALSE),
IF($A146&lt;SDR35G!$A$143,VLOOKUP($A146, SDR35G!$A$8:$M$142,11,FALSE),
IF($A146&lt;SDR26G!$A$61,VLOOKUP($A146,SDR26G!$A$8:$N$60,12,FALSE),
IF($A146&lt;Cements!$A$100,VLOOKUP($A146,Cements!$A$8:$Q$99,15,FALSE),
IF($A146&lt;ValveBox!$A$143,VLOOKUP($A146,ValveBox!$A$10:$O$142,13,FALSE),
IF($A146&lt;'ValveBox Components'!$A$165,VLOOKUP($A146,'ValveBox Components'!$A$10:$O$164,13,FALSE),
IF($A146&lt;Drainage!$A$92,VLOOKUP($A146,Drainage!$A$8:$M$91,11,FALSE),
IF($A146&lt;Nipples!$A$82,VLOOKUP($A146,Nipples!$A$9:$Q$81,15,FALSE),
IF($A146&lt;Manifold!$A$33,VLOOKUP($A146,Manifold!$A$9:$M$32,11,FALSE),
IF($A146&lt;FlexibleRepairCouplings!$A$13,VLOOKUP($A146,FlexibleRepairCouplings!$A$10:$M$12,11,FALSE),
IF($A146&lt;DuraFix!$A$15,VLOOKUP($A146,DuraFix!$A$9:$M$14,11,FALSE),
IF($A146&lt;'Compression Fittings'!$A$16,VLOOKUP($A146,'Compression Fittings'!$A$8:$M$15,11,FALSE),
IF($A146&lt;'Hose Fittings'!$A$30,VLOOKUP($A146,'Hose Fittings'!$A$8:$M$29,11,FALSE),
IF($A146&lt;'Swing Joints'!$A$496,VLOOKUP($A146,'Swing Joints'!$A$9:$M$495,11,FALSE),
IF($A146&lt;'Swing Joints Components'!$A$135,VLOOKUP($A146,'Swing Joints Components'!$A$9:$M$134,11,FALSE),
IF($A146&lt;Nonstandard!$A$42,VLOOKUP($A146,Nonstandard!$A$31:$J$41,3,FALSE),"")))))))))))))))))))))))))))),"")</f>
        <v/>
      </c>
      <c r="H146" s="588" t="str">
        <f>IFERROR(IF($A146&lt;'DWV PVC'!$A$285,VLOOKUP($A146,'DWV PVC'!$A$8:$M$284,7,FALSE),
IF($A146&lt;'DWV ABS'!$A$117,VLOOKUP($A146,'DWV ABS'!$A$8:$M$116,7,FALSE),
IF($A146&lt;'PVC SCH40'!$A$376,VLOOKUP($A146,'PVC SCH40'!$A$8:$M$375,7,FALSE),
IF($A146&lt;'PVC SCH40 LD'!$A$22,VLOOKUP($A146,'PVC SCH40 LD'!$A$8:$M$21,7,FALSE),
IF($A146&lt;'Pool &amp; SPA Sweep Elbows'!$A$12,VLOOKUP($A146,'Pool &amp; SPA Sweep Elbows'!$A$8:$M$11,7,FALSE),
IF($A146&lt;'Pool &amp; SPA Pipe Extender'!$A$11,VLOOKUP($A146,'Pool &amp; SPA Pipe Extender'!$A$8:$M$10,7,FALSE),
IF($A146&lt;'PVC SCH80'!$A$250,VLOOKUP($A146,'PVC SCH80'!$A$8:$M$249,7,FALSE),
IF($A146&lt;'PVC SCH80 Flange'!$A$49,VLOOKUP($A146,'PVC SCH80 Flange'!$A$8:$M$48,7,FALSE),
IF($A146&lt;'PVC SCH80 LD Flange'!$A$17,VLOOKUP($A146,'PVC SCH80 LD Flange'!$A$8:$M$16,7,FALSE),
IF($A146&lt;CPVC!$A$100,VLOOKUP($A146,CPVC!$A$8:$M$99,7,FALSE),
IF($A146&lt;InsertFittings!$A$237,VLOOKUP($A146,InsertFittings!$A$11:$M$236,7,FALSE),
IF($A146&lt;Valves!$A$132,VLOOKUP($A146,Valves!$A$8:$M$131,7,FALSE),
IF($A146&lt;SDR35SW!$A$124,VLOOKUP($A146,SDR35SW!$A$8:$M$123,7,FALSE),
IF($A146&lt;SDR35G!$A$143,VLOOKUP($A146, SDR35G!$A$8:$M$142,7,FALSE),
IF($A146&lt;SDR26G!$A$61,VLOOKUP($A146,SDR26G!$A$8:$N$60,10,FALSE),
IF($A146&lt;Cements!$A$100,VLOOKUP($A146,Cements!$A$8:$Q$99,13,FALSE),
IF($A146&lt;ValveBox!$A$143,VLOOKUP($A146,ValveBox!$A$10:$O$142,11,FALSE),
IF($A146&lt;'ValveBox Components'!$A$165,VLOOKUP($A146,'ValveBox Components'!$A$10:$O$164,11,FALSE),
IF($A146&lt;Drainage!$A$92,VLOOKUP($A146,Drainage!$A$8:$M$91,7,FALSE),
IF($A146&lt;Nipples!$A$82,VLOOKUP($A146,Nipples!$A$9:$Q$81,13,FALSE),
IF($A146&lt;Manifold!$A$33,VLOOKUP($A146,Manifold!$A$9:$M$32,7,FALSE),
IF($A146&lt;FlexibleRepairCouplings!$A$13,VLOOKUP($A146,FlexibleRepairCouplings!$A$10:$M$12,7,FALSE),
IF($A146&lt;DuraFix!$A$15,VLOOKUP($A146,DuraFix!$A$9:$M$14,7,FALSE),
IF($A146&lt;'Compression Fittings'!$A$16,VLOOKUP($A146,'Compression Fittings'!$A$8:$M$15,7,FALSE),
IF($A146&lt;'Hose Fittings'!$A$30,VLOOKUP($A146,'Hose Fittings'!$A$8:$M$29,7,FALSE),
IF($A146&lt;'Swing Joints'!$A$496,VLOOKUP($A146,'Swing Joints'!$A$9:$M$495,7,FALSE),
IF($A146&lt;'Swing Joints Components'!$A$135,VLOOKUP($A146,'Swing Joints Components'!$A$9:$M$134,7,FALSE),
IF($A146&lt;Nonstandard!$A$42,VLOOKUP($A146,Nonstandard!$A$31:$J$41,3,FALSE),"")))))))))))))))))))))))))))),"")</f>
        <v/>
      </c>
      <c r="I146" s="589"/>
      <c r="J146" s="423" t="str">
        <f t="shared" si="3"/>
        <v/>
      </c>
      <c r="K146" s="424" t="str">
        <f>IFERROR(IF($A146&lt;'DWV PVC'!$A$285,VLOOKUP($A146,'DWV PVC'!$A$8:$M$284,10,FALSE),
IF($A146&lt;'DWV ABS'!$A$117,VLOOKUP($A146,'DWV ABS'!$A$8:$M$116,10,FALSE),
IF($A146&lt;'PVC SCH40'!$A$376,VLOOKUP($A146,'PVC SCH40'!$A$8:$M$375,10,FALSE),
IF($A146&lt;'PVC SCH40 LD'!$A$22,VLOOKUP($A146,'PVC SCH40 LD'!$A$8:$M$21,10,FALSE),
IF($A146&lt;'Pool &amp; SPA Sweep Elbows'!$A$12,VLOOKUP($A146,'Pool &amp; SPA Sweep Elbows'!$A$8:$M$11,10,FALSE),
IF($A146&lt;'Pool &amp; SPA Pipe Extender'!$A$11,VLOOKUP($A146,'Pool &amp; SPA Pipe Extender'!$A$8:$M$10,10,FALSE),
IF($A146&lt;'PVC SCH80'!$A$250,VLOOKUP($A146,'PVC SCH80'!$A$8:$M$249,10,FALSE),
IF($A146&lt;'PVC SCH80 Flange'!$A$49,VLOOKUP($A146,'PVC SCH80 Flange'!$A$8:$M$48,10,FALSE),
IF($A146&lt;'PVC SCH80 LD Flange'!$A$17,VLOOKUP($A146,'PVC SCH80 LD Flange'!$A$8:$M$16,10,FALSE),
IF($A146&lt;CPVC!$A$100,VLOOKUP($A146,CPVC!$A$8:$M$99,10,FALSE),
IF($A146&lt;InsertFittings!$A$237,VLOOKUP($A146,InsertFittings!$A$11:$M$236,10,FALSE),
IF($A146&lt;Valves!$A$132,VLOOKUP($A146,Valves!$A$8:$M$131,10,FALSE),
IF($A146&lt;SDR35SW!$A$124,VLOOKUP($A146,SDR35SW!$A$8:$M$123,10,FALSE),
IF($A146&lt;SDR35G!$A$143,VLOOKUP($A146, SDR35G!$A$8:$M$142,10,FALSE),
IF($A146&lt;SDR26G!$A$61,VLOOKUP($A146,SDR26G!$A$8:$N$60,11,FALSE),
IF($A146&lt;Cements!$A$100,VLOOKUP($A146,Cements!$A$8:$Q$99,14,FALSE),
IF($A146&lt;ValveBox!$A$143,VLOOKUP($A146,ValveBox!$A$10:$O$142,12,FALSE),
IF($A146&lt;'ValveBox Components'!$A$165,VLOOKUP($A146,'ValveBox Components'!$A$10:$O$164,12,FALSE),
IF($A146&lt;Drainage!$A$92,VLOOKUP($A146,Drainage!$A$8:$M$91,10,FALSE),
IF($A146&lt;Nipples!$A$82,VLOOKUP($A146,Nipples!$A$9:$Q$81,14,FALSE),
IF($A146&lt;Manifold!$A$33,VLOOKUP($A146,Manifold!$A$9:$M$32,10,FALSE),
IF($A146&lt;FlexibleRepairCouplings!$A$13,VLOOKUP($A146,FlexibleRepairCouplings!$A$10:$M$12,10,FALSE),
IF($A146&lt;DuraFix!$A$15,VLOOKUP($A146,DuraFix!$A$9:$M$14,10,FALSE),
IF($A146&lt;'Compression Fittings'!$A$16,VLOOKUP($A146,'Compression Fittings'!$A$8:$M$15,10,FALSE),
IF($A146&lt;'Hose Fittings'!$A$30,VLOOKUP($A146,'Hose Fittings'!$A$8:$M$29,10,FALSE),
IF($A146&lt;'Swing Joints'!$A$496,VLOOKUP($A146,'Swing Joints'!$A$9:$M$495,10,FALSE),
IF($A146&lt;'Swing Joints Components'!$A$135,VLOOKUP($A146,'Swing Joints Components'!$A$9:$M$134,10,FALSE),
IF($A146&lt;Nonstandard!$A$42,VLOOKUP($A146,Nonstandard!$A$31:$J$41,10,FALSE),"")))))))))))))))))))))))))))),"")</f>
        <v/>
      </c>
      <c r="L146" s="421" t="str">
        <f t="shared" si="2"/>
        <v>-</v>
      </c>
      <c r="M146" s="425"/>
    </row>
    <row r="147" spans="1:13" ht="15.75">
      <c r="A147" s="415">
        <v>115</v>
      </c>
      <c r="B147" s="415" t="str">
        <f>IFERROR(IF($A147&lt;'DWV PVC'!$A$285,VLOOKUP($A147,'DWV PVC'!$A$8:$M$284,4,FALSE),
IF($A147&lt;'DWV ABS'!$A$117,VLOOKUP($A147,'DWV ABS'!$A$8:$M$116,4,FALSE),
IF($A147&lt;'PVC SCH40'!$A$376,VLOOKUP($A147,'PVC SCH40'!$A$8:$M$375,4,FALSE),
IF($A147&lt;'PVC SCH40 LD'!$A$22,VLOOKUP($A147,'PVC SCH40 LD'!$A$8:$M$21,4,FALSE),
IF($A147&lt;'Pool &amp; SPA Sweep Elbows'!$A$12,VLOOKUP($A147,'Pool &amp; SPA Sweep Elbows'!$A$8:$M$11,4,FALSE),
IF($A147&lt;'Pool &amp; SPA Pipe Extender'!$A$11,VLOOKUP($A147,'Pool &amp; SPA Pipe Extender'!$A$8:$M$10,4,FALSE),
IF($A147&lt;'PVC SCH80'!$A$250,VLOOKUP($A147,'PVC SCH80'!$A$8:$M$249,4,FALSE),
IF($A147&lt;'PVC SCH80 Flange'!$A$49,VLOOKUP($A147,'PVC SCH80 Flange'!$A$8:$M$48,4,FALSE),
IF($A147&lt;'PVC SCH80 LD Flange'!$A$17,VLOOKUP($A147,'PVC SCH80 LD Flange'!$A$8:$M$16,4,FALSE),
IF($A147&lt;CPVC!$A$100,VLOOKUP($A147,CPVC!$A$8:$M$99,4,FALSE),
IF($A147&lt;InsertFittings!$A$237,VLOOKUP($A147,InsertFittings!$A$11:$M$236,4,FALSE),
IF($A147&lt;Valves!$A$132,VLOOKUP($A147,Valves!$A$8:$M$131,4,FALSE),
IF($A147&lt;SDR35SW!$A$124,VLOOKUP($A147,SDR35SW!$A$8:$M$123,4,FALSE),
IF($A147&lt;SDR35G!$A$143,VLOOKUP($A147, SDR35G!$A$8:$M$142,4,FALSE),
IF($A147&lt;SDR26G!$A$61,VLOOKUP($A147,SDR26G!$A$8:$N$60,4,FALSE),
IF($A147&lt;Cements!$A$100,VLOOKUP($A147,Cements!$A$8:$Q$99,4,FALSE),
IF($A147&lt;ValveBox!$A$143,VLOOKUP($A147,ValveBox!$A$10:$O$142,4,FALSE),
IF($A147&lt;'ValveBox Components'!$A$165,VLOOKUP($A147,'ValveBox Components'!$A$10:$O$164,4,FALSE),
IF($A147&lt;Drainage!$A$92,VLOOKUP($A147,Drainage!$A$8:$M$91,4,FALSE),
IF($A147&lt;Nipples!$A$82,VLOOKUP($A147,Nipples!$A$9:$Q$81,4,FALSE),
IF($A147&lt;Manifold!$A$33,VLOOKUP($A147,Manifold!$A$9:$M$32,4,FALSE),
IF($A147&lt;FlexibleRepairCouplings!$A$13,VLOOKUP($A147,FlexibleRepairCouplings!$A$10:$M$12,4,FALSE),
IF($A147&lt;DuraFix!$A$15,VLOOKUP($A147,DuraFix!$A$9:$M$14,4,FALSE),
IF($A147&lt;'Compression Fittings'!$A$16,VLOOKUP($A147,'Compression Fittings'!$A$8:$M$15,4,FALSE),
IF($A147&lt;'Hose Fittings'!$A$30,VLOOKUP($A147,'Hose Fittings'!$A$8:$M$29,4,FALSE),
IF($A147&lt;'Swing Joints'!$A$496,VLOOKUP($A147,'Swing Joints'!$A$9:$M$495,4,FALSE),
IF($A147&lt;'Swing Joints Components'!$A$135,VLOOKUP($A147,'Swing Joints Components'!$A$9:$M$134,4,FALSE),
IF($A147&lt;Nonstandard!$A$42,VLOOKUP($A147,Nonstandard!$A$31:$J$41,5,FALSE),"")))))))))))))))))))))))))))),"")</f>
        <v/>
      </c>
      <c r="C147" s="415" t="str">
        <f>IFERROR(IF($A147&lt;'DWV PVC'!$A$285,VLOOKUP($A147,'DWV PVC'!$A$8:$M$284,5,FALSE),
IF($A147&lt;'DWV ABS'!$A$117,VLOOKUP($A147,'DWV ABS'!$A$8:$M$116,5,FALSE),
IF($A147&lt;'PVC SCH40'!$A$376,VLOOKUP($A147,'PVC SCH40'!$A$8:$M$375,5,FALSE),
IF($A147&lt;'PVC SCH40 LD'!$A$22,VLOOKUP($A147,'PVC SCH40 LD'!$A$8:$M$21,5,FALSE),
IF($A147&lt;'Pool &amp; SPA Sweep Elbows'!$A$12,VLOOKUP($A147,'Pool &amp; SPA Sweep Elbows'!$A$8:$M$11,5,FALSE),
IF($A147&lt;'Pool &amp; SPA Pipe Extender'!$A$11,VLOOKUP($A147,'Pool &amp; SPA Pipe Extender'!$A$8:$M$10,5,FALSE),
IF($A147&lt;'PVC SCH80'!$A$250,VLOOKUP($A147,'PVC SCH80'!$A$8:$M$249,5,FALSE),
IF($A147&lt;'PVC SCH80 Flange'!$A$49,VLOOKUP($A147,'PVC SCH80 Flange'!$A$8:$M$48,5,FALSE),
IF($A147&lt;'PVC SCH80 LD Flange'!$A$17,VLOOKUP($A147,'PVC SCH80 LD Flange'!$A$8:$M$16,5,FALSE),
IF($A147&lt;CPVC!$A$100,VLOOKUP($A147,CPVC!$A$8:$M$99,5,FALSE),
IF($A147&lt;InsertFittings!$A$237,VLOOKUP($A147,InsertFittings!$A$11:$M$236,5,FALSE),
IF($A147&lt;Valves!$A$132,VLOOKUP($A147,Valves!$A$8:$M$131,5,FALSE),
IF($A147&lt;SDR35SW!$A$124,VLOOKUP($A147,SDR35SW!$A$8:$M$123,5,FALSE),
IF($A147&lt;SDR35G!$A$143,VLOOKUP($A147, SDR35G!$A$8:$M$142,5,FALSE),
IF($A147&lt;SDR26G!$A$61,VLOOKUP($A147,SDR26G!$A$8:$N$60,5,FALSE),
IF($A147&lt;Cements!$A$100,VLOOKUP($A147,Cements!$A$8:$Q$99,5,FALSE),
IF($A147&lt;ValveBox!$A$143,VLOOKUP($A147,ValveBox!$A$10:$O$142,5,FALSE),
IF($A147&lt;'ValveBox Components'!$A$165,VLOOKUP($A147,'ValveBox Components'!$A$10:$O$164,5,FALSE),
IF($A147&lt;Drainage!$A$92,VLOOKUP($A147,Drainage!$A$8:$M$91,5,FALSE),
IF($A147&lt;Nipples!$A$82,VLOOKUP($A147,Nipples!$A$9:$Q$81,5,FALSE),
IF($A147&lt;Manifold!$A$33,VLOOKUP($A147,Manifold!$A$9:$M$32,5,FALSE),
IF($A147&lt;FlexibleRepairCouplings!$A$13,VLOOKUP($A147,FlexibleRepairCouplings!$A$10:$M$12,5,FALSE),
IF($A147&lt;DuraFix!$A$15,VLOOKUP($A147,DuraFix!$A$9:$M$14,5,FALSE),
IF($A147&lt;'Compression Fittings'!$A$16,VLOOKUP($A147,'Compression Fittings'!$A$8:$M$15,5,FALSE),
IF($A147&lt;'Hose Fittings'!$A$30,VLOOKUP($A147,'Hose Fittings'!$A$8:$M$29,5,FALSE),
IF($A147&lt;'Swing Joints'!$A$496,VLOOKUP($A147,'Swing Joints'!$A$9:$M$495,5,FALSE),
IF($A147&lt;'Swing Joints Components'!$A$135,VLOOKUP($A147,'Swing Joints Components'!$A$9:$M$134,5,FALSE),
IF($A147&lt;Nonstandard!$A$42,VLOOKUP($A147,Nonstandard!$A$31:$J$41,6,FALSE),"")))))))))))))))))))))))))))),"")</f>
        <v/>
      </c>
      <c r="D147" s="426" t="str">
        <f>IFERROR(IF($A147&lt;'DWV PVC'!$A$285,VLOOKUP($A147,'DWV PVC'!$A$8:$M$284,6,FALSE),
IF($A147&lt;'DWV ABS'!$A$117,VLOOKUP($A147,'DWV ABS'!$A$8:$M$116,6,FALSE),
IF($A147&lt;'PVC SCH40'!$A$376,VLOOKUP($A147,'PVC SCH40'!$A$8:$M$375,6,FALSE),
IF($A147&lt;'PVC SCH40 LD'!$A$22,VLOOKUP($A147,'PVC SCH40 LD'!$A$8:$M$21,6,FALSE),
IF($A147&lt;'Pool &amp; SPA Sweep Elbows'!$A$12,VLOOKUP($A147,'Pool &amp; SPA Sweep Elbows'!$A$8:$M$11,6,FALSE),
IF($A147&lt;'Pool &amp; SPA Pipe Extender'!$A$11,VLOOKUP($A147,'Pool &amp; SPA Pipe Extender'!$A$8:$M$10,6,FALSE),
IF($A147&lt;'PVC SCH80'!$A$250,VLOOKUP($A147,'PVC SCH80'!$A$8:$M$249,6,FALSE),
IF($A147&lt;'PVC SCH80 Flange'!$A$49,VLOOKUP($A147,'PVC SCH80 Flange'!$A$8:$M$48,6,FALSE),
IF($A147&lt;'PVC SCH80 LD Flange'!$A$17,VLOOKUP($A147,'PVC SCH80 LD Flange'!$A$8:$M$16,6,FALSE),
IF($A147&lt;CPVC!$A$100,VLOOKUP($A147,CPVC!$A$8:$M$99,6,FALSE),
IF($A147&lt;InsertFittings!$A$237,VLOOKUP($A147,InsertFittings!$A$11:$M$236,6,FALSE),
IF($A147&lt;Valves!$A$132,VLOOKUP($A147,Valves!$A$8:$M$131,6,FALSE),
IF($A147&lt;SDR35SW!$A$124,VLOOKUP($A147,SDR35SW!$A$8:$M$123,6,FALSE),
IF($A147&lt;SDR35G!$A$143,VLOOKUP($A147, SDR35G!$A$8:$M$142,6,FALSE),
IF($A147&lt;SDR26G!$A$61,VLOOKUP($A147,SDR26G!$A$8:$N$60,6,FALSE),
IF($A147&lt;Cements!$A$100,VLOOKUP($A147,Cements!$A$8:$Q$99,6,FALSE),
IF($A147&lt;ValveBox!$A$143,VLOOKUP($A147,ValveBox!$A$10:$O$142,6,FALSE),
IF($A147&lt;'ValveBox Components'!$A$165,VLOOKUP($A147,'ValveBox Components'!$A$10:$O$164,6,FALSE),
IF($A147&lt;Drainage!$A$92,VLOOKUP($A147,Drainage!$A$8:$M$91,6,FALSE),
IF($A147&lt;Nipples!$A$82,VLOOKUP($A147,Nipples!$A$9:$Q$81,6,FALSE),
IF($A147&lt;Manifold!$A$33,VLOOKUP($A147,Manifold!$A$9:$M$32,6,FALSE),
IF($A147&lt;FlexibleRepairCouplings!$A$13,VLOOKUP($A147,FlexibleRepairCouplings!$A$10:$M$12,6,FALSE),
IF($A147&lt;DuraFix!$A$15,VLOOKUP($A147,DuraFix!$A$9:$M$14,6,FALSE),
IF($A147&lt;'Compression Fittings'!$A$16,VLOOKUP($A147,'Compression Fittings'!$A$8:$M$15,6,FALSE),
IF($A147&lt;'Hose Fittings'!$A$30,VLOOKUP($A147,'Hose Fittings'!$A$8:$M$29,6,FALSE),
IF($A147&lt;'Swing Joints'!$A$496,VLOOKUP($A147,'Swing Joints'!$A$9:$M$495,6,FALSE),
IF($A147&lt;'Swing Joints Components'!$A$135,VLOOKUP($A147,'Swing Joints Components'!$A$9:$M$134,6,FALSE),
IF($A147&lt;Nonstandard!$A$42,VLOOKUP($A147,Nonstandard!$A$31:$J$41,7,FALSE),"")))))))))))))))))))))))))))),"")</f>
        <v/>
      </c>
      <c r="E147" s="427"/>
      <c r="F147" s="418" t="str">
        <f>IFERROR(IF($A147&lt;'DWV PVC'!$A$285,VLOOKUP($A147,'DWV PVC'!$A$8:$M$284,9,FALSE),
IF($A147&lt;'DWV ABS'!$A$117,VLOOKUP($A147,'DWV ABS'!$A$8:$M$116,9,FALSE),
IF($A147&lt;'PVC SCH40'!$A$376,VLOOKUP($A147,'PVC SCH40'!$A$8:$M$375,9,FALSE),
IF($A147&lt;'PVC SCH40 LD'!$A$22,VLOOKUP($A147,'PVC SCH40 LD'!$A$8:$M$21,9,FALSE),
IF($A147&lt;'Pool &amp; SPA Sweep Elbows'!$A$12,VLOOKUP($A147,'Pool &amp; SPA Sweep Elbows'!$A$8:$M$11,9,FALSE),
IF($A147&lt;'Pool &amp; SPA Pipe Extender'!$A$11,VLOOKUP($A147,'Pool &amp; SPA Pipe Extender'!$A$8:$M$10,9,FALSE),
IF($A147&lt;'PVC SCH80'!$A$250,VLOOKUP($A147,'PVC SCH80'!$A$8:$M$249,9,FALSE),
IF($A147&lt;'PVC SCH80 Flange'!$A$49,VLOOKUP($A147,'PVC SCH80 Flange'!$A$8:$M$48,9,FALSE),
IF($A147&lt;'PVC SCH80 LD Flange'!$A$17,VLOOKUP($A147,'PVC SCH80 LD Flange'!$A$8:$M$16,9,FALSE),
IF($A147&lt;CPVC!$A$100,VLOOKUP($A147,CPVC!$A$8:$M$99,9,FALSE),
IF($A147&lt;InsertFittings!$A$237,VLOOKUP($A147,InsertFittings!$A$11:$M$236,9,FALSE),
IF($A147&lt;Valves!$A$132,VLOOKUP($A147,Valves!$A$8:$M$131,9,FALSE),
IF($A147&lt;SDR35SW!$A$124,VLOOKUP($A147,SDR35SW!$A$8:$M$123,9,FALSE),
IF($A147&lt;SDR35G!$A$143,VLOOKUP($A147, SDR35G!$A$8:$M$142,9,FALSE),
IF($A147&lt;SDR26G!$A$61,VLOOKUP($A147,SDR26G!$A$8:$N$60,10,FALSE),
IF($A147&lt;Cements!$A$100,VLOOKUP($A147,Cements!$A$8:$Q$99,13,FALSE),
IF($A147&lt;ValveBox!$A$143,VLOOKUP($A147,ValveBox!$A$10:$O$142,11,FALSE),
IF($A147&lt;'ValveBox Components'!$A$165,VLOOKUP($A147,'ValveBox Components'!$A$10:$O$164,11,FALSE),
IF($A147&lt;Drainage!$A$92,VLOOKUP($A147,Drainage!$A$8:$M$91,9,FALSE),
IF($A147&lt;Nipples!$A$82,VLOOKUP($A147,Nipples!$A$9:$Q$81,13,FALSE),
IF($A147&lt;Manifold!$A$33,VLOOKUP($A147,Manifold!$A$9:$M$32,9,FALSE),
IF($A147&lt;FlexibleRepairCouplings!$A$13,VLOOKUP($A147,FlexibleRepairCouplings!$A$10:$M$12,9,FALSE),
IF($A147&lt;DuraFix!$A$15,VLOOKUP($A147,DuraFix!$A$9:$M$14,9,FALSE),
IF($A147&lt;'Compression Fittings'!$A$16,VLOOKUP($A147,'Compression Fittings'!$A$8:$M$15,9,FALSE),
IF($A147&lt;'Hose Fittings'!$A$30,VLOOKUP($A147,'Hose Fittings'!$A$8:$M$29,9,FALSE),
IF($A147&lt;'Swing Joints'!$A$496,VLOOKUP($A147,'Swing Joints'!$A$9:$M$495,9,FALSE),
IF($A147&lt;'Swing Joints Components'!$A$135,VLOOKUP($A147,'Swing Joints Components'!$A$9:$M$134,9,FALSE),
IF($A147&lt;Nonstandard!$A$42,VLOOKUP($A147,Nonstandard!$A$31:$J$41,8,FALSE),"")))))))))))))))))))))))))))),"")</f>
        <v/>
      </c>
      <c r="G147" s="416" t="str">
        <f>IFERROR(IF($A147&lt;'DWV PVC'!$A$285,VLOOKUP($A147,'DWV PVC'!$A$8:$M$284,11,FALSE),
IF($A147&lt;'DWV ABS'!$A$117,VLOOKUP($A147,'DWV ABS'!$A$8:$M$116,11,FALSE),
IF($A147&lt;'PVC SCH40'!$A$376,VLOOKUP($A147,'PVC SCH40'!$A$8:$M$375,11,FALSE),
IF($A147&lt;'PVC SCH40 LD'!$A$22,VLOOKUP($A147,'PVC SCH40 LD'!$A$8:$M$21,11,FALSE),
IF($A147&lt;'Pool &amp; SPA Sweep Elbows'!$A$12,VLOOKUP($A147,'Pool &amp; SPA Sweep Elbows'!$A$8:$M$11,11,FALSE),
IF($A147&lt;'Pool &amp; SPA Pipe Extender'!$A$11,VLOOKUP($A147,'Pool &amp; SPA Pipe Extender'!$A$8:$M$10,11,FALSE),
IF($A147&lt;'PVC SCH80'!$A$250,VLOOKUP($A147,'PVC SCH80'!$A$8:$M$249,11,FALSE),
IF($A147&lt;'PVC SCH80 Flange'!$A$49,VLOOKUP($A147,'PVC SCH80 Flange'!$A$8:$M$48,11,FALSE),
IF($A147&lt;'PVC SCH80 LD Flange'!$A$17,VLOOKUP($A147,'PVC SCH80 LD Flange'!$A$8:$M$16,11,FALSE),
IF($A147&lt;CPVC!$A$100,VLOOKUP($A147,CPVC!$A$8:$M$99,11,FALSE),
IF($A147&lt;InsertFittings!$A$237,VLOOKUP($A147,InsertFittings!$A$11:$M$236,11,FALSE),
IF($A147&lt;Valves!$A$132,VLOOKUP($A147,Valves!$A$8:$M$131,11,FALSE),
IF($A147&lt;SDR35SW!$A$124,VLOOKUP($A147,SDR35SW!$A$8:$M$123,11,FALSE),
IF($A147&lt;SDR35G!$A$143,VLOOKUP($A147, SDR35G!$A$8:$M$142,11,FALSE),
IF($A147&lt;SDR26G!$A$61,VLOOKUP($A147,SDR26G!$A$8:$N$60,12,FALSE),
IF($A147&lt;Cements!$A$100,VLOOKUP($A147,Cements!$A$8:$Q$99,15,FALSE),
IF($A147&lt;ValveBox!$A$143,VLOOKUP($A147,ValveBox!$A$10:$O$142,13,FALSE),
IF($A147&lt;'ValveBox Components'!$A$165,VLOOKUP($A147,'ValveBox Components'!$A$10:$O$164,13,FALSE),
IF($A147&lt;Drainage!$A$92,VLOOKUP($A147,Drainage!$A$8:$M$91,11,FALSE),
IF($A147&lt;Nipples!$A$82,VLOOKUP($A147,Nipples!$A$9:$Q$81,15,FALSE),
IF($A147&lt;Manifold!$A$33,VLOOKUP($A147,Manifold!$A$9:$M$32,11,FALSE),
IF($A147&lt;FlexibleRepairCouplings!$A$13,VLOOKUP($A147,FlexibleRepairCouplings!$A$10:$M$12,11,FALSE),
IF($A147&lt;DuraFix!$A$15,VLOOKUP($A147,DuraFix!$A$9:$M$14,11,FALSE),
IF($A147&lt;'Compression Fittings'!$A$16,VLOOKUP($A147,'Compression Fittings'!$A$8:$M$15,11,FALSE),
IF($A147&lt;'Hose Fittings'!$A$30,VLOOKUP($A147,'Hose Fittings'!$A$8:$M$29,11,FALSE),
IF($A147&lt;'Swing Joints'!$A$496,VLOOKUP($A147,'Swing Joints'!$A$9:$M$495,11,FALSE),
IF($A147&lt;'Swing Joints Components'!$A$135,VLOOKUP($A147,'Swing Joints Components'!$A$9:$M$134,11,FALSE),
IF($A147&lt;Nonstandard!$A$42,VLOOKUP($A147,Nonstandard!$A$31:$J$41,3,FALSE),"")))))))))))))))))))))))))))),"")</f>
        <v/>
      </c>
      <c r="H147" s="586" t="str">
        <f>IFERROR(IF($A147&lt;'DWV PVC'!$A$285,VLOOKUP($A147,'DWV PVC'!$A$8:$M$284,7,FALSE),
IF($A147&lt;'DWV ABS'!$A$117,VLOOKUP($A147,'DWV ABS'!$A$8:$M$116,7,FALSE),
IF($A147&lt;'PVC SCH40'!$A$376,VLOOKUP($A147,'PVC SCH40'!$A$8:$M$375,7,FALSE),
IF($A147&lt;'PVC SCH40 LD'!$A$22,VLOOKUP($A147,'PVC SCH40 LD'!$A$8:$M$21,7,FALSE),
IF($A147&lt;'Pool &amp; SPA Sweep Elbows'!$A$12,VLOOKUP($A147,'Pool &amp; SPA Sweep Elbows'!$A$8:$M$11,7,FALSE),
IF($A147&lt;'Pool &amp; SPA Pipe Extender'!$A$11,VLOOKUP($A147,'Pool &amp; SPA Pipe Extender'!$A$8:$M$10,7,FALSE),
IF($A147&lt;'PVC SCH80'!$A$250,VLOOKUP($A147,'PVC SCH80'!$A$8:$M$249,7,FALSE),
IF($A147&lt;'PVC SCH80 Flange'!$A$49,VLOOKUP($A147,'PVC SCH80 Flange'!$A$8:$M$48,7,FALSE),
IF($A147&lt;'PVC SCH80 LD Flange'!$A$17,VLOOKUP($A147,'PVC SCH80 LD Flange'!$A$8:$M$16,7,FALSE),
IF($A147&lt;CPVC!$A$100,VLOOKUP($A147,CPVC!$A$8:$M$99,7,FALSE),
IF($A147&lt;InsertFittings!$A$237,VLOOKUP($A147,InsertFittings!$A$11:$M$236,7,FALSE),
IF($A147&lt;Valves!$A$132,VLOOKUP($A147,Valves!$A$8:$M$131,7,FALSE),
IF($A147&lt;SDR35SW!$A$124,VLOOKUP($A147,SDR35SW!$A$8:$M$123,7,FALSE),
IF($A147&lt;SDR35G!$A$143,VLOOKUP($A147, SDR35G!$A$8:$M$142,7,FALSE),
IF($A147&lt;SDR26G!$A$61,VLOOKUP($A147,SDR26G!$A$8:$N$60,10,FALSE),
IF($A147&lt;Cements!$A$100,VLOOKUP($A147,Cements!$A$8:$Q$99,13,FALSE),
IF($A147&lt;ValveBox!$A$143,VLOOKUP($A147,ValveBox!$A$10:$O$142,11,FALSE),
IF($A147&lt;'ValveBox Components'!$A$165,VLOOKUP($A147,'ValveBox Components'!$A$10:$O$164,11,FALSE),
IF($A147&lt;Drainage!$A$92,VLOOKUP($A147,Drainage!$A$8:$M$91,7,FALSE),
IF($A147&lt;Nipples!$A$82,VLOOKUP($A147,Nipples!$A$9:$Q$81,13,FALSE),
IF($A147&lt;Manifold!$A$33,VLOOKUP($A147,Manifold!$A$9:$M$32,7,FALSE),
IF($A147&lt;FlexibleRepairCouplings!$A$13,VLOOKUP($A147,FlexibleRepairCouplings!$A$10:$M$12,7,FALSE),
IF($A147&lt;DuraFix!$A$15,VLOOKUP($A147,DuraFix!$A$9:$M$14,7,FALSE),
IF($A147&lt;'Compression Fittings'!$A$16,VLOOKUP($A147,'Compression Fittings'!$A$8:$M$15,7,FALSE),
IF($A147&lt;'Hose Fittings'!$A$30,VLOOKUP($A147,'Hose Fittings'!$A$8:$M$29,7,FALSE),
IF($A147&lt;'Swing Joints'!$A$496,VLOOKUP($A147,'Swing Joints'!$A$9:$M$495,7,FALSE),
IF($A147&lt;'Swing Joints Components'!$A$135,VLOOKUP($A147,'Swing Joints Components'!$A$9:$M$134,7,FALSE),
IF($A147&lt;Nonstandard!$A$42,VLOOKUP($A147,Nonstandard!$A$31:$J$41,3,FALSE),"")))))))))))))))))))))))))))),"")</f>
        <v/>
      </c>
      <c r="I147" s="587"/>
      <c r="J147" s="383" t="str">
        <f t="shared" si="3"/>
        <v/>
      </c>
      <c r="K147" s="417" t="str">
        <f>IFERROR(IF($A147&lt;'DWV PVC'!$A$285,VLOOKUP($A147,'DWV PVC'!$A$8:$M$284,10,FALSE),
IF($A147&lt;'DWV ABS'!$A$117,VLOOKUP($A147,'DWV ABS'!$A$8:$M$116,10,FALSE),
IF($A147&lt;'PVC SCH40'!$A$376,VLOOKUP($A147,'PVC SCH40'!$A$8:$M$375,10,FALSE),
IF($A147&lt;'PVC SCH40 LD'!$A$22,VLOOKUP($A147,'PVC SCH40 LD'!$A$8:$M$21,10,FALSE),
IF($A147&lt;'Pool &amp; SPA Sweep Elbows'!$A$12,VLOOKUP($A147,'Pool &amp; SPA Sweep Elbows'!$A$8:$M$11,10,FALSE),
IF($A147&lt;'Pool &amp; SPA Pipe Extender'!$A$11,VLOOKUP($A147,'Pool &amp; SPA Pipe Extender'!$A$8:$M$10,10,FALSE),
IF($A147&lt;'PVC SCH80'!$A$250,VLOOKUP($A147,'PVC SCH80'!$A$8:$M$249,10,FALSE),
IF($A147&lt;'PVC SCH80 Flange'!$A$49,VLOOKUP($A147,'PVC SCH80 Flange'!$A$8:$M$48,10,FALSE),
IF($A147&lt;'PVC SCH80 LD Flange'!$A$17,VLOOKUP($A147,'PVC SCH80 LD Flange'!$A$8:$M$16,10,FALSE),
IF($A147&lt;CPVC!$A$100,VLOOKUP($A147,CPVC!$A$8:$M$99,10,FALSE),
IF($A147&lt;InsertFittings!$A$237,VLOOKUP($A147,InsertFittings!$A$11:$M$236,10,FALSE),
IF($A147&lt;Valves!$A$132,VLOOKUP($A147,Valves!$A$8:$M$131,10,FALSE),
IF($A147&lt;SDR35SW!$A$124,VLOOKUP($A147,SDR35SW!$A$8:$M$123,10,FALSE),
IF($A147&lt;SDR35G!$A$143,VLOOKUP($A147, SDR35G!$A$8:$M$142,10,FALSE),
IF($A147&lt;SDR26G!$A$61,VLOOKUP($A147,SDR26G!$A$8:$N$60,11,FALSE),
IF($A147&lt;Cements!$A$100,VLOOKUP($A147,Cements!$A$8:$Q$99,14,FALSE),
IF($A147&lt;ValveBox!$A$143,VLOOKUP($A147,ValveBox!$A$10:$O$142,12,FALSE),
IF($A147&lt;'ValveBox Components'!$A$165,VLOOKUP($A147,'ValveBox Components'!$A$10:$O$164,12,FALSE),
IF($A147&lt;Drainage!$A$92,VLOOKUP($A147,Drainage!$A$8:$M$91,10,FALSE),
IF($A147&lt;Nipples!$A$82,VLOOKUP($A147,Nipples!$A$9:$Q$81,14,FALSE),
IF($A147&lt;Manifold!$A$33,VLOOKUP($A147,Manifold!$A$9:$M$32,10,FALSE),
IF($A147&lt;FlexibleRepairCouplings!$A$13,VLOOKUP($A147,FlexibleRepairCouplings!$A$10:$M$12,10,FALSE),
IF($A147&lt;DuraFix!$A$15,VLOOKUP($A147,DuraFix!$A$9:$M$14,10,FALSE),
IF($A147&lt;'Compression Fittings'!$A$16,VLOOKUP($A147,'Compression Fittings'!$A$8:$M$15,10,FALSE),
IF($A147&lt;'Hose Fittings'!$A$30,VLOOKUP($A147,'Hose Fittings'!$A$8:$M$29,10,FALSE),
IF($A147&lt;'Swing Joints'!$A$496,VLOOKUP($A147,'Swing Joints'!$A$9:$M$495,10,FALSE),
IF($A147&lt;'Swing Joints Components'!$A$135,VLOOKUP($A147,'Swing Joints Components'!$A$9:$M$134,10,FALSE),
IF($A147&lt;Nonstandard!$A$42,VLOOKUP($A147,Nonstandard!$A$31:$J$41,10,FALSE),"")))))))))))))))))))))))))))),"")</f>
        <v/>
      </c>
      <c r="L147" s="418" t="str">
        <f t="shared" si="2"/>
        <v>-</v>
      </c>
      <c r="M147" s="419"/>
    </row>
    <row r="148" spans="1:13" ht="15.75">
      <c r="A148" s="420">
        <v>116</v>
      </c>
      <c r="B148" s="420" t="str">
        <f>IFERROR(IF($A148&lt;'DWV PVC'!$A$285,VLOOKUP($A148,'DWV PVC'!$A$8:$M$284,4,FALSE),
IF($A148&lt;'DWV ABS'!$A$117,VLOOKUP($A148,'DWV ABS'!$A$8:$M$116,4,FALSE),
IF($A148&lt;'PVC SCH40'!$A$376,VLOOKUP($A148,'PVC SCH40'!$A$8:$M$375,4,FALSE),
IF($A148&lt;'PVC SCH40 LD'!$A$22,VLOOKUP($A148,'PVC SCH40 LD'!$A$8:$M$21,4,FALSE),
IF($A148&lt;'Pool &amp; SPA Sweep Elbows'!$A$12,VLOOKUP($A148,'Pool &amp; SPA Sweep Elbows'!$A$8:$M$11,4,FALSE),
IF($A148&lt;'Pool &amp; SPA Pipe Extender'!$A$11,VLOOKUP($A148,'Pool &amp; SPA Pipe Extender'!$A$8:$M$10,4,FALSE),
IF($A148&lt;'PVC SCH80'!$A$250,VLOOKUP($A148,'PVC SCH80'!$A$8:$M$249,4,FALSE),
IF($A148&lt;'PVC SCH80 Flange'!$A$49,VLOOKUP($A148,'PVC SCH80 Flange'!$A$8:$M$48,4,FALSE),
IF($A148&lt;'PVC SCH80 LD Flange'!$A$17,VLOOKUP($A148,'PVC SCH80 LD Flange'!$A$8:$M$16,4,FALSE),
IF($A148&lt;CPVC!$A$100,VLOOKUP($A148,CPVC!$A$8:$M$99,4,FALSE),
IF($A148&lt;InsertFittings!$A$237,VLOOKUP($A148,InsertFittings!$A$11:$M$236,4,FALSE),
IF($A148&lt;Valves!$A$132,VLOOKUP($A148,Valves!$A$8:$M$131,4,FALSE),
IF($A148&lt;SDR35SW!$A$124,VLOOKUP($A148,SDR35SW!$A$8:$M$123,4,FALSE),
IF($A148&lt;SDR35G!$A$143,VLOOKUP($A148, SDR35G!$A$8:$M$142,4,FALSE),
IF($A148&lt;SDR26G!$A$61,VLOOKUP($A148,SDR26G!$A$8:$N$60,4,FALSE),
IF($A148&lt;Cements!$A$100,VLOOKUP($A148,Cements!$A$8:$Q$99,4,FALSE),
IF($A148&lt;ValveBox!$A$143,VLOOKUP($A148,ValveBox!$A$10:$O$142,4,FALSE),
IF($A148&lt;'ValveBox Components'!$A$165,VLOOKUP($A148,'ValveBox Components'!$A$10:$O$164,4,FALSE),
IF($A148&lt;Drainage!$A$92,VLOOKUP($A148,Drainage!$A$8:$M$91,4,FALSE),
IF($A148&lt;Nipples!$A$82,VLOOKUP($A148,Nipples!$A$9:$Q$81,4,FALSE),
IF($A148&lt;Manifold!$A$33,VLOOKUP($A148,Manifold!$A$9:$M$32,4,FALSE),
IF($A148&lt;FlexibleRepairCouplings!$A$13,VLOOKUP($A148,FlexibleRepairCouplings!$A$10:$M$12,4,FALSE),
IF($A148&lt;DuraFix!$A$15,VLOOKUP($A148,DuraFix!$A$9:$M$14,4,FALSE),
IF($A148&lt;'Compression Fittings'!$A$16,VLOOKUP($A148,'Compression Fittings'!$A$8:$M$15,4,FALSE),
IF($A148&lt;'Hose Fittings'!$A$30,VLOOKUP($A148,'Hose Fittings'!$A$8:$M$29,4,FALSE),
IF($A148&lt;'Swing Joints'!$A$496,VLOOKUP($A148,'Swing Joints'!$A$9:$M$495,4,FALSE),
IF($A148&lt;'Swing Joints Components'!$A$135,VLOOKUP($A148,'Swing Joints Components'!$A$9:$M$134,4,FALSE),
IF($A148&lt;Nonstandard!$A$42,VLOOKUP($A148,Nonstandard!$A$31:$J$41,5,FALSE),"")))))))))))))))))))))))))))),"")</f>
        <v/>
      </c>
      <c r="C148" s="420" t="str">
        <f>IFERROR(IF($A148&lt;'DWV PVC'!$A$285,VLOOKUP($A148,'DWV PVC'!$A$8:$M$284,5,FALSE),
IF($A148&lt;'DWV ABS'!$A$117,VLOOKUP($A148,'DWV ABS'!$A$8:$M$116,5,FALSE),
IF($A148&lt;'PVC SCH40'!$A$376,VLOOKUP($A148,'PVC SCH40'!$A$8:$M$375,5,FALSE),
IF($A148&lt;'PVC SCH40 LD'!$A$22,VLOOKUP($A148,'PVC SCH40 LD'!$A$8:$M$21,5,FALSE),
IF($A148&lt;'Pool &amp; SPA Sweep Elbows'!$A$12,VLOOKUP($A148,'Pool &amp; SPA Sweep Elbows'!$A$8:$M$11,5,FALSE),
IF($A148&lt;'Pool &amp; SPA Pipe Extender'!$A$11,VLOOKUP($A148,'Pool &amp; SPA Pipe Extender'!$A$8:$M$10,5,FALSE),
IF($A148&lt;'PVC SCH80'!$A$250,VLOOKUP($A148,'PVC SCH80'!$A$8:$M$249,5,FALSE),
IF($A148&lt;'PVC SCH80 Flange'!$A$49,VLOOKUP($A148,'PVC SCH80 Flange'!$A$8:$M$48,5,FALSE),
IF($A148&lt;'PVC SCH80 LD Flange'!$A$17,VLOOKUP($A148,'PVC SCH80 LD Flange'!$A$8:$M$16,5,FALSE),
IF($A148&lt;CPVC!$A$100,VLOOKUP($A148,CPVC!$A$8:$M$99,5,FALSE),
IF($A148&lt;InsertFittings!$A$237,VLOOKUP($A148,InsertFittings!$A$11:$M$236,5,FALSE),
IF($A148&lt;Valves!$A$132,VLOOKUP($A148,Valves!$A$8:$M$131,5,FALSE),
IF($A148&lt;SDR35SW!$A$124,VLOOKUP($A148,SDR35SW!$A$8:$M$123,5,FALSE),
IF($A148&lt;SDR35G!$A$143,VLOOKUP($A148, SDR35G!$A$8:$M$142,5,FALSE),
IF($A148&lt;SDR26G!$A$61,VLOOKUP($A148,SDR26G!$A$8:$N$60,5,FALSE),
IF($A148&lt;Cements!$A$100,VLOOKUP($A148,Cements!$A$8:$Q$99,5,FALSE),
IF($A148&lt;ValveBox!$A$143,VLOOKUP($A148,ValveBox!$A$10:$O$142,5,FALSE),
IF($A148&lt;'ValveBox Components'!$A$165,VLOOKUP($A148,'ValveBox Components'!$A$10:$O$164,5,FALSE),
IF($A148&lt;Drainage!$A$92,VLOOKUP($A148,Drainage!$A$8:$M$91,5,FALSE),
IF($A148&lt;Nipples!$A$82,VLOOKUP($A148,Nipples!$A$9:$Q$81,5,FALSE),
IF($A148&lt;Manifold!$A$33,VLOOKUP($A148,Manifold!$A$9:$M$32,5,FALSE),
IF($A148&lt;FlexibleRepairCouplings!$A$13,VLOOKUP($A148,FlexibleRepairCouplings!$A$10:$M$12,5,FALSE),
IF($A148&lt;DuraFix!$A$15,VLOOKUP($A148,DuraFix!$A$9:$M$14,5,FALSE),
IF($A148&lt;'Compression Fittings'!$A$16,VLOOKUP($A148,'Compression Fittings'!$A$8:$M$15,5,FALSE),
IF($A148&lt;'Hose Fittings'!$A$30,VLOOKUP($A148,'Hose Fittings'!$A$8:$M$29,5,FALSE),
IF($A148&lt;'Swing Joints'!$A$496,VLOOKUP($A148,'Swing Joints'!$A$9:$M$495,5,FALSE),
IF($A148&lt;'Swing Joints Components'!$A$135,VLOOKUP($A148,'Swing Joints Components'!$A$9:$M$134,5,FALSE),
IF($A148&lt;Nonstandard!$A$42,VLOOKUP($A148,Nonstandard!$A$31:$J$41,6,FALSE),"")))))))))))))))))))))))))))),"")</f>
        <v/>
      </c>
      <c r="D148" s="428" t="str">
        <f>IFERROR(IF($A148&lt;'DWV PVC'!$A$285,VLOOKUP($A148,'DWV PVC'!$A$8:$M$284,6,FALSE),
IF($A148&lt;'DWV ABS'!$A$117,VLOOKUP($A148,'DWV ABS'!$A$8:$M$116,6,FALSE),
IF($A148&lt;'PVC SCH40'!$A$376,VLOOKUP($A148,'PVC SCH40'!$A$8:$M$375,6,FALSE),
IF($A148&lt;'PVC SCH40 LD'!$A$22,VLOOKUP($A148,'PVC SCH40 LD'!$A$8:$M$21,6,FALSE),
IF($A148&lt;'Pool &amp; SPA Sweep Elbows'!$A$12,VLOOKUP($A148,'Pool &amp; SPA Sweep Elbows'!$A$8:$M$11,6,FALSE),
IF($A148&lt;'Pool &amp; SPA Pipe Extender'!$A$11,VLOOKUP($A148,'Pool &amp; SPA Pipe Extender'!$A$8:$M$10,6,FALSE),
IF($A148&lt;'PVC SCH80'!$A$250,VLOOKUP($A148,'PVC SCH80'!$A$8:$M$249,6,FALSE),
IF($A148&lt;'PVC SCH80 Flange'!$A$49,VLOOKUP($A148,'PVC SCH80 Flange'!$A$8:$M$48,6,FALSE),
IF($A148&lt;'PVC SCH80 LD Flange'!$A$17,VLOOKUP($A148,'PVC SCH80 LD Flange'!$A$8:$M$16,6,FALSE),
IF($A148&lt;CPVC!$A$100,VLOOKUP($A148,CPVC!$A$8:$M$99,6,FALSE),
IF($A148&lt;InsertFittings!$A$237,VLOOKUP($A148,InsertFittings!$A$11:$M$236,6,FALSE),
IF($A148&lt;Valves!$A$132,VLOOKUP($A148,Valves!$A$8:$M$131,6,FALSE),
IF($A148&lt;SDR35SW!$A$124,VLOOKUP($A148,SDR35SW!$A$8:$M$123,6,FALSE),
IF($A148&lt;SDR35G!$A$143,VLOOKUP($A148, SDR35G!$A$8:$M$142,6,FALSE),
IF($A148&lt;SDR26G!$A$61,VLOOKUP($A148,SDR26G!$A$8:$N$60,6,FALSE),
IF($A148&lt;Cements!$A$100,VLOOKUP($A148,Cements!$A$8:$Q$99,6,FALSE),
IF($A148&lt;ValveBox!$A$143,VLOOKUP($A148,ValveBox!$A$10:$O$142,6,FALSE),
IF($A148&lt;'ValveBox Components'!$A$165,VLOOKUP($A148,'ValveBox Components'!$A$10:$O$164,6,FALSE),
IF($A148&lt;Drainage!$A$92,VLOOKUP($A148,Drainage!$A$8:$M$91,6,FALSE),
IF($A148&lt;Nipples!$A$82,VLOOKUP($A148,Nipples!$A$9:$Q$81,6,FALSE),
IF($A148&lt;Manifold!$A$33,VLOOKUP($A148,Manifold!$A$9:$M$32,6,FALSE),
IF($A148&lt;FlexibleRepairCouplings!$A$13,VLOOKUP($A148,FlexibleRepairCouplings!$A$10:$M$12,6,FALSE),
IF($A148&lt;DuraFix!$A$15,VLOOKUP($A148,DuraFix!$A$9:$M$14,6,FALSE),
IF($A148&lt;'Compression Fittings'!$A$16,VLOOKUP($A148,'Compression Fittings'!$A$8:$M$15,6,FALSE),
IF($A148&lt;'Hose Fittings'!$A$30,VLOOKUP($A148,'Hose Fittings'!$A$8:$M$29,6,FALSE),
IF($A148&lt;'Swing Joints'!$A$496,VLOOKUP($A148,'Swing Joints'!$A$9:$M$495,6,FALSE),
IF($A148&lt;'Swing Joints Components'!$A$135,VLOOKUP($A148,'Swing Joints Components'!$A$9:$M$134,6,FALSE),
IF($A148&lt;Nonstandard!$A$42,VLOOKUP($A148,Nonstandard!$A$31:$J$41,7,FALSE),"")))))))))))))))))))))))))))),"")</f>
        <v/>
      </c>
      <c r="E148" s="429"/>
      <c r="F148" s="421" t="str">
        <f>IFERROR(IF($A148&lt;'DWV PVC'!$A$285,VLOOKUP($A148,'DWV PVC'!$A$8:$M$284,9,FALSE),
IF($A148&lt;'DWV ABS'!$A$117,VLOOKUP($A148,'DWV ABS'!$A$8:$M$116,9,FALSE),
IF($A148&lt;'PVC SCH40'!$A$376,VLOOKUP($A148,'PVC SCH40'!$A$8:$M$375,9,FALSE),
IF($A148&lt;'PVC SCH40 LD'!$A$22,VLOOKUP($A148,'PVC SCH40 LD'!$A$8:$M$21,9,FALSE),
IF($A148&lt;'Pool &amp; SPA Sweep Elbows'!$A$12,VLOOKUP($A148,'Pool &amp; SPA Sweep Elbows'!$A$8:$M$11,9,FALSE),
IF($A148&lt;'Pool &amp; SPA Pipe Extender'!$A$11,VLOOKUP($A148,'Pool &amp; SPA Pipe Extender'!$A$8:$M$10,9,FALSE),
IF($A148&lt;'PVC SCH80'!$A$250,VLOOKUP($A148,'PVC SCH80'!$A$8:$M$249,9,FALSE),
IF($A148&lt;'PVC SCH80 Flange'!$A$49,VLOOKUP($A148,'PVC SCH80 Flange'!$A$8:$M$48,9,FALSE),
IF($A148&lt;'PVC SCH80 LD Flange'!$A$17,VLOOKUP($A148,'PVC SCH80 LD Flange'!$A$8:$M$16,9,FALSE),
IF($A148&lt;CPVC!$A$100,VLOOKUP($A148,CPVC!$A$8:$M$99,9,FALSE),
IF($A148&lt;InsertFittings!$A$237,VLOOKUP($A148,InsertFittings!$A$11:$M$236,9,FALSE),
IF($A148&lt;Valves!$A$132,VLOOKUP($A148,Valves!$A$8:$M$131,9,FALSE),
IF($A148&lt;SDR35SW!$A$124,VLOOKUP($A148,SDR35SW!$A$8:$M$123,9,FALSE),
IF($A148&lt;SDR35G!$A$143,VLOOKUP($A148, SDR35G!$A$8:$M$142,9,FALSE),
IF($A148&lt;SDR26G!$A$61,VLOOKUP($A148,SDR26G!$A$8:$N$60,10,FALSE),
IF($A148&lt;Cements!$A$100,VLOOKUP($A148,Cements!$A$8:$Q$99,13,FALSE),
IF($A148&lt;ValveBox!$A$143,VLOOKUP($A148,ValveBox!$A$10:$O$142,11,FALSE),
IF($A148&lt;'ValveBox Components'!$A$165,VLOOKUP($A148,'ValveBox Components'!$A$10:$O$164,11,FALSE),
IF($A148&lt;Drainage!$A$92,VLOOKUP($A148,Drainage!$A$8:$M$91,9,FALSE),
IF($A148&lt;Nipples!$A$82,VLOOKUP($A148,Nipples!$A$9:$Q$81,13,FALSE),
IF($A148&lt;Manifold!$A$33,VLOOKUP($A148,Manifold!$A$9:$M$32,9,FALSE),
IF($A148&lt;FlexibleRepairCouplings!$A$13,VLOOKUP($A148,FlexibleRepairCouplings!$A$10:$M$12,9,FALSE),
IF($A148&lt;DuraFix!$A$15,VLOOKUP($A148,DuraFix!$A$9:$M$14,9,FALSE),
IF($A148&lt;'Compression Fittings'!$A$16,VLOOKUP($A148,'Compression Fittings'!$A$8:$M$15,9,FALSE),
IF($A148&lt;'Hose Fittings'!$A$30,VLOOKUP($A148,'Hose Fittings'!$A$8:$M$29,9,FALSE),
IF($A148&lt;'Swing Joints'!$A$496,VLOOKUP($A148,'Swing Joints'!$A$9:$M$495,9,FALSE),
IF($A148&lt;'Swing Joints Components'!$A$135,VLOOKUP($A148,'Swing Joints Components'!$A$9:$M$134,9,FALSE),
IF($A148&lt;Nonstandard!$A$42,VLOOKUP($A148,Nonstandard!$A$31:$J$41,8,FALSE),"")))))))))))))))))))))))))))),"")</f>
        <v/>
      </c>
      <c r="G148" s="422" t="str">
        <f>IFERROR(IF($A148&lt;'DWV PVC'!$A$285,VLOOKUP($A148,'DWV PVC'!$A$8:$M$284,11,FALSE),
IF($A148&lt;'DWV ABS'!$A$117,VLOOKUP($A148,'DWV ABS'!$A$8:$M$116,11,FALSE),
IF($A148&lt;'PVC SCH40'!$A$376,VLOOKUP($A148,'PVC SCH40'!$A$8:$M$375,11,FALSE),
IF($A148&lt;'PVC SCH40 LD'!$A$22,VLOOKUP($A148,'PVC SCH40 LD'!$A$8:$M$21,11,FALSE),
IF($A148&lt;'Pool &amp; SPA Sweep Elbows'!$A$12,VLOOKUP($A148,'Pool &amp; SPA Sweep Elbows'!$A$8:$M$11,11,FALSE),
IF($A148&lt;'Pool &amp; SPA Pipe Extender'!$A$11,VLOOKUP($A148,'Pool &amp; SPA Pipe Extender'!$A$8:$M$10,11,FALSE),
IF($A148&lt;'PVC SCH80'!$A$250,VLOOKUP($A148,'PVC SCH80'!$A$8:$M$249,11,FALSE),
IF($A148&lt;'PVC SCH80 Flange'!$A$49,VLOOKUP($A148,'PVC SCH80 Flange'!$A$8:$M$48,11,FALSE),
IF($A148&lt;'PVC SCH80 LD Flange'!$A$17,VLOOKUP($A148,'PVC SCH80 LD Flange'!$A$8:$M$16,11,FALSE),
IF($A148&lt;CPVC!$A$100,VLOOKUP($A148,CPVC!$A$8:$M$99,11,FALSE),
IF($A148&lt;InsertFittings!$A$237,VLOOKUP($A148,InsertFittings!$A$11:$M$236,11,FALSE),
IF($A148&lt;Valves!$A$132,VLOOKUP($A148,Valves!$A$8:$M$131,11,FALSE),
IF($A148&lt;SDR35SW!$A$124,VLOOKUP($A148,SDR35SW!$A$8:$M$123,11,FALSE),
IF($A148&lt;SDR35G!$A$143,VLOOKUP($A148, SDR35G!$A$8:$M$142,11,FALSE),
IF($A148&lt;SDR26G!$A$61,VLOOKUP($A148,SDR26G!$A$8:$N$60,12,FALSE),
IF($A148&lt;Cements!$A$100,VLOOKUP($A148,Cements!$A$8:$Q$99,15,FALSE),
IF($A148&lt;ValveBox!$A$143,VLOOKUP($A148,ValveBox!$A$10:$O$142,13,FALSE),
IF($A148&lt;'ValveBox Components'!$A$165,VLOOKUP($A148,'ValveBox Components'!$A$10:$O$164,13,FALSE),
IF($A148&lt;Drainage!$A$92,VLOOKUP($A148,Drainage!$A$8:$M$91,11,FALSE),
IF($A148&lt;Nipples!$A$82,VLOOKUP($A148,Nipples!$A$9:$Q$81,15,FALSE),
IF($A148&lt;Manifold!$A$33,VLOOKUP($A148,Manifold!$A$9:$M$32,11,FALSE),
IF($A148&lt;FlexibleRepairCouplings!$A$13,VLOOKUP($A148,FlexibleRepairCouplings!$A$10:$M$12,11,FALSE),
IF($A148&lt;DuraFix!$A$15,VLOOKUP($A148,DuraFix!$A$9:$M$14,11,FALSE),
IF($A148&lt;'Compression Fittings'!$A$16,VLOOKUP($A148,'Compression Fittings'!$A$8:$M$15,11,FALSE),
IF($A148&lt;'Hose Fittings'!$A$30,VLOOKUP($A148,'Hose Fittings'!$A$8:$M$29,11,FALSE),
IF($A148&lt;'Swing Joints'!$A$496,VLOOKUP($A148,'Swing Joints'!$A$9:$M$495,11,FALSE),
IF($A148&lt;'Swing Joints Components'!$A$135,VLOOKUP($A148,'Swing Joints Components'!$A$9:$M$134,11,FALSE),
IF($A148&lt;Nonstandard!$A$42,VLOOKUP($A148,Nonstandard!$A$31:$J$41,3,FALSE),"")))))))))))))))))))))))))))),"")</f>
        <v/>
      </c>
      <c r="H148" s="588" t="str">
        <f>IFERROR(IF($A148&lt;'DWV PVC'!$A$285,VLOOKUP($A148,'DWV PVC'!$A$8:$M$284,7,FALSE),
IF($A148&lt;'DWV ABS'!$A$117,VLOOKUP($A148,'DWV ABS'!$A$8:$M$116,7,FALSE),
IF($A148&lt;'PVC SCH40'!$A$376,VLOOKUP($A148,'PVC SCH40'!$A$8:$M$375,7,FALSE),
IF($A148&lt;'PVC SCH40 LD'!$A$22,VLOOKUP($A148,'PVC SCH40 LD'!$A$8:$M$21,7,FALSE),
IF($A148&lt;'Pool &amp; SPA Sweep Elbows'!$A$12,VLOOKUP($A148,'Pool &amp; SPA Sweep Elbows'!$A$8:$M$11,7,FALSE),
IF($A148&lt;'Pool &amp; SPA Pipe Extender'!$A$11,VLOOKUP($A148,'Pool &amp; SPA Pipe Extender'!$A$8:$M$10,7,FALSE),
IF($A148&lt;'PVC SCH80'!$A$250,VLOOKUP($A148,'PVC SCH80'!$A$8:$M$249,7,FALSE),
IF($A148&lt;'PVC SCH80 Flange'!$A$49,VLOOKUP($A148,'PVC SCH80 Flange'!$A$8:$M$48,7,FALSE),
IF($A148&lt;'PVC SCH80 LD Flange'!$A$17,VLOOKUP($A148,'PVC SCH80 LD Flange'!$A$8:$M$16,7,FALSE),
IF($A148&lt;CPVC!$A$100,VLOOKUP($A148,CPVC!$A$8:$M$99,7,FALSE),
IF($A148&lt;InsertFittings!$A$237,VLOOKUP($A148,InsertFittings!$A$11:$M$236,7,FALSE),
IF($A148&lt;Valves!$A$132,VLOOKUP($A148,Valves!$A$8:$M$131,7,FALSE),
IF($A148&lt;SDR35SW!$A$124,VLOOKUP($A148,SDR35SW!$A$8:$M$123,7,FALSE),
IF($A148&lt;SDR35G!$A$143,VLOOKUP($A148, SDR35G!$A$8:$M$142,7,FALSE),
IF($A148&lt;SDR26G!$A$61,VLOOKUP($A148,SDR26G!$A$8:$N$60,10,FALSE),
IF($A148&lt;Cements!$A$100,VLOOKUP($A148,Cements!$A$8:$Q$99,13,FALSE),
IF($A148&lt;ValveBox!$A$143,VLOOKUP($A148,ValveBox!$A$10:$O$142,11,FALSE),
IF($A148&lt;'ValveBox Components'!$A$165,VLOOKUP($A148,'ValveBox Components'!$A$10:$O$164,11,FALSE),
IF($A148&lt;Drainage!$A$92,VLOOKUP($A148,Drainage!$A$8:$M$91,7,FALSE),
IF($A148&lt;Nipples!$A$82,VLOOKUP($A148,Nipples!$A$9:$Q$81,13,FALSE),
IF($A148&lt;Manifold!$A$33,VLOOKUP($A148,Manifold!$A$9:$M$32,7,FALSE),
IF($A148&lt;FlexibleRepairCouplings!$A$13,VLOOKUP($A148,FlexibleRepairCouplings!$A$10:$M$12,7,FALSE),
IF($A148&lt;DuraFix!$A$15,VLOOKUP($A148,DuraFix!$A$9:$M$14,7,FALSE),
IF($A148&lt;'Compression Fittings'!$A$16,VLOOKUP($A148,'Compression Fittings'!$A$8:$M$15,7,FALSE),
IF($A148&lt;'Hose Fittings'!$A$30,VLOOKUP($A148,'Hose Fittings'!$A$8:$M$29,7,FALSE),
IF($A148&lt;'Swing Joints'!$A$496,VLOOKUP($A148,'Swing Joints'!$A$9:$M$495,7,FALSE),
IF($A148&lt;'Swing Joints Components'!$A$135,VLOOKUP($A148,'Swing Joints Components'!$A$9:$M$134,7,FALSE),
IF($A148&lt;Nonstandard!$A$42,VLOOKUP($A148,Nonstandard!$A$31:$J$41,3,FALSE),"")))))))))))))))))))))))))))),"")</f>
        <v/>
      </c>
      <c r="I148" s="589"/>
      <c r="J148" s="423" t="str">
        <f t="shared" si="3"/>
        <v/>
      </c>
      <c r="K148" s="424" t="str">
        <f>IFERROR(IF($A148&lt;'DWV PVC'!$A$285,VLOOKUP($A148,'DWV PVC'!$A$8:$M$284,10,FALSE),
IF($A148&lt;'DWV ABS'!$A$117,VLOOKUP($A148,'DWV ABS'!$A$8:$M$116,10,FALSE),
IF($A148&lt;'PVC SCH40'!$A$376,VLOOKUP($A148,'PVC SCH40'!$A$8:$M$375,10,FALSE),
IF($A148&lt;'PVC SCH40 LD'!$A$22,VLOOKUP($A148,'PVC SCH40 LD'!$A$8:$M$21,10,FALSE),
IF($A148&lt;'Pool &amp; SPA Sweep Elbows'!$A$12,VLOOKUP($A148,'Pool &amp; SPA Sweep Elbows'!$A$8:$M$11,10,FALSE),
IF($A148&lt;'Pool &amp; SPA Pipe Extender'!$A$11,VLOOKUP($A148,'Pool &amp; SPA Pipe Extender'!$A$8:$M$10,10,FALSE),
IF($A148&lt;'PVC SCH80'!$A$250,VLOOKUP($A148,'PVC SCH80'!$A$8:$M$249,10,FALSE),
IF($A148&lt;'PVC SCH80 Flange'!$A$49,VLOOKUP($A148,'PVC SCH80 Flange'!$A$8:$M$48,10,FALSE),
IF($A148&lt;'PVC SCH80 LD Flange'!$A$17,VLOOKUP($A148,'PVC SCH80 LD Flange'!$A$8:$M$16,10,FALSE),
IF($A148&lt;CPVC!$A$100,VLOOKUP($A148,CPVC!$A$8:$M$99,10,FALSE),
IF($A148&lt;InsertFittings!$A$237,VLOOKUP($A148,InsertFittings!$A$11:$M$236,10,FALSE),
IF($A148&lt;Valves!$A$132,VLOOKUP($A148,Valves!$A$8:$M$131,10,FALSE),
IF($A148&lt;SDR35SW!$A$124,VLOOKUP($A148,SDR35SW!$A$8:$M$123,10,FALSE),
IF($A148&lt;SDR35G!$A$143,VLOOKUP($A148, SDR35G!$A$8:$M$142,10,FALSE),
IF($A148&lt;SDR26G!$A$61,VLOOKUP($A148,SDR26G!$A$8:$N$60,11,FALSE),
IF($A148&lt;Cements!$A$100,VLOOKUP($A148,Cements!$A$8:$Q$99,14,FALSE),
IF($A148&lt;ValveBox!$A$143,VLOOKUP($A148,ValveBox!$A$10:$O$142,12,FALSE),
IF($A148&lt;'ValveBox Components'!$A$165,VLOOKUP($A148,'ValveBox Components'!$A$10:$O$164,12,FALSE),
IF($A148&lt;Drainage!$A$92,VLOOKUP($A148,Drainage!$A$8:$M$91,10,FALSE),
IF($A148&lt;Nipples!$A$82,VLOOKUP($A148,Nipples!$A$9:$Q$81,14,FALSE),
IF($A148&lt;Manifold!$A$33,VLOOKUP($A148,Manifold!$A$9:$M$32,10,FALSE),
IF($A148&lt;FlexibleRepairCouplings!$A$13,VLOOKUP($A148,FlexibleRepairCouplings!$A$10:$M$12,10,FALSE),
IF($A148&lt;DuraFix!$A$15,VLOOKUP($A148,DuraFix!$A$9:$M$14,10,FALSE),
IF($A148&lt;'Compression Fittings'!$A$16,VLOOKUP($A148,'Compression Fittings'!$A$8:$M$15,10,FALSE),
IF($A148&lt;'Hose Fittings'!$A$30,VLOOKUP($A148,'Hose Fittings'!$A$8:$M$29,10,FALSE),
IF($A148&lt;'Swing Joints'!$A$496,VLOOKUP($A148,'Swing Joints'!$A$9:$M$495,10,FALSE),
IF($A148&lt;'Swing Joints Components'!$A$135,VLOOKUP($A148,'Swing Joints Components'!$A$9:$M$134,10,FALSE),
IF($A148&lt;Nonstandard!$A$42,VLOOKUP($A148,Nonstandard!$A$31:$J$41,10,FALSE),"")))))))))))))))))))))))))))),"")</f>
        <v/>
      </c>
      <c r="L148" s="421" t="str">
        <f t="shared" si="2"/>
        <v>-</v>
      </c>
      <c r="M148" s="425"/>
    </row>
    <row r="149" spans="1:13" ht="15.75">
      <c r="A149" s="415">
        <v>117</v>
      </c>
      <c r="B149" s="415" t="str">
        <f>IFERROR(IF($A149&lt;'DWV PVC'!$A$285,VLOOKUP($A149,'DWV PVC'!$A$8:$M$284,4,FALSE),
IF($A149&lt;'DWV ABS'!$A$117,VLOOKUP($A149,'DWV ABS'!$A$8:$M$116,4,FALSE),
IF($A149&lt;'PVC SCH40'!$A$376,VLOOKUP($A149,'PVC SCH40'!$A$8:$M$375,4,FALSE),
IF($A149&lt;'PVC SCH40 LD'!$A$22,VLOOKUP($A149,'PVC SCH40 LD'!$A$8:$M$21,4,FALSE),
IF($A149&lt;'Pool &amp; SPA Sweep Elbows'!$A$12,VLOOKUP($A149,'Pool &amp; SPA Sweep Elbows'!$A$8:$M$11,4,FALSE),
IF($A149&lt;'Pool &amp; SPA Pipe Extender'!$A$11,VLOOKUP($A149,'Pool &amp; SPA Pipe Extender'!$A$8:$M$10,4,FALSE),
IF($A149&lt;'PVC SCH80'!$A$250,VLOOKUP($A149,'PVC SCH80'!$A$8:$M$249,4,FALSE),
IF($A149&lt;'PVC SCH80 Flange'!$A$49,VLOOKUP($A149,'PVC SCH80 Flange'!$A$8:$M$48,4,FALSE),
IF($A149&lt;'PVC SCH80 LD Flange'!$A$17,VLOOKUP($A149,'PVC SCH80 LD Flange'!$A$8:$M$16,4,FALSE),
IF($A149&lt;CPVC!$A$100,VLOOKUP($A149,CPVC!$A$8:$M$99,4,FALSE),
IF($A149&lt;InsertFittings!$A$237,VLOOKUP($A149,InsertFittings!$A$11:$M$236,4,FALSE),
IF($A149&lt;Valves!$A$132,VLOOKUP($A149,Valves!$A$8:$M$131,4,FALSE),
IF($A149&lt;SDR35SW!$A$124,VLOOKUP($A149,SDR35SW!$A$8:$M$123,4,FALSE),
IF($A149&lt;SDR35G!$A$143,VLOOKUP($A149, SDR35G!$A$8:$M$142,4,FALSE),
IF($A149&lt;SDR26G!$A$61,VLOOKUP($A149,SDR26G!$A$8:$N$60,4,FALSE),
IF($A149&lt;Cements!$A$100,VLOOKUP($A149,Cements!$A$8:$Q$99,4,FALSE),
IF($A149&lt;ValveBox!$A$143,VLOOKUP($A149,ValveBox!$A$10:$O$142,4,FALSE),
IF($A149&lt;'ValveBox Components'!$A$165,VLOOKUP($A149,'ValveBox Components'!$A$10:$O$164,4,FALSE),
IF($A149&lt;Drainage!$A$92,VLOOKUP($A149,Drainage!$A$8:$M$91,4,FALSE),
IF($A149&lt;Nipples!$A$82,VLOOKUP($A149,Nipples!$A$9:$Q$81,4,FALSE),
IF($A149&lt;Manifold!$A$33,VLOOKUP($A149,Manifold!$A$9:$M$32,4,FALSE),
IF($A149&lt;FlexibleRepairCouplings!$A$13,VLOOKUP($A149,FlexibleRepairCouplings!$A$10:$M$12,4,FALSE),
IF($A149&lt;DuraFix!$A$15,VLOOKUP($A149,DuraFix!$A$9:$M$14,4,FALSE),
IF($A149&lt;'Compression Fittings'!$A$16,VLOOKUP($A149,'Compression Fittings'!$A$8:$M$15,4,FALSE),
IF($A149&lt;'Hose Fittings'!$A$30,VLOOKUP($A149,'Hose Fittings'!$A$8:$M$29,4,FALSE),
IF($A149&lt;'Swing Joints'!$A$496,VLOOKUP($A149,'Swing Joints'!$A$9:$M$495,4,FALSE),
IF($A149&lt;'Swing Joints Components'!$A$135,VLOOKUP($A149,'Swing Joints Components'!$A$9:$M$134,4,FALSE),
IF($A149&lt;Nonstandard!$A$42,VLOOKUP($A149,Nonstandard!$A$31:$J$41,5,FALSE),"")))))))))))))))))))))))))))),"")</f>
        <v/>
      </c>
      <c r="C149" s="415" t="str">
        <f>IFERROR(IF($A149&lt;'DWV PVC'!$A$285,VLOOKUP($A149,'DWV PVC'!$A$8:$M$284,5,FALSE),
IF($A149&lt;'DWV ABS'!$A$117,VLOOKUP($A149,'DWV ABS'!$A$8:$M$116,5,FALSE),
IF($A149&lt;'PVC SCH40'!$A$376,VLOOKUP($A149,'PVC SCH40'!$A$8:$M$375,5,FALSE),
IF($A149&lt;'PVC SCH40 LD'!$A$22,VLOOKUP($A149,'PVC SCH40 LD'!$A$8:$M$21,5,FALSE),
IF($A149&lt;'Pool &amp; SPA Sweep Elbows'!$A$12,VLOOKUP($A149,'Pool &amp; SPA Sweep Elbows'!$A$8:$M$11,5,FALSE),
IF($A149&lt;'Pool &amp; SPA Pipe Extender'!$A$11,VLOOKUP($A149,'Pool &amp; SPA Pipe Extender'!$A$8:$M$10,5,FALSE),
IF($A149&lt;'PVC SCH80'!$A$250,VLOOKUP($A149,'PVC SCH80'!$A$8:$M$249,5,FALSE),
IF($A149&lt;'PVC SCH80 Flange'!$A$49,VLOOKUP($A149,'PVC SCH80 Flange'!$A$8:$M$48,5,FALSE),
IF($A149&lt;'PVC SCH80 LD Flange'!$A$17,VLOOKUP($A149,'PVC SCH80 LD Flange'!$A$8:$M$16,5,FALSE),
IF($A149&lt;CPVC!$A$100,VLOOKUP($A149,CPVC!$A$8:$M$99,5,FALSE),
IF($A149&lt;InsertFittings!$A$237,VLOOKUP($A149,InsertFittings!$A$11:$M$236,5,FALSE),
IF($A149&lt;Valves!$A$132,VLOOKUP($A149,Valves!$A$8:$M$131,5,FALSE),
IF($A149&lt;SDR35SW!$A$124,VLOOKUP($A149,SDR35SW!$A$8:$M$123,5,FALSE),
IF($A149&lt;SDR35G!$A$143,VLOOKUP($A149, SDR35G!$A$8:$M$142,5,FALSE),
IF($A149&lt;SDR26G!$A$61,VLOOKUP($A149,SDR26G!$A$8:$N$60,5,FALSE),
IF($A149&lt;Cements!$A$100,VLOOKUP($A149,Cements!$A$8:$Q$99,5,FALSE),
IF($A149&lt;ValveBox!$A$143,VLOOKUP($A149,ValveBox!$A$10:$O$142,5,FALSE),
IF($A149&lt;'ValveBox Components'!$A$165,VLOOKUP($A149,'ValveBox Components'!$A$10:$O$164,5,FALSE),
IF($A149&lt;Drainage!$A$92,VLOOKUP($A149,Drainage!$A$8:$M$91,5,FALSE),
IF($A149&lt;Nipples!$A$82,VLOOKUP($A149,Nipples!$A$9:$Q$81,5,FALSE),
IF($A149&lt;Manifold!$A$33,VLOOKUP($A149,Manifold!$A$9:$M$32,5,FALSE),
IF($A149&lt;FlexibleRepairCouplings!$A$13,VLOOKUP($A149,FlexibleRepairCouplings!$A$10:$M$12,5,FALSE),
IF($A149&lt;DuraFix!$A$15,VLOOKUP($A149,DuraFix!$A$9:$M$14,5,FALSE),
IF($A149&lt;'Compression Fittings'!$A$16,VLOOKUP($A149,'Compression Fittings'!$A$8:$M$15,5,FALSE),
IF($A149&lt;'Hose Fittings'!$A$30,VLOOKUP($A149,'Hose Fittings'!$A$8:$M$29,5,FALSE),
IF($A149&lt;'Swing Joints'!$A$496,VLOOKUP($A149,'Swing Joints'!$A$9:$M$495,5,FALSE),
IF($A149&lt;'Swing Joints Components'!$A$135,VLOOKUP($A149,'Swing Joints Components'!$A$9:$M$134,5,FALSE),
IF($A149&lt;Nonstandard!$A$42,VLOOKUP($A149,Nonstandard!$A$31:$J$41,6,FALSE),"")))))))))))))))))))))))))))),"")</f>
        <v/>
      </c>
      <c r="D149" s="426" t="str">
        <f>IFERROR(IF($A149&lt;'DWV PVC'!$A$285,VLOOKUP($A149,'DWV PVC'!$A$8:$M$284,6,FALSE),
IF($A149&lt;'DWV ABS'!$A$117,VLOOKUP($A149,'DWV ABS'!$A$8:$M$116,6,FALSE),
IF($A149&lt;'PVC SCH40'!$A$376,VLOOKUP($A149,'PVC SCH40'!$A$8:$M$375,6,FALSE),
IF($A149&lt;'PVC SCH40 LD'!$A$22,VLOOKUP($A149,'PVC SCH40 LD'!$A$8:$M$21,6,FALSE),
IF($A149&lt;'Pool &amp; SPA Sweep Elbows'!$A$12,VLOOKUP($A149,'Pool &amp; SPA Sweep Elbows'!$A$8:$M$11,6,FALSE),
IF($A149&lt;'Pool &amp; SPA Pipe Extender'!$A$11,VLOOKUP($A149,'Pool &amp; SPA Pipe Extender'!$A$8:$M$10,6,FALSE),
IF($A149&lt;'PVC SCH80'!$A$250,VLOOKUP($A149,'PVC SCH80'!$A$8:$M$249,6,FALSE),
IF($A149&lt;'PVC SCH80 Flange'!$A$49,VLOOKUP($A149,'PVC SCH80 Flange'!$A$8:$M$48,6,FALSE),
IF($A149&lt;'PVC SCH80 LD Flange'!$A$17,VLOOKUP($A149,'PVC SCH80 LD Flange'!$A$8:$M$16,6,FALSE),
IF($A149&lt;CPVC!$A$100,VLOOKUP($A149,CPVC!$A$8:$M$99,6,FALSE),
IF($A149&lt;InsertFittings!$A$237,VLOOKUP($A149,InsertFittings!$A$11:$M$236,6,FALSE),
IF($A149&lt;Valves!$A$132,VLOOKUP($A149,Valves!$A$8:$M$131,6,FALSE),
IF($A149&lt;SDR35SW!$A$124,VLOOKUP($A149,SDR35SW!$A$8:$M$123,6,FALSE),
IF($A149&lt;SDR35G!$A$143,VLOOKUP($A149, SDR35G!$A$8:$M$142,6,FALSE),
IF($A149&lt;SDR26G!$A$61,VLOOKUP($A149,SDR26G!$A$8:$N$60,6,FALSE),
IF($A149&lt;Cements!$A$100,VLOOKUP($A149,Cements!$A$8:$Q$99,6,FALSE),
IF($A149&lt;ValveBox!$A$143,VLOOKUP($A149,ValveBox!$A$10:$O$142,6,FALSE),
IF($A149&lt;'ValveBox Components'!$A$165,VLOOKUP($A149,'ValveBox Components'!$A$10:$O$164,6,FALSE),
IF($A149&lt;Drainage!$A$92,VLOOKUP($A149,Drainage!$A$8:$M$91,6,FALSE),
IF($A149&lt;Nipples!$A$82,VLOOKUP($A149,Nipples!$A$9:$Q$81,6,FALSE),
IF($A149&lt;Manifold!$A$33,VLOOKUP($A149,Manifold!$A$9:$M$32,6,FALSE),
IF($A149&lt;FlexibleRepairCouplings!$A$13,VLOOKUP($A149,FlexibleRepairCouplings!$A$10:$M$12,6,FALSE),
IF($A149&lt;DuraFix!$A$15,VLOOKUP($A149,DuraFix!$A$9:$M$14,6,FALSE),
IF($A149&lt;'Compression Fittings'!$A$16,VLOOKUP($A149,'Compression Fittings'!$A$8:$M$15,6,FALSE),
IF($A149&lt;'Hose Fittings'!$A$30,VLOOKUP($A149,'Hose Fittings'!$A$8:$M$29,6,FALSE),
IF($A149&lt;'Swing Joints'!$A$496,VLOOKUP($A149,'Swing Joints'!$A$9:$M$495,6,FALSE),
IF($A149&lt;'Swing Joints Components'!$A$135,VLOOKUP($A149,'Swing Joints Components'!$A$9:$M$134,6,FALSE),
IF($A149&lt;Nonstandard!$A$42,VLOOKUP($A149,Nonstandard!$A$31:$J$41,7,FALSE),"")))))))))))))))))))))))))))),"")</f>
        <v/>
      </c>
      <c r="E149" s="427"/>
      <c r="F149" s="418" t="str">
        <f>IFERROR(IF($A149&lt;'DWV PVC'!$A$285,VLOOKUP($A149,'DWV PVC'!$A$8:$M$284,9,FALSE),
IF($A149&lt;'DWV ABS'!$A$117,VLOOKUP($A149,'DWV ABS'!$A$8:$M$116,9,FALSE),
IF($A149&lt;'PVC SCH40'!$A$376,VLOOKUP($A149,'PVC SCH40'!$A$8:$M$375,9,FALSE),
IF($A149&lt;'PVC SCH40 LD'!$A$22,VLOOKUP($A149,'PVC SCH40 LD'!$A$8:$M$21,9,FALSE),
IF($A149&lt;'Pool &amp; SPA Sweep Elbows'!$A$12,VLOOKUP($A149,'Pool &amp; SPA Sweep Elbows'!$A$8:$M$11,9,FALSE),
IF($A149&lt;'Pool &amp; SPA Pipe Extender'!$A$11,VLOOKUP($A149,'Pool &amp; SPA Pipe Extender'!$A$8:$M$10,9,FALSE),
IF($A149&lt;'PVC SCH80'!$A$250,VLOOKUP($A149,'PVC SCH80'!$A$8:$M$249,9,FALSE),
IF($A149&lt;'PVC SCH80 Flange'!$A$49,VLOOKUP($A149,'PVC SCH80 Flange'!$A$8:$M$48,9,FALSE),
IF($A149&lt;'PVC SCH80 LD Flange'!$A$17,VLOOKUP($A149,'PVC SCH80 LD Flange'!$A$8:$M$16,9,FALSE),
IF($A149&lt;CPVC!$A$100,VLOOKUP($A149,CPVC!$A$8:$M$99,9,FALSE),
IF($A149&lt;InsertFittings!$A$237,VLOOKUP($A149,InsertFittings!$A$11:$M$236,9,FALSE),
IF($A149&lt;Valves!$A$132,VLOOKUP($A149,Valves!$A$8:$M$131,9,FALSE),
IF($A149&lt;SDR35SW!$A$124,VLOOKUP($A149,SDR35SW!$A$8:$M$123,9,FALSE),
IF($A149&lt;SDR35G!$A$143,VLOOKUP($A149, SDR35G!$A$8:$M$142,9,FALSE),
IF($A149&lt;SDR26G!$A$61,VLOOKUP($A149,SDR26G!$A$8:$N$60,10,FALSE),
IF($A149&lt;Cements!$A$100,VLOOKUP($A149,Cements!$A$8:$Q$99,13,FALSE),
IF($A149&lt;ValveBox!$A$143,VLOOKUP($A149,ValveBox!$A$10:$O$142,11,FALSE),
IF($A149&lt;'ValveBox Components'!$A$165,VLOOKUP($A149,'ValveBox Components'!$A$10:$O$164,11,FALSE),
IF($A149&lt;Drainage!$A$92,VLOOKUP($A149,Drainage!$A$8:$M$91,9,FALSE),
IF($A149&lt;Nipples!$A$82,VLOOKUP($A149,Nipples!$A$9:$Q$81,13,FALSE),
IF($A149&lt;Manifold!$A$33,VLOOKUP($A149,Manifold!$A$9:$M$32,9,FALSE),
IF($A149&lt;FlexibleRepairCouplings!$A$13,VLOOKUP($A149,FlexibleRepairCouplings!$A$10:$M$12,9,FALSE),
IF($A149&lt;DuraFix!$A$15,VLOOKUP($A149,DuraFix!$A$9:$M$14,9,FALSE),
IF($A149&lt;'Compression Fittings'!$A$16,VLOOKUP($A149,'Compression Fittings'!$A$8:$M$15,9,FALSE),
IF($A149&lt;'Hose Fittings'!$A$30,VLOOKUP($A149,'Hose Fittings'!$A$8:$M$29,9,FALSE),
IF($A149&lt;'Swing Joints'!$A$496,VLOOKUP($A149,'Swing Joints'!$A$9:$M$495,9,FALSE),
IF($A149&lt;'Swing Joints Components'!$A$135,VLOOKUP($A149,'Swing Joints Components'!$A$9:$M$134,9,FALSE),
IF($A149&lt;Nonstandard!$A$42,VLOOKUP($A149,Nonstandard!$A$31:$J$41,8,FALSE),"")))))))))))))))))))))))))))),"")</f>
        <v/>
      </c>
      <c r="G149" s="416" t="str">
        <f>IFERROR(IF($A149&lt;'DWV PVC'!$A$285,VLOOKUP($A149,'DWV PVC'!$A$8:$M$284,11,FALSE),
IF($A149&lt;'DWV ABS'!$A$117,VLOOKUP($A149,'DWV ABS'!$A$8:$M$116,11,FALSE),
IF($A149&lt;'PVC SCH40'!$A$376,VLOOKUP($A149,'PVC SCH40'!$A$8:$M$375,11,FALSE),
IF($A149&lt;'PVC SCH40 LD'!$A$22,VLOOKUP($A149,'PVC SCH40 LD'!$A$8:$M$21,11,FALSE),
IF($A149&lt;'Pool &amp; SPA Sweep Elbows'!$A$12,VLOOKUP($A149,'Pool &amp; SPA Sweep Elbows'!$A$8:$M$11,11,FALSE),
IF($A149&lt;'Pool &amp; SPA Pipe Extender'!$A$11,VLOOKUP($A149,'Pool &amp; SPA Pipe Extender'!$A$8:$M$10,11,FALSE),
IF($A149&lt;'PVC SCH80'!$A$250,VLOOKUP($A149,'PVC SCH80'!$A$8:$M$249,11,FALSE),
IF($A149&lt;'PVC SCH80 Flange'!$A$49,VLOOKUP($A149,'PVC SCH80 Flange'!$A$8:$M$48,11,FALSE),
IF($A149&lt;'PVC SCH80 LD Flange'!$A$17,VLOOKUP($A149,'PVC SCH80 LD Flange'!$A$8:$M$16,11,FALSE),
IF($A149&lt;CPVC!$A$100,VLOOKUP($A149,CPVC!$A$8:$M$99,11,FALSE),
IF($A149&lt;InsertFittings!$A$237,VLOOKUP($A149,InsertFittings!$A$11:$M$236,11,FALSE),
IF($A149&lt;Valves!$A$132,VLOOKUP($A149,Valves!$A$8:$M$131,11,FALSE),
IF($A149&lt;SDR35SW!$A$124,VLOOKUP($A149,SDR35SW!$A$8:$M$123,11,FALSE),
IF($A149&lt;SDR35G!$A$143,VLOOKUP($A149, SDR35G!$A$8:$M$142,11,FALSE),
IF($A149&lt;SDR26G!$A$61,VLOOKUP($A149,SDR26G!$A$8:$N$60,12,FALSE),
IF($A149&lt;Cements!$A$100,VLOOKUP($A149,Cements!$A$8:$Q$99,15,FALSE),
IF($A149&lt;ValveBox!$A$143,VLOOKUP($A149,ValveBox!$A$10:$O$142,13,FALSE),
IF($A149&lt;'ValveBox Components'!$A$165,VLOOKUP($A149,'ValveBox Components'!$A$10:$O$164,13,FALSE),
IF($A149&lt;Drainage!$A$92,VLOOKUP($A149,Drainage!$A$8:$M$91,11,FALSE),
IF($A149&lt;Nipples!$A$82,VLOOKUP($A149,Nipples!$A$9:$Q$81,15,FALSE),
IF($A149&lt;Manifold!$A$33,VLOOKUP($A149,Manifold!$A$9:$M$32,11,FALSE),
IF($A149&lt;FlexibleRepairCouplings!$A$13,VLOOKUP($A149,FlexibleRepairCouplings!$A$10:$M$12,11,FALSE),
IF($A149&lt;DuraFix!$A$15,VLOOKUP($A149,DuraFix!$A$9:$M$14,11,FALSE),
IF($A149&lt;'Compression Fittings'!$A$16,VLOOKUP($A149,'Compression Fittings'!$A$8:$M$15,11,FALSE),
IF($A149&lt;'Hose Fittings'!$A$30,VLOOKUP($A149,'Hose Fittings'!$A$8:$M$29,11,FALSE),
IF($A149&lt;'Swing Joints'!$A$496,VLOOKUP($A149,'Swing Joints'!$A$9:$M$495,11,FALSE),
IF($A149&lt;'Swing Joints Components'!$A$135,VLOOKUP($A149,'Swing Joints Components'!$A$9:$M$134,11,FALSE),
IF($A149&lt;Nonstandard!$A$42,VLOOKUP($A149,Nonstandard!$A$31:$J$41,3,FALSE),"")))))))))))))))))))))))))))),"")</f>
        <v/>
      </c>
      <c r="H149" s="586" t="str">
        <f>IFERROR(IF($A149&lt;'DWV PVC'!$A$285,VLOOKUP($A149,'DWV PVC'!$A$8:$M$284,7,FALSE),
IF($A149&lt;'DWV ABS'!$A$117,VLOOKUP($A149,'DWV ABS'!$A$8:$M$116,7,FALSE),
IF($A149&lt;'PVC SCH40'!$A$376,VLOOKUP($A149,'PVC SCH40'!$A$8:$M$375,7,FALSE),
IF($A149&lt;'PVC SCH40 LD'!$A$22,VLOOKUP($A149,'PVC SCH40 LD'!$A$8:$M$21,7,FALSE),
IF($A149&lt;'Pool &amp; SPA Sweep Elbows'!$A$12,VLOOKUP($A149,'Pool &amp; SPA Sweep Elbows'!$A$8:$M$11,7,FALSE),
IF($A149&lt;'Pool &amp; SPA Pipe Extender'!$A$11,VLOOKUP($A149,'Pool &amp; SPA Pipe Extender'!$A$8:$M$10,7,FALSE),
IF($A149&lt;'PVC SCH80'!$A$250,VLOOKUP($A149,'PVC SCH80'!$A$8:$M$249,7,FALSE),
IF($A149&lt;'PVC SCH80 Flange'!$A$49,VLOOKUP($A149,'PVC SCH80 Flange'!$A$8:$M$48,7,FALSE),
IF($A149&lt;'PVC SCH80 LD Flange'!$A$17,VLOOKUP($A149,'PVC SCH80 LD Flange'!$A$8:$M$16,7,FALSE),
IF($A149&lt;CPVC!$A$100,VLOOKUP($A149,CPVC!$A$8:$M$99,7,FALSE),
IF($A149&lt;InsertFittings!$A$237,VLOOKUP($A149,InsertFittings!$A$11:$M$236,7,FALSE),
IF($A149&lt;Valves!$A$132,VLOOKUP($A149,Valves!$A$8:$M$131,7,FALSE),
IF($A149&lt;SDR35SW!$A$124,VLOOKUP($A149,SDR35SW!$A$8:$M$123,7,FALSE),
IF($A149&lt;SDR35G!$A$143,VLOOKUP($A149, SDR35G!$A$8:$M$142,7,FALSE),
IF($A149&lt;SDR26G!$A$61,VLOOKUP($A149,SDR26G!$A$8:$N$60,10,FALSE),
IF($A149&lt;Cements!$A$100,VLOOKUP($A149,Cements!$A$8:$Q$99,13,FALSE),
IF($A149&lt;ValveBox!$A$143,VLOOKUP($A149,ValveBox!$A$10:$O$142,11,FALSE),
IF($A149&lt;'ValveBox Components'!$A$165,VLOOKUP($A149,'ValveBox Components'!$A$10:$O$164,11,FALSE),
IF($A149&lt;Drainage!$A$92,VLOOKUP($A149,Drainage!$A$8:$M$91,7,FALSE),
IF($A149&lt;Nipples!$A$82,VLOOKUP($A149,Nipples!$A$9:$Q$81,13,FALSE),
IF($A149&lt;Manifold!$A$33,VLOOKUP($A149,Manifold!$A$9:$M$32,7,FALSE),
IF($A149&lt;FlexibleRepairCouplings!$A$13,VLOOKUP($A149,FlexibleRepairCouplings!$A$10:$M$12,7,FALSE),
IF($A149&lt;DuraFix!$A$15,VLOOKUP($A149,DuraFix!$A$9:$M$14,7,FALSE),
IF($A149&lt;'Compression Fittings'!$A$16,VLOOKUP($A149,'Compression Fittings'!$A$8:$M$15,7,FALSE),
IF($A149&lt;'Hose Fittings'!$A$30,VLOOKUP($A149,'Hose Fittings'!$A$8:$M$29,7,FALSE),
IF($A149&lt;'Swing Joints'!$A$496,VLOOKUP($A149,'Swing Joints'!$A$9:$M$495,7,FALSE),
IF($A149&lt;'Swing Joints Components'!$A$135,VLOOKUP($A149,'Swing Joints Components'!$A$9:$M$134,7,FALSE),
IF($A149&lt;Nonstandard!$A$42,VLOOKUP($A149,Nonstandard!$A$31:$J$41,3,FALSE),"")))))))))))))))))))))))))))),"")</f>
        <v/>
      </c>
      <c r="I149" s="587"/>
      <c r="J149" s="383" t="str">
        <f t="shared" si="3"/>
        <v/>
      </c>
      <c r="K149" s="417" t="str">
        <f>IFERROR(IF($A149&lt;'DWV PVC'!$A$285,VLOOKUP($A149,'DWV PVC'!$A$8:$M$284,10,FALSE),
IF($A149&lt;'DWV ABS'!$A$117,VLOOKUP($A149,'DWV ABS'!$A$8:$M$116,10,FALSE),
IF($A149&lt;'PVC SCH40'!$A$376,VLOOKUP($A149,'PVC SCH40'!$A$8:$M$375,10,FALSE),
IF($A149&lt;'PVC SCH40 LD'!$A$22,VLOOKUP($A149,'PVC SCH40 LD'!$A$8:$M$21,10,FALSE),
IF($A149&lt;'Pool &amp; SPA Sweep Elbows'!$A$12,VLOOKUP($A149,'Pool &amp; SPA Sweep Elbows'!$A$8:$M$11,10,FALSE),
IF($A149&lt;'Pool &amp; SPA Pipe Extender'!$A$11,VLOOKUP($A149,'Pool &amp; SPA Pipe Extender'!$A$8:$M$10,10,FALSE),
IF($A149&lt;'PVC SCH80'!$A$250,VLOOKUP($A149,'PVC SCH80'!$A$8:$M$249,10,FALSE),
IF($A149&lt;'PVC SCH80 Flange'!$A$49,VLOOKUP($A149,'PVC SCH80 Flange'!$A$8:$M$48,10,FALSE),
IF($A149&lt;'PVC SCH80 LD Flange'!$A$17,VLOOKUP($A149,'PVC SCH80 LD Flange'!$A$8:$M$16,10,FALSE),
IF($A149&lt;CPVC!$A$100,VLOOKUP($A149,CPVC!$A$8:$M$99,10,FALSE),
IF($A149&lt;InsertFittings!$A$237,VLOOKUP($A149,InsertFittings!$A$11:$M$236,10,FALSE),
IF($A149&lt;Valves!$A$132,VLOOKUP($A149,Valves!$A$8:$M$131,10,FALSE),
IF($A149&lt;SDR35SW!$A$124,VLOOKUP($A149,SDR35SW!$A$8:$M$123,10,FALSE),
IF($A149&lt;SDR35G!$A$143,VLOOKUP($A149, SDR35G!$A$8:$M$142,10,FALSE),
IF($A149&lt;SDR26G!$A$61,VLOOKUP($A149,SDR26G!$A$8:$N$60,11,FALSE),
IF($A149&lt;Cements!$A$100,VLOOKUP($A149,Cements!$A$8:$Q$99,14,FALSE),
IF($A149&lt;ValveBox!$A$143,VLOOKUP($A149,ValveBox!$A$10:$O$142,12,FALSE),
IF($A149&lt;'ValveBox Components'!$A$165,VLOOKUP($A149,'ValveBox Components'!$A$10:$O$164,12,FALSE),
IF($A149&lt;Drainage!$A$92,VLOOKUP($A149,Drainage!$A$8:$M$91,10,FALSE),
IF($A149&lt;Nipples!$A$82,VLOOKUP($A149,Nipples!$A$9:$Q$81,14,FALSE),
IF($A149&lt;Manifold!$A$33,VLOOKUP($A149,Manifold!$A$9:$M$32,10,FALSE),
IF($A149&lt;FlexibleRepairCouplings!$A$13,VLOOKUP($A149,FlexibleRepairCouplings!$A$10:$M$12,10,FALSE),
IF($A149&lt;DuraFix!$A$15,VLOOKUP($A149,DuraFix!$A$9:$M$14,10,FALSE),
IF($A149&lt;'Compression Fittings'!$A$16,VLOOKUP($A149,'Compression Fittings'!$A$8:$M$15,10,FALSE),
IF($A149&lt;'Hose Fittings'!$A$30,VLOOKUP($A149,'Hose Fittings'!$A$8:$M$29,10,FALSE),
IF($A149&lt;'Swing Joints'!$A$496,VLOOKUP($A149,'Swing Joints'!$A$9:$M$495,10,FALSE),
IF($A149&lt;'Swing Joints Components'!$A$135,VLOOKUP($A149,'Swing Joints Components'!$A$9:$M$134,10,FALSE),
IF($A149&lt;Nonstandard!$A$42,VLOOKUP($A149,Nonstandard!$A$31:$J$41,10,FALSE),"")))))))))))))))))))))))))))),"")</f>
        <v/>
      </c>
      <c r="L149" s="418" t="str">
        <f t="shared" si="2"/>
        <v>-</v>
      </c>
      <c r="M149" s="419"/>
    </row>
    <row r="150" spans="1:13" ht="15.75">
      <c r="A150" s="420">
        <v>118</v>
      </c>
      <c r="B150" s="420" t="str">
        <f>IFERROR(IF($A150&lt;'DWV PVC'!$A$285,VLOOKUP($A150,'DWV PVC'!$A$8:$M$284,4,FALSE),
IF($A150&lt;'DWV ABS'!$A$117,VLOOKUP($A150,'DWV ABS'!$A$8:$M$116,4,FALSE),
IF($A150&lt;'PVC SCH40'!$A$376,VLOOKUP($A150,'PVC SCH40'!$A$8:$M$375,4,FALSE),
IF($A150&lt;'PVC SCH40 LD'!$A$22,VLOOKUP($A150,'PVC SCH40 LD'!$A$8:$M$21,4,FALSE),
IF($A150&lt;'Pool &amp; SPA Sweep Elbows'!$A$12,VLOOKUP($A150,'Pool &amp; SPA Sweep Elbows'!$A$8:$M$11,4,FALSE),
IF($A150&lt;'Pool &amp; SPA Pipe Extender'!$A$11,VLOOKUP($A150,'Pool &amp; SPA Pipe Extender'!$A$8:$M$10,4,FALSE),
IF($A150&lt;'PVC SCH80'!$A$250,VLOOKUP($A150,'PVC SCH80'!$A$8:$M$249,4,FALSE),
IF($A150&lt;'PVC SCH80 Flange'!$A$49,VLOOKUP($A150,'PVC SCH80 Flange'!$A$8:$M$48,4,FALSE),
IF($A150&lt;'PVC SCH80 LD Flange'!$A$17,VLOOKUP($A150,'PVC SCH80 LD Flange'!$A$8:$M$16,4,FALSE),
IF($A150&lt;CPVC!$A$100,VLOOKUP($A150,CPVC!$A$8:$M$99,4,FALSE),
IF($A150&lt;InsertFittings!$A$237,VLOOKUP($A150,InsertFittings!$A$11:$M$236,4,FALSE),
IF($A150&lt;Valves!$A$132,VLOOKUP($A150,Valves!$A$8:$M$131,4,FALSE),
IF($A150&lt;SDR35SW!$A$124,VLOOKUP($A150,SDR35SW!$A$8:$M$123,4,FALSE),
IF($A150&lt;SDR35G!$A$143,VLOOKUP($A150, SDR35G!$A$8:$M$142,4,FALSE),
IF($A150&lt;SDR26G!$A$61,VLOOKUP($A150,SDR26G!$A$8:$N$60,4,FALSE),
IF($A150&lt;Cements!$A$100,VLOOKUP($A150,Cements!$A$8:$Q$99,4,FALSE),
IF($A150&lt;ValveBox!$A$143,VLOOKUP($A150,ValveBox!$A$10:$O$142,4,FALSE),
IF($A150&lt;'ValveBox Components'!$A$165,VLOOKUP($A150,'ValveBox Components'!$A$10:$O$164,4,FALSE),
IF($A150&lt;Drainage!$A$92,VLOOKUP($A150,Drainage!$A$8:$M$91,4,FALSE),
IF($A150&lt;Nipples!$A$82,VLOOKUP($A150,Nipples!$A$9:$Q$81,4,FALSE),
IF($A150&lt;Manifold!$A$33,VLOOKUP($A150,Manifold!$A$9:$M$32,4,FALSE),
IF($A150&lt;FlexibleRepairCouplings!$A$13,VLOOKUP($A150,FlexibleRepairCouplings!$A$10:$M$12,4,FALSE),
IF($A150&lt;DuraFix!$A$15,VLOOKUP($A150,DuraFix!$A$9:$M$14,4,FALSE),
IF($A150&lt;'Compression Fittings'!$A$16,VLOOKUP($A150,'Compression Fittings'!$A$8:$M$15,4,FALSE),
IF($A150&lt;'Hose Fittings'!$A$30,VLOOKUP($A150,'Hose Fittings'!$A$8:$M$29,4,FALSE),
IF($A150&lt;'Swing Joints'!$A$496,VLOOKUP($A150,'Swing Joints'!$A$9:$M$495,4,FALSE),
IF($A150&lt;'Swing Joints Components'!$A$135,VLOOKUP($A150,'Swing Joints Components'!$A$9:$M$134,4,FALSE),
IF($A150&lt;Nonstandard!$A$42,VLOOKUP($A150,Nonstandard!$A$31:$J$41,5,FALSE),"")))))))))))))))))))))))))))),"")</f>
        <v/>
      </c>
      <c r="C150" s="420" t="str">
        <f>IFERROR(IF($A150&lt;'DWV PVC'!$A$285,VLOOKUP($A150,'DWV PVC'!$A$8:$M$284,5,FALSE),
IF($A150&lt;'DWV ABS'!$A$117,VLOOKUP($A150,'DWV ABS'!$A$8:$M$116,5,FALSE),
IF($A150&lt;'PVC SCH40'!$A$376,VLOOKUP($A150,'PVC SCH40'!$A$8:$M$375,5,FALSE),
IF($A150&lt;'PVC SCH40 LD'!$A$22,VLOOKUP($A150,'PVC SCH40 LD'!$A$8:$M$21,5,FALSE),
IF($A150&lt;'Pool &amp; SPA Sweep Elbows'!$A$12,VLOOKUP($A150,'Pool &amp; SPA Sweep Elbows'!$A$8:$M$11,5,FALSE),
IF($A150&lt;'Pool &amp; SPA Pipe Extender'!$A$11,VLOOKUP($A150,'Pool &amp; SPA Pipe Extender'!$A$8:$M$10,5,FALSE),
IF($A150&lt;'PVC SCH80'!$A$250,VLOOKUP($A150,'PVC SCH80'!$A$8:$M$249,5,FALSE),
IF($A150&lt;'PVC SCH80 Flange'!$A$49,VLOOKUP($A150,'PVC SCH80 Flange'!$A$8:$M$48,5,FALSE),
IF($A150&lt;'PVC SCH80 LD Flange'!$A$17,VLOOKUP($A150,'PVC SCH80 LD Flange'!$A$8:$M$16,5,FALSE),
IF($A150&lt;CPVC!$A$100,VLOOKUP($A150,CPVC!$A$8:$M$99,5,FALSE),
IF($A150&lt;InsertFittings!$A$237,VLOOKUP($A150,InsertFittings!$A$11:$M$236,5,FALSE),
IF($A150&lt;Valves!$A$132,VLOOKUP($A150,Valves!$A$8:$M$131,5,FALSE),
IF($A150&lt;SDR35SW!$A$124,VLOOKUP($A150,SDR35SW!$A$8:$M$123,5,FALSE),
IF($A150&lt;SDR35G!$A$143,VLOOKUP($A150, SDR35G!$A$8:$M$142,5,FALSE),
IF($A150&lt;SDR26G!$A$61,VLOOKUP($A150,SDR26G!$A$8:$N$60,5,FALSE),
IF($A150&lt;Cements!$A$100,VLOOKUP($A150,Cements!$A$8:$Q$99,5,FALSE),
IF($A150&lt;ValveBox!$A$143,VLOOKUP($A150,ValveBox!$A$10:$O$142,5,FALSE),
IF($A150&lt;'ValveBox Components'!$A$165,VLOOKUP($A150,'ValveBox Components'!$A$10:$O$164,5,FALSE),
IF($A150&lt;Drainage!$A$92,VLOOKUP($A150,Drainage!$A$8:$M$91,5,FALSE),
IF($A150&lt;Nipples!$A$82,VLOOKUP($A150,Nipples!$A$9:$Q$81,5,FALSE),
IF($A150&lt;Manifold!$A$33,VLOOKUP($A150,Manifold!$A$9:$M$32,5,FALSE),
IF($A150&lt;FlexibleRepairCouplings!$A$13,VLOOKUP($A150,FlexibleRepairCouplings!$A$10:$M$12,5,FALSE),
IF($A150&lt;DuraFix!$A$15,VLOOKUP($A150,DuraFix!$A$9:$M$14,5,FALSE),
IF($A150&lt;'Compression Fittings'!$A$16,VLOOKUP($A150,'Compression Fittings'!$A$8:$M$15,5,FALSE),
IF($A150&lt;'Hose Fittings'!$A$30,VLOOKUP($A150,'Hose Fittings'!$A$8:$M$29,5,FALSE),
IF($A150&lt;'Swing Joints'!$A$496,VLOOKUP($A150,'Swing Joints'!$A$9:$M$495,5,FALSE),
IF($A150&lt;'Swing Joints Components'!$A$135,VLOOKUP($A150,'Swing Joints Components'!$A$9:$M$134,5,FALSE),
IF($A150&lt;Nonstandard!$A$42,VLOOKUP($A150,Nonstandard!$A$31:$J$41,6,FALSE),"")))))))))))))))))))))))))))),"")</f>
        <v/>
      </c>
      <c r="D150" s="428" t="str">
        <f>IFERROR(IF($A150&lt;'DWV PVC'!$A$285,VLOOKUP($A150,'DWV PVC'!$A$8:$M$284,6,FALSE),
IF($A150&lt;'DWV ABS'!$A$117,VLOOKUP($A150,'DWV ABS'!$A$8:$M$116,6,FALSE),
IF($A150&lt;'PVC SCH40'!$A$376,VLOOKUP($A150,'PVC SCH40'!$A$8:$M$375,6,FALSE),
IF($A150&lt;'PVC SCH40 LD'!$A$22,VLOOKUP($A150,'PVC SCH40 LD'!$A$8:$M$21,6,FALSE),
IF($A150&lt;'Pool &amp; SPA Sweep Elbows'!$A$12,VLOOKUP($A150,'Pool &amp; SPA Sweep Elbows'!$A$8:$M$11,6,FALSE),
IF($A150&lt;'Pool &amp; SPA Pipe Extender'!$A$11,VLOOKUP($A150,'Pool &amp; SPA Pipe Extender'!$A$8:$M$10,6,FALSE),
IF($A150&lt;'PVC SCH80'!$A$250,VLOOKUP($A150,'PVC SCH80'!$A$8:$M$249,6,FALSE),
IF($A150&lt;'PVC SCH80 Flange'!$A$49,VLOOKUP($A150,'PVC SCH80 Flange'!$A$8:$M$48,6,FALSE),
IF($A150&lt;'PVC SCH80 LD Flange'!$A$17,VLOOKUP($A150,'PVC SCH80 LD Flange'!$A$8:$M$16,6,FALSE),
IF($A150&lt;CPVC!$A$100,VLOOKUP($A150,CPVC!$A$8:$M$99,6,FALSE),
IF($A150&lt;InsertFittings!$A$237,VLOOKUP($A150,InsertFittings!$A$11:$M$236,6,FALSE),
IF($A150&lt;Valves!$A$132,VLOOKUP($A150,Valves!$A$8:$M$131,6,FALSE),
IF($A150&lt;SDR35SW!$A$124,VLOOKUP($A150,SDR35SW!$A$8:$M$123,6,FALSE),
IF($A150&lt;SDR35G!$A$143,VLOOKUP($A150, SDR35G!$A$8:$M$142,6,FALSE),
IF($A150&lt;SDR26G!$A$61,VLOOKUP($A150,SDR26G!$A$8:$N$60,6,FALSE),
IF($A150&lt;Cements!$A$100,VLOOKUP($A150,Cements!$A$8:$Q$99,6,FALSE),
IF($A150&lt;ValveBox!$A$143,VLOOKUP($A150,ValveBox!$A$10:$O$142,6,FALSE),
IF($A150&lt;'ValveBox Components'!$A$165,VLOOKUP($A150,'ValveBox Components'!$A$10:$O$164,6,FALSE),
IF($A150&lt;Drainage!$A$92,VLOOKUP($A150,Drainage!$A$8:$M$91,6,FALSE),
IF($A150&lt;Nipples!$A$82,VLOOKUP($A150,Nipples!$A$9:$Q$81,6,FALSE),
IF($A150&lt;Manifold!$A$33,VLOOKUP($A150,Manifold!$A$9:$M$32,6,FALSE),
IF($A150&lt;FlexibleRepairCouplings!$A$13,VLOOKUP($A150,FlexibleRepairCouplings!$A$10:$M$12,6,FALSE),
IF($A150&lt;DuraFix!$A$15,VLOOKUP($A150,DuraFix!$A$9:$M$14,6,FALSE),
IF($A150&lt;'Compression Fittings'!$A$16,VLOOKUP($A150,'Compression Fittings'!$A$8:$M$15,6,FALSE),
IF($A150&lt;'Hose Fittings'!$A$30,VLOOKUP($A150,'Hose Fittings'!$A$8:$M$29,6,FALSE),
IF($A150&lt;'Swing Joints'!$A$496,VLOOKUP($A150,'Swing Joints'!$A$9:$M$495,6,FALSE),
IF($A150&lt;'Swing Joints Components'!$A$135,VLOOKUP($A150,'Swing Joints Components'!$A$9:$M$134,6,FALSE),
IF($A150&lt;Nonstandard!$A$42,VLOOKUP($A150,Nonstandard!$A$31:$J$41,7,FALSE),"")))))))))))))))))))))))))))),"")</f>
        <v/>
      </c>
      <c r="E150" s="429"/>
      <c r="F150" s="421" t="str">
        <f>IFERROR(IF($A150&lt;'DWV PVC'!$A$285,VLOOKUP($A150,'DWV PVC'!$A$8:$M$284,9,FALSE),
IF($A150&lt;'DWV ABS'!$A$117,VLOOKUP($A150,'DWV ABS'!$A$8:$M$116,9,FALSE),
IF($A150&lt;'PVC SCH40'!$A$376,VLOOKUP($A150,'PVC SCH40'!$A$8:$M$375,9,FALSE),
IF($A150&lt;'PVC SCH40 LD'!$A$22,VLOOKUP($A150,'PVC SCH40 LD'!$A$8:$M$21,9,FALSE),
IF($A150&lt;'Pool &amp; SPA Sweep Elbows'!$A$12,VLOOKUP($A150,'Pool &amp; SPA Sweep Elbows'!$A$8:$M$11,9,FALSE),
IF($A150&lt;'Pool &amp; SPA Pipe Extender'!$A$11,VLOOKUP($A150,'Pool &amp; SPA Pipe Extender'!$A$8:$M$10,9,FALSE),
IF($A150&lt;'PVC SCH80'!$A$250,VLOOKUP($A150,'PVC SCH80'!$A$8:$M$249,9,FALSE),
IF($A150&lt;'PVC SCH80 Flange'!$A$49,VLOOKUP($A150,'PVC SCH80 Flange'!$A$8:$M$48,9,FALSE),
IF($A150&lt;'PVC SCH80 LD Flange'!$A$17,VLOOKUP($A150,'PVC SCH80 LD Flange'!$A$8:$M$16,9,FALSE),
IF($A150&lt;CPVC!$A$100,VLOOKUP($A150,CPVC!$A$8:$M$99,9,FALSE),
IF($A150&lt;InsertFittings!$A$237,VLOOKUP($A150,InsertFittings!$A$11:$M$236,9,FALSE),
IF($A150&lt;Valves!$A$132,VLOOKUP($A150,Valves!$A$8:$M$131,9,FALSE),
IF($A150&lt;SDR35SW!$A$124,VLOOKUP($A150,SDR35SW!$A$8:$M$123,9,FALSE),
IF($A150&lt;SDR35G!$A$143,VLOOKUP($A150, SDR35G!$A$8:$M$142,9,FALSE),
IF($A150&lt;SDR26G!$A$61,VLOOKUP($A150,SDR26G!$A$8:$N$60,10,FALSE),
IF($A150&lt;Cements!$A$100,VLOOKUP($A150,Cements!$A$8:$Q$99,13,FALSE),
IF($A150&lt;ValveBox!$A$143,VLOOKUP($A150,ValveBox!$A$10:$O$142,11,FALSE),
IF($A150&lt;'ValveBox Components'!$A$165,VLOOKUP($A150,'ValveBox Components'!$A$10:$O$164,11,FALSE),
IF($A150&lt;Drainage!$A$92,VLOOKUP($A150,Drainage!$A$8:$M$91,9,FALSE),
IF($A150&lt;Nipples!$A$82,VLOOKUP($A150,Nipples!$A$9:$Q$81,13,FALSE),
IF($A150&lt;Manifold!$A$33,VLOOKUP($A150,Manifold!$A$9:$M$32,9,FALSE),
IF($A150&lt;FlexibleRepairCouplings!$A$13,VLOOKUP($A150,FlexibleRepairCouplings!$A$10:$M$12,9,FALSE),
IF($A150&lt;DuraFix!$A$15,VLOOKUP($A150,DuraFix!$A$9:$M$14,9,FALSE),
IF($A150&lt;'Compression Fittings'!$A$16,VLOOKUP($A150,'Compression Fittings'!$A$8:$M$15,9,FALSE),
IF($A150&lt;'Hose Fittings'!$A$30,VLOOKUP($A150,'Hose Fittings'!$A$8:$M$29,9,FALSE),
IF($A150&lt;'Swing Joints'!$A$496,VLOOKUP($A150,'Swing Joints'!$A$9:$M$495,9,FALSE),
IF($A150&lt;'Swing Joints Components'!$A$135,VLOOKUP($A150,'Swing Joints Components'!$A$9:$M$134,9,FALSE),
IF($A150&lt;Nonstandard!$A$42,VLOOKUP($A150,Nonstandard!$A$31:$J$41,8,FALSE),"")))))))))))))))))))))))))))),"")</f>
        <v/>
      </c>
      <c r="G150" s="422" t="str">
        <f>IFERROR(IF($A150&lt;'DWV PVC'!$A$285,VLOOKUP($A150,'DWV PVC'!$A$8:$M$284,11,FALSE),
IF($A150&lt;'DWV ABS'!$A$117,VLOOKUP($A150,'DWV ABS'!$A$8:$M$116,11,FALSE),
IF($A150&lt;'PVC SCH40'!$A$376,VLOOKUP($A150,'PVC SCH40'!$A$8:$M$375,11,FALSE),
IF($A150&lt;'PVC SCH40 LD'!$A$22,VLOOKUP($A150,'PVC SCH40 LD'!$A$8:$M$21,11,FALSE),
IF($A150&lt;'Pool &amp; SPA Sweep Elbows'!$A$12,VLOOKUP($A150,'Pool &amp; SPA Sweep Elbows'!$A$8:$M$11,11,FALSE),
IF($A150&lt;'Pool &amp; SPA Pipe Extender'!$A$11,VLOOKUP($A150,'Pool &amp; SPA Pipe Extender'!$A$8:$M$10,11,FALSE),
IF($A150&lt;'PVC SCH80'!$A$250,VLOOKUP($A150,'PVC SCH80'!$A$8:$M$249,11,FALSE),
IF($A150&lt;'PVC SCH80 Flange'!$A$49,VLOOKUP($A150,'PVC SCH80 Flange'!$A$8:$M$48,11,FALSE),
IF($A150&lt;'PVC SCH80 LD Flange'!$A$17,VLOOKUP($A150,'PVC SCH80 LD Flange'!$A$8:$M$16,11,FALSE),
IF($A150&lt;CPVC!$A$100,VLOOKUP($A150,CPVC!$A$8:$M$99,11,FALSE),
IF($A150&lt;InsertFittings!$A$237,VLOOKUP($A150,InsertFittings!$A$11:$M$236,11,FALSE),
IF($A150&lt;Valves!$A$132,VLOOKUP($A150,Valves!$A$8:$M$131,11,FALSE),
IF($A150&lt;SDR35SW!$A$124,VLOOKUP($A150,SDR35SW!$A$8:$M$123,11,FALSE),
IF($A150&lt;SDR35G!$A$143,VLOOKUP($A150, SDR35G!$A$8:$M$142,11,FALSE),
IF($A150&lt;SDR26G!$A$61,VLOOKUP($A150,SDR26G!$A$8:$N$60,12,FALSE),
IF($A150&lt;Cements!$A$100,VLOOKUP($A150,Cements!$A$8:$Q$99,15,FALSE),
IF($A150&lt;ValveBox!$A$143,VLOOKUP($A150,ValveBox!$A$10:$O$142,13,FALSE),
IF($A150&lt;'ValveBox Components'!$A$165,VLOOKUP($A150,'ValveBox Components'!$A$10:$O$164,13,FALSE),
IF($A150&lt;Drainage!$A$92,VLOOKUP($A150,Drainage!$A$8:$M$91,11,FALSE),
IF($A150&lt;Nipples!$A$82,VLOOKUP($A150,Nipples!$A$9:$Q$81,15,FALSE),
IF($A150&lt;Manifold!$A$33,VLOOKUP($A150,Manifold!$A$9:$M$32,11,FALSE),
IF($A150&lt;FlexibleRepairCouplings!$A$13,VLOOKUP($A150,FlexibleRepairCouplings!$A$10:$M$12,11,FALSE),
IF($A150&lt;DuraFix!$A$15,VLOOKUP($A150,DuraFix!$A$9:$M$14,11,FALSE),
IF($A150&lt;'Compression Fittings'!$A$16,VLOOKUP($A150,'Compression Fittings'!$A$8:$M$15,11,FALSE),
IF($A150&lt;'Hose Fittings'!$A$30,VLOOKUP($A150,'Hose Fittings'!$A$8:$M$29,11,FALSE),
IF($A150&lt;'Swing Joints'!$A$496,VLOOKUP($A150,'Swing Joints'!$A$9:$M$495,11,FALSE),
IF($A150&lt;'Swing Joints Components'!$A$135,VLOOKUP($A150,'Swing Joints Components'!$A$9:$M$134,11,FALSE),
IF($A150&lt;Nonstandard!$A$42,VLOOKUP($A150,Nonstandard!$A$31:$J$41,3,FALSE),"")))))))))))))))))))))))))))),"")</f>
        <v/>
      </c>
      <c r="H150" s="588" t="str">
        <f>IFERROR(IF($A150&lt;'DWV PVC'!$A$285,VLOOKUP($A150,'DWV PVC'!$A$8:$M$284,7,FALSE),
IF($A150&lt;'DWV ABS'!$A$117,VLOOKUP($A150,'DWV ABS'!$A$8:$M$116,7,FALSE),
IF($A150&lt;'PVC SCH40'!$A$376,VLOOKUP($A150,'PVC SCH40'!$A$8:$M$375,7,FALSE),
IF($A150&lt;'PVC SCH40 LD'!$A$22,VLOOKUP($A150,'PVC SCH40 LD'!$A$8:$M$21,7,FALSE),
IF($A150&lt;'Pool &amp; SPA Sweep Elbows'!$A$12,VLOOKUP($A150,'Pool &amp; SPA Sweep Elbows'!$A$8:$M$11,7,FALSE),
IF($A150&lt;'Pool &amp; SPA Pipe Extender'!$A$11,VLOOKUP($A150,'Pool &amp; SPA Pipe Extender'!$A$8:$M$10,7,FALSE),
IF($A150&lt;'PVC SCH80'!$A$250,VLOOKUP($A150,'PVC SCH80'!$A$8:$M$249,7,FALSE),
IF($A150&lt;'PVC SCH80 Flange'!$A$49,VLOOKUP($A150,'PVC SCH80 Flange'!$A$8:$M$48,7,FALSE),
IF($A150&lt;'PVC SCH80 LD Flange'!$A$17,VLOOKUP($A150,'PVC SCH80 LD Flange'!$A$8:$M$16,7,FALSE),
IF($A150&lt;CPVC!$A$100,VLOOKUP($A150,CPVC!$A$8:$M$99,7,FALSE),
IF($A150&lt;InsertFittings!$A$237,VLOOKUP($A150,InsertFittings!$A$11:$M$236,7,FALSE),
IF($A150&lt;Valves!$A$132,VLOOKUP($A150,Valves!$A$8:$M$131,7,FALSE),
IF($A150&lt;SDR35SW!$A$124,VLOOKUP($A150,SDR35SW!$A$8:$M$123,7,FALSE),
IF($A150&lt;SDR35G!$A$143,VLOOKUP($A150, SDR35G!$A$8:$M$142,7,FALSE),
IF($A150&lt;SDR26G!$A$61,VLOOKUP($A150,SDR26G!$A$8:$N$60,10,FALSE),
IF($A150&lt;Cements!$A$100,VLOOKUP($A150,Cements!$A$8:$Q$99,13,FALSE),
IF($A150&lt;ValveBox!$A$143,VLOOKUP($A150,ValveBox!$A$10:$O$142,11,FALSE),
IF($A150&lt;'ValveBox Components'!$A$165,VLOOKUP($A150,'ValveBox Components'!$A$10:$O$164,11,FALSE),
IF($A150&lt;Drainage!$A$92,VLOOKUP($A150,Drainage!$A$8:$M$91,7,FALSE),
IF($A150&lt;Nipples!$A$82,VLOOKUP($A150,Nipples!$A$9:$Q$81,13,FALSE),
IF($A150&lt;Manifold!$A$33,VLOOKUP($A150,Manifold!$A$9:$M$32,7,FALSE),
IF($A150&lt;FlexibleRepairCouplings!$A$13,VLOOKUP($A150,FlexibleRepairCouplings!$A$10:$M$12,7,FALSE),
IF($A150&lt;DuraFix!$A$15,VLOOKUP($A150,DuraFix!$A$9:$M$14,7,FALSE),
IF($A150&lt;'Compression Fittings'!$A$16,VLOOKUP($A150,'Compression Fittings'!$A$8:$M$15,7,FALSE),
IF($A150&lt;'Hose Fittings'!$A$30,VLOOKUP($A150,'Hose Fittings'!$A$8:$M$29,7,FALSE),
IF($A150&lt;'Swing Joints'!$A$496,VLOOKUP($A150,'Swing Joints'!$A$9:$M$495,7,FALSE),
IF($A150&lt;'Swing Joints Components'!$A$135,VLOOKUP($A150,'Swing Joints Components'!$A$9:$M$134,7,FALSE),
IF($A150&lt;Nonstandard!$A$42,VLOOKUP($A150,Nonstandard!$A$31:$J$41,3,FALSE),"")))))))))))))))))))))))))))),"")</f>
        <v/>
      </c>
      <c r="I150" s="589"/>
      <c r="J150" s="423" t="str">
        <f t="shared" si="3"/>
        <v/>
      </c>
      <c r="K150" s="424" t="str">
        <f>IFERROR(IF($A150&lt;'DWV PVC'!$A$285,VLOOKUP($A150,'DWV PVC'!$A$8:$M$284,10,FALSE),
IF($A150&lt;'DWV ABS'!$A$117,VLOOKUP($A150,'DWV ABS'!$A$8:$M$116,10,FALSE),
IF($A150&lt;'PVC SCH40'!$A$376,VLOOKUP($A150,'PVC SCH40'!$A$8:$M$375,10,FALSE),
IF($A150&lt;'PVC SCH40 LD'!$A$22,VLOOKUP($A150,'PVC SCH40 LD'!$A$8:$M$21,10,FALSE),
IF($A150&lt;'Pool &amp; SPA Sweep Elbows'!$A$12,VLOOKUP($A150,'Pool &amp; SPA Sweep Elbows'!$A$8:$M$11,10,FALSE),
IF($A150&lt;'Pool &amp; SPA Pipe Extender'!$A$11,VLOOKUP($A150,'Pool &amp; SPA Pipe Extender'!$A$8:$M$10,10,FALSE),
IF($A150&lt;'PVC SCH80'!$A$250,VLOOKUP($A150,'PVC SCH80'!$A$8:$M$249,10,FALSE),
IF($A150&lt;'PVC SCH80 Flange'!$A$49,VLOOKUP($A150,'PVC SCH80 Flange'!$A$8:$M$48,10,FALSE),
IF($A150&lt;'PVC SCH80 LD Flange'!$A$17,VLOOKUP($A150,'PVC SCH80 LD Flange'!$A$8:$M$16,10,FALSE),
IF($A150&lt;CPVC!$A$100,VLOOKUP($A150,CPVC!$A$8:$M$99,10,FALSE),
IF($A150&lt;InsertFittings!$A$237,VLOOKUP($A150,InsertFittings!$A$11:$M$236,10,FALSE),
IF($A150&lt;Valves!$A$132,VLOOKUP($A150,Valves!$A$8:$M$131,10,FALSE),
IF($A150&lt;SDR35SW!$A$124,VLOOKUP($A150,SDR35SW!$A$8:$M$123,10,FALSE),
IF($A150&lt;SDR35G!$A$143,VLOOKUP($A150, SDR35G!$A$8:$M$142,10,FALSE),
IF($A150&lt;SDR26G!$A$61,VLOOKUP($A150,SDR26G!$A$8:$N$60,11,FALSE),
IF($A150&lt;Cements!$A$100,VLOOKUP($A150,Cements!$A$8:$Q$99,14,FALSE),
IF($A150&lt;ValveBox!$A$143,VLOOKUP($A150,ValveBox!$A$10:$O$142,12,FALSE),
IF($A150&lt;'ValveBox Components'!$A$165,VLOOKUP($A150,'ValveBox Components'!$A$10:$O$164,12,FALSE),
IF($A150&lt;Drainage!$A$92,VLOOKUP($A150,Drainage!$A$8:$M$91,10,FALSE),
IF($A150&lt;Nipples!$A$82,VLOOKUP($A150,Nipples!$A$9:$Q$81,14,FALSE),
IF($A150&lt;Manifold!$A$33,VLOOKUP($A150,Manifold!$A$9:$M$32,10,FALSE),
IF($A150&lt;FlexibleRepairCouplings!$A$13,VLOOKUP($A150,FlexibleRepairCouplings!$A$10:$M$12,10,FALSE),
IF($A150&lt;DuraFix!$A$15,VLOOKUP($A150,DuraFix!$A$9:$M$14,10,FALSE),
IF($A150&lt;'Compression Fittings'!$A$16,VLOOKUP($A150,'Compression Fittings'!$A$8:$M$15,10,FALSE),
IF($A150&lt;'Hose Fittings'!$A$30,VLOOKUP($A150,'Hose Fittings'!$A$8:$M$29,10,FALSE),
IF($A150&lt;'Swing Joints'!$A$496,VLOOKUP($A150,'Swing Joints'!$A$9:$M$495,10,FALSE),
IF($A150&lt;'Swing Joints Components'!$A$135,VLOOKUP($A150,'Swing Joints Components'!$A$9:$M$134,10,FALSE),
IF($A150&lt;Nonstandard!$A$42,VLOOKUP($A150,Nonstandard!$A$31:$J$41,10,FALSE),"")))))))))))))))))))))))))))),"")</f>
        <v/>
      </c>
      <c r="L150" s="421" t="str">
        <f t="shared" si="2"/>
        <v>-</v>
      </c>
      <c r="M150" s="425"/>
    </row>
    <row r="151" spans="1:13" ht="15.75">
      <c r="A151" s="415">
        <v>119</v>
      </c>
      <c r="B151" s="415" t="str">
        <f>IFERROR(IF($A151&lt;'DWV PVC'!$A$285,VLOOKUP($A151,'DWV PVC'!$A$8:$M$284,4,FALSE),
IF($A151&lt;'DWV ABS'!$A$117,VLOOKUP($A151,'DWV ABS'!$A$8:$M$116,4,FALSE),
IF($A151&lt;'PVC SCH40'!$A$376,VLOOKUP($A151,'PVC SCH40'!$A$8:$M$375,4,FALSE),
IF($A151&lt;'PVC SCH40 LD'!$A$22,VLOOKUP($A151,'PVC SCH40 LD'!$A$8:$M$21,4,FALSE),
IF($A151&lt;'Pool &amp; SPA Sweep Elbows'!$A$12,VLOOKUP($A151,'Pool &amp; SPA Sweep Elbows'!$A$8:$M$11,4,FALSE),
IF($A151&lt;'Pool &amp; SPA Pipe Extender'!$A$11,VLOOKUP($A151,'Pool &amp; SPA Pipe Extender'!$A$8:$M$10,4,FALSE),
IF($A151&lt;'PVC SCH80'!$A$250,VLOOKUP($A151,'PVC SCH80'!$A$8:$M$249,4,FALSE),
IF($A151&lt;'PVC SCH80 Flange'!$A$49,VLOOKUP($A151,'PVC SCH80 Flange'!$A$8:$M$48,4,FALSE),
IF($A151&lt;'PVC SCH80 LD Flange'!$A$17,VLOOKUP($A151,'PVC SCH80 LD Flange'!$A$8:$M$16,4,FALSE),
IF($A151&lt;CPVC!$A$100,VLOOKUP($A151,CPVC!$A$8:$M$99,4,FALSE),
IF($A151&lt;InsertFittings!$A$237,VLOOKUP($A151,InsertFittings!$A$11:$M$236,4,FALSE),
IF($A151&lt;Valves!$A$132,VLOOKUP($A151,Valves!$A$8:$M$131,4,FALSE),
IF($A151&lt;SDR35SW!$A$124,VLOOKUP($A151,SDR35SW!$A$8:$M$123,4,FALSE),
IF($A151&lt;SDR35G!$A$143,VLOOKUP($A151, SDR35G!$A$8:$M$142,4,FALSE),
IF($A151&lt;SDR26G!$A$61,VLOOKUP($A151,SDR26G!$A$8:$N$60,4,FALSE),
IF($A151&lt;Cements!$A$100,VLOOKUP($A151,Cements!$A$8:$Q$99,4,FALSE),
IF($A151&lt;ValveBox!$A$143,VLOOKUP($A151,ValveBox!$A$10:$O$142,4,FALSE),
IF($A151&lt;'ValveBox Components'!$A$165,VLOOKUP($A151,'ValveBox Components'!$A$10:$O$164,4,FALSE),
IF($A151&lt;Drainage!$A$92,VLOOKUP($A151,Drainage!$A$8:$M$91,4,FALSE),
IF($A151&lt;Nipples!$A$82,VLOOKUP($A151,Nipples!$A$9:$Q$81,4,FALSE),
IF($A151&lt;Manifold!$A$33,VLOOKUP($A151,Manifold!$A$9:$M$32,4,FALSE),
IF($A151&lt;FlexibleRepairCouplings!$A$13,VLOOKUP($A151,FlexibleRepairCouplings!$A$10:$M$12,4,FALSE),
IF($A151&lt;DuraFix!$A$15,VLOOKUP($A151,DuraFix!$A$9:$M$14,4,FALSE),
IF($A151&lt;'Compression Fittings'!$A$16,VLOOKUP($A151,'Compression Fittings'!$A$8:$M$15,4,FALSE),
IF($A151&lt;'Hose Fittings'!$A$30,VLOOKUP($A151,'Hose Fittings'!$A$8:$M$29,4,FALSE),
IF($A151&lt;'Swing Joints'!$A$496,VLOOKUP($A151,'Swing Joints'!$A$9:$M$495,4,FALSE),
IF($A151&lt;'Swing Joints Components'!$A$135,VLOOKUP($A151,'Swing Joints Components'!$A$9:$M$134,4,FALSE),
IF($A151&lt;Nonstandard!$A$42,VLOOKUP($A151,Nonstandard!$A$31:$J$41,5,FALSE),"")))))))))))))))))))))))))))),"")</f>
        <v/>
      </c>
      <c r="C151" s="415" t="str">
        <f>IFERROR(IF($A151&lt;'DWV PVC'!$A$285,VLOOKUP($A151,'DWV PVC'!$A$8:$M$284,5,FALSE),
IF($A151&lt;'DWV ABS'!$A$117,VLOOKUP($A151,'DWV ABS'!$A$8:$M$116,5,FALSE),
IF($A151&lt;'PVC SCH40'!$A$376,VLOOKUP($A151,'PVC SCH40'!$A$8:$M$375,5,FALSE),
IF($A151&lt;'PVC SCH40 LD'!$A$22,VLOOKUP($A151,'PVC SCH40 LD'!$A$8:$M$21,5,FALSE),
IF($A151&lt;'Pool &amp; SPA Sweep Elbows'!$A$12,VLOOKUP($A151,'Pool &amp; SPA Sweep Elbows'!$A$8:$M$11,5,FALSE),
IF($A151&lt;'Pool &amp; SPA Pipe Extender'!$A$11,VLOOKUP($A151,'Pool &amp; SPA Pipe Extender'!$A$8:$M$10,5,FALSE),
IF($A151&lt;'PVC SCH80'!$A$250,VLOOKUP($A151,'PVC SCH80'!$A$8:$M$249,5,FALSE),
IF($A151&lt;'PVC SCH80 Flange'!$A$49,VLOOKUP($A151,'PVC SCH80 Flange'!$A$8:$M$48,5,FALSE),
IF($A151&lt;'PVC SCH80 LD Flange'!$A$17,VLOOKUP($A151,'PVC SCH80 LD Flange'!$A$8:$M$16,5,FALSE),
IF($A151&lt;CPVC!$A$100,VLOOKUP($A151,CPVC!$A$8:$M$99,5,FALSE),
IF($A151&lt;InsertFittings!$A$237,VLOOKUP($A151,InsertFittings!$A$11:$M$236,5,FALSE),
IF($A151&lt;Valves!$A$132,VLOOKUP($A151,Valves!$A$8:$M$131,5,FALSE),
IF($A151&lt;SDR35SW!$A$124,VLOOKUP($A151,SDR35SW!$A$8:$M$123,5,FALSE),
IF($A151&lt;SDR35G!$A$143,VLOOKUP($A151, SDR35G!$A$8:$M$142,5,FALSE),
IF($A151&lt;SDR26G!$A$61,VLOOKUP($A151,SDR26G!$A$8:$N$60,5,FALSE),
IF($A151&lt;Cements!$A$100,VLOOKUP($A151,Cements!$A$8:$Q$99,5,FALSE),
IF($A151&lt;ValveBox!$A$143,VLOOKUP($A151,ValveBox!$A$10:$O$142,5,FALSE),
IF($A151&lt;'ValveBox Components'!$A$165,VLOOKUP($A151,'ValveBox Components'!$A$10:$O$164,5,FALSE),
IF($A151&lt;Drainage!$A$92,VLOOKUP($A151,Drainage!$A$8:$M$91,5,FALSE),
IF($A151&lt;Nipples!$A$82,VLOOKUP($A151,Nipples!$A$9:$Q$81,5,FALSE),
IF($A151&lt;Manifold!$A$33,VLOOKUP($A151,Manifold!$A$9:$M$32,5,FALSE),
IF($A151&lt;FlexibleRepairCouplings!$A$13,VLOOKUP($A151,FlexibleRepairCouplings!$A$10:$M$12,5,FALSE),
IF($A151&lt;DuraFix!$A$15,VLOOKUP($A151,DuraFix!$A$9:$M$14,5,FALSE),
IF($A151&lt;'Compression Fittings'!$A$16,VLOOKUP($A151,'Compression Fittings'!$A$8:$M$15,5,FALSE),
IF($A151&lt;'Hose Fittings'!$A$30,VLOOKUP($A151,'Hose Fittings'!$A$8:$M$29,5,FALSE),
IF($A151&lt;'Swing Joints'!$A$496,VLOOKUP($A151,'Swing Joints'!$A$9:$M$495,5,FALSE),
IF($A151&lt;'Swing Joints Components'!$A$135,VLOOKUP($A151,'Swing Joints Components'!$A$9:$M$134,5,FALSE),
IF($A151&lt;Nonstandard!$A$42,VLOOKUP($A151,Nonstandard!$A$31:$J$41,6,FALSE),"")))))))))))))))))))))))))))),"")</f>
        <v/>
      </c>
      <c r="D151" s="426" t="str">
        <f>IFERROR(IF($A151&lt;'DWV PVC'!$A$285,VLOOKUP($A151,'DWV PVC'!$A$8:$M$284,6,FALSE),
IF($A151&lt;'DWV ABS'!$A$117,VLOOKUP($A151,'DWV ABS'!$A$8:$M$116,6,FALSE),
IF($A151&lt;'PVC SCH40'!$A$376,VLOOKUP($A151,'PVC SCH40'!$A$8:$M$375,6,FALSE),
IF($A151&lt;'PVC SCH40 LD'!$A$22,VLOOKUP($A151,'PVC SCH40 LD'!$A$8:$M$21,6,FALSE),
IF($A151&lt;'Pool &amp; SPA Sweep Elbows'!$A$12,VLOOKUP($A151,'Pool &amp; SPA Sweep Elbows'!$A$8:$M$11,6,FALSE),
IF($A151&lt;'Pool &amp; SPA Pipe Extender'!$A$11,VLOOKUP($A151,'Pool &amp; SPA Pipe Extender'!$A$8:$M$10,6,FALSE),
IF($A151&lt;'PVC SCH80'!$A$250,VLOOKUP($A151,'PVC SCH80'!$A$8:$M$249,6,FALSE),
IF($A151&lt;'PVC SCH80 Flange'!$A$49,VLOOKUP($A151,'PVC SCH80 Flange'!$A$8:$M$48,6,FALSE),
IF($A151&lt;'PVC SCH80 LD Flange'!$A$17,VLOOKUP($A151,'PVC SCH80 LD Flange'!$A$8:$M$16,6,FALSE),
IF($A151&lt;CPVC!$A$100,VLOOKUP($A151,CPVC!$A$8:$M$99,6,FALSE),
IF($A151&lt;InsertFittings!$A$237,VLOOKUP($A151,InsertFittings!$A$11:$M$236,6,FALSE),
IF($A151&lt;Valves!$A$132,VLOOKUP($A151,Valves!$A$8:$M$131,6,FALSE),
IF($A151&lt;SDR35SW!$A$124,VLOOKUP($A151,SDR35SW!$A$8:$M$123,6,FALSE),
IF($A151&lt;SDR35G!$A$143,VLOOKUP($A151, SDR35G!$A$8:$M$142,6,FALSE),
IF($A151&lt;SDR26G!$A$61,VLOOKUP($A151,SDR26G!$A$8:$N$60,6,FALSE),
IF($A151&lt;Cements!$A$100,VLOOKUP($A151,Cements!$A$8:$Q$99,6,FALSE),
IF($A151&lt;ValveBox!$A$143,VLOOKUP($A151,ValveBox!$A$10:$O$142,6,FALSE),
IF($A151&lt;'ValveBox Components'!$A$165,VLOOKUP($A151,'ValveBox Components'!$A$10:$O$164,6,FALSE),
IF($A151&lt;Drainage!$A$92,VLOOKUP($A151,Drainage!$A$8:$M$91,6,FALSE),
IF($A151&lt;Nipples!$A$82,VLOOKUP($A151,Nipples!$A$9:$Q$81,6,FALSE),
IF($A151&lt;Manifold!$A$33,VLOOKUP($A151,Manifold!$A$9:$M$32,6,FALSE),
IF($A151&lt;FlexibleRepairCouplings!$A$13,VLOOKUP($A151,FlexibleRepairCouplings!$A$10:$M$12,6,FALSE),
IF($A151&lt;DuraFix!$A$15,VLOOKUP($A151,DuraFix!$A$9:$M$14,6,FALSE),
IF($A151&lt;'Compression Fittings'!$A$16,VLOOKUP($A151,'Compression Fittings'!$A$8:$M$15,6,FALSE),
IF($A151&lt;'Hose Fittings'!$A$30,VLOOKUP($A151,'Hose Fittings'!$A$8:$M$29,6,FALSE),
IF($A151&lt;'Swing Joints'!$A$496,VLOOKUP($A151,'Swing Joints'!$A$9:$M$495,6,FALSE),
IF($A151&lt;'Swing Joints Components'!$A$135,VLOOKUP($A151,'Swing Joints Components'!$A$9:$M$134,6,FALSE),
IF($A151&lt;Nonstandard!$A$42,VLOOKUP($A151,Nonstandard!$A$31:$J$41,7,FALSE),"")))))))))))))))))))))))))))),"")</f>
        <v/>
      </c>
      <c r="E151" s="427"/>
      <c r="F151" s="418" t="str">
        <f>IFERROR(IF($A151&lt;'DWV PVC'!$A$285,VLOOKUP($A151,'DWV PVC'!$A$8:$M$284,9,FALSE),
IF($A151&lt;'DWV ABS'!$A$117,VLOOKUP($A151,'DWV ABS'!$A$8:$M$116,9,FALSE),
IF($A151&lt;'PVC SCH40'!$A$376,VLOOKUP($A151,'PVC SCH40'!$A$8:$M$375,9,FALSE),
IF($A151&lt;'PVC SCH40 LD'!$A$22,VLOOKUP($A151,'PVC SCH40 LD'!$A$8:$M$21,9,FALSE),
IF($A151&lt;'Pool &amp; SPA Sweep Elbows'!$A$12,VLOOKUP($A151,'Pool &amp; SPA Sweep Elbows'!$A$8:$M$11,9,FALSE),
IF($A151&lt;'Pool &amp; SPA Pipe Extender'!$A$11,VLOOKUP($A151,'Pool &amp; SPA Pipe Extender'!$A$8:$M$10,9,FALSE),
IF($A151&lt;'PVC SCH80'!$A$250,VLOOKUP($A151,'PVC SCH80'!$A$8:$M$249,9,FALSE),
IF($A151&lt;'PVC SCH80 Flange'!$A$49,VLOOKUP($A151,'PVC SCH80 Flange'!$A$8:$M$48,9,FALSE),
IF($A151&lt;'PVC SCH80 LD Flange'!$A$17,VLOOKUP($A151,'PVC SCH80 LD Flange'!$A$8:$M$16,9,FALSE),
IF($A151&lt;CPVC!$A$100,VLOOKUP($A151,CPVC!$A$8:$M$99,9,FALSE),
IF($A151&lt;InsertFittings!$A$237,VLOOKUP($A151,InsertFittings!$A$11:$M$236,9,FALSE),
IF($A151&lt;Valves!$A$132,VLOOKUP($A151,Valves!$A$8:$M$131,9,FALSE),
IF($A151&lt;SDR35SW!$A$124,VLOOKUP($A151,SDR35SW!$A$8:$M$123,9,FALSE),
IF($A151&lt;SDR35G!$A$143,VLOOKUP($A151, SDR35G!$A$8:$M$142,9,FALSE),
IF($A151&lt;SDR26G!$A$61,VLOOKUP($A151,SDR26G!$A$8:$N$60,10,FALSE),
IF($A151&lt;Cements!$A$100,VLOOKUP($A151,Cements!$A$8:$Q$99,13,FALSE),
IF($A151&lt;ValveBox!$A$143,VLOOKUP($A151,ValveBox!$A$10:$O$142,11,FALSE),
IF($A151&lt;'ValveBox Components'!$A$165,VLOOKUP($A151,'ValveBox Components'!$A$10:$O$164,11,FALSE),
IF($A151&lt;Drainage!$A$92,VLOOKUP($A151,Drainage!$A$8:$M$91,9,FALSE),
IF($A151&lt;Nipples!$A$82,VLOOKUP($A151,Nipples!$A$9:$Q$81,13,FALSE),
IF($A151&lt;Manifold!$A$33,VLOOKUP($A151,Manifold!$A$9:$M$32,9,FALSE),
IF($A151&lt;FlexibleRepairCouplings!$A$13,VLOOKUP($A151,FlexibleRepairCouplings!$A$10:$M$12,9,FALSE),
IF($A151&lt;DuraFix!$A$15,VLOOKUP($A151,DuraFix!$A$9:$M$14,9,FALSE),
IF($A151&lt;'Compression Fittings'!$A$16,VLOOKUP($A151,'Compression Fittings'!$A$8:$M$15,9,FALSE),
IF($A151&lt;'Hose Fittings'!$A$30,VLOOKUP($A151,'Hose Fittings'!$A$8:$M$29,9,FALSE),
IF($A151&lt;'Swing Joints'!$A$496,VLOOKUP($A151,'Swing Joints'!$A$9:$M$495,9,FALSE),
IF($A151&lt;'Swing Joints Components'!$A$135,VLOOKUP($A151,'Swing Joints Components'!$A$9:$M$134,9,FALSE),
IF($A151&lt;Nonstandard!$A$42,VLOOKUP($A151,Nonstandard!$A$31:$J$41,8,FALSE),"")))))))))))))))))))))))))))),"")</f>
        <v/>
      </c>
      <c r="G151" s="416" t="str">
        <f>IFERROR(IF($A151&lt;'DWV PVC'!$A$285,VLOOKUP($A151,'DWV PVC'!$A$8:$M$284,11,FALSE),
IF($A151&lt;'DWV ABS'!$A$117,VLOOKUP($A151,'DWV ABS'!$A$8:$M$116,11,FALSE),
IF($A151&lt;'PVC SCH40'!$A$376,VLOOKUP($A151,'PVC SCH40'!$A$8:$M$375,11,FALSE),
IF($A151&lt;'PVC SCH40 LD'!$A$22,VLOOKUP($A151,'PVC SCH40 LD'!$A$8:$M$21,11,FALSE),
IF($A151&lt;'Pool &amp; SPA Sweep Elbows'!$A$12,VLOOKUP($A151,'Pool &amp; SPA Sweep Elbows'!$A$8:$M$11,11,FALSE),
IF($A151&lt;'Pool &amp; SPA Pipe Extender'!$A$11,VLOOKUP($A151,'Pool &amp; SPA Pipe Extender'!$A$8:$M$10,11,FALSE),
IF($A151&lt;'PVC SCH80'!$A$250,VLOOKUP($A151,'PVC SCH80'!$A$8:$M$249,11,FALSE),
IF($A151&lt;'PVC SCH80 Flange'!$A$49,VLOOKUP($A151,'PVC SCH80 Flange'!$A$8:$M$48,11,FALSE),
IF($A151&lt;'PVC SCH80 LD Flange'!$A$17,VLOOKUP($A151,'PVC SCH80 LD Flange'!$A$8:$M$16,11,FALSE),
IF($A151&lt;CPVC!$A$100,VLOOKUP($A151,CPVC!$A$8:$M$99,11,FALSE),
IF($A151&lt;InsertFittings!$A$237,VLOOKUP($A151,InsertFittings!$A$11:$M$236,11,FALSE),
IF($A151&lt;Valves!$A$132,VLOOKUP($A151,Valves!$A$8:$M$131,11,FALSE),
IF($A151&lt;SDR35SW!$A$124,VLOOKUP($A151,SDR35SW!$A$8:$M$123,11,FALSE),
IF($A151&lt;SDR35G!$A$143,VLOOKUP($A151, SDR35G!$A$8:$M$142,11,FALSE),
IF($A151&lt;SDR26G!$A$61,VLOOKUP($A151,SDR26G!$A$8:$N$60,12,FALSE),
IF($A151&lt;Cements!$A$100,VLOOKUP($A151,Cements!$A$8:$Q$99,15,FALSE),
IF($A151&lt;ValveBox!$A$143,VLOOKUP($A151,ValveBox!$A$10:$O$142,13,FALSE),
IF($A151&lt;'ValveBox Components'!$A$165,VLOOKUP($A151,'ValveBox Components'!$A$10:$O$164,13,FALSE),
IF($A151&lt;Drainage!$A$92,VLOOKUP($A151,Drainage!$A$8:$M$91,11,FALSE),
IF($A151&lt;Nipples!$A$82,VLOOKUP($A151,Nipples!$A$9:$Q$81,15,FALSE),
IF($A151&lt;Manifold!$A$33,VLOOKUP($A151,Manifold!$A$9:$M$32,11,FALSE),
IF($A151&lt;FlexibleRepairCouplings!$A$13,VLOOKUP($A151,FlexibleRepairCouplings!$A$10:$M$12,11,FALSE),
IF($A151&lt;DuraFix!$A$15,VLOOKUP($A151,DuraFix!$A$9:$M$14,11,FALSE),
IF($A151&lt;'Compression Fittings'!$A$16,VLOOKUP($A151,'Compression Fittings'!$A$8:$M$15,11,FALSE),
IF($A151&lt;'Hose Fittings'!$A$30,VLOOKUP($A151,'Hose Fittings'!$A$8:$M$29,11,FALSE),
IF($A151&lt;'Swing Joints'!$A$496,VLOOKUP($A151,'Swing Joints'!$A$9:$M$495,11,FALSE),
IF($A151&lt;'Swing Joints Components'!$A$135,VLOOKUP($A151,'Swing Joints Components'!$A$9:$M$134,11,FALSE),
IF($A151&lt;Nonstandard!$A$42,VLOOKUP($A151,Nonstandard!$A$31:$J$41,3,FALSE),"")))))))))))))))))))))))))))),"")</f>
        <v/>
      </c>
      <c r="H151" s="586" t="str">
        <f>IFERROR(IF($A151&lt;'DWV PVC'!$A$285,VLOOKUP($A151,'DWV PVC'!$A$8:$M$284,7,FALSE),
IF($A151&lt;'DWV ABS'!$A$117,VLOOKUP($A151,'DWV ABS'!$A$8:$M$116,7,FALSE),
IF($A151&lt;'PVC SCH40'!$A$376,VLOOKUP($A151,'PVC SCH40'!$A$8:$M$375,7,FALSE),
IF($A151&lt;'PVC SCH40 LD'!$A$22,VLOOKUP($A151,'PVC SCH40 LD'!$A$8:$M$21,7,FALSE),
IF($A151&lt;'Pool &amp; SPA Sweep Elbows'!$A$12,VLOOKUP($A151,'Pool &amp; SPA Sweep Elbows'!$A$8:$M$11,7,FALSE),
IF($A151&lt;'Pool &amp; SPA Pipe Extender'!$A$11,VLOOKUP($A151,'Pool &amp; SPA Pipe Extender'!$A$8:$M$10,7,FALSE),
IF($A151&lt;'PVC SCH80'!$A$250,VLOOKUP($A151,'PVC SCH80'!$A$8:$M$249,7,FALSE),
IF($A151&lt;'PVC SCH80 Flange'!$A$49,VLOOKUP($A151,'PVC SCH80 Flange'!$A$8:$M$48,7,FALSE),
IF($A151&lt;'PVC SCH80 LD Flange'!$A$17,VLOOKUP($A151,'PVC SCH80 LD Flange'!$A$8:$M$16,7,FALSE),
IF($A151&lt;CPVC!$A$100,VLOOKUP($A151,CPVC!$A$8:$M$99,7,FALSE),
IF($A151&lt;InsertFittings!$A$237,VLOOKUP($A151,InsertFittings!$A$11:$M$236,7,FALSE),
IF($A151&lt;Valves!$A$132,VLOOKUP($A151,Valves!$A$8:$M$131,7,FALSE),
IF($A151&lt;SDR35SW!$A$124,VLOOKUP($A151,SDR35SW!$A$8:$M$123,7,FALSE),
IF($A151&lt;SDR35G!$A$143,VLOOKUP($A151, SDR35G!$A$8:$M$142,7,FALSE),
IF($A151&lt;SDR26G!$A$61,VLOOKUP($A151,SDR26G!$A$8:$N$60,10,FALSE),
IF($A151&lt;Cements!$A$100,VLOOKUP($A151,Cements!$A$8:$Q$99,13,FALSE),
IF($A151&lt;ValveBox!$A$143,VLOOKUP($A151,ValveBox!$A$10:$O$142,11,FALSE),
IF($A151&lt;'ValveBox Components'!$A$165,VLOOKUP($A151,'ValveBox Components'!$A$10:$O$164,11,FALSE),
IF($A151&lt;Drainage!$A$92,VLOOKUP($A151,Drainage!$A$8:$M$91,7,FALSE),
IF($A151&lt;Nipples!$A$82,VLOOKUP($A151,Nipples!$A$9:$Q$81,13,FALSE),
IF($A151&lt;Manifold!$A$33,VLOOKUP($A151,Manifold!$A$9:$M$32,7,FALSE),
IF($A151&lt;FlexibleRepairCouplings!$A$13,VLOOKUP($A151,FlexibleRepairCouplings!$A$10:$M$12,7,FALSE),
IF($A151&lt;DuraFix!$A$15,VLOOKUP($A151,DuraFix!$A$9:$M$14,7,FALSE),
IF($A151&lt;'Compression Fittings'!$A$16,VLOOKUP($A151,'Compression Fittings'!$A$8:$M$15,7,FALSE),
IF($A151&lt;'Hose Fittings'!$A$30,VLOOKUP($A151,'Hose Fittings'!$A$8:$M$29,7,FALSE),
IF($A151&lt;'Swing Joints'!$A$496,VLOOKUP($A151,'Swing Joints'!$A$9:$M$495,7,FALSE),
IF($A151&lt;'Swing Joints Components'!$A$135,VLOOKUP($A151,'Swing Joints Components'!$A$9:$M$134,7,FALSE),
IF($A151&lt;Nonstandard!$A$42,VLOOKUP($A151,Nonstandard!$A$31:$J$41,3,FALSE),"")))))))))))))))))))))))))))),"")</f>
        <v/>
      </c>
      <c r="I151" s="587"/>
      <c r="J151" s="383" t="str">
        <f t="shared" si="3"/>
        <v/>
      </c>
      <c r="K151" s="417" t="str">
        <f>IFERROR(IF($A151&lt;'DWV PVC'!$A$285,VLOOKUP($A151,'DWV PVC'!$A$8:$M$284,10,FALSE),
IF($A151&lt;'DWV ABS'!$A$117,VLOOKUP($A151,'DWV ABS'!$A$8:$M$116,10,FALSE),
IF($A151&lt;'PVC SCH40'!$A$376,VLOOKUP($A151,'PVC SCH40'!$A$8:$M$375,10,FALSE),
IF($A151&lt;'PVC SCH40 LD'!$A$22,VLOOKUP($A151,'PVC SCH40 LD'!$A$8:$M$21,10,FALSE),
IF($A151&lt;'Pool &amp; SPA Sweep Elbows'!$A$12,VLOOKUP($A151,'Pool &amp; SPA Sweep Elbows'!$A$8:$M$11,10,FALSE),
IF($A151&lt;'Pool &amp; SPA Pipe Extender'!$A$11,VLOOKUP($A151,'Pool &amp; SPA Pipe Extender'!$A$8:$M$10,10,FALSE),
IF($A151&lt;'PVC SCH80'!$A$250,VLOOKUP($A151,'PVC SCH80'!$A$8:$M$249,10,FALSE),
IF($A151&lt;'PVC SCH80 Flange'!$A$49,VLOOKUP($A151,'PVC SCH80 Flange'!$A$8:$M$48,10,FALSE),
IF($A151&lt;'PVC SCH80 LD Flange'!$A$17,VLOOKUP($A151,'PVC SCH80 LD Flange'!$A$8:$M$16,10,FALSE),
IF($A151&lt;CPVC!$A$100,VLOOKUP($A151,CPVC!$A$8:$M$99,10,FALSE),
IF($A151&lt;InsertFittings!$A$237,VLOOKUP($A151,InsertFittings!$A$11:$M$236,10,FALSE),
IF($A151&lt;Valves!$A$132,VLOOKUP($A151,Valves!$A$8:$M$131,10,FALSE),
IF($A151&lt;SDR35SW!$A$124,VLOOKUP($A151,SDR35SW!$A$8:$M$123,10,FALSE),
IF($A151&lt;SDR35G!$A$143,VLOOKUP($A151, SDR35G!$A$8:$M$142,10,FALSE),
IF($A151&lt;SDR26G!$A$61,VLOOKUP($A151,SDR26G!$A$8:$N$60,11,FALSE),
IF($A151&lt;Cements!$A$100,VLOOKUP($A151,Cements!$A$8:$Q$99,14,FALSE),
IF($A151&lt;ValveBox!$A$143,VLOOKUP($A151,ValveBox!$A$10:$O$142,12,FALSE),
IF($A151&lt;'ValveBox Components'!$A$165,VLOOKUP($A151,'ValveBox Components'!$A$10:$O$164,12,FALSE),
IF($A151&lt;Drainage!$A$92,VLOOKUP($A151,Drainage!$A$8:$M$91,10,FALSE),
IF($A151&lt;Nipples!$A$82,VLOOKUP($A151,Nipples!$A$9:$Q$81,14,FALSE),
IF($A151&lt;Manifold!$A$33,VLOOKUP($A151,Manifold!$A$9:$M$32,10,FALSE),
IF($A151&lt;FlexibleRepairCouplings!$A$13,VLOOKUP($A151,FlexibleRepairCouplings!$A$10:$M$12,10,FALSE),
IF($A151&lt;DuraFix!$A$15,VLOOKUP($A151,DuraFix!$A$9:$M$14,10,FALSE),
IF($A151&lt;'Compression Fittings'!$A$16,VLOOKUP($A151,'Compression Fittings'!$A$8:$M$15,10,FALSE),
IF($A151&lt;'Hose Fittings'!$A$30,VLOOKUP($A151,'Hose Fittings'!$A$8:$M$29,10,FALSE),
IF($A151&lt;'Swing Joints'!$A$496,VLOOKUP($A151,'Swing Joints'!$A$9:$M$495,10,FALSE),
IF($A151&lt;'Swing Joints Components'!$A$135,VLOOKUP($A151,'Swing Joints Components'!$A$9:$M$134,10,FALSE),
IF($A151&lt;Nonstandard!$A$42,VLOOKUP($A151,Nonstandard!$A$31:$J$41,10,FALSE),"")))))))))))))))))))))))))))),"")</f>
        <v/>
      </c>
      <c r="L151" s="418" t="str">
        <f t="shared" si="2"/>
        <v>-</v>
      </c>
      <c r="M151" s="419"/>
    </row>
    <row r="152" spans="1:13" ht="15.75">
      <c r="A152" s="420">
        <v>120</v>
      </c>
      <c r="B152" s="420" t="str">
        <f>IFERROR(IF($A152&lt;'DWV PVC'!$A$285,VLOOKUP($A152,'DWV PVC'!$A$8:$M$284,4,FALSE),
IF($A152&lt;'DWV ABS'!$A$117,VLOOKUP($A152,'DWV ABS'!$A$8:$M$116,4,FALSE),
IF($A152&lt;'PVC SCH40'!$A$376,VLOOKUP($A152,'PVC SCH40'!$A$8:$M$375,4,FALSE),
IF($A152&lt;'PVC SCH40 LD'!$A$22,VLOOKUP($A152,'PVC SCH40 LD'!$A$8:$M$21,4,FALSE),
IF($A152&lt;'Pool &amp; SPA Sweep Elbows'!$A$12,VLOOKUP($A152,'Pool &amp; SPA Sweep Elbows'!$A$8:$M$11,4,FALSE),
IF($A152&lt;'Pool &amp; SPA Pipe Extender'!$A$11,VLOOKUP($A152,'Pool &amp; SPA Pipe Extender'!$A$8:$M$10,4,FALSE),
IF($A152&lt;'PVC SCH80'!$A$250,VLOOKUP($A152,'PVC SCH80'!$A$8:$M$249,4,FALSE),
IF($A152&lt;'PVC SCH80 Flange'!$A$49,VLOOKUP($A152,'PVC SCH80 Flange'!$A$8:$M$48,4,FALSE),
IF($A152&lt;'PVC SCH80 LD Flange'!$A$17,VLOOKUP($A152,'PVC SCH80 LD Flange'!$A$8:$M$16,4,FALSE),
IF($A152&lt;CPVC!$A$100,VLOOKUP($A152,CPVC!$A$8:$M$99,4,FALSE),
IF($A152&lt;InsertFittings!$A$237,VLOOKUP($A152,InsertFittings!$A$11:$M$236,4,FALSE),
IF($A152&lt;Valves!$A$132,VLOOKUP($A152,Valves!$A$8:$M$131,4,FALSE),
IF($A152&lt;SDR35SW!$A$124,VLOOKUP($A152,SDR35SW!$A$8:$M$123,4,FALSE),
IF($A152&lt;SDR35G!$A$143,VLOOKUP($A152, SDR35G!$A$8:$M$142,4,FALSE),
IF($A152&lt;SDR26G!$A$61,VLOOKUP($A152,SDR26G!$A$8:$N$60,4,FALSE),
IF($A152&lt;Cements!$A$100,VLOOKUP($A152,Cements!$A$8:$Q$99,4,FALSE),
IF($A152&lt;ValveBox!$A$143,VLOOKUP($A152,ValveBox!$A$10:$O$142,4,FALSE),
IF($A152&lt;'ValveBox Components'!$A$165,VLOOKUP($A152,'ValveBox Components'!$A$10:$O$164,4,FALSE),
IF($A152&lt;Drainage!$A$92,VLOOKUP($A152,Drainage!$A$8:$M$91,4,FALSE),
IF($A152&lt;Nipples!$A$82,VLOOKUP($A152,Nipples!$A$9:$Q$81,4,FALSE),
IF($A152&lt;Manifold!$A$33,VLOOKUP($A152,Manifold!$A$9:$M$32,4,FALSE),
IF($A152&lt;FlexibleRepairCouplings!$A$13,VLOOKUP($A152,FlexibleRepairCouplings!$A$10:$M$12,4,FALSE),
IF($A152&lt;DuraFix!$A$15,VLOOKUP($A152,DuraFix!$A$9:$M$14,4,FALSE),
IF($A152&lt;'Compression Fittings'!$A$16,VLOOKUP($A152,'Compression Fittings'!$A$8:$M$15,4,FALSE),
IF($A152&lt;'Hose Fittings'!$A$30,VLOOKUP($A152,'Hose Fittings'!$A$8:$M$29,4,FALSE),
IF($A152&lt;'Swing Joints'!$A$496,VLOOKUP($A152,'Swing Joints'!$A$9:$M$495,4,FALSE),
IF($A152&lt;'Swing Joints Components'!$A$135,VLOOKUP($A152,'Swing Joints Components'!$A$9:$M$134,4,FALSE),
IF($A152&lt;Nonstandard!$A$42,VLOOKUP($A152,Nonstandard!$A$31:$J$41,5,FALSE),"")))))))))))))))))))))))))))),"")</f>
        <v/>
      </c>
      <c r="C152" s="420" t="str">
        <f>IFERROR(IF($A152&lt;'DWV PVC'!$A$285,VLOOKUP($A152,'DWV PVC'!$A$8:$M$284,5,FALSE),
IF($A152&lt;'DWV ABS'!$A$117,VLOOKUP($A152,'DWV ABS'!$A$8:$M$116,5,FALSE),
IF($A152&lt;'PVC SCH40'!$A$376,VLOOKUP($A152,'PVC SCH40'!$A$8:$M$375,5,FALSE),
IF($A152&lt;'PVC SCH40 LD'!$A$22,VLOOKUP($A152,'PVC SCH40 LD'!$A$8:$M$21,5,FALSE),
IF($A152&lt;'Pool &amp; SPA Sweep Elbows'!$A$12,VLOOKUP($A152,'Pool &amp; SPA Sweep Elbows'!$A$8:$M$11,5,FALSE),
IF($A152&lt;'Pool &amp; SPA Pipe Extender'!$A$11,VLOOKUP($A152,'Pool &amp; SPA Pipe Extender'!$A$8:$M$10,5,FALSE),
IF($A152&lt;'PVC SCH80'!$A$250,VLOOKUP($A152,'PVC SCH80'!$A$8:$M$249,5,FALSE),
IF($A152&lt;'PVC SCH80 Flange'!$A$49,VLOOKUP($A152,'PVC SCH80 Flange'!$A$8:$M$48,5,FALSE),
IF($A152&lt;'PVC SCH80 LD Flange'!$A$17,VLOOKUP($A152,'PVC SCH80 LD Flange'!$A$8:$M$16,5,FALSE),
IF($A152&lt;CPVC!$A$100,VLOOKUP($A152,CPVC!$A$8:$M$99,5,FALSE),
IF($A152&lt;InsertFittings!$A$237,VLOOKUP($A152,InsertFittings!$A$11:$M$236,5,FALSE),
IF($A152&lt;Valves!$A$132,VLOOKUP($A152,Valves!$A$8:$M$131,5,FALSE),
IF($A152&lt;SDR35SW!$A$124,VLOOKUP($A152,SDR35SW!$A$8:$M$123,5,FALSE),
IF($A152&lt;SDR35G!$A$143,VLOOKUP($A152, SDR35G!$A$8:$M$142,5,FALSE),
IF($A152&lt;SDR26G!$A$61,VLOOKUP($A152,SDR26G!$A$8:$N$60,5,FALSE),
IF($A152&lt;Cements!$A$100,VLOOKUP($A152,Cements!$A$8:$Q$99,5,FALSE),
IF($A152&lt;ValveBox!$A$143,VLOOKUP($A152,ValveBox!$A$10:$O$142,5,FALSE),
IF($A152&lt;'ValveBox Components'!$A$165,VLOOKUP($A152,'ValveBox Components'!$A$10:$O$164,5,FALSE),
IF($A152&lt;Drainage!$A$92,VLOOKUP($A152,Drainage!$A$8:$M$91,5,FALSE),
IF($A152&lt;Nipples!$A$82,VLOOKUP($A152,Nipples!$A$9:$Q$81,5,FALSE),
IF($A152&lt;Manifold!$A$33,VLOOKUP($A152,Manifold!$A$9:$M$32,5,FALSE),
IF($A152&lt;FlexibleRepairCouplings!$A$13,VLOOKUP($A152,FlexibleRepairCouplings!$A$10:$M$12,5,FALSE),
IF($A152&lt;DuraFix!$A$15,VLOOKUP($A152,DuraFix!$A$9:$M$14,5,FALSE),
IF($A152&lt;'Compression Fittings'!$A$16,VLOOKUP($A152,'Compression Fittings'!$A$8:$M$15,5,FALSE),
IF($A152&lt;'Hose Fittings'!$A$30,VLOOKUP($A152,'Hose Fittings'!$A$8:$M$29,5,FALSE),
IF($A152&lt;'Swing Joints'!$A$496,VLOOKUP($A152,'Swing Joints'!$A$9:$M$495,5,FALSE),
IF($A152&lt;'Swing Joints Components'!$A$135,VLOOKUP($A152,'Swing Joints Components'!$A$9:$M$134,5,FALSE),
IF($A152&lt;Nonstandard!$A$42,VLOOKUP($A152,Nonstandard!$A$31:$J$41,6,FALSE),"")))))))))))))))))))))))))))),"")</f>
        <v/>
      </c>
      <c r="D152" s="428" t="str">
        <f>IFERROR(IF($A152&lt;'DWV PVC'!$A$285,VLOOKUP($A152,'DWV PVC'!$A$8:$M$284,6,FALSE),
IF($A152&lt;'DWV ABS'!$A$117,VLOOKUP($A152,'DWV ABS'!$A$8:$M$116,6,FALSE),
IF($A152&lt;'PVC SCH40'!$A$376,VLOOKUP($A152,'PVC SCH40'!$A$8:$M$375,6,FALSE),
IF($A152&lt;'PVC SCH40 LD'!$A$22,VLOOKUP($A152,'PVC SCH40 LD'!$A$8:$M$21,6,FALSE),
IF($A152&lt;'Pool &amp; SPA Sweep Elbows'!$A$12,VLOOKUP($A152,'Pool &amp; SPA Sweep Elbows'!$A$8:$M$11,6,FALSE),
IF($A152&lt;'Pool &amp; SPA Pipe Extender'!$A$11,VLOOKUP($A152,'Pool &amp; SPA Pipe Extender'!$A$8:$M$10,6,FALSE),
IF($A152&lt;'PVC SCH80'!$A$250,VLOOKUP($A152,'PVC SCH80'!$A$8:$M$249,6,FALSE),
IF($A152&lt;'PVC SCH80 Flange'!$A$49,VLOOKUP($A152,'PVC SCH80 Flange'!$A$8:$M$48,6,FALSE),
IF($A152&lt;'PVC SCH80 LD Flange'!$A$17,VLOOKUP($A152,'PVC SCH80 LD Flange'!$A$8:$M$16,6,FALSE),
IF($A152&lt;CPVC!$A$100,VLOOKUP($A152,CPVC!$A$8:$M$99,6,FALSE),
IF($A152&lt;InsertFittings!$A$237,VLOOKUP($A152,InsertFittings!$A$11:$M$236,6,FALSE),
IF($A152&lt;Valves!$A$132,VLOOKUP($A152,Valves!$A$8:$M$131,6,FALSE),
IF($A152&lt;SDR35SW!$A$124,VLOOKUP($A152,SDR35SW!$A$8:$M$123,6,FALSE),
IF($A152&lt;SDR35G!$A$143,VLOOKUP($A152, SDR35G!$A$8:$M$142,6,FALSE),
IF($A152&lt;SDR26G!$A$61,VLOOKUP($A152,SDR26G!$A$8:$N$60,6,FALSE),
IF($A152&lt;Cements!$A$100,VLOOKUP($A152,Cements!$A$8:$Q$99,6,FALSE),
IF($A152&lt;ValveBox!$A$143,VLOOKUP($A152,ValveBox!$A$10:$O$142,6,FALSE),
IF($A152&lt;'ValveBox Components'!$A$165,VLOOKUP($A152,'ValveBox Components'!$A$10:$O$164,6,FALSE),
IF($A152&lt;Drainage!$A$92,VLOOKUP($A152,Drainage!$A$8:$M$91,6,FALSE),
IF($A152&lt;Nipples!$A$82,VLOOKUP($A152,Nipples!$A$9:$Q$81,6,FALSE),
IF($A152&lt;Manifold!$A$33,VLOOKUP($A152,Manifold!$A$9:$M$32,6,FALSE),
IF($A152&lt;FlexibleRepairCouplings!$A$13,VLOOKUP($A152,FlexibleRepairCouplings!$A$10:$M$12,6,FALSE),
IF($A152&lt;DuraFix!$A$15,VLOOKUP($A152,DuraFix!$A$9:$M$14,6,FALSE),
IF($A152&lt;'Compression Fittings'!$A$16,VLOOKUP($A152,'Compression Fittings'!$A$8:$M$15,6,FALSE),
IF($A152&lt;'Hose Fittings'!$A$30,VLOOKUP($A152,'Hose Fittings'!$A$8:$M$29,6,FALSE),
IF($A152&lt;'Swing Joints'!$A$496,VLOOKUP($A152,'Swing Joints'!$A$9:$M$495,6,FALSE),
IF($A152&lt;'Swing Joints Components'!$A$135,VLOOKUP($A152,'Swing Joints Components'!$A$9:$M$134,6,FALSE),
IF($A152&lt;Nonstandard!$A$42,VLOOKUP($A152,Nonstandard!$A$31:$J$41,7,FALSE),"")))))))))))))))))))))))))))),"")</f>
        <v/>
      </c>
      <c r="E152" s="429"/>
      <c r="F152" s="421" t="str">
        <f>IFERROR(IF($A152&lt;'DWV PVC'!$A$285,VLOOKUP($A152,'DWV PVC'!$A$8:$M$284,9,FALSE),
IF($A152&lt;'DWV ABS'!$A$117,VLOOKUP($A152,'DWV ABS'!$A$8:$M$116,9,FALSE),
IF($A152&lt;'PVC SCH40'!$A$376,VLOOKUP($A152,'PVC SCH40'!$A$8:$M$375,9,FALSE),
IF($A152&lt;'PVC SCH40 LD'!$A$22,VLOOKUP($A152,'PVC SCH40 LD'!$A$8:$M$21,9,FALSE),
IF($A152&lt;'Pool &amp; SPA Sweep Elbows'!$A$12,VLOOKUP($A152,'Pool &amp; SPA Sweep Elbows'!$A$8:$M$11,9,FALSE),
IF($A152&lt;'Pool &amp; SPA Pipe Extender'!$A$11,VLOOKUP($A152,'Pool &amp; SPA Pipe Extender'!$A$8:$M$10,9,FALSE),
IF($A152&lt;'PVC SCH80'!$A$250,VLOOKUP($A152,'PVC SCH80'!$A$8:$M$249,9,FALSE),
IF($A152&lt;'PVC SCH80 Flange'!$A$49,VLOOKUP($A152,'PVC SCH80 Flange'!$A$8:$M$48,9,FALSE),
IF($A152&lt;'PVC SCH80 LD Flange'!$A$17,VLOOKUP($A152,'PVC SCH80 LD Flange'!$A$8:$M$16,9,FALSE),
IF($A152&lt;CPVC!$A$100,VLOOKUP($A152,CPVC!$A$8:$M$99,9,FALSE),
IF($A152&lt;InsertFittings!$A$237,VLOOKUP($A152,InsertFittings!$A$11:$M$236,9,FALSE),
IF($A152&lt;Valves!$A$132,VLOOKUP($A152,Valves!$A$8:$M$131,9,FALSE),
IF($A152&lt;SDR35SW!$A$124,VLOOKUP($A152,SDR35SW!$A$8:$M$123,9,FALSE),
IF($A152&lt;SDR35G!$A$143,VLOOKUP($A152, SDR35G!$A$8:$M$142,9,FALSE),
IF($A152&lt;SDR26G!$A$61,VLOOKUP($A152,SDR26G!$A$8:$N$60,10,FALSE),
IF($A152&lt;Cements!$A$100,VLOOKUP($A152,Cements!$A$8:$Q$99,13,FALSE),
IF($A152&lt;ValveBox!$A$143,VLOOKUP($A152,ValveBox!$A$10:$O$142,11,FALSE),
IF($A152&lt;'ValveBox Components'!$A$165,VLOOKUP($A152,'ValveBox Components'!$A$10:$O$164,11,FALSE),
IF($A152&lt;Drainage!$A$92,VLOOKUP($A152,Drainage!$A$8:$M$91,9,FALSE),
IF($A152&lt;Nipples!$A$82,VLOOKUP($A152,Nipples!$A$9:$Q$81,13,FALSE),
IF($A152&lt;Manifold!$A$33,VLOOKUP($A152,Manifold!$A$9:$M$32,9,FALSE),
IF($A152&lt;FlexibleRepairCouplings!$A$13,VLOOKUP($A152,FlexibleRepairCouplings!$A$10:$M$12,9,FALSE),
IF($A152&lt;DuraFix!$A$15,VLOOKUP($A152,DuraFix!$A$9:$M$14,9,FALSE),
IF($A152&lt;'Compression Fittings'!$A$16,VLOOKUP($A152,'Compression Fittings'!$A$8:$M$15,9,FALSE),
IF($A152&lt;'Hose Fittings'!$A$30,VLOOKUP($A152,'Hose Fittings'!$A$8:$M$29,9,FALSE),
IF($A152&lt;'Swing Joints'!$A$496,VLOOKUP($A152,'Swing Joints'!$A$9:$M$495,9,FALSE),
IF($A152&lt;'Swing Joints Components'!$A$135,VLOOKUP($A152,'Swing Joints Components'!$A$9:$M$134,9,FALSE),
IF($A152&lt;Nonstandard!$A$42,VLOOKUP($A152,Nonstandard!$A$31:$J$41,8,FALSE),"")))))))))))))))))))))))))))),"")</f>
        <v/>
      </c>
      <c r="G152" s="422" t="str">
        <f>IFERROR(IF($A152&lt;'DWV PVC'!$A$285,VLOOKUP($A152,'DWV PVC'!$A$8:$M$284,11,FALSE),
IF($A152&lt;'DWV ABS'!$A$117,VLOOKUP($A152,'DWV ABS'!$A$8:$M$116,11,FALSE),
IF($A152&lt;'PVC SCH40'!$A$376,VLOOKUP($A152,'PVC SCH40'!$A$8:$M$375,11,FALSE),
IF($A152&lt;'PVC SCH40 LD'!$A$22,VLOOKUP($A152,'PVC SCH40 LD'!$A$8:$M$21,11,FALSE),
IF($A152&lt;'Pool &amp; SPA Sweep Elbows'!$A$12,VLOOKUP($A152,'Pool &amp; SPA Sweep Elbows'!$A$8:$M$11,11,FALSE),
IF($A152&lt;'Pool &amp; SPA Pipe Extender'!$A$11,VLOOKUP($A152,'Pool &amp; SPA Pipe Extender'!$A$8:$M$10,11,FALSE),
IF($A152&lt;'PVC SCH80'!$A$250,VLOOKUP($A152,'PVC SCH80'!$A$8:$M$249,11,FALSE),
IF($A152&lt;'PVC SCH80 Flange'!$A$49,VLOOKUP($A152,'PVC SCH80 Flange'!$A$8:$M$48,11,FALSE),
IF($A152&lt;'PVC SCH80 LD Flange'!$A$17,VLOOKUP($A152,'PVC SCH80 LD Flange'!$A$8:$M$16,11,FALSE),
IF($A152&lt;CPVC!$A$100,VLOOKUP($A152,CPVC!$A$8:$M$99,11,FALSE),
IF($A152&lt;InsertFittings!$A$237,VLOOKUP($A152,InsertFittings!$A$11:$M$236,11,FALSE),
IF($A152&lt;Valves!$A$132,VLOOKUP($A152,Valves!$A$8:$M$131,11,FALSE),
IF($A152&lt;SDR35SW!$A$124,VLOOKUP($A152,SDR35SW!$A$8:$M$123,11,FALSE),
IF($A152&lt;SDR35G!$A$143,VLOOKUP($A152, SDR35G!$A$8:$M$142,11,FALSE),
IF($A152&lt;SDR26G!$A$61,VLOOKUP($A152,SDR26G!$A$8:$N$60,12,FALSE),
IF($A152&lt;Cements!$A$100,VLOOKUP($A152,Cements!$A$8:$Q$99,15,FALSE),
IF($A152&lt;ValveBox!$A$143,VLOOKUP($A152,ValveBox!$A$10:$O$142,13,FALSE),
IF($A152&lt;'ValveBox Components'!$A$165,VLOOKUP($A152,'ValveBox Components'!$A$10:$O$164,13,FALSE),
IF($A152&lt;Drainage!$A$92,VLOOKUP($A152,Drainage!$A$8:$M$91,11,FALSE),
IF($A152&lt;Nipples!$A$82,VLOOKUP($A152,Nipples!$A$9:$Q$81,15,FALSE),
IF($A152&lt;Manifold!$A$33,VLOOKUP($A152,Manifold!$A$9:$M$32,11,FALSE),
IF($A152&lt;FlexibleRepairCouplings!$A$13,VLOOKUP($A152,FlexibleRepairCouplings!$A$10:$M$12,11,FALSE),
IF($A152&lt;DuraFix!$A$15,VLOOKUP($A152,DuraFix!$A$9:$M$14,11,FALSE),
IF($A152&lt;'Compression Fittings'!$A$16,VLOOKUP($A152,'Compression Fittings'!$A$8:$M$15,11,FALSE),
IF($A152&lt;'Hose Fittings'!$A$30,VLOOKUP($A152,'Hose Fittings'!$A$8:$M$29,11,FALSE),
IF($A152&lt;'Swing Joints'!$A$496,VLOOKUP($A152,'Swing Joints'!$A$9:$M$495,11,FALSE),
IF($A152&lt;'Swing Joints Components'!$A$135,VLOOKUP($A152,'Swing Joints Components'!$A$9:$M$134,11,FALSE),
IF($A152&lt;Nonstandard!$A$42,VLOOKUP($A152,Nonstandard!$A$31:$J$41,3,FALSE),"")))))))))))))))))))))))))))),"")</f>
        <v/>
      </c>
      <c r="H152" s="588" t="str">
        <f>IFERROR(IF($A152&lt;'DWV PVC'!$A$285,VLOOKUP($A152,'DWV PVC'!$A$8:$M$284,7,FALSE),
IF($A152&lt;'DWV ABS'!$A$117,VLOOKUP($A152,'DWV ABS'!$A$8:$M$116,7,FALSE),
IF($A152&lt;'PVC SCH40'!$A$376,VLOOKUP($A152,'PVC SCH40'!$A$8:$M$375,7,FALSE),
IF($A152&lt;'PVC SCH40 LD'!$A$22,VLOOKUP($A152,'PVC SCH40 LD'!$A$8:$M$21,7,FALSE),
IF($A152&lt;'Pool &amp; SPA Sweep Elbows'!$A$12,VLOOKUP($A152,'Pool &amp; SPA Sweep Elbows'!$A$8:$M$11,7,FALSE),
IF($A152&lt;'Pool &amp; SPA Pipe Extender'!$A$11,VLOOKUP($A152,'Pool &amp; SPA Pipe Extender'!$A$8:$M$10,7,FALSE),
IF($A152&lt;'PVC SCH80'!$A$250,VLOOKUP($A152,'PVC SCH80'!$A$8:$M$249,7,FALSE),
IF($A152&lt;'PVC SCH80 Flange'!$A$49,VLOOKUP($A152,'PVC SCH80 Flange'!$A$8:$M$48,7,FALSE),
IF($A152&lt;'PVC SCH80 LD Flange'!$A$17,VLOOKUP($A152,'PVC SCH80 LD Flange'!$A$8:$M$16,7,FALSE),
IF($A152&lt;CPVC!$A$100,VLOOKUP($A152,CPVC!$A$8:$M$99,7,FALSE),
IF($A152&lt;InsertFittings!$A$237,VLOOKUP($A152,InsertFittings!$A$11:$M$236,7,FALSE),
IF($A152&lt;Valves!$A$132,VLOOKUP($A152,Valves!$A$8:$M$131,7,FALSE),
IF($A152&lt;SDR35SW!$A$124,VLOOKUP($A152,SDR35SW!$A$8:$M$123,7,FALSE),
IF($A152&lt;SDR35G!$A$143,VLOOKUP($A152, SDR35G!$A$8:$M$142,7,FALSE),
IF($A152&lt;SDR26G!$A$61,VLOOKUP($A152,SDR26G!$A$8:$N$60,10,FALSE),
IF($A152&lt;Cements!$A$100,VLOOKUP($A152,Cements!$A$8:$Q$99,13,FALSE),
IF($A152&lt;ValveBox!$A$143,VLOOKUP($A152,ValveBox!$A$10:$O$142,11,FALSE),
IF($A152&lt;'ValveBox Components'!$A$165,VLOOKUP($A152,'ValveBox Components'!$A$10:$O$164,11,FALSE),
IF($A152&lt;Drainage!$A$92,VLOOKUP($A152,Drainage!$A$8:$M$91,7,FALSE),
IF($A152&lt;Nipples!$A$82,VLOOKUP($A152,Nipples!$A$9:$Q$81,13,FALSE),
IF($A152&lt;Manifold!$A$33,VLOOKUP($A152,Manifold!$A$9:$M$32,7,FALSE),
IF($A152&lt;FlexibleRepairCouplings!$A$13,VLOOKUP($A152,FlexibleRepairCouplings!$A$10:$M$12,7,FALSE),
IF($A152&lt;DuraFix!$A$15,VLOOKUP($A152,DuraFix!$A$9:$M$14,7,FALSE),
IF($A152&lt;'Compression Fittings'!$A$16,VLOOKUP($A152,'Compression Fittings'!$A$8:$M$15,7,FALSE),
IF($A152&lt;'Hose Fittings'!$A$30,VLOOKUP($A152,'Hose Fittings'!$A$8:$M$29,7,FALSE),
IF($A152&lt;'Swing Joints'!$A$496,VLOOKUP($A152,'Swing Joints'!$A$9:$M$495,7,FALSE),
IF($A152&lt;'Swing Joints Components'!$A$135,VLOOKUP($A152,'Swing Joints Components'!$A$9:$M$134,7,FALSE),
IF($A152&lt;Nonstandard!$A$42,VLOOKUP($A152,Nonstandard!$A$31:$J$41,3,FALSE),"")))))))))))))))))))))))))))),"")</f>
        <v/>
      </c>
      <c r="I152" s="589"/>
      <c r="J152" s="423" t="str">
        <f t="shared" si="3"/>
        <v/>
      </c>
      <c r="K152" s="424" t="str">
        <f>IFERROR(IF($A152&lt;'DWV PVC'!$A$285,VLOOKUP($A152,'DWV PVC'!$A$8:$M$284,10,FALSE),
IF($A152&lt;'DWV ABS'!$A$117,VLOOKUP($A152,'DWV ABS'!$A$8:$M$116,10,FALSE),
IF($A152&lt;'PVC SCH40'!$A$376,VLOOKUP($A152,'PVC SCH40'!$A$8:$M$375,10,FALSE),
IF($A152&lt;'PVC SCH40 LD'!$A$22,VLOOKUP($A152,'PVC SCH40 LD'!$A$8:$M$21,10,FALSE),
IF($A152&lt;'Pool &amp; SPA Sweep Elbows'!$A$12,VLOOKUP($A152,'Pool &amp; SPA Sweep Elbows'!$A$8:$M$11,10,FALSE),
IF($A152&lt;'Pool &amp; SPA Pipe Extender'!$A$11,VLOOKUP($A152,'Pool &amp; SPA Pipe Extender'!$A$8:$M$10,10,FALSE),
IF($A152&lt;'PVC SCH80'!$A$250,VLOOKUP($A152,'PVC SCH80'!$A$8:$M$249,10,FALSE),
IF($A152&lt;'PVC SCH80 Flange'!$A$49,VLOOKUP($A152,'PVC SCH80 Flange'!$A$8:$M$48,10,FALSE),
IF($A152&lt;'PVC SCH80 LD Flange'!$A$17,VLOOKUP($A152,'PVC SCH80 LD Flange'!$A$8:$M$16,10,FALSE),
IF($A152&lt;CPVC!$A$100,VLOOKUP($A152,CPVC!$A$8:$M$99,10,FALSE),
IF($A152&lt;InsertFittings!$A$237,VLOOKUP($A152,InsertFittings!$A$11:$M$236,10,FALSE),
IF($A152&lt;Valves!$A$132,VLOOKUP($A152,Valves!$A$8:$M$131,10,FALSE),
IF($A152&lt;SDR35SW!$A$124,VLOOKUP($A152,SDR35SW!$A$8:$M$123,10,FALSE),
IF($A152&lt;SDR35G!$A$143,VLOOKUP($A152, SDR35G!$A$8:$M$142,10,FALSE),
IF($A152&lt;SDR26G!$A$61,VLOOKUP($A152,SDR26G!$A$8:$N$60,11,FALSE),
IF($A152&lt;Cements!$A$100,VLOOKUP($A152,Cements!$A$8:$Q$99,14,FALSE),
IF($A152&lt;ValveBox!$A$143,VLOOKUP($A152,ValveBox!$A$10:$O$142,12,FALSE),
IF($A152&lt;'ValveBox Components'!$A$165,VLOOKUP($A152,'ValveBox Components'!$A$10:$O$164,12,FALSE),
IF($A152&lt;Drainage!$A$92,VLOOKUP($A152,Drainage!$A$8:$M$91,10,FALSE),
IF($A152&lt;Nipples!$A$82,VLOOKUP($A152,Nipples!$A$9:$Q$81,14,FALSE),
IF($A152&lt;Manifold!$A$33,VLOOKUP($A152,Manifold!$A$9:$M$32,10,FALSE),
IF($A152&lt;FlexibleRepairCouplings!$A$13,VLOOKUP($A152,FlexibleRepairCouplings!$A$10:$M$12,10,FALSE),
IF($A152&lt;DuraFix!$A$15,VLOOKUP($A152,DuraFix!$A$9:$M$14,10,FALSE),
IF($A152&lt;'Compression Fittings'!$A$16,VLOOKUP($A152,'Compression Fittings'!$A$8:$M$15,10,FALSE),
IF($A152&lt;'Hose Fittings'!$A$30,VLOOKUP($A152,'Hose Fittings'!$A$8:$M$29,10,FALSE),
IF($A152&lt;'Swing Joints'!$A$496,VLOOKUP($A152,'Swing Joints'!$A$9:$M$495,10,FALSE),
IF($A152&lt;'Swing Joints Components'!$A$135,VLOOKUP($A152,'Swing Joints Components'!$A$9:$M$134,10,FALSE),
IF($A152&lt;Nonstandard!$A$42,VLOOKUP($A152,Nonstandard!$A$31:$J$41,10,FALSE),"")))))))))))))))))))))))))))),"")</f>
        <v/>
      </c>
      <c r="L152" s="421" t="str">
        <f t="shared" si="2"/>
        <v>-</v>
      </c>
      <c r="M152" s="425"/>
    </row>
    <row r="153" spans="1:13" ht="15.75">
      <c r="A153" s="415">
        <v>121</v>
      </c>
      <c r="B153" s="415" t="str">
        <f>IFERROR(IF($A153&lt;'DWV PVC'!$A$285,VLOOKUP($A153,'DWV PVC'!$A$8:$M$284,4,FALSE),
IF($A153&lt;'DWV ABS'!$A$117,VLOOKUP($A153,'DWV ABS'!$A$8:$M$116,4,FALSE),
IF($A153&lt;'PVC SCH40'!$A$376,VLOOKUP($A153,'PVC SCH40'!$A$8:$M$375,4,FALSE),
IF($A153&lt;'PVC SCH40 LD'!$A$22,VLOOKUP($A153,'PVC SCH40 LD'!$A$8:$M$21,4,FALSE),
IF($A153&lt;'Pool &amp; SPA Sweep Elbows'!$A$12,VLOOKUP($A153,'Pool &amp; SPA Sweep Elbows'!$A$8:$M$11,4,FALSE),
IF($A153&lt;'Pool &amp; SPA Pipe Extender'!$A$11,VLOOKUP($A153,'Pool &amp; SPA Pipe Extender'!$A$8:$M$10,4,FALSE),
IF($A153&lt;'PVC SCH80'!$A$250,VLOOKUP($A153,'PVC SCH80'!$A$8:$M$249,4,FALSE),
IF($A153&lt;'PVC SCH80 Flange'!$A$49,VLOOKUP($A153,'PVC SCH80 Flange'!$A$8:$M$48,4,FALSE),
IF($A153&lt;'PVC SCH80 LD Flange'!$A$17,VLOOKUP($A153,'PVC SCH80 LD Flange'!$A$8:$M$16,4,FALSE),
IF($A153&lt;CPVC!$A$100,VLOOKUP($A153,CPVC!$A$8:$M$99,4,FALSE),
IF($A153&lt;InsertFittings!$A$237,VLOOKUP($A153,InsertFittings!$A$11:$M$236,4,FALSE),
IF($A153&lt;Valves!$A$132,VLOOKUP($A153,Valves!$A$8:$M$131,4,FALSE),
IF($A153&lt;SDR35SW!$A$124,VLOOKUP($A153,SDR35SW!$A$8:$M$123,4,FALSE),
IF($A153&lt;SDR35G!$A$143,VLOOKUP($A153, SDR35G!$A$8:$M$142,4,FALSE),
IF($A153&lt;SDR26G!$A$61,VLOOKUP($A153,SDR26G!$A$8:$N$60,4,FALSE),
IF($A153&lt;Cements!$A$100,VLOOKUP($A153,Cements!$A$8:$Q$99,4,FALSE),
IF($A153&lt;ValveBox!$A$143,VLOOKUP($A153,ValveBox!$A$10:$O$142,4,FALSE),
IF($A153&lt;'ValveBox Components'!$A$165,VLOOKUP($A153,'ValveBox Components'!$A$10:$O$164,4,FALSE),
IF($A153&lt;Drainage!$A$92,VLOOKUP($A153,Drainage!$A$8:$M$91,4,FALSE),
IF($A153&lt;Nipples!$A$82,VLOOKUP($A153,Nipples!$A$9:$Q$81,4,FALSE),
IF($A153&lt;Manifold!$A$33,VLOOKUP($A153,Manifold!$A$9:$M$32,4,FALSE),
IF($A153&lt;FlexibleRepairCouplings!$A$13,VLOOKUP($A153,FlexibleRepairCouplings!$A$10:$M$12,4,FALSE),
IF($A153&lt;DuraFix!$A$15,VLOOKUP($A153,DuraFix!$A$9:$M$14,4,FALSE),
IF($A153&lt;'Compression Fittings'!$A$16,VLOOKUP($A153,'Compression Fittings'!$A$8:$M$15,4,FALSE),
IF($A153&lt;'Hose Fittings'!$A$30,VLOOKUP($A153,'Hose Fittings'!$A$8:$M$29,4,FALSE),
IF($A153&lt;'Swing Joints'!$A$496,VLOOKUP($A153,'Swing Joints'!$A$9:$M$495,4,FALSE),
IF($A153&lt;'Swing Joints Components'!$A$135,VLOOKUP($A153,'Swing Joints Components'!$A$9:$M$134,4,FALSE),
IF($A153&lt;Nonstandard!$A$42,VLOOKUP($A153,Nonstandard!$A$31:$J$41,5,FALSE),"")))))))))))))))))))))))))))),"")</f>
        <v/>
      </c>
      <c r="C153" s="415" t="str">
        <f>IFERROR(IF($A153&lt;'DWV PVC'!$A$285,VLOOKUP($A153,'DWV PVC'!$A$8:$M$284,5,FALSE),
IF($A153&lt;'DWV ABS'!$A$117,VLOOKUP($A153,'DWV ABS'!$A$8:$M$116,5,FALSE),
IF($A153&lt;'PVC SCH40'!$A$376,VLOOKUP($A153,'PVC SCH40'!$A$8:$M$375,5,FALSE),
IF($A153&lt;'PVC SCH40 LD'!$A$22,VLOOKUP($A153,'PVC SCH40 LD'!$A$8:$M$21,5,FALSE),
IF($A153&lt;'Pool &amp; SPA Sweep Elbows'!$A$12,VLOOKUP($A153,'Pool &amp; SPA Sweep Elbows'!$A$8:$M$11,5,FALSE),
IF($A153&lt;'Pool &amp; SPA Pipe Extender'!$A$11,VLOOKUP($A153,'Pool &amp; SPA Pipe Extender'!$A$8:$M$10,5,FALSE),
IF($A153&lt;'PVC SCH80'!$A$250,VLOOKUP($A153,'PVC SCH80'!$A$8:$M$249,5,FALSE),
IF($A153&lt;'PVC SCH80 Flange'!$A$49,VLOOKUP($A153,'PVC SCH80 Flange'!$A$8:$M$48,5,FALSE),
IF($A153&lt;'PVC SCH80 LD Flange'!$A$17,VLOOKUP($A153,'PVC SCH80 LD Flange'!$A$8:$M$16,5,FALSE),
IF($A153&lt;CPVC!$A$100,VLOOKUP($A153,CPVC!$A$8:$M$99,5,FALSE),
IF($A153&lt;InsertFittings!$A$237,VLOOKUP($A153,InsertFittings!$A$11:$M$236,5,FALSE),
IF($A153&lt;Valves!$A$132,VLOOKUP($A153,Valves!$A$8:$M$131,5,FALSE),
IF($A153&lt;SDR35SW!$A$124,VLOOKUP($A153,SDR35SW!$A$8:$M$123,5,FALSE),
IF($A153&lt;SDR35G!$A$143,VLOOKUP($A153, SDR35G!$A$8:$M$142,5,FALSE),
IF($A153&lt;SDR26G!$A$61,VLOOKUP($A153,SDR26G!$A$8:$N$60,5,FALSE),
IF($A153&lt;Cements!$A$100,VLOOKUP($A153,Cements!$A$8:$Q$99,5,FALSE),
IF($A153&lt;ValveBox!$A$143,VLOOKUP($A153,ValveBox!$A$10:$O$142,5,FALSE),
IF($A153&lt;'ValveBox Components'!$A$165,VLOOKUP($A153,'ValveBox Components'!$A$10:$O$164,5,FALSE),
IF($A153&lt;Drainage!$A$92,VLOOKUP($A153,Drainage!$A$8:$M$91,5,FALSE),
IF($A153&lt;Nipples!$A$82,VLOOKUP($A153,Nipples!$A$9:$Q$81,5,FALSE),
IF($A153&lt;Manifold!$A$33,VLOOKUP($A153,Manifold!$A$9:$M$32,5,FALSE),
IF($A153&lt;FlexibleRepairCouplings!$A$13,VLOOKUP($A153,FlexibleRepairCouplings!$A$10:$M$12,5,FALSE),
IF($A153&lt;DuraFix!$A$15,VLOOKUP($A153,DuraFix!$A$9:$M$14,5,FALSE),
IF($A153&lt;'Compression Fittings'!$A$16,VLOOKUP($A153,'Compression Fittings'!$A$8:$M$15,5,FALSE),
IF($A153&lt;'Hose Fittings'!$A$30,VLOOKUP($A153,'Hose Fittings'!$A$8:$M$29,5,FALSE),
IF($A153&lt;'Swing Joints'!$A$496,VLOOKUP($A153,'Swing Joints'!$A$9:$M$495,5,FALSE),
IF($A153&lt;'Swing Joints Components'!$A$135,VLOOKUP($A153,'Swing Joints Components'!$A$9:$M$134,5,FALSE),
IF($A153&lt;Nonstandard!$A$42,VLOOKUP($A153,Nonstandard!$A$31:$J$41,6,FALSE),"")))))))))))))))))))))))))))),"")</f>
        <v/>
      </c>
      <c r="D153" s="426" t="str">
        <f>IFERROR(IF($A153&lt;'DWV PVC'!$A$285,VLOOKUP($A153,'DWV PVC'!$A$8:$M$284,6,FALSE),
IF($A153&lt;'DWV ABS'!$A$117,VLOOKUP($A153,'DWV ABS'!$A$8:$M$116,6,FALSE),
IF($A153&lt;'PVC SCH40'!$A$376,VLOOKUP($A153,'PVC SCH40'!$A$8:$M$375,6,FALSE),
IF($A153&lt;'PVC SCH40 LD'!$A$22,VLOOKUP($A153,'PVC SCH40 LD'!$A$8:$M$21,6,FALSE),
IF($A153&lt;'Pool &amp; SPA Sweep Elbows'!$A$12,VLOOKUP($A153,'Pool &amp; SPA Sweep Elbows'!$A$8:$M$11,6,FALSE),
IF($A153&lt;'Pool &amp; SPA Pipe Extender'!$A$11,VLOOKUP($A153,'Pool &amp; SPA Pipe Extender'!$A$8:$M$10,6,FALSE),
IF($A153&lt;'PVC SCH80'!$A$250,VLOOKUP($A153,'PVC SCH80'!$A$8:$M$249,6,FALSE),
IF($A153&lt;'PVC SCH80 Flange'!$A$49,VLOOKUP($A153,'PVC SCH80 Flange'!$A$8:$M$48,6,FALSE),
IF($A153&lt;'PVC SCH80 LD Flange'!$A$17,VLOOKUP($A153,'PVC SCH80 LD Flange'!$A$8:$M$16,6,FALSE),
IF($A153&lt;CPVC!$A$100,VLOOKUP($A153,CPVC!$A$8:$M$99,6,FALSE),
IF($A153&lt;InsertFittings!$A$237,VLOOKUP($A153,InsertFittings!$A$11:$M$236,6,FALSE),
IF($A153&lt;Valves!$A$132,VLOOKUP($A153,Valves!$A$8:$M$131,6,FALSE),
IF($A153&lt;SDR35SW!$A$124,VLOOKUP($A153,SDR35SW!$A$8:$M$123,6,FALSE),
IF($A153&lt;SDR35G!$A$143,VLOOKUP($A153, SDR35G!$A$8:$M$142,6,FALSE),
IF($A153&lt;SDR26G!$A$61,VLOOKUP($A153,SDR26G!$A$8:$N$60,6,FALSE),
IF($A153&lt;Cements!$A$100,VLOOKUP($A153,Cements!$A$8:$Q$99,6,FALSE),
IF($A153&lt;ValveBox!$A$143,VLOOKUP($A153,ValveBox!$A$10:$O$142,6,FALSE),
IF($A153&lt;'ValveBox Components'!$A$165,VLOOKUP($A153,'ValveBox Components'!$A$10:$O$164,6,FALSE),
IF($A153&lt;Drainage!$A$92,VLOOKUP($A153,Drainage!$A$8:$M$91,6,FALSE),
IF($A153&lt;Nipples!$A$82,VLOOKUP($A153,Nipples!$A$9:$Q$81,6,FALSE),
IF($A153&lt;Manifold!$A$33,VLOOKUP($A153,Manifold!$A$9:$M$32,6,FALSE),
IF($A153&lt;FlexibleRepairCouplings!$A$13,VLOOKUP($A153,FlexibleRepairCouplings!$A$10:$M$12,6,FALSE),
IF($A153&lt;DuraFix!$A$15,VLOOKUP($A153,DuraFix!$A$9:$M$14,6,FALSE),
IF($A153&lt;'Compression Fittings'!$A$16,VLOOKUP($A153,'Compression Fittings'!$A$8:$M$15,6,FALSE),
IF($A153&lt;'Hose Fittings'!$A$30,VLOOKUP($A153,'Hose Fittings'!$A$8:$M$29,6,FALSE),
IF($A153&lt;'Swing Joints'!$A$496,VLOOKUP($A153,'Swing Joints'!$A$9:$M$495,6,FALSE),
IF($A153&lt;'Swing Joints Components'!$A$135,VLOOKUP($A153,'Swing Joints Components'!$A$9:$M$134,6,FALSE),
IF($A153&lt;Nonstandard!$A$42,VLOOKUP($A153,Nonstandard!$A$31:$J$41,7,FALSE),"")))))))))))))))))))))))))))),"")</f>
        <v/>
      </c>
      <c r="E153" s="427"/>
      <c r="F153" s="418" t="str">
        <f>IFERROR(IF($A153&lt;'DWV PVC'!$A$285,VLOOKUP($A153,'DWV PVC'!$A$8:$M$284,9,FALSE),
IF($A153&lt;'DWV ABS'!$A$117,VLOOKUP($A153,'DWV ABS'!$A$8:$M$116,9,FALSE),
IF($A153&lt;'PVC SCH40'!$A$376,VLOOKUP($A153,'PVC SCH40'!$A$8:$M$375,9,FALSE),
IF($A153&lt;'PVC SCH40 LD'!$A$22,VLOOKUP($A153,'PVC SCH40 LD'!$A$8:$M$21,9,FALSE),
IF($A153&lt;'Pool &amp; SPA Sweep Elbows'!$A$12,VLOOKUP($A153,'Pool &amp; SPA Sweep Elbows'!$A$8:$M$11,9,FALSE),
IF($A153&lt;'Pool &amp; SPA Pipe Extender'!$A$11,VLOOKUP($A153,'Pool &amp; SPA Pipe Extender'!$A$8:$M$10,9,FALSE),
IF($A153&lt;'PVC SCH80'!$A$250,VLOOKUP($A153,'PVC SCH80'!$A$8:$M$249,9,FALSE),
IF($A153&lt;'PVC SCH80 Flange'!$A$49,VLOOKUP($A153,'PVC SCH80 Flange'!$A$8:$M$48,9,FALSE),
IF($A153&lt;'PVC SCH80 LD Flange'!$A$17,VLOOKUP($A153,'PVC SCH80 LD Flange'!$A$8:$M$16,9,FALSE),
IF($A153&lt;CPVC!$A$100,VLOOKUP($A153,CPVC!$A$8:$M$99,9,FALSE),
IF($A153&lt;InsertFittings!$A$237,VLOOKUP($A153,InsertFittings!$A$11:$M$236,9,FALSE),
IF($A153&lt;Valves!$A$132,VLOOKUP($A153,Valves!$A$8:$M$131,9,FALSE),
IF($A153&lt;SDR35SW!$A$124,VLOOKUP($A153,SDR35SW!$A$8:$M$123,9,FALSE),
IF($A153&lt;SDR35G!$A$143,VLOOKUP($A153, SDR35G!$A$8:$M$142,9,FALSE),
IF($A153&lt;SDR26G!$A$61,VLOOKUP($A153,SDR26G!$A$8:$N$60,10,FALSE),
IF($A153&lt;Cements!$A$100,VLOOKUP($A153,Cements!$A$8:$Q$99,13,FALSE),
IF($A153&lt;ValveBox!$A$143,VLOOKUP($A153,ValveBox!$A$10:$O$142,11,FALSE),
IF($A153&lt;'ValveBox Components'!$A$165,VLOOKUP($A153,'ValveBox Components'!$A$10:$O$164,11,FALSE),
IF($A153&lt;Drainage!$A$92,VLOOKUP($A153,Drainage!$A$8:$M$91,9,FALSE),
IF($A153&lt;Nipples!$A$82,VLOOKUP($A153,Nipples!$A$9:$Q$81,13,FALSE),
IF($A153&lt;Manifold!$A$33,VLOOKUP($A153,Manifold!$A$9:$M$32,9,FALSE),
IF($A153&lt;FlexibleRepairCouplings!$A$13,VLOOKUP($A153,FlexibleRepairCouplings!$A$10:$M$12,9,FALSE),
IF($A153&lt;DuraFix!$A$15,VLOOKUP($A153,DuraFix!$A$9:$M$14,9,FALSE),
IF($A153&lt;'Compression Fittings'!$A$16,VLOOKUP($A153,'Compression Fittings'!$A$8:$M$15,9,FALSE),
IF($A153&lt;'Hose Fittings'!$A$30,VLOOKUP($A153,'Hose Fittings'!$A$8:$M$29,9,FALSE),
IF($A153&lt;'Swing Joints'!$A$496,VLOOKUP($A153,'Swing Joints'!$A$9:$M$495,9,FALSE),
IF($A153&lt;'Swing Joints Components'!$A$135,VLOOKUP($A153,'Swing Joints Components'!$A$9:$M$134,9,FALSE),
IF($A153&lt;Nonstandard!$A$42,VLOOKUP($A153,Nonstandard!$A$31:$J$41,8,FALSE),"")))))))))))))))))))))))))))),"")</f>
        <v/>
      </c>
      <c r="G153" s="416" t="str">
        <f>IFERROR(IF($A153&lt;'DWV PVC'!$A$285,VLOOKUP($A153,'DWV PVC'!$A$8:$M$284,11,FALSE),
IF($A153&lt;'DWV ABS'!$A$117,VLOOKUP($A153,'DWV ABS'!$A$8:$M$116,11,FALSE),
IF($A153&lt;'PVC SCH40'!$A$376,VLOOKUP($A153,'PVC SCH40'!$A$8:$M$375,11,FALSE),
IF($A153&lt;'PVC SCH40 LD'!$A$22,VLOOKUP($A153,'PVC SCH40 LD'!$A$8:$M$21,11,FALSE),
IF($A153&lt;'Pool &amp; SPA Sweep Elbows'!$A$12,VLOOKUP($A153,'Pool &amp; SPA Sweep Elbows'!$A$8:$M$11,11,FALSE),
IF($A153&lt;'Pool &amp; SPA Pipe Extender'!$A$11,VLOOKUP($A153,'Pool &amp; SPA Pipe Extender'!$A$8:$M$10,11,FALSE),
IF($A153&lt;'PVC SCH80'!$A$250,VLOOKUP($A153,'PVC SCH80'!$A$8:$M$249,11,FALSE),
IF($A153&lt;'PVC SCH80 Flange'!$A$49,VLOOKUP($A153,'PVC SCH80 Flange'!$A$8:$M$48,11,FALSE),
IF($A153&lt;'PVC SCH80 LD Flange'!$A$17,VLOOKUP($A153,'PVC SCH80 LD Flange'!$A$8:$M$16,11,FALSE),
IF($A153&lt;CPVC!$A$100,VLOOKUP($A153,CPVC!$A$8:$M$99,11,FALSE),
IF($A153&lt;InsertFittings!$A$237,VLOOKUP($A153,InsertFittings!$A$11:$M$236,11,FALSE),
IF($A153&lt;Valves!$A$132,VLOOKUP($A153,Valves!$A$8:$M$131,11,FALSE),
IF($A153&lt;SDR35SW!$A$124,VLOOKUP($A153,SDR35SW!$A$8:$M$123,11,FALSE),
IF($A153&lt;SDR35G!$A$143,VLOOKUP($A153, SDR35G!$A$8:$M$142,11,FALSE),
IF($A153&lt;SDR26G!$A$61,VLOOKUP($A153,SDR26G!$A$8:$N$60,12,FALSE),
IF($A153&lt;Cements!$A$100,VLOOKUP($A153,Cements!$A$8:$Q$99,15,FALSE),
IF($A153&lt;ValveBox!$A$143,VLOOKUP($A153,ValveBox!$A$10:$O$142,13,FALSE),
IF($A153&lt;'ValveBox Components'!$A$165,VLOOKUP($A153,'ValveBox Components'!$A$10:$O$164,13,FALSE),
IF($A153&lt;Drainage!$A$92,VLOOKUP($A153,Drainage!$A$8:$M$91,11,FALSE),
IF($A153&lt;Nipples!$A$82,VLOOKUP($A153,Nipples!$A$9:$Q$81,15,FALSE),
IF($A153&lt;Manifold!$A$33,VLOOKUP($A153,Manifold!$A$9:$M$32,11,FALSE),
IF($A153&lt;FlexibleRepairCouplings!$A$13,VLOOKUP($A153,FlexibleRepairCouplings!$A$10:$M$12,11,FALSE),
IF($A153&lt;DuraFix!$A$15,VLOOKUP($A153,DuraFix!$A$9:$M$14,11,FALSE),
IF($A153&lt;'Compression Fittings'!$A$16,VLOOKUP($A153,'Compression Fittings'!$A$8:$M$15,11,FALSE),
IF($A153&lt;'Hose Fittings'!$A$30,VLOOKUP($A153,'Hose Fittings'!$A$8:$M$29,11,FALSE),
IF($A153&lt;'Swing Joints'!$A$496,VLOOKUP($A153,'Swing Joints'!$A$9:$M$495,11,FALSE),
IF($A153&lt;'Swing Joints Components'!$A$135,VLOOKUP($A153,'Swing Joints Components'!$A$9:$M$134,11,FALSE),
IF($A153&lt;Nonstandard!$A$42,VLOOKUP($A153,Nonstandard!$A$31:$J$41,3,FALSE),"")))))))))))))))))))))))))))),"")</f>
        <v/>
      </c>
      <c r="H153" s="586" t="str">
        <f>IFERROR(IF($A153&lt;'DWV PVC'!$A$285,VLOOKUP($A153,'DWV PVC'!$A$8:$M$284,7,FALSE),
IF($A153&lt;'DWV ABS'!$A$117,VLOOKUP($A153,'DWV ABS'!$A$8:$M$116,7,FALSE),
IF($A153&lt;'PVC SCH40'!$A$376,VLOOKUP($A153,'PVC SCH40'!$A$8:$M$375,7,FALSE),
IF($A153&lt;'PVC SCH40 LD'!$A$22,VLOOKUP($A153,'PVC SCH40 LD'!$A$8:$M$21,7,FALSE),
IF($A153&lt;'Pool &amp; SPA Sweep Elbows'!$A$12,VLOOKUP($A153,'Pool &amp; SPA Sweep Elbows'!$A$8:$M$11,7,FALSE),
IF($A153&lt;'Pool &amp; SPA Pipe Extender'!$A$11,VLOOKUP($A153,'Pool &amp; SPA Pipe Extender'!$A$8:$M$10,7,FALSE),
IF($A153&lt;'PVC SCH80'!$A$250,VLOOKUP($A153,'PVC SCH80'!$A$8:$M$249,7,FALSE),
IF($A153&lt;'PVC SCH80 Flange'!$A$49,VLOOKUP($A153,'PVC SCH80 Flange'!$A$8:$M$48,7,FALSE),
IF($A153&lt;'PVC SCH80 LD Flange'!$A$17,VLOOKUP($A153,'PVC SCH80 LD Flange'!$A$8:$M$16,7,FALSE),
IF($A153&lt;CPVC!$A$100,VLOOKUP($A153,CPVC!$A$8:$M$99,7,FALSE),
IF($A153&lt;InsertFittings!$A$237,VLOOKUP($A153,InsertFittings!$A$11:$M$236,7,FALSE),
IF($A153&lt;Valves!$A$132,VLOOKUP($A153,Valves!$A$8:$M$131,7,FALSE),
IF($A153&lt;SDR35SW!$A$124,VLOOKUP($A153,SDR35SW!$A$8:$M$123,7,FALSE),
IF($A153&lt;SDR35G!$A$143,VLOOKUP($A153, SDR35G!$A$8:$M$142,7,FALSE),
IF($A153&lt;SDR26G!$A$61,VLOOKUP($A153,SDR26G!$A$8:$N$60,10,FALSE),
IF($A153&lt;Cements!$A$100,VLOOKUP($A153,Cements!$A$8:$Q$99,13,FALSE),
IF($A153&lt;ValveBox!$A$143,VLOOKUP($A153,ValveBox!$A$10:$O$142,11,FALSE),
IF($A153&lt;'ValveBox Components'!$A$165,VLOOKUP($A153,'ValveBox Components'!$A$10:$O$164,11,FALSE),
IF($A153&lt;Drainage!$A$92,VLOOKUP($A153,Drainage!$A$8:$M$91,7,FALSE),
IF($A153&lt;Nipples!$A$82,VLOOKUP($A153,Nipples!$A$9:$Q$81,13,FALSE),
IF($A153&lt;Manifold!$A$33,VLOOKUP($A153,Manifold!$A$9:$M$32,7,FALSE),
IF($A153&lt;FlexibleRepairCouplings!$A$13,VLOOKUP($A153,FlexibleRepairCouplings!$A$10:$M$12,7,FALSE),
IF($A153&lt;DuraFix!$A$15,VLOOKUP($A153,DuraFix!$A$9:$M$14,7,FALSE),
IF($A153&lt;'Compression Fittings'!$A$16,VLOOKUP($A153,'Compression Fittings'!$A$8:$M$15,7,FALSE),
IF($A153&lt;'Hose Fittings'!$A$30,VLOOKUP($A153,'Hose Fittings'!$A$8:$M$29,7,FALSE),
IF($A153&lt;'Swing Joints'!$A$496,VLOOKUP($A153,'Swing Joints'!$A$9:$M$495,7,FALSE),
IF($A153&lt;'Swing Joints Components'!$A$135,VLOOKUP($A153,'Swing Joints Components'!$A$9:$M$134,7,FALSE),
IF($A153&lt;Nonstandard!$A$42,VLOOKUP($A153,Nonstandard!$A$31:$J$41,3,FALSE),"")))))))))))))))))))))))))))),"")</f>
        <v/>
      </c>
      <c r="I153" s="587"/>
      <c r="J153" s="383" t="str">
        <f t="shared" si="3"/>
        <v/>
      </c>
      <c r="K153" s="417" t="str">
        <f>IFERROR(IF($A153&lt;'DWV PVC'!$A$285,VLOOKUP($A153,'DWV PVC'!$A$8:$M$284,10,FALSE),
IF($A153&lt;'DWV ABS'!$A$117,VLOOKUP($A153,'DWV ABS'!$A$8:$M$116,10,FALSE),
IF($A153&lt;'PVC SCH40'!$A$376,VLOOKUP($A153,'PVC SCH40'!$A$8:$M$375,10,FALSE),
IF($A153&lt;'PVC SCH40 LD'!$A$22,VLOOKUP($A153,'PVC SCH40 LD'!$A$8:$M$21,10,FALSE),
IF($A153&lt;'Pool &amp; SPA Sweep Elbows'!$A$12,VLOOKUP($A153,'Pool &amp; SPA Sweep Elbows'!$A$8:$M$11,10,FALSE),
IF($A153&lt;'Pool &amp; SPA Pipe Extender'!$A$11,VLOOKUP($A153,'Pool &amp; SPA Pipe Extender'!$A$8:$M$10,10,FALSE),
IF($A153&lt;'PVC SCH80'!$A$250,VLOOKUP($A153,'PVC SCH80'!$A$8:$M$249,10,FALSE),
IF($A153&lt;'PVC SCH80 Flange'!$A$49,VLOOKUP($A153,'PVC SCH80 Flange'!$A$8:$M$48,10,FALSE),
IF($A153&lt;'PVC SCH80 LD Flange'!$A$17,VLOOKUP($A153,'PVC SCH80 LD Flange'!$A$8:$M$16,10,FALSE),
IF($A153&lt;CPVC!$A$100,VLOOKUP($A153,CPVC!$A$8:$M$99,10,FALSE),
IF($A153&lt;InsertFittings!$A$237,VLOOKUP($A153,InsertFittings!$A$11:$M$236,10,FALSE),
IF($A153&lt;Valves!$A$132,VLOOKUP($A153,Valves!$A$8:$M$131,10,FALSE),
IF($A153&lt;SDR35SW!$A$124,VLOOKUP($A153,SDR35SW!$A$8:$M$123,10,FALSE),
IF($A153&lt;SDR35G!$A$143,VLOOKUP($A153, SDR35G!$A$8:$M$142,10,FALSE),
IF($A153&lt;SDR26G!$A$61,VLOOKUP($A153,SDR26G!$A$8:$N$60,11,FALSE),
IF($A153&lt;Cements!$A$100,VLOOKUP($A153,Cements!$A$8:$Q$99,14,FALSE),
IF($A153&lt;ValveBox!$A$143,VLOOKUP($A153,ValveBox!$A$10:$O$142,12,FALSE),
IF($A153&lt;'ValveBox Components'!$A$165,VLOOKUP($A153,'ValveBox Components'!$A$10:$O$164,12,FALSE),
IF($A153&lt;Drainage!$A$92,VLOOKUP($A153,Drainage!$A$8:$M$91,10,FALSE),
IF($A153&lt;Nipples!$A$82,VLOOKUP($A153,Nipples!$A$9:$Q$81,14,FALSE),
IF($A153&lt;Manifold!$A$33,VLOOKUP($A153,Manifold!$A$9:$M$32,10,FALSE),
IF($A153&lt;FlexibleRepairCouplings!$A$13,VLOOKUP($A153,FlexibleRepairCouplings!$A$10:$M$12,10,FALSE),
IF($A153&lt;DuraFix!$A$15,VLOOKUP($A153,DuraFix!$A$9:$M$14,10,FALSE),
IF($A153&lt;'Compression Fittings'!$A$16,VLOOKUP($A153,'Compression Fittings'!$A$8:$M$15,10,FALSE),
IF($A153&lt;'Hose Fittings'!$A$30,VLOOKUP($A153,'Hose Fittings'!$A$8:$M$29,10,FALSE),
IF($A153&lt;'Swing Joints'!$A$496,VLOOKUP($A153,'Swing Joints'!$A$9:$M$495,10,FALSE),
IF($A153&lt;'Swing Joints Components'!$A$135,VLOOKUP($A153,'Swing Joints Components'!$A$9:$M$134,10,FALSE),
IF($A153&lt;Nonstandard!$A$42,VLOOKUP($A153,Nonstandard!$A$31:$J$41,10,FALSE),"")))))))))))))))))))))))))))),"")</f>
        <v/>
      </c>
      <c r="L153" s="418" t="str">
        <f t="shared" si="2"/>
        <v>-</v>
      </c>
      <c r="M153" s="419"/>
    </row>
    <row r="154" spans="1:13" ht="15.75">
      <c r="A154" s="420">
        <v>122</v>
      </c>
      <c r="B154" s="420" t="str">
        <f>IFERROR(IF($A154&lt;'DWV PVC'!$A$285,VLOOKUP($A154,'DWV PVC'!$A$8:$M$284,4,FALSE),
IF($A154&lt;'DWV ABS'!$A$117,VLOOKUP($A154,'DWV ABS'!$A$8:$M$116,4,FALSE),
IF($A154&lt;'PVC SCH40'!$A$376,VLOOKUP($A154,'PVC SCH40'!$A$8:$M$375,4,FALSE),
IF($A154&lt;'PVC SCH40 LD'!$A$22,VLOOKUP($A154,'PVC SCH40 LD'!$A$8:$M$21,4,FALSE),
IF($A154&lt;'Pool &amp; SPA Sweep Elbows'!$A$12,VLOOKUP($A154,'Pool &amp; SPA Sweep Elbows'!$A$8:$M$11,4,FALSE),
IF($A154&lt;'Pool &amp; SPA Pipe Extender'!$A$11,VLOOKUP($A154,'Pool &amp; SPA Pipe Extender'!$A$8:$M$10,4,FALSE),
IF($A154&lt;'PVC SCH80'!$A$250,VLOOKUP($A154,'PVC SCH80'!$A$8:$M$249,4,FALSE),
IF($A154&lt;'PVC SCH80 Flange'!$A$49,VLOOKUP($A154,'PVC SCH80 Flange'!$A$8:$M$48,4,FALSE),
IF($A154&lt;'PVC SCH80 LD Flange'!$A$17,VLOOKUP($A154,'PVC SCH80 LD Flange'!$A$8:$M$16,4,FALSE),
IF($A154&lt;CPVC!$A$100,VLOOKUP($A154,CPVC!$A$8:$M$99,4,FALSE),
IF($A154&lt;InsertFittings!$A$237,VLOOKUP($A154,InsertFittings!$A$11:$M$236,4,FALSE),
IF($A154&lt;Valves!$A$132,VLOOKUP($A154,Valves!$A$8:$M$131,4,FALSE),
IF($A154&lt;SDR35SW!$A$124,VLOOKUP($A154,SDR35SW!$A$8:$M$123,4,FALSE),
IF($A154&lt;SDR35G!$A$143,VLOOKUP($A154, SDR35G!$A$8:$M$142,4,FALSE),
IF($A154&lt;SDR26G!$A$61,VLOOKUP($A154,SDR26G!$A$8:$N$60,4,FALSE),
IF($A154&lt;Cements!$A$100,VLOOKUP($A154,Cements!$A$8:$Q$99,4,FALSE),
IF($A154&lt;ValveBox!$A$143,VLOOKUP($A154,ValveBox!$A$10:$O$142,4,FALSE),
IF($A154&lt;'ValveBox Components'!$A$165,VLOOKUP($A154,'ValveBox Components'!$A$10:$O$164,4,FALSE),
IF($A154&lt;Drainage!$A$92,VLOOKUP($A154,Drainage!$A$8:$M$91,4,FALSE),
IF($A154&lt;Nipples!$A$82,VLOOKUP($A154,Nipples!$A$9:$Q$81,4,FALSE),
IF($A154&lt;Manifold!$A$33,VLOOKUP($A154,Manifold!$A$9:$M$32,4,FALSE),
IF($A154&lt;FlexibleRepairCouplings!$A$13,VLOOKUP($A154,FlexibleRepairCouplings!$A$10:$M$12,4,FALSE),
IF($A154&lt;DuraFix!$A$15,VLOOKUP($A154,DuraFix!$A$9:$M$14,4,FALSE),
IF($A154&lt;'Compression Fittings'!$A$16,VLOOKUP($A154,'Compression Fittings'!$A$8:$M$15,4,FALSE),
IF($A154&lt;'Hose Fittings'!$A$30,VLOOKUP($A154,'Hose Fittings'!$A$8:$M$29,4,FALSE),
IF($A154&lt;'Swing Joints'!$A$496,VLOOKUP($A154,'Swing Joints'!$A$9:$M$495,4,FALSE),
IF($A154&lt;'Swing Joints Components'!$A$135,VLOOKUP($A154,'Swing Joints Components'!$A$9:$M$134,4,FALSE),
IF($A154&lt;Nonstandard!$A$42,VLOOKUP($A154,Nonstandard!$A$31:$J$41,5,FALSE),"")))))))))))))))))))))))))))),"")</f>
        <v/>
      </c>
      <c r="C154" s="420" t="str">
        <f>IFERROR(IF($A154&lt;'DWV PVC'!$A$285,VLOOKUP($A154,'DWV PVC'!$A$8:$M$284,5,FALSE),
IF($A154&lt;'DWV ABS'!$A$117,VLOOKUP($A154,'DWV ABS'!$A$8:$M$116,5,FALSE),
IF($A154&lt;'PVC SCH40'!$A$376,VLOOKUP($A154,'PVC SCH40'!$A$8:$M$375,5,FALSE),
IF($A154&lt;'PVC SCH40 LD'!$A$22,VLOOKUP($A154,'PVC SCH40 LD'!$A$8:$M$21,5,FALSE),
IF($A154&lt;'Pool &amp; SPA Sweep Elbows'!$A$12,VLOOKUP($A154,'Pool &amp; SPA Sweep Elbows'!$A$8:$M$11,5,FALSE),
IF($A154&lt;'Pool &amp; SPA Pipe Extender'!$A$11,VLOOKUP($A154,'Pool &amp; SPA Pipe Extender'!$A$8:$M$10,5,FALSE),
IF($A154&lt;'PVC SCH80'!$A$250,VLOOKUP($A154,'PVC SCH80'!$A$8:$M$249,5,FALSE),
IF($A154&lt;'PVC SCH80 Flange'!$A$49,VLOOKUP($A154,'PVC SCH80 Flange'!$A$8:$M$48,5,FALSE),
IF($A154&lt;'PVC SCH80 LD Flange'!$A$17,VLOOKUP($A154,'PVC SCH80 LD Flange'!$A$8:$M$16,5,FALSE),
IF($A154&lt;CPVC!$A$100,VLOOKUP($A154,CPVC!$A$8:$M$99,5,FALSE),
IF($A154&lt;InsertFittings!$A$237,VLOOKUP($A154,InsertFittings!$A$11:$M$236,5,FALSE),
IF($A154&lt;Valves!$A$132,VLOOKUP($A154,Valves!$A$8:$M$131,5,FALSE),
IF($A154&lt;SDR35SW!$A$124,VLOOKUP($A154,SDR35SW!$A$8:$M$123,5,FALSE),
IF($A154&lt;SDR35G!$A$143,VLOOKUP($A154, SDR35G!$A$8:$M$142,5,FALSE),
IF($A154&lt;SDR26G!$A$61,VLOOKUP($A154,SDR26G!$A$8:$N$60,5,FALSE),
IF($A154&lt;Cements!$A$100,VLOOKUP($A154,Cements!$A$8:$Q$99,5,FALSE),
IF($A154&lt;ValveBox!$A$143,VLOOKUP($A154,ValveBox!$A$10:$O$142,5,FALSE),
IF($A154&lt;'ValveBox Components'!$A$165,VLOOKUP($A154,'ValveBox Components'!$A$10:$O$164,5,FALSE),
IF($A154&lt;Drainage!$A$92,VLOOKUP($A154,Drainage!$A$8:$M$91,5,FALSE),
IF($A154&lt;Nipples!$A$82,VLOOKUP($A154,Nipples!$A$9:$Q$81,5,FALSE),
IF($A154&lt;Manifold!$A$33,VLOOKUP($A154,Manifold!$A$9:$M$32,5,FALSE),
IF($A154&lt;FlexibleRepairCouplings!$A$13,VLOOKUP($A154,FlexibleRepairCouplings!$A$10:$M$12,5,FALSE),
IF($A154&lt;DuraFix!$A$15,VLOOKUP($A154,DuraFix!$A$9:$M$14,5,FALSE),
IF($A154&lt;'Compression Fittings'!$A$16,VLOOKUP($A154,'Compression Fittings'!$A$8:$M$15,5,FALSE),
IF($A154&lt;'Hose Fittings'!$A$30,VLOOKUP($A154,'Hose Fittings'!$A$8:$M$29,5,FALSE),
IF($A154&lt;'Swing Joints'!$A$496,VLOOKUP($A154,'Swing Joints'!$A$9:$M$495,5,FALSE),
IF($A154&lt;'Swing Joints Components'!$A$135,VLOOKUP($A154,'Swing Joints Components'!$A$9:$M$134,5,FALSE),
IF($A154&lt;Nonstandard!$A$42,VLOOKUP($A154,Nonstandard!$A$31:$J$41,6,FALSE),"")))))))))))))))))))))))))))),"")</f>
        <v/>
      </c>
      <c r="D154" s="428" t="str">
        <f>IFERROR(IF($A154&lt;'DWV PVC'!$A$285,VLOOKUP($A154,'DWV PVC'!$A$8:$M$284,6,FALSE),
IF($A154&lt;'DWV ABS'!$A$117,VLOOKUP($A154,'DWV ABS'!$A$8:$M$116,6,FALSE),
IF($A154&lt;'PVC SCH40'!$A$376,VLOOKUP($A154,'PVC SCH40'!$A$8:$M$375,6,FALSE),
IF($A154&lt;'PVC SCH40 LD'!$A$22,VLOOKUP($A154,'PVC SCH40 LD'!$A$8:$M$21,6,FALSE),
IF($A154&lt;'Pool &amp; SPA Sweep Elbows'!$A$12,VLOOKUP($A154,'Pool &amp; SPA Sweep Elbows'!$A$8:$M$11,6,FALSE),
IF($A154&lt;'Pool &amp; SPA Pipe Extender'!$A$11,VLOOKUP($A154,'Pool &amp; SPA Pipe Extender'!$A$8:$M$10,6,FALSE),
IF($A154&lt;'PVC SCH80'!$A$250,VLOOKUP($A154,'PVC SCH80'!$A$8:$M$249,6,FALSE),
IF($A154&lt;'PVC SCH80 Flange'!$A$49,VLOOKUP($A154,'PVC SCH80 Flange'!$A$8:$M$48,6,FALSE),
IF($A154&lt;'PVC SCH80 LD Flange'!$A$17,VLOOKUP($A154,'PVC SCH80 LD Flange'!$A$8:$M$16,6,FALSE),
IF($A154&lt;CPVC!$A$100,VLOOKUP($A154,CPVC!$A$8:$M$99,6,FALSE),
IF($A154&lt;InsertFittings!$A$237,VLOOKUP($A154,InsertFittings!$A$11:$M$236,6,FALSE),
IF($A154&lt;Valves!$A$132,VLOOKUP($A154,Valves!$A$8:$M$131,6,FALSE),
IF($A154&lt;SDR35SW!$A$124,VLOOKUP($A154,SDR35SW!$A$8:$M$123,6,FALSE),
IF($A154&lt;SDR35G!$A$143,VLOOKUP($A154, SDR35G!$A$8:$M$142,6,FALSE),
IF($A154&lt;SDR26G!$A$61,VLOOKUP($A154,SDR26G!$A$8:$N$60,6,FALSE),
IF($A154&lt;Cements!$A$100,VLOOKUP($A154,Cements!$A$8:$Q$99,6,FALSE),
IF($A154&lt;ValveBox!$A$143,VLOOKUP($A154,ValveBox!$A$10:$O$142,6,FALSE),
IF($A154&lt;'ValveBox Components'!$A$165,VLOOKUP($A154,'ValveBox Components'!$A$10:$O$164,6,FALSE),
IF($A154&lt;Drainage!$A$92,VLOOKUP($A154,Drainage!$A$8:$M$91,6,FALSE),
IF($A154&lt;Nipples!$A$82,VLOOKUP($A154,Nipples!$A$9:$Q$81,6,FALSE),
IF($A154&lt;Manifold!$A$33,VLOOKUP($A154,Manifold!$A$9:$M$32,6,FALSE),
IF($A154&lt;FlexibleRepairCouplings!$A$13,VLOOKUP($A154,FlexibleRepairCouplings!$A$10:$M$12,6,FALSE),
IF($A154&lt;DuraFix!$A$15,VLOOKUP($A154,DuraFix!$A$9:$M$14,6,FALSE),
IF($A154&lt;'Compression Fittings'!$A$16,VLOOKUP($A154,'Compression Fittings'!$A$8:$M$15,6,FALSE),
IF($A154&lt;'Hose Fittings'!$A$30,VLOOKUP($A154,'Hose Fittings'!$A$8:$M$29,6,FALSE),
IF($A154&lt;'Swing Joints'!$A$496,VLOOKUP($A154,'Swing Joints'!$A$9:$M$495,6,FALSE),
IF($A154&lt;'Swing Joints Components'!$A$135,VLOOKUP($A154,'Swing Joints Components'!$A$9:$M$134,6,FALSE),
IF($A154&lt;Nonstandard!$A$42,VLOOKUP($A154,Nonstandard!$A$31:$J$41,7,FALSE),"")))))))))))))))))))))))))))),"")</f>
        <v/>
      </c>
      <c r="E154" s="429"/>
      <c r="F154" s="421" t="str">
        <f>IFERROR(IF($A154&lt;'DWV PVC'!$A$285,VLOOKUP($A154,'DWV PVC'!$A$8:$M$284,9,FALSE),
IF($A154&lt;'DWV ABS'!$A$117,VLOOKUP($A154,'DWV ABS'!$A$8:$M$116,9,FALSE),
IF($A154&lt;'PVC SCH40'!$A$376,VLOOKUP($A154,'PVC SCH40'!$A$8:$M$375,9,FALSE),
IF($A154&lt;'PVC SCH40 LD'!$A$22,VLOOKUP($A154,'PVC SCH40 LD'!$A$8:$M$21,9,FALSE),
IF($A154&lt;'Pool &amp; SPA Sweep Elbows'!$A$12,VLOOKUP($A154,'Pool &amp; SPA Sweep Elbows'!$A$8:$M$11,9,FALSE),
IF($A154&lt;'Pool &amp; SPA Pipe Extender'!$A$11,VLOOKUP($A154,'Pool &amp; SPA Pipe Extender'!$A$8:$M$10,9,FALSE),
IF($A154&lt;'PVC SCH80'!$A$250,VLOOKUP($A154,'PVC SCH80'!$A$8:$M$249,9,FALSE),
IF($A154&lt;'PVC SCH80 Flange'!$A$49,VLOOKUP($A154,'PVC SCH80 Flange'!$A$8:$M$48,9,FALSE),
IF($A154&lt;'PVC SCH80 LD Flange'!$A$17,VLOOKUP($A154,'PVC SCH80 LD Flange'!$A$8:$M$16,9,FALSE),
IF($A154&lt;CPVC!$A$100,VLOOKUP($A154,CPVC!$A$8:$M$99,9,FALSE),
IF($A154&lt;InsertFittings!$A$237,VLOOKUP($A154,InsertFittings!$A$11:$M$236,9,FALSE),
IF($A154&lt;Valves!$A$132,VLOOKUP($A154,Valves!$A$8:$M$131,9,FALSE),
IF($A154&lt;SDR35SW!$A$124,VLOOKUP($A154,SDR35SW!$A$8:$M$123,9,FALSE),
IF($A154&lt;SDR35G!$A$143,VLOOKUP($A154, SDR35G!$A$8:$M$142,9,FALSE),
IF($A154&lt;SDR26G!$A$61,VLOOKUP($A154,SDR26G!$A$8:$N$60,10,FALSE),
IF($A154&lt;Cements!$A$100,VLOOKUP($A154,Cements!$A$8:$Q$99,13,FALSE),
IF($A154&lt;ValveBox!$A$143,VLOOKUP($A154,ValveBox!$A$10:$O$142,11,FALSE),
IF($A154&lt;'ValveBox Components'!$A$165,VLOOKUP($A154,'ValveBox Components'!$A$10:$O$164,11,FALSE),
IF($A154&lt;Drainage!$A$92,VLOOKUP($A154,Drainage!$A$8:$M$91,9,FALSE),
IF($A154&lt;Nipples!$A$82,VLOOKUP($A154,Nipples!$A$9:$Q$81,13,FALSE),
IF($A154&lt;Manifold!$A$33,VLOOKUP($A154,Manifold!$A$9:$M$32,9,FALSE),
IF($A154&lt;FlexibleRepairCouplings!$A$13,VLOOKUP($A154,FlexibleRepairCouplings!$A$10:$M$12,9,FALSE),
IF($A154&lt;DuraFix!$A$15,VLOOKUP($A154,DuraFix!$A$9:$M$14,9,FALSE),
IF($A154&lt;'Compression Fittings'!$A$16,VLOOKUP($A154,'Compression Fittings'!$A$8:$M$15,9,FALSE),
IF($A154&lt;'Hose Fittings'!$A$30,VLOOKUP($A154,'Hose Fittings'!$A$8:$M$29,9,FALSE),
IF($A154&lt;'Swing Joints'!$A$496,VLOOKUP($A154,'Swing Joints'!$A$9:$M$495,9,FALSE),
IF($A154&lt;'Swing Joints Components'!$A$135,VLOOKUP($A154,'Swing Joints Components'!$A$9:$M$134,9,FALSE),
IF($A154&lt;Nonstandard!$A$42,VLOOKUP($A154,Nonstandard!$A$31:$J$41,8,FALSE),"")))))))))))))))))))))))))))),"")</f>
        <v/>
      </c>
      <c r="G154" s="422" t="str">
        <f>IFERROR(IF($A154&lt;'DWV PVC'!$A$285,VLOOKUP($A154,'DWV PVC'!$A$8:$M$284,11,FALSE),
IF($A154&lt;'DWV ABS'!$A$117,VLOOKUP($A154,'DWV ABS'!$A$8:$M$116,11,FALSE),
IF($A154&lt;'PVC SCH40'!$A$376,VLOOKUP($A154,'PVC SCH40'!$A$8:$M$375,11,FALSE),
IF($A154&lt;'PVC SCH40 LD'!$A$22,VLOOKUP($A154,'PVC SCH40 LD'!$A$8:$M$21,11,FALSE),
IF($A154&lt;'Pool &amp; SPA Sweep Elbows'!$A$12,VLOOKUP($A154,'Pool &amp; SPA Sweep Elbows'!$A$8:$M$11,11,FALSE),
IF($A154&lt;'Pool &amp; SPA Pipe Extender'!$A$11,VLOOKUP($A154,'Pool &amp; SPA Pipe Extender'!$A$8:$M$10,11,FALSE),
IF($A154&lt;'PVC SCH80'!$A$250,VLOOKUP($A154,'PVC SCH80'!$A$8:$M$249,11,FALSE),
IF($A154&lt;'PVC SCH80 Flange'!$A$49,VLOOKUP($A154,'PVC SCH80 Flange'!$A$8:$M$48,11,FALSE),
IF($A154&lt;'PVC SCH80 LD Flange'!$A$17,VLOOKUP($A154,'PVC SCH80 LD Flange'!$A$8:$M$16,11,FALSE),
IF($A154&lt;CPVC!$A$100,VLOOKUP($A154,CPVC!$A$8:$M$99,11,FALSE),
IF($A154&lt;InsertFittings!$A$237,VLOOKUP($A154,InsertFittings!$A$11:$M$236,11,FALSE),
IF($A154&lt;Valves!$A$132,VLOOKUP($A154,Valves!$A$8:$M$131,11,FALSE),
IF($A154&lt;SDR35SW!$A$124,VLOOKUP($A154,SDR35SW!$A$8:$M$123,11,FALSE),
IF($A154&lt;SDR35G!$A$143,VLOOKUP($A154, SDR35G!$A$8:$M$142,11,FALSE),
IF($A154&lt;SDR26G!$A$61,VLOOKUP($A154,SDR26G!$A$8:$N$60,12,FALSE),
IF($A154&lt;Cements!$A$100,VLOOKUP($A154,Cements!$A$8:$Q$99,15,FALSE),
IF($A154&lt;ValveBox!$A$143,VLOOKUP($A154,ValveBox!$A$10:$O$142,13,FALSE),
IF($A154&lt;'ValveBox Components'!$A$165,VLOOKUP($A154,'ValveBox Components'!$A$10:$O$164,13,FALSE),
IF($A154&lt;Drainage!$A$92,VLOOKUP($A154,Drainage!$A$8:$M$91,11,FALSE),
IF($A154&lt;Nipples!$A$82,VLOOKUP($A154,Nipples!$A$9:$Q$81,15,FALSE),
IF($A154&lt;Manifold!$A$33,VLOOKUP($A154,Manifold!$A$9:$M$32,11,FALSE),
IF($A154&lt;FlexibleRepairCouplings!$A$13,VLOOKUP($A154,FlexibleRepairCouplings!$A$10:$M$12,11,FALSE),
IF($A154&lt;DuraFix!$A$15,VLOOKUP($A154,DuraFix!$A$9:$M$14,11,FALSE),
IF($A154&lt;'Compression Fittings'!$A$16,VLOOKUP($A154,'Compression Fittings'!$A$8:$M$15,11,FALSE),
IF($A154&lt;'Hose Fittings'!$A$30,VLOOKUP($A154,'Hose Fittings'!$A$8:$M$29,11,FALSE),
IF($A154&lt;'Swing Joints'!$A$496,VLOOKUP($A154,'Swing Joints'!$A$9:$M$495,11,FALSE),
IF($A154&lt;'Swing Joints Components'!$A$135,VLOOKUP($A154,'Swing Joints Components'!$A$9:$M$134,11,FALSE),
IF($A154&lt;Nonstandard!$A$42,VLOOKUP($A154,Nonstandard!$A$31:$J$41,3,FALSE),"")))))))))))))))))))))))))))),"")</f>
        <v/>
      </c>
      <c r="H154" s="588" t="str">
        <f>IFERROR(IF($A154&lt;'DWV PVC'!$A$285,VLOOKUP($A154,'DWV PVC'!$A$8:$M$284,7,FALSE),
IF($A154&lt;'DWV ABS'!$A$117,VLOOKUP($A154,'DWV ABS'!$A$8:$M$116,7,FALSE),
IF($A154&lt;'PVC SCH40'!$A$376,VLOOKUP($A154,'PVC SCH40'!$A$8:$M$375,7,FALSE),
IF($A154&lt;'PVC SCH40 LD'!$A$22,VLOOKUP($A154,'PVC SCH40 LD'!$A$8:$M$21,7,FALSE),
IF($A154&lt;'Pool &amp; SPA Sweep Elbows'!$A$12,VLOOKUP($A154,'Pool &amp; SPA Sweep Elbows'!$A$8:$M$11,7,FALSE),
IF($A154&lt;'Pool &amp; SPA Pipe Extender'!$A$11,VLOOKUP($A154,'Pool &amp; SPA Pipe Extender'!$A$8:$M$10,7,FALSE),
IF($A154&lt;'PVC SCH80'!$A$250,VLOOKUP($A154,'PVC SCH80'!$A$8:$M$249,7,FALSE),
IF($A154&lt;'PVC SCH80 Flange'!$A$49,VLOOKUP($A154,'PVC SCH80 Flange'!$A$8:$M$48,7,FALSE),
IF($A154&lt;'PVC SCH80 LD Flange'!$A$17,VLOOKUP($A154,'PVC SCH80 LD Flange'!$A$8:$M$16,7,FALSE),
IF($A154&lt;CPVC!$A$100,VLOOKUP($A154,CPVC!$A$8:$M$99,7,FALSE),
IF($A154&lt;InsertFittings!$A$237,VLOOKUP($A154,InsertFittings!$A$11:$M$236,7,FALSE),
IF($A154&lt;Valves!$A$132,VLOOKUP($A154,Valves!$A$8:$M$131,7,FALSE),
IF($A154&lt;SDR35SW!$A$124,VLOOKUP($A154,SDR35SW!$A$8:$M$123,7,FALSE),
IF($A154&lt;SDR35G!$A$143,VLOOKUP($A154, SDR35G!$A$8:$M$142,7,FALSE),
IF($A154&lt;SDR26G!$A$61,VLOOKUP($A154,SDR26G!$A$8:$N$60,10,FALSE),
IF($A154&lt;Cements!$A$100,VLOOKUP($A154,Cements!$A$8:$Q$99,13,FALSE),
IF($A154&lt;ValveBox!$A$143,VLOOKUP($A154,ValveBox!$A$10:$O$142,11,FALSE),
IF($A154&lt;'ValveBox Components'!$A$165,VLOOKUP($A154,'ValveBox Components'!$A$10:$O$164,11,FALSE),
IF($A154&lt;Drainage!$A$92,VLOOKUP($A154,Drainage!$A$8:$M$91,7,FALSE),
IF($A154&lt;Nipples!$A$82,VLOOKUP($A154,Nipples!$A$9:$Q$81,13,FALSE),
IF($A154&lt;Manifold!$A$33,VLOOKUP($A154,Manifold!$A$9:$M$32,7,FALSE),
IF($A154&lt;FlexibleRepairCouplings!$A$13,VLOOKUP($A154,FlexibleRepairCouplings!$A$10:$M$12,7,FALSE),
IF($A154&lt;DuraFix!$A$15,VLOOKUP($A154,DuraFix!$A$9:$M$14,7,FALSE),
IF($A154&lt;'Compression Fittings'!$A$16,VLOOKUP($A154,'Compression Fittings'!$A$8:$M$15,7,FALSE),
IF($A154&lt;'Hose Fittings'!$A$30,VLOOKUP($A154,'Hose Fittings'!$A$8:$M$29,7,FALSE),
IF($A154&lt;'Swing Joints'!$A$496,VLOOKUP($A154,'Swing Joints'!$A$9:$M$495,7,FALSE),
IF($A154&lt;'Swing Joints Components'!$A$135,VLOOKUP($A154,'Swing Joints Components'!$A$9:$M$134,7,FALSE),
IF($A154&lt;Nonstandard!$A$42,VLOOKUP($A154,Nonstandard!$A$31:$J$41,3,FALSE),"")))))))))))))))))))))))))))),"")</f>
        <v/>
      </c>
      <c r="I154" s="589"/>
      <c r="J154" s="423" t="str">
        <f t="shared" si="3"/>
        <v/>
      </c>
      <c r="K154" s="424" t="str">
        <f>IFERROR(IF($A154&lt;'DWV PVC'!$A$285,VLOOKUP($A154,'DWV PVC'!$A$8:$M$284,10,FALSE),
IF($A154&lt;'DWV ABS'!$A$117,VLOOKUP($A154,'DWV ABS'!$A$8:$M$116,10,FALSE),
IF($A154&lt;'PVC SCH40'!$A$376,VLOOKUP($A154,'PVC SCH40'!$A$8:$M$375,10,FALSE),
IF($A154&lt;'PVC SCH40 LD'!$A$22,VLOOKUP($A154,'PVC SCH40 LD'!$A$8:$M$21,10,FALSE),
IF($A154&lt;'Pool &amp; SPA Sweep Elbows'!$A$12,VLOOKUP($A154,'Pool &amp; SPA Sweep Elbows'!$A$8:$M$11,10,FALSE),
IF($A154&lt;'Pool &amp; SPA Pipe Extender'!$A$11,VLOOKUP($A154,'Pool &amp; SPA Pipe Extender'!$A$8:$M$10,10,FALSE),
IF($A154&lt;'PVC SCH80'!$A$250,VLOOKUP($A154,'PVC SCH80'!$A$8:$M$249,10,FALSE),
IF($A154&lt;'PVC SCH80 Flange'!$A$49,VLOOKUP($A154,'PVC SCH80 Flange'!$A$8:$M$48,10,FALSE),
IF($A154&lt;'PVC SCH80 LD Flange'!$A$17,VLOOKUP($A154,'PVC SCH80 LD Flange'!$A$8:$M$16,10,FALSE),
IF($A154&lt;CPVC!$A$100,VLOOKUP($A154,CPVC!$A$8:$M$99,10,FALSE),
IF($A154&lt;InsertFittings!$A$237,VLOOKUP($A154,InsertFittings!$A$11:$M$236,10,FALSE),
IF($A154&lt;Valves!$A$132,VLOOKUP($A154,Valves!$A$8:$M$131,10,FALSE),
IF($A154&lt;SDR35SW!$A$124,VLOOKUP($A154,SDR35SW!$A$8:$M$123,10,FALSE),
IF($A154&lt;SDR35G!$A$143,VLOOKUP($A154, SDR35G!$A$8:$M$142,10,FALSE),
IF($A154&lt;SDR26G!$A$61,VLOOKUP($A154,SDR26G!$A$8:$N$60,11,FALSE),
IF($A154&lt;Cements!$A$100,VLOOKUP($A154,Cements!$A$8:$Q$99,14,FALSE),
IF($A154&lt;ValveBox!$A$143,VLOOKUP($A154,ValveBox!$A$10:$O$142,12,FALSE),
IF($A154&lt;'ValveBox Components'!$A$165,VLOOKUP($A154,'ValveBox Components'!$A$10:$O$164,12,FALSE),
IF($A154&lt;Drainage!$A$92,VLOOKUP($A154,Drainage!$A$8:$M$91,10,FALSE),
IF($A154&lt;Nipples!$A$82,VLOOKUP($A154,Nipples!$A$9:$Q$81,14,FALSE),
IF($A154&lt;Manifold!$A$33,VLOOKUP($A154,Manifold!$A$9:$M$32,10,FALSE),
IF($A154&lt;FlexibleRepairCouplings!$A$13,VLOOKUP($A154,FlexibleRepairCouplings!$A$10:$M$12,10,FALSE),
IF($A154&lt;DuraFix!$A$15,VLOOKUP($A154,DuraFix!$A$9:$M$14,10,FALSE),
IF($A154&lt;'Compression Fittings'!$A$16,VLOOKUP($A154,'Compression Fittings'!$A$8:$M$15,10,FALSE),
IF($A154&lt;'Hose Fittings'!$A$30,VLOOKUP($A154,'Hose Fittings'!$A$8:$M$29,10,FALSE),
IF($A154&lt;'Swing Joints'!$A$496,VLOOKUP($A154,'Swing Joints'!$A$9:$M$495,10,FALSE),
IF($A154&lt;'Swing Joints Components'!$A$135,VLOOKUP($A154,'Swing Joints Components'!$A$9:$M$134,10,FALSE),
IF($A154&lt;Nonstandard!$A$42,VLOOKUP($A154,Nonstandard!$A$31:$J$41,10,FALSE),"")))))))))))))))))))))))))))),"")</f>
        <v/>
      </c>
      <c r="L154" s="421" t="str">
        <f t="shared" si="2"/>
        <v>-</v>
      </c>
      <c r="M154" s="425"/>
    </row>
    <row r="155" spans="1:13" ht="15.75">
      <c r="A155" s="415">
        <v>123</v>
      </c>
      <c r="B155" s="415" t="str">
        <f>IFERROR(IF($A155&lt;'DWV PVC'!$A$285,VLOOKUP($A155,'DWV PVC'!$A$8:$M$284,4,FALSE),
IF($A155&lt;'DWV ABS'!$A$117,VLOOKUP($A155,'DWV ABS'!$A$8:$M$116,4,FALSE),
IF($A155&lt;'PVC SCH40'!$A$376,VLOOKUP($A155,'PVC SCH40'!$A$8:$M$375,4,FALSE),
IF($A155&lt;'PVC SCH40 LD'!$A$22,VLOOKUP($A155,'PVC SCH40 LD'!$A$8:$M$21,4,FALSE),
IF($A155&lt;'Pool &amp; SPA Sweep Elbows'!$A$12,VLOOKUP($A155,'Pool &amp; SPA Sweep Elbows'!$A$8:$M$11,4,FALSE),
IF($A155&lt;'Pool &amp; SPA Pipe Extender'!$A$11,VLOOKUP($A155,'Pool &amp; SPA Pipe Extender'!$A$8:$M$10,4,FALSE),
IF($A155&lt;'PVC SCH80'!$A$250,VLOOKUP($A155,'PVC SCH80'!$A$8:$M$249,4,FALSE),
IF($A155&lt;'PVC SCH80 Flange'!$A$49,VLOOKUP($A155,'PVC SCH80 Flange'!$A$8:$M$48,4,FALSE),
IF($A155&lt;'PVC SCH80 LD Flange'!$A$17,VLOOKUP($A155,'PVC SCH80 LD Flange'!$A$8:$M$16,4,FALSE),
IF($A155&lt;CPVC!$A$100,VLOOKUP($A155,CPVC!$A$8:$M$99,4,FALSE),
IF($A155&lt;InsertFittings!$A$237,VLOOKUP($A155,InsertFittings!$A$11:$M$236,4,FALSE),
IF($A155&lt;Valves!$A$132,VLOOKUP($A155,Valves!$A$8:$M$131,4,FALSE),
IF($A155&lt;SDR35SW!$A$124,VLOOKUP($A155,SDR35SW!$A$8:$M$123,4,FALSE),
IF($A155&lt;SDR35G!$A$143,VLOOKUP($A155, SDR35G!$A$8:$M$142,4,FALSE),
IF($A155&lt;SDR26G!$A$61,VLOOKUP($A155,SDR26G!$A$8:$N$60,4,FALSE),
IF($A155&lt;Cements!$A$100,VLOOKUP($A155,Cements!$A$8:$Q$99,4,FALSE),
IF($A155&lt;ValveBox!$A$143,VLOOKUP($A155,ValveBox!$A$10:$O$142,4,FALSE),
IF($A155&lt;'ValveBox Components'!$A$165,VLOOKUP($A155,'ValveBox Components'!$A$10:$O$164,4,FALSE),
IF($A155&lt;Drainage!$A$92,VLOOKUP($A155,Drainage!$A$8:$M$91,4,FALSE),
IF($A155&lt;Nipples!$A$82,VLOOKUP($A155,Nipples!$A$9:$Q$81,4,FALSE),
IF($A155&lt;Manifold!$A$33,VLOOKUP($A155,Manifold!$A$9:$M$32,4,FALSE),
IF($A155&lt;FlexibleRepairCouplings!$A$13,VLOOKUP($A155,FlexibleRepairCouplings!$A$10:$M$12,4,FALSE),
IF($A155&lt;DuraFix!$A$15,VLOOKUP($A155,DuraFix!$A$9:$M$14,4,FALSE),
IF($A155&lt;'Compression Fittings'!$A$16,VLOOKUP($A155,'Compression Fittings'!$A$8:$M$15,4,FALSE),
IF($A155&lt;'Hose Fittings'!$A$30,VLOOKUP($A155,'Hose Fittings'!$A$8:$M$29,4,FALSE),
IF($A155&lt;'Swing Joints'!$A$496,VLOOKUP($A155,'Swing Joints'!$A$9:$M$495,4,FALSE),
IF($A155&lt;'Swing Joints Components'!$A$135,VLOOKUP($A155,'Swing Joints Components'!$A$9:$M$134,4,FALSE),
IF($A155&lt;Nonstandard!$A$42,VLOOKUP($A155,Nonstandard!$A$31:$J$41,5,FALSE),"")))))))))))))))))))))))))))),"")</f>
        <v/>
      </c>
      <c r="C155" s="415" t="str">
        <f>IFERROR(IF($A155&lt;'DWV PVC'!$A$285,VLOOKUP($A155,'DWV PVC'!$A$8:$M$284,5,FALSE),
IF($A155&lt;'DWV ABS'!$A$117,VLOOKUP($A155,'DWV ABS'!$A$8:$M$116,5,FALSE),
IF($A155&lt;'PVC SCH40'!$A$376,VLOOKUP($A155,'PVC SCH40'!$A$8:$M$375,5,FALSE),
IF($A155&lt;'PVC SCH40 LD'!$A$22,VLOOKUP($A155,'PVC SCH40 LD'!$A$8:$M$21,5,FALSE),
IF($A155&lt;'Pool &amp; SPA Sweep Elbows'!$A$12,VLOOKUP($A155,'Pool &amp; SPA Sweep Elbows'!$A$8:$M$11,5,FALSE),
IF($A155&lt;'Pool &amp; SPA Pipe Extender'!$A$11,VLOOKUP($A155,'Pool &amp; SPA Pipe Extender'!$A$8:$M$10,5,FALSE),
IF($A155&lt;'PVC SCH80'!$A$250,VLOOKUP($A155,'PVC SCH80'!$A$8:$M$249,5,FALSE),
IF($A155&lt;'PVC SCH80 Flange'!$A$49,VLOOKUP($A155,'PVC SCH80 Flange'!$A$8:$M$48,5,FALSE),
IF($A155&lt;'PVC SCH80 LD Flange'!$A$17,VLOOKUP($A155,'PVC SCH80 LD Flange'!$A$8:$M$16,5,FALSE),
IF($A155&lt;CPVC!$A$100,VLOOKUP($A155,CPVC!$A$8:$M$99,5,FALSE),
IF($A155&lt;InsertFittings!$A$237,VLOOKUP($A155,InsertFittings!$A$11:$M$236,5,FALSE),
IF($A155&lt;Valves!$A$132,VLOOKUP($A155,Valves!$A$8:$M$131,5,FALSE),
IF($A155&lt;SDR35SW!$A$124,VLOOKUP($A155,SDR35SW!$A$8:$M$123,5,FALSE),
IF($A155&lt;SDR35G!$A$143,VLOOKUP($A155, SDR35G!$A$8:$M$142,5,FALSE),
IF($A155&lt;SDR26G!$A$61,VLOOKUP($A155,SDR26G!$A$8:$N$60,5,FALSE),
IF($A155&lt;Cements!$A$100,VLOOKUP($A155,Cements!$A$8:$Q$99,5,FALSE),
IF($A155&lt;ValveBox!$A$143,VLOOKUP($A155,ValveBox!$A$10:$O$142,5,FALSE),
IF($A155&lt;'ValveBox Components'!$A$165,VLOOKUP($A155,'ValveBox Components'!$A$10:$O$164,5,FALSE),
IF($A155&lt;Drainage!$A$92,VLOOKUP($A155,Drainage!$A$8:$M$91,5,FALSE),
IF($A155&lt;Nipples!$A$82,VLOOKUP($A155,Nipples!$A$9:$Q$81,5,FALSE),
IF($A155&lt;Manifold!$A$33,VLOOKUP($A155,Manifold!$A$9:$M$32,5,FALSE),
IF($A155&lt;FlexibleRepairCouplings!$A$13,VLOOKUP($A155,FlexibleRepairCouplings!$A$10:$M$12,5,FALSE),
IF($A155&lt;DuraFix!$A$15,VLOOKUP($A155,DuraFix!$A$9:$M$14,5,FALSE),
IF($A155&lt;'Compression Fittings'!$A$16,VLOOKUP($A155,'Compression Fittings'!$A$8:$M$15,5,FALSE),
IF($A155&lt;'Hose Fittings'!$A$30,VLOOKUP($A155,'Hose Fittings'!$A$8:$M$29,5,FALSE),
IF($A155&lt;'Swing Joints'!$A$496,VLOOKUP($A155,'Swing Joints'!$A$9:$M$495,5,FALSE),
IF($A155&lt;'Swing Joints Components'!$A$135,VLOOKUP($A155,'Swing Joints Components'!$A$9:$M$134,5,FALSE),
IF($A155&lt;Nonstandard!$A$42,VLOOKUP($A155,Nonstandard!$A$31:$J$41,6,FALSE),"")))))))))))))))))))))))))))),"")</f>
        <v/>
      </c>
      <c r="D155" s="426" t="str">
        <f>IFERROR(IF($A155&lt;'DWV PVC'!$A$285,VLOOKUP($A155,'DWV PVC'!$A$8:$M$284,6,FALSE),
IF($A155&lt;'DWV ABS'!$A$117,VLOOKUP($A155,'DWV ABS'!$A$8:$M$116,6,FALSE),
IF($A155&lt;'PVC SCH40'!$A$376,VLOOKUP($A155,'PVC SCH40'!$A$8:$M$375,6,FALSE),
IF($A155&lt;'PVC SCH40 LD'!$A$22,VLOOKUP($A155,'PVC SCH40 LD'!$A$8:$M$21,6,FALSE),
IF($A155&lt;'Pool &amp; SPA Sweep Elbows'!$A$12,VLOOKUP($A155,'Pool &amp; SPA Sweep Elbows'!$A$8:$M$11,6,FALSE),
IF($A155&lt;'Pool &amp; SPA Pipe Extender'!$A$11,VLOOKUP($A155,'Pool &amp; SPA Pipe Extender'!$A$8:$M$10,6,FALSE),
IF($A155&lt;'PVC SCH80'!$A$250,VLOOKUP($A155,'PVC SCH80'!$A$8:$M$249,6,FALSE),
IF($A155&lt;'PVC SCH80 Flange'!$A$49,VLOOKUP($A155,'PVC SCH80 Flange'!$A$8:$M$48,6,FALSE),
IF($A155&lt;'PVC SCH80 LD Flange'!$A$17,VLOOKUP($A155,'PVC SCH80 LD Flange'!$A$8:$M$16,6,FALSE),
IF($A155&lt;CPVC!$A$100,VLOOKUP($A155,CPVC!$A$8:$M$99,6,FALSE),
IF($A155&lt;InsertFittings!$A$237,VLOOKUP($A155,InsertFittings!$A$11:$M$236,6,FALSE),
IF($A155&lt;Valves!$A$132,VLOOKUP($A155,Valves!$A$8:$M$131,6,FALSE),
IF($A155&lt;SDR35SW!$A$124,VLOOKUP($A155,SDR35SW!$A$8:$M$123,6,FALSE),
IF($A155&lt;SDR35G!$A$143,VLOOKUP($A155, SDR35G!$A$8:$M$142,6,FALSE),
IF($A155&lt;SDR26G!$A$61,VLOOKUP($A155,SDR26G!$A$8:$N$60,6,FALSE),
IF($A155&lt;Cements!$A$100,VLOOKUP($A155,Cements!$A$8:$Q$99,6,FALSE),
IF($A155&lt;ValveBox!$A$143,VLOOKUP($A155,ValveBox!$A$10:$O$142,6,FALSE),
IF($A155&lt;'ValveBox Components'!$A$165,VLOOKUP($A155,'ValveBox Components'!$A$10:$O$164,6,FALSE),
IF($A155&lt;Drainage!$A$92,VLOOKUP($A155,Drainage!$A$8:$M$91,6,FALSE),
IF($A155&lt;Nipples!$A$82,VLOOKUP($A155,Nipples!$A$9:$Q$81,6,FALSE),
IF($A155&lt;Manifold!$A$33,VLOOKUP($A155,Manifold!$A$9:$M$32,6,FALSE),
IF($A155&lt;FlexibleRepairCouplings!$A$13,VLOOKUP($A155,FlexibleRepairCouplings!$A$10:$M$12,6,FALSE),
IF($A155&lt;DuraFix!$A$15,VLOOKUP($A155,DuraFix!$A$9:$M$14,6,FALSE),
IF($A155&lt;'Compression Fittings'!$A$16,VLOOKUP($A155,'Compression Fittings'!$A$8:$M$15,6,FALSE),
IF($A155&lt;'Hose Fittings'!$A$30,VLOOKUP($A155,'Hose Fittings'!$A$8:$M$29,6,FALSE),
IF($A155&lt;'Swing Joints'!$A$496,VLOOKUP($A155,'Swing Joints'!$A$9:$M$495,6,FALSE),
IF($A155&lt;'Swing Joints Components'!$A$135,VLOOKUP($A155,'Swing Joints Components'!$A$9:$M$134,6,FALSE),
IF($A155&lt;Nonstandard!$A$42,VLOOKUP($A155,Nonstandard!$A$31:$J$41,7,FALSE),"")))))))))))))))))))))))))))),"")</f>
        <v/>
      </c>
      <c r="E155" s="427"/>
      <c r="F155" s="418" t="str">
        <f>IFERROR(IF($A155&lt;'DWV PVC'!$A$285,VLOOKUP($A155,'DWV PVC'!$A$8:$M$284,9,FALSE),
IF($A155&lt;'DWV ABS'!$A$117,VLOOKUP($A155,'DWV ABS'!$A$8:$M$116,9,FALSE),
IF($A155&lt;'PVC SCH40'!$A$376,VLOOKUP($A155,'PVC SCH40'!$A$8:$M$375,9,FALSE),
IF($A155&lt;'PVC SCH40 LD'!$A$22,VLOOKUP($A155,'PVC SCH40 LD'!$A$8:$M$21,9,FALSE),
IF($A155&lt;'Pool &amp; SPA Sweep Elbows'!$A$12,VLOOKUP($A155,'Pool &amp; SPA Sweep Elbows'!$A$8:$M$11,9,FALSE),
IF($A155&lt;'Pool &amp; SPA Pipe Extender'!$A$11,VLOOKUP($A155,'Pool &amp; SPA Pipe Extender'!$A$8:$M$10,9,FALSE),
IF($A155&lt;'PVC SCH80'!$A$250,VLOOKUP($A155,'PVC SCH80'!$A$8:$M$249,9,FALSE),
IF($A155&lt;'PVC SCH80 Flange'!$A$49,VLOOKUP($A155,'PVC SCH80 Flange'!$A$8:$M$48,9,FALSE),
IF($A155&lt;'PVC SCH80 LD Flange'!$A$17,VLOOKUP($A155,'PVC SCH80 LD Flange'!$A$8:$M$16,9,FALSE),
IF($A155&lt;CPVC!$A$100,VLOOKUP($A155,CPVC!$A$8:$M$99,9,FALSE),
IF($A155&lt;InsertFittings!$A$237,VLOOKUP($A155,InsertFittings!$A$11:$M$236,9,FALSE),
IF($A155&lt;Valves!$A$132,VLOOKUP($A155,Valves!$A$8:$M$131,9,FALSE),
IF($A155&lt;SDR35SW!$A$124,VLOOKUP($A155,SDR35SW!$A$8:$M$123,9,FALSE),
IF($A155&lt;SDR35G!$A$143,VLOOKUP($A155, SDR35G!$A$8:$M$142,9,FALSE),
IF($A155&lt;SDR26G!$A$61,VLOOKUP($A155,SDR26G!$A$8:$N$60,10,FALSE),
IF($A155&lt;Cements!$A$100,VLOOKUP($A155,Cements!$A$8:$Q$99,13,FALSE),
IF($A155&lt;ValveBox!$A$143,VLOOKUP($A155,ValveBox!$A$10:$O$142,11,FALSE),
IF($A155&lt;'ValveBox Components'!$A$165,VLOOKUP($A155,'ValveBox Components'!$A$10:$O$164,11,FALSE),
IF($A155&lt;Drainage!$A$92,VLOOKUP($A155,Drainage!$A$8:$M$91,9,FALSE),
IF($A155&lt;Nipples!$A$82,VLOOKUP($A155,Nipples!$A$9:$Q$81,13,FALSE),
IF($A155&lt;Manifold!$A$33,VLOOKUP($A155,Manifold!$A$9:$M$32,9,FALSE),
IF($A155&lt;FlexibleRepairCouplings!$A$13,VLOOKUP($A155,FlexibleRepairCouplings!$A$10:$M$12,9,FALSE),
IF($A155&lt;DuraFix!$A$15,VLOOKUP($A155,DuraFix!$A$9:$M$14,9,FALSE),
IF($A155&lt;'Compression Fittings'!$A$16,VLOOKUP($A155,'Compression Fittings'!$A$8:$M$15,9,FALSE),
IF($A155&lt;'Hose Fittings'!$A$30,VLOOKUP($A155,'Hose Fittings'!$A$8:$M$29,9,FALSE),
IF($A155&lt;'Swing Joints'!$A$496,VLOOKUP($A155,'Swing Joints'!$A$9:$M$495,9,FALSE),
IF($A155&lt;'Swing Joints Components'!$A$135,VLOOKUP($A155,'Swing Joints Components'!$A$9:$M$134,9,FALSE),
IF($A155&lt;Nonstandard!$A$42,VLOOKUP($A155,Nonstandard!$A$31:$J$41,8,FALSE),"")))))))))))))))))))))))))))),"")</f>
        <v/>
      </c>
      <c r="G155" s="416" t="str">
        <f>IFERROR(IF($A155&lt;'DWV PVC'!$A$285,VLOOKUP($A155,'DWV PVC'!$A$8:$M$284,11,FALSE),
IF($A155&lt;'DWV ABS'!$A$117,VLOOKUP($A155,'DWV ABS'!$A$8:$M$116,11,FALSE),
IF($A155&lt;'PVC SCH40'!$A$376,VLOOKUP($A155,'PVC SCH40'!$A$8:$M$375,11,FALSE),
IF($A155&lt;'PVC SCH40 LD'!$A$22,VLOOKUP($A155,'PVC SCH40 LD'!$A$8:$M$21,11,FALSE),
IF($A155&lt;'Pool &amp; SPA Sweep Elbows'!$A$12,VLOOKUP($A155,'Pool &amp; SPA Sweep Elbows'!$A$8:$M$11,11,FALSE),
IF($A155&lt;'Pool &amp; SPA Pipe Extender'!$A$11,VLOOKUP($A155,'Pool &amp; SPA Pipe Extender'!$A$8:$M$10,11,FALSE),
IF($A155&lt;'PVC SCH80'!$A$250,VLOOKUP($A155,'PVC SCH80'!$A$8:$M$249,11,FALSE),
IF($A155&lt;'PVC SCH80 Flange'!$A$49,VLOOKUP($A155,'PVC SCH80 Flange'!$A$8:$M$48,11,FALSE),
IF($A155&lt;'PVC SCH80 LD Flange'!$A$17,VLOOKUP($A155,'PVC SCH80 LD Flange'!$A$8:$M$16,11,FALSE),
IF($A155&lt;CPVC!$A$100,VLOOKUP($A155,CPVC!$A$8:$M$99,11,FALSE),
IF($A155&lt;InsertFittings!$A$237,VLOOKUP($A155,InsertFittings!$A$11:$M$236,11,FALSE),
IF($A155&lt;Valves!$A$132,VLOOKUP($A155,Valves!$A$8:$M$131,11,FALSE),
IF($A155&lt;SDR35SW!$A$124,VLOOKUP($A155,SDR35SW!$A$8:$M$123,11,FALSE),
IF($A155&lt;SDR35G!$A$143,VLOOKUP($A155, SDR35G!$A$8:$M$142,11,FALSE),
IF($A155&lt;SDR26G!$A$61,VLOOKUP($A155,SDR26G!$A$8:$N$60,12,FALSE),
IF($A155&lt;Cements!$A$100,VLOOKUP($A155,Cements!$A$8:$Q$99,15,FALSE),
IF($A155&lt;ValveBox!$A$143,VLOOKUP($A155,ValveBox!$A$10:$O$142,13,FALSE),
IF($A155&lt;'ValveBox Components'!$A$165,VLOOKUP($A155,'ValveBox Components'!$A$10:$O$164,13,FALSE),
IF($A155&lt;Drainage!$A$92,VLOOKUP($A155,Drainage!$A$8:$M$91,11,FALSE),
IF($A155&lt;Nipples!$A$82,VLOOKUP($A155,Nipples!$A$9:$Q$81,15,FALSE),
IF($A155&lt;Manifold!$A$33,VLOOKUP($A155,Manifold!$A$9:$M$32,11,FALSE),
IF($A155&lt;FlexibleRepairCouplings!$A$13,VLOOKUP($A155,FlexibleRepairCouplings!$A$10:$M$12,11,FALSE),
IF($A155&lt;DuraFix!$A$15,VLOOKUP($A155,DuraFix!$A$9:$M$14,11,FALSE),
IF($A155&lt;'Compression Fittings'!$A$16,VLOOKUP($A155,'Compression Fittings'!$A$8:$M$15,11,FALSE),
IF($A155&lt;'Hose Fittings'!$A$30,VLOOKUP($A155,'Hose Fittings'!$A$8:$M$29,11,FALSE),
IF($A155&lt;'Swing Joints'!$A$496,VLOOKUP($A155,'Swing Joints'!$A$9:$M$495,11,FALSE),
IF($A155&lt;'Swing Joints Components'!$A$135,VLOOKUP($A155,'Swing Joints Components'!$A$9:$M$134,11,FALSE),
IF($A155&lt;Nonstandard!$A$42,VLOOKUP($A155,Nonstandard!$A$31:$J$41,3,FALSE),"")))))))))))))))))))))))))))),"")</f>
        <v/>
      </c>
      <c r="H155" s="586" t="str">
        <f>IFERROR(IF($A155&lt;'DWV PVC'!$A$285,VLOOKUP($A155,'DWV PVC'!$A$8:$M$284,7,FALSE),
IF($A155&lt;'DWV ABS'!$A$117,VLOOKUP($A155,'DWV ABS'!$A$8:$M$116,7,FALSE),
IF($A155&lt;'PVC SCH40'!$A$376,VLOOKUP($A155,'PVC SCH40'!$A$8:$M$375,7,FALSE),
IF($A155&lt;'PVC SCH40 LD'!$A$22,VLOOKUP($A155,'PVC SCH40 LD'!$A$8:$M$21,7,FALSE),
IF($A155&lt;'Pool &amp; SPA Sweep Elbows'!$A$12,VLOOKUP($A155,'Pool &amp; SPA Sweep Elbows'!$A$8:$M$11,7,FALSE),
IF($A155&lt;'Pool &amp; SPA Pipe Extender'!$A$11,VLOOKUP($A155,'Pool &amp; SPA Pipe Extender'!$A$8:$M$10,7,FALSE),
IF($A155&lt;'PVC SCH80'!$A$250,VLOOKUP($A155,'PVC SCH80'!$A$8:$M$249,7,FALSE),
IF($A155&lt;'PVC SCH80 Flange'!$A$49,VLOOKUP($A155,'PVC SCH80 Flange'!$A$8:$M$48,7,FALSE),
IF($A155&lt;'PVC SCH80 LD Flange'!$A$17,VLOOKUP($A155,'PVC SCH80 LD Flange'!$A$8:$M$16,7,FALSE),
IF($A155&lt;CPVC!$A$100,VLOOKUP($A155,CPVC!$A$8:$M$99,7,FALSE),
IF($A155&lt;InsertFittings!$A$237,VLOOKUP($A155,InsertFittings!$A$11:$M$236,7,FALSE),
IF($A155&lt;Valves!$A$132,VLOOKUP($A155,Valves!$A$8:$M$131,7,FALSE),
IF($A155&lt;SDR35SW!$A$124,VLOOKUP($A155,SDR35SW!$A$8:$M$123,7,FALSE),
IF($A155&lt;SDR35G!$A$143,VLOOKUP($A155, SDR35G!$A$8:$M$142,7,FALSE),
IF($A155&lt;SDR26G!$A$61,VLOOKUP($A155,SDR26G!$A$8:$N$60,10,FALSE),
IF($A155&lt;Cements!$A$100,VLOOKUP($A155,Cements!$A$8:$Q$99,13,FALSE),
IF($A155&lt;ValveBox!$A$143,VLOOKUP($A155,ValveBox!$A$10:$O$142,11,FALSE),
IF($A155&lt;'ValveBox Components'!$A$165,VLOOKUP($A155,'ValveBox Components'!$A$10:$O$164,11,FALSE),
IF($A155&lt;Drainage!$A$92,VLOOKUP($A155,Drainage!$A$8:$M$91,7,FALSE),
IF($A155&lt;Nipples!$A$82,VLOOKUP($A155,Nipples!$A$9:$Q$81,13,FALSE),
IF($A155&lt;Manifold!$A$33,VLOOKUP($A155,Manifold!$A$9:$M$32,7,FALSE),
IF($A155&lt;FlexibleRepairCouplings!$A$13,VLOOKUP($A155,FlexibleRepairCouplings!$A$10:$M$12,7,FALSE),
IF($A155&lt;DuraFix!$A$15,VLOOKUP($A155,DuraFix!$A$9:$M$14,7,FALSE),
IF($A155&lt;'Compression Fittings'!$A$16,VLOOKUP($A155,'Compression Fittings'!$A$8:$M$15,7,FALSE),
IF($A155&lt;'Hose Fittings'!$A$30,VLOOKUP($A155,'Hose Fittings'!$A$8:$M$29,7,FALSE),
IF($A155&lt;'Swing Joints'!$A$496,VLOOKUP($A155,'Swing Joints'!$A$9:$M$495,7,FALSE),
IF($A155&lt;'Swing Joints Components'!$A$135,VLOOKUP($A155,'Swing Joints Components'!$A$9:$M$134,7,FALSE),
IF($A155&lt;Nonstandard!$A$42,VLOOKUP($A155,Nonstandard!$A$31:$J$41,3,FALSE),"")))))))))))))))))))))))))))),"")</f>
        <v/>
      </c>
      <c r="I155" s="587"/>
      <c r="J155" s="383" t="str">
        <f t="shared" si="3"/>
        <v/>
      </c>
      <c r="K155" s="417" t="str">
        <f>IFERROR(IF($A155&lt;'DWV PVC'!$A$285,VLOOKUP($A155,'DWV PVC'!$A$8:$M$284,10,FALSE),
IF($A155&lt;'DWV ABS'!$A$117,VLOOKUP($A155,'DWV ABS'!$A$8:$M$116,10,FALSE),
IF($A155&lt;'PVC SCH40'!$A$376,VLOOKUP($A155,'PVC SCH40'!$A$8:$M$375,10,FALSE),
IF($A155&lt;'PVC SCH40 LD'!$A$22,VLOOKUP($A155,'PVC SCH40 LD'!$A$8:$M$21,10,FALSE),
IF($A155&lt;'Pool &amp; SPA Sweep Elbows'!$A$12,VLOOKUP($A155,'Pool &amp; SPA Sweep Elbows'!$A$8:$M$11,10,FALSE),
IF($A155&lt;'Pool &amp; SPA Pipe Extender'!$A$11,VLOOKUP($A155,'Pool &amp; SPA Pipe Extender'!$A$8:$M$10,10,FALSE),
IF($A155&lt;'PVC SCH80'!$A$250,VLOOKUP($A155,'PVC SCH80'!$A$8:$M$249,10,FALSE),
IF($A155&lt;'PVC SCH80 Flange'!$A$49,VLOOKUP($A155,'PVC SCH80 Flange'!$A$8:$M$48,10,FALSE),
IF($A155&lt;'PVC SCH80 LD Flange'!$A$17,VLOOKUP($A155,'PVC SCH80 LD Flange'!$A$8:$M$16,10,FALSE),
IF($A155&lt;CPVC!$A$100,VLOOKUP($A155,CPVC!$A$8:$M$99,10,FALSE),
IF($A155&lt;InsertFittings!$A$237,VLOOKUP($A155,InsertFittings!$A$11:$M$236,10,FALSE),
IF($A155&lt;Valves!$A$132,VLOOKUP($A155,Valves!$A$8:$M$131,10,FALSE),
IF($A155&lt;SDR35SW!$A$124,VLOOKUP($A155,SDR35SW!$A$8:$M$123,10,FALSE),
IF($A155&lt;SDR35G!$A$143,VLOOKUP($A155, SDR35G!$A$8:$M$142,10,FALSE),
IF($A155&lt;SDR26G!$A$61,VLOOKUP($A155,SDR26G!$A$8:$N$60,11,FALSE),
IF($A155&lt;Cements!$A$100,VLOOKUP($A155,Cements!$A$8:$Q$99,14,FALSE),
IF($A155&lt;ValveBox!$A$143,VLOOKUP($A155,ValveBox!$A$10:$O$142,12,FALSE),
IF($A155&lt;'ValveBox Components'!$A$165,VLOOKUP($A155,'ValveBox Components'!$A$10:$O$164,12,FALSE),
IF($A155&lt;Drainage!$A$92,VLOOKUP($A155,Drainage!$A$8:$M$91,10,FALSE),
IF($A155&lt;Nipples!$A$82,VLOOKUP($A155,Nipples!$A$9:$Q$81,14,FALSE),
IF($A155&lt;Manifold!$A$33,VLOOKUP($A155,Manifold!$A$9:$M$32,10,FALSE),
IF($A155&lt;FlexibleRepairCouplings!$A$13,VLOOKUP($A155,FlexibleRepairCouplings!$A$10:$M$12,10,FALSE),
IF($A155&lt;DuraFix!$A$15,VLOOKUP($A155,DuraFix!$A$9:$M$14,10,FALSE),
IF($A155&lt;'Compression Fittings'!$A$16,VLOOKUP($A155,'Compression Fittings'!$A$8:$M$15,10,FALSE),
IF($A155&lt;'Hose Fittings'!$A$30,VLOOKUP($A155,'Hose Fittings'!$A$8:$M$29,10,FALSE),
IF($A155&lt;'Swing Joints'!$A$496,VLOOKUP($A155,'Swing Joints'!$A$9:$M$495,10,FALSE),
IF($A155&lt;'Swing Joints Components'!$A$135,VLOOKUP($A155,'Swing Joints Components'!$A$9:$M$134,10,FALSE),
IF($A155&lt;Nonstandard!$A$42,VLOOKUP($A155,Nonstandard!$A$31:$J$41,10,FALSE),"")))))))))))))))))))))))))))),"")</f>
        <v/>
      </c>
      <c r="L155" s="418" t="str">
        <f t="shared" ref="L155:L220" si="4">IF(G155="","-",K155*G155)</f>
        <v>-</v>
      </c>
      <c r="M155" s="419"/>
    </row>
    <row r="156" spans="1:13" ht="15.75">
      <c r="A156" s="420">
        <v>124</v>
      </c>
      <c r="B156" s="420" t="str">
        <f>IFERROR(IF($A156&lt;'DWV PVC'!$A$285,VLOOKUP($A156,'DWV PVC'!$A$8:$M$284,4,FALSE),
IF($A156&lt;'DWV ABS'!$A$117,VLOOKUP($A156,'DWV ABS'!$A$8:$M$116,4,FALSE),
IF($A156&lt;'PVC SCH40'!$A$376,VLOOKUP($A156,'PVC SCH40'!$A$8:$M$375,4,FALSE),
IF($A156&lt;'PVC SCH40 LD'!$A$22,VLOOKUP($A156,'PVC SCH40 LD'!$A$8:$M$21,4,FALSE),
IF($A156&lt;'Pool &amp; SPA Sweep Elbows'!$A$12,VLOOKUP($A156,'Pool &amp; SPA Sweep Elbows'!$A$8:$M$11,4,FALSE),
IF($A156&lt;'Pool &amp; SPA Pipe Extender'!$A$11,VLOOKUP($A156,'Pool &amp; SPA Pipe Extender'!$A$8:$M$10,4,FALSE),
IF($A156&lt;'PVC SCH80'!$A$250,VLOOKUP($A156,'PVC SCH80'!$A$8:$M$249,4,FALSE),
IF($A156&lt;'PVC SCH80 Flange'!$A$49,VLOOKUP($A156,'PVC SCH80 Flange'!$A$8:$M$48,4,FALSE),
IF($A156&lt;'PVC SCH80 LD Flange'!$A$17,VLOOKUP($A156,'PVC SCH80 LD Flange'!$A$8:$M$16,4,FALSE),
IF($A156&lt;CPVC!$A$100,VLOOKUP($A156,CPVC!$A$8:$M$99,4,FALSE),
IF($A156&lt;InsertFittings!$A$237,VLOOKUP($A156,InsertFittings!$A$11:$M$236,4,FALSE),
IF($A156&lt;Valves!$A$132,VLOOKUP($A156,Valves!$A$8:$M$131,4,FALSE),
IF($A156&lt;SDR35SW!$A$124,VLOOKUP($A156,SDR35SW!$A$8:$M$123,4,FALSE),
IF($A156&lt;SDR35G!$A$143,VLOOKUP($A156, SDR35G!$A$8:$M$142,4,FALSE),
IF($A156&lt;SDR26G!$A$61,VLOOKUP($A156,SDR26G!$A$8:$N$60,4,FALSE),
IF($A156&lt;Cements!$A$100,VLOOKUP($A156,Cements!$A$8:$Q$99,4,FALSE),
IF($A156&lt;ValveBox!$A$143,VLOOKUP($A156,ValveBox!$A$10:$O$142,4,FALSE),
IF($A156&lt;'ValveBox Components'!$A$165,VLOOKUP($A156,'ValveBox Components'!$A$10:$O$164,4,FALSE),
IF($A156&lt;Drainage!$A$92,VLOOKUP($A156,Drainage!$A$8:$M$91,4,FALSE),
IF($A156&lt;Nipples!$A$82,VLOOKUP($A156,Nipples!$A$9:$Q$81,4,FALSE),
IF($A156&lt;Manifold!$A$33,VLOOKUP($A156,Manifold!$A$9:$M$32,4,FALSE),
IF($A156&lt;FlexibleRepairCouplings!$A$13,VLOOKUP($A156,FlexibleRepairCouplings!$A$10:$M$12,4,FALSE),
IF($A156&lt;DuraFix!$A$15,VLOOKUP($A156,DuraFix!$A$9:$M$14,4,FALSE),
IF($A156&lt;'Compression Fittings'!$A$16,VLOOKUP($A156,'Compression Fittings'!$A$8:$M$15,4,FALSE),
IF($A156&lt;'Hose Fittings'!$A$30,VLOOKUP($A156,'Hose Fittings'!$A$8:$M$29,4,FALSE),
IF($A156&lt;'Swing Joints'!$A$496,VLOOKUP($A156,'Swing Joints'!$A$9:$M$495,4,FALSE),
IF($A156&lt;'Swing Joints Components'!$A$135,VLOOKUP($A156,'Swing Joints Components'!$A$9:$M$134,4,FALSE),
IF($A156&lt;Nonstandard!$A$42,VLOOKUP($A156,Nonstandard!$A$31:$J$41,5,FALSE),"")))))))))))))))))))))))))))),"")</f>
        <v/>
      </c>
      <c r="C156" s="420" t="str">
        <f>IFERROR(IF($A156&lt;'DWV PVC'!$A$285,VLOOKUP($A156,'DWV PVC'!$A$8:$M$284,5,FALSE),
IF($A156&lt;'DWV ABS'!$A$117,VLOOKUP($A156,'DWV ABS'!$A$8:$M$116,5,FALSE),
IF($A156&lt;'PVC SCH40'!$A$376,VLOOKUP($A156,'PVC SCH40'!$A$8:$M$375,5,FALSE),
IF($A156&lt;'PVC SCH40 LD'!$A$22,VLOOKUP($A156,'PVC SCH40 LD'!$A$8:$M$21,5,FALSE),
IF($A156&lt;'Pool &amp; SPA Sweep Elbows'!$A$12,VLOOKUP($A156,'Pool &amp; SPA Sweep Elbows'!$A$8:$M$11,5,FALSE),
IF($A156&lt;'Pool &amp; SPA Pipe Extender'!$A$11,VLOOKUP($A156,'Pool &amp; SPA Pipe Extender'!$A$8:$M$10,5,FALSE),
IF($A156&lt;'PVC SCH80'!$A$250,VLOOKUP($A156,'PVC SCH80'!$A$8:$M$249,5,FALSE),
IF($A156&lt;'PVC SCH80 Flange'!$A$49,VLOOKUP($A156,'PVC SCH80 Flange'!$A$8:$M$48,5,FALSE),
IF($A156&lt;'PVC SCH80 LD Flange'!$A$17,VLOOKUP($A156,'PVC SCH80 LD Flange'!$A$8:$M$16,5,FALSE),
IF($A156&lt;CPVC!$A$100,VLOOKUP($A156,CPVC!$A$8:$M$99,5,FALSE),
IF($A156&lt;InsertFittings!$A$237,VLOOKUP($A156,InsertFittings!$A$11:$M$236,5,FALSE),
IF($A156&lt;Valves!$A$132,VLOOKUP($A156,Valves!$A$8:$M$131,5,FALSE),
IF($A156&lt;SDR35SW!$A$124,VLOOKUP($A156,SDR35SW!$A$8:$M$123,5,FALSE),
IF($A156&lt;SDR35G!$A$143,VLOOKUP($A156, SDR35G!$A$8:$M$142,5,FALSE),
IF($A156&lt;SDR26G!$A$61,VLOOKUP($A156,SDR26G!$A$8:$N$60,5,FALSE),
IF($A156&lt;Cements!$A$100,VLOOKUP($A156,Cements!$A$8:$Q$99,5,FALSE),
IF($A156&lt;ValveBox!$A$143,VLOOKUP($A156,ValveBox!$A$10:$O$142,5,FALSE),
IF($A156&lt;'ValveBox Components'!$A$165,VLOOKUP($A156,'ValveBox Components'!$A$10:$O$164,5,FALSE),
IF($A156&lt;Drainage!$A$92,VLOOKUP($A156,Drainage!$A$8:$M$91,5,FALSE),
IF($A156&lt;Nipples!$A$82,VLOOKUP($A156,Nipples!$A$9:$Q$81,5,FALSE),
IF($A156&lt;Manifold!$A$33,VLOOKUP($A156,Manifold!$A$9:$M$32,5,FALSE),
IF($A156&lt;FlexibleRepairCouplings!$A$13,VLOOKUP($A156,FlexibleRepairCouplings!$A$10:$M$12,5,FALSE),
IF($A156&lt;DuraFix!$A$15,VLOOKUP($A156,DuraFix!$A$9:$M$14,5,FALSE),
IF($A156&lt;'Compression Fittings'!$A$16,VLOOKUP($A156,'Compression Fittings'!$A$8:$M$15,5,FALSE),
IF($A156&lt;'Hose Fittings'!$A$30,VLOOKUP($A156,'Hose Fittings'!$A$8:$M$29,5,FALSE),
IF($A156&lt;'Swing Joints'!$A$496,VLOOKUP($A156,'Swing Joints'!$A$9:$M$495,5,FALSE),
IF($A156&lt;'Swing Joints Components'!$A$135,VLOOKUP($A156,'Swing Joints Components'!$A$9:$M$134,5,FALSE),
IF($A156&lt;Nonstandard!$A$42,VLOOKUP($A156,Nonstandard!$A$31:$J$41,6,FALSE),"")))))))))))))))))))))))))))),"")</f>
        <v/>
      </c>
      <c r="D156" s="428" t="str">
        <f>IFERROR(IF($A156&lt;'DWV PVC'!$A$285,VLOOKUP($A156,'DWV PVC'!$A$8:$M$284,6,FALSE),
IF($A156&lt;'DWV ABS'!$A$117,VLOOKUP($A156,'DWV ABS'!$A$8:$M$116,6,FALSE),
IF($A156&lt;'PVC SCH40'!$A$376,VLOOKUP($A156,'PVC SCH40'!$A$8:$M$375,6,FALSE),
IF($A156&lt;'PVC SCH40 LD'!$A$22,VLOOKUP($A156,'PVC SCH40 LD'!$A$8:$M$21,6,FALSE),
IF($A156&lt;'Pool &amp; SPA Sweep Elbows'!$A$12,VLOOKUP($A156,'Pool &amp; SPA Sweep Elbows'!$A$8:$M$11,6,FALSE),
IF($A156&lt;'Pool &amp; SPA Pipe Extender'!$A$11,VLOOKUP($A156,'Pool &amp; SPA Pipe Extender'!$A$8:$M$10,6,FALSE),
IF($A156&lt;'PVC SCH80'!$A$250,VLOOKUP($A156,'PVC SCH80'!$A$8:$M$249,6,FALSE),
IF($A156&lt;'PVC SCH80 Flange'!$A$49,VLOOKUP($A156,'PVC SCH80 Flange'!$A$8:$M$48,6,FALSE),
IF($A156&lt;'PVC SCH80 LD Flange'!$A$17,VLOOKUP($A156,'PVC SCH80 LD Flange'!$A$8:$M$16,6,FALSE),
IF($A156&lt;CPVC!$A$100,VLOOKUP($A156,CPVC!$A$8:$M$99,6,FALSE),
IF($A156&lt;InsertFittings!$A$237,VLOOKUP($A156,InsertFittings!$A$11:$M$236,6,FALSE),
IF($A156&lt;Valves!$A$132,VLOOKUP($A156,Valves!$A$8:$M$131,6,FALSE),
IF($A156&lt;SDR35SW!$A$124,VLOOKUP($A156,SDR35SW!$A$8:$M$123,6,FALSE),
IF($A156&lt;SDR35G!$A$143,VLOOKUP($A156, SDR35G!$A$8:$M$142,6,FALSE),
IF($A156&lt;SDR26G!$A$61,VLOOKUP($A156,SDR26G!$A$8:$N$60,6,FALSE),
IF($A156&lt;Cements!$A$100,VLOOKUP($A156,Cements!$A$8:$Q$99,6,FALSE),
IF($A156&lt;ValveBox!$A$143,VLOOKUP($A156,ValveBox!$A$10:$O$142,6,FALSE),
IF($A156&lt;'ValveBox Components'!$A$165,VLOOKUP($A156,'ValveBox Components'!$A$10:$O$164,6,FALSE),
IF($A156&lt;Drainage!$A$92,VLOOKUP($A156,Drainage!$A$8:$M$91,6,FALSE),
IF($A156&lt;Nipples!$A$82,VLOOKUP($A156,Nipples!$A$9:$Q$81,6,FALSE),
IF($A156&lt;Manifold!$A$33,VLOOKUP($A156,Manifold!$A$9:$M$32,6,FALSE),
IF($A156&lt;FlexibleRepairCouplings!$A$13,VLOOKUP($A156,FlexibleRepairCouplings!$A$10:$M$12,6,FALSE),
IF($A156&lt;DuraFix!$A$15,VLOOKUP($A156,DuraFix!$A$9:$M$14,6,FALSE),
IF($A156&lt;'Compression Fittings'!$A$16,VLOOKUP($A156,'Compression Fittings'!$A$8:$M$15,6,FALSE),
IF($A156&lt;'Hose Fittings'!$A$30,VLOOKUP($A156,'Hose Fittings'!$A$8:$M$29,6,FALSE),
IF($A156&lt;'Swing Joints'!$A$496,VLOOKUP($A156,'Swing Joints'!$A$9:$M$495,6,FALSE),
IF($A156&lt;'Swing Joints Components'!$A$135,VLOOKUP($A156,'Swing Joints Components'!$A$9:$M$134,6,FALSE),
IF($A156&lt;Nonstandard!$A$42,VLOOKUP($A156,Nonstandard!$A$31:$J$41,7,FALSE),"")))))))))))))))))))))))))))),"")</f>
        <v/>
      </c>
      <c r="E156" s="429"/>
      <c r="F156" s="421" t="str">
        <f>IFERROR(IF($A156&lt;'DWV PVC'!$A$285,VLOOKUP($A156,'DWV PVC'!$A$8:$M$284,9,FALSE),
IF($A156&lt;'DWV ABS'!$A$117,VLOOKUP($A156,'DWV ABS'!$A$8:$M$116,9,FALSE),
IF($A156&lt;'PVC SCH40'!$A$376,VLOOKUP($A156,'PVC SCH40'!$A$8:$M$375,9,FALSE),
IF($A156&lt;'PVC SCH40 LD'!$A$22,VLOOKUP($A156,'PVC SCH40 LD'!$A$8:$M$21,9,FALSE),
IF($A156&lt;'Pool &amp; SPA Sweep Elbows'!$A$12,VLOOKUP($A156,'Pool &amp; SPA Sweep Elbows'!$A$8:$M$11,9,FALSE),
IF($A156&lt;'Pool &amp; SPA Pipe Extender'!$A$11,VLOOKUP($A156,'Pool &amp; SPA Pipe Extender'!$A$8:$M$10,9,FALSE),
IF($A156&lt;'PVC SCH80'!$A$250,VLOOKUP($A156,'PVC SCH80'!$A$8:$M$249,9,FALSE),
IF($A156&lt;'PVC SCH80 Flange'!$A$49,VLOOKUP($A156,'PVC SCH80 Flange'!$A$8:$M$48,9,FALSE),
IF($A156&lt;'PVC SCH80 LD Flange'!$A$17,VLOOKUP($A156,'PVC SCH80 LD Flange'!$A$8:$M$16,9,FALSE),
IF($A156&lt;CPVC!$A$100,VLOOKUP($A156,CPVC!$A$8:$M$99,9,FALSE),
IF($A156&lt;InsertFittings!$A$237,VLOOKUP($A156,InsertFittings!$A$11:$M$236,9,FALSE),
IF($A156&lt;Valves!$A$132,VLOOKUP($A156,Valves!$A$8:$M$131,9,FALSE),
IF($A156&lt;SDR35SW!$A$124,VLOOKUP($A156,SDR35SW!$A$8:$M$123,9,FALSE),
IF($A156&lt;SDR35G!$A$143,VLOOKUP($A156, SDR35G!$A$8:$M$142,9,FALSE),
IF($A156&lt;SDR26G!$A$61,VLOOKUP($A156,SDR26G!$A$8:$N$60,10,FALSE),
IF($A156&lt;Cements!$A$100,VLOOKUP($A156,Cements!$A$8:$Q$99,13,FALSE),
IF($A156&lt;ValveBox!$A$143,VLOOKUP($A156,ValveBox!$A$10:$O$142,11,FALSE),
IF($A156&lt;'ValveBox Components'!$A$165,VLOOKUP($A156,'ValveBox Components'!$A$10:$O$164,11,FALSE),
IF($A156&lt;Drainage!$A$92,VLOOKUP($A156,Drainage!$A$8:$M$91,9,FALSE),
IF($A156&lt;Nipples!$A$82,VLOOKUP($A156,Nipples!$A$9:$Q$81,13,FALSE),
IF($A156&lt;Manifold!$A$33,VLOOKUP($A156,Manifold!$A$9:$M$32,9,FALSE),
IF($A156&lt;FlexibleRepairCouplings!$A$13,VLOOKUP($A156,FlexibleRepairCouplings!$A$10:$M$12,9,FALSE),
IF($A156&lt;DuraFix!$A$15,VLOOKUP($A156,DuraFix!$A$9:$M$14,9,FALSE),
IF($A156&lt;'Compression Fittings'!$A$16,VLOOKUP($A156,'Compression Fittings'!$A$8:$M$15,9,FALSE),
IF($A156&lt;'Hose Fittings'!$A$30,VLOOKUP($A156,'Hose Fittings'!$A$8:$M$29,9,FALSE),
IF($A156&lt;'Swing Joints'!$A$496,VLOOKUP($A156,'Swing Joints'!$A$9:$M$495,9,FALSE),
IF($A156&lt;'Swing Joints Components'!$A$135,VLOOKUP($A156,'Swing Joints Components'!$A$9:$M$134,9,FALSE),
IF($A156&lt;Nonstandard!$A$42,VLOOKUP($A156,Nonstandard!$A$31:$J$41,8,FALSE),"")))))))))))))))))))))))))))),"")</f>
        <v/>
      </c>
      <c r="G156" s="422" t="str">
        <f>IFERROR(IF($A156&lt;'DWV PVC'!$A$285,VLOOKUP($A156,'DWV PVC'!$A$8:$M$284,11,FALSE),
IF($A156&lt;'DWV ABS'!$A$117,VLOOKUP($A156,'DWV ABS'!$A$8:$M$116,11,FALSE),
IF($A156&lt;'PVC SCH40'!$A$376,VLOOKUP($A156,'PVC SCH40'!$A$8:$M$375,11,FALSE),
IF($A156&lt;'PVC SCH40 LD'!$A$22,VLOOKUP($A156,'PVC SCH40 LD'!$A$8:$M$21,11,FALSE),
IF($A156&lt;'Pool &amp; SPA Sweep Elbows'!$A$12,VLOOKUP($A156,'Pool &amp; SPA Sweep Elbows'!$A$8:$M$11,11,FALSE),
IF($A156&lt;'Pool &amp; SPA Pipe Extender'!$A$11,VLOOKUP($A156,'Pool &amp; SPA Pipe Extender'!$A$8:$M$10,11,FALSE),
IF($A156&lt;'PVC SCH80'!$A$250,VLOOKUP($A156,'PVC SCH80'!$A$8:$M$249,11,FALSE),
IF($A156&lt;'PVC SCH80 Flange'!$A$49,VLOOKUP($A156,'PVC SCH80 Flange'!$A$8:$M$48,11,FALSE),
IF($A156&lt;'PVC SCH80 LD Flange'!$A$17,VLOOKUP($A156,'PVC SCH80 LD Flange'!$A$8:$M$16,11,FALSE),
IF($A156&lt;CPVC!$A$100,VLOOKUP($A156,CPVC!$A$8:$M$99,11,FALSE),
IF($A156&lt;InsertFittings!$A$237,VLOOKUP($A156,InsertFittings!$A$11:$M$236,11,FALSE),
IF($A156&lt;Valves!$A$132,VLOOKUP($A156,Valves!$A$8:$M$131,11,FALSE),
IF($A156&lt;SDR35SW!$A$124,VLOOKUP($A156,SDR35SW!$A$8:$M$123,11,FALSE),
IF($A156&lt;SDR35G!$A$143,VLOOKUP($A156, SDR35G!$A$8:$M$142,11,FALSE),
IF($A156&lt;SDR26G!$A$61,VLOOKUP($A156,SDR26G!$A$8:$N$60,12,FALSE),
IF($A156&lt;Cements!$A$100,VLOOKUP($A156,Cements!$A$8:$Q$99,15,FALSE),
IF($A156&lt;ValveBox!$A$143,VLOOKUP($A156,ValveBox!$A$10:$O$142,13,FALSE),
IF($A156&lt;'ValveBox Components'!$A$165,VLOOKUP($A156,'ValveBox Components'!$A$10:$O$164,13,FALSE),
IF($A156&lt;Drainage!$A$92,VLOOKUP($A156,Drainage!$A$8:$M$91,11,FALSE),
IF($A156&lt;Nipples!$A$82,VLOOKUP($A156,Nipples!$A$9:$Q$81,15,FALSE),
IF($A156&lt;Manifold!$A$33,VLOOKUP($A156,Manifold!$A$9:$M$32,11,FALSE),
IF($A156&lt;FlexibleRepairCouplings!$A$13,VLOOKUP($A156,FlexibleRepairCouplings!$A$10:$M$12,11,FALSE),
IF($A156&lt;DuraFix!$A$15,VLOOKUP($A156,DuraFix!$A$9:$M$14,11,FALSE),
IF($A156&lt;'Compression Fittings'!$A$16,VLOOKUP($A156,'Compression Fittings'!$A$8:$M$15,11,FALSE),
IF($A156&lt;'Hose Fittings'!$A$30,VLOOKUP($A156,'Hose Fittings'!$A$8:$M$29,11,FALSE),
IF($A156&lt;'Swing Joints'!$A$496,VLOOKUP($A156,'Swing Joints'!$A$9:$M$495,11,FALSE),
IF($A156&lt;'Swing Joints Components'!$A$135,VLOOKUP($A156,'Swing Joints Components'!$A$9:$M$134,11,FALSE),
IF($A156&lt;Nonstandard!$A$42,VLOOKUP($A156,Nonstandard!$A$31:$J$41,3,FALSE),"")))))))))))))))))))))))))))),"")</f>
        <v/>
      </c>
      <c r="H156" s="588" t="str">
        <f>IFERROR(IF($A156&lt;'DWV PVC'!$A$285,VLOOKUP($A156,'DWV PVC'!$A$8:$M$284,7,FALSE),
IF($A156&lt;'DWV ABS'!$A$117,VLOOKUP($A156,'DWV ABS'!$A$8:$M$116,7,FALSE),
IF($A156&lt;'PVC SCH40'!$A$376,VLOOKUP($A156,'PVC SCH40'!$A$8:$M$375,7,FALSE),
IF($A156&lt;'PVC SCH40 LD'!$A$22,VLOOKUP($A156,'PVC SCH40 LD'!$A$8:$M$21,7,FALSE),
IF($A156&lt;'Pool &amp; SPA Sweep Elbows'!$A$12,VLOOKUP($A156,'Pool &amp; SPA Sweep Elbows'!$A$8:$M$11,7,FALSE),
IF($A156&lt;'Pool &amp; SPA Pipe Extender'!$A$11,VLOOKUP($A156,'Pool &amp; SPA Pipe Extender'!$A$8:$M$10,7,FALSE),
IF($A156&lt;'PVC SCH80'!$A$250,VLOOKUP($A156,'PVC SCH80'!$A$8:$M$249,7,FALSE),
IF($A156&lt;'PVC SCH80 Flange'!$A$49,VLOOKUP($A156,'PVC SCH80 Flange'!$A$8:$M$48,7,FALSE),
IF($A156&lt;'PVC SCH80 LD Flange'!$A$17,VLOOKUP($A156,'PVC SCH80 LD Flange'!$A$8:$M$16,7,FALSE),
IF($A156&lt;CPVC!$A$100,VLOOKUP($A156,CPVC!$A$8:$M$99,7,FALSE),
IF($A156&lt;InsertFittings!$A$237,VLOOKUP($A156,InsertFittings!$A$11:$M$236,7,FALSE),
IF($A156&lt;Valves!$A$132,VLOOKUP($A156,Valves!$A$8:$M$131,7,FALSE),
IF($A156&lt;SDR35SW!$A$124,VLOOKUP($A156,SDR35SW!$A$8:$M$123,7,FALSE),
IF($A156&lt;SDR35G!$A$143,VLOOKUP($A156, SDR35G!$A$8:$M$142,7,FALSE),
IF($A156&lt;SDR26G!$A$61,VLOOKUP($A156,SDR26G!$A$8:$N$60,10,FALSE),
IF($A156&lt;Cements!$A$100,VLOOKUP($A156,Cements!$A$8:$Q$99,13,FALSE),
IF($A156&lt;ValveBox!$A$143,VLOOKUP($A156,ValveBox!$A$10:$O$142,11,FALSE),
IF($A156&lt;'ValveBox Components'!$A$165,VLOOKUP($A156,'ValveBox Components'!$A$10:$O$164,11,FALSE),
IF($A156&lt;Drainage!$A$92,VLOOKUP($A156,Drainage!$A$8:$M$91,7,FALSE),
IF($A156&lt;Nipples!$A$82,VLOOKUP($A156,Nipples!$A$9:$Q$81,13,FALSE),
IF($A156&lt;Manifold!$A$33,VLOOKUP($A156,Manifold!$A$9:$M$32,7,FALSE),
IF($A156&lt;FlexibleRepairCouplings!$A$13,VLOOKUP($A156,FlexibleRepairCouplings!$A$10:$M$12,7,FALSE),
IF($A156&lt;DuraFix!$A$15,VLOOKUP($A156,DuraFix!$A$9:$M$14,7,FALSE),
IF($A156&lt;'Compression Fittings'!$A$16,VLOOKUP($A156,'Compression Fittings'!$A$8:$M$15,7,FALSE),
IF($A156&lt;'Hose Fittings'!$A$30,VLOOKUP($A156,'Hose Fittings'!$A$8:$M$29,7,FALSE),
IF($A156&lt;'Swing Joints'!$A$496,VLOOKUP($A156,'Swing Joints'!$A$9:$M$495,7,FALSE),
IF($A156&lt;'Swing Joints Components'!$A$135,VLOOKUP($A156,'Swing Joints Components'!$A$9:$M$134,7,FALSE),
IF($A156&lt;Nonstandard!$A$42,VLOOKUP($A156,Nonstandard!$A$31:$J$41,3,FALSE),"")))))))))))))))))))))))))))),"")</f>
        <v/>
      </c>
      <c r="I156" s="589"/>
      <c r="J156" s="423" t="str">
        <f t="shared" si="3"/>
        <v/>
      </c>
      <c r="K156" s="424" t="str">
        <f>IFERROR(IF($A156&lt;'DWV PVC'!$A$285,VLOOKUP($A156,'DWV PVC'!$A$8:$M$284,10,FALSE),
IF($A156&lt;'DWV ABS'!$A$117,VLOOKUP($A156,'DWV ABS'!$A$8:$M$116,10,FALSE),
IF($A156&lt;'PVC SCH40'!$A$376,VLOOKUP($A156,'PVC SCH40'!$A$8:$M$375,10,FALSE),
IF($A156&lt;'PVC SCH40 LD'!$A$22,VLOOKUP($A156,'PVC SCH40 LD'!$A$8:$M$21,10,FALSE),
IF($A156&lt;'Pool &amp; SPA Sweep Elbows'!$A$12,VLOOKUP($A156,'Pool &amp; SPA Sweep Elbows'!$A$8:$M$11,10,FALSE),
IF($A156&lt;'Pool &amp; SPA Pipe Extender'!$A$11,VLOOKUP($A156,'Pool &amp; SPA Pipe Extender'!$A$8:$M$10,10,FALSE),
IF($A156&lt;'PVC SCH80'!$A$250,VLOOKUP($A156,'PVC SCH80'!$A$8:$M$249,10,FALSE),
IF($A156&lt;'PVC SCH80 Flange'!$A$49,VLOOKUP($A156,'PVC SCH80 Flange'!$A$8:$M$48,10,FALSE),
IF($A156&lt;'PVC SCH80 LD Flange'!$A$17,VLOOKUP($A156,'PVC SCH80 LD Flange'!$A$8:$M$16,10,FALSE),
IF($A156&lt;CPVC!$A$100,VLOOKUP($A156,CPVC!$A$8:$M$99,10,FALSE),
IF($A156&lt;InsertFittings!$A$237,VLOOKUP($A156,InsertFittings!$A$11:$M$236,10,FALSE),
IF($A156&lt;Valves!$A$132,VLOOKUP($A156,Valves!$A$8:$M$131,10,FALSE),
IF($A156&lt;SDR35SW!$A$124,VLOOKUP($A156,SDR35SW!$A$8:$M$123,10,FALSE),
IF($A156&lt;SDR35G!$A$143,VLOOKUP($A156, SDR35G!$A$8:$M$142,10,FALSE),
IF($A156&lt;SDR26G!$A$61,VLOOKUP($A156,SDR26G!$A$8:$N$60,11,FALSE),
IF($A156&lt;Cements!$A$100,VLOOKUP($A156,Cements!$A$8:$Q$99,14,FALSE),
IF($A156&lt;ValveBox!$A$143,VLOOKUP($A156,ValveBox!$A$10:$O$142,12,FALSE),
IF($A156&lt;'ValveBox Components'!$A$165,VLOOKUP($A156,'ValveBox Components'!$A$10:$O$164,12,FALSE),
IF($A156&lt;Drainage!$A$92,VLOOKUP($A156,Drainage!$A$8:$M$91,10,FALSE),
IF($A156&lt;Nipples!$A$82,VLOOKUP($A156,Nipples!$A$9:$Q$81,14,FALSE),
IF($A156&lt;Manifold!$A$33,VLOOKUP($A156,Manifold!$A$9:$M$32,10,FALSE),
IF($A156&lt;FlexibleRepairCouplings!$A$13,VLOOKUP($A156,FlexibleRepairCouplings!$A$10:$M$12,10,FALSE),
IF($A156&lt;DuraFix!$A$15,VLOOKUP($A156,DuraFix!$A$9:$M$14,10,FALSE),
IF($A156&lt;'Compression Fittings'!$A$16,VLOOKUP($A156,'Compression Fittings'!$A$8:$M$15,10,FALSE),
IF($A156&lt;'Hose Fittings'!$A$30,VLOOKUP($A156,'Hose Fittings'!$A$8:$M$29,10,FALSE),
IF($A156&lt;'Swing Joints'!$A$496,VLOOKUP($A156,'Swing Joints'!$A$9:$M$495,10,FALSE),
IF($A156&lt;'Swing Joints Components'!$A$135,VLOOKUP($A156,'Swing Joints Components'!$A$9:$M$134,10,FALSE),
IF($A156&lt;Nonstandard!$A$42,VLOOKUP($A156,Nonstandard!$A$31:$J$41,10,FALSE),"")))))))))))))))))))))))))))),"")</f>
        <v/>
      </c>
      <c r="L156" s="421" t="str">
        <f t="shared" si="4"/>
        <v>-</v>
      </c>
      <c r="M156" s="425"/>
    </row>
    <row r="157" spans="1:13" ht="15.75">
      <c r="A157" s="415">
        <v>125</v>
      </c>
      <c r="B157" s="415" t="str">
        <f>IFERROR(IF($A157&lt;'DWV PVC'!$A$285,VLOOKUP($A157,'DWV PVC'!$A$8:$M$284,4,FALSE),
IF($A157&lt;'DWV ABS'!$A$117,VLOOKUP($A157,'DWV ABS'!$A$8:$M$116,4,FALSE),
IF($A157&lt;'PVC SCH40'!$A$376,VLOOKUP($A157,'PVC SCH40'!$A$8:$M$375,4,FALSE),
IF($A157&lt;'PVC SCH40 LD'!$A$22,VLOOKUP($A157,'PVC SCH40 LD'!$A$8:$M$21,4,FALSE),
IF($A157&lt;'Pool &amp; SPA Sweep Elbows'!$A$12,VLOOKUP($A157,'Pool &amp; SPA Sweep Elbows'!$A$8:$M$11,4,FALSE),
IF($A157&lt;'Pool &amp; SPA Pipe Extender'!$A$11,VLOOKUP($A157,'Pool &amp; SPA Pipe Extender'!$A$8:$M$10,4,FALSE),
IF($A157&lt;'PVC SCH80'!$A$250,VLOOKUP($A157,'PVC SCH80'!$A$8:$M$249,4,FALSE),
IF($A157&lt;'PVC SCH80 Flange'!$A$49,VLOOKUP($A157,'PVC SCH80 Flange'!$A$8:$M$48,4,FALSE),
IF($A157&lt;'PVC SCH80 LD Flange'!$A$17,VLOOKUP($A157,'PVC SCH80 LD Flange'!$A$8:$M$16,4,FALSE),
IF($A157&lt;CPVC!$A$100,VLOOKUP($A157,CPVC!$A$8:$M$99,4,FALSE),
IF($A157&lt;InsertFittings!$A$237,VLOOKUP($A157,InsertFittings!$A$11:$M$236,4,FALSE),
IF($A157&lt;Valves!$A$132,VLOOKUP($A157,Valves!$A$8:$M$131,4,FALSE),
IF($A157&lt;SDR35SW!$A$124,VLOOKUP($A157,SDR35SW!$A$8:$M$123,4,FALSE),
IF($A157&lt;SDR35G!$A$143,VLOOKUP($A157, SDR35G!$A$8:$M$142,4,FALSE),
IF($A157&lt;SDR26G!$A$61,VLOOKUP($A157,SDR26G!$A$8:$N$60,4,FALSE),
IF($A157&lt;Cements!$A$100,VLOOKUP($A157,Cements!$A$8:$Q$99,4,FALSE),
IF($A157&lt;ValveBox!$A$143,VLOOKUP($A157,ValveBox!$A$10:$O$142,4,FALSE),
IF($A157&lt;'ValveBox Components'!$A$165,VLOOKUP($A157,'ValveBox Components'!$A$10:$O$164,4,FALSE),
IF($A157&lt;Drainage!$A$92,VLOOKUP($A157,Drainage!$A$8:$M$91,4,FALSE),
IF($A157&lt;Nipples!$A$82,VLOOKUP($A157,Nipples!$A$9:$Q$81,4,FALSE),
IF($A157&lt;Manifold!$A$33,VLOOKUP($A157,Manifold!$A$9:$M$32,4,FALSE),
IF($A157&lt;FlexibleRepairCouplings!$A$13,VLOOKUP($A157,FlexibleRepairCouplings!$A$10:$M$12,4,FALSE),
IF($A157&lt;DuraFix!$A$15,VLOOKUP($A157,DuraFix!$A$9:$M$14,4,FALSE),
IF($A157&lt;'Compression Fittings'!$A$16,VLOOKUP($A157,'Compression Fittings'!$A$8:$M$15,4,FALSE),
IF($A157&lt;'Hose Fittings'!$A$30,VLOOKUP($A157,'Hose Fittings'!$A$8:$M$29,4,FALSE),
IF($A157&lt;'Swing Joints'!$A$496,VLOOKUP($A157,'Swing Joints'!$A$9:$M$495,4,FALSE),
IF($A157&lt;'Swing Joints Components'!$A$135,VLOOKUP($A157,'Swing Joints Components'!$A$9:$M$134,4,FALSE),
IF($A157&lt;Nonstandard!$A$42,VLOOKUP($A157,Nonstandard!$A$31:$J$41,5,FALSE),"")))))))))))))))))))))))))))),"")</f>
        <v/>
      </c>
      <c r="C157" s="415" t="str">
        <f>IFERROR(IF($A157&lt;'DWV PVC'!$A$285,VLOOKUP($A157,'DWV PVC'!$A$8:$M$284,5,FALSE),
IF($A157&lt;'DWV ABS'!$A$117,VLOOKUP($A157,'DWV ABS'!$A$8:$M$116,5,FALSE),
IF($A157&lt;'PVC SCH40'!$A$376,VLOOKUP($A157,'PVC SCH40'!$A$8:$M$375,5,FALSE),
IF($A157&lt;'PVC SCH40 LD'!$A$22,VLOOKUP($A157,'PVC SCH40 LD'!$A$8:$M$21,5,FALSE),
IF($A157&lt;'Pool &amp; SPA Sweep Elbows'!$A$12,VLOOKUP($A157,'Pool &amp; SPA Sweep Elbows'!$A$8:$M$11,5,FALSE),
IF($A157&lt;'Pool &amp; SPA Pipe Extender'!$A$11,VLOOKUP($A157,'Pool &amp; SPA Pipe Extender'!$A$8:$M$10,5,FALSE),
IF($A157&lt;'PVC SCH80'!$A$250,VLOOKUP($A157,'PVC SCH80'!$A$8:$M$249,5,FALSE),
IF($A157&lt;'PVC SCH80 Flange'!$A$49,VLOOKUP($A157,'PVC SCH80 Flange'!$A$8:$M$48,5,FALSE),
IF($A157&lt;'PVC SCH80 LD Flange'!$A$17,VLOOKUP($A157,'PVC SCH80 LD Flange'!$A$8:$M$16,5,FALSE),
IF($A157&lt;CPVC!$A$100,VLOOKUP($A157,CPVC!$A$8:$M$99,5,FALSE),
IF($A157&lt;InsertFittings!$A$237,VLOOKUP($A157,InsertFittings!$A$11:$M$236,5,FALSE),
IF($A157&lt;Valves!$A$132,VLOOKUP($A157,Valves!$A$8:$M$131,5,FALSE),
IF($A157&lt;SDR35SW!$A$124,VLOOKUP($A157,SDR35SW!$A$8:$M$123,5,FALSE),
IF($A157&lt;SDR35G!$A$143,VLOOKUP($A157, SDR35G!$A$8:$M$142,5,FALSE),
IF($A157&lt;SDR26G!$A$61,VLOOKUP($A157,SDR26G!$A$8:$N$60,5,FALSE),
IF($A157&lt;Cements!$A$100,VLOOKUP($A157,Cements!$A$8:$Q$99,5,FALSE),
IF($A157&lt;ValveBox!$A$143,VLOOKUP($A157,ValveBox!$A$10:$O$142,5,FALSE),
IF($A157&lt;'ValveBox Components'!$A$165,VLOOKUP($A157,'ValveBox Components'!$A$10:$O$164,5,FALSE),
IF($A157&lt;Drainage!$A$92,VLOOKUP($A157,Drainage!$A$8:$M$91,5,FALSE),
IF($A157&lt;Nipples!$A$82,VLOOKUP($A157,Nipples!$A$9:$Q$81,5,FALSE),
IF($A157&lt;Manifold!$A$33,VLOOKUP($A157,Manifold!$A$9:$M$32,5,FALSE),
IF($A157&lt;FlexibleRepairCouplings!$A$13,VLOOKUP($A157,FlexibleRepairCouplings!$A$10:$M$12,5,FALSE),
IF($A157&lt;DuraFix!$A$15,VLOOKUP($A157,DuraFix!$A$9:$M$14,5,FALSE),
IF($A157&lt;'Compression Fittings'!$A$16,VLOOKUP($A157,'Compression Fittings'!$A$8:$M$15,5,FALSE),
IF($A157&lt;'Hose Fittings'!$A$30,VLOOKUP($A157,'Hose Fittings'!$A$8:$M$29,5,FALSE),
IF($A157&lt;'Swing Joints'!$A$496,VLOOKUP($A157,'Swing Joints'!$A$9:$M$495,5,FALSE),
IF($A157&lt;'Swing Joints Components'!$A$135,VLOOKUP($A157,'Swing Joints Components'!$A$9:$M$134,5,FALSE),
IF($A157&lt;Nonstandard!$A$42,VLOOKUP($A157,Nonstandard!$A$31:$J$41,6,FALSE),"")))))))))))))))))))))))))))),"")</f>
        <v/>
      </c>
      <c r="D157" s="426" t="str">
        <f>IFERROR(IF($A157&lt;'DWV PVC'!$A$285,VLOOKUP($A157,'DWV PVC'!$A$8:$M$284,6,FALSE),
IF($A157&lt;'DWV ABS'!$A$117,VLOOKUP($A157,'DWV ABS'!$A$8:$M$116,6,FALSE),
IF($A157&lt;'PVC SCH40'!$A$376,VLOOKUP($A157,'PVC SCH40'!$A$8:$M$375,6,FALSE),
IF($A157&lt;'PVC SCH40 LD'!$A$22,VLOOKUP($A157,'PVC SCH40 LD'!$A$8:$M$21,6,FALSE),
IF($A157&lt;'Pool &amp; SPA Sweep Elbows'!$A$12,VLOOKUP($A157,'Pool &amp; SPA Sweep Elbows'!$A$8:$M$11,6,FALSE),
IF($A157&lt;'Pool &amp; SPA Pipe Extender'!$A$11,VLOOKUP($A157,'Pool &amp; SPA Pipe Extender'!$A$8:$M$10,6,FALSE),
IF($A157&lt;'PVC SCH80'!$A$250,VLOOKUP($A157,'PVC SCH80'!$A$8:$M$249,6,FALSE),
IF($A157&lt;'PVC SCH80 Flange'!$A$49,VLOOKUP($A157,'PVC SCH80 Flange'!$A$8:$M$48,6,FALSE),
IF($A157&lt;'PVC SCH80 LD Flange'!$A$17,VLOOKUP($A157,'PVC SCH80 LD Flange'!$A$8:$M$16,6,FALSE),
IF($A157&lt;CPVC!$A$100,VLOOKUP($A157,CPVC!$A$8:$M$99,6,FALSE),
IF($A157&lt;InsertFittings!$A$237,VLOOKUP($A157,InsertFittings!$A$11:$M$236,6,FALSE),
IF($A157&lt;Valves!$A$132,VLOOKUP($A157,Valves!$A$8:$M$131,6,FALSE),
IF($A157&lt;SDR35SW!$A$124,VLOOKUP($A157,SDR35SW!$A$8:$M$123,6,FALSE),
IF($A157&lt;SDR35G!$A$143,VLOOKUP($A157, SDR35G!$A$8:$M$142,6,FALSE),
IF($A157&lt;SDR26G!$A$61,VLOOKUP($A157,SDR26G!$A$8:$N$60,6,FALSE),
IF($A157&lt;Cements!$A$100,VLOOKUP($A157,Cements!$A$8:$Q$99,6,FALSE),
IF($A157&lt;ValveBox!$A$143,VLOOKUP($A157,ValveBox!$A$10:$O$142,6,FALSE),
IF($A157&lt;'ValveBox Components'!$A$165,VLOOKUP($A157,'ValveBox Components'!$A$10:$O$164,6,FALSE),
IF($A157&lt;Drainage!$A$92,VLOOKUP($A157,Drainage!$A$8:$M$91,6,FALSE),
IF($A157&lt;Nipples!$A$82,VLOOKUP($A157,Nipples!$A$9:$Q$81,6,FALSE),
IF($A157&lt;Manifold!$A$33,VLOOKUP($A157,Manifold!$A$9:$M$32,6,FALSE),
IF($A157&lt;FlexibleRepairCouplings!$A$13,VLOOKUP($A157,FlexibleRepairCouplings!$A$10:$M$12,6,FALSE),
IF($A157&lt;DuraFix!$A$15,VLOOKUP($A157,DuraFix!$A$9:$M$14,6,FALSE),
IF($A157&lt;'Compression Fittings'!$A$16,VLOOKUP($A157,'Compression Fittings'!$A$8:$M$15,6,FALSE),
IF($A157&lt;'Hose Fittings'!$A$30,VLOOKUP($A157,'Hose Fittings'!$A$8:$M$29,6,FALSE),
IF($A157&lt;'Swing Joints'!$A$496,VLOOKUP($A157,'Swing Joints'!$A$9:$M$495,6,FALSE),
IF($A157&lt;'Swing Joints Components'!$A$135,VLOOKUP($A157,'Swing Joints Components'!$A$9:$M$134,6,FALSE),
IF($A157&lt;Nonstandard!$A$42,VLOOKUP($A157,Nonstandard!$A$31:$J$41,7,FALSE),"")))))))))))))))))))))))))))),"")</f>
        <v/>
      </c>
      <c r="E157" s="427"/>
      <c r="F157" s="418" t="str">
        <f>IFERROR(IF($A157&lt;'DWV PVC'!$A$285,VLOOKUP($A157,'DWV PVC'!$A$8:$M$284,9,FALSE),
IF($A157&lt;'DWV ABS'!$A$117,VLOOKUP($A157,'DWV ABS'!$A$8:$M$116,9,FALSE),
IF($A157&lt;'PVC SCH40'!$A$376,VLOOKUP($A157,'PVC SCH40'!$A$8:$M$375,9,FALSE),
IF($A157&lt;'PVC SCH40 LD'!$A$22,VLOOKUP($A157,'PVC SCH40 LD'!$A$8:$M$21,9,FALSE),
IF($A157&lt;'Pool &amp; SPA Sweep Elbows'!$A$12,VLOOKUP($A157,'Pool &amp; SPA Sweep Elbows'!$A$8:$M$11,9,FALSE),
IF($A157&lt;'Pool &amp; SPA Pipe Extender'!$A$11,VLOOKUP($A157,'Pool &amp; SPA Pipe Extender'!$A$8:$M$10,9,FALSE),
IF($A157&lt;'PVC SCH80'!$A$250,VLOOKUP($A157,'PVC SCH80'!$A$8:$M$249,9,FALSE),
IF($A157&lt;'PVC SCH80 Flange'!$A$49,VLOOKUP($A157,'PVC SCH80 Flange'!$A$8:$M$48,9,FALSE),
IF($A157&lt;'PVC SCH80 LD Flange'!$A$17,VLOOKUP($A157,'PVC SCH80 LD Flange'!$A$8:$M$16,9,FALSE),
IF($A157&lt;CPVC!$A$100,VLOOKUP($A157,CPVC!$A$8:$M$99,9,FALSE),
IF($A157&lt;InsertFittings!$A$237,VLOOKUP($A157,InsertFittings!$A$11:$M$236,9,FALSE),
IF($A157&lt;Valves!$A$132,VLOOKUP($A157,Valves!$A$8:$M$131,9,FALSE),
IF($A157&lt;SDR35SW!$A$124,VLOOKUP($A157,SDR35SW!$A$8:$M$123,9,FALSE),
IF($A157&lt;SDR35G!$A$143,VLOOKUP($A157, SDR35G!$A$8:$M$142,9,FALSE),
IF($A157&lt;SDR26G!$A$61,VLOOKUP($A157,SDR26G!$A$8:$N$60,10,FALSE),
IF($A157&lt;Cements!$A$100,VLOOKUP($A157,Cements!$A$8:$Q$99,13,FALSE),
IF($A157&lt;ValveBox!$A$143,VLOOKUP($A157,ValveBox!$A$10:$O$142,11,FALSE),
IF($A157&lt;'ValveBox Components'!$A$165,VLOOKUP($A157,'ValveBox Components'!$A$10:$O$164,11,FALSE),
IF($A157&lt;Drainage!$A$92,VLOOKUP($A157,Drainage!$A$8:$M$91,9,FALSE),
IF($A157&lt;Nipples!$A$82,VLOOKUP($A157,Nipples!$A$9:$Q$81,13,FALSE),
IF($A157&lt;Manifold!$A$33,VLOOKUP($A157,Manifold!$A$9:$M$32,9,FALSE),
IF($A157&lt;FlexibleRepairCouplings!$A$13,VLOOKUP($A157,FlexibleRepairCouplings!$A$10:$M$12,9,FALSE),
IF($A157&lt;DuraFix!$A$15,VLOOKUP($A157,DuraFix!$A$9:$M$14,9,FALSE),
IF($A157&lt;'Compression Fittings'!$A$16,VLOOKUP($A157,'Compression Fittings'!$A$8:$M$15,9,FALSE),
IF($A157&lt;'Hose Fittings'!$A$30,VLOOKUP($A157,'Hose Fittings'!$A$8:$M$29,9,FALSE),
IF($A157&lt;'Swing Joints'!$A$496,VLOOKUP($A157,'Swing Joints'!$A$9:$M$495,9,FALSE),
IF($A157&lt;'Swing Joints Components'!$A$135,VLOOKUP($A157,'Swing Joints Components'!$A$9:$M$134,9,FALSE),
IF($A157&lt;Nonstandard!$A$42,VLOOKUP($A157,Nonstandard!$A$31:$J$41,8,FALSE),"")))))))))))))))))))))))))))),"")</f>
        <v/>
      </c>
      <c r="G157" s="416" t="str">
        <f>IFERROR(IF($A157&lt;'DWV PVC'!$A$285,VLOOKUP($A157,'DWV PVC'!$A$8:$M$284,11,FALSE),
IF($A157&lt;'DWV ABS'!$A$117,VLOOKUP($A157,'DWV ABS'!$A$8:$M$116,11,FALSE),
IF($A157&lt;'PVC SCH40'!$A$376,VLOOKUP($A157,'PVC SCH40'!$A$8:$M$375,11,FALSE),
IF($A157&lt;'PVC SCH40 LD'!$A$22,VLOOKUP($A157,'PVC SCH40 LD'!$A$8:$M$21,11,FALSE),
IF($A157&lt;'Pool &amp; SPA Sweep Elbows'!$A$12,VLOOKUP($A157,'Pool &amp; SPA Sweep Elbows'!$A$8:$M$11,11,FALSE),
IF($A157&lt;'Pool &amp; SPA Pipe Extender'!$A$11,VLOOKUP($A157,'Pool &amp; SPA Pipe Extender'!$A$8:$M$10,11,FALSE),
IF($A157&lt;'PVC SCH80'!$A$250,VLOOKUP($A157,'PVC SCH80'!$A$8:$M$249,11,FALSE),
IF($A157&lt;'PVC SCH80 Flange'!$A$49,VLOOKUP($A157,'PVC SCH80 Flange'!$A$8:$M$48,11,FALSE),
IF($A157&lt;'PVC SCH80 LD Flange'!$A$17,VLOOKUP($A157,'PVC SCH80 LD Flange'!$A$8:$M$16,11,FALSE),
IF($A157&lt;CPVC!$A$100,VLOOKUP($A157,CPVC!$A$8:$M$99,11,FALSE),
IF($A157&lt;InsertFittings!$A$237,VLOOKUP($A157,InsertFittings!$A$11:$M$236,11,FALSE),
IF($A157&lt;Valves!$A$132,VLOOKUP($A157,Valves!$A$8:$M$131,11,FALSE),
IF($A157&lt;SDR35SW!$A$124,VLOOKUP($A157,SDR35SW!$A$8:$M$123,11,FALSE),
IF($A157&lt;SDR35G!$A$143,VLOOKUP($A157, SDR35G!$A$8:$M$142,11,FALSE),
IF($A157&lt;SDR26G!$A$61,VLOOKUP($A157,SDR26G!$A$8:$N$60,12,FALSE),
IF($A157&lt;Cements!$A$100,VLOOKUP($A157,Cements!$A$8:$Q$99,15,FALSE),
IF($A157&lt;ValveBox!$A$143,VLOOKUP($A157,ValveBox!$A$10:$O$142,13,FALSE),
IF($A157&lt;'ValveBox Components'!$A$165,VLOOKUP($A157,'ValveBox Components'!$A$10:$O$164,13,FALSE),
IF($A157&lt;Drainage!$A$92,VLOOKUP($A157,Drainage!$A$8:$M$91,11,FALSE),
IF($A157&lt;Nipples!$A$82,VLOOKUP($A157,Nipples!$A$9:$Q$81,15,FALSE),
IF($A157&lt;Manifold!$A$33,VLOOKUP($A157,Manifold!$A$9:$M$32,11,FALSE),
IF($A157&lt;FlexibleRepairCouplings!$A$13,VLOOKUP($A157,FlexibleRepairCouplings!$A$10:$M$12,11,FALSE),
IF($A157&lt;DuraFix!$A$15,VLOOKUP($A157,DuraFix!$A$9:$M$14,11,FALSE),
IF($A157&lt;'Compression Fittings'!$A$16,VLOOKUP($A157,'Compression Fittings'!$A$8:$M$15,11,FALSE),
IF($A157&lt;'Hose Fittings'!$A$30,VLOOKUP($A157,'Hose Fittings'!$A$8:$M$29,11,FALSE),
IF($A157&lt;'Swing Joints'!$A$496,VLOOKUP($A157,'Swing Joints'!$A$9:$M$495,11,FALSE),
IF($A157&lt;'Swing Joints Components'!$A$135,VLOOKUP($A157,'Swing Joints Components'!$A$9:$M$134,11,FALSE),
IF($A157&lt;Nonstandard!$A$42,VLOOKUP($A157,Nonstandard!$A$31:$J$41,3,FALSE),"")))))))))))))))))))))))))))),"")</f>
        <v/>
      </c>
      <c r="H157" s="586" t="str">
        <f>IFERROR(IF($A157&lt;'DWV PVC'!$A$285,VLOOKUP($A157,'DWV PVC'!$A$8:$M$284,7,FALSE),
IF($A157&lt;'DWV ABS'!$A$117,VLOOKUP($A157,'DWV ABS'!$A$8:$M$116,7,FALSE),
IF($A157&lt;'PVC SCH40'!$A$376,VLOOKUP($A157,'PVC SCH40'!$A$8:$M$375,7,FALSE),
IF($A157&lt;'PVC SCH40 LD'!$A$22,VLOOKUP($A157,'PVC SCH40 LD'!$A$8:$M$21,7,FALSE),
IF($A157&lt;'Pool &amp; SPA Sweep Elbows'!$A$12,VLOOKUP($A157,'Pool &amp; SPA Sweep Elbows'!$A$8:$M$11,7,FALSE),
IF($A157&lt;'Pool &amp; SPA Pipe Extender'!$A$11,VLOOKUP($A157,'Pool &amp; SPA Pipe Extender'!$A$8:$M$10,7,FALSE),
IF($A157&lt;'PVC SCH80'!$A$250,VLOOKUP($A157,'PVC SCH80'!$A$8:$M$249,7,FALSE),
IF($A157&lt;'PVC SCH80 Flange'!$A$49,VLOOKUP($A157,'PVC SCH80 Flange'!$A$8:$M$48,7,FALSE),
IF($A157&lt;'PVC SCH80 LD Flange'!$A$17,VLOOKUP($A157,'PVC SCH80 LD Flange'!$A$8:$M$16,7,FALSE),
IF($A157&lt;CPVC!$A$100,VLOOKUP($A157,CPVC!$A$8:$M$99,7,FALSE),
IF($A157&lt;InsertFittings!$A$237,VLOOKUP($A157,InsertFittings!$A$11:$M$236,7,FALSE),
IF($A157&lt;Valves!$A$132,VLOOKUP($A157,Valves!$A$8:$M$131,7,FALSE),
IF($A157&lt;SDR35SW!$A$124,VLOOKUP($A157,SDR35SW!$A$8:$M$123,7,FALSE),
IF($A157&lt;SDR35G!$A$143,VLOOKUP($A157, SDR35G!$A$8:$M$142,7,FALSE),
IF($A157&lt;SDR26G!$A$61,VLOOKUP($A157,SDR26G!$A$8:$N$60,10,FALSE),
IF($A157&lt;Cements!$A$100,VLOOKUP($A157,Cements!$A$8:$Q$99,13,FALSE),
IF($A157&lt;ValveBox!$A$143,VLOOKUP($A157,ValveBox!$A$10:$O$142,11,FALSE),
IF($A157&lt;'ValveBox Components'!$A$165,VLOOKUP($A157,'ValveBox Components'!$A$10:$O$164,11,FALSE),
IF($A157&lt;Drainage!$A$92,VLOOKUP($A157,Drainage!$A$8:$M$91,7,FALSE),
IF($A157&lt;Nipples!$A$82,VLOOKUP($A157,Nipples!$A$9:$Q$81,13,FALSE),
IF($A157&lt;Manifold!$A$33,VLOOKUP($A157,Manifold!$A$9:$M$32,7,FALSE),
IF($A157&lt;FlexibleRepairCouplings!$A$13,VLOOKUP($A157,FlexibleRepairCouplings!$A$10:$M$12,7,FALSE),
IF($A157&lt;DuraFix!$A$15,VLOOKUP($A157,DuraFix!$A$9:$M$14,7,FALSE),
IF($A157&lt;'Compression Fittings'!$A$16,VLOOKUP($A157,'Compression Fittings'!$A$8:$M$15,7,FALSE),
IF($A157&lt;'Hose Fittings'!$A$30,VLOOKUP($A157,'Hose Fittings'!$A$8:$M$29,7,FALSE),
IF($A157&lt;'Swing Joints'!$A$496,VLOOKUP($A157,'Swing Joints'!$A$9:$M$495,7,FALSE),
IF($A157&lt;'Swing Joints Components'!$A$135,VLOOKUP($A157,'Swing Joints Components'!$A$9:$M$134,7,FALSE),
IF($A157&lt;Nonstandard!$A$42,VLOOKUP($A157,Nonstandard!$A$31:$J$41,3,FALSE),"")))))))))))))))))))))))))))),"")</f>
        <v/>
      </c>
      <c r="I157" s="587"/>
      <c r="J157" s="383" t="str">
        <f t="shared" si="3"/>
        <v/>
      </c>
      <c r="K157" s="417" t="str">
        <f>IFERROR(IF($A157&lt;'DWV PVC'!$A$285,VLOOKUP($A157,'DWV PVC'!$A$8:$M$284,10,FALSE),
IF($A157&lt;'DWV ABS'!$A$117,VLOOKUP($A157,'DWV ABS'!$A$8:$M$116,10,FALSE),
IF($A157&lt;'PVC SCH40'!$A$376,VLOOKUP($A157,'PVC SCH40'!$A$8:$M$375,10,FALSE),
IF($A157&lt;'PVC SCH40 LD'!$A$22,VLOOKUP($A157,'PVC SCH40 LD'!$A$8:$M$21,10,FALSE),
IF($A157&lt;'Pool &amp; SPA Sweep Elbows'!$A$12,VLOOKUP($A157,'Pool &amp; SPA Sweep Elbows'!$A$8:$M$11,10,FALSE),
IF($A157&lt;'Pool &amp; SPA Pipe Extender'!$A$11,VLOOKUP($A157,'Pool &amp; SPA Pipe Extender'!$A$8:$M$10,10,FALSE),
IF($A157&lt;'PVC SCH80'!$A$250,VLOOKUP($A157,'PVC SCH80'!$A$8:$M$249,10,FALSE),
IF($A157&lt;'PVC SCH80 Flange'!$A$49,VLOOKUP($A157,'PVC SCH80 Flange'!$A$8:$M$48,10,FALSE),
IF($A157&lt;'PVC SCH80 LD Flange'!$A$17,VLOOKUP($A157,'PVC SCH80 LD Flange'!$A$8:$M$16,10,FALSE),
IF($A157&lt;CPVC!$A$100,VLOOKUP($A157,CPVC!$A$8:$M$99,10,FALSE),
IF($A157&lt;InsertFittings!$A$237,VLOOKUP($A157,InsertFittings!$A$11:$M$236,10,FALSE),
IF($A157&lt;Valves!$A$132,VLOOKUP($A157,Valves!$A$8:$M$131,10,FALSE),
IF($A157&lt;SDR35SW!$A$124,VLOOKUP($A157,SDR35SW!$A$8:$M$123,10,FALSE),
IF($A157&lt;SDR35G!$A$143,VLOOKUP($A157, SDR35G!$A$8:$M$142,10,FALSE),
IF($A157&lt;SDR26G!$A$61,VLOOKUP($A157,SDR26G!$A$8:$N$60,11,FALSE),
IF($A157&lt;Cements!$A$100,VLOOKUP($A157,Cements!$A$8:$Q$99,14,FALSE),
IF($A157&lt;ValveBox!$A$143,VLOOKUP($A157,ValveBox!$A$10:$O$142,12,FALSE),
IF($A157&lt;'ValveBox Components'!$A$165,VLOOKUP($A157,'ValveBox Components'!$A$10:$O$164,12,FALSE),
IF($A157&lt;Drainage!$A$92,VLOOKUP($A157,Drainage!$A$8:$M$91,10,FALSE),
IF($A157&lt;Nipples!$A$82,VLOOKUP($A157,Nipples!$A$9:$Q$81,14,FALSE),
IF($A157&lt;Manifold!$A$33,VLOOKUP($A157,Manifold!$A$9:$M$32,10,FALSE),
IF($A157&lt;FlexibleRepairCouplings!$A$13,VLOOKUP($A157,FlexibleRepairCouplings!$A$10:$M$12,10,FALSE),
IF($A157&lt;DuraFix!$A$15,VLOOKUP($A157,DuraFix!$A$9:$M$14,10,FALSE),
IF($A157&lt;'Compression Fittings'!$A$16,VLOOKUP($A157,'Compression Fittings'!$A$8:$M$15,10,FALSE),
IF($A157&lt;'Hose Fittings'!$A$30,VLOOKUP($A157,'Hose Fittings'!$A$8:$M$29,10,FALSE),
IF($A157&lt;'Swing Joints'!$A$496,VLOOKUP($A157,'Swing Joints'!$A$9:$M$495,10,FALSE),
IF($A157&lt;'Swing Joints Components'!$A$135,VLOOKUP($A157,'Swing Joints Components'!$A$9:$M$134,10,FALSE),
IF($A157&lt;Nonstandard!$A$42,VLOOKUP($A157,Nonstandard!$A$31:$J$41,10,FALSE),"")))))))))))))))))))))))))))),"")</f>
        <v/>
      </c>
      <c r="L157" s="418" t="str">
        <f t="shared" si="4"/>
        <v>-</v>
      </c>
      <c r="M157" s="419"/>
    </row>
    <row r="158" spans="1:13" ht="15.75">
      <c r="A158" s="420">
        <v>126</v>
      </c>
      <c r="B158" s="420" t="str">
        <f>IFERROR(IF($A158&lt;'DWV PVC'!$A$285,VLOOKUP($A158,'DWV PVC'!$A$8:$M$284,4,FALSE),
IF($A158&lt;'DWV ABS'!$A$117,VLOOKUP($A158,'DWV ABS'!$A$8:$M$116,4,FALSE),
IF($A158&lt;'PVC SCH40'!$A$376,VLOOKUP($A158,'PVC SCH40'!$A$8:$M$375,4,FALSE),
IF($A158&lt;'PVC SCH40 LD'!$A$22,VLOOKUP($A158,'PVC SCH40 LD'!$A$8:$M$21,4,FALSE),
IF($A158&lt;'Pool &amp; SPA Sweep Elbows'!$A$12,VLOOKUP($A158,'Pool &amp; SPA Sweep Elbows'!$A$8:$M$11,4,FALSE),
IF($A158&lt;'Pool &amp; SPA Pipe Extender'!$A$11,VLOOKUP($A158,'Pool &amp; SPA Pipe Extender'!$A$8:$M$10,4,FALSE),
IF($A158&lt;'PVC SCH80'!$A$250,VLOOKUP($A158,'PVC SCH80'!$A$8:$M$249,4,FALSE),
IF($A158&lt;'PVC SCH80 Flange'!$A$49,VLOOKUP($A158,'PVC SCH80 Flange'!$A$8:$M$48,4,FALSE),
IF($A158&lt;'PVC SCH80 LD Flange'!$A$17,VLOOKUP($A158,'PVC SCH80 LD Flange'!$A$8:$M$16,4,FALSE),
IF($A158&lt;CPVC!$A$100,VLOOKUP($A158,CPVC!$A$8:$M$99,4,FALSE),
IF($A158&lt;InsertFittings!$A$237,VLOOKUP($A158,InsertFittings!$A$11:$M$236,4,FALSE),
IF($A158&lt;Valves!$A$132,VLOOKUP($A158,Valves!$A$8:$M$131,4,FALSE),
IF($A158&lt;SDR35SW!$A$124,VLOOKUP($A158,SDR35SW!$A$8:$M$123,4,FALSE),
IF($A158&lt;SDR35G!$A$143,VLOOKUP($A158, SDR35G!$A$8:$M$142,4,FALSE),
IF($A158&lt;SDR26G!$A$61,VLOOKUP($A158,SDR26G!$A$8:$N$60,4,FALSE),
IF($A158&lt;Cements!$A$100,VLOOKUP($A158,Cements!$A$8:$Q$99,4,FALSE),
IF($A158&lt;ValveBox!$A$143,VLOOKUP($A158,ValveBox!$A$10:$O$142,4,FALSE),
IF($A158&lt;'ValveBox Components'!$A$165,VLOOKUP($A158,'ValveBox Components'!$A$10:$O$164,4,FALSE),
IF($A158&lt;Drainage!$A$92,VLOOKUP($A158,Drainage!$A$8:$M$91,4,FALSE),
IF($A158&lt;Nipples!$A$82,VLOOKUP($A158,Nipples!$A$9:$Q$81,4,FALSE),
IF($A158&lt;Manifold!$A$33,VLOOKUP($A158,Manifold!$A$9:$M$32,4,FALSE),
IF($A158&lt;FlexibleRepairCouplings!$A$13,VLOOKUP($A158,FlexibleRepairCouplings!$A$10:$M$12,4,FALSE),
IF($A158&lt;DuraFix!$A$15,VLOOKUP($A158,DuraFix!$A$9:$M$14,4,FALSE),
IF($A158&lt;'Compression Fittings'!$A$16,VLOOKUP($A158,'Compression Fittings'!$A$8:$M$15,4,FALSE),
IF($A158&lt;'Hose Fittings'!$A$30,VLOOKUP($A158,'Hose Fittings'!$A$8:$M$29,4,FALSE),
IF($A158&lt;'Swing Joints'!$A$496,VLOOKUP($A158,'Swing Joints'!$A$9:$M$495,4,FALSE),
IF($A158&lt;'Swing Joints Components'!$A$135,VLOOKUP($A158,'Swing Joints Components'!$A$9:$M$134,4,FALSE),
IF($A158&lt;Nonstandard!$A$42,VLOOKUP($A158,Nonstandard!$A$31:$J$41,5,FALSE),"")))))))))))))))))))))))))))),"")</f>
        <v/>
      </c>
      <c r="C158" s="420" t="str">
        <f>IFERROR(IF($A158&lt;'DWV PVC'!$A$285,VLOOKUP($A158,'DWV PVC'!$A$8:$M$284,5,FALSE),
IF($A158&lt;'DWV ABS'!$A$117,VLOOKUP($A158,'DWV ABS'!$A$8:$M$116,5,FALSE),
IF($A158&lt;'PVC SCH40'!$A$376,VLOOKUP($A158,'PVC SCH40'!$A$8:$M$375,5,FALSE),
IF($A158&lt;'PVC SCH40 LD'!$A$22,VLOOKUP($A158,'PVC SCH40 LD'!$A$8:$M$21,5,FALSE),
IF($A158&lt;'Pool &amp; SPA Sweep Elbows'!$A$12,VLOOKUP($A158,'Pool &amp; SPA Sweep Elbows'!$A$8:$M$11,5,FALSE),
IF($A158&lt;'Pool &amp; SPA Pipe Extender'!$A$11,VLOOKUP($A158,'Pool &amp; SPA Pipe Extender'!$A$8:$M$10,5,FALSE),
IF($A158&lt;'PVC SCH80'!$A$250,VLOOKUP($A158,'PVC SCH80'!$A$8:$M$249,5,FALSE),
IF($A158&lt;'PVC SCH80 Flange'!$A$49,VLOOKUP($A158,'PVC SCH80 Flange'!$A$8:$M$48,5,FALSE),
IF($A158&lt;'PVC SCH80 LD Flange'!$A$17,VLOOKUP($A158,'PVC SCH80 LD Flange'!$A$8:$M$16,5,FALSE),
IF($A158&lt;CPVC!$A$100,VLOOKUP($A158,CPVC!$A$8:$M$99,5,FALSE),
IF($A158&lt;InsertFittings!$A$237,VLOOKUP($A158,InsertFittings!$A$11:$M$236,5,FALSE),
IF($A158&lt;Valves!$A$132,VLOOKUP($A158,Valves!$A$8:$M$131,5,FALSE),
IF($A158&lt;SDR35SW!$A$124,VLOOKUP($A158,SDR35SW!$A$8:$M$123,5,FALSE),
IF($A158&lt;SDR35G!$A$143,VLOOKUP($A158, SDR35G!$A$8:$M$142,5,FALSE),
IF($A158&lt;SDR26G!$A$61,VLOOKUP($A158,SDR26G!$A$8:$N$60,5,FALSE),
IF($A158&lt;Cements!$A$100,VLOOKUP($A158,Cements!$A$8:$Q$99,5,FALSE),
IF($A158&lt;ValveBox!$A$143,VLOOKUP($A158,ValveBox!$A$10:$O$142,5,FALSE),
IF($A158&lt;'ValveBox Components'!$A$165,VLOOKUP($A158,'ValveBox Components'!$A$10:$O$164,5,FALSE),
IF($A158&lt;Drainage!$A$92,VLOOKUP($A158,Drainage!$A$8:$M$91,5,FALSE),
IF($A158&lt;Nipples!$A$82,VLOOKUP($A158,Nipples!$A$9:$Q$81,5,FALSE),
IF($A158&lt;Manifold!$A$33,VLOOKUP($A158,Manifold!$A$9:$M$32,5,FALSE),
IF($A158&lt;FlexibleRepairCouplings!$A$13,VLOOKUP($A158,FlexibleRepairCouplings!$A$10:$M$12,5,FALSE),
IF($A158&lt;DuraFix!$A$15,VLOOKUP($A158,DuraFix!$A$9:$M$14,5,FALSE),
IF($A158&lt;'Compression Fittings'!$A$16,VLOOKUP($A158,'Compression Fittings'!$A$8:$M$15,5,FALSE),
IF($A158&lt;'Hose Fittings'!$A$30,VLOOKUP($A158,'Hose Fittings'!$A$8:$M$29,5,FALSE),
IF($A158&lt;'Swing Joints'!$A$496,VLOOKUP($A158,'Swing Joints'!$A$9:$M$495,5,FALSE),
IF($A158&lt;'Swing Joints Components'!$A$135,VLOOKUP($A158,'Swing Joints Components'!$A$9:$M$134,5,FALSE),
IF($A158&lt;Nonstandard!$A$42,VLOOKUP($A158,Nonstandard!$A$31:$J$41,6,FALSE),"")))))))))))))))))))))))))))),"")</f>
        <v/>
      </c>
      <c r="D158" s="428" t="str">
        <f>IFERROR(IF($A158&lt;'DWV PVC'!$A$285,VLOOKUP($A158,'DWV PVC'!$A$8:$M$284,6,FALSE),
IF($A158&lt;'DWV ABS'!$A$117,VLOOKUP($A158,'DWV ABS'!$A$8:$M$116,6,FALSE),
IF($A158&lt;'PVC SCH40'!$A$376,VLOOKUP($A158,'PVC SCH40'!$A$8:$M$375,6,FALSE),
IF($A158&lt;'PVC SCH40 LD'!$A$22,VLOOKUP($A158,'PVC SCH40 LD'!$A$8:$M$21,6,FALSE),
IF($A158&lt;'Pool &amp; SPA Sweep Elbows'!$A$12,VLOOKUP($A158,'Pool &amp; SPA Sweep Elbows'!$A$8:$M$11,6,FALSE),
IF($A158&lt;'Pool &amp; SPA Pipe Extender'!$A$11,VLOOKUP($A158,'Pool &amp; SPA Pipe Extender'!$A$8:$M$10,6,FALSE),
IF($A158&lt;'PVC SCH80'!$A$250,VLOOKUP($A158,'PVC SCH80'!$A$8:$M$249,6,FALSE),
IF($A158&lt;'PVC SCH80 Flange'!$A$49,VLOOKUP($A158,'PVC SCH80 Flange'!$A$8:$M$48,6,FALSE),
IF($A158&lt;'PVC SCH80 LD Flange'!$A$17,VLOOKUP($A158,'PVC SCH80 LD Flange'!$A$8:$M$16,6,FALSE),
IF($A158&lt;CPVC!$A$100,VLOOKUP($A158,CPVC!$A$8:$M$99,6,FALSE),
IF($A158&lt;InsertFittings!$A$237,VLOOKUP($A158,InsertFittings!$A$11:$M$236,6,FALSE),
IF($A158&lt;Valves!$A$132,VLOOKUP($A158,Valves!$A$8:$M$131,6,FALSE),
IF($A158&lt;SDR35SW!$A$124,VLOOKUP($A158,SDR35SW!$A$8:$M$123,6,FALSE),
IF($A158&lt;SDR35G!$A$143,VLOOKUP($A158, SDR35G!$A$8:$M$142,6,FALSE),
IF($A158&lt;SDR26G!$A$61,VLOOKUP($A158,SDR26G!$A$8:$N$60,6,FALSE),
IF($A158&lt;Cements!$A$100,VLOOKUP($A158,Cements!$A$8:$Q$99,6,FALSE),
IF($A158&lt;ValveBox!$A$143,VLOOKUP($A158,ValveBox!$A$10:$O$142,6,FALSE),
IF($A158&lt;'ValveBox Components'!$A$165,VLOOKUP($A158,'ValveBox Components'!$A$10:$O$164,6,FALSE),
IF($A158&lt;Drainage!$A$92,VLOOKUP($A158,Drainage!$A$8:$M$91,6,FALSE),
IF($A158&lt;Nipples!$A$82,VLOOKUP($A158,Nipples!$A$9:$Q$81,6,FALSE),
IF($A158&lt;Manifold!$A$33,VLOOKUP($A158,Manifold!$A$9:$M$32,6,FALSE),
IF($A158&lt;FlexibleRepairCouplings!$A$13,VLOOKUP($A158,FlexibleRepairCouplings!$A$10:$M$12,6,FALSE),
IF($A158&lt;DuraFix!$A$15,VLOOKUP($A158,DuraFix!$A$9:$M$14,6,FALSE),
IF($A158&lt;'Compression Fittings'!$A$16,VLOOKUP($A158,'Compression Fittings'!$A$8:$M$15,6,FALSE),
IF($A158&lt;'Hose Fittings'!$A$30,VLOOKUP($A158,'Hose Fittings'!$A$8:$M$29,6,FALSE),
IF($A158&lt;'Swing Joints'!$A$496,VLOOKUP($A158,'Swing Joints'!$A$9:$M$495,6,FALSE),
IF($A158&lt;'Swing Joints Components'!$A$135,VLOOKUP($A158,'Swing Joints Components'!$A$9:$M$134,6,FALSE),
IF($A158&lt;Nonstandard!$A$42,VLOOKUP($A158,Nonstandard!$A$31:$J$41,7,FALSE),"")))))))))))))))))))))))))))),"")</f>
        <v/>
      </c>
      <c r="E158" s="429"/>
      <c r="F158" s="421" t="str">
        <f>IFERROR(IF($A158&lt;'DWV PVC'!$A$285,VLOOKUP($A158,'DWV PVC'!$A$8:$M$284,9,FALSE),
IF($A158&lt;'DWV ABS'!$A$117,VLOOKUP($A158,'DWV ABS'!$A$8:$M$116,9,FALSE),
IF($A158&lt;'PVC SCH40'!$A$376,VLOOKUP($A158,'PVC SCH40'!$A$8:$M$375,9,FALSE),
IF($A158&lt;'PVC SCH40 LD'!$A$22,VLOOKUP($A158,'PVC SCH40 LD'!$A$8:$M$21,9,FALSE),
IF($A158&lt;'Pool &amp; SPA Sweep Elbows'!$A$12,VLOOKUP($A158,'Pool &amp; SPA Sweep Elbows'!$A$8:$M$11,9,FALSE),
IF($A158&lt;'Pool &amp; SPA Pipe Extender'!$A$11,VLOOKUP($A158,'Pool &amp; SPA Pipe Extender'!$A$8:$M$10,9,FALSE),
IF($A158&lt;'PVC SCH80'!$A$250,VLOOKUP($A158,'PVC SCH80'!$A$8:$M$249,9,FALSE),
IF($A158&lt;'PVC SCH80 Flange'!$A$49,VLOOKUP($A158,'PVC SCH80 Flange'!$A$8:$M$48,9,FALSE),
IF($A158&lt;'PVC SCH80 LD Flange'!$A$17,VLOOKUP($A158,'PVC SCH80 LD Flange'!$A$8:$M$16,9,FALSE),
IF($A158&lt;CPVC!$A$100,VLOOKUP($A158,CPVC!$A$8:$M$99,9,FALSE),
IF($A158&lt;InsertFittings!$A$237,VLOOKUP($A158,InsertFittings!$A$11:$M$236,9,FALSE),
IF($A158&lt;Valves!$A$132,VLOOKUP($A158,Valves!$A$8:$M$131,9,FALSE),
IF($A158&lt;SDR35SW!$A$124,VLOOKUP($A158,SDR35SW!$A$8:$M$123,9,FALSE),
IF($A158&lt;SDR35G!$A$143,VLOOKUP($A158, SDR35G!$A$8:$M$142,9,FALSE),
IF($A158&lt;SDR26G!$A$61,VLOOKUP($A158,SDR26G!$A$8:$N$60,10,FALSE),
IF($A158&lt;Cements!$A$100,VLOOKUP($A158,Cements!$A$8:$Q$99,13,FALSE),
IF($A158&lt;ValveBox!$A$143,VLOOKUP($A158,ValveBox!$A$10:$O$142,11,FALSE),
IF($A158&lt;'ValveBox Components'!$A$165,VLOOKUP($A158,'ValveBox Components'!$A$10:$O$164,11,FALSE),
IF($A158&lt;Drainage!$A$92,VLOOKUP($A158,Drainage!$A$8:$M$91,9,FALSE),
IF($A158&lt;Nipples!$A$82,VLOOKUP($A158,Nipples!$A$9:$Q$81,13,FALSE),
IF($A158&lt;Manifold!$A$33,VLOOKUP($A158,Manifold!$A$9:$M$32,9,FALSE),
IF($A158&lt;FlexibleRepairCouplings!$A$13,VLOOKUP($A158,FlexibleRepairCouplings!$A$10:$M$12,9,FALSE),
IF($A158&lt;DuraFix!$A$15,VLOOKUP($A158,DuraFix!$A$9:$M$14,9,FALSE),
IF($A158&lt;'Compression Fittings'!$A$16,VLOOKUP($A158,'Compression Fittings'!$A$8:$M$15,9,FALSE),
IF($A158&lt;'Hose Fittings'!$A$30,VLOOKUP($A158,'Hose Fittings'!$A$8:$M$29,9,FALSE),
IF($A158&lt;'Swing Joints'!$A$496,VLOOKUP($A158,'Swing Joints'!$A$9:$M$495,9,FALSE),
IF($A158&lt;'Swing Joints Components'!$A$135,VLOOKUP($A158,'Swing Joints Components'!$A$9:$M$134,9,FALSE),
IF($A158&lt;Nonstandard!$A$42,VLOOKUP($A158,Nonstandard!$A$31:$J$41,8,FALSE),"")))))))))))))))))))))))))))),"")</f>
        <v/>
      </c>
      <c r="G158" s="422" t="str">
        <f>IFERROR(IF($A158&lt;'DWV PVC'!$A$285,VLOOKUP($A158,'DWV PVC'!$A$8:$M$284,11,FALSE),
IF($A158&lt;'DWV ABS'!$A$117,VLOOKUP($A158,'DWV ABS'!$A$8:$M$116,11,FALSE),
IF($A158&lt;'PVC SCH40'!$A$376,VLOOKUP($A158,'PVC SCH40'!$A$8:$M$375,11,FALSE),
IF($A158&lt;'PVC SCH40 LD'!$A$22,VLOOKUP($A158,'PVC SCH40 LD'!$A$8:$M$21,11,FALSE),
IF($A158&lt;'Pool &amp; SPA Sweep Elbows'!$A$12,VLOOKUP($A158,'Pool &amp; SPA Sweep Elbows'!$A$8:$M$11,11,FALSE),
IF($A158&lt;'Pool &amp; SPA Pipe Extender'!$A$11,VLOOKUP($A158,'Pool &amp; SPA Pipe Extender'!$A$8:$M$10,11,FALSE),
IF($A158&lt;'PVC SCH80'!$A$250,VLOOKUP($A158,'PVC SCH80'!$A$8:$M$249,11,FALSE),
IF($A158&lt;'PVC SCH80 Flange'!$A$49,VLOOKUP($A158,'PVC SCH80 Flange'!$A$8:$M$48,11,FALSE),
IF($A158&lt;'PVC SCH80 LD Flange'!$A$17,VLOOKUP($A158,'PVC SCH80 LD Flange'!$A$8:$M$16,11,FALSE),
IF($A158&lt;CPVC!$A$100,VLOOKUP($A158,CPVC!$A$8:$M$99,11,FALSE),
IF($A158&lt;InsertFittings!$A$237,VLOOKUP($A158,InsertFittings!$A$11:$M$236,11,FALSE),
IF($A158&lt;Valves!$A$132,VLOOKUP($A158,Valves!$A$8:$M$131,11,FALSE),
IF($A158&lt;SDR35SW!$A$124,VLOOKUP($A158,SDR35SW!$A$8:$M$123,11,FALSE),
IF($A158&lt;SDR35G!$A$143,VLOOKUP($A158, SDR35G!$A$8:$M$142,11,FALSE),
IF($A158&lt;SDR26G!$A$61,VLOOKUP($A158,SDR26G!$A$8:$N$60,12,FALSE),
IF($A158&lt;Cements!$A$100,VLOOKUP($A158,Cements!$A$8:$Q$99,15,FALSE),
IF($A158&lt;ValveBox!$A$143,VLOOKUP($A158,ValveBox!$A$10:$O$142,13,FALSE),
IF($A158&lt;'ValveBox Components'!$A$165,VLOOKUP($A158,'ValveBox Components'!$A$10:$O$164,13,FALSE),
IF($A158&lt;Drainage!$A$92,VLOOKUP($A158,Drainage!$A$8:$M$91,11,FALSE),
IF($A158&lt;Nipples!$A$82,VLOOKUP($A158,Nipples!$A$9:$Q$81,15,FALSE),
IF($A158&lt;Manifold!$A$33,VLOOKUP($A158,Manifold!$A$9:$M$32,11,FALSE),
IF($A158&lt;FlexibleRepairCouplings!$A$13,VLOOKUP($A158,FlexibleRepairCouplings!$A$10:$M$12,11,FALSE),
IF($A158&lt;DuraFix!$A$15,VLOOKUP($A158,DuraFix!$A$9:$M$14,11,FALSE),
IF($A158&lt;'Compression Fittings'!$A$16,VLOOKUP($A158,'Compression Fittings'!$A$8:$M$15,11,FALSE),
IF($A158&lt;'Hose Fittings'!$A$30,VLOOKUP($A158,'Hose Fittings'!$A$8:$M$29,11,FALSE),
IF($A158&lt;'Swing Joints'!$A$496,VLOOKUP($A158,'Swing Joints'!$A$9:$M$495,11,FALSE),
IF($A158&lt;'Swing Joints Components'!$A$135,VLOOKUP($A158,'Swing Joints Components'!$A$9:$M$134,11,FALSE),
IF($A158&lt;Nonstandard!$A$42,VLOOKUP($A158,Nonstandard!$A$31:$J$41,3,FALSE),"")))))))))))))))))))))))))))),"")</f>
        <v/>
      </c>
      <c r="H158" s="588" t="str">
        <f>IFERROR(IF($A158&lt;'DWV PVC'!$A$285,VLOOKUP($A158,'DWV PVC'!$A$8:$M$284,7,FALSE),
IF($A158&lt;'DWV ABS'!$A$117,VLOOKUP($A158,'DWV ABS'!$A$8:$M$116,7,FALSE),
IF($A158&lt;'PVC SCH40'!$A$376,VLOOKUP($A158,'PVC SCH40'!$A$8:$M$375,7,FALSE),
IF($A158&lt;'PVC SCH40 LD'!$A$22,VLOOKUP($A158,'PVC SCH40 LD'!$A$8:$M$21,7,FALSE),
IF($A158&lt;'Pool &amp; SPA Sweep Elbows'!$A$12,VLOOKUP($A158,'Pool &amp; SPA Sweep Elbows'!$A$8:$M$11,7,FALSE),
IF($A158&lt;'Pool &amp; SPA Pipe Extender'!$A$11,VLOOKUP($A158,'Pool &amp; SPA Pipe Extender'!$A$8:$M$10,7,FALSE),
IF($A158&lt;'PVC SCH80'!$A$250,VLOOKUP($A158,'PVC SCH80'!$A$8:$M$249,7,FALSE),
IF($A158&lt;'PVC SCH80 Flange'!$A$49,VLOOKUP($A158,'PVC SCH80 Flange'!$A$8:$M$48,7,FALSE),
IF($A158&lt;'PVC SCH80 LD Flange'!$A$17,VLOOKUP($A158,'PVC SCH80 LD Flange'!$A$8:$M$16,7,FALSE),
IF($A158&lt;CPVC!$A$100,VLOOKUP($A158,CPVC!$A$8:$M$99,7,FALSE),
IF($A158&lt;InsertFittings!$A$237,VLOOKUP($A158,InsertFittings!$A$11:$M$236,7,FALSE),
IF($A158&lt;Valves!$A$132,VLOOKUP($A158,Valves!$A$8:$M$131,7,FALSE),
IF($A158&lt;SDR35SW!$A$124,VLOOKUP($A158,SDR35SW!$A$8:$M$123,7,FALSE),
IF($A158&lt;SDR35G!$A$143,VLOOKUP($A158, SDR35G!$A$8:$M$142,7,FALSE),
IF($A158&lt;SDR26G!$A$61,VLOOKUP($A158,SDR26G!$A$8:$N$60,10,FALSE),
IF($A158&lt;Cements!$A$100,VLOOKUP($A158,Cements!$A$8:$Q$99,13,FALSE),
IF($A158&lt;ValveBox!$A$143,VLOOKUP($A158,ValveBox!$A$10:$O$142,11,FALSE),
IF($A158&lt;'ValveBox Components'!$A$165,VLOOKUP($A158,'ValveBox Components'!$A$10:$O$164,11,FALSE),
IF($A158&lt;Drainage!$A$92,VLOOKUP($A158,Drainage!$A$8:$M$91,7,FALSE),
IF($A158&lt;Nipples!$A$82,VLOOKUP($A158,Nipples!$A$9:$Q$81,13,FALSE),
IF($A158&lt;Manifold!$A$33,VLOOKUP($A158,Manifold!$A$9:$M$32,7,FALSE),
IF($A158&lt;FlexibleRepairCouplings!$A$13,VLOOKUP($A158,FlexibleRepairCouplings!$A$10:$M$12,7,FALSE),
IF($A158&lt;DuraFix!$A$15,VLOOKUP($A158,DuraFix!$A$9:$M$14,7,FALSE),
IF($A158&lt;'Compression Fittings'!$A$16,VLOOKUP($A158,'Compression Fittings'!$A$8:$M$15,7,FALSE),
IF($A158&lt;'Hose Fittings'!$A$30,VLOOKUP($A158,'Hose Fittings'!$A$8:$M$29,7,FALSE),
IF($A158&lt;'Swing Joints'!$A$496,VLOOKUP($A158,'Swing Joints'!$A$9:$M$495,7,FALSE),
IF($A158&lt;'Swing Joints Components'!$A$135,VLOOKUP($A158,'Swing Joints Components'!$A$9:$M$134,7,FALSE),
IF($A158&lt;Nonstandard!$A$42,VLOOKUP($A158,Nonstandard!$A$31:$J$41,3,FALSE),"")))))))))))))))))))))))))))),"")</f>
        <v/>
      </c>
      <c r="I158" s="589"/>
      <c r="J158" s="423" t="str">
        <f t="shared" si="3"/>
        <v/>
      </c>
      <c r="K158" s="424" t="str">
        <f>IFERROR(IF($A158&lt;'DWV PVC'!$A$285,VLOOKUP($A158,'DWV PVC'!$A$8:$M$284,10,FALSE),
IF($A158&lt;'DWV ABS'!$A$117,VLOOKUP($A158,'DWV ABS'!$A$8:$M$116,10,FALSE),
IF($A158&lt;'PVC SCH40'!$A$376,VLOOKUP($A158,'PVC SCH40'!$A$8:$M$375,10,FALSE),
IF($A158&lt;'PVC SCH40 LD'!$A$22,VLOOKUP($A158,'PVC SCH40 LD'!$A$8:$M$21,10,FALSE),
IF($A158&lt;'Pool &amp; SPA Sweep Elbows'!$A$12,VLOOKUP($A158,'Pool &amp; SPA Sweep Elbows'!$A$8:$M$11,10,FALSE),
IF($A158&lt;'Pool &amp; SPA Pipe Extender'!$A$11,VLOOKUP($A158,'Pool &amp; SPA Pipe Extender'!$A$8:$M$10,10,FALSE),
IF($A158&lt;'PVC SCH80'!$A$250,VLOOKUP($A158,'PVC SCH80'!$A$8:$M$249,10,FALSE),
IF($A158&lt;'PVC SCH80 Flange'!$A$49,VLOOKUP($A158,'PVC SCH80 Flange'!$A$8:$M$48,10,FALSE),
IF($A158&lt;'PVC SCH80 LD Flange'!$A$17,VLOOKUP($A158,'PVC SCH80 LD Flange'!$A$8:$M$16,10,FALSE),
IF($A158&lt;CPVC!$A$100,VLOOKUP($A158,CPVC!$A$8:$M$99,10,FALSE),
IF($A158&lt;InsertFittings!$A$237,VLOOKUP($A158,InsertFittings!$A$11:$M$236,10,FALSE),
IF($A158&lt;Valves!$A$132,VLOOKUP($A158,Valves!$A$8:$M$131,10,FALSE),
IF($A158&lt;SDR35SW!$A$124,VLOOKUP($A158,SDR35SW!$A$8:$M$123,10,FALSE),
IF($A158&lt;SDR35G!$A$143,VLOOKUP($A158, SDR35G!$A$8:$M$142,10,FALSE),
IF($A158&lt;SDR26G!$A$61,VLOOKUP($A158,SDR26G!$A$8:$N$60,11,FALSE),
IF($A158&lt;Cements!$A$100,VLOOKUP($A158,Cements!$A$8:$Q$99,14,FALSE),
IF($A158&lt;ValveBox!$A$143,VLOOKUP($A158,ValveBox!$A$10:$O$142,12,FALSE),
IF($A158&lt;'ValveBox Components'!$A$165,VLOOKUP($A158,'ValveBox Components'!$A$10:$O$164,12,FALSE),
IF($A158&lt;Drainage!$A$92,VLOOKUP($A158,Drainage!$A$8:$M$91,10,FALSE),
IF($A158&lt;Nipples!$A$82,VLOOKUP($A158,Nipples!$A$9:$Q$81,14,FALSE),
IF($A158&lt;Manifold!$A$33,VLOOKUP($A158,Manifold!$A$9:$M$32,10,FALSE),
IF($A158&lt;FlexibleRepairCouplings!$A$13,VLOOKUP($A158,FlexibleRepairCouplings!$A$10:$M$12,10,FALSE),
IF($A158&lt;DuraFix!$A$15,VLOOKUP($A158,DuraFix!$A$9:$M$14,10,FALSE),
IF($A158&lt;'Compression Fittings'!$A$16,VLOOKUP($A158,'Compression Fittings'!$A$8:$M$15,10,FALSE),
IF($A158&lt;'Hose Fittings'!$A$30,VLOOKUP($A158,'Hose Fittings'!$A$8:$M$29,10,FALSE),
IF($A158&lt;'Swing Joints'!$A$496,VLOOKUP($A158,'Swing Joints'!$A$9:$M$495,10,FALSE),
IF($A158&lt;'Swing Joints Components'!$A$135,VLOOKUP($A158,'Swing Joints Components'!$A$9:$M$134,10,FALSE),
IF($A158&lt;Nonstandard!$A$42,VLOOKUP($A158,Nonstandard!$A$31:$J$41,10,FALSE),"")))))))))))))))))))))))))))),"")</f>
        <v/>
      </c>
      <c r="L158" s="421" t="str">
        <f t="shared" si="4"/>
        <v>-</v>
      </c>
      <c r="M158" s="425"/>
    </row>
    <row r="159" spans="1:13" ht="15.75">
      <c r="A159" s="415">
        <v>127</v>
      </c>
      <c r="B159" s="415" t="str">
        <f>IFERROR(IF($A159&lt;'DWV PVC'!$A$285,VLOOKUP($A159,'DWV PVC'!$A$8:$M$284,4,FALSE),
IF($A159&lt;'DWV ABS'!$A$117,VLOOKUP($A159,'DWV ABS'!$A$8:$M$116,4,FALSE),
IF($A159&lt;'PVC SCH40'!$A$376,VLOOKUP($A159,'PVC SCH40'!$A$8:$M$375,4,FALSE),
IF($A159&lt;'PVC SCH40 LD'!$A$22,VLOOKUP($A159,'PVC SCH40 LD'!$A$8:$M$21,4,FALSE),
IF($A159&lt;'Pool &amp; SPA Sweep Elbows'!$A$12,VLOOKUP($A159,'Pool &amp; SPA Sweep Elbows'!$A$8:$M$11,4,FALSE),
IF($A159&lt;'Pool &amp; SPA Pipe Extender'!$A$11,VLOOKUP($A159,'Pool &amp; SPA Pipe Extender'!$A$8:$M$10,4,FALSE),
IF($A159&lt;'PVC SCH80'!$A$250,VLOOKUP($A159,'PVC SCH80'!$A$8:$M$249,4,FALSE),
IF($A159&lt;'PVC SCH80 Flange'!$A$49,VLOOKUP($A159,'PVC SCH80 Flange'!$A$8:$M$48,4,FALSE),
IF($A159&lt;'PVC SCH80 LD Flange'!$A$17,VLOOKUP($A159,'PVC SCH80 LD Flange'!$A$8:$M$16,4,FALSE),
IF($A159&lt;CPVC!$A$100,VLOOKUP($A159,CPVC!$A$8:$M$99,4,FALSE),
IF($A159&lt;InsertFittings!$A$237,VLOOKUP($A159,InsertFittings!$A$11:$M$236,4,FALSE),
IF($A159&lt;Valves!$A$132,VLOOKUP($A159,Valves!$A$8:$M$131,4,FALSE),
IF($A159&lt;SDR35SW!$A$124,VLOOKUP($A159,SDR35SW!$A$8:$M$123,4,FALSE),
IF($A159&lt;SDR35G!$A$143,VLOOKUP($A159, SDR35G!$A$8:$M$142,4,FALSE),
IF($A159&lt;SDR26G!$A$61,VLOOKUP($A159,SDR26G!$A$8:$N$60,4,FALSE),
IF($A159&lt;Cements!$A$100,VLOOKUP($A159,Cements!$A$8:$Q$99,4,FALSE),
IF($A159&lt;ValveBox!$A$143,VLOOKUP($A159,ValveBox!$A$10:$O$142,4,FALSE),
IF($A159&lt;'ValveBox Components'!$A$165,VLOOKUP($A159,'ValveBox Components'!$A$10:$O$164,4,FALSE),
IF($A159&lt;Drainage!$A$92,VLOOKUP($A159,Drainage!$A$8:$M$91,4,FALSE),
IF($A159&lt;Nipples!$A$82,VLOOKUP($A159,Nipples!$A$9:$Q$81,4,FALSE),
IF($A159&lt;Manifold!$A$33,VLOOKUP($A159,Manifold!$A$9:$M$32,4,FALSE),
IF($A159&lt;FlexibleRepairCouplings!$A$13,VLOOKUP($A159,FlexibleRepairCouplings!$A$10:$M$12,4,FALSE),
IF($A159&lt;DuraFix!$A$15,VLOOKUP($A159,DuraFix!$A$9:$M$14,4,FALSE),
IF($A159&lt;'Compression Fittings'!$A$16,VLOOKUP($A159,'Compression Fittings'!$A$8:$M$15,4,FALSE),
IF($A159&lt;'Hose Fittings'!$A$30,VLOOKUP($A159,'Hose Fittings'!$A$8:$M$29,4,FALSE),
IF($A159&lt;'Swing Joints'!$A$496,VLOOKUP($A159,'Swing Joints'!$A$9:$M$495,4,FALSE),
IF($A159&lt;'Swing Joints Components'!$A$135,VLOOKUP($A159,'Swing Joints Components'!$A$9:$M$134,4,FALSE),
IF($A159&lt;Nonstandard!$A$42,VLOOKUP($A159,Nonstandard!$A$31:$J$41,5,FALSE),"")))))))))))))))))))))))))))),"")</f>
        <v/>
      </c>
      <c r="C159" s="415" t="str">
        <f>IFERROR(IF($A159&lt;'DWV PVC'!$A$285,VLOOKUP($A159,'DWV PVC'!$A$8:$M$284,5,FALSE),
IF($A159&lt;'DWV ABS'!$A$117,VLOOKUP($A159,'DWV ABS'!$A$8:$M$116,5,FALSE),
IF($A159&lt;'PVC SCH40'!$A$376,VLOOKUP($A159,'PVC SCH40'!$A$8:$M$375,5,FALSE),
IF($A159&lt;'PVC SCH40 LD'!$A$22,VLOOKUP($A159,'PVC SCH40 LD'!$A$8:$M$21,5,FALSE),
IF($A159&lt;'Pool &amp; SPA Sweep Elbows'!$A$12,VLOOKUP($A159,'Pool &amp; SPA Sweep Elbows'!$A$8:$M$11,5,FALSE),
IF($A159&lt;'Pool &amp; SPA Pipe Extender'!$A$11,VLOOKUP($A159,'Pool &amp; SPA Pipe Extender'!$A$8:$M$10,5,FALSE),
IF($A159&lt;'PVC SCH80'!$A$250,VLOOKUP($A159,'PVC SCH80'!$A$8:$M$249,5,FALSE),
IF($A159&lt;'PVC SCH80 Flange'!$A$49,VLOOKUP($A159,'PVC SCH80 Flange'!$A$8:$M$48,5,FALSE),
IF($A159&lt;'PVC SCH80 LD Flange'!$A$17,VLOOKUP($A159,'PVC SCH80 LD Flange'!$A$8:$M$16,5,FALSE),
IF($A159&lt;CPVC!$A$100,VLOOKUP($A159,CPVC!$A$8:$M$99,5,FALSE),
IF($A159&lt;InsertFittings!$A$237,VLOOKUP($A159,InsertFittings!$A$11:$M$236,5,FALSE),
IF($A159&lt;Valves!$A$132,VLOOKUP($A159,Valves!$A$8:$M$131,5,FALSE),
IF($A159&lt;SDR35SW!$A$124,VLOOKUP($A159,SDR35SW!$A$8:$M$123,5,FALSE),
IF($A159&lt;SDR35G!$A$143,VLOOKUP($A159, SDR35G!$A$8:$M$142,5,FALSE),
IF($A159&lt;SDR26G!$A$61,VLOOKUP($A159,SDR26G!$A$8:$N$60,5,FALSE),
IF($A159&lt;Cements!$A$100,VLOOKUP($A159,Cements!$A$8:$Q$99,5,FALSE),
IF($A159&lt;ValveBox!$A$143,VLOOKUP($A159,ValveBox!$A$10:$O$142,5,FALSE),
IF($A159&lt;'ValveBox Components'!$A$165,VLOOKUP($A159,'ValveBox Components'!$A$10:$O$164,5,FALSE),
IF($A159&lt;Drainage!$A$92,VLOOKUP($A159,Drainage!$A$8:$M$91,5,FALSE),
IF($A159&lt;Nipples!$A$82,VLOOKUP($A159,Nipples!$A$9:$Q$81,5,FALSE),
IF($A159&lt;Manifold!$A$33,VLOOKUP($A159,Manifold!$A$9:$M$32,5,FALSE),
IF($A159&lt;FlexibleRepairCouplings!$A$13,VLOOKUP($A159,FlexibleRepairCouplings!$A$10:$M$12,5,FALSE),
IF($A159&lt;DuraFix!$A$15,VLOOKUP($A159,DuraFix!$A$9:$M$14,5,FALSE),
IF($A159&lt;'Compression Fittings'!$A$16,VLOOKUP($A159,'Compression Fittings'!$A$8:$M$15,5,FALSE),
IF($A159&lt;'Hose Fittings'!$A$30,VLOOKUP($A159,'Hose Fittings'!$A$8:$M$29,5,FALSE),
IF($A159&lt;'Swing Joints'!$A$496,VLOOKUP($A159,'Swing Joints'!$A$9:$M$495,5,FALSE),
IF($A159&lt;'Swing Joints Components'!$A$135,VLOOKUP($A159,'Swing Joints Components'!$A$9:$M$134,5,FALSE),
IF($A159&lt;Nonstandard!$A$42,VLOOKUP($A159,Nonstandard!$A$31:$J$41,6,FALSE),"")))))))))))))))))))))))))))),"")</f>
        <v/>
      </c>
      <c r="D159" s="426" t="str">
        <f>IFERROR(IF($A159&lt;'DWV PVC'!$A$285,VLOOKUP($A159,'DWV PVC'!$A$8:$M$284,6,FALSE),
IF($A159&lt;'DWV ABS'!$A$117,VLOOKUP($A159,'DWV ABS'!$A$8:$M$116,6,FALSE),
IF($A159&lt;'PVC SCH40'!$A$376,VLOOKUP($A159,'PVC SCH40'!$A$8:$M$375,6,FALSE),
IF($A159&lt;'PVC SCH40 LD'!$A$22,VLOOKUP($A159,'PVC SCH40 LD'!$A$8:$M$21,6,FALSE),
IF($A159&lt;'Pool &amp; SPA Sweep Elbows'!$A$12,VLOOKUP($A159,'Pool &amp; SPA Sweep Elbows'!$A$8:$M$11,6,FALSE),
IF($A159&lt;'Pool &amp; SPA Pipe Extender'!$A$11,VLOOKUP($A159,'Pool &amp; SPA Pipe Extender'!$A$8:$M$10,6,FALSE),
IF($A159&lt;'PVC SCH80'!$A$250,VLOOKUP($A159,'PVC SCH80'!$A$8:$M$249,6,FALSE),
IF($A159&lt;'PVC SCH80 Flange'!$A$49,VLOOKUP($A159,'PVC SCH80 Flange'!$A$8:$M$48,6,FALSE),
IF($A159&lt;'PVC SCH80 LD Flange'!$A$17,VLOOKUP($A159,'PVC SCH80 LD Flange'!$A$8:$M$16,6,FALSE),
IF($A159&lt;CPVC!$A$100,VLOOKUP($A159,CPVC!$A$8:$M$99,6,FALSE),
IF($A159&lt;InsertFittings!$A$237,VLOOKUP($A159,InsertFittings!$A$11:$M$236,6,FALSE),
IF($A159&lt;Valves!$A$132,VLOOKUP($A159,Valves!$A$8:$M$131,6,FALSE),
IF($A159&lt;SDR35SW!$A$124,VLOOKUP($A159,SDR35SW!$A$8:$M$123,6,FALSE),
IF($A159&lt;SDR35G!$A$143,VLOOKUP($A159, SDR35G!$A$8:$M$142,6,FALSE),
IF($A159&lt;SDR26G!$A$61,VLOOKUP($A159,SDR26G!$A$8:$N$60,6,FALSE),
IF($A159&lt;Cements!$A$100,VLOOKUP($A159,Cements!$A$8:$Q$99,6,FALSE),
IF($A159&lt;ValveBox!$A$143,VLOOKUP($A159,ValveBox!$A$10:$O$142,6,FALSE),
IF($A159&lt;'ValveBox Components'!$A$165,VLOOKUP($A159,'ValveBox Components'!$A$10:$O$164,6,FALSE),
IF($A159&lt;Drainage!$A$92,VLOOKUP($A159,Drainage!$A$8:$M$91,6,FALSE),
IF($A159&lt;Nipples!$A$82,VLOOKUP($A159,Nipples!$A$9:$Q$81,6,FALSE),
IF($A159&lt;Manifold!$A$33,VLOOKUP($A159,Manifold!$A$9:$M$32,6,FALSE),
IF($A159&lt;FlexibleRepairCouplings!$A$13,VLOOKUP($A159,FlexibleRepairCouplings!$A$10:$M$12,6,FALSE),
IF($A159&lt;DuraFix!$A$15,VLOOKUP($A159,DuraFix!$A$9:$M$14,6,FALSE),
IF($A159&lt;'Compression Fittings'!$A$16,VLOOKUP($A159,'Compression Fittings'!$A$8:$M$15,6,FALSE),
IF($A159&lt;'Hose Fittings'!$A$30,VLOOKUP($A159,'Hose Fittings'!$A$8:$M$29,6,FALSE),
IF($A159&lt;'Swing Joints'!$A$496,VLOOKUP($A159,'Swing Joints'!$A$9:$M$495,6,FALSE),
IF($A159&lt;'Swing Joints Components'!$A$135,VLOOKUP($A159,'Swing Joints Components'!$A$9:$M$134,6,FALSE),
IF($A159&lt;Nonstandard!$A$42,VLOOKUP($A159,Nonstandard!$A$31:$J$41,7,FALSE),"")))))))))))))))))))))))))))),"")</f>
        <v/>
      </c>
      <c r="E159" s="427"/>
      <c r="F159" s="418" t="str">
        <f>IFERROR(IF($A159&lt;'DWV PVC'!$A$285,VLOOKUP($A159,'DWV PVC'!$A$8:$M$284,9,FALSE),
IF($A159&lt;'DWV ABS'!$A$117,VLOOKUP($A159,'DWV ABS'!$A$8:$M$116,9,FALSE),
IF($A159&lt;'PVC SCH40'!$A$376,VLOOKUP($A159,'PVC SCH40'!$A$8:$M$375,9,FALSE),
IF($A159&lt;'PVC SCH40 LD'!$A$22,VLOOKUP($A159,'PVC SCH40 LD'!$A$8:$M$21,9,FALSE),
IF($A159&lt;'Pool &amp; SPA Sweep Elbows'!$A$12,VLOOKUP($A159,'Pool &amp; SPA Sweep Elbows'!$A$8:$M$11,9,FALSE),
IF($A159&lt;'Pool &amp; SPA Pipe Extender'!$A$11,VLOOKUP($A159,'Pool &amp; SPA Pipe Extender'!$A$8:$M$10,9,FALSE),
IF($A159&lt;'PVC SCH80'!$A$250,VLOOKUP($A159,'PVC SCH80'!$A$8:$M$249,9,FALSE),
IF($A159&lt;'PVC SCH80 Flange'!$A$49,VLOOKUP($A159,'PVC SCH80 Flange'!$A$8:$M$48,9,FALSE),
IF($A159&lt;'PVC SCH80 LD Flange'!$A$17,VLOOKUP($A159,'PVC SCH80 LD Flange'!$A$8:$M$16,9,FALSE),
IF($A159&lt;CPVC!$A$100,VLOOKUP($A159,CPVC!$A$8:$M$99,9,FALSE),
IF($A159&lt;InsertFittings!$A$237,VLOOKUP($A159,InsertFittings!$A$11:$M$236,9,FALSE),
IF($A159&lt;Valves!$A$132,VLOOKUP($A159,Valves!$A$8:$M$131,9,FALSE),
IF($A159&lt;SDR35SW!$A$124,VLOOKUP($A159,SDR35SW!$A$8:$M$123,9,FALSE),
IF($A159&lt;SDR35G!$A$143,VLOOKUP($A159, SDR35G!$A$8:$M$142,9,FALSE),
IF($A159&lt;SDR26G!$A$61,VLOOKUP($A159,SDR26G!$A$8:$N$60,10,FALSE),
IF($A159&lt;Cements!$A$100,VLOOKUP($A159,Cements!$A$8:$Q$99,13,FALSE),
IF($A159&lt;ValveBox!$A$143,VLOOKUP($A159,ValveBox!$A$10:$O$142,11,FALSE),
IF($A159&lt;'ValveBox Components'!$A$165,VLOOKUP($A159,'ValveBox Components'!$A$10:$O$164,11,FALSE),
IF($A159&lt;Drainage!$A$92,VLOOKUP($A159,Drainage!$A$8:$M$91,9,FALSE),
IF($A159&lt;Nipples!$A$82,VLOOKUP($A159,Nipples!$A$9:$Q$81,13,FALSE),
IF($A159&lt;Manifold!$A$33,VLOOKUP($A159,Manifold!$A$9:$M$32,9,FALSE),
IF($A159&lt;FlexibleRepairCouplings!$A$13,VLOOKUP($A159,FlexibleRepairCouplings!$A$10:$M$12,9,FALSE),
IF($A159&lt;DuraFix!$A$15,VLOOKUP($A159,DuraFix!$A$9:$M$14,9,FALSE),
IF($A159&lt;'Compression Fittings'!$A$16,VLOOKUP($A159,'Compression Fittings'!$A$8:$M$15,9,FALSE),
IF($A159&lt;'Hose Fittings'!$A$30,VLOOKUP($A159,'Hose Fittings'!$A$8:$M$29,9,FALSE),
IF($A159&lt;'Swing Joints'!$A$496,VLOOKUP($A159,'Swing Joints'!$A$9:$M$495,9,FALSE),
IF($A159&lt;'Swing Joints Components'!$A$135,VLOOKUP($A159,'Swing Joints Components'!$A$9:$M$134,9,FALSE),
IF($A159&lt;Nonstandard!$A$42,VLOOKUP($A159,Nonstandard!$A$31:$J$41,8,FALSE),"")))))))))))))))))))))))))))),"")</f>
        <v/>
      </c>
      <c r="G159" s="416" t="str">
        <f>IFERROR(IF($A159&lt;'DWV PVC'!$A$285,VLOOKUP($A159,'DWV PVC'!$A$8:$M$284,11,FALSE),
IF($A159&lt;'DWV ABS'!$A$117,VLOOKUP($A159,'DWV ABS'!$A$8:$M$116,11,FALSE),
IF($A159&lt;'PVC SCH40'!$A$376,VLOOKUP($A159,'PVC SCH40'!$A$8:$M$375,11,FALSE),
IF($A159&lt;'PVC SCH40 LD'!$A$22,VLOOKUP($A159,'PVC SCH40 LD'!$A$8:$M$21,11,FALSE),
IF($A159&lt;'Pool &amp; SPA Sweep Elbows'!$A$12,VLOOKUP($A159,'Pool &amp; SPA Sweep Elbows'!$A$8:$M$11,11,FALSE),
IF($A159&lt;'Pool &amp; SPA Pipe Extender'!$A$11,VLOOKUP($A159,'Pool &amp; SPA Pipe Extender'!$A$8:$M$10,11,FALSE),
IF($A159&lt;'PVC SCH80'!$A$250,VLOOKUP($A159,'PVC SCH80'!$A$8:$M$249,11,FALSE),
IF($A159&lt;'PVC SCH80 Flange'!$A$49,VLOOKUP($A159,'PVC SCH80 Flange'!$A$8:$M$48,11,FALSE),
IF($A159&lt;'PVC SCH80 LD Flange'!$A$17,VLOOKUP($A159,'PVC SCH80 LD Flange'!$A$8:$M$16,11,FALSE),
IF($A159&lt;CPVC!$A$100,VLOOKUP($A159,CPVC!$A$8:$M$99,11,FALSE),
IF($A159&lt;InsertFittings!$A$237,VLOOKUP($A159,InsertFittings!$A$11:$M$236,11,FALSE),
IF($A159&lt;Valves!$A$132,VLOOKUP($A159,Valves!$A$8:$M$131,11,FALSE),
IF($A159&lt;SDR35SW!$A$124,VLOOKUP($A159,SDR35SW!$A$8:$M$123,11,FALSE),
IF($A159&lt;SDR35G!$A$143,VLOOKUP($A159, SDR35G!$A$8:$M$142,11,FALSE),
IF($A159&lt;SDR26G!$A$61,VLOOKUP($A159,SDR26G!$A$8:$N$60,12,FALSE),
IF($A159&lt;Cements!$A$100,VLOOKUP($A159,Cements!$A$8:$Q$99,15,FALSE),
IF($A159&lt;ValveBox!$A$143,VLOOKUP($A159,ValveBox!$A$10:$O$142,13,FALSE),
IF($A159&lt;'ValveBox Components'!$A$165,VLOOKUP($A159,'ValveBox Components'!$A$10:$O$164,13,FALSE),
IF($A159&lt;Drainage!$A$92,VLOOKUP($A159,Drainage!$A$8:$M$91,11,FALSE),
IF($A159&lt;Nipples!$A$82,VLOOKUP($A159,Nipples!$A$9:$Q$81,15,FALSE),
IF($A159&lt;Manifold!$A$33,VLOOKUP($A159,Manifold!$A$9:$M$32,11,FALSE),
IF($A159&lt;FlexibleRepairCouplings!$A$13,VLOOKUP($A159,FlexibleRepairCouplings!$A$10:$M$12,11,FALSE),
IF($A159&lt;DuraFix!$A$15,VLOOKUP($A159,DuraFix!$A$9:$M$14,11,FALSE),
IF($A159&lt;'Compression Fittings'!$A$16,VLOOKUP($A159,'Compression Fittings'!$A$8:$M$15,11,FALSE),
IF($A159&lt;'Hose Fittings'!$A$30,VLOOKUP($A159,'Hose Fittings'!$A$8:$M$29,11,FALSE),
IF($A159&lt;'Swing Joints'!$A$496,VLOOKUP($A159,'Swing Joints'!$A$9:$M$495,11,FALSE),
IF($A159&lt;'Swing Joints Components'!$A$135,VLOOKUP($A159,'Swing Joints Components'!$A$9:$M$134,11,FALSE),
IF($A159&lt;Nonstandard!$A$42,VLOOKUP($A159,Nonstandard!$A$31:$J$41,3,FALSE),"")))))))))))))))))))))))))))),"")</f>
        <v/>
      </c>
      <c r="H159" s="586" t="str">
        <f>IFERROR(IF($A159&lt;'DWV PVC'!$A$285,VLOOKUP($A159,'DWV PVC'!$A$8:$M$284,7,FALSE),
IF($A159&lt;'DWV ABS'!$A$117,VLOOKUP($A159,'DWV ABS'!$A$8:$M$116,7,FALSE),
IF($A159&lt;'PVC SCH40'!$A$376,VLOOKUP($A159,'PVC SCH40'!$A$8:$M$375,7,FALSE),
IF($A159&lt;'PVC SCH40 LD'!$A$22,VLOOKUP($A159,'PVC SCH40 LD'!$A$8:$M$21,7,FALSE),
IF($A159&lt;'Pool &amp; SPA Sweep Elbows'!$A$12,VLOOKUP($A159,'Pool &amp; SPA Sweep Elbows'!$A$8:$M$11,7,FALSE),
IF($A159&lt;'Pool &amp; SPA Pipe Extender'!$A$11,VLOOKUP($A159,'Pool &amp; SPA Pipe Extender'!$A$8:$M$10,7,FALSE),
IF($A159&lt;'PVC SCH80'!$A$250,VLOOKUP($A159,'PVC SCH80'!$A$8:$M$249,7,FALSE),
IF($A159&lt;'PVC SCH80 Flange'!$A$49,VLOOKUP($A159,'PVC SCH80 Flange'!$A$8:$M$48,7,FALSE),
IF($A159&lt;'PVC SCH80 LD Flange'!$A$17,VLOOKUP($A159,'PVC SCH80 LD Flange'!$A$8:$M$16,7,FALSE),
IF($A159&lt;CPVC!$A$100,VLOOKUP($A159,CPVC!$A$8:$M$99,7,FALSE),
IF($A159&lt;InsertFittings!$A$237,VLOOKUP($A159,InsertFittings!$A$11:$M$236,7,FALSE),
IF($A159&lt;Valves!$A$132,VLOOKUP($A159,Valves!$A$8:$M$131,7,FALSE),
IF($A159&lt;SDR35SW!$A$124,VLOOKUP($A159,SDR35SW!$A$8:$M$123,7,FALSE),
IF($A159&lt;SDR35G!$A$143,VLOOKUP($A159, SDR35G!$A$8:$M$142,7,FALSE),
IF($A159&lt;SDR26G!$A$61,VLOOKUP($A159,SDR26G!$A$8:$N$60,10,FALSE),
IF($A159&lt;Cements!$A$100,VLOOKUP($A159,Cements!$A$8:$Q$99,13,FALSE),
IF($A159&lt;ValveBox!$A$143,VLOOKUP($A159,ValveBox!$A$10:$O$142,11,FALSE),
IF($A159&lt;'ValveBox Components'!$A$165,VLOOKUP($A159,'ValveBox Components'!$A$10:$O$164,11,FALSE),
IF($A159&lt;Drainage!$A$92,VLOOKUP($A159,Drainage!$A$8:$M$91,7,FALSE),
IF($A159&lt;Nipples!$A$82,VLOOKUP($A159,Nipples!$A$9:$Q$81,13,FALSE),
IF($A159&lt;Manifold!$A$33,VLOOKUP($A159,Manifold!$A$9:$M$32,7,FALSE),
IF($A159&lt;FlexibleRepairCouplings!$A$13,VLOOKUP($A159,FlexibleRepairCouplings!$A$10:$M$12,7,FALSE),
IF($A159&lt;DuraFix!$A$15,VLOOKUP($A159,DuraFix!$A$9:$M$14,7,FALSE),
IF($A159&lt;'Compression Fittings'!$A$16,VLOOKUP($A159,'Compression Fittings'!$A$8:$M$15,7,FALSE),
IF($A159&lt;'Hose Fittings'!$A$30,VLOOKUP($A159,'Hose Fittings'!$A$8:$M$29,7,FALSE),
IF($A159&lt;'Swing Joints'!$A$496,VLOOKUP($A159,'Swing Joints'!$A$9:$M$495,7,FALSE),
IF($A159&lt;'Swing Joints Components'!$A$135,VLOOKUP($A159,'Swing Joints Components'!$A$9:$M$134,7,FALSE),
IF($A159&lt;Nonstandard!$A$42,VLOOKUP($A159,Nonstandard!$A$31:$J$41,3,FALSE),"")))))))))))))))))))))))))))),"")</f>
        <v/>
      </c>
      <c r="I159" s="587"/>
      <c r="J159" s="383" t="str">
        <f t="shared" si="3"/>
        <v/>
      </c>
      <c r="K159" s="417" t="str">
        <f>IFERROR(IF($A159&lt;'DWV PVC'!$A$285,VLOOKUP($A159,'DWV PVC'!$A$8:$M$284,10,FALSE),
IF($A159&lt;'DWV ABS'!$A$117,VLOOKUP($A159,'DWV ABS'!$A$8:$M$116,10,FALSE),
IF($A159&lt;'PVC SCH40'!$A$376,VLOOKUP($A159,'PVC SCH40'!$A$8:$M$375,10,FALSE),
IF($A159&lt;'PVC SCH40 LD'!$A$22,VLOOKUP($A159,'PVC SCH40 LD'!$A$8:$M$21,10,FALSE),
IF($A159&lt;'Pool &amp; SPA Sweep Elbows'!$A$12,VLOOKUP($A159,'Pool &amp; SPA Sweep Elbows'!$A$8:$M$11,10,FALSE),
IF($A159&lt;'Pool &amp; SPA Pipe Extender'!$A$11,VLOOKUP($A159,'Pool &amp; SPA Pipe Extender'!$A$8:$M$10,10,FALSE),
IF($A159&lt;'PVC SCH80'!$A$250,VLOOKUP($A159,'PVC SCH80'!$A$8:$M$249,10,FALSE),
IF($A159&lt;'PVC SCH80 Flange'!$A$49,VLOOKUP($A159,'PVC SCH80 Flange'!$A$8:$M$48,10,FALSE),
IF($A159&lt;'PVC SCH80 LD Flange'!$A$17,VLOOKUP($A159,'PVC SCH80 LD Flange'!$A$8:$M$16,10,FALSE),
IF($A159&lt;CPVC!$A$100,VLOOKUP($A159,CPVC!$A$8:$M$99,10,FALSE),
IF($A159&lt;InsertFittings!$A$237,VLOOKUP($A159,InsertFittings!$A$11:$M$236,10,FALSE),
IF($A159&lt;Valves!$A$132,VLOOKUP($A159,Valves!$A$8:$M$131,10,FALSE),
IF($A159&lt;SDR35SW!$A$124,VLOOKUP($A159,SDR35SW!$A$8:$M$123,10,FALSE),
IF($A159&lt;SDR35G!$A$143,VLOOKUP($A159, SDR35G!$A$8:$M$142,10,FALSE),
IF($A159&lt;SDR26G!$A$61,VLOOKUP($A159,SDR26G!$A$8:$N$60,11,FALSE),
IF($A159&lt;Cements!$A$100,VLOOKUP($A159,Cements!$A$8:$Q$99,14,FALSE),
IF($A159&lt;ValveBox!$A$143,VLOOKUP($A159,ValveBox!$A$10:$O$142,12,FALSE),
IF($A159&lt;'ValveBox Components'!$A$165,VLOOKUP($A159,'ValveBox Components'!$A$10:$O$164,12,FALSE),
IF($A159&lt;Drainage!$A$92,VLOOKUP($A159,Drainage!$A$8:$M$91,10,FALSE),
IF($A159&lt;Nipples!$A$82,VLOOKUP($A159,Nipples!$A$9:$Q$81,14,FALSE),
IF($A159&lt;Manifold!$A$33,VLOOKUP($A159,Manifold!$A$9:$M$32,10,FALSE),
IF($A159&lt;FlexibleRepairCouplings!$A$13,VLOOKUP($A159,FlexibleRepairCouplings!$A$10:$M$12,10,FALSE),
IF($A159&lt;DuraFix!$A$15,VLOOKUP($A159,DuraFix!$A$9:$M$14,10,FALSE),
IF($A159&lt;'Compression Fittings'!$A$16,VLOOKUP($A159,'Compression Fittings'!$A$8:$M$15,10,FALSE),
IF($A159&lt;'Hose Fittings'!$A$30,VLOOKUP($A159,'Hose Fittings'!$A$8:$M$29,10,FALSE),
IF($A159&lt;'Swing Joints'!$A$496,VLOOKUP($A159,'Swing Joints'!$A$9:$M$495,10,FALSE),
IF($A159&lt;'Swing Joints Components'!$A$135,VLOOKUP($A159,'Swing Joints Components'!$A$9:$M$134,10,FALSE),
IF($A159&lt;Nonstandard!$A$42,VLOOKUP($A159,Nonstandard!$A$31:$J$41,10,FALSE),"")))))))))))))))))))))))))))),"")</f>
        <v/>
      </c>
      <c r="L159" s="418" t="str">
        <f t="shared" si="4"/>
        <v>-</v>
      </c>
      <c r="M159" s="419"/>
    </row>
    <row r="160" spans="1:13" ht="15.75">
      <c r="A160" s="420">
        <v>128</v>
      </c>
      <c r="B160" s="420" t="str">
        <f>IFERROR(IF($A160&lt;'DWV PVC'!$A$285,VLOOKUP($A160,'DWV PVC'!$A$8:$M$284,4,FALSE),
IF($A160&lt;'DWV ABS'!$A$117,VLOOKUP($A160,'DWV ABS'!$A$8:$M$116,4,FALSE),
IF($A160&lt;'PVC SCH40'!$A$376,VLOOKUP($A160,'PVC SCH40'!$A$8:$M$375,4,FALSE),
IF($A160&lt;'PVC SCH40 LD'!$A$22,VLOOKUP($A160,'PVC SCH40 LD'!$A$8:$M$21,4,FALSE),
IF($A160&lt;'Pool &amp; SPA Sweep Elbows'!$A$12,VLOOKUP($A160,'Pool &amp; SPA Sweep Elbows'!$A$8:$M$11,4,FALSE),
IF($A160&lt;'Pool &amp; SPA Pipe Extender'!$A$11,VLOOKUP($A160,'Pool &amp; SPA Pipe Extender'!$A$8:$M$10,4,FALSE),
IF($A160&lt;'PVC SCH80'!$A$250,VLOOKUP($A160,'PVC SCH80'!$A$8:$M$249,4,FALSE),
IF($A160&lt;'PVC SCH80 Flange'!$A$49,VLOOKUP($A160,'PVC SCH80 Flange'!$A$8:$M$48,4,FALSE),
IF($A160&lt;'PVC SCH80 LD Flange'!$A$17,VLOOKUP($A160,'PVC SCH80 LD Flange'!$A$8:$M$16,4,FALSE),
IF($A160&lt;CPVC!$A$100,VLOOKUP($A160,CPVC!$A$8:$M$99,4,FALSE),
IF($A160&lt;InsertFittings!$A$237,VLOOKUP($A160,InsertFittings!$A$11:$M$236,4,FALSE),
IF($A160&lt;Valves!$A$132,VLOOKUP($A160,Valves!$A$8:$M$131,4,FALSE),
IF($A160&lt;SDR35SW!$A$124,VLOOKUP($A160,SDR35SW!$A$8:$M$123,4,FALSE),
IF($A160&lt;SDR35G!$A$143,VLOOKUP($A160, SDR35G!$A$8:$M$142,4,FALSE),
IF($A160&lt;SDR26G!$A$61,VLOOKUP($A160,SDR26G!$A$8:$N$60,4,FALSE),
IF($A160&lt;Cements!$A$100,VLOOKUP($A160,Cements!$A$8:$Q$99,4,FALSE),
IF($A160&lt;ValveBox!$A$143,VLOOKUP($A160,ValveBox!$A$10:$O$142,4,FALSE),
IF($A160&lt;'ValveBox Components'!$A$165,VLOOKUP($A160,'ValveBox Components'!$A$10:$O$164,4,FALSE),
IF($A160&lt;Drainage!$A$92,VLOOKUP($A160,Drainage!$A$8:$M$91,4,FALSE),
IF($A160&lt;Nipples!$A$82,VLOOKUP($A160,Nipples!$A$9:$Q$81,4,FALSE),
IF($A160&lt;Manifold!$A$33,VLOOKUP($A160,Manifold!$A$9:$M$32,4,FALSE),
IF($A160&lt;FlexibleRepairCouplings!$A$13,VLOOKUP($A160,FlexibleRepairCouplings!$A$10:$M$12,4,FALSE),
IF($A160&lt;DuraFix!$A$15,VLOOKUP($A160,DuraFix!$A$9:$M$14,4,FALSE),
IF($A160&lt;'Compression Fittings'!$A$16,VLOOKUP($A160,'Compression Fittings'!$A$8:$M$15,4,FALSE),
IF($A160&lt;'Hose Fittings'!$A$30,VLOOKUP($A160,'Hose Fittings'!$A$8:$M$29,4,FALSE),
IF($A160&lt;'Swing Joints'!$A$496,VLOOKUP($A160,'Swing Joints'!$A$9:$M$495,4,FALSE),
IF($A160&lt;'Swing Joints Components'!$A$135,VLOOKUP($A160,'Swing Joints Components'!$A$9:$M$134,4,FALSE),
IF($A160&lt;Nonstandard!$A$42,VLOOKUP($A160,Nonstandard!$A$31:$J$41,5,FALSE),"")))))))))))))))))))))))))))),"")</f>
        <v/>
      </c>
      <c r="C160" s="420" t="str">
        <f>IFERROR(IF($A160&lt;'DWV PVC'!$A$285,VLOOKUP($A160,'DWV PVC'!$A$8:$M$284,5,FALSE),
IF($A160&lt;'DWV ABS'!$A$117,VLOOKUP($A160,'DWV ABS'!$A$8:$M$116,5,FALSE),
IF($A160&lt;'PVC SCH40'!$A$376,VLOOKUP($A160,'PVC SCH40'!$A$8:$M$375,5,FALSE),
IF($A160&lt;'PVC SCH40 LD'!$A$22,VLOOKUP($A160,'PVC SCH40 LD'!$A$8:$M$21,5,FALSE),
IF($A160&lt;'Pool &amp; SPA Sweep Elbows'!$A$12,VLOOKUP($A160,'Pool &amp; SPA Sweep Elbows'!$A$8:$M$11,5,FALSE),
IF($A160&lt;'Pool &amp; SPA Pipe Extender'!$A$11,VLOOKUP($A160,'Pool &amp; SPA Pipe Extender'!$A$8:$M$10,5,FALSE),
IF($A160&lt;'PVC SCH80'!$A$250,VLOOKUP($A160,'PVC SCH80'!$A$8:$M$249,5,FALSE),
IF($A160&lt;'PVC SCH80 Flange'!$A$49,VLOOKUP($A160,'PVC SCH80 Flange'!$A$8:$M$48,5,FALSE),
IF($A160&lt;'PVC SCH80 LD Flange'!$A$17,VLOOKUP($A160,'PVC SCH80 LD Flange'!$A$8:$M$16,5,FALSE),
IF($A160&lt;CPVC!$A$100,VLOOKUP($A160,CPVC!$A$8:$M$99,5,FALSE),
IF($A160&lt;InsertFittings!$A$237,VLOOKUP($A160,InsertFittings!$A$11:$M$236,5,FALSE),
IF($A160&lt;Valves!$A$132,VLOOKUP($A160,Valves!$A$8:$M$131,5,FALSE),
IF($A160&lt;SDR35SW!$A$124,VLOOKUP($A160,SDR35SW!$A$8:$M$123,5,FALSE),
IF($A160&lt;SDR35G!$A$143,VLOOKUP($A160, SDR35G!$A$8:$M$142,5,FALSE),
IF($A160&lt;SDR26G!$A$61,VLOOKUP($A160,SDR26G!$A$8:$N$60,5,FALSE),
IF($A160&lt;Cements!$A$100,VLOOKUP($A160,Cements!$A$8:$Q$99,5,FALSE),
IF($A160&lt;ValveBox!$A$143,VLOOKUP($A160,ValveBox!$A$10:$O$142,5,FALSE),
IF($A160&lt;'ValveBox Components'!$A$165,VLOOKUP($A160,'ValveBox Components'!$A$10:$O$164,5,FALSE),
IF($A160&lt;Drainage!$A$92,VLOOKUP($A160,Drainage!$A$8:$M$91,5,FALSE),
IF($A160&lt;Nipples!$A$82,VLOOKUP($A160,Nipples!$A$9:$Q$81,5,FALSE),
IF($A160&lt;Manifold!$A$33,VLOOKUP($A160,Manifold!$A$9:$M$32,5,FALSE),
IF($A160&lt;FlexibleRepairCouplings!$A$13,VLOOKUP($A160,FlexibleRepairCouplings!$A$10:$M$12,5,FALSE),
IF($A160&lt;DuraFix!$A$15,VLOOKUP($A160,DuraFix!$A$9:$M$14,5,FALSE),
IF($A160&lt;'Compression Fittings'!$A$16,VLOOKUP($A160,'Compression Fittings'!$A$8:$M$15,5,FALSE),
IF($A160&lt;'Hose Fittings'!$A$30,VLOOKUP($A160,'Hose Fittings'!$A$8:$M$29,5,FALSE),
IF($A160&lt;'Swing Joints'!$A$496,VLOOKUP($A160,'Swing Joints'!$A$9:$M$495,5,FALSE),
IF($A160&lt;'Swing Joints Components'!$A$135,VLOOKUP($A160,'Swing Joints Components'!$A$9:$M$134,5,FALSE),
IF($A160&lt;Nonstandard!$A$42,VLOOKUP($A160,Nonstandard!$A$31:$J$41,6,FALSE),"")))))))))))))))))))))))))))),"")</f>
        <v/>
      </c>
      <c r="D160" s="428" t="str">
        <f>IFERROR(IF($A160&lt;'DWV PVC'!$A$285,VLOOKUP($A160,'DWV PVC'!$A$8:$M$284,6,FALSE),
IF($A160&lt;'DWV ABS'!$A$117,VLOOKUP($A160,'DWV ABS'!$A$8:$M$116,6,FALSE),
IF($A160&lt;'PVC SCH40'!$A$376,VLOOKUP($A160,'PVC SCH40'!$A$8:$M$375,6,FALSE),
IF($A160&lt;'PVC SCH40 LD'!$A$22,VLOOKUP($A160,'PVC SCH40 LD'!$A$8:$M$21,6,FALSE),
IF($A160&lt;'Pool &amp; SPA Sweep Elbows'!$A$12,VLOOKUP($A160,'Pool &amp; SPA Sweep Elbows'!$A$8:$M$11,6,FALSE),
IF($A160&lt;'Pool &amp; SPA Pipe Extender'!$A$11,VLOOKUP($A160,'Pool &amp; SPA Pipe Extender'!$A$8:$M$10,6,FALSE),
IF($A160&lt;'PVC SCH80'!$A$250,VLOOKUP($A160,'PVC SCH80'!$A$8:$M$249,6,FALSE),
IF($A160&lt;'PVC SCH80 Flange'!$A$49,VLOOKUP($A160,'PVC SCH80 Flange'!$A$8:$M$48,6,FALSE),
IF($A160&lt;'PVC SCH80 LD Flange'!$A$17,VLOOKUP($A160,'PVC SCH80 LD Flange'!$A$8:$M$16,6,FALSE),
IF($A160&lt;CPVC!$A$100,VLOOKUP($A160,CPVC!$A$8:$M$99,6,FALSE),
IF($A160&lt;InsertFittings!$A$237,VLOOKUP($A160,InsertFittings!$A$11:$M$236,6,FALSE),
IF($A160&lt;Valves!$A$132,VLOOKUP($A160,Valves!$A$8:$M$131,6,FALSE),
IF($A160&lt;SDR35SW!$A$124,VLOOKUP($A160,SDR35SW!$A$8:$M$123,6,FALSE),
IF($A160&lt;SDR35G!$A$143,VLOOKUP($A160, SDR35G!$A$8:$M$142,6,FALSE),
IF($A160&lt;SDR26G!$A$61,VLOOKUP($A160,SDR26G!$A$8:$N$60,6,FALSE),
IF($A160&lt;Cements!$A$100,VLOOKUP($A160,Cements!$A$8:$Q$99,6,FALSE),
IF($A160&lt;ValveBox!$A$143,VLOOKUP($A160,ValveBox!$A$10:$O$142,6,FALSE),
IF($A160&lt;'ValveBox Components'!$A$165,VLOOKUP($A160,'ValveBox Components'!$A$10:$O$164,6,FALSE),
IF($A160&lt;Drainage!$A$92,VLOOKUP($A160,Drainage!$A$8:$M$91,6,FALSE),
IF($A160&lt;Nipples!$A$82,VLOOKUP($A160,Nipples!$A$9:$Q$81,6,FALSE),
IF($A160&lt;Manifold!$A$33,VLOOKUP($A160,Manifold!$A$9:$M$32,6,FALSE),
IF($A160&lt;FlexibleRepairCouplings!$A$13,VLOOKUP($A160,FlexibleRepairCouplings!$A$10:$M$12,6,FALSE),
IF($A160&lt;DuraFix!$A$15,VLOOKUP($A160,DuraFix!$A$9:$M$14,6,FALSE),
IF($A160&lt;'Compression Fittings'!$A$16,VLOOKUP($A160,'Compression Fittings'!$A$8:$M$15,6,FALSE),
IF($A160&lt;'Hose Fittings'!$A$30,VLOOKUP($A160,'Hose Fittings'!$A$8:$M$29,6,FALSE),
IF($A160&lt;'Swing Joints'!$A$496,VLOOKUP($A160,'Swing Joints'!$A$9:$M$495,6,FALSE),
IF($A160&lt;'Swing Joints Components'!$A$135,VLOOKUP($A160,'Swing Joints Components'!$A$9:$M$134,6,FALSE),
IF($A160&lt;Nonstandard!$A$42,VLOOKUP($A160,Nonstandard!$A$31:$J$41,7,FALSE),"")))))))))))))))))))))))))))),"")</f>
        <v/>
      </c>
      <c r="E160" s="429"/>
      <c r="F160" s="421" t="str">
        <f>IFERROR(IF($A160&lt;'DWV PVC'!$A$285,VLOOKUP($A160,'DWV PVC'!$A$8:$M$284,9,FALSE),
IF($A160&lt;'DWV ABS'!$A$117,VLOOKUP($A160,'DWV ABS'!$A$8:$M$116,9,FALSE),
IF($A160&lt;'PVC SCH40'!$A$376,VLOOKUP($A160,'PVC SCH40'!$A$8:$M$375,9,FALSE),
IF($A160&lt;'PVC SCH40 LD'!$A$22,VLOOKUP($A160,'PVC SCH40 LD'!$A$8:$M$21,9,FALSE),
IF($A160&lt;'Pool &amp; SPA Sweep Elbows'!$A$12,VLOOKUP($A160,'Pool &amp; SPA Sweep Elbows'!$A$8:$M$11,9,FALSE),
IF($A160&lt;'Pool &amp; SPA Pipe Extender'!$A$11,VLOOKUP($A160,'Pool &amp; SPA Pipe Extender'!$A$8:$M$10,9,FALSE),
IF($A160&lt;'PVC SCH80'!$A$250,VLOOKUP($A160,'PVC SCH80'!$A$8:$M$249,9,FALSE),
IF($A160&lt;'PVC SCH80 Flange'!$A$49,VLOOKUP($A160,'PVC SCH80 Flange'!$A$8:$M$48,9,FALSE),
IF($A160&lt;'PVC SCH80 LD Flange'!$A$17,VLOOKUP($A160,'PVC SCH80 LD Flange'!$A$8:$M$16,9,FALSE),
IF($A160&lt;CPVC!$A$100,VLOOKUP($A160,CPVC!$A$8:$M$99,9,FALSE),
IF($A160&lt;InsertFittings!$A$237,VLOOKUP($A160,InsertFittings!$A$11:$M$236,9,FALSE),
IF($A160&lt;Valves!$A$132,VLOOKUP($A160,Valves!$A$8:$M$131,9,FALSE),
IF($A160&lt;SDR35SW!$A$124,VLOOKUP($A160,SDR35SW!$A$8:$M$123,9,FALSE),
IF($A160&lt;SDR35G!$A$143,VLOOKUP($A160, SDR35G!$A$8:$M$142,9,FALSE),
IF($A160&lt;SDR26G!$A$61,VLOOKUP($A160,SDR26G!$A$8:$N$60,10,FALSE),
IF($A160&lt;Cements!$A$100,VLOOKUP($A160,Cements!$A$8:$Q$99,13,FALSE),
IF($A160&lt;ValveBox!$A$143,VLOOKUP($A160,ValveBox!$A$10:$O$142,11,FALSE),
IF($A160&lt;'ValveBox Components'!$A$165,VLOOKUP($A160,'ValveBox Components'!$A$10:$O$164,11,FALSE),
IF($A160&lt;Drainage!$A$92,VLOOKUP($A160,Drainage!$A$8:$M$91,9,FALSE),
IF($A160&lt;Nipples!$A$82,VLOOKUP($A160,Nipples!$A$9:$Q$81,13,FALSE),
IF($A160&lt;Manifold!$A$33,VLOOKUP($A160,Manifold!$A$9:$M$32,9,FALSE),
IF($A160&lt;FlexibleRepairCouplings!$A$13,VLOOKUP($A160,FlexibleRepairCouplings!$A$10:$M$12,9,FALSE),
IF($A160&lt;DuraFix!$A$15,VLOOKUP($A160,DuraFix!$A$9:$M$14,9,FALSE),
IF($A160&lt;'Compression Fittings'!$A$16,VLOOKUP($A160,'Compression Fittings'!$A$8:$M$15,9,FALSE),
IF($A160&lt;'Hose Fittings'!$A$30,VLOOKUP($A160,'Hose Fittings'!$A$8:$M$29,9,FALSE),
IF($A160&lt;'Swing Joints'!$A$496,VLOOKUP($A160,'Swing Joints'!$A$9:$M$495,9,FALSE),
IF($A160&lt;'Swing Joints Components'!$A$135,VLOOKUP($A160,'Swing Joints Components'!$A$9:$M$134,9,FALSE),
IF($A160&lt;Nonstandard!$A$42,VLOOKUP($A160,Nonstandard!$A$31:$J$41,8,FALSE),"")))))))))))))))))))))))))))),"")</f>
        <v/>
      </c>
      <c r="G160" s="422" t="str">
        <f>IFERROR(IF($A160&lt;'DWV PVC'!$A$285,VLOOKUP($A160,'DWV PVC'!$A$8:$M$284,11,FALSE),
IF($A160&lt;'DWV ABS'!$A$117,VLOOKUP($A160,'DWV ABS'!$A$8:$M$116,11,FALSE),
IF($A160&lt;'PVC SCH40'!$A$376,VLOOKUP($A160,'PVC SCH40'!$A$8:$M$375,11,FALSE),
IF($A160&lt;'PVC SCH40 LD'!$A$22,VLOOKUP($A160,'PVC SCH40 LD'!$A$8:$M$21,11,FALSE),
IF($A160&lt;'Pool &amp; SPA Sweep Elbows'!$A$12,VLOOKUP($A160,'Pool &amp; SPA Sweep Elbows'!$A$8:$M$11,11,FALSE),
IF($A160&lt;'Pool &amp; SPA Pipe Extender'!$A$11,VLOOKUP($A160,'Pool &amp; SPA Pipe Extender'!$A$8:$M$10,11,FALSE),
IF($A160&lt;'PVC SCH80'!$A$250,VLOOKUP($A160,'PVC SCH80'!$A$8:$M$249,11,FALSE),
IF($A160&lt;'PVC SCH80 Flange'!$A$49,VLOOKUP($A160,'PVC SCH80 Flange'!$A$8:$M$48,11,FALSE),
IF($A160&lt;'PVC SCH80 LD Flange'!$A$17,VLOOKUP($A160,'PVC SCH80 LD Flange'!$A$8:$M$16,11,FALSE),
IF($A160&lt;CPVC!$A$100,VLOOKUP($A160,CPVC!$A$8:$M$99,11,FALSE),
IF($A160&lt;InsertFittings!$A$237,VLOOKUP($A160,InsertFittings!$A$11:$M$236,11,FALSE),
IF($A160&lt;Valves!$A$132,VLOOKUP($A160,Valves!$A$8:$M$131,11,FALSE),
IF($A160&lt;SDR35SW!$A$124,VLOOKUP($A160,SDR35SW!$A$8:$M$123,11,FALSE),
IF($A160&lt;SDR35G!$A$143,VLOOKUP($A160, SDR35G!$A$8:$M$142,11,FALSE),
IF($A160&lt;SDR26G!$A$61,VLOOKUP($A160,SDR26G!$A$8:$N$60,12,FALSE),
IF($A160&lt;Cements!$A$100,VLOOKUP($A160,Cements!$A$8:$Q$99,15,FALSE),
IF($A160&lt;ValveBox!$A$143,VLOOKUP($A160,ValveBox!$A$10:$O$142,13,FALSE),
IF($A160&lt;'ValveBox Components'!$A$165,VLOOKUP($A160,'ValveBox Components'!$A$10:$O$164,13,FALSE),
IF($A160&lt;Drainage!$A$92,VLOOKUP($A160,Drainage!$A$8:$M$91,11,FALSE),
IF($A160&lt;Nipples!$A$82,VLOOKUP($A160,Nipples!$A$9:$Q$81,15,FALSE),
IF($A160&lt;Manifold!$A$33,VLOOKUP($A160,Manifold!$A$9:$M$32,11,FALSE),
IF($A160&lt;FlexibleRepairCouplings!$A$13,VLOOKUP($A160,FlexibleRepairCouplings!$A$10:$M$12,11,FALSE),
IF($A160&lt;DuraFix!$A$15,VLOOKUP($A160,DuraFix!$A$9:$M$14,11,FALSE),
IF($A160&lt;'Compression Fittings'!$A$16,VLOOKUP($A160,'Compression Fittings'!$A$8:$M$15,11,FALSE),
IF($A160&lt;'Hose Fittings'!$A$30,VLOOKUP($A160,'Hose Fittings'!$A$8:$M$29,11,FALSE),
IF($A160&lt;'Swing Joints'!$A$496,VLOOKUP($A160,'Swing Joints'!$A$9:$M$495,11,FALSE),
IF($A160&lt;'Swing Joints Components'!$A$135,VLOOKUP($A160,'Swing Joints Components'!$A$9:$M$134,11,FALSE),
IF($A160&lt;Nonstandard!$A$42,VLOOKUP($A160,Nonstandard!$A$31:$J$41,3,FALSE),"")))))))))))))))))))))))))))),"")</f>
        <v/>
      </c>
      <c r="H160" s="588" t="str">
        <f>IFERROR(IF($A160&lt;'DWV PVC'!$A$285,VLOOKUP($A160,'DWV PVC'!$A$8:$M$284,7,FALSE),
IF($A160&lt;'DWV ABS'!$A$117,VLOOKUP($A160,'DWV ABS'!$A$8:$M$116,7,FALSE),
IF($A160&lt;'PVC SCH40'!$A$376,VLOOKUP($A160,'PVC SCH40'!$A$8:$M$375,7,FALSE),
IF($A160&lt;'PVC SCH40 LD'!$A$22,VLOOKUP($A160,'PVC SCH40 LD'!$A$8:$M$21,7,FALSE),
IF($A160&lt;'Pool &amp; SPA Sweep Elbows'!$A$12,VLOOKUP($A160,'Pool &amp; SPA Sweep Elbows'!$A$8:$M$11,7,FALSE),
IF($A160&lt;'Pool &amp; SPA Pipe Extender'!$A$11,VLOOKUP($A160,'Pool &amp; SPA Pipe Extender'!$A$8:$M$10,7,FALSE),
IF($A160&lt;'PVC SCH80'!$A$250,VLOOKUP($A160,'PVC SCH80'!$A$8:$M$249,7,FALSE),
IF($A160&lt;'PVC SCH80 Flange'!$A$49,VLOOKUP($A160,'PVC SCH80 Flange'!$A$8:$M$48,7,FALSE),
IF($A160&lt;'PVC SCH80 LD Flange'!$A$17,VLOOKUP($A160,'PVC SCH80 LD Flange'!$A$8:$M$16,7,FALSE),
IF($A160&lt;CPVC!$A$100,VLOOKUP($A160,CPVC!$A$8:$M$99,7,FALSE),
IF($A160&lt;InsertFittings!$A$237,VLOOKUP($A160,InsertFittings!$A$11:$M$236,7,FALSE),
IF($A160&lt;Valves!$A$132,VLOOKUP($A160,Valves!$A$8:$M$131,7,FALSE),
IF($A160&lt;SDR35SW!$A$124,VLOOKUP($A160,SDR35SW!$A$8:$M$123,7,FALSE),
IF($A160&lt;SDR35G!$A$143,VLOOKUP($A160, SDR35G!$A$8:$M$142,7,FALSE),
IF($A160&lt;SDR26G!$A$61,VLOOKUP($A160,SDR26G!$A$8:$N$60,10,FALSE),
IF($A160&lt;Cements!$A$100,VLOOKUP($A160,Cements!$A$8:$Q$99,13,FALSE),
IF($A160&lt;ValveBox!$A$143,VLOOKUP($A160,ValveBox!$A$10:$O$142,11,FALSE),
IF($A160&lt;'ValveBox Components'!$A$165,VLOOKUP($A160,'ValveBox Components'!$A$10:$O$164,11,FALSE),
IF($A160&lt;Drainage!$A$92,VLOOKUP($A160,Drainage!$A$8:$M$91,7,FALSE),
IF($A160&lt;Nipples!$A$82,VLOOKUP($A160,Nipples!$A$9:$Q$81,13,FALSE),
IF($A160&lt;Manifold!$A$33,VLOOKUP($A160,Manifold!$A$9:$M$32,7,FALSE),
IF($A160&lt;FlexibleRepairCouplings!$A$13,VLOOKUP($A160,FlexibleRepairCouplings!$A$10:$M$12,7,FALSE),
IF($A160&lt;DuraFix!$A$15,VLOOKUP($A160,DuraFix!$A$9:$M$14,7,FALSE),
IF($A160&lt;'Compression Fittings'!$A$16,VLOOKUP($A160,'Compression Fittings'!$A$8:$M$15,7,FALSE),
IF($A160&lt;'Hose Fittings'!$A$30,VLOOKUP($A160,'Hose Fittings'!$A$8:$M$29,7,FALSE),
IF($A160&lt;'Swing Joints'!$A$496,VLOOKUP($A160,'Swing Joints'!$A$9:$M$495,7,FALSE),
IF($A160&lt;'Swing Joints Components'!$A$135,VLOOKUP($A160,'Swing Joints Components'!$A$9:$M$134,7,FALSE),
IF($A160&lt;Nonstandard!$A$42,VLOOKUP($A160,Nonstandard!$A$31:$J$41,3,FALSE),"")))))))))))))))))))))))))))),"")</f>
        <v/>
      </c>
      <c r="I160" s="589"/>
      <c r="J160" s="423" t="str">
        <f t="shared" si="3"/>
        <v/>
      </c>
      <c r="K160" s="424" t="str">
        <f>IFERROR(IF($A160&lt;'DWV PVC'!$A$285,VLOOKUP($A160,'DWV PVC'!$A$8:$M$284,10,FALSE),
IF($A160&lt;'DWV ABS'!$A$117,VLOOKUP($A160,'DWV ABS'!$A$8:$M$116,10,FALSE),
IF($A160&lt;'PVC SCH40'!$A$376,VLOOKUP($A160,'PVC SCH40'!$A$8:$M$375,10,FALSE),
IF($A160&lt;'PVC SCH40 LD'!$A$22,VLOOKUP($A160,'PVC SCH40 LD'!$A$8:$M$21,10,FALSE),
IF($A160&lt;'Pool &amp; SPA Sweep Elbows'!$A$12,VLOOKUP($A160,'Pool &amp; SPA Sweep Elbows'!$A$8:$M$11,10,FALSE),
IF($A160&lt;'Pool &amp; SPA Pipe Extender'!$A$11,VLOOKUP($A160,'Pool &amp; SPA Pipe Extender'!$A$8:$M$10,10,FALSE),
IF($A160&lt;'PVC SCH80'!$A$250,VLOOKUP($A160,'PVC SCH80'!$A$8:$M$249,10,FALSE),
IF($A160&lt;'PVC SCH80 Flange'!$A$49,VLOOKUP($A160,'PVC SCH80 Flange'!$A$8:$M$48,10,FALSE),
IF($A160&lt;'PVC SCH80 LD Flange'!$A$17,VLOOKUP($A160,'PVC SCH80 LD Flange'!$A$8:$M$16,10,FALSE),
IF($A160&lt;CPVC!$A$100,VLOOKUP($A160,CPVC!$A$8:$M$99,10,FALSE),
IF($A160&lt;InsertFittings!$A$237,VLOOKUP($A160,InsertFittings!$A$11:$M$236,10,FALSE),
IF($A160&lt;Valves!$A$132,VLOOKUP($A160,Valves!$A$8:$M$131,10,FALSE),
IF($A160&lt;SDR35SW!$A$124,VLOOKUP($A160,SDR35SW!$A$8:$M$123,10,FALSE),
IF($A160&lt;SDR35G!$A$143,VLOOKUP($A160, SDR35G!$A$8:$M$142,10,FALSE),
IF($A160&lt;SDR26G!$A$61,VLOOKUP($A160,SDR26G!$A$8:$N$60,11,FALSE),
IF($A160&lt;Cements!$A$100,VLOOKUP($A160,Cements!$A$8:$Q$99,14,FALSE),
IF($A160&lt;ValveBox!$A$143,VLOOKUP($A160,ValveBox!$A$10:$O$142,12,FALSE),
IF($A160&lt;'ValveBox Components'!$A$165,VLOOKUP($A160,'ValveBox Components'!$A$10:$O$164,12,FALSE),
IF($A160&lt;Drainage!$A$92,VLOOKUP($A160,Drainage!$A$8:$M$91,10,FALSE),
IF($A160&lt;Nipples!$A$82,VLOOKUP($A160,Nipples!$A$9:$Q$81,14,FALSE),
IF($A160&lt;Manifold!$A$33,VLOOKUP($A160,Manifold!$A$9:$M$32,10,FALSE),
IF($A160&lt;FlexibleRepairCouplings!$A$13,VLOOKUP($A160,FlexibleRepairCouplings!$A$10:$M$12,10,FALSE),
IF($A160&lt;DuraFix!$A$15,VLOOKUP($A160,DuraFix!$A$9:$M$14,10,FALSE),
IF($A160&lt;'Compression Fittings'!$A$16,VLOOKUP($A160,'Compression Fittings'!$A$8:$M$15,10,FALSE),
IF($A160&lt;'Hose Fittings'!$A$30,VLOOKUP($A160,'Hose Fittings'!$A$8:$M$29,10,FALSE),
IF($A160&lt;'Swing Joints'!$A$496,VLOOKUP($A160,'Swing Joints'!$A$9:$M$495,10,FALSE),
IF($A160&lt;'Swing Joints Components'!$A$135,VLOOKUP($A160,'Swing Joints Components'!$A$9:$M$134,10,FALSE),
IF($A160&lt;Nonstandard!$A$42,VLOOKUP($A160,Nonstandard!$A$31:$J$41,10,FALSE),"")))))))))))))))))))))))))))),"")</f>
        <v/>
      </c>
      <c r="L160" s="421" t="str">
        <f t="shared" si="4"/>
        <v>-</v>
      </c>
      <c r="M160" s="425"/>
    </row>
    <row r="161" spans="1:13" ht="15.75">
      <c r="A161" s="415">
        <v>129</v>
      </c>
      <c r="B161" s="415" t="str">
        <f>IFERROR(IF($A161&lt;'DWV PVC'!$A$285,VLOOKUP($A161,'DWV PVC'!$A$8:$M$284,4,FALSE),
IF($A161&lt;'DWV ABS'!$A$117,VLOOKUP($A161,'DWV ABS'!$A$8:$M$116,4,FALSE),
IF($A161&lt;'PVC SCH40'!$A$376,VLOOKUP($A161,'PVC SCH40'!$A$8:$M$375,4,FALSE),
IF($A161&lt;'PVC SCH40 LD'!$A$22,VLOOKUP($A161,'PVC SCH40 LD'!$A$8:$M$21,4,FALSE),
IF($A161&lt;'Pool &amp; SPA Sweep Elbows'!$A$12,VLOOKUP($A161,'Pool &amp; SPA Sweep Elbows'!$A$8:$M$11,4,FALSE),
IF($A161&lt;'Pool &amp; SPA Pipe Extender'!$A$11,VLOOKUP($A161,'Pool &amp; SPA Pipe Extender'!$A$8:$M$10,4,FALSE),
IF($A161&lt;'PVC SCH80'!$A$250,VLOOKUP($A161,'PVC SCH80'!$A$8:$M$249,4,FALSE),
IF($A161&lt;'PVC SCH80 Flange'!$A$49,VLOOKUP($A161,'PVC SCH80 Flange'!$A$8:$M$48,4,FALSE),
IF($A161&lt;'PVC SCH80 LD Flange'!$A$17,VLOOKUP($A161,'PVC SCH80 LD Flange'!$A$8:$M$16,4,FALSE),
IF($A161&lt;CPVC!$A$100,VLOOKUP($A161,CPVC!$A$8:$M$99,4,FALSE),
IF($A161&lt;InsertFittings!$A$237,VLOOKUP($A161,InsertFittings!$A$11:$M$236,4,FALSE),
IF($A161&lt;Valves!$A$132,VLOOKUP($A161,Valves!$A$8:$M$131,4,FALSE),
IF($A161&lt;SDR35SW!$A$124,VLOOKUP($A161,SDR35SW!$A$8:$M$123,4,FALSE),
IF($A161&lt;SDR35G!$A$143,VLOOKUP($A161, SDR35G!$A$8:$M$142,4,FALSE),
IF($A161&lt;SDR26G!$A$61,VLOOKUP($A161,SDR26G!$A$8:$N$60,4,FALSE),
IF($A161&lt;Cements!$A$100,VLOOKUP($A161,Cements!$A$8:$Q$99,4,FALSE),
IF($A161&lt;ValveBox!$A$143,VLOOKUP($A161,ValveBox!$A$10:$O$142,4,FALSE),
IF($A161&lt;'ValveBox Components'!$A$165,VLOOKUP($A161,'ValveBox Components'!$A$10:$O$164,4,FALSE),
IF($A161&lt;Drainage!$A$92,VLOOKUP($A161,Drainage!$A$8:$M$91,4,FALSE),
IF($A161&lt;Nipples!$A$82,VLOOKUP($A161,Nipples!$A$9:$Q$81,4,FALSE),
IF($A161&lt;Manifold!$A$33,VLOOKUP($A161,Manifold!$A$9:$M$32,4,FALSE),
IF($A161&lt;FlexibleRepairCouplings!$A$13,VLOOKUP($A161,FlexibleRepairCouplings!$A$10:$M$12,4,FALSE),
IF($A161&lt;DuraFix!$A$15,VLOOKUP($A161,DuraFix!$A$9:$M$14,4,FALSE),
IF($A161&lt;'Compression Fittings'!$A$16,VLOOKUP($A161,'Compression Fittings'!$A$8:$M$15,4,FALSE),
IF($A161&lt;'Hose Fittings'!$A$30,VLOOKUP($A161,'Hose Fittings'!$A$8:$M$29,4,FALSE),
IF($A161&lt;'Swing Joints'!$A$496,VLOOKUP($A161,'Swing Joints'!$A$9:$M$495,4,FALSE),
IF($A161&lt;'Swing Joints Components'!$A$135,VLOOKUP($A161,'Swing Joints Components'!$A$9:$M$134,4,FALSE),
IF($A161&lt;Nonstandard!$A$42,VLOOKUP($A161,Nonstandard!$A$31:$J$41,5,FALSE),"")))))))))))))))))))))))))))),"")</f>
        <v/>
      </c>
      <c r="C161" s="415" t="str">
        <f>IFERROR(IF($A161&lt;'DWV PVC'!$A$285,VLOOKUP($A161,'DWV PVC'!$A$8:$M$284,5,FALSE),
IF($A161&lt;'DWV ABS'!$A$117,VLOOKUP($A161,'DWV ABS'!$A$8:$M$116,5,FALSE),
IF($A161&lt;'PVC SCH40'!$A$376,VLOOKUP($A161,'PVC SCH40'!$A$8:$M$375,5,FALSE),
IF($A161&lt;'PVC SCH40 LD'!$A$22,VLOOKUP($A161,'PVC SCH40 LD'!$A$8:$M$21,5,FALSE),
IF($A161&lt;'Pool &amp; SPA Sweep Elbows'!$A$12,VLOOKUP($A161,'Pool &amp; SPA Sweep Elbows'!$A$8:$M$11,5,FALSE),
IF($A161&lt;'Pool &amp; SPA Pipe Extender'!$A$11,VLOOKUP($A161,'Pool &amp; SPA Pipe Extender'!$A$8:$M$10,5,FALSE),
IF($A161&lt;'PVC SCH80'!$A$250,VLOOKUP($A161,'PVC SCH80'!$A$8:$M$249,5,FALSE),
IF($A161&lt;'PVC SCH80 Flange'!$A$49,VLOOKUP($A161,'PVC SCH80 Flange'!$A$8:$M$48,5,FALSE),
IF($A161&lt;'PVC SCH80 LD Flange'!$A$17,VLOOKUP($A161,'PVC SCH80 LD Flange'!$A$8:$M$16,5,FALSE),
IF($A161&lt;CPVC!$A$100,VLOOKUP($A161,CPVC!$A$8:$M$99,5,FALSE),
IF($A161&lt;InsertFittings!$A$237,VLOOKUP($A161,InsertFittings!$A$11:$M$236,5,FALSE),
IF($A161&lt;Valves!$A$132,VLOOKUP($A161,Valves!$A$8:$M$131,5,FALSE),
IF($A161&lt;SDR35SW!$A$124,VLOOKUP($A161,SDR35SW!$A$8:$M$123,5,FALSE),
IF($A161&lt;SDR35G!$A$143,VLOOKUP($A161, SDR35G!$A$8:$M$142,5,FALSE),
IF($A161&lt;SDR26G!$A$61,VLOOKUP($A161,SDR26G!$A$8:$N$60,5,FALSE),
IF($A161&lt;Cements!$A$100,VLOOKUP($A161,Cements!$A$8:$Q$99,5,FALSE),
IF($A161&lt;ValveBox!$A$143,VLOOKUP($A161,ValveBox!$A$10:$O$142,5,FALSE),
IF($A161&lt;'ValveBox Components'!$A$165,VLOOKUP($A161,'ValveBox Components'!$A$10:$O$164,5,FALSE),
IF($A161&lt;Drainage!$A$92,VLOOKUP($A161,Drainage!$A$8:$M$91,5,FALSE),
IF($A161&lt;Nipples!$A$82,VLOOKUP($A161,Nipples!$A$9:$Q$81,5,FALSE),
IF($A161&lt;Manifold!$A$33,VLOOKUP($A161,Manifold!$A$9:$M$32,5,FALSE),
IF($A161&lt;FlexibleRepairCouplings!$A$13,VLOOKUP($A161,FlexibleRepairCouplings!$A$10:$M$12,5,FALSE),
IF($A161&lt;DuraFix!$A$15,VLOOKUP($A161,DuraFix!$A$9:$M$14,5,FALSE),
IF($A161&lt;'Compression Fittings'!$A$16,VLOOKUP($A161,'Compression Fittings'!$A$8:$M$15,5,FALSE),
IF($A161&lt;'Hose Fittings'!$A$30,VLOOKUP($A161,'Hose Fittings'!$A$8:$M$29,5,FALSE),
IF($A161&lt;'Swing Joints'!$A$496,VLOOKUP($A161,'Swing Joints'!$A$9:$M$495,5,FALSE),
IF($A161&lt;'Swing Joints Components'!$A$135,VLOOKUP($A161,'Swing Joints Components'!$A$9:$M$134,5,FALSE),
IF($A161&lt;Nonstandard!$A$42,VLOOKUP($A161,Nonstandard!$A$31:$J$41,6,FALSE),"")))))))))))))))))))))))))))),"")</f>
        <v/>
      </c>
      <c r="D161" s="426" t="str">
        <f>IFERROR(IF($A161&lt;'DWV PVC'!$A$285,VLOOKUP($A161,'DWV PVC'!$A$8:$M$284,6,FALSE),
IF($A161&lt;'DWV ABS'!$A$117,VLOOKUP($A161,'DWV ABS'!$A$8:$M$116,6,FALSE),
IF($A161&lt;'PVC SCH40'!$A$376,VLOOKUP($A161,'PVC SCH40'!$A$8:$M$375,6,FALSE),
IF($A161&lt;'PVC SCH40 LD'!$A$22,VLOOKUP($A161,'PVC SCH40 LD'!$A$8:$M$21,6,FALSE),
IF($A161&lt;'Pool &amp; SPA Sweep Elbows'!$A$12,VLOOKUP($A161,'Pool &amp; SPA Sweep Elbows'!$A$8:$M$11,6,FALSE),
IF($A161&lt;'Pool &amp; SPA Pipe Extender'!$A$11,VLOOKUP($A161,'Pool &amp; SPA Pipe Extender'!$A$8:$M$10,6,FALSE),
IF($A161&lt;'PVC SCH80'!$A$250,VLOOKUP($A161,'PVC SCH80'!$A$8:$M$249,6,FALSE),
IF($A161&lt;'PVC SCH80 Flange'!$A$49,VLOOKUP($A161,'PVC SCH80 Flange'!$A$8:$M$48,6,FALSE),
IF($A161&lt;'PVC SCH80 LD Flange'!$A$17,VLOOKUP($A161,'PVC SCH80 LD Flange'!$A$8:$M$16,6,FALSE),
IF($A161&lt;CPVC!$A$100,VLOOKUP($A161,CPVC!$A$8:$M$99,6,FALSE),
IF($A161&lt;InsertFittings!$A$237,VLOOKUP($A161,InsertFittings!$A$11:$M$236,6,FALSE),
IF($A161&lt;Valves!$A$132,VLOOKUP($A161,Valves!$A$8:$M$131,6,FALSE),
IF($A161&lt;SDR35SW!$A$124,VLOOKUP($A161,SDR35SW!$A$8:$M$123,6,FALSE),
IF($A161&lt;SDR35G!$A$143,VLOOKUP($A161, SDR35G!$A$8:$M$142,6,FALSE),
IF($A161&lt;SDR26G!$A$61,VLOOKUP($A161,SDR26G!$A$8:$N$60,6,FALSE),
IF($A161&lt;Cements!$A$100,VLOOKUP($A161,Cements!$A$8:$Q$99,6,FALSE),
IF($A161&lt;ValveBox!$A$143,VLOOKUP($A161,ValveBox!$A$10:$O$142,6,FALSE),
IF($A161&lt;'ValveBox Components'!$A$165,VLOOKUP($A161,'ValveBox Components'!$A$10:$O$164,6,FALSE),
IF($A161&lt;Drainage!$A$92,VLOOKUP($A161,Drainage!$A$8:$M$91,6,FALSE),
IF($A161&lt;Nipples!$A$82,VLOOKUP($A161,Nipples!$A$9:$Q$81,6,FALSE),
IF($A161&lt;Manifold!$A$33,VLOOKUP($A161,Manifold!$A$9:$M$32,6,FALSE),
IF($A161&lt;FlexibleRepairCouplings!$A$13,VLOOKUP($A161,FlexibleRepairCouplings!$A$10:$M$12,6,FALSE),
IF($A161&lt;DuraFix!$A$15,VLOOKUP($A161,DuraFix!$A$9:$M$14,6,FALSE),
IF($A161&lt;'Compression Fittings'!$A$16,VLOOKUP($A161,'Compression Fittings'!$A$8:$M$15,6,FALSE),
IF($A161&lt;'Hose Fittings'!$A$30,VLOOKUP($A161,'Hose Fittings'!$A$8:$M$29,6,FALSE),
IF($A161&lt;'Swing Joints'!$A$496,VLOOKUP($A161,'Swing Joints'!$A$9:$M$495,6,FALSE),
IF($A161&lt;'Swing Joints Components'!$A$135,VLOOKUP($A161,'Swing Joints Components'!$A$9:$M$134,6,FALSE),
IF($A161&lt;Nonstandard!$A$42,VLOOKUP($A161,Nonstandard!$A$31:$J$41,7,FALSE),"")))))))))))))))))))))))))))),"")</f>
        <v/>
      </c>
      <c r="E161" s="427"/>
      <c r="F161" s="418" t="str">
        <f>IFERROR(IF($A161&lt;'DWV PVC'!$A$285,VLOOKUP($A161,'DWV PVC'!$A$8:$M$284,9,FALSE),
IF($A161&lt;'DWV ABS'!$A$117,VLOOKUP($A161,'DWV ABS'!$A$8:$M$116,9,FALSE),
IF($A161&lt;'PVC SCH40'!$A$376,VLOOKUP($A161,'PVC SCH40'!$A$8:$M$375,9,FALSE),
IF($A161&lt;'PVC SCH40 LD'!$A$22,VLOOKUP($A161,'PVC SCH40 LD'!$A$8:$M$21,9,FALSE),
IF($A161&lt;'Pool &amp; SPA Sweep Elbows'!$A$12,VLOOKUP($A161,'Pool &amp; SPA Sweep Elbows'!$A$8:$M$11,9,FALSE),
IF($A161&lt;'Pool &amp; SPA Pipe Extender'!$A$11,VLOOKUP($A161,'Pool &amp; SPA Pipe Extender'!$A$8:$M$10,9,FALSE),
IF($A161&lt;'PVC SCH80'!$A$250,VLOOKUP($A161,'PVC SCH80'!$A$8:$M$249,9,FALSE),
IF($A161&lt;'PVC SCH80 Flange'!$A$49,VLOOKUP($A161,'PVC SCH80 Flange'!$A$8:$M$48,9,FALSE),
IF($A161&lt;'PVC SCH80 LD Flange'!$A$17,VLOOKUP($A161,'PVC SCH80 LD Flange'!$A$8:$M$16,9,FALSE),
IF($A161&lt;CPVC!$A$100,VLOOKUP($A161,CPVC!$A$8:$M$99,9,FALSE),
IF($A161&lt;InsertFittings!$A$237,VLOOKUP($A161,InsertFittings!$A$11:$M$236,9,FALSE),
IF($A161&lt;Valves!$A$132,VLOOKUP($A161,Valves!$A$8:$M$131,9,FALSE),
IF($A161&lt;SDR35SW!$A$124,VLOOKUP($A161,SDR35SW!$A$8:$M$123,9,FALSE),
IF($A161&lt;SDR35G!$A$143,VLOOKUP($A161, SDR35G!$A$8:$M$142,9,FALSE),
IF($A161&lt;SDR26G!$A$61,VLOOKUP($A161,SDR26G!$A$8:$N$60,10,FALSE),
IF($A161&lt;Cements!$A$100,VLOOKUP($A161,Cements!$A$8:$Q$99,13,FALSE),
IF($A161&lt;ValveBox!$A$143,VLOOKUP($A161,ValveBox!$A$10:$O$142,11,FALSE),
IF($A161&lt;'ValveBox Components'!$A$165,VLOOKUP($A161,'ValveBox Components'!$A$10:$O$164,11,FALSE),
IF($A161&lt;Drainage!$A$92,VLOOKUP($A161,Drainage!$A$8:$M$91,9,FALSE),
IF($A161&lt;Nipples!$A$82,VLOOKUP($A161,Nipples!$A$9:$Q$81,13,FALSE),
IF($A161&lt;Manifold!$A$33,VLOOKUP($A161,Manifold!$A$9:$M$32,9,FALSE),
IF($A161&lt;FlexibleRepairCouplings!$A$13,VLOOKUP($A161,FlexibleRepairCouplings!$A$10:$M$12,9,FALSE),
IF($A161&lt;DuraFix!$A$15,VLOOKUP($A161,DuraFix!$A$9:$M$14,9,FALSE),
IF($A161&lt;'Compression Fittings'!$A$16,VLOOKUP($A161,'Compression Fittings'!$A$8:$M$15,9,FALSE),
IF($A161&lt;'Hose Fittings'!$A$30,VLOOKUP($A161,'Hose Fittings'!$A$8:$M$29,9,FALSE),
IF($A161&lt;'Swing Joints'!$A$496,VLOOKUP($A161,'Swing Joints'!$A$9:$M$495,9,FALSE),
IF($A161&lt;'Swing Joints Components'!$A$135,VLOOKUP($A161,'Swing Joints Components'!$A$9:$M$134,9,FALSE),
IF($A161&lt;Nonstandard!$A$42,VLOOKUP($A161,Nonstandard!$A$31:$J$41,8,FALSE),"")))))))))))))))))))))))))))),"")</f>
        <v/>
      </c>
      <c r="G161" s="416" t="str">
        <f>IFERROR(IF($A161&lt;'DWV PVC'!$A$285,VLOOKUP($A161,'DWV PVC'!$A$8:$M$284,11,FALSE),
IF($A161&lt;'DWV ABS'!$A$117,VLOOKUP($A161,'DWV ABS'!$A$8:$M$116,11,FALSE),
IF($A161&lt;'PVC SCH40'!$A$376,VLOOKUP($A161,'PVC SCH40'!$A$8:$M$375,11,FALSE),
IF($A161&lt;'PVC SCH40 LD'!$A$22,VLOOKUP($A161,'PVC SCH40 LD'!$A$8:$M$21,11,FALSE),
IF($A161&lt;'Pool &amp; SPA Sweep Elbows'!$A$12,VLOOKUP($A161,'Pool &amp; SPA Sweep Elbows'!$A$8:$M$11,11,FALSE),
IF($A161&lt;'Pool &amp; SPA Pipe Extender'!$A$11,VLOOKUP($A161,'Pool &amp; SPA Pipe Extender'!$A$8:$M$10,11,FALSE),
IF($A161&lt;'PVC SCH80'!$A$250,VLOOKUP($A161,'PVC SCH80'!$A$8:$M$249,11,FALSE),
IF($A161&lt;'PVC SCH80 Flange'!$A$49,VLOOKUP($A161,'PVC SCH80 Flange'!$A$8:$M$48,11,FALSE),
IF($A161&lt;'PVC SCH80 LD Flange'!$A$17,VLOOKUP($A161,'PVC SCH80 LD Flange'!$A$8:$M$16,11,FALSE),
IF($A161&lt;CPVC!$A$100,VLOOKUP($A161,CPVC!$A$8:$M$99,11,FALSE),
IF($A161&lt;InsertFittings!$A$237,VLOOKUP($A161,InsertFittings!$A$11:$M$236,11,FALSE),
IF($A161&lt;Valves!$A$132,VLOOKUP($A161,Valves!$A$8:$M$131,11,FALSE),
IF($A161&lt;SDR35SW!$A$124,VLOOKUP($A161,SDR35SW!$A$8:$M$123,11,FALSE),
IF($A161&lt;SDR35G!$A$143,VLOOKUP($A161, SDR35G!$A$8:$M$142,11,FALSE),
IF($A161&lt;SDR26G!$A$61,VLOOKUP($A161,SDR26G!$A$8:$N$60,12,FALSE),
IF($A161&lt;Cements!$A$100,VLOOKUP($A161,Cements!$A$8:$Q$99,15,FALSE),
IF($A161&lt;ValveBox!$A$143,VLOOKUP($A161,ValveBox!$A$10:$O$142,13,FALSE),
IF($A161&lt;'ValveBox Components'!$A$165,VLOOKUP($A161,'ValveBox Components'!$A$10:$O$164,13,FALSE),
IF($A161&lt;Drainage!$A$92,VLOOKUP($A161,Drainage!$A$8:$M$91,11,FALSE),
IF($A161&lt;Nipples!$A$82,VLOOKUP($A161,Nipples!$A$9:$Q$81,15,FALSE),
IF($A161&lt;Manifold!$A$33,VLOOKUP($A161,Manifold!$A$9:$M$32,11,FALSE),
IF($A161&lt;FlexibleRepairCouplings!$A$13,VLOOKUP($A161,FlexibleRepairCouplings!$A$10:$M$12,11,FALSE),
IF($A161&lt;DuraFix!$A$15,VLOOKUP($A161,DuraFix!$A$9:$M$14,11,FALSE),
IF($A161&lt;'Compression Fittings'!$A$16,VLOOKUP($A161,'Compression Fittings'!$A$8:$M$15,11,FALSE),
IF($A161&lt;'Hose Fittings'!$A$30,VLOOKUP($A161,'Hose Fittings'!$A$8:$M$29,11,FALSE),
IF($A161&lt;'Swing Joints'!$A$496,VLOOKUP($A161,'Swing Joints'!$A$9:$M$495,11,FALSE),
IF($A161&lt;'Swing Joints Components'!$A$135,VLOOKUP($A161,'Swing Joints Components'!$A$9:$M$134,11,FALSE),
IF($A161&lt;Nonstandard!$A$42,VLOOKUP($A161,Nonstandard!$A$31:$J$41,3,FALSE),"")))))))))))))))))))))))))))),"")</f>
        <v/>
      </c>
      <c r="H161" s="586" t="str">
        <f>IFERROR(IF($A161&lt;'DWV PVC'!$A$285,VLOOKUP($A161,'DWV PVC'!$A$8:$M$284,7,FALSE),
IF($A161&lt;'DWV ABS'!$A$117,VLOOKUP($A161,'DWV ABS'!$A$8:$M$116,7,FALSE),
IF($A161&lt;'PVC SCH40'!$A$376,VLOOKUP($A161,'PVC SCH40'!$A$8:$M$375,7,FALSE),
IF($A161&lt;'PVC SCH40 LD'!$A$22,VLOOKUP($A161,'PVC SCH40 LD'!$A$8:$M$21,7,FALSE),
IF($A161&lt;'Pool &amp; SPA Sweep Elbows'!$A$12,VLOOKUP($A161,'Pool &amp; SPA Sweep Elbows'!$A$8:$M$11,7,FALSE),
IF($A161&lt;'Pool &amp; SPA Pipe Extender'!$A$11,VLOOKUP($A161,'Pool &amp; SPA Pipe Extender'!$A$8:$M$10,7,FALSE),
IF($A161&lt;'PVC SCH80'!$A$250,VLOOKUP($A161,'PVC SCH80'!$A$8:$M$249,7,FALSE),
IF($A161&lt;'PVC SCH80 Flange'!$A$49,VLOOKUP($A161,'PVC SCH80 Flange'!$A$8:$M$48,7,FALSE),
IF($A161&lt;'PVC SCH80 LD Flange'!$A$17,VLOOKUP($A161,'PVC SCH80 LD Flange'!$A$8:$M$16,7,FALSE),
IF($A161&lt;CPVC!$A$100,VLOOKUP($A161,CPVC!$A$8:$M$99,7,FALSE),
IF($A161&lt;InsertFittings!$A$237,VLOOKUP($A161,InsertFittings!$A$11:$M$236,7,FALSE),
IF($A161&lt;Valves!$A$132,VLOOKUP($A161,Valves!$A$8:$M$131,7,FALSE),
IF($A161&lt;SDR35SW!$A$124,VLOOKUP($A161,SDR35SW!$A$8:$M$123,7,FALSE),
IF($A161&lt;SDR35G!$A$143,VLOOKUP($A161, SDR35G!$A$8:$M$142,7,FALSE),
IF($A161&lt;SDR26G!$A$61,VLOOKUP($A161,SDR26G!$A$8:$N$60,10,FALSE),
IF($A161&lt;Cements!$A$100,VLOOKUP($A161,Cements!$A$8:$Q$99,13,FALSE),
IF($A161&lt;ValveBox!$A$143,VLOOKUP($A161,ValveBox!$A$10:$O$142,11,FALSE),
IF($A161&lt;'ValveBox Components'!$A$165,VLOOKUP($A161,'ValveBox Components'!$A$10:$O$164,11,FALSE),
IF($A161&lt;Drainage!$A$92,VLOOKUP($A161,Drainage!$A$8:$M$91,7,FALSE),
IF($A161&lt;Nipples!$A$82,VLOOKUP($A161,Nipples!$A$9:$Q$81,13,FALSE),
IF($A161&lt;Manifold!$A$33,VLOOKUP($A161,Manifold!$A$9:$M$32,7,FALSE),
IF($A161&lt;FlexibleRepairCouplings!$A$13,VLOOKUP($A161,FlexibleRepairCouplings!$A$10:$M$12,7,FALSE),
IF($A161&lt;DuraFix!$A$15,VLOOKUP($A161,DuraFix!$A$9:$M$14,7,FALSE),
IF($A161&lt;'Compression Fittings'!$A$16,VLOOKUP($A161,'Compression Fittings'!$A$8:$M$15,7,FALSE),
IF($A161&lt;'Hose Fittings'!$A$30,VLOOKUP($A161,'Hose Fittings'!$A$8:$M$29,7,FALSE),
IF($A161&lt;'Swing Joints'!$A$496,VLOOKUP($A161,'Swing Joints'!$A$9:$M$495,7,FALSE),
IF($A161&lt;'Swing Joints Components'!$A$135,VLOOKUP($A161,'Swing Joints Components'!$A$9:$M$134,7,FALSE),
IF($A161&lt;Nonstandard!$A$42,VLOOKUP($A161,Nonstandard!$A$31:$J$41,3,FALSE),"")))))))))))))))))))))))))))),"")</f>
        <v/>
      </c>
      <c r="I161" s="587"/>
      <c r="J161" s="383" t="str">
        <f t="shared" si="3"/>
        <v/>
      </c>
      <c r="K161" s="417" t="str">
        <f>IFERROR(IF($A161&lt;'DWV PVC'!$A$285,VLOOKUP($A161,'DWV PVC'!$A$8:$M$284,10,FALSE),
IF($A161&lt;'DWV ABS'!$A$117,VLOOKUP($A161,'DWV ABS'!$A$8:$M$116,10,FALSE),
IF($A161&lt;'PVC SCH40'!$A$376,VLOOKUP($A161,'PVC SCH40'!$A$8:$M$375,10,FALSE),
IF($A161&lt;'PVC SCH40 LD'!$A$22,VLOOKUP($A161,'PVC SCH40 LD'!$A$8:$M$21,10,FALSE),
IF($A161&lt;'Pool &amp; SPA Sweep Elbows'!$A$12,VLOOKUP($A161,'Pool &amp; SPA Sweep Elbows'!$A$8:$M$11,10,FALSE),
IF($A161&lt;'Pool &amp; SPA Pipe Extender'!$A$11,VLOOKUP($A161,'Pool &amp; SPA Pipe Extender'!$A$8:$M$10,10,FALSE),
IF($A161&lt;'PVC SCH80'!$A$250,VLOOKUP($A161,'PVC SCH80'!$A$8:$M$249,10,FALSE),
IF($A161&lt;'PVC SCH80 Flange'!$A$49,VLOOKUP($A161,'PVC SCH80 Flange'!$A$8:$M$48,10,FALSE),
IF($A161&lt;'PVC SCH80 LD Flange'!$A$17,VLOOKUP($A161,'PVC SCH80 LD Flange'!$A$8:$M$16,10,FALSE),
IF($A161&lt;CPVC!$A$100,VLOOKUP($A161,CPVC!$A$8:$M$99,10,FALSE),
IF($A161&lt;InsertFittings!$A$237,VLOOKUP($A161,InsertFittings!$A$11:$M$236,10,FALSE),
IF($A161&lt;Valves!$A$132,VLOOKUP($A161,Valves!$A$8:$M$131,10,FALSE),
IF($A161&lt;SDR35SW!$A$124,VLOOKUP($A161,SDR35SW!$A$8:$M$123,10,FALSE),
IF($A161&lt;SDR35G!$A$143,VLOOKUP($A161, SDR35G!$A$8:$M$142,10,FALSE),
IF($A161&lt;SDR26G!$A$61,VLOOKUP($A161,SDR26G!$A$8:$N$60,11,FALSE),
IF($A161&lt;Cements!$A$100,VLOOKUP($A161,Cements!$A$8:$Q$99,14,FALSE),
IF($A161&lt;ValveBox!$A$143,VLOOKUP($A161,ValveBox!$A$10:$O$142,12,FALSE),
IF($A161&lt;'ValveBox Components'!$A$165,VLOOKUP($A161,'ValveBox Components'!$A$10:$O$164,12,FALSE),
IF($A161&lt;Drainage!$A$92,VLOOKUP($A161,Drainage!$A$8:$M$91,10,FALSE),
IF($A161&lt;Nipples!$A$82,VLOOKUP($A161,Nipples!$A$9:$Q$81,14,FALSE),
IF($A161&lt;Manifold!$A$33,VLOOKUP($A161,Manifold!$A$9:$M$32,10,FALSE),
IF($A161&lt;FlexibleRepairCouplings!$A$13,VLOOKUP($A161,FlexibleRepairCouplings!$A$10:$M$12,10,FALSE),
IF($A161&lt;DuraFix!$A$15,VLOOKUP($A161,DuraFix!$A$9:$M$14,10,FALSE),
IF($A161&lt;'Compression Fittings'!$A$16,VLOOKUP($A161,'Compression Fittings'!$A$8:$M$15,10,FALSE),
IF($A161&lt;'Hose Fittings'!$A$30,VLOOKUP($A161,'Hose Fittings'!$A$8:$M$29,10,FALSE),
IF($A161&lt;'Swing Joints'!$A$496,VLOOKUP($A161,'Swing Joints'!$A$9:$M$495,10,FALSE),
IF($A161&lt;'Swing Joints Components'!$A$135,VLOOKUP($A161,'Swing Joints Components'!$A$9:$M$134,10,FALSE),
IF($A161&lt;Nonstandard!$A$42,VLOOKUP($A161,Nonstandard!$A$31:$J$41,10,FALSE),"")))))))))))))))))))))))))))),"")</f>
        <v/>
      </c>
      <c r="L161" s="418" t="str">
        <f t="shared" si="4"/>
        <v>-</v>
      </c>
      <c r="M161" s="419"/>
    </row>
    <row r="162" spans="1:13" ht="15.75">
      <c r="A162" s="420">
        <v>130</v>
      </c>
      <c r="B162" s="420" t="str">
        <f>IFERROR(IF($A162&lt;'DWV PVC'!$A$285,VLOOKUP($A162,'DWV PVC'!$A$8:$M$284,4,FALSE),
IF($A162&lt;'DWV ABS'!$A$117,VLOOKUP($A162,'DWV ABS'!$A$8:$M$116,4,FALSE),
IF($A162&lt;'PVC SCH40'!$A$376,VLOOKUP($A162,'PVC SCH40'!$A$8:$M$375,4,FALSE),
IF($A162&lt;'PVC SCH40 LD'!$A$22,VLOOKUP($A162,'PVC SCH40 LD'!$A$8:$M$21,4,FALSE),
IF($A162&lt;'Pool &amp; SPA Sweep Elbows'!$A$12,VLOOKUP($A162,'Pool &amp; SPA Sweep Elbows'!$A$8:$M$11,4,FALSE),
IF($A162&lt;'Pool &amp; SPA Pipe Extender'!$A$11,VLOOKUP($A162,'Pool &amp; SPA Pipe Extender'!$A$8:$M$10,4,FALSE),
IF($A162&lt;'PVC SCH80'!$A$250,VLOOKUP($A162,'PVC SCH80'!$A$8:$M$249,4,FALSE),
IF($A162&lt;'PVC SCH80 Flange'!$A$49,VLOOKUP($A162,'PVC SCH80 Flange'!$A$8:$M$48,4,FALSE),
IF($A162&lt;'PVC SCH80 LD Flange'!$A$17,VLOOKUP($A162,'PVC SCH80 LD Flange'!$A$8:$M$16,4,FALSE),
IF($A162&lt;CPVC!$A$100,VLOOKUP($A162,CPVC!$A$8:$M$99,4,FALSE),
IF($A162&lt;InsertFittings!$A$237,VLOOKUP($A162,InsertFittings!$A$11:$M$236,4,FALSE),
IF($A162&lt;Valves!$A$132,VLOOKUP($A162,Valves!$A$8:$M$131,4,FALSE),
IF($A162&lt;SDR35SW!$A$124,VLOOKUP($A162,SDR35SW!$A$8:$M$123,4,FALSE),
IF($A162&lt;SDR35G!$A$143,VLOOKUP($A162, SDR35G!$A$8:$M$142,4,FALSE),
IF($A162&lt;SDR26G!$A$61,VLOOKUP($A162,SDR26G!$A$8:$N$60,4,FALSE),
IF($A162&lt;Cements!$A$100,VLOOKUP($A162,Cements!$A$8:$Q$99,4,FALSE),
IF($A162&lt;ValveBox!$A$143,VLOOKUP($A162,ValveBox!$A$10:$O$142,4,FALSE),
IF($A162&lt;'ValveBox Components'!$A$165,VLOOKUP($A162,'ValveBox Components'!$A$10:$O$164,4,FALSE),
IF($A162&lt;Drainage!$A$92,VLOOKUP($A162,Drainage!$A$8:$M$91,4,FALSE),
IF($A162&lt;Nipples!$A$82,VLOOKUP($A162,Nipples!$A$9:$Q$81,4,FALSE),
IF($A162&lt;Manifold!$A$33,VLOOKUP($A162,Manifold!$A$9:$M$32,4,FALSE),
IF($A162&lt;FlexibleRepairCouplings!$A$13,VLOOKUP($A162,FlexibleRepairCouplings!$A$10:$M$12,4,FALSE),
IF($A162&lt;DuraFix!$A$15,VLOOKUP($A162,DuraFix!$A$9:$M$14,4,FALSE),
IF($A162&lt;'Compression Fittings'!$A$16,VLOOKUP($A162,'Compression Fittings'!$A$8:$M$15,4,FALSE),
IF($A162&lt;'Hose Fittings'!$A$30,VLOOKUP($A162,'Hose Fittings'!$A$8:$M$29,4,FALSE),
IF($A162&lt;'Swing Joints'!$A$496,VLOOKUP($A162,'Swing Joints'!$A$9:$M$495,4,FALSE),
IF($A162&lt;'Swing Joints Components'!$A$135,VLOOKUP($A162,'Swing Joints Components'!$A$9:$M$134,4,FALSE),
IF($A162&lt;Nonstandard!$A$42,VLOOKUP($A162,Nonstandard!$A$31:$J$41,5,FALSE),"")))))))))))))))))))))))))))),"")</f>
        <v/>
      </c>
      <c r="C162" s="420" t="str">
        <f>IFERROR(IF($A162&lt;'DWV PVC'!$A$285,VLOOKUP($A162,'DWV PVC'!$A$8:$M$284,5,FALSE),
IF($A162&lt;'DWV ABS'!$A$117,VLOOKUP($A162,'DWV ABS'!$A$8:$M$116,5,FALSE),
IF($A162&lt;'PVC SCH40'!$A$376,VLOOKUP($A162,'PVC SCH40'!$A$8:$M$375,5,FALSE),
IF($A162&lt;'PVC SCH40 LD'!$A$22,VLOOKUP($A162,'PVC SCH40 LD'!$A$8:$M$21,5,FALSE),
IF($A162&lt;'Pool &amp; SPA Sweep Elbows'!$A$12,VLOOKUP($A162,'Pool &amp; SPA Sweep Elbows'!$A$8:$M$11,5,FALSE),
IF($A162&lt;'Pool &amp; SPA Pipe Extender'!$A$11,VLOOKUP($A162,'Pool &amp; SPA Pipe Extender'!$A$8:$M$10,5,FALSE),
IF($A162&lt;'PVC SCH80'!$A$250,VLOOKUP($A162,'PVC SCH80'!$A$8:$M$249,5,FALSE),
IF($A162&lt;'PVC SCH80 Flange'!$A$49,VLOOKUP($A162,'PVC SCH80 Flange'!$A$8:$M$48,5,FALSE),
IF($A162&lt;'PVC SCH80 LD Flange'!$A$17,VLOOKUP($A162,'PVC SCH80 LD Flange'!$A$8:$M$16,5,FALSE),
IF($A162&lt;CPVC!$A$100,VLOOKUP($A162,CPVC!$A$8:$M$99,5,FALSE),
IF($A162&lt;InsertFittings!$A$237,VLOOKUP($A162,InsertFittings!$A$11:$M$236,5,FALSE),
IF($A162&lt;Valves!$A$132,VLOOKUP($A162,Valves!$A$8:$M$131,5,FALSE),
IF($A162&lt;SDR35SW!$A$124,VLOOKUP($A162,SDR35SW!$A$8:$M$123,5,FALSE),
IF($A162&lt;SDR35G!$A$143,VLOOKUP($A162, SDR35G!$A$8:$M$142,5,FALSE),
IF($A162&lt;SDR26G!$A$61,VLOOKUP($A162,SDR26G!$A$8:$N$60,5,FALSE),
IF($A162&lt;Cements!$A$100,VLOOKUP($A162,Cements!$A$8:$Q$99,5,FALSE),
IF($A162&lt;ValveBox!$A$143,VLOOKUP($A162,ValveBox!$A$10:$O$142,5,FALSE),
IF($A162&lt;'ValveBox Components'!$A$165,VLOOKUP($A162,'ValveBox Components'!$A$10:$O$164,5,FALSE),
IF($A162&lt;Drainage!$A$92,VLOOKUP($A162,Drainage!$A$8:$M$91,5,FALSE),
IF($A162&lt;Nipples!$A$82,VLOOKUP($A162,Nipples!$A$9:$Q$81,5,FALSE),
IF($A162&lt;Manifold!$A$33,VLOOKUP($A162,Manifold!$A$9:$M$32,5,FALSE),
IF($A162&lt;FlexibleRepairCouplings!$A$13,VLOOKUP($A162,FlexibleRepairCouplings!$A$10:$M$12,5,FALSE),
IF($A162&lt;DuraFix!$A$15,VLOOKUP($A162,DuraFix!$A$9:$M$14,5,FALSE),
IF($A162&lt;'Compression Fittings'!$A$16,VLOOKUP($A162,'Compression Fittings'!$A$8:$M$15,5,FALSE),
IF($A162&lt;'Hose Fittings'!$A$30,VLOOKUP($A162,'Hose Fittings'!$A$8:$M$29,5,FALSE),
IF($A162&lt;'Swing Joints'!$A$496,VLOOKUP($A162,'Swing Joints'!$A$9:$M$495,5,FALSE),
IF($A162&lt;'Swing Joints Components'!$A$135,VLOOKUP($A162,'Swing Joints Components'!$A$9:$M$134,5,FALSE),
IF($A162&lt;Nonstandard!$A$42,VLOOKUP($A162,Nonstandard!$A$31:$J$41,6,FALSE),"")))))))))))))))))))))))))))),"")</f>
        <v/>
      </c>
      <c r="D162" s="428" t="str">
        <f>IFERROR(IF($A162&lt;'DWV PVC'!$A$285,VLOOKUP($A162,'DWV PVC'!$A$8:$M$284,6,FALSE),
IF($A162&lt;'DWV ABS'!$A$117,VLOOKUP($A162,'DWV ABS'!$A$8:$M$116,6,FALSE),
IF($A162&lt;'PVC SCH40'!$A$376,VLOOKUP($A162,'PVC SCH40'!$A$8:$M$375,6,FALSE),
IF($A162&lt;'PVC SCH40 LD'!$A$22,VLOOKUP($A162,'PVC SCH40 LD'!$A$8:$M$21,6,FALSE),
IF($A162&lt;'Pool &amp; SPA Sweep Elbows'!$A$12,VLOOKUP($A162,'Pool &amp; SPA Sweep Elbows'!$A$8:$M$11,6,FALSE),
IF($A162&lt;'Pool &amp; SPA Pipe Extender'!$A$11,VLOOKUP($A162,'Pool &amp; SPA Pipe Extender'!$A$8:$M$10,6,FALSE),
IF($A162&lt;'PVC SCH80'!$A$250,VLOOKUP($A162,'PVC SCH80'!$A$8:$M$249,6,FALSE),
IF($A162&lt;'PVC SCH80 Flange'!$A$49,VLOOKUP($A162,'PVC SCH80 Flange'!$A$8:$M$48,6,FALSE),
IF($A162&lt;'PVC SCH80 LD Flange'!$A$17,VLOOKUP($A162,'PVC SCH80 LD Flange'!$A$8:$M$16,6,FALSE),
IF($A162&lt;CPVC!$A$100,VLOOKUP($A162,CPVC!$A$8:$M$99,6,FALSE),
IF($A162&lt;InsertFittings!$A$237,VLOOKUP($A162,InsertFittings!$A$11:$M$236,6,FALSE),
IF($A162&lt;Valves!$A$132,VLOOKUP($A162,Valves!$A$8:$M$131,6,FALSE),
IF($A162&lt;SDR35SW!$A$124,VLOOKUP($A162,SDR35SW!$A$8:$M$123,6,FALSE),
IF($A162&lt;SDR35G!$A$143,VLOOKUP($A162, SDR35G!$A$8:$M$142,6,FALSE),
IF($A162&lt;SDR26G!$A$61,VLOOKUP($A162,SDR26G!$A$8:$N$60,6,FALSE),
IF($A162&lt;Cements!$A$100,VLOOKUP($A162,Cements!$A$8:$Q$99,6,FALSE),
IF($A162&lt;ValveBox!$A$143,VLOOKUP($A162,ValveBox!$A$10:$O$142,6,FALSE),
IF($A162&lt;'ValveBox Components'!$A$165,VLOOKUP($A162,'ValveBox Components'!$A$10:$O$164,6,FALSE),
IF($A162&lt;Drainage!$A$92,VLOOKUP($A162,Drainage!$A$8:$M$91,6,FALSE),
IF($A162&lt;Nipples!$A$82,VLOOKUP($A162,Nipples!$A$9:$Q$81,6,FALSE),
IF($A162&lt;Manifold!$A$33,VLOOKUP($A162,Manifold!$A$9:$M$32,6,FALSE),
IF($A162&lt;FlexibleRepairCouplings!$A$13,VLOOKUP($A162,FlexibleRepairCouplings!$A$10:$M$12,6,FALSE),
IF($A162&lt;DuraFix!$A$15,VLOOKUP($A162,DuraFix!$A$9:$M$14,6,FALSE),
IF($A162&lt;'Compression Fittings'!$A$16,VLOOKUP($A162,'Compression Fittings'!$A$8:$M$15,6,FALSE),
IF($A162&lt;'Hose Fittings'!$A$30,VLOOKUP($A162,'Hose Fittings'!$A$8:$M$29,6,FALSE),
IF($A162&lt;'Swing Joints'!$A$496,VLOOKUP($A162,'Swing Joints'!$A$9:$M$495,6,FALSE),
IF($A162&lt;'Swing Joints Components'!$A$135,VLOOKUP($A162,'Swing Joints Components'!$A$9:$M$134,6,FALSE),
IF($A162&lt;Nonstandard!$A$42,VLOOKUP($A162,Nonstandard!$A$31:$J$41,7,FALSE),"")))))))))))))))))))))))))))),"")</f>
        <v/>
      </c>
      <c r="E162" s="429"/>
      <c r="F162" s="421" t="str">
        <f>IFERROR(IF($A162&lt;'DWV PVC'!$A$285,VLOOKUP($A162,'DWV PVC'!$A$8:$M$284,9,FALSE),
IF($A162&lt;'DWV ABS'!$A$117,VLOOKUP($A162,'DWV ABS'!$A$8:$M$116,9,FALSE),
IF($A162&lt;'PVC SCH40'!$A$376,VLOOKUP($A162,'PVC SCH40'!$A$8:$M$375,9,FALSE),
IF($A162&lt;'PVC SCH40 LD'!$A$22,VLOOKUP($A162,'PVC SCH40 LD'!$A$8:$M$21,9,FALSE),
IF($A162&lt;'Pool &amp; SPA Sweep Elbows'!$A$12,VLOOKUP($A162,'Pool &amp; SPA Sweep Elbows'!$A$8:$M$11,9,FALSE),
IF($A162&lt;'Pool &amp; SPA Pipe Extender'!$A$11,VLOOKUP($A162,'Pool &amp; SPA Pipe Extender'!$A$8:$M$10,9,FALSE),
IF($A162&lt;'PVC SCH80'!$A$250,VLOOKUP($A162,'PVC SCH80'!$A$8:$M$249,9,FALSE),
IF($A162&lt;'PVC SCH80 Flange'!$A$49,VLOOKUP($A162,'PVC SCH80 Flange'!$A$8:$M$48,9,FALSE),
IF($A162&lt;'PVC SCH80 LD Flange'!$A$17,VLOOKUP($A162,'PVC SCH80 LD Flange'!$A$8:$M$16,9,FALSE),
IF($A162&lt;CPVC!$A$100,VLOOKUP($A162,CPVC!$A$8:$M$99,9,FALSE),
IF($A162&lt;InsertFittings!$A$237,VLOOKUP($A162,InsertFittings!$A$11:$M$236,9,FALSE),
IF($A162&lt;Valves!$A$132,VLOOKUP($A162,Valves!$A$8:$M$131,9,FALSE),
IF($A162&lt;SDR35SW!$A$124,VLOOKUP($A162,SDR35SW!$A$8:$M$123,9,FALSE),
IF($A162&lt;SDR35G!$A$143,VLOOKUP($A162, SDR35G!$A$8:$M$142,9,FALSE),
IF($A162&lt;SDR26G!$A$61,VLOOKUP($A162,SDR26G!$A$8:$N$60,10,FALSE),
IF($A162&lt;Cements!$A$100,VLOOKUP($A162,Cements!$A$8:$Q$99,13,FALSE),
IF($A162&lt;ValveBox!$A$143,VLOOKUP($A162,ValveBox!$A$10:$O$142,11,FALSE),
IF($A162&lt;'ValveBox Components'!$A$165,VLOOKUP($A162,'ValveBox Components'!$A$10:$O$164,11,FALSE),
IF($A162&lt;Drainage!$A$92,VLOOKUP($A162,Drainage!$A$8:$M$91,9,FALSE),
IF($A162&lt;Nipples!$A$82,VLOOKUP($A162,Nipples!$A$9:$Q$81,13,FALSE),
IF($A162&lt;Manifold!$A$33,VLOOKUP($A162,Manifold!$A$9:$M$32,9,FALSE),
IF($A162&lt;FlexibleRepairCouplings!$A$13,VLOOKUP($A162,FlexibleRepairCouplings!$A$10:$M$12,9,FALSE),
IF($A162&lt;DuraFix!$A$15,VLOOKUP($A162,DuraFix!$A$9:$M$14,9,FALSE),
IF($A162&lt;'Compression Fittings'!$A$16,VLOOKUP($A162,'Compression Fittings'!$A$8:$M$15,9,FALSE),
IF($A162&lt;'Hose Fittings'!$A$30,VLOOKUP($A162,'Hose Fittings'!$A$8:$M$29,9,FALSE),
IF($A162&lt;'Swing Joints'!$A$496,VLOOKUP($A162,'Swing Joints'!$A$9:$M$495,9,FALSE),
IF($A162&lt;'Swing Joints Components'!$A$135,VLOOKUP($A162,'Swing Joints Components'!$A$9:$M$134,9,FALSE),
IF($A162&lt;Nonstandard!$A$42,VLOOKUP($A162,Nonstandard!$A$31:$J$41,8,FALSE),"")))))))))))))))))))))))))))),"")</f>
        <v/>
      </c>
      <c r="G162" s="422" t="str">
        <f>IFERROR(IF($A162&lt;'DWV PVC'!$A$285,VLOOKUP($A162,'DWV PVC'!$A$8:$M$284,11,FALSE),
IF($A162&lt;'DWV ABS'!$A$117,VLOOKUP($A162,'DWV ABS'!$A$8:$M$116,11,FALSE),
IF($A162&lt;'PVC SCH40'!$A$376,VLOOKUP($A162,'PVC SCH40'!$A$8:$M$375,11,FALSE),
IF($A162&lt;'PVC SCH40 LD'!$A$22,VLOOKUP($A162,'PVC SCH40 LD'!$A$8:$M$21,11,FALSE),
IF($A162&lt;'Pool &amp; SPA Sweep Elbows'!$A$12,VLOOKUP($A162,'Pool &amp; SPA Sweep Elbows'!$A$8:$M$11,11,FALSE),
IF($A162&lt;'Pool &amp; SPA Pipe Extender'!$A$11,VLOOKUP($A162,'Pool &amp; SPA Pipe Extender'!$A$8:$M$10,11,FALSE),
IF($A162&lt;'PVC SCH80'!$A$250,VLOOKUP($A162,'PVC SCH80'!$A$8:$M$249,11,FALSE),
IF($A162&lt;'PVC SCH80 Flange'!$A$49,VLOOKUP($A162,'PVC SCH80 Flange'!$A$8:$M$48,11,FALSE),
IF($A162&lt;'PVC SCH80 LD Flange'!$A$17,VLOOKUP($A162,'PVC SCH80 LD Flange'!$A$8:$M$16,11,FALSE),
IF($A162&lt;CPVC!$A$100,VLOOKUP($A162,CPVC!$A$8:$M$99,11,FALSE),
IF($A162&lt;InsertFittings!$A$237,VLOOKUP($A162,InsertFittings!$A$11:$M$236,11,FALSE),
IF($A162&lt;Valves!$A$132,VLOOKUP($A162,Valves!$A$8:$M$131,11,FALSE),
IF($A162&lt;SDR35SW!$A$124,VLOOKUP($A162,SDR35SW!$A$8:$M$123,11,FALSE),
IF($A162&lt;SDR35G!$A$143,VLOOKUP($A162, SDR35G!$A$8:$M$142,11,FALSE),
IF($A162&lt;SDR26G!$A$61,VLOOKUP($A162,SDR26G!$A$8:$N$60,12,FALSE),
IF($A162&lt;Cements!$A$100,VLOOKUP($A162,Cements!$A$8:$Q$99,15,FALSE),
IF($A162&lt;ValveBox!$A$143,VLOOKUP($A162,ValveBox!$A$10:$O$142,13,FALSE),
IF($A162&lt;'ValveBox Components'!$A$165,VLOOKUP($A162,'ValveBox Components'!$A$10:$O$164,13,FALSE),
IF($A162&lt;Drainage!$A$92,VLOOKUP($A162,Drainage!$A$8:$M$91,11,FALSE),
IF($A162&lt;Nipples!$A$82,VLOOKUP($A162,Nipples!$A$9:$Q$81,15,FALSE),
IF($A162&lt;Manifold!$A$33,VLOOKUP($A162,Manifold!$A$9:$M$32,11,FALSE),
IF($A162&lt;FlexibleRepairCouplings!$A$13,VLOOKUP($A162,FlexibleRepairCouplings!$A$10:$M$12,11,FALSE),
IF($A162&lt;DuraFix!$A$15,VLOOKUP($A162,DuraFix!$A$9:$M$14,11,FALSE),
IF($A162&lt;'Compression Fittings'!$A$16,VLOOKUP($A162,'Compression Fittings'!$A$8:$M$15,11,FALSE),
IF($A162&lt;'Hose Fittings'!$A$30,VLOOKUP($A162,'Hose Fittings'!$A$8:$M$29,11,FALSE),
IF($A162&lt;'Swing Joints'!$A$496,VLOOKUP($A162,'Swing Joints'!$A$9:$M$495,11,FALSE),
IF($A162&lt;'Swing Joints Components'!$A$135,VLOOKUP($A162,'Swing Joints Components'!$A$9:$M$134,11,FALSE),
IF($A162&lt;Nonstandard!$A$42,VLOOKUP($A162,Nonstandard!$A$31:$J$41,3,FALSE),"")))))))))))))))))))))))))))),"")</f>
        <v/>
      </c>
      <c r="H162" s="588" t="str">
        <f>IFERROR(IF($A162&lt;'DWV PVC'!$A$285,VLOOKUP($A162,'DWV PVC'!$A$8:$M$284,7,FALSE),
IF($A162&lt;'DWV ABS'!$A$117,VLOOKUP($A162,'DWV ABS'!$A$8:$M$116,7,FALSE),
IF($A162&lt;'PVC SCH40'!$A$376,VLOOKUP($A162,'PVC SCH40'!$A$8:$M$375,7,FALSE),
IF($A162&lt;'PVC SCH40 LD'!$A$22,VLOOKUP($A162,'PVC SCH40 LD'!$A$8:$M$21,7,FALSE),
IF($A162&lt;'Pool &amp; SPA Sweep Elbows'!$A$12,VLOOKUP($A162,'Pool &amp; SPA Sweep Elbows'!$A$8:$M$11,7,FALSE),
IF($A162&lt;'Pool &amp; SPA Pipe Extender'!$A$11,VLOOKUP($A162,'Pool &amp; SPA Pipe Extender'!$A$8:$M$10,7,FALSE),
IF($A162&lt;'PVC SCH80'!$A$250,VLOOKUP($A162,'PVC SCH80'!$A$8:$M$249,7,FALSE),
IF($A162&lt;'PVC SCH80 Flange'!$A$49,VLOOKUP($A162,'PVC SCH80 Flange'!$A$8:$M$48,7,FALSE),
IF($A162&lt;'PVC SCH80 LD Flange'!$A$17,VLOOKUP($A162,'PVC SCH80 LD Flange'!$A$8:$M$16,7,FALSE),
IF($A162&lt;CPVC!$A$100,VLOOKUP($A162,CPVC!$A$8:$M$99,7,FALSE),
IF($A162&lt;InsertFittings!$A$237,VLOOKUP($A162,InsertFittings!$A$11:$M$236,7,FALSE),
IF($A162&lt;Valves!$A$132,VLOOKUP($A162,Valves!$A$8:$M$131,7,FALSE),
IF($A162&lt;SDR35SW!$A$124,VLOOKUP($A162,SDR35SW!$A$8:$M$123,7,FALSE),
IF($A162&lt;SDR35G!$A$143,VLOOKUP($A162, SDR35G!$A$8:$M$142,7,FALSE),
IF($A162&lt;SDR26G!$A$61,VLOOKUP($A162,SDR26G!$A$8:$N$60,10,FALSE),
IF($A162&lt;Cements!$A$100,VLOOKUP($A162,Cements!$A$8:$Q$99,13,FALSE),
IF($A162&lt;ValveBox!$A$143,VLOOKUP($A162,ValveBox!$A$10:$O$142,11,FALSE),
IF($A162&lt;'ValveBox Components'!$A$165,VLOOKUP($A162,'ValveBox Components'!$A$10:$O$164,11,FALSE),
IF($A162&lt;Drainage!$A$92,VLOOKUP($A162,Drainage!$A$8:$M$91,7,FALSE),
IF($A162&lt;Nipples!$A$82,VLOOKUP($A162,Nipples!$A$9:$Q$81,13,FALSE),
IF($A162&lt;Manifold!$A$33,VLOOKUP($A162,Manifold!$A$9:$M$32,7,FALSE),
IF($A162&lt;FlexibleRepairCouplings!$A$13,VLOOKUP($A162,FlexibleRepairCouplings!$A$10:$M$12,7,FALSE),
IF($A162&lt;DuraFix!$A$15,VLOOKUP($A162,DuraFix!$A$9:$M$14,7,FALSE),
IF($A162&lt;'Compression Fittings'!$A$16,VLOOKUP($A162,'Compression Fittings'!$A$8:$M$15,7,FALSE),
IF($A162&lt;'Hose Fittings'!$A$30,VLOOKUP($A162,'Hose Fittings'!$A$8:$M$29,7,FALSE),
IF($A162&lt;'Swing Joints'!$A$496,VLOOKUP($A162,'Swing Joints'!$A$9:$M$495,7,FALSE),
IF($A162&lt;'Swing Joints Components'!$A$135,VLOOKUP($A162,'Swing Joints Components'!$A$9:$M$134,7,FALSE),
IF($A162&lt;Nonstandard!$A$42,VLOOKUP($A162,Nonstandard!$A$31:$J$41,3,FALSE),"")))))))))))))))))))))))))))),"")</f>
        <v/>
      </c>
      <c r="I162" s="589"/>
      <c r="J162" s="423" t="str">
        <f t="shared" ref="J162:J221" si="5">IFERROR(G162/H162,"")</f>
        <v/>
      </c>
      <c r="K162" s="424" t="str">
        <f>IFERROR(IF($A162&lt;'DWV PVC'!$A$285,VLOOKUP($A162,'DWV PVC'!$A$8:$M$284,10,FALSE),
IF($A162&lt;'DWV ABS'!$A$117,VLOOKUP($A162,'DWV ABS'!$A$8:$M$116,10,FALSE),
IF($A162&lt;'PVC SCH40'!$A$376,VLOOKUP($A162,'PVC SCH40'!$A$8:$M$375,10,FALSE),
IF($A162&lt;'PVC SCH40 LD'!$A$22,VLOOKUP($A162,'PVC SCH40 LD'!$A$8:$M$21,10,FALSE),
IF($A162&lt;'Pool &amp; SPA Sweep Elbows'!$A$12,VLOOKUP($A162,'Pool &amp; SPA Sweep Elbows'!$A$8:$M$11,10,FALSE),
IF($A162&lt;'Pool &amp; SPA Pipe Extender'!$A$11,VLOOKUP($A162,'Pool &amp; SPA Pipe Extender'!$A$8:$M$10,10,FALSE),
IF($A162&lt;'PVC SCH80'!$A$250,VLOOKUP($A162,'PVC SCH80'!$A$8:$M$249,10,FALSE),
IF($A162&lt;'PVC SCH80 Flange'!$A$49,VLOOKUP($A162,'PVC SCH80 Flange'!$A$8:$M$48,10,FALSE),
IF($A162&lt;'PVC SCH80 LD Flange'!$A$17,VLOOKUP($A162,'PVC SCH80 LD Flange'!$A$8:$M$16,10,FALSE),
IF($A162&lt;CPVC!$A$100,VLOOKUP($A162,CPVC!$A$8:$M$99,10,FALSE),
IF($A162&lt;InsertFittings!$A$237,VLOOKUP($A162,InsertFittings!$A$11:$M$236,10,FALSE),
IF($A162&lt;Valves!$A$132,VLOOKUP($A162,Valves!$A$8:$M$131,10,FALSE),
IF($A162&lt;SDR35SW!$A$124,VLOOKUP($A162,SDR35SW!$A$8:$M$123,10,FALSE),
IF($A162&lt;SDR35G!$A$143,VLOOKUP($A162, SDR35G!$A$8:$M$142,10,FALSE),
IF($A162&lt;SDR26G!$A$61,VLOOKUP($A162,SDR26G!$A$8:$N$60,11,FALSE),
IF($A162&lt;Cements!$A$100,VLOOKUP($A162,Cements!$A$8:$Q$99,14,FALSE),
IF($A162&lt;ValveBox!$A$143,VLOOKUP($A162,ValveBox!$A$10:$O$142,12,FALSE),
IF($A162&lt;'ValveBox Components'!$A$165,VLOOKUP($A162,'ValveBox Components'!$A$10:$O$164,12,FALSE),
IF($A162&lt;Drainage!$A$92,VLOOKUP($A162,Drainage!$A$8:$M$91,10,FALSE),
IF($A162&lt;Nipples!$A$82,VLOOKUP($A162,Nipples!$A$9:$Q$81,14,FALSE),
IF($A162&lt;Manifold!$A$33,VLOOKUP($A162,Manifold!$A$9:$M$32,10,FALSE),
IF($A162&lt;FlexibleRepairCouplings!$A$13,VLOOKUP($A162,FlexibleRepairCouplings!$A$10:$M$12,10,FALSE),
IF($A162&lt;DuraFix!$A$15,VLOOKUP($A162,DuraFix!$A$9:$M$14,10,FALSE),
IF($A162&lt;'Compression Fittings'!$A$16,VLOOKUP($A162,'Compression Fittings'!$A$8:$M$15,10,FALSE),
IF($A162&lt;'Hose Fittings'!$A$30,VLOOKUP($A162,'Hose Fittings'!$A$8:$M$29,10,FALSE),
IF($A162&lt;'Swing Joints'!$A$496,VLOOKUP($A162,'Swing Joints'!$A$9:$M$495,10,FALSE),
IF($A162&lt;'Swing Joints Components'!$A$135,VLOOKUP($A162,'Swing Joints Components'!$A$9:$M$134,10,FALSE),
IF($A162&lt;Nonstandard!$A$42,VLOOKUP($A162,Nonstandard!$A$31:$J$41,10,FALSE),"")))))))))))))))))))))))))))),"")</f>
        <v/>
      </c>
      <c r="L162" s="421" t="str">
        <f t="shared" si="4"/>
        <v>-</v>
      </c>
      <c r="M162" s="425"/>
    </row>
    <row r="163" spans="1:13" ht="15.75">
      <c r="A163" s="415">
        <v>131</v>
      </c>
      <c r="B163" s="415" t="str">
        <f>IFERROR(IF($A163&lt;'DWV PVC'!$A$285,VLOOKUP($A163,'DWV PVC'!$A$8:$M$284,4,FALSE),
IF($A163&lt;'DWV ABS'!$A$117,VLOOKUP($A163,'DWV ABS'!$A$8:$M$116,4,FALSE),
IF($A163&lt;'PVC SCH40'!$A$376,VLOOKUP($A163,'PVC SCH40'!$A$8:$M$375,4,FALSE),
IF($A163&lt;'PVC SCH40 LD'!$A$22,VLOOKUP($A163,'PVC SCH40 LD'!$A$8:$M$21,4,FALSE),
IF($A163&lt;'Pool &amp; SPA Sweep Elbows'!$A$12,VLOOKUP($A163,'Pool &amp; SPA Sweep Elbows'!$A$8:$M$11,4,FALSE),
IF($A163&lt;'Pool &amp; SPA Pipe Extender'!$A$11,VLOOKUP($A163,'Pool &amp; SPA Pipe Extender'!$A$8:$M$10,4,FALSE),
IF($A163&lt;'PVC SCH80'!$A$250,VLOOKUP($A163,'PVC SCH80'!$A$8:$M$249,4,FALSE),
IF($A163&lt;'PVC SCH80 Flange'!$A$49,VLOOKUP($A163,'PVC SCH80 Flange'!$A$8:$M$48,4,FALSE),
IF($A163&lt;'PVC SCH80 LD Flange'!$A$17,VLOOKUP($A163,'PVC SCH80 LD Flange'!$A$8:$M$16,4,FALSE),
IF($A163&lt;CPVC!$A$100,VLOOKUP($A163,CPVC!$A$8:$M$99,4,FALSE),
IF($A163&lt;InsertFittings!$A$237,VLOOKUP($A163,InsertFittings!$A$11:$M$236,4,FALSE),
IF($A163&lt;Valves!$A$132,VLOOKUP($A163,Valves!$A$8:$M$131,4,FALSE),
IF($A163&lt;SDR35SW!$A$124,VLOOKUP($A163,SDR35SW!$A$8:$M$123,4,FALSE),
IF($A163&lt;SDR35G!$A$143,VLOOKUP($A163, SDR35G!$A$8:$M$142,4,FALSE),
IF($A163&lt;SDR26G!$A$61,VLOOKUP($A163,SDR26G!$A$8:$N$60,4,FALSE),
IF($A163&lt;Cements!$A$100,VLOOKUP($A163,Cements!$A$8:$Q$99,4,FALSE),
IF($A163&lt;ValveBox!$A$143,VLOOKUP($A163,ValveBox!$A$10:$O$142,4,FALSE),
IF($A163&lt;'ValveBox Components'!$A$165,VLOOKUP($A163,'ValveBox Components'!$A$10:$O$164,4,FALSE),
IF($A163&lt;Drainage!$A$92,VLOOKUP($A163,Drainage!$A$8:$M$91,4,FALSE),
IF($A163&lt;Nipples!$A$82,VLOOKUP($A163,Nipples!$A$9:$Q$81,4,FALSE),
IF($A163&lt;Manifold!$A$33,VLOOKUP($A163,Manifold!$A$9:$M$32,4,FALSE),
IF($A163&lt;FlexibleRepairCouplings!$A$13,VLOOKUP($A163,FlexibleRepairCouplings!$A$10:$M$12,4,FALSE),
IF($A163&lt;DuraFix!$A$15,VLOOKUP($A163,DuraFix!$A$9:$M$14,4,FALSE),
IF($A163&lt;'Compression Fittings'!$A$16,VLOOKUP($A163,'Compression Fittings'!$A$8:$M$15,4,FALSE),
IF($A163&lt;'Hose Fittings'!$A$30,VLOOKUP($A163,'Hose Fittings'!$A$8:$M$29,4,FALSE),
IF($A163&lt;'Swing Joints'!$A$496,VLOOKUP($A163,'Swing Joints'!$A$9:$M$495,4,FALSE),
IF($A163&lt;'Swing Joints Components'!$A$135,VLOOKUP($A163,'Swing Joints Components'!$A$9:$M$134,4,FALSE),
IF($A163&lt;Nonstandard!$A$42,VLOOKUP($A163,Nonstandard!$A$31:$J$41,5,FALSE),"")))))))))))))))))))))))))))),"")</f>
        <v/>
      </c>
      <c r="C163" s="415" t="str">
        <f>IFERROR(IF($A163&lt;'DWV PVC'!$A$285,VLOOKUP($A163,'DWV PVC'!$A$8:$M$284,5,FALSE),
IF($A163&lt;'DWV ABS'!$A$117,VLOOKUP($A163,'DWV ABS'!$A$8:$M$116,5,FALSE),
IF($A163&lt;'PVC SCH40'!$A$376,VLOOKUP($A163,'PVC SCH40'!$A$8:$M$375,5,FALSE),
IF($A163&lt;'PVC SCH40 LD'!$A$22,VLOOKUP($A163,'PVC SCH40 LD'!$A$8:$M$21,5,FALSE),
IF($A163&lt;'Pool &amp; SPA Sweep Elbows'!$A$12,VLOOKUP($A163,'Pool &amp; SPA Sweep Elbows'!$A$8:$M$11,5,FALSE),
IF($A163&lt;'Pool &amp; SPA Pipe Extender'!$A$11,VLOOKUP($A163,'Pool &amp; SPA Pipe Extender'!$A$8:$M$10,5,FALSE),
IF($A163&lt;'PVC SCH80'!$A$250,VLOOKUP($A163,'PVC SCH80'!$A$8:$M$249,5,FALSE),
IF($A163&lt;'PVC SCH80 Flange'!$A$49,VLOOKUP($A163,'PVC SCH80 Flange'!$A$8:$M$48,5,FALSE),
IF($A163&lt;'PVC SCH80 LD Flange'!$A$17,VLOOKUP($A163,'PVC SCH80 LD Flange'!$A$8:$M$16,5,FALSE),
IF($A163&lt;CPVC!$A$100,VLOOKUP($A163,CPVC!$A$8:$M$99,5,FALSE),
IF($A163&lt;InsertFittings!$A$237,VLOOKUP($A163,InsertFittings!$A$11:$M$236,5,FALSE),
IF($A163&lt;Valves!$A$132,VLOOKUP($A163,Valves!$A$8:$M$131,5,FALSE),
IF($A163&lt;SDR35SW!$A$124,VLOOKUP($A163,SDR35SW!$A$8:$M$123,5,FALSE),
IF($A163&lt;SDR35G!$A$143,VLOOKUP($A163, SDR35G!$A$8:$M$142,5,FALSE),
IF($A163&lt;SDR26G!$A$61,VLOOKUP($A163,SDR26G!$A$8:$N$60,5,FALSE),
IF($A163&lt;Cements!$A$100,VLOOKUP($A163,Cements!$A$8:$Q$99,5,FALSE),
IF($A163&lt;ValveBox!$A$143,VLOOKUP($A163,ValveBox!$A$10:$O$142,5,FALSE),
IF($A163&lt;'ValveBox Components'!$A$165,VLOOKUP($A163,'ValveBox Components'!$A$10:$O$164,5,FALSE),
IF($A163&lt;Drainage!$A$92,VLOOKUP($A163,Drainage!$A$8:$M$91,5,FALSE),
IF($A163&lt;Nipples!$A$82,VLOOKUP($A163,Nipples!$A$9:$Q$81,5,FALSE),
IF($A163&lt;Manifold!$A$33,VLOOKUP($A163,Manifold!$A$9:$M$32,5,FALSE),
IF($A163&lt;FlexibleRepairCouplings!$A$13,VLOOKUP($A163,FlexibleRepairCouplings!$A$10:$M$12,5,FALSE),
IF($A163&lt;DuraFix!$A$15,VLOOKUP($A163,DuraFix!$A$9:$M$14,5,FALSE),
IF($A163&lt;'Compression Fittings'!$A$16,VLOOKUP($A163,'Compression Fittings'!$A$8:$M$15,5,FALSE),
IF($A163&lt;'Hose Fittings'!$A$30,VLOOKUP($A163,'Hose Fittings'!$A$8:$M$29,5,FALSE),
IF($A163&lt;'Swing Joints'!$A$496,VLOOKUP($A163,'Swing Joints'!$A$9:$M$495,5,FALSE),
IF($A163&lt;'Swing Joints Components'!$A$135,VLOOKUP($A163,'Swing Joints Components'!$A$9:$M$134,5,FALSE),
IF($A163&lt;Nonstandard!$A$42,VLOOKUP($A163,Nonstandard!$A$31:$J$41,6,FALSE),"")))))))))))))))))))))))))))),"")</f>
        <v/>
      </c>
      <c r="D163" s="426" t="str">
        <f>IFERROR(IF($A163&lt;'DWV PVC'!$A$285,VLOOKUP($A163,'DWV PVC'!$A$8:$M$284,6,FALSE),
IF($A163&lt;'DWV ABS'!$A$117,VLOOKUP($A163,'DWV ABS'!$A$8:$M$116,6,FALSE),
IF($A163&lt;'PVC SCH40'!$A$376,VLOOKUP($A163,'PVC SCH40'!$A$8:$M$375,6,FALSE),
IF($A163&lt;'PVC SCH40 LD'!$A$22,VLOOKUP($A163,'PVC SCH40 LD'!$A$8:$M$21,6,FALSE),
IF($A163&lt;'Pool &amp; SPA Sweep Elbows'!$A$12,VLOOKUP($A163,'Pool &amp; SPA Sweep Elbows'!$A$8:$M$11,6,FALSE),
IF($A163&lt;'Pool &amp; SPA Pipe Extender'!$A$11,VLOOKUP($A163,'Pool &amp; SPA Pipe Extender'!$A$8:$M$10,6,FALSE),
IF($A163&lt;'PVC SCH80'!$A$250,VLOOKUP($A163,'PVC SCH80'!$A$8:$M$249,6,FALSE),
IF($A163&lt;'PVC SCH80 Flange'!$A$49,VLOOKUP($A163,'PVC SCH80 Flange'!$A$8:$M$48,6,FALSE),
IF($A163&lt;'PVC SCH80 LD Flange'!$A$17,VLOOKUP($A163,'PVC SCH80 LD Flange'!$A$8:$M$16,6,FALSE),
IF($A163&lt;CPVC!$A$100,VLOOKUP($A163,CPVC!$A$8:$M$99,6,FALSE),
IF($A163&lt;InsertFittings!$A$237,VLOOKUP($A163,InsertFittings!$A$11:$M$236,6,FALSE),
IF($A163&lt;Valves!$A$132,VLOOKUP($A163,Valves!$A$8:$M$131,6,FALSE),
IF($A163&lt;SDR35SW!$A$124,VLOOKUP($A163,SDR35SW!$A$8:$M$123,6,FALSE),
IF($A163&lt;SDR35G!$A$143,VLOOKUP($A163, SDR35G!$A$8:$M$142,6,FALSE),
IF($A163&lt;SDR26G!$A$61,VLOOKUP($A163,SDR26G!$A$8:$N$60,6,FALSE),
IF($A163&lt;Cements!$A$100,VLOOKUP($A163,Cements!$A$8:$Q$99,6,FALSE),
IF($A163&lt;ValveBox!$A$143,VLOOKUP($A163,ValveBox!$A$10:$O$142,6,FALSE),
IF($A163&lt;'ValveBox Components'!$A$165,VLOOKUP($A163,'ValveBox Components'!$A$10:$O$164,6,FALSE),
IF($A163&lt;Drainage!$A$92,VLOOKUP($A163,Drainage!$A$8:$M$91,6,FALSE),
IF($A163&lt;Nipples!$A$82,VLOOKUP($A163,Nipples!$A$9:$Q$81,6,FALSE),
IF($A163&lt;Manifold!$A$33,VLOOKUP($A163,Manifold!$A$9:$M$32,6,FALSE),
IF($A163&lt;FlexibleRepairCouplings!$A$13,VLOOKUP($A163,FlexibleRepairCouplings!$A$10:$M$12,6,FALSE),
IF($A163&lt;DuraFix!$A$15,VLOOKUP($A163,DuraFix!$A$9:$M$14,6,FALSE),
IF($A163&lt;'Compression Fittings'!$A$16,VLOOKUP($A163,'Compression Fittings'!$A$8:$M$15,6,FALSE),
IF($A163&lt;'Hose Fittings'!$A$30,VLOOKUP($A163,'Hose Fittings'!$A$8:$M$29,6,FALSE),
IF($A163&lt;'Swing Joints'!$A$496,VLOOKUP($A163,'Swing Joints'!$A$9:$M$495,6,FALSE),
IF($A163&lt;'Swing Joints Components'!$A$135,VLOOKUP($A163,'Swing Joints Components'!$A$9:$M$134,6,FALSE),
IF($A163&lt;Nonstandard!$A$42,VLOOKUP($A163,Nonstandard!$A$31:$J$41,7,FALSE),"")))))))))))))))))))))))))))),"")</f>
        <v/>
      </c>
      <c r="E163" s="427"/>
      <c r="F163" s="418" t="str">
        <f>IFERROR(IF($A163&lt;'DWV PVC'!$A$285,VLOOKUP($A163,'DWV PVC'!$A$8:$M$284,9,FALSE),
IF($A163&lt;'DWV ABS'!$A$117,VLOOKUP($A163,'DWV ABS'!$A$8:$M$116,9,FALSE),
IF($A163&lt;'PVC SCH40'!$A$376,VLOOKUP($A163,'PVC SCH40'!$A$8:$M$375,9,FALSE),
IF($A163&lt;'PVC SCH40 LD'!$A$22,VLOOKUP($A163,'PVC SCH40 LD'!$A$8:$M$21,9,FALSE),
IF($A163&lt;'Pool &amp; SPA Sweep Elbows'!$A$12,VLOOKUP($A163,'Pool &amp; SPA Sweep Elbows'!$A$8:$M$11,9,FALSE),
IF($A163&lt;'Pool &amp; SPA Pipe Extender'!$A$11,VLOOKUP($A163,'Pool &amp; SPA Pipe Extender'!$A$8:$M$10,9,FALSE),
IF($A163&lt;'PVC SCH80'!$A$250,VLOOKUP($A163,'PVC SCH80'!$A$8:$M$249,9,FALSE),
IF($A163&lt;'PVC SCH80 Flange'!$A$49,VLOOKUP($A163,'PVC SCH80 Flange'!$A$8:$M$48,9,FALSE),
IF($A163&lt;'PVC SCH80 LD Flange'!$A$17,VLOOKUP($A163,'PVC SCH80 LD Flange'!$A$8:$M$16,9,FALSE),
IF($A163&lt;CPVC!$A$100,VLOOKUP($A163,CPVC!$A$8:$M$99,9,FALSE),
IF($A163&lt;InsertFittings!$A$237,VLOOKUP($A163,InsertFittings!$A$11:$M$236,9,FALSE),
IF($A163&lt;Valves!$A$132,VLOOKUP($A163,Valves!$A$8:$M$131,9,FALSE),
IF($A163&lt;SDR35SW!$A$124,VLOOKUP($A163,SDR35SW!$A$8:$M$123,9,FALSE),
IF($A163&lt;SDR35G!$A$143,VLOOKUP($A163, SDR35G!$A$8:$M$142,9,FALSE),
IF($A163&lt;SDR26G!$A$61,VLOOKUP($A163,SDR26G!$A$8:$N$60,10,FALSE),
IF($A163&lt;Cements!$A$100,VLOOKUP($A163,Cements!$A$8:$Q$99,13,FALSE),
IF($A163&lt;ValveBox!$A$143,VLOOKUP($A163,ValveBox!$A$10:$O$142,11,FALSE),
IF($A163&lt;'ValveBox Components'!$A$165,VLOOKUP($A163,'ValveBox Components'!$A$10:$O$164,11,FALSE),
IF($A163&lt;Drainage!$A$92,VLOOKUP($A163,Drainage!$A$8:$M$91,9,FALSE),
IF($A163&lt;Nipples!$A$82,VLOOKUP($A163,Nipples!$A$9:$Q$81,13,FALSE),
IF($A163&lt;Manifold!$A$33,VLOOKUP($A163,Manifold!$A$9:$M$32,9,FALSE),
IF($A163&lt;FlexibleRepairCouplings!$A$13,VLOOKUP($A163,FlexibleRepairCouplings!$A$10:$M$12,9,FALSE),
IF($A163&lt;DuraFix!$A$15,VLOOKUP($A163,DuraFix!$A$9:$M$14,9,FALSE),
IF($A163&lt;'Compression Fittings'!$A$16,VLOOKUP($A163,'Compression Fittings'!$A$8:$M$15,9,FALSE),
IF($A163&lt;'Hose Fittings'!$A$30,VLOOKUP($A163,'Hose Fittings'!$A$8:$M$29,9,FALSE),
IF($A163&lt;'Swing Joints'!$A$496,VLOOKUP($A163,'Swing Joints'!$A$9:$M$495,9,FALSE),
IF($A163&lt;'Swing Joints Components'!$A$135,VLOOKUP($A163,'Swing Joints Components'!$A$9:$M$134,9,FALSE),
IF($A163&lt;Nonstandard!$A$42,VLOOKUP($A163,Nonstandard!$A$31:$J$41,8,FALSE),"")))))))))))))))))))))))))))),"")</f>
        <v/>
      </c>
      <c r="G163" s="416" t="str">
        <f>IFERROR(IF($A163&lt;'DWV PVC'!$A$285,VLOOKUP($A163,'DWV PVC'!$A$8:$M$284,11,FALSE),
IF($A163&lt;'DWV ABS'!$A$117,VLOOKUP($A163,'DWV ABS'!$A$8:$M$116,11,FALSE),
IF($A163&lt;'PVC SCH40'!$A$376,VLOOKUP($A163,'PVC SCH40'!$A$8:$M$375,11,FALSE),
IF($A163&lt;'PVC SCH40 LD'!$A$22,VLOOKUP($A163,'PVC SCH40 LD'!$A$8:$M$21,11,FALSE),
IF($A163&lt;'Pool &amp; SPA Sweep Elbows'!$A$12,VLOOKUP($A163,'Pool &amp; SPA Sweep Elbows'!$A$8:$M$11,11,FALSE),
IF($A163&lt;'Pool &amp; SPA Pipe Extender'!$A$11,VLOOKUP($A163,'Pool &amp; SPA Pipe Extender'!$A$8:$M$10,11,FALSE),
IF($A163&lt;'PVC SCH80'!$A$250,VLOOKUP($A163,'PVC SCH80'!$A$8:$M$249,11,FALSE),
IF($A163&lt;'PVC SCH80 Flange'!$A$49,VLOOKUP($A163,'PVC SCH80 Flange'!$A$8:$M$48,11,FALSE),
IF($A163&lt;'PVC SCH80 LD Flange'!$A$17,VLOOKUP($A163,'PVC SCH80 LD Flange'!$A$8:$M$16,11,FALSE),
IF($A163&lt;CPVC!$A$100,VLOOKUP($A163,CPVC!$A$8:$M$99,11,FALSE),
IF($A163&lt;InsertFittings!$A$237,VLOOKUP($A163,InsertFittings!$A$11:$M$236,11,FALSE),
IF($A163&lt;Valves!$A$132,VLOOKUP($A163,Valves!$A$8:$M$131,11,FALSE),
IF($A163&lt;SDR35SW!$A$124,VLOOKUP($A163,SDR35SW!$A$8:$M$123,11,FALSE),
IF($A163&lt;SDR35G!$A$143,VLOOKUP($A163, SDR35G!$A$8:$M$142,11,FALSE),
IF($A163&lt;SDR26G!$A$61,VLOOKUP($A163,SDR26G!$A$8:$N$60,12,FALSE),
IF($A163&lt;Cements!$A$100,VLOOKUP($A163,Cements!$A$8:$Q$99,15,FALSE),
IF($A163&lt;ValveBox!$A$143,VLOOKUP($A163,ValveBox!$A$10:$O$142,13,FALSE),
IF($A163&lt;'ValveBox Components'!$A$165,VLOOKUP($A163,'ValveBox Components'!$A$10:$O$164,13,FALSE),
IF($A163&lt;Drainage!$A$92,VLOOKUP($A163,Drainage!$A$8:$M$91,11,FALSE),
IF($A163&lt;Nipples!$A$82,VLOOKUP($A163,Nipples!$A$9:$Q$81,15,FALSE),
IF($A163&lt;Manifold!$A$33,VLOOKUP($A163,Manifold!$A$9:$M$32,11,FALSE),
IF($A163&lt;FlexibleRepairCouplings!$A$13,VLOOKUP($A163,FlexibleRepairCouplings!$A$10:$M$12,11,FALSE),
IF($A163&lt;DuraFix!$A$15,VLOOKUP($A163,DuraFix!$A$9:$M$14,11,FALSE),
IF($A163&lt;'Compression Fittings'!$A$16,VLOOKUP($A163,'Compression Fittings'!$A$8:$M$15,11,FALSE),
IF($A163&lt;'Hose Fittings'!$A$30,VLOOKUP($A163,'Hose Fittings'!$A$8:$M$29,11,FALSE),
IF($A163&lt;'Swing Joints'!$A$496,VLOOKUP($A163,'Swing Joints'!$A$9:$M$495,11,FALSE),
IF($A163&lt;'Swing Joints Components'!$A$135,VLOOKUP($A163,'Swing Joints Components'!$A$9:$M$134,11,FALSE),
IF($A163&lt;Nonstandard!$A$42,VLOOKUP($A163,Nonstandard!$A$31:$J$41,3,FALSE),"")))))))))))))))))))))))))))),"")</f>
        <v/>
      </c>
      <c r="H163" s="586" t="str">
        <f>IFERROR(IF($A163&lt;'DWV PVC'!$A$285,VLOOKUP($A163,'DWV PVC'!$A$8:$M$284,7,FALSE),
IF($A163&lt;'DWV ABS'!$A$117,VLOOKUP($A163,'DWV ABS'!$A$8:$M$116,7,FALSE),
IF($A163&lt;'PVC SCH40'!$A$376,VLOOKUP($A163,'PVC SCH40'!$A$8:$M$375,7,FALSE),
IF($A163&lt;'PVC SCH40 LD'!$A$22,VLOOKUP($A163,'PVC SCH40 LD'!$A$8:$M$21,7,FALSE),
IF($A163&lt;'Pool &amp; SPA Sweep Elbows'!$A$12,VLOOKUP($A163,'Pool &amp; SPA Sweep Elbows'!$A$8:$M$11,7,FALSE),
IF($A163&lt;'Pool &amp; SPA Pipe Extender'!$A$11,VLOOKUP($A163,'Pool &amp; SPA Pipe Extender'!$A$8:$M$10,7,FALSE),
IF($A163&lt;'PVC SCH80'!$A$250,VLOOKUP($A163,'PVC SCH80'!$A$8:$M$249,7,FALSE),
IF($A163&lt;'PVC SCH80 Flange'!$A$49,VLOOKUP($A163,'PVC SCH80 Flange'!$A$8:$M$48,7,FALSE),
IF($A163&lt;'PVC SCH80 LD Flange'!$A$17,VLOOKUP($A163,'PVC SCH80 LD Flange'!$A$8:$M$16,7,FALSE),
IF($A163&lt;CPVC!$A$100,VLOOKUP($A163,CPVC!$A$8:$M$99,7,FALSE),
IF($A163&lt;InsertFittings!$A$237,VLOOKUP($A163,InsertFittings!$A$11:$M$236,7,FALSE),
IF($A163&lt;Valves!$A$132,VLOOKUP($A163,Valves!$A$8:$M$131,7,FALSE),
IF($A163&lt;SDR35SW!$A$124,VLOOKUP($A163,SDR35SW!$A$8:$M$123,7,FALSE),
IF($A163&lt;SDR35G!$A$143,VLOOKUP($A163, SDR35G!$A$8:$M$142,7,FALSE),
IF($A163&lt;SDR26G!$A$61,VLOOKUP($A163,SDR26G!$A$8:$N$60,10,FALSE),
IF($A163&lt;Cements!$A$100,VLOOKUP($A163,Cements!$A$8:$Q$99,13,FALSE),
IF($A163&lt;ValveBox!$A$143,VLOOKUP($A163,ValveBox!$A$10:$O$142,11,FALSE),
IF($A163&lt;'ValveBox Components'!$A$165,VLOOKUP($A163,'ValveBox Components'!$A$10:$O$164,11,FALSE),
IF($A163&lt;Drainage!$A$92,VLOOKUP($A163,Drainage!$A$8:$M$91,7,FALSE),
IF($A163&lt;Nipples!$A$82,VLOOKUP($A163,Nipples!$A$9:$Q$81,13,FALSE),
IF($A163&lt;Manifold!$A$33,VLOOKUP($A163,Manifold!$A$9:$M$32,7,FALSE),
IF($A163&lt;FlexibleRepairCouplings!$A$13,VLOOKUP($A163,FlexibleRepairCouplings!$A$10:$M$12,7,FALSE),
IF($A163&lt;DuraFix!$A$15,VLOOKUP($A163,DuraFix!$A$9:$M$14,7,FALSE),
IF($A163&lt;'Compression Fittings'!$A$16,VLOOKUP($A163,'Compression Fittings'!$A$8:$M$15,7,FALSE),
IF($A163&lt;'Hose Fittings'!$A$30,VLOOKUP($A163,'Hose Fittings'!$A$8:$M$29,7,FALSE),
IF($A163&lt;'Swing Joints'!$A$496,VLOOKUP($A163,'Swing Joints'!$A$9:$M$495,7,FALSE),
IF($A163&lt;'Swing Joints Components'!$A$135,VLOOKUP($A163,'Swing Joints Components'!$A$9:$M$134,7,FALSE),
IF($A163&lt;Nonstandard!$A$42,VLOOKUP($A163,Nonstandard!$A$31:$J$41,3,FALSE),"")))))))))))))))))))))))))))),"")</f>
        <v/>
      </c>
      <c r="I163" s="587"/>
      <c r="J163" s="383" t="str">
        <f t="shared" si="5"/>
        <v/>
      </c>
      <c r="K163" s="417" t="str">
        <f>IFERROR(IF($A163&lt;'DWV PVC'!$A$285,VLOOKUP($A163,'DWV PVC'!$A$8:$M$284,10,FALSE),
IF($A163&lt;'DWV ABS'!$A$117,VLOOKUP($A163,'DWV ABS'!$A$8:$M$116,10,FALSE),
IF($A163&lt;'PVC SCH40'!$A$376,VLOOKUP($A163,'PVC SCH40'!$A$8:$M$375,10,FALSE),
IF($A163&lt;'PVC SCH40 LD'!$A$22,VLOOKUP($A163,'PVC SCH40 LD'!$A$8:$M$21,10,FALSE),
IF($A163&lt;'Pool &amp; SPA Sweep Elbows'!$A$12,VLOOKUP($A163,'Pool &amp; SPA Sweep Elbows'!$A$8:$M$11,10,FALSE),
IF($A163&lt;'Pool &amp; SPA Pipe Extender'!$A$11,VLOOKUP($A163,'Pool &amp; SPA Pipe Extender'!$A$8:$M$10,10,FALSE),
IF($A163&lt;'PVC SCH80'!$A$250,VLOOKUP($A163,'PVC SCH80'!$A$8:$M$249,10,FALSE),
IF($A163&lt;'PVC SCH80 Flange'!$A$49,VLOOKUP($A163,'PVC SCH80 Flange'!$A$8:$M$48,10,FALSE),
IF($A163&lt;'PVC SCH80 LD Flange'!$A$17,VLOOKUP($A163,'PVC SCH80 LD Flange'!$A$8:$M$16,10,FALSE),
IF($A163&lt;CPVC!$A$100,VLOOKUP($A163,CPVC!$A$8:$M$99,10,FALSE),
IF($A163&lt;InsertFittings!$A$237,VLOOKUP($A163,InsertFittings!$A$11:$M$236,10,FALSE),
IF($A163&lt;Valves!$A$132,VLOOKUP($A163,Valves!$A$8:$M$131,10,FALSE),
IF($A163&lt;SDR35SW!$A$124,VLOOKUP($A163,SDR35SW!$A$8:$M$123,10,FALSE),
IF($A163&lt;SDR35G!$A$143,VLOOKUP($A163, SDR35G!$A$8:$M$142,10,FALSE),
IF($A163&lt;SDR26G!$A$61,VLOOKUP($A163,SDR26G!$A$8:$N$60,11,FALSE),
IF($A163&lt;Cements!$A$100,VLOOKUP($A163,Cements!$A$8:$Q$99,14,FALSE),
IF($A163&lt;ValveBox!$A$143,VLOOKUP($A163,ValveBox!$A$10:$O$142,12,FALSE),
IF($A163&lt;'ValveBox Components'!$A$165,VLOOKUP($A163,'ValveBox Components'!$A$10:$O$164,12,FALSE),
IF($A163&lt;Drainage!$A$92,VLOOKUP($A163,Drainage!$A$8:$M$91,10,FALSE),
IF($A163&lt;Nipples!$A$82,VLOOKUP($A163,Nipples!$A$9:$Q$81,14,FALSE),
IF($A163&lt;Manifold!$A$33,VLOOKUP($A163,Manifold!$A$9:$M$32,10,FALSE),
IF($A163&lt;FlexibleRepairCouplings!$A$13,VLOOKUP($A163,FlexibleRepairCouplings!$A$10:$M$12,10,FALSE),
IF($A163&lt;DuraFix!$A$15,VLOOKUP($A163,DuraFix!$A$9:$M$14,10,FALSE),
IF($A163&lt;'Compression Fittings'!$A$16,VLOOKUP($A163,'Compression Fittings'!$A$8:$M$15,10,FALSE),
IF($A163&lt;'Hose Fittings'!$A$30,VLOOKUP($A163,'Hose Fittings'!$A$8:$M$29,10,FALSE),
IF($A163&lt;'Swing Joints'!$A$496,VLOOKUP($A163,'Swing Joints'!$A$9:$M$495,10,FALSE),
IF($A163&lt;'Swing Joints Components'!$A$135,VLOOKUP($A163,'Swing Joints Components'!$A$9:$M$134,10,FALSE),
IF($A163&lt;Nonstandard!$A$42,VLOOKUP($A163,Nonstandard!$A$31:$J$41,10,FALSE),"")))))))))))))))))))))))))))),"")</f>
        <v/>
      </c>
      <c r="L163" s="418" t="str">
        <f t="shared" si="4"/>
        <v>-</v>
      </c>
      <c r="M163" s="419"/>
    </row>
    <row r="164" spans="1:13" ht="15.75">
      <c r="A164" s="420">
        <v>132</v>
      </c>
      <c r="B164" s="420" t="str">
        <f>IFERROR(IF($A164&lt;'DWV PVC'!$A$285,VLOOKUP($A164,'DWV PVC'!$A$8:$M$284,4,FALSE),
IF($A164&lt;'DWV ABS'!$A$117,VLOOKUP($A164,'DWV ABS'!$A$8:$M$116,4,FALSE),
IF($A164&lt;'PVC SCH40'!$A$376,VLOOKUP($A164,'PVC SCH40'!$A$8:$M$375,4,FALSE),
IF($A164&lt;'PVC SCH40 LD'!$A$22,VLOOKUP($A164,'PVC SCH40 LD'!$A$8:$M$21,4,FALSE),
IF($A164&lt;'Pool &amp; SPA Sweep Elbows'!$A$12,VLOOKUP($A164,'Pool &amp; SPA Sweep Elbows'!$A$8:$M$11,4,FALSE),
IF($A164&lt;'Pool &amp; SPA Pipe Extender'!$A$11,VLOOKUP($A164,'Pool &amp; SPA Pipe Extender'!$A$8:$M$10,4,FALSE),
IF($A164&lt;'PVC SCH80'!$A$250,VLOOKUP($A164,'PVC SCH80'!$A$8:$M$249,4,FALSE),
IF($A164&lt;'PVC SCH80 Flange'!$A$49,VLOOKUP($A164,'PVC SCH80 Flange'!$A$8:$M$48,4,FALSE),
IF($A164&lt;'PVC SCH80 LD Flange'!$A$17,VLOOKUP($A164,'PVC SCH80 LD Flange'!$A$8:$M$16,4,FALSE),
IF($A164&lt;CPVC!$A$100,VLOOKUP($A164,CPVC!$A$8:$M$99,4,FALSE),
IF($A164&lt;InsertFittings!$A$237,VLOOKUP($A164,InsertFittings!$A$11:$M$236,4,FALSE),
IF($A164&lt;Valves!$A$132,VLOOKUP($A164,Valves!$A$8:$M$131,4,FALSE),
IF($A164&lt;SDR35SW!$A$124,VLOOKUP($A164,SDR35SW!$A$8:$M$123,4,FALSE),
IF($A164&lt;SDR35G!$A$143,VLOOKUP($A164, SDR35G!$A$8:$M$142,4,FALSE),
IF($A164&lt;SDR26G!$A$61,VLOOKUP($A164,SDR26G!$A$8:$N$60,4,FALSE),
IF($A164&lt;Cements!$A$100,VLOOKUP($A164,Cements!$A$8:$Q$99,4,FALSE),
IF($A164&lt;ValveBox!$A$143,VLOOKUP($A164,ValveBox!$A$10:$O$142,4,FALSE),
IF($A164&lt;'ValveBox Components'!$A$165,VLOOKUP($A164,'ValveBox Components'!$A$10:$O$164,4,FALSE),
IF($A164&lt;Drainage!$A$92,VLOOKUP($A164,Drainage!$A$8:$M$91,4,FALSE),
IF($A164&lt;Nipples!$A$82,VLOOKUP($A164,Nipples!$A$9:$Q$81,4,FALSE),
IF($A164&lt;Manifold!$A$33,VLOOKUP($A164,Manifold!$A$9:$M$32,4,FALSE),
IF($A164&lt;FlexibleRepairCouplings!$A$13,VLOOKUP($A164,FlexibleRepairCouplings!$A$10:$M$12,4,FALSE),
IF($A164&lt;DuraFix!$A$15,VLOOKUP($A164,DuraFix!$A$9:$M$14,4,FALSE),
IF($A164&lt;'Compression Fittings'!$A$16,VLOOKUP($A164,'Compression Fittings'!$A$8:$M$15,4,FALSE),
IF($A164&lt;'Hose Fittings'!$A$30,VLOOKUP($A164,'Hose Fittings'!$A$8:$M$29,4,FALSE),
IF($A164&lt;'Swing Joints'!$A$496,VLOOKUP($A164,'Swing Joints'!$A$9:$M$495,4,FALSE),
IF($A164&lt;'Swing Joints Components'!$A$135,VLOOKUP($A164,'Swing Joints Components'!$A$9:$M$134,4,FALSE),
IF($A164&lt;Nonstandard!$A$42,VLOOKUP($A164,Nonstandard!$A$31:$J$41,5,FALSE),"")))))))))))))))))))))))))))),"")</f>
        <v/>
      </c>
      <c r="C164" s="420" t="str">
        <f>IFERROR(IF($A164&lt;'DWV PVC'!$A$285,VLOOKUP($A164,'DWV PVC'!$A$8:$M$284,5,FALSE),
IF($A164&lt;'DWV ABS'!$A$117,VLOOKUP($A164,'DWV ABS'!$A$8:$M$116,5,FALSE),
IF($A164&lt;'PVC SCH40'!$A$376,VLOOKUP($A164,'PVC SCH40'!$A$8:$M$375,5,FALSE),
IF($A164&lt;'PVC SCH40 LD'!$A$22,VLOOKUP($A164,'PVC SCH40 LD'!$A$8:$M$21,5,FALSE),
IF($A164&lt;'Pool &amp; SPA Sweep Elbows'!$A$12,VLOOKUP($A164,'Pool &amp; SPA Sweep Elbows'!$A$8:$M$11,5,FALSE),
IF($A164&lt;'Pool &amp; SPA Pipe Extender'!$A$11,VLOOKUP($A164,'Pool &amp; SPA Pipe Extender'!$A$8:$M$10,5,FALSE),
IF($A164&lt;'PVC SCH80'!$A$250,VLOOKUP($A164,'PVC SCH80'!$A$8:$M$249,5,FALSE),
IF($A164&lt;'PVC SCH80 Flange'!$A$49,VLOOKUP($A164,'PVC SCH80 Flange'!$A$8:$M$48,5,FALSE),
IF($A164&lt;'PVC SCH80 LD Flange'!$A$17,VLOOKUP($A164,'PVC SCH80 LD Flange'!$A$8:$M$16,5,FALSE),
IF($A164&lt;CPVC!$A$100,VLOOKUP($A164,CPVC!$A$8:$M$99,5,FALSE),
IF($A164&lt;InsertFittings!$A$237,VLOOKUP($A164,InsertFittings!$A$11:$M$236,5,FALSE),
IF($A164&lt;Valves!$A$132,VLOOKUP($A164,Valves!$A$8:$M$131,5,FALSE),
IF($A164&lt;SDR35SW!$A$124,VLOOKUP($A164,SDR35SW!$A$8:$M$123,5,FALSE),
IF($A164&lt;SDR35G!$A$143,VLOOKUP($A164, SDR35G!$A$8:$M$142,5,FALSE),
IF($A164&lt;SDR26G!$A$61,VLOOKUP($A164,SDR26G!$A$8:$N$60,5,FALSE),
IF($A164&lt;Cements!$A$100,VLOOKUP($A164,Cements!$A$8:$Q$99,5,FALSE),
IF($A164&lt;ValveBox!$A$143,VLOOKUP($A164,ValveBox!$A$10:$O$142,5,FALSE),
IF($A164&lt;'ValveBox Components'!$A$165,VLOOKUP($A164,'ValveBox Components'!$A$10:$O$164,5,FALSE),
IF($A164&lt;Drainage!$A$92,VLOOKUP($A164,Drainage!$A$8:$M$91,5,FALSE),
IF($A164&lt;Nipples!$A$82,VLOOKUP($A164,Nipples!$A$9:$Q$81,5,FALSE),
IF($A164&lt;Manifold!$A$33,VLOOKUP($A164,Manifold!$A$9:$M$32,5,FALSE),
IF($A164&lt;FlexibleRepairCouplings!$A$13,VLOOKUP($A164,FlexibleRepairCouplings!$A$10:$M$12,5,FALSE),
IF($A164&lt;DuraFix!$A$15,VLOOKUP($A164,DuraFix!$A$9:$M$14,5,FALSE),
IF($A164&lt;'Compression Fittings'!$A$16,VLOOKUP($A164,'Compression Fittings'!$A$8:$M$15,5,FALSE),
IF($A164&lt;'Hose Fittings'!$A$30,VLOOKUP($A164,'Hose Fittings'!$A$8:$M$29,5,FALSE),
IF($A164&lt;'Swing Joints'!$A$496,VLOOKUP($A164,'Swing Joints'!$A$9:$M$495,5,FALSE),
IF($A164&lt;'Swing Joints Components'!$A$135,VLOOKUP($A164,'Swing Joints Components'!$A$9:$M$134,5,FALSE),
IF($A164&lt;Nonstandard!$A$42,VLOOKUP($A164,Nonstandard!$A$31:$J$41,6,FALSE),"")))))))))))))))))))))))))))),"")</f>
        <v/>
      </c>
      <c r="D164" s="428" t="str">
        <f>IFERROR(IF($A164&lt;'DWV PVC'!$A$285,VLOOKUP($A164,'DWV PVC'!$A$8:$M$284,6,FALSE),
IF($A164&lt;'DWV ABS'!$A$117,VLOOKUP($A164,'DWV ABS'!$A$8:$M$116,6,FALSE),
IF($A164&lt;'PVC SCH40'!$A$376,VLOOKUP($A164,'PVC SCH40'!$A$8:$M$375,6,FALSE),
IF($A164&lt;'PVC SCH40 LD'!$A$22,VLOOKUP($A164,'PVC SCH40 LD'!$A$8:$M$21,6,FALSE),
IF($A164&lt;'Pool &amp; SPA Sweep Elbows'!$A$12,VLOOKUP($A164,'Pool &amp; SPA Sweep Elbows'!$A$8:$M$11,6,FALSE),
IF($A164&lt;'Pool &amp; SPA Pipe Extender'!$A$11,VLOOKUP($A164,'Pool &amp; SPA Pipe Extender'!$A$8:$M$10,6,FALSE),
IF($A164&lt;'PVC SCH80'!$A$250,VLOOKUP($A164,'PVC SCH80'!$A$8:$M$249,6,FALSE),
IF($A164&lt;'PVC SCH80 Flange'!$A$49,VLOOKUP($A164,'PVC SCH80 Flange'!$A$8:$M$48,6,FALSE),
IF($A164&lt;'PVC SCH80 LD Flange'!$A$17,VLOOKUP($A164,'PVC SCH80 LD Flange'!$A$8:$M$16,6,FALSE),
IF($A164&lt;CPVC!$A$100,VLOOKUP($A164,CPVC!$A$8:$M$99,6,FALSE),
IF($A164&lt;InsertFittings!$A$237,VLOOKUP($A164,InsertFittings!$A$11:$M$236,6,FALSE),
IF($A164&lt;Valves!$A$132,VLOOKUP($A164,Valves!$A$8:$M$131,6,FALSE),
IF($A164&lt;SDR35SW!$A$124,VLOOKUP($A164,SDR35SW!$A$8:$M$123,6,FALSE),
IF($A164&lt;SDR35G!$A$143,VLOOKUP($A164, SDR35G!$A$8:$M$142,6,FALSE),
IF($A164&lt;SDR26G!$A$61,VLOOKUP($A164,SDR26G!$A$8:$N$60,6,FALSE),
IF($A164&lt;Cements!$A$100,VLOOKUP($A164,Cements!$A$8:$Q$99,6,FALSE),
IF($A164&lt;ValveBox!$A$143,VLOOKUP($A164,ValveBox!$A$10:$O$142,6,FALSE),
IF($A164&lt;'ValveBox Components'!$A$165,VLOOKUP($A164,'ValveBox Components'!$A$10:$O$164,6,FALSE),
IF($A164&lt;Drainage!$A$92,VLOOKUP($A164,Drainage!$A$8:$M$91,6,FALSE),
IF($A164&lt;Nipples!$A$82,VLOOKUP($A164,Nipples!$A$9:$Q$81,6,FALSE),
IF($A164&lt;Manifold!$A$33,VLOOKUP($A164,Manifold!$A$9:$M$32,6,FALSE),
IF($A164&lt;FlexibleRepairCouplings!$A$13,VLOOKUP($A164,FlexibleRepairCouplings!$A$10:$M$12,6,FALSE),
IF($A164&lt;DuraFix!$A$15,VLOOKUP($A164,DuraFix!$A$9:$M$14,6,FALSE),
IF($A164&lt;'Compression Fittings'!$A$16,VLOOKUP($A164,'Compression Fittings'!$A$8:$M$15,6,FALSE),
IF($A164&lt;'Hose Fittings'!$A$30,VLOOKUP($A164,'Hose Fittings'!$A$8:$M$29,6,FALSE),
IF($A164&lt;'Swing Joints'!$A$496,VLOOKUP($A164,'Swing Joints'!$A$9:$M$495,6,FALSE),
IF($A164&lt;'Swing Joints Components'!$A$135,VLOOKUP($A164,'Swing Joints Components'!$A$9:$M$134,6,FALSE),
IF($A164&lt;Nonstandard!$A$42,VLOOKUP($A164,Nonstandard!$A$31:$J$41,7,FALSE),"")))))))))))))))))))))))))))),"")</f>
        <v/>
      </c>
      <c r="E164" s="429"/>
      <c r="F164" s="421" t="str">
        <f>IFERROR(IF($A164&lt;'DWV PVC'!$A$285,VLOOKUP($A164,'DWV PVC'!$A$8:$M$284,9,FALSE),
IF($A164&lt;'DWV ABS'!$A$117,VLOOKUP($A164,'DWV ABS'!$A$8:$M$116,9,FALSE),
IF($A164&lt;'PVC SCH40'!$A$376,VLOOKUP($A164,'PVC SCH40'!$A$8:$M$375,9,FALSE),
IF($A164&lt;'PVC SCH40 LD'!$A$22,VLOOKUP($A164,'PVC SCH40 LD'!$A$8:$M$21,9,FALSE),
IF($A164&lt;'Pool &amp; SPA Sweep Elbows'!$A$12,VLOOKUP($A164,'Pool &amp; SPA Sweep Elbows'!$A$8:$M$11,9,FALSE),
IF($A164&lt;'Pool &amp; SPA Pipe Extender'!$A$11,VLOOKUP($A164,'Pool &amp; SPA Pipe Extender'!$A$8:$M$10,9,FALSE),
IF($A164&lt;'PVC SCH80'!$A$250,VLOOKUP($A164,'PVC SCH80'!$A$8:$M$249,9,FALSE),
IF($A164&lt;'PVC SCH80 Flange'!$A$49,VLOOKUP($A164,'PVC SCH80 Flange'!$A$8:$M$48,9,FALSE),
IF($A164&lt;'PVC SCH80 LD Flange'!$A$17,VLOOKUP($A164,'PVC SCH80 LD Flange'!$A$8:$M$16,9,FALSE),
IF($A164&lt;CPVC!$A$100,VLOOKUP($A164,CPVC!$A$8:$M$99,9,FALSE),
IF($A164&lt;InsertFittings!$A$237,VLOOKUP($A164,InsertFittings!$A$11:$M$236,9,FALSE),
IF($A164&lt;Valves!$A$132,VLOOKUP($A164,Valves!$A$8:$M$131,9,FALSE),
IF($A164&lt;SDR35SW!$A$124,VLOOKUP($A164,SDR35SW!$A$8:$M$123,9,FALSE),
IF($A164&lt;SDR35G!$A$143,VLOOKUP($A164, SDR35G!$A$8:$M$142,9,FALSE),
IF($A164&lt;SDR26G!$A$61,VLOOKUP($A164,SDR26G!$A$8:$N$60,10,FALSE),
IF($A164&lt;Cements!$A$100,VLOOKUP($A164,Cements!$A$8:$Q$99,13,FALSE),
IF($A164&lt;ValveBox!$A$143,VLOOKUP($A164,ValveBox!$A$10:$O$142,11,FALSE),
IF($A164&lt;'ValveBox Components'!$A$165,VLOOKUP($A164,'ValveBox Components'!$A$10:$O$164,11,FALSE),
IF($A164&lt;Drainage!$A$92,VLOOKUP($A164,Drainage!$A$8:$M$91,9,FALSE),
IF($A164&lt;Nipples!$A$82,VLOOKUP($A164,Nipples!$A$9:$Q$81,13,FALSE),
IF($A164&lt;Manifold!$A$33,VLOOKUP($A164,Manifold!$A$9:$M$32,9,FALSE),
IF($A164&lt;FlexibleRepairCouplings!$A$13,VLOOKUP($A164,FlexibleRepairCouplings!$A$10:$M$12,9,FALSE),
IF($A164&lt;DuraFix!$A$15,VLOOKUP($A164,DuraFix!$A$9:$M$14,9,FALSE),
IF($A164&lt;'Compression Fittings'!$A$16,VLOOKUP($A164,'Compression Fittings'!$A$8:$M$15,9,FALSE),
IF($A164&lt;'Hose Fittings'!$A$30,VLOOKUP($A164,'Hose Fittings'!$A$8:$M$29,9,FALSE),
IF($A164&lt;'Swing Joints'!$A$496,VLOOKUP($A164,'Swing Joints'!$A$9:$M$495,9,FALSE),
IF($A164&lt;'Swing Joints Components'!$A$135,VLOOKUP($A164,'Swing Joints Components'!$A$9:$M$134,9,FALSE),
IF($A164&lt;Nonstandard!$A$42,VLOOKUP($A164,Nonstandard!$A$31:$J$41,8,FALSE),"")))))))))))))))))))))))))))),"")</f>
        <v/>
      </c>
      <c r="G164" s="422" t="str">
        <f>IFERROR(IF($A164&lt;'DWV PVC'!$A$285,VLOOKUP($A164,'DWV PVC'!$A$8:$M$284,11,FALSE),
IF($A164&lt;'DWV ABS'!$A$117,VLOOKUP($A164,'DWV ABS'!$A$8:$M$116,11,FALSE),
IF($A164&lt;'PVC SCH40'!$A$376,VLOOKUP($A164,'PVC SCH40'!$A$8:$M$375,11,FALSE),
IF($A164&lt;'PVC SCH40 LD'!$A$22,VLOOKUP($A164,'PVC SCH40 LD'!$A$8:$M$21,11,FALSE),
IF($A164&lt;'Pool &amp; SPA Sweep Elbows'!$A$12,VLOOKUP($A164,'Pool &amp; SPA Sweep Elbows'!$A$8:$M$11,11,FALSE),
IF($A164&lt;'Pool &amp; SPA Pipe Extender'!$A$11,VLOOKUP($A164,'Pool &amp; SPA Pipe Extender'!$A$8:$M$10,11,FALSE),
IF($A164&lt;'PVC SCH80'!$A$250,VLOOKUP($A164,'PVC SCH80'!$A$8:$M$249,11,FALSE),
IF($A164&lt;'PVC SCH80 Flange'!$A$49,VLOOKUP($A164,'PVC SCH80 Flange'!$A$8:$M$48,11,FALSE),
IF($A164&lt;'PVC SCH80 LD Flange'!$A$17,VLOOKUP($A164,'PVC SCH80 LD Flange'!$A$8:$M$16,11,FALSE),
IF($A164&lt;CPVC!$A$100,VLOOKUP($A164,CPVC!$A$8:$M$99,11,FALSE),
IF($A164&lt;InsertFittings!$A$237,VLOOKUP($A164,InsertFittings!$A$11:$M$236,11,FALSE),
IF($A164&lt;Valves!$A$132,VLOOKUP($A164,Valves!$A$8:$M$131,11,FALSE),
IF($A164&lt;SDR35SW!$A$124,VLOOKUP($A164,SDR35SW!$A$8:$M$123,11,FALSE),
IF($A164&lt;SDR35G!$A$143,VLOOKUP($A164, SDR35G!$A$8:$M$142,11,FALSE),
IF($A164&lt;SDR26G!$A$61,VLOOKUP($A164,SDR26G!$A$8:$N$60,12,FALSE),
IF($A164&lt;Cements!$A$100,VLOOKUP($A164,Cements!$A$8:$Q$99,15,FALSE),
IF($A164&lt;ValveBox!$A$143,VLOOKUP($A164,ValveBox!$A$10:$O$142,13,FALSE),
IF($A164&lt;'ValveBox Components'!$A$165,VLOOKUP($A164,'ValveBox Components'!$A$10:$O$164,13,FALSE),
IF($A164&lt;Drainage!$A$92,VLOOKUP($A164,Drainage!$A$8:$M$91,11,FALSE),
IF($A164&lt;Nipples!$A$82,VLOOKUP($A164,Nipples!$A$9:$Q$81,15,FALSE),
IF($A164&lt;Manifold!$A$33,VLOOKUP($A164,Manifold!$A$9:$M$32,11,FALSE),
IF($A164&lt;FlexibleRepairCouplings!$A$13,VLOOKUP($A164,FlexibleRepairCouplings!$A$10:$M$12,11,FALSE),
IF($A164&lt;DuraFix!$A$15,VLOOKUP($A164,DuraFix!$A$9:$M$14,11,FALSE),
IF($A164&lt;'Compression Fittings'!$A$16,VLOOKUP($A164,'Compression Fittings'!$A$8:$M$15,11,FALSE),
IF($A164&lt;'Hose Fittings'!$A$30,VLOOKUP($A164,'Hose Fittings'!$A$8:$M$29,11,FALSE),
IF($A164&lt;'Swing Joints'!$A$496,VLOOKUP($A164,'Swing Joints'!$A$9:$M$495,11,FALSE),
IF($A164&lt;'Swing Joints Components'!$A$135,VLOOKUP($A164,'Swing Joints Components'!$A$9:$M$134,11,FALSE),
IF($A164&lt;Nonstandard!$A$42,VLOOKUP($A164,Nonstandard!$A$31:$J$41,3,FALSE),"")))))))))))))))))))))))))))),"")</f>
        <v/>
      </c>
      <c r="H164" s="588" t="str">
        <f>IFERROR(IF($A164&lt;'DWV PVC'!$A$285,VLOOKUP($A164,'DWV PVC'!$A$8:$M$284,7,FALSE),
IF($A164&lt;'DWV ABS'!$A$117,VLOOKUP($A164,'DWV ABS'!$A$8:$M$116,7,FALSE),
IF($A164&lt;'PVC SCH40'!$A$376,VLOOKUP($A164,'PVC SCH40'!$A$8:$M$375,7,FALSE),
IF($A164&lt;'PVC SCH40 LD'!$A$22,VLOOKUP($A164,'PVC SCH40 LD'!$A$8:$M$21,7,FALSE),
IF($A164&lt;'Pool &amp; SPA Sweep Elbows'!$A$12,VLOOKUP($A164,'Pool &amp; SPA Sweep Elbows'!$A$8:$M$11,7,FALSE),
IF($A164&lt;'Pool &amp; SPA Pipe Extender'!$A$11,VLOOKUP($A164,'Pool &amp; SPA Pipe Extender'!$A$8:$M$10,7,FALSE),
IF($A164&lt;'PVC SCH80'!$A$250,VLOOKUP($A164,'PVC SCH80'!$A$8:$M$249,7,FALSE),
IF($A164&lt;'PVC SCH80 Flange'!$A$49,VLOOKUP($A164,'PVC SCH80 Flange'!$A$8:$M$48,7,FALSE),
IF($A164&lt;'PVC SCH80 LD Flange'!$A$17,VLOOKUP($A164,'PVC SCH80 LD Flange'!$A$8:$M$16,7,FALSE),
IF($A164&lt;CPVC!$A$100,VLOOKUP($A164,CPVC!$A$8:$M$99,7,FALSE),
IF($A164&lt;InsertFittings!$A$237,VLOOKUP($A164,InsertFittings!$A$11:$M$236,7,FALSE),
IF($A164&lt;Valves!$A$132,VLOOKUP($A164,Valves!$A$8:$M$131,7,FALSE),
IF($A164&lt;SDR35SW!$A$124,VLOOKUP($A164,SDR35SW!$A$8:$M$123,7,FALSE),
IF($A164&lt;SDR35G!$A$143,VLOOKUP($A164, SDR35G!$A$8:$M$142,7,FALSE),
IF($A164&lt;SDR26G!$A$61,VLOOKUP($A164,SDR26G!$A$8:$N$60,10,FALSE),
IF($A164&lt;Cements!$A$100,VLOOKUP($A164,Cements!$A$8:$Q$99,13,FALSE),
IF($A164&lt;ValveBox!$A$143,VLOOKUP($A164,ValveBox!$A$10:$O$142,11,FALSE),
IF($A164&lt;'ValveBox Components'!$A$165,VLOOKUP($A164,'ValveBox Components'!$A$10:$O$164,11,FALSE),
IF($A164&lt;Drainage!$A$92,VLOOKUP($A164,Drainage!$A$8:$M$91,7,FALSE),
IF($A164&lt;Nipples!$A$82,VLOOKUP($A164,Nipples!$A$9:$Q$81,13,FALSE),
IF($A164&lt;Manifold!$A$33,VLOOKUP($A164,Manifold!$A$9:$M$32,7,FALSE),
IF($A164&lt;FlexibleRepairCouplings!$A$13,VLOOKUP($A164,FlexibleRepairCouplings!$A$10:$M$12,7,FALSE),
IF($A164&lt;DuraFix!$A$15,VLOOKUP($A164,DuraFix!$A$9:$M$14,7,FALSE),
IF($A164&lt;'Compression Fittings'!$A$16,VLOOKUP($A164,'Compression Fittings'!$A$8:$M$15,7,FALSE),
IF($A164&lt;'Hose Fittings'!$A$30,VLOOKUP($A164,'Hose Fittings'!$A$8:$M$29,7,FALSE),
IF($A164&lt;'Swing Joints'!$A$496,VLOOKUP($A164,'Swing Joints'!$A$9:$M$495,7,FALSE),
IF($A164&lt;'Swing Joints Components'!$A$135,VLOOKUP($A164,'Swing Joints Components'!$A$9:$M$134,7,FALSE),
IF($A164&lt;Nonstandard!$A$42,VLOOKUP($A164,Nonstandard!$A$31:$J$41,3,FALSE),"")))))))))))))))))))))))))))),"")</f>
        <v/>
      </c>
      <c r="I164" s="589"/>
      <c r="J164" s="423" t="str">
        <f t="shared" si="5"/>
        <v/>
      </c>
      <c r="K164" s="424" t="str">
        <f>IFERROR(IF($A164&lt;'DWV PVC'!$A$285,VLOOKUP($A164,'DWV PVC'!$A$8:$M$284,10,FALSE),
IF($A164&lt;'DWV ABS'!$A$117,VLOOKUP($A164,'DWV ABS'!$A$8:$M$116,10,FALSE),
IF($A164&lt;'PVC SCH40'!$A$376,VLOOKUP($A164,'PVC SCH40'!$A$8:$M$375,10,FALSE),
IF($A164&lt;'PVC SCH40 LD'!$A$22,VLOOKUP($A164,'PVC SCH40 LD'!$A$8:$M$21,10,FALSE),
IF($A164&lt;'Pool &amp; SPA Sweep Elbows'!$A$12,VLOOKUP($A164,'Pool &amp; SPA Sweep Elbows'!$A$8:$M$11,10,FALSE),
IF($A164&lt;'Pool &amp; SPA Pipe Extender'!$A$11,VLOOKUP($A164,'Pool &amp; SPA Pipe Extender'!$A$8:$M$10,10,FALSE),
IF($A164&lt;'PVC SCH80'!$A$250,VLOOKUP($A164,'PVC SCH80'!$A$8:$M$249,10,FALSE),
IF($A164&lt;'PVC SCH80 Flange'!$A$49,VLOOKUP($A164,'PVC SCH80 Flange'!$A$8:$M$48,10,FALSE),
IF($A164&lt;'PVC SCH80 LD Flange'!$A$17,VLOOKUP($A164,'PVC SCH80 LD Flange'!$A$8:$M$16,10,FALSE),
IF($A164&lt;CPVC!$A$100,VLOOKUP($A164,CPVC!$A$8:$M$99,10,FALSE),
IF($A164&lt;InsertFittings!$A$237,VLOOKUP($A164,InsertFittings!$A$11:$M$236,10,FALSE),
IF($A164&lt;Valves!$A$132,VLOOKUP($A164,Valves!$A$8:$M$131,10,FALSE),
IF($A164&lt;SDR35SW!$A$124,VLOOKUP($A164,SDR35SW!$A$8:$M$123,10,FALSE),
IF($A164&lt;SDR35G!$A$143,VLOOKUP($A164, SDR35G!$A$8:$M$142,10,FALSE),
IF($A164&lt;SDR26G!$A$61,VLOOKUP($A164,SDR26G!$A$8:$N$60,11,FALSE),
IF($A164&lt;Cements!$A$100,VLOOKUP($A164,Cements!$A$8:$Q$99,14,FALSE),
IF($A164&lt;ValveBox!$A$143,VLOOKUP($A164,ValveBox!$A$10:$O$142,12,FALSE),
IF($A164&lt;'ValveBox Components'!$A$165,VLOOKUP($A164,'ValveBox Components'!$A$10:$O$164,12,FALSE),
IF($A164&lt;Drainage!$A$92,VLOOKUP($A164,Drainage!$A$8:$M$91,10,FALSE),
IF($A164&lt;Nipples!$A$82,VLOOKUP($A164,Nipples!$A$9:$Q$81,14,FALSE),
IF($A164&lt;Manifold!$A$33,VLOOKUP($A164,Manifold!$A$9:$M$32,10,FALSE),
IF($A164&lt;FlexibleRepairCouplings!$A$13,VLOOKUP($A164,FlexibleRepairCouplings!$A$10:$M$12,10,FALSE),
IF($A164&lt;DuraFix!$A$15,VLOOKUP($A164,DuraFix!$A$9:$M$14,10,FALSE),
IF($A164&lt;'Compression Fittings'!$A$16,VLOOKUP($A164,'Compression Fittings'!$A$8:$M$15,10,FALSE),
IF($A164&lt;'Hose Fittings'!$A$30,VLOOKUP($A164,'Hose Fittings'!$A$8:$M$29,10,FALSE),
IF($A164&lt;'Swing Joints'!$A$496,VLOOKUP($A164,'Swing Joints'!$A$9:$M$495,10,FALSE),
IF($A164&lt;'Swing Joints Components'!$A$135,VLOOKUP($A164,'Swing Joints Components'!$A$9:$M$134,10,FALSE),
IF($A164&lt;Nonstandard!$A$42,VLOOKUP($A164,Nonstandard!$A$31:$J$41,10,FALSE),"")))))))))))))))))))))))))))),"")</f>
        <v/>
      </c>
      <c r="L164" s="421" t="str">
        <f t="shared" si="4"/>
        <v>-</v>
      </c>
      <c r="M164" s="425"/>
    </row>
    <row r="165" spans="1:13" ht="15.75">
      <c r="A165" s="415">
        <v>133</v>
      </c>
      <c r="B165" s="415" t="str">
        <f>IFERROR(IF($A165&lt;'DWV PVC'!$A$285,VLOOKUP($A165,'DWV PVC'!$A$8:$M$284,4,FALSE),
IF($A165&lt;'DWV ABS'!$A$117,VLOOKUP($A165,'DWV ABS'!$A$8:$M$116,4,FALSE),
IF($A165&lt;'PVC SCH40'!$A$376,VLOOKUP($A165,'PVC SCH40'!$A$8:$M$375,4,FALSE),
IF($A165&lt;'PVC SCH40 LD'!$A$22,VLOOKUP($A165,'PVC SCH40 LD'!$A$8:$M$21,4,FALSE),
IF($A165&lt;'Pool &amp; SPA Sweep Elbows'!$A$12,VLOOKUP($A165,'Pool &amp; SPA Sweep Elbows'!$A$8:$M$11,4,FALSE),
IF($A165&lt;'Pool &amp; SPA Pipe Extender'!$A$11,VLOOKUP($A165,'Pool &amp; SPA Pipe Extender'!$A$8:$M$10,4,FALSE),
IF($A165&lt;'PVC SCH80'!$A$250,VLOOKUP($A165,'PVC SCH80'!$A$8:$M$249,4,FALSE),
IF($A165&lt;'PVC SCH80 Flange'!$A$49,VLOOKUP($A165,'PVC SCH80 Flange'!$A$8:$M$48,4,FALSE),
IF($A165&lt;'PVC SCH80 LD Flange'!$A$17,VLOOKUP($A165,'PVC SCH80 LD Flange'!$A$8:$M$16,4,FALSE),
IF($A165&lt;CPVC!$A$100,VLOOKUP($A165,CPVC!$A$8:$M$99,4,FALSE),
IF($A165&lt;InsertFittings!$A$237,VLOOKUP($A165,InsertFittings!$A$11:$M$236,4,FALSE),
IF($A165&lt;Valves!$A$132,VLOOKUP($A165,Valves!$A$8:$M$131,4,FALSE),
IF($A165&lt;SDR35SW!$A$124,VLOOKUP($A165,SDR35SW!$A$8:$M$123,4,FALSE),
IF($A165&lt;SDR35G!$A$143,VLOOKUP($A165, SDR35G!$A$8:$M$142,4,FALSE),
IF($A165&lt;SDR26G!$A$61,VLOOKUP($A165,SDR26G!$A$8:$N$60,4,FALSE),
IF($A165&lt;Cements!$A$100,VLOOKUP($A165,Cements!$A$8:$Q$99,4,FALSE),
IF($A165&lt;ValveBox!$A$143,VLOOKUP($A165,ValveBox!$A$10:$O$142,4,FALSE),
IF($A165&lt;'ValveBox Components'!$A$165,VLOOKUP($A165,'ValveBox Components'!$A$10:$O$164,4,FALSE),
IF($A165&lt;Drainage!$A$92,VLOOKUP($A165,Drainage!$A$8:$M$91,4,FALSE),
IF($A165&lt;Nipples!$A$82,VLOOKUP($A165,Nipples!$A$9:$Q$81,4,FALSE),
IF($A165&lt;Manifold!$A$33,VLOOKUP($A165,Manifold!$A$9:$M$32,4,FALSE),
IF($A165&lt;FlexibleRepairCouplings!$A$13,VLOOKUP($A165,FlexibleRepairCouplings!$A$10:$M$12,4,FALSE),
IF($A165&lt;DuraFix!$A$15,VLOOKUP($A165,DuraFix!$A$9:$M$14,4,FALSE),
IF($A165&lt;'Compression Fittings'!$A$16,VLOOKUP($A165,'Compression Fittings'!$A$8:$M$15,4,FALSE),
IF($A165&lt;'Hose Fittings'!$A$30,VLOOKUP($A165,'Hose Fittings'!$A$8:$M$29,4,FALSE),
IF($A165&lt;'Swing Joints'!$A$496,VLOOKUP($A165,'Swing Joints'!$A$9:$M$495,4,FALSE),
IF($A165&lt;'Swing Joints Components'!$A$135,VLOOKUP($A165,'Swing Joints Components'!$A$9:$M$134,4,FALSE),
IF($A165&lt;Nonstandard!$A$42,VLOOKUP($A165,Nonstandard!$A$31:$J$41,5,FALSE),"")))))))))))))))))))))))))))),"")</f>
        <v/>
      </c>
      <c r="C165" s="415" t="str">
        <f>IFERROR(IF($A165&lt;'DWV PVC'!$A$285,VLOOKUP($A165,'DWV PVC'!$A$8:$M$284,5,FALSE),
IF($A165&lt;'DWV ABS'!$A$117,VLOOKUP($A165,'DWV ABS'!$A$8:$M$116,5,FALSE),
IF($A165&lt;'PVC SCH40'!$A$376,VLOOKUP($A165,'PVC SCH40'!$A$8:$M$375,5,FALSE),
IF($A165&lt;'PVC SCH40 LD'!$A$22,VLOOKUP($A165,'PVC SCH40 LD'!$A$8:$M$21,5,FALSE),
IF($A165&lt;'Pool &amp; SPA Sweep Elbows'!$A$12,VLOOKUP($A165,'Pool &amp; SPA Sweep Elbows'!$A$8:$M$11,5,FALSE),
IF($A165&lt;'Pool &amp; SPA Pipe Extender'!$A$11,VLOOKUP($A165,'Pool &amp; SPA Pipe Extender'!$A$8:$M$10,5,FALSE),
IF($A165&lt;'PVC SCH80'!$A$250,VLOOKUP($A165,'PVC SCH80'!$A$8:$M$249,5,FALSE),
IF($A165&lt;'PVC SCH80 Flange'!$A$49,VLOOKUP($A165,'PVC SCH80 Flange'!$A$8:$M$48,5,FALSE),
IF($A165&lt;'PVC SCH80 LD Flange'!$A$17,VLOOKUP($A165,'PVC SCH80 LD Flange'!$A$8:$M$16,5,FALSE),
IF($A165&lt;CPVC!$A$100,VLOOKUP($A165,CPVC!$A$8:$M$99,5,FALSE),
IF($A165&lt;InsertFittings!$A$237,VLOOKUP($A165,InsertFittings!$A$11:$M$236,5,FALSE),
IF($A165&lt;Valves!$A$132,VLOOKUP($A165,Valves!$A$8:$M$131,5,FALSE),
IF($A165&lt;SDR35SW!$A$124,VLOOKUP($A165,SDR35SW!$A$8:$M$123,5,FALSE),
IF($A165&lt;SDR35G!$A$143,VLOOKUP($A165, SDR35G!$A$8:$M$142,5,FALSE),
IF($A165&lt;SDR26G!$A$61,VLOOKUP($A165,SDR26G!$A$8:$N$60,5,FALSE),
IF($A165&lt;Cements!$A$100,VLOOKUP($A165,Cements!$A$8:$Q$99,5,FALSE),
IF($A165&lt;ValveBox!$A$143,VLOOKUP($A165,ValveBox!$A$10:$O$142,5,FALSE),
IF($A165&lt;'ValveBox Components'!$A$165,VLOOKUP($A165,'ValveBox Components'!$A$10:$O$164,5,FALSE),
IF($A165&lt;Drainage!$A$92,VLOOKUP($A165,Drainage!$A$8:$M$91,5,FALSE),
IF($A165&lt;Nipples!$A$82,VLOOKUP($A165,Nipples!$A$9:$Q$81,5,FALSE),
IF($A165&lt;Manifold!$A$33,VLOOKUP($A165,Manifold!$A$9:$M$32,5,FALSE),
IF($A165&lt;FlexibleRepairCouplings!$A$13,VLOOKUP($A165,FlexibleRepairCouplings!$A$10:$M$12,5,FALSE),
IF($A165&lt;DuraFix!$A$15,VLOOKUP($A165,DuraFix!$A$9:$M$14,5,FALSE),
IF($A165&lt;'Compression Fittings'!$A$16,VLOOKUP($A165,'Compression Fittings'!$A$8:$M$15,5,FALSE),
IF($A165&lt;'Hose Fittings'!$A$30,VLOOKUP($A165,'Hose Fittings'!$A$8:$M$29,5,FALSE),
IF($A165&lt;'Swing Joints'!$A$496,VLOOKUP($A165,'Swing Joints'!$A$9:$M$495,5,FALSE),
IF($A165&lt;'Swing Joints Components'!$A$135,VLOOKUP($A165,'Swing Joints Components'!$A$9:$M$134,5,FALSE),
IF($A165&lt;Nonstandard!$A$42,VLOOKUP($A165,Nonstandard!$A$31:$J$41,6,FALSE),"")))))))))))))))))))))))))))),"")</f>
        <v/>
      </c>
      <c r="D165" s="426" t="str">
        <f>IFERROR(IF($A165&lt;'DWV PVC'!$A$285,VLOOKUP($A165,'DWV PVC'!$A$8:$M$284,6,FALSE),
IF($A165&lt;'DWV ABS'!$A$117,VLOOKUP($A165,'DWV ABS'!$A$8:$M$116,6,FALSE),
IF($A165&lt;'PVC SCH40'!$A$376,VLOOKUP($A165,'PVC SCH40'!$A$8:$M$375,6,FALSE),
IF($A165&lt;'PVC SCH40 LD'!$A$22,VLOOKUP($A165,'PVC SCH40 LD'!$A$8:$M$21,6,FALSE),
IF($A165&lt;'Pool &amp; SPA Sweep Elbows'!$A$12,VLOOKUP($A165,'Pool &amp; SPA Sweep Elbows'!$A$8:$M$11,6,FALSE),
IF($A165&lt;'Pool &amp; SPA Pipe Extender'!$A$11,VLOOKUP($A165,'Pool &amp; SPA Pipe Extender'!$A$8:$M$10,6,FALSE),
IF($A165&lt;'PVC SCH80'!$A$250,VLOOKUP($A165,'PVC SCH80'!$A$8:$M$249,6,FALSE),
IF($A165&lt;'PVC SCH80 Flange'!$A$49,VLOOKUP($A165,'PVC SCH80 Flange'!$A$8:$M$48,6,FALSE),
IF($A165&lt;'PVC SCH80 LD Flange'!$A$17,VLOOKUP($A165,'PVC SCH80 LD Flange'!$A$8:$M$16,6,FALSE),
IF($A165&lt;CPVC!$A$100,VLOOKUP($A165,CPVC!$A$8:$M$99,6,FALSE),
IF($A165&lt;InsertFittings!$A$237,VLOOKUP($A165,InsertFittings!$A$11:$M$236,6,FALSE),
IF($A165&lt;Valves!$A$132,VLOOKUP($A165,Valves!$A$8:$M$131,6,FALSE),
IF($A165&lt;SDR35SW!$A$124,VLOOKUP($A165,SDR35SW!$A$8:$M$123,6,FALSE),
IF($A165&lt;SDR35G!$A$143,VLOOKUP($A165, SDR35G!$A$8:$M$142,6,FALSE),
IF($A165&lt;SDR26G!$A$61,VLOOKUP($A165,SDR26G!$A$8:$N$60,6,FALSE),
IF($A165&lt;Cements!$A$100,VLOOKUP($A165,Cements!$A$8:$Q$99,6,FALSE),
IF($A165&lt;ValveBox!$A$143,VLOOKUP($A165,ValveBox!$A$10:$O$142,6,FALSE),
IF($A165&lt;'ValveBox Components'!$A$165,VLOOKUP($A165,'ValveBox Components'!$A$10:$O$164,6,FALSE),
IF($A165&lt;Drainage!$A$92,VLOOKUP($A165,Drainage!$A$8:$M$91,6,FALSE),
IF($A165&lt;Nipples!$A$82,VLOOKUP($A165,Nipples!$A$9:$Q$81,6,FALSE),
IF($A165&lt;Manifold!$A$33,VLOOKUP($A165,Manifold!$A$9:$M$32,6,FALSE),
IF($A165&lt;FlexibleRepairCouplings!$A$13,VLOOKUP($A165,FlexibleRepairCouplings!$A$10:$M$12,6,FALSE),
IF($A165&lt;DuraFix!$A$15,VLOOKUP($A165,DuraFix!$A$9:$M$14,6,FALSE),
IF($A165&lt;'Compression Fittings'!$A$16,VLOOKUP($A165,'Compression Fittings'!$A$8:$M$15,6,FALSE),
IF($A165&lt;'Hose Fittings'!$A$30,VLOOKUP($A165,'Hose Fittings'!$A$8:$M$29,6,FALSE),
IF($A165&lt;'Swing Joints'!$A$496,VLOOKUP($A165,'Swing Joints'!$A$9:$M$495,6,FALSE),
IF($A165&lt;'Swing Joints Components'!$A$135,VLOOKUP($A165,'Swing Joints Components'!$A$9:$M$134,6,FALSE),
IF($A165&lt;Nonstandard!$A$42,VLOOKUP($A165,Nonstandard!$A$31:$J$41,7,FALSE),"")))))))))))))))))))))))))))),"")</f>
        <v/>
      </c>
      <c r="E165" s="427"/>
      <c r="F165" s="418" t="str">
        <f>IFERROR(IF($A165&lt;'DWV PVC'!$A$285,VLOOKUP($A165,'DWV PVC'!$A$8:$M$284,9,FALSE),
IF($A165&lt;'DWV ABS'!$A$117,VLOOKUP($A165,'DWV ABS'!$A$8:$M$116,9,FALSE),
IF($A165&lt;'PVC SCH40'!$A$376,VLOOKUP($A165,'PVC SCH40'!$A$8:$M$375,9,FALSE),
IF($A165&lt;'PVC SCH40 LD'!$A$22,VLOOKUP($A165,'PVC SCH40 LD'!$A$8:$M$21,9,FALSE),
IF($A165&lt;'Pool &amp; SPA Sweep Elbows'!$A$12,VLOOKUP($A165,'Pool &amp; SPA Sweep Elbows'!$A$8:$M$11,9,FALSE),
IF($A165&lt;'Pool &amp; SPA Pipe Extender'!$A$11,VLOOKUP($A165,'Pool &amp; SPA Pipe Extender'!$A$8:$M$10,9,FALSE),
IF($A165&lt;'PVC SCH80'!$A$250,VLOOKUP($A165,'PVC SCH80'!$A$8:$M$249,9,FALSE),
IF($A165&lt;'PVC SCH80 Flange'!$A$49,VLOOKUP($A165,'PVC SCH80 Flange'!$A$8:$M$48,9,FALSE),
IF($A165&lt;'PVC SCH80 LD Flange'!$A$17,VLOOKUP($A165,'PVC SCH80 LD Flange'!$A$8:$M$16,9,FALSE),
IF($A165&lt;CPVC!$A$100,VLOOKUP($A165,CPVC!$A$8:$M$99,9,FALSE),
IF($A165&lt;InsertFittings!$A$237,VLOOKUP($A165,InsertFittings!$A$11:$M$236,9,FALSE),
IF($A165&lt;Valves!$A$132,VLOOKUP($A165,Valves!$A$8:$M$131,9,FALSE),
IF($A165&lt;SDR35SW!$A$124,VLOOKUP($A165,SDR35SW!$A$8:$M$123,9,FALSE),
IF($A165&lt;SDR35G!$A$143,VLOOKUP($A165, SDR35G!$A$8:$M$142,9,FALSE),
IF($A165&lt;SDR26G!$A$61,VLOOKUP($A165,SDR26G!$A$8:$N$60,10,FALSE),
IF($A165&lt;Cements!$A$100,VLOOKUP($A165,Cements!$A$8:$Q$99,13,FALSE),
IF($A165&lt;ValveBox!$A$143,VLOOKUP($A165,ValveBox!$A$10:$O$142,11,FALSE),
IF($A165&lt;'ValveBox Components'!$A$165,VLOOKUP($A165,'ValveBox Components'!$A$10:$O$164,11,FALSE),
IF($A165&lt;Drainage!$A$92,VLOOKUP($A165,Drainage!$A$8:$M$91,9,FALSE),
IF($A165&lt;Nipples!$A$82,VLOOKUP($A165,Nipples!$A$9:$Q$81,13,FALSE),
IF($A165&lt;Manifold!$A$33,VLOOKUP($A165,Manifold!$A$9:$M$32,9,FALSE),
IF($A165&lt;FlexibleRepairCouplings!$A$13,VLOOKUP($A165,FlexibleRepairCouplings!$A$10:$M$12,9,FALSE),
IF($A165&lt;DuraFix!$A$15,VLOOKUP($A165,DuraFix!$A$9:$M$14,9,FALSE),
IF($A165&lt;'Compression Fittings'!$A$16,VLOOKUP($A165,'Compression Fittings'!$A$8:$M$15,9,FALSE),
IF($A165&lt;'Hose Fittings'!$A$30,VLOOKUP($A165,'Hose Fittings'!$A$8:$M$29,9,FALSE),
IF($A165&lt;'Swing Joints'!$A$496,VLOOKUP($A165,'Swing Joints'!$A$9:$M$495,9,FALSE),
IF($A165&lt;'Swing Joints Components'!$A$135,VLOOKUP($A165,'Swing Joints Components'!$A$9:$M$134,9,FALSE),
IF($A165&lt;Nonstandard!$A$42,VLOOKUP($A165,Nonstandard!$A$31:$J$41,8,FALSE),"")))))))))))))))))))))))))))),"")</f>
        <v/>
      </c>
      <c r="G165" s="416" t="str">
        <f>IFERROR(IF($A165&lt;'DWV PVC'!$A$285,VLOOKUP($A165,'DWV PVC'!$A$8:$M$284,11,FALSE),
IF($A165&lt;'DWV ABS'!$A$117,VLOOKUP($A165,'DWV ABS'!$A$8:$M$116,11,FALSE),
IF($A165&lt;'PVC SCH40'!$A$376,VLOOKUP($A165,'PVC SCH40'!$A$8:$M$375,11,FALSE),
IF($A165&lt;'PVC SCH40 LD'!$A$22,VLOOKUP($A165,'PVC SCH40 LD'!$A$8:$M$21,11,FALSE),
IF($A165&lt;'Pool &amp; SPA Sweep Elbows'!$A$12,VLOOKUP($A165,'Pool &amp; SPA Sweep Elbows'!$A$8:$M$11,11,FALSE),
IF($A165&lt;'Pool &amp; SPA Pipe Extender'!$A$11,VLOOKUP($A165,'Pool &amp; SPA Pipe Extender'!$A$8:$M$10,11,FALSE),
IF($A165&lt;'PVC SCH80'!$A$250,VLOOKUP($A165,'PVC SCH80'!$A$8:$M$249,11,FALSE),
IF($A165&lt;'PVC SCH80 Flange'!$A$49,VLOOKUP($A165,'PVC SCH80 Flange'!$A$8:$M$48,11,FALSE),
IF($A165&lt;'PVC SCH80 LD Flange'!$A$17,VLOOKUP($A165,'PVC SCH80 LD Flange'!$A$8:$M$16,11,FALSE),
IF($A165&lt;CPVC!$A$100,VLOOKUP($A165,CPVC!$A$8:$M$99,11,FALSE),
IF($A165&lt;InsertFittings!$A$237,VLOOKUP($A165,InsertFittings!$A$11:$M$236,11,FALSE),
IF($A165&lt;Valves!$A$132,VLOOKUP($A165,Valves!$A$8:$M$131,11,FALSE),
IF($A165&lt;SDR35SW!$A$124,VLOOKUP($A165,SDR35SW!$A$8:$M$123,11,FALSE),
IF($A165&lt;SDR35G!$A$143,VLOOKUP($A165, SDR35G!$A$8:$M$142,11,FALSE),
IF($A165&lt;SDR26G!$A$61,VLOOKUP($A165,SDR26G!$A$8:$N$60,12,FALSE),
IF($A165&lt;Cements!$A$100,VLOOKUP($A165,Cements!$A$8:$Q$99,15,FALSE),
IF($A165&lt;ValveBox!$A$143,VLOOKUP($A165,ValveBox!$A$10:$O$142,13,FALSE),
IF($A165&lt;'ValveBox Components'!$A$165,VLOOKUP($A165,'ValveBox Components'!$A$10:$O$164,13,FALSE),
IF($A165&lt;Drainage!$A$92,VLOOKUP($A165,Drainage!$A$8:$M$91,11,FALSE),
IF($A165&lt;Nipples!$A$82,VLOOKUP($A165,Nipples!$A$9:$Q$81,15,FALSE),
IF($A165&lt;Manifold!$A$33,VLOOKUP($A165,Manifold!$A$9:$M$32,11,FALSE),
IF($A165&lt;FlexibleRepairCouplings!$A$13,VLOOKUP($A165,FlexibleRepairCouplings!$A$10:$M$12,11,FALSE),
IF($A165&lt;DuraFix!$A$15,VLOOKUP($A165,DuraFix!$A$9:$M$14,11,FALSE),
IF($A165&lt;'Compression Fittings'!$A$16,VLOOKUP($A165,'Compression Fittings'!$A$8:$M$15,11,FALSE),
IF($A165&lt;'Hose Fittings'!$A$30,VLOOKUP($A165,'Hose Fittings'!$A$8:$M$29,11,FALSE),
IF($A165&lt;'Swing Joints'!$A$496,VLOOKUP($A165,'Swing Joints'!$A$9:$M$495,11,FALSE),
IF($A165&lt;'Swing Joints Components'!$A$135,VLOOKUP($A165,'Swing Joints Components'!$A$9:$M$134,11,FALSE),
IF($A165&lt;Nonstandard!$A$42,VLOOKUP($A165,Nonstandard!$A$31:$J$41,3,FALSE),"")))))))))))))))))))))))))))),"")</f>
        <v/>
      </c>
      <c r="H165" s="586" t="str">
        <f>IFERROR(IF($A165&lt;'DWV PVC'!$A$285,VLOOKUP($A165,'DWV PVC'!$A$8:$M$284,7,FALSE),
IF($A165&lt;'DWV ABS'!$A$117,VLOOKUP($A165,'DWV ABS'!$A$8:$M$116,7,FALSE),
IF($A165&lt;'PVC SCH40'!$A$376,VLOOKUP($A165,'PVC SCH40'!$A$8:$M$375,7,FALSE),
IF($A165&lt;'PVC SCH40 LD'!$A$22,VLOOKUP($A165,'PVC SCH40 LD'!$A$8:$M$21,7,FALSE),
IF($A165&lt;'Pool &amp; SPA Sweep Elbows'!$A$12,VLOOKUP($A165,'Pool &amp; SPA Sweep Elbows'!$A$8:$M$11,7,FALSE),
IF($A165&lt;'Pool &amp; SPA Pipe Extender'!$A$11,VLOOKUP($A165,'Pool &amp; SPA Pipe Extender'!$A$8:$M$10,7,FALSE),
IF($A165&lt;'PVC SCH80'!$A$250,VLOOKUP($A165,'PVC SCH80'!$A$8:$M$249,7,FALSE),
IF($A165&lt;'PVC SCH80 Flange'!$A$49,VLOOKUP($A165,'PVC SCH80 Flange'!$A$8:$M$48,7,FALSE),
IF($A165&lt;'PVC SCH80 LD Flange'!$A$17,VLOOKUP($A165,'PVC SCH80 LD Flange'!$A$8:$M$16,7,FALSE),
IF($A165&lt;CPVC!$A$100,VLOOKUP($A165,CPVC!$A$8:$M$99,7,FALSE),
IF($A165&lt;InsertFittings!$A$237,VLOOKUP($A165,InsertFittings!$A$11:$M$236,7,FALSE),
IF($A165&lt;Valves!$A$132,VLOOKUP($A165,Valves!$A$8:$M$131,7,FALSE),
IF($A165&lt;SDR35SW!$A$124,VLOOKUP($A165,SDR35SW!$A$8:$M$123,7,FALSE),
IF($A165&lt;SDR35G!$A$143,VLOOKUP($A165, SDR35G!$A$8:$M$142,7,FALSE),
IF($A165&lt;SDR26G!$A$61,VLOOKUP($A165,SDR26G!$A$8:$N$60,10,FALSE),
IF($A165&lt;Cements!$A$100,VLOOKUP($A165,Cements!$A$8:$Q$99,13,FALSE),
IF($A165&lt;ValveBox!$A$143,VLOOKUP($A165,ValveBox!$A$10:$O$142,11,FALSE),
IF($A165&lt;'ValveBox Components'!$A$165,VLOOKUP($A165,'ValveBox Components'!$A$10:$O$164,11,FALSE),
IF($A165&lt;Drainage!$A$92,VLOOKUP($A165,Drainage!$A$8:$M$91,7,FALSE),
IF($A165&lt;Nipples!$A$82,VLOOKUP($A165,Nipples!$A$9:$Q$81,13,FALSE),
IF($A165&lt;Manifold!$A$33,VLOOKUP($A165,Manifold!$A$9:$M$32,7,FALSE),
IF($A165&lt;FlexibleRepairCouplings!$A$13,VLOOKUP($A165,FlexibleRepairCouplings!$A$10:$M$12,7,FALSE),
IF($A165&lt;DuraFix!$A$15,VLOOKUP($A165,DuraFix!$A$9:$M$14,7,FALSE),
IF($A165&lt;'Compression Fittings'!$A$16,VLOOKUP($A165,'Compression Fittings'!$A$8:$M$15,7,FALSE),
IF($A165&lt;'Hose Fittings'!$A$30,VLOOKUP($A165,'Hose Fittings'!$A$8:$M$29,7,FALSE),
IF($A165&lt;'Swing Joints'!$A$496,VLOOKUP($A165,'Swing Joints'!$A$9:$M$495,7,FALSE),
IF($A165&lt;'Swing Joints Components'!$A$135,VLOOKUP($A165,'Swing Joints Components'!$A$9:$M$134,7,FALSE),
IF($A165&lt;Nonstandard!$A$42,VLOOKUP($A165,Nonstandard!$A$31:$J$41,3,FALSE),"")))))))))))))))))))))))))))),"")</f>
        <v/>
      </c>
      <c r="I165" s="587"/>
      <c r="J165" s="383" t="str">
        <f t="shared" si="5"/>
        <v/>
      </c>
      <c r="K165" s="417" t="str">
        <f>IFERROR(IF($A165&lt;'DWV PVC'!$A$285,VLOOKUP($A165,'DWV PVC'!$A$8:$M$284,10,FALSE),
IF($A165&lt;'DWV ABS'!$A$117,VLOOKUP($A165,'DWV ABS'!$A$8:$M$116,10,FALSE),
IF($A165&lt;'PVC SCH40'!$A$376,VLOOKUP($A165,'PVC SCH40'!$A$8:$M$375,10,FALSE),
IF($A165&lt;'PVC SCH40 LD'!$A$22,VLOOKUP($A165,'PVC SCH40 LD'!$A$8:$M$21,10,FALSE),
IF($A165&lt;'Pool &amp; SPA Sweep Elbows'!$A$12,VLOOKUP($A165,'Pool &amp; SPA Sweep Elbows'!$A$8:$M$11,10,FALSE),
IF($A165&lt;'Pool &amp; SPA Pipe Extender'!$A$11,VLOOKUP($A165,'Pool &amp; SPA Pipe Extender'!$A$8:$M$10,10,FALSE),
IF($A165&lt;'PVC SCH80'!$A$250,VLOOKUP($A165,'PVC SCH80'!$A$8:$M$249,10,FALSE),
IF($A165&lt;'PVC SCH80 Flange'!$A$49,VLOOKUP($A165,'PVC SCH80 Flange'!$A$8:$M$48,10,FALSE),
IF($A165&lt;'PVC SCH80 LD Flange'!$A$17,VLOOKUP($A165,'PVC SCH80 LD Flange'!$A$8:$M$16,10,FALSE),
IF($A165&lt;CPVC!$A$100,VLOOKUP($A165,CPVC!$A$8:$M$99,10,FALSE),
IF($A165&lt;InsertFittings!$A$237,VLOOKUP($A165,InsertFittings!$A$11:$M$236,10,FALSE),
IF($A165&lt;Valves!$A$132,VLOOKUP($A165,Valves!$A$8:$M$131,10,FALSE),
IF($A165&lt;SDR35SW!$A$124,VLOOKUP($A165,SDR35SW!$A$8:$M$123,10,FALSE),
IF($A165&lt;SDR35G!$A$143,VLOOKUP($A165, SDR35G!$A$8:$M$142,10,FALSE),
IF($A165&lt;SDR26G!$A$61,VLOOKUP($A165,SDR26G!$A$8:$N$60,11,FALSE),
IF($A165&lt;Cements!$A$100,VLOOKUP($A165,Cements!$A$8:$Q$99,14,FALSE),
IF($A165&lt;ValveBox!$A$143,VLOOKUP($A165,ValveBox!$A$10:$O$142,12,FALSE),
IF($A165&lt;'ValveBox Components'!$A$165,VLOOKUP($A165,'ValveBox Components'!$A$10:$O$164,12,FALSE),
IF($A165&lt;Drainage!$A$92,VLOOKUP($A165,Drainage!$A$8:$M$91,10,FALSE),
IF($A165&lt;Nipples!$A$82,VLOOKUP($A165,Nipples!$A$9:$Q$81,14,FALSE),
IF($A165&lt;Manifold!$A$33,VLOOKUP($A165,Manifold!$A$9:$M$32,10,FALSE),
IF($A165&lt;FlexibleRepairCouplings!$A$13,VLOOKUP($A165,FlexibleRepairCouplings!$A$10:$M$12,10,FALSE),
IF($A165&lt;DuraFix!$A$15,VLOOKUP($A165,DuraFix!$A$9:$M$14,10,FALSE),
IF($A165&lt;'Compression Fittings'!$A$16,VLOOKUP($A165,'Compression Fittings'!$A$8:$M$15,10,FALSE),
IF($A165&lt;'Hose Fittings'!$A$30,VLOOKUP($A165,'Hose Fittings'!$A$8:$M$29,10,FALSE),
IF($A165&lt;'Swing Joints'!$A$496,VLOOKUP($A165,'Swing Joints'!$A$9:$M$495,10,FALSE),
IF($A165&lt;'Swing Joints Components'!$A$135,VLOOKUP($A165,'Swing Joints Components'!$A$9:$M$134,10,FALSE),
IF($A165&lt;Nonstandard!$A$42,VLOOKUP($A165,Nonstandard!$A$31:$J$41,10,FALSE),"")))))))))))))))))))))))))))),"")</f>
        <v/>
      </c>
      <c r="L165" s="418" t="str">
        <f t="shared" si="4"/>
        <v>-</v>
      </c>
      <c r="M165" s="419"/>
    </row>
    <row r="166" spans="1:13" ht="15.75">
      <c r="A166" s="420">
        <v>134</v>
      </c>
      <c r="B166" s="420" t="str">
        <f>IFERROR(IF($A166&lt;'DWV PVC'!$A$285,VLOOKUP($A166,'DWV PVC'!$A$8:$M$284,4,FALSE),
IF($A166&lt;'DWV ABS'!$A$117,VLOOKUP($A166,'DWV ABS'!$A$8:$M$116,4,FALSE),
IF($A166&lt;'PVC SCH40'!$A$376,VLOOKUP($A166,'PVC SCH40'!$A$8:$M$375,4,FALSE),
IF($A166&lt;'PVC SCH40 LD'!$A$22,VLOOKUP($A166,'PVC SCH40 LD'!$A$8:$M$21,4,FALSE),
IF($A166&lt;'Pool &amp; SPA Sweep Elbows'!$A$12,VLOOKUP($A166,'Pool &amp; SPA Sweep Elbows'!$A$8:$M$11,4,FALSE),
IF($A166&lt;'Pool &amp; SPA Pipe Extender'!$A$11,VLOOKUP($A166,'Pool &amp; SPA Pipe Extender'!$A$8:$M$10,4,FALSE),
IF($A166&lt;'PVC SCH80'!$A$250,VLOOKUP($A166,'PVC SCH80'!$A$8:$M$249,4,FALSE),
IF($A166&lt;'PVC SCH80 Flange'!$A$49,VLOOKUP($A166,'PVC SCH80 Flange'!$A$8:$M$48,4,FALSE),
IF($A166&lt;'PVC SCH80 LD Flange'!$A$17,VLOOKUP($A166,'PVC SCH80 LD Flange'!$A$8:$M$16,4,FALSE),
IF($A166&lt;CPVC!$A$100,VLOOKUP($A166,CPVC!$A$8:$M$99,4,FALSE),
IF($A166&lt;InsertFittings!$A$237,VLOOKUP($A166,InsertFittings!$A$11:$M$236,4,FALSE),
IF($A166&lt;Valves!$A$132,VLOOKUP($A166,Valves!$A$8:$M$131,4,FALSE),
IF($A166&lt;SDR35SW!$A$124,VLOOKUP($A166,SDR35SW!$A$8:$M$123,4,FALSE),
IF($A166&lt;SDR35G!$A$143,VLOOKUP($A166, SDR35G!$A$8:$M$142,4,FALSE),
IF($A166&lt;SDR26G!$A$61,VLOOKUP($A166,SDR26G!$A$8:$N$60,4,FALSE),
IF($A166&lt;Cements!$A$100,VLOOKUP($A166,Cements!$A$8:$Q$99,4,FALSE),
IF($A166&lt;ValveBox!$A$143,VLOOKUP($A166,ValveBox!$A$10:$O$142,4,FALSE),
IF($A166&lt;'ValveBox Components'!$A$165,VLOOKUP($A166,'ValveBox Components'!$A$10:$O$164,4,FALSE),
IF($A166&lt;Drainage!$A$92,VLOOKUP($A166,Drainage!$A$8:$M$91,4,FALSE),
IF($A166&lt;Nipples!$A$82,VLOOKUP($A166,Nipples!$A$9:$Q$81,4,FALSE),
IF($A166&lt;Manifold!$A$33,VLOOKUP($A166,Manifold!$A$9:$M$32,4,FALSE),
IF($A166&lt;FlexibleRepairCouplings!$A$13,VLOOKUP($A166,FlexibleRepairCouplings!$A$10:$M$12,4,FALSE),
IF($A166&lt;DuraFix!$A$15,VLOOKUP($A166,DuraFix!$A$9:$M$14,4,FALSE),
IF($A166&lt;'Compression Fittings'!$A$16,VLOOKUP($A166,'Compression Fittings'!$A$8:$M$15,4,FALSE),
IF($A166&lt;'Hose Fittings'!$A$30,VLOOKUP($A166,'Hose Fittings'!$A$8:$M$29,4,FALSE),
IF($A166&lt;'Swing Joints'!$A$496,VLOOKUP($A166,'Swing Joints'!$A$9:$M$495,4,FALSE),
IF($A166&lt;'Swing Joints Components'!$A$135,VLOOKUP($A166,'Swing Joints Components'!$A$9:$M$134,4,FALSE),
IF($A166&lt;Nonstandard!$A$42,VLOOKUP($A166,Nonstandard!$A$31:$J$41,5,FALSE),"")))))))))))))))))))))))))))),"")</f>
        <v/>
      </c>
      <c r="C166" s="420" t="str">
        <f>IFERROR(IF($A166&lt;'DWV PVC'!$A$285,VLOOKUP($A166,'DWV PVC'!$A$8:$M$284,5,FALSE),
IF($A166&lt;'DWV ABS'!$A$117,VLOOKUP($A166,'DWV ABS'!$A$8:$M$116,5,FALSE),
IF($A166&lt;'PVC SCH40'!$A$376,VLOOKUP($A166,'PVC SCH40'!$A$8:$M$375,5,FALSE),
IF($A166&lt;'PVC SCH40 LD'!$A$22,VLOOKUP($A166,'PVC SCH40 LD'!$A$8:$M$21,5,FALSE),
IF($A166&lt;'Pool &amp; SPA Sweep Elbows'!$A$12,VLOOKUP($A166,'Pool &amp; SPA Sweep Elbows'!$A$8:$M$11,5,FALSE),
IF($A166&lt;'Pool &amp; SPA Pipe Extender'!$A$11,VLOOKUP($A166,'Pool &amp; SPA Pipe Extender'!$A$8:$M$10,5,FALSE),
IF($A166&lt;'PVC SCH80'!$A$250,VLOOKUP($A166,'PVC SCH80'!$A$8:$M$249,5,FALSE),
IF($A166&lt;'PVC SCH80 Flange'!$A$49,VLOOKUP($A166,'PVC SCH80 Flange'!$A$8:$M$48,5,FALSE),
IF($A166&lt;'PVC SCH80 LD Flange'!$A$17,VLOOKUP($A166,'PVC SCH80 LD Flange'!$A$8:$M$16,5,FALSE),
IF($A166&lt;CPVC!$A$100,VLOOKUP($A166,CPVC!$A$8:$M$99,5,FALSE),
IF($A166&lt;InsertFittings!$A$237,VLOOKUP($A166,InsertFittings!$A$11:$M$236,5,FALSE),
IF($A166&lt;Valves!$A$132,VLOOKUP($A166,Valves!$A$8:$M$131,5,FALSE),
IF($A166&lt;SDR35SW!$A$124,VLOOKUP($A166,SDR35SW!$A$8:$M$123,5,FALSE),
IF($A166&lt;SDR35G!$A$143,VLOOKUP($A166, SDR35G!$A$8:$M$142,5,FALSE),
IF($A166&lt;SDR26G!$A$61,VLOOKUP($A166,SDR26G!$A$8:$N$60,5,FALSE),
IF($A166&lt;Cements!$A$100,VLOOKUP($A166,Cements!$A$8:$Q$99,5,FALSE),
IF($A166&lt;ValveBox!$A$143,VLOOKUP($A166,ValveBox!$A$10:$O$142,5,FALSE),
IF($A166&lt;'ValveBox Components'!$A$165,VLOOKUP($A166,'ValveBox Components'!$A$10:$O$164,5,FALSE),
IF($A166&lt;Drainage!$A$92,VLOOKUP($A166,Drainage!$A$8:$M$91,5,FALSE),
IF($A166&lt;Nipples!$A$82,VLOOKUP($A166,Nipples!$A$9:$Q$81,5,FALSE),
IF($A166&lt;Manifold!$A$33,VLOOKUP($A166,Manifold!$A$9:$M$32,5,FALSE),
IF($A166&lt;FlexibleRepairCouplings!$A$13,VLOOKUP($A166,FlexibleRepairCouplings!$A$10:$M$12,5,FALSE),
IF($A166&lt;DuraFix!$A$15,VLOOKUP($A166,DuraFix!$A$9:$M$14,5,FALSE),
IF($A166&lt;'Compression Fittings'!$A$16,VLOOKUP($A166,'Compression Fittings'!$A$8:$M$15,5,FALSE),
IF($A166&lt;'Hose Fittings'!$A$30,VLOOKUP($A166,'Hose Fittings'!$A$8:$M$29,5,FALSE),
IF($A166&lt;'Swing Joints'!$A$496,VLOOKUP($A166,'Swing Joints'!$A$9:$M$495,5,FALSE),
IF($A166&lt;'Swing Joints Components'!$A$135,VLOOKUP($A166,'Swing Joints Components'!$A$9:$M$134,5,FALSE),
IF($A166&lt;Nonstandard!$A$42,VLOOKUP($A166,Nonstandard!$A$31:$J$41,6,FALSE),"")))))))))))))))))))))))))))),"")</f>
        <v/>
      </c>
      <c r="D166" s="428" t="str">
        <f>IFERROR(IF($A166&lt;'DWV PVC'!$A$285,VLOOKUP($A166,'DWV PVC'!$A$8:$M$284,6,FALSE),
IF($A166&lt;'DWV ABS'!$A$117,VLOOKUP($A166,'DWV ABS'!$A$8:$M$116,6,FALSE),
IF($A166&lt;'PVC SCH40'!$A$376,VLOOKUP($A166,'PVC SCH40'!$A$8:$M$375,6,FALSE),
IF($A166&lt;'PVC SCH40 LD'!$A$22,VLOOKUP($A166,'PVC SCH40 LD'!$A$8:$M$21,6,FALSE),
IF($A166&lt;'Pool &amp; SPA Sweep Elbows'!$A$12,VLOOKUP($A166,'Pool &amp; SPA Sweep Elbows'!$A$8:$M$11,6,FALSE),
IF($A166&lt;'Pool &amp; SPA Pipe Extender'!$A$11,VLOOKUP($A166,'Pool &amp; SPA Pipe Extender'!$A$8:$M$10,6,FALSE),
IF($A166&lt;'PVC SCH80'!$A$250,VLOOKUP($A166,'PVC SCH80'!$A$8:$M$249,6,FALSE),
IF($A166&lt;'PVC SCH80 Flange'!$A$49,VLOOKUP($A166,'PVC SCH80 Flange'!$A$8:$M$48,6,FALSE),
IF($A166&lt;'PVC SCH80 LD Flange'!$A$17,VLOOKUP($A166,'PVC SCH80 LD Flange'!$A$8:$M$16,6,FALSE),
IF($A166&lt;CPVC!$A$100,VLOOKUP($A166,CPVC!$A$8:$M$99,6,FALSE),
IF($A166&lt;InsertFittings!$A$237,VLOOKUP($A166,InsertFittings!$A$11:$M$236,6,FALSE),
IF($A166&lt;Valves!$A$132,VLOOKUP($A166,Valves!$A$8:$M$131,6,FALSE),
IF($A166&lt;SDR35SW!$A$124,VLOOKUP($A166,SDR35SW!$A$8:$M$123,6,FALSE),
IF($A166&lt;SDR35G!$A$143,VLOOKUP($A166, SDR35G!$A$8:$M$142,6,FALSE),
IF($A166&lt;SDR26G!$A$61,VLOOKUP($A166,SDR26G!$A$8:$N$60,6,FALSE),
IF($A166&lt;Cements!$A$100,VLOOKUP($A166,Cements!$A$8:$Q$99,6,FALSE),
IF($A166&lt;ValveBox!$A$143,VLOOKUP($A166,ValveBox!$A$10:$O$142,6,FALSE),
IF($A166&lt;'ValveBox Components'!$A$165,VLOOKUP($A166,'ValveBox Components'!$A$10:$O$164,6,FALSE),
IF($A166&lt;Drainage!$A$92,VLOOKUP($A166,Drainage!$A$8:$M$91,6,FALSE),
IF($A166&lt;Nipples!$A$82,VLOOKUP($A166,Nipples!$A$9:$Q$81,6,FALSE),
IF($A166&lt;Manifold!$A$33,VLOOKUP($A166,Manifold!$A$9:$M$32,6,FALSE),
IF($A166&lt;FlexibleRepairCouplings!$A$13,VLOOKUP($A166,FlexibleRepairCouplings!$A$10:$M$12,6,FALSE),
IF($A166&lt;DuraFix!$A$15,VLOOKUP($A166,DuraFix!$A$9:$M$14,6,FALSE),
IF($A166&lt;'Compression Fittings'!$A$16,VLOOKUP($A166,'Compression Fittings'!$A$8:$M$15,6,FALSE),
IF($A166&lt;'Hose Fittings'!$A$30,VLOOKUP($A166,'Hose Fittings'!$A$8:$M$29,6,FALSE),
IF($A166&lt;'Swing Joints'!$A$496,VLOOKUP($A166,'Swing Joints'!$A$9:$M$495,6,FALSE),
IF($A166&lt;'Swing Joints Components'!$A$135,VLOOKUP($A166,'Swing Joints Components'!$A$9:$M$134,6,FALSE),
IF($A166&lt;Nonstandard!$A$42,VLOOKUP($A166,Nonstandard!$A$31:$J$41,7,FALSE),"")))))))))))))))))))))))))))),"")</f>
        <v/>
      </c>
      <c r="E166" s="429"/>
      <c r="F166" s="421" t="str">
        <f>IFERROR(IF($A166&lt;'DWV PVC'!$A$285,VLOOKUP($A166,'DWV PVC'!$A$8:$M$284,9,FALSE),
IF($A166&lt;'DWV ABS'!$A$117,VLOOKUP($A166,'DWV ABS'!$A$8:$M$116,9,FALSE),
IF($A166&lt;'PVC SCH40'!$A$376,VLOOKUP($A166,'PVC SCH40'!$A$8:$M$375,9,FALSE),
IF($A166&lt;'PVC SCH40 LD'!$A$22,VLOOKUP($A166,'PVC SCH40 LD'!$A$8:$M$21,9,FALSE),
IF($A166&lt;'Pool &amp; SPA Sweep Elbows'!$A$12,VLOOKUP($A166,'Pool &amp; SPA Sweep Elbows'!$A$8:$M$11,9,FALSE),
IF($A166&lt;'Pool &amp; SPA Pipe Extender'!$A$11,VLOOKUP($A166,'Pool &amp; SPA Pipe Extender'!$A$8:$M$10,9,FALSE),
IF($A166&lt;'PVC SCH80'!$A$250,VLOOKUP($A166,'PVC SCH80'!$A$8:$M$249,9,FALSE),
IF($A166&lt;'PVC SCH80 Flange'!$A$49,VLOOKUP($A166,'PVC SCH80 Flange'!$A$8:$M$48,9,FALSE),
IF($A166&lt;'PVC SCH80 LD Flange'!$A$17,VLOOKUP($A166,'PVC SCH80 LD Flange'!$A$8:$M$16,9,FALSE),
IF($A166&lt;CPVC!$A$100,VLOOKUP($A166,CPVC!$A$8:$M$99,9,FALSE),
IF($A166&lt;InsertFittings!$A$237,VLOOKUP($A166,InsertFittings!$A$11:$M$236,9,FALSE),
IF($A166&lt;Valves!$A$132,VLOOKUP($A166,Valves!$A$8:$M$131,9,FALSE),
IF($A166&lt;SDR35SW!$A$124,VLOOKUP($A166,SDR35SW!$A$8:$M$123,9,FALSE),
IF($A166&lt;SDR35G!$A$143,VLOOKUP($A166, SDR35G!$A$8:$M$142,9,FALSE),
IF($A166&lt;SDR26G!$A$61,VLOOKUP($A166,SDR26G!$A$8:$N$60,10,FALSE),
IF($A166&lt;Cements!$A$100,VLOOKUP($A166,Cements!$A$8:$Q$99,13,FALSE),
IF($A166&lt;ValveBox!$A$143,VLOOKUP($A166,ValveBox!$A$10:$O$142,11,FALSE),
IF($A166&lt;'ValveBox Components'!$A$165,VLOOKUP($A166,'ValveBox Components'!$A$10:$O$164,11,FALSE),
IF($A166&lt;Drainage!$A$92,VLOOKUP($A166,Drainage!$A$8:$M$91,9,FALSE),
IF($A166&lt;Nipples!$A$82,VLOOKUP($A166,Nipples!$A$9:$Q$81,13,FALSE),
IF($A166&lt;Manifold!$A$33,VLOOKUP($A166,Manifold!$A$9:$M$32,9,FALSE),
IF($A166&lt;FlexibleRepairCouplings!$A$13,VLOOKUP($A166,FlexibleRepairCouplings!$A$10:$M$12,9,FALSE),
IF($A166&lt;DuraFix!$A$15,VLOOKUP($A166,DuraFix!$A$9:$M$14,9,FALSE),
IF($A166&lt;'Compression Fittings'!$A$16,VLOOKUP($A166,'Compression Fittings'!$A$8:$M$15,9,FALSE),
IF($A166&lt;'Hose Fittings'!$A$30,VLOOKUP($A166,'Hose Fittings'!$A$8:$M$29,9,FALSE),
IF($A166&lt;'Swing Joints'!$A$496,VLOOKUP($A166,'Swing Joints'!$A$9:$M$495,9,FALSE),
IF($A166&lt;'Swing Joints Components'!$A$135,VLOOKUP($A166,'Swing Joints Components'!$A$9:$M$134,9,FALSE),
IF($A166&lt;Nonstandard!$A$42,VLOOKUP($A166,Nonstandard!$A$31:$J$41,8,FALSE),"")))))))))))))))))))))))))))),"")</f>
        <v/>
      </c>
      <c r="G166" s="422" t="str">
        <f>IFERROR(IF($A166&lt;'DWV PVC'!$A$285,VLOOKUP($A166,'DWV PVC'!$A$8:$M$284,11,FALSE),
IF($A166&lt;'DWV ABS'!$A$117,VLOOKUP($A166,'DWV ABS'!$A$8:$M$116,11,FALSE),
IF($A166&lt;'PVC SCH40'!$A$376,VLOOKUP($A166,'PVC SCH40'!$A$8:$M$375,11,FALSE),
IF($A166&lt;'PVC SCH40 LD'!$A$22,VLOOKUP($A166,'PVC SCH40 LD'!$A$8:$M$21,11,FALSE),
IF($A166&lt;'Pool &amp; SPA Sweep Elbows'!$A$12,VLOOKUP($A166,'Pool &amp; SPA Sweep Elbows'!$A$8:$M$11,11,FALSE),
IF($A166&lt;'Pool &amp; SPA Pipe Extender'!$A$11,VLOOKUP($A166,'Pool &amp; SPA Pipe Extender'!$A$8:$M$10,11,FALSE),
IF($A166&lt;'PVC SCH80'!$A$250,VLOOKUP($A166,'PVC SCH80'!$A$8:$M$249,11,FALSE),
IF($A166&lt;'PVC SCH80 Flange'!$A$49,VLOOKUP($A166,'PVC SCH80 Flange'!$A$8:$M$48,11,FALSE),
IF($A166&lt;'PVC SCH80 LD Flange'!$A$17,VLOOKUP($A166,'PVC SCH80 LD Flange'!$A$8:$M$16,11,FALSE),
IF($A166&lt;CPVC!$A$100,VLOOKUP($A166,CPVC!$A$8:$M$99,11,FALSE),
IF($A166&lt;InsertFittings!$A$237,VLOOKUP($A166,InsertFittings!$A$11:$M$236,11,FALSE),
IF($A166&lt;Valves!$A$132,VLOOKUP($A166,Valves!$A$8:$M$131,11,FALSE),
IF($A166&lt;SDR35SW!$A$124,VLOOKUP($A166,SDR35SW!$A$8:$M$123,11,FALSE),
IF($A166&lt;SDR35G!$A$143,VLOOKUP($A166, SDR35G!$A$8:$M$142,11,FALSE),
IF($A166&lt;SDR26G!$A$61,VLOOKUP($A166,SDR26G!$A$8:$N$60,12,FALSE),
IF($A166&lt;Cements!$A$100,VLOOKUP($A166,Cements!$A$8:$Q$99,15,FALSE),
IF($A166&lt;ValveBox!$A$143,VLOOKUP($A166,ValveBox!$A$10:$O$142,13,FALSE),
IF($A166&lt;'ValveBox Components'!$A$165,VLOOKUP($A166,'ValveBox Components'!$A$10:$O$164,13,FALSE),
IF($A166&lt;Drainage!$A$92,VLOOKUP($A166,Drainage!$A$8:$M$91,11,FALSE),
IF($A166&lt;Nipples!$A$82,VLOOKUP($A166,Nipples!$A$9:$Q$81,15,FALSE),
IF($A166&lt;Manifold!$A$33,VLOOKUP($A166,Manifold!$A$9:$M$32,11,FALSE),
IF($A166&lt;FlexibleRepairCouplings!$A$13,VLOOKUP($A166,FlexibleRepairCouplings!$A$10:$M$12,11,FALSE),
IF($A166&lt;DuraFix!$A$15,VLOOKUP($A166,DuraFix!$A$9:$M$14,11,FALSE),
IF($A166&lt;'Compression Fittings'!$A$16,VLOOKUP($A166,'Compression Fittings'!$A$8:$M$15,11,FALSE),
IF($A166&lt;'Hose Fittings'!$A$30,VLOOKUP($A166,'Hose Fittings'!$A$8:$M$29,11,FALSE),
IF($A166&lt;'Swing Joints'!$A$496,VLOOKUP($A166,'Swing Joints'!$A$9:$M$495,11,FALSE),
IF($A166&lt;'Swing Joints Components'!$A$135,VLOOKUP($A166,'Swing Joints Components'!$A$9:$M$134,11,FALSE),
IF($A166&lt;Nonstandard!$A$42,VLOOKUP($A166,Nonstandard!$A$31:$J$41,3,FALSE),"")))))))))))))))))))))))))))),"")</f>
        <v/>
      </c>
      <c r="H166" s="588" t="str">
        <f>IFERROR(IF($A166&lt;'DWV PVC'!$A$285,VLOOKUP($A166,'DWV PVC'!$A$8:$M$284,7,FALSE),
IF($A166&lt;'DWV ABS'!$A$117,VLOOKUP($A166,'DWV ABS'!$A$8:$M$116,7,FALSE),
IF($A166&lt;'PVC SCH40'!$A$376,VLOOKUP($A166,'PVC SCH40'!$A$8:$M$375,7,FALSE),
IF($A166&lt;'PVC SCH40 LD'!$A$22,VLOOKUP($A166,'PVC SCH40 LD'!$A$8:$M$21,7,FALSE),
IF($A166&lt;'Pool &amp; SPA Sweep Elbows'!$A$12,VLOOKUP($A166,'Pool &amp; SPA Sweep Elbows'!$A$8:$M$11,7,FALSE),
IF($A166&lt;'Pool &amp; SPA Pipe Extender'!$A$11,VLOOKUP($A166,'Pool &amp; SPA Pipe Extender'!$A$8:$M$10,7,FALSE),
IF($A166&lt;'PVC SCH80'!$A$250,VLOOKUP($A166,'PVC SCH80'!$A$8:$M$249,7,FALSE),
IF($A166&lt;'PVC SCH80 Flange'!$A$49,VLOOKUP($A166,'PVC SCH80 Flange'!$A$8:$M$48,7,FALSE),
IF($A166&lt;'PVC SCH80 LD Flange'!$A$17,VLOOKUP($A166,'PVC SCH80 LD Flange'!$A$8:$M$16,7,FALSE),
IF($A166&lt;CPVC!$A$100,VLOOKUP($A166,CPVC!$A$8:$M$99,7,FALSE),
IF($A166&lt;InsertFittings!$A$237,VLOOKUP($A166,InsertFittings!$A$11:$M$236,7,FALSE),
IF($A166&lt;Valves!$A$132,VLOOKUP($A166,Valves!$A$8:$M$131,7,FALSE),
IF($A166&lt;SDR35SW!$A$124,VLOOKUP($A166,SDR35SW!$A$8:$M$123,7,FALSE),
IF($A166&lt;SDR35G!$A$143,VLOOKUP($A166, SDR35G!$A$8:$M$142,7,FALSE),
IF($A166&lt;SDR26G!$A$61,VLOOKUP($A166,SDR26G!$A$8:$N$60,10,FALSE),
IF($A166&lt;Cements!$A$100,VLOOKUP($A166,Cements!$A$8:$Q$99,13,FALSE),
IF($A166&lt;ValveBox!$A$143,VLOOKUP($A166,ValveBox!$A$10:$O$142,11,FALSE),
IF($A166&lt;'ValveBox Components'!$A$165,VLOOKUP($A166,'ValveBox Components'!$A$10:$O$164,11,FALSE),
IF($A166&lt;Drainage!$A$92,VLOOKUP($A166,Drainage!$A$8:$M$91,7,FALSE),
IF($A166&lt;Nipples!$A$82,VLOOKUP($A166,Nipples!$A$9:$Q$81,13,FALSE),
IF($A166&lt;Manifold!$A$33,VLOOKUP($A166,Manifold!$A$9:$M$32,7,FALSE),
IF($A166&lt;FlexibleRepairCouplings!$A$13,VLOOKUP($A166,FlexibleRepairCouplings!$A$10:$M$12,7,FALSE),
IF($A166&lt;DuraFix!$A$15,VLOOKUP($A166,DuraFix!$A$9:$M$14,7,FALSE),
IF($A166&lt;'Compression Fittings'!$A$16,VLOOKUP($A166,'Compression Fittings'!$A$8:$M$15,7,FALSE),
IF($A166&lt;'Hose Fittings'!$A$30,VLOOKUP($A166,'Hose Fittings'!$A$8:$M$29,7,FALSE),
IF($A166&lt;'Swing Joints'!$A$496,VLOOKUP($A166,'Swing Joints'!$A$9:$M$495,7,FALSE),
IF($A166&lt;'Swing Joints Components'!$A$135,VLOOKUP($A166,'Swing Joints Components'!$A$9:$M$134,7,FALSE),
IF($A166&lt;Nonstandard!$A$42,VLOOKUP($A166,Nonstandard!$A$31:$J$41,3,FALSE),"")))))))))))))))))))))))))))),"")</f>
        <v/>
      </c>
      <c r="I166" s="589"/>
      <c r="J166" s="423" t="str">
        <f t="shared" si="5"/>
        <v/>
      </c>
      <c r="K166" s="424" t="str">
        <f>IFERROR(IF($A166&lt;'DWV PVC'!$A$285,VLOOKUP($A166,'DWV PVC'!$A$8:$M$284,10,FALSE),
IF($A166&lt;'DWV ABS'!$A$117,VLOOKUP($A166,'DWV ABS'!$A$8:$M$116,10,FALSE),
IF($A166&lt;'PVC SCH40'!$A$376,VLOOKUP($A166,'PVC SCH40'!$A$8:$M$375,10,FALSE),
IF($A166&lt;'PVC SCH40 LD'!$A$22,VLOOKUP($A166,'PVC SCH40 LD'!$A$8:$M$21,10,FALSE),
IF($A166&lt;'Pool &amp; SPA Sweep Elbows'!$A$12,VLOOKUP($A166,'Pool &amp; SPA Sweep Elbows'!$A$8:$M$11,10,FALSE),
IF($A166&lt;'Pool &amp; SPA Pipe Extender'!$A$11,VLOOKUP($A166,'Pool &amp; SPA Pipe Extender'!$A$8:$M$10,10,FALSE),
IF($A166&lt;'PVC SCH80'!$A$250,VLOOKUP($A166,'PVC SCH80'!$A$8:$M$249,10,FALSE),
IF($A166&lt;'PVC SCH80 Flange'!$A$49,VLOOKUP($A166,'PVC SCH80 Flange'!$A$8:$M$48,10,FALSE),
IF($A166&lt;'PVC SCH80 LD Flange'!$A$17,VLOOKUP($A166,'PVC SCH80 LD Flange'!$A$8:$M$16,10,FALSE),
IF($A166&lt;CPVC!$A$100,VLOOKUP($A166,CPVC!$A$8:$M$99,10,FALSE),
IF($A166&lt;InsertFittings!$A$237,VLOOKUP($A166,InsertFittings!$A$11:$M$236,10,FALSE),
IF($A166&lt;Valves!$A$132,VLOOKUP($A166,Valves!$A$8:$M$131,10,FALSE),
IF($A166&lt;SDR35SW!$A$124,VLOOKUP($A166,SDR35SW!$A$8:$M$123,10,FALSE),
IF($A166&lt;SDR35G!$A$143,VLOOKUP($A166, SDR35G!$A$8:$M$142,10,FALSE),
IF($A166&lt;SDR26G!$A$61,VLOOKUP($A166,SDR26G!$A$8:$N$60,11,FALSE),
IF($A166&lt;Cements!$A$100,VLOOKUP($A166,Cements!$A$8:$Q$99,14,FALSE),
IF($A166&lt;ValveBox!$A$143,VLOOKUP($A166,ValveBox!$A$10:$O$142,12,FALSE),
IF($A166&lt;'ValveBox Components'!$A$165,VLOOKUP($A166,'ValveBox Components'!$A$10:$O$164,12,FALSE),
IF($A166&lt;Drainage!$A$92,VLOOKUP($A166,Drainage!$A$8:$M$91,10,FALSE),
IF($A166&lt;Nipples!$A$82,VLOOKUP($A166,Nipples!$A$9:$Q$81,14,FALSE),
IF($A166&lt;Manifold!$A$33,VLOOKUP($A166,Manifold!$A$9:$M$32,10,FALSE),
IF($A166&lt;FlexibleRepairCouplings!$A$13,VLOOKUP($A166,FlexibleRepairCouplings!$A$10:$M$12,10,FALSE),
IF($A166&lt;DuraFix!$A$15,VLOOKUP($A166,DuraFix!$A$9:$M$14,10,FALSE),
IF($A166&lt;'Compression Fittings'!$A$16,VLOOKUP($A166,'Compression Fittings'!$A$8:$M$15,10,FALSE),
IF($A166&lt;'Hose Fittings'!$A$30,VLOOKUP($A166,'Hose Fittings'!$A$8:$M$29,10,FALSE),
IF($A166&lt;'Swing Joints'!$A$496,VLOOKUP($A166,'Swing Joints'!$A$9:$M$495,10,FALSE),
IF($A166&lt;'Swing Joints Components'!$A$135,VLOOKUP($A166,'Swing Joints Components'!$A$9:$M$134,10,FALSE),
IF($A166&lt;Nonstandard!$A$42,VLOOKUP($A166,Nonstandard!$A$31:$J$41,10,FALSE),"")))))))))))))))))))))))))))),"")</f>
        <v/>
      </c>
      <c r="L166" s="421" t="str">
        <f t="shared" si="4"/>
        <v>-</v>
      </c>
      <c r="M166" s="425"/>
    </row>
    <row r="167" spans="1:13" ht="15.75">
      <c r="A167" s="415">
        <v>135</v>
      </c>
      <c r="B167" s="415" t="str">
        <f>IFERROR(IF($A167&lt;'DWV PVC'!$A$285,VLOOKUP($A167,'DWV PVC'!$A$8:$M$284,4,FALSE),
IF($A167&lt;'DWV ABS'!$A$117,VLOOKUP($A167,'DWV ABS'!$A$8:$M$116,4,FALSE),
IF($A167&lt;'PVC SCH40'!$A$376,VLOOKUP($A167,'PVC SCH40'!$A$8:$M$375,4,FALSE),
IF($A167&lt;'PVC SCH40 LD'!$A$22,VLOOKUP($A167,'PVC SCH40 LD'!$A$8:$M$21,4,FALSE),
IF($A167&lt;'Pool &amp; SPA Sweep Elbows'!$A$12,VLOOKUP($A167,'Pool &amp; SPA Sweep Elbows'!$A$8:$M$11,4,FALSE),
IF($A167&lt;'Pool &amp; SPA Pipe Extender'!$A$11,VLOOKUP($A167,'Pool &amp; SPA Pipe Extender'!$A$8:$M$10,4,FALSE),
IF($A167&lt;'PVC SCH80'!$A$250,VLOOKUP($A167,'PVC SCH80'!$A$8:$M$249,4,FALSE),
IF($A167&lt;'PVC SCH80 Flange'!$A$49,VLOOKUP($A167,'PVC SCH80 Flange'!$A$8:$M$48,4,FALSE),
IF($A167&lt;'PVC SCH80 LD Flange'!$A$17,VLOOKUP($A167,'PVC SCH80 LD Flange'!$A$8:$M$16,4,FALSE),
IF($A167&lt;CPVC!$A$100,VLOOKUP($A167,CPVC!$A$8:$M$99,4,FALSE),
IF($A167&lt;InsertFittings!$A$237,VLOOKUP($A167,InsertFittings!$A$11:$M$236,4,FALSE),
IF($A167&lt;Valves!$A$132,VLOOKUP($A167,Valves!$A$8:$M$131,4,FALSE),
IF($A167&lt;SDR35SW!$A$124,VLOOKUP($A167,SDR35SW!$A$8:$M$123,4,FALSE),
IF($A167&lt;SDR35G!$A$143,VLOOKUP($A167, SDR35G!$A$8:$M$142,4,FALSE),
IF($A167&lt;SDR26G!$A$61,VLOOKUP($A167,SDR26G!$A$8:$N$60,4,FALSE),
IF($A167&lt;Cements!$A$100,VLOOKUP($A167,Cements!$A$8:$Q$99,4,FALSE),
IF($A167&lt;ValveBox!$A$143,VLOOKUP($A167,ValveBox!$A$10:$O$142,4,FALSE),
IF($A167&lt;'ValveBox Components'!$A$165,VLOOKUP($A167,'ValveBox Components'!$A$10:$O$164,4,FALSE),
IF($A167&lt;Drainage!$A$92,VLOOKUP($A167,Drainage!$A$8:$M$91,4,FALSE),
IF($A167&lt;Nipples!$A$82,VLOOKUP($A167,Nipples!$A$9:$Q$81,4,FALSE),
IF($A167&lt;Manifold!$A$33,VLOOKUP($A167,Manifold!$A$9:$M$32,4,FALSE),
IF($A167&lt;FlexibleRepairCouplings!$A$13,VLOOKUP($A167,FlexibleRepairCouplings!$A$10:$M$12,4,FALSE),
IF($A167&lt;DuraFix!$A$15,VLOOKUP($A167,DuraFix!$A$9:$M$14,4,FALSE),
IF($A167&lt;'Compression Fittings'!$A$16,VLOOKUP($A167,'Compression Fittings'!$A$8:$M$15,4,FALSE),
IF($A167&lt;'Hose Fittings'!$A$30,VLOOKUP($A167,'Hose Fittings'!$A$8:$M$29,4,FALSE),
IF($A167&lt;'Swing Joints'!$A$496,VLOOKUP($A167,'Swing Joints'!$A$9:$M$495,4,FALSE),
IF($A167&lt;'Swing Joints Components'!$A$135,VLOOKUP($A167,'Swing Joints Components'!$A$9:$M$134,4,FALSE),
IF($A167&lt;Nonstandard!$A$42,VLOOKUP($A167,Nonstandard!$A$31:$J$41,5,FALSE),"")))))))))))))))))))))))))))),"")</f>
        <v/>
      </c>
      <c r="C167" s="415" t="str">
        <f>IFERROR(IF($A167&lt;'DWV PVC'!$A$285,VLOOKUP($A167,'DWV PVC'!$A$8:$M$284,5,FALSE),
IF($A167&lt;'DWV ABS'!$A$117,VLOOKUP($A167,'DWV ABS'!$A$8:$M$116,5,FALSE),
IF($A167&lt;'PVC SCH40'!$A$376,VLOOKUP($A167,'PVC SCH40'!$A$8:$M$375,5,FALSE),
IF($A167&lt;'PVC SCH40 LD'!$A$22,VLOOKUP($A167,'PVC SCH40 LD'!$A$8:$M$21,5,FALSE),
IF($A167&lt;'Pool &amp; SPA Sweep Elbows'!$A$12,VLOOKUP($A167,'Pool &amp; SPA Sweep Elbows'!$A$8:$M$11,5,FALSE),
IF($A167&lt;'Pool &amp; SPA Pipe Extender'!$A$11,VLOOKUP($A167,'Pool &amp; SPA Pipe Extender'!$A$8:$M$10,5,FALSE),
IF($A167&lt;'PVC SCH80'!$A$250,VLOOKUP($A167,'PVC SCH80'!$A$8:$M$249,5,FALSE),
IF($A167&lt;'PVC SCH80 Flange'!$A$49,VLOOKUP($A167,'PVC SCH80 Flange'!$A$8:$M$48,5,FALSE),
IF($A167&lt;'PVC SCH80 LD Flange'!$A$17,VLOOKUP($A167,'PVC SCH80 LD Flange'!$A$8:$M$16,5,FALSE),
IF($A167&lt;CPVC!$A$100,VLOOKUP($A167,CPVC!$A$8:$M$99,5,FALSE),
IF($A167&lt;InsertFittings!$A$237,VLOOKUP($A167,InsertFittings!$A$11:$M$236,5,FALSE),
IF($A167&lt;Valves!$A$132,VLOOKUP($A167,Valves!$A$8:$M$131,5,FALSE),
IF($A167&lt;SDR35SW!$A$124,VLOOKUP($A167,SDR35SW!$A$8:$M$123,5,FALSE),
IF($A167&lt;SDR35G!$A$143,VLOOKUP($A167, SDR35G!$A$8:$M$142,5,FALSE),
IF($A167&lt;SDR26G!$A$61,VLOOKUP($A167,SDR26G!$A$8:$N$60,5,FALSE),
IF($A167&lt;Cements!$A$100,VLOOKUP($A167,Cements!$A$8:$Q$99,5,FALSE),
IF($A167&lt;ValveBox!$A$143,VLOOKUP($A167,ValveBox!$A$10:$O$142,5,FALSE),
IF($A167&lt;'ValveBox Components'!$A$165,VLOOKUP($A167,'ValveBox Components'!$A$10:$O$164,5,FALSE),
IF($A167&lt;Drainage!$A$92,VLOOKUP($A167,Drainage!$A$8:$M$91,5,FALSE),
IF($A167&lt;Nipples!$A$82,VLOOKUP($A167,Nipples!$A$9:$Q$81,5,FALSE),
IF($A167&lt;Manifold!$A$33,VLOOKUP($A167,Manifold!$A$9:$M$32,5,FALSE),
IF($A167&lt;FlexibleRepairCouplings!$A$13,VLOOKUP($A167,FlexibleRepairCouplings!$A$10:$M$12,5,FALSE),
IF($A167&lt;DuraFix!$A$15,VLOOKUP($A167,DuraFix!$A$9:$M$14,5,FALSE),
IF($A167&lt;'Compression Fittings'!$A$16,VLOOKUP($A167,'Compression Fittings'!$A$8:$M$15,5,FALSE),
IF($A167&lt;'Hose Fittings'!$A$30,VLOOKUP($A167,'Hose Fittings'!$A$8:$M$29,5,FALSE),
IF($A167&lt;'Swing Joints'!$A$496,VLOOKUP($A167,'Swing Joints'!$A$9:$M$495,5,FALSE),
IF($A167&lt;'Swing Joints Components'!$A$135,VLOOKUP($A167,'Swing Joints Components'!$A$9:$M$134,5,FALSE),
IF($A167&lt;Nonstandard!$A$42,VLOOKUP($A167,Nonstandard!$A$31:$J$41,6,FALSE),"")))))))))))))))))))))))))))),"")</f>
        <v/>
      </c>
      <c r="D167" s="426" t="str">
        <f>IFERROR(IF($A167&lt;'DWV PVC'!$A$285,VLOOKUP($A167,'DWV PVC'!$A$8:$M$284,6,FALSE),
IF($A167&lt;'DWV ABS'!$A$117,VLOOKUP($A167,'DWV ABS'!$A$8:$M$116,6,FALSE),
IF($A167&lt;'PVC SCH40'!$A$376,VLOOKUP($A167,'PVC SCH40'!$A$8:$M$375,6,FALSE),
IF($A167&lt;'PVC SCH40 LD'!$A$22,VLOOKUP($A167,'PVC SCH40 LD'!$A$8:$M$21,6,FALSE),
IF($A167&lt;'Pool &amp; SPA Sweep Elbows'!$A$12,VLOOKUP($A167,'Pool &amp; SPA Sweep Elbows'!$A$8:$M$11,6,FALSE),
IF($A167&lt;'Pool &amp; SPA Pipe Extender'!$A$11,VLOOKUP($A167,'Pool &amp; SPA Pipe Extender'!$A$8:$M$10,6,FALSE),
IF($A167&lt;'PVC SCH80'!$A$250,VLOOKUP($A167,'PVC SCH80'!$A$8:$M$249,6,FALSE),
IF($A167&lt;'PVC SCH80 Flange'!$A$49,VLOOKUP($A167,'PVC SCH80 Flange'!$A$8:$M$48,6,FALSE),
IF($A167&lt;'PVC SCH80 LD Flange'!$A$17,VLOOKUP($A167,'PVC SCH80 LD Flange'!$A$8:$M$16,6,FALSE),
IF($A167&lt;CPVC!$A$100,VLOOKUP($A167,CPVC!$A$8:$M$99,6,FALSE),
IF($A167&lt;InsertFittings!$A$237,VLOOKUP($A167,InsertFittings!$A$11:$M$236,6,FALSE),
IF($A167&lt;Valves!$A$132,VLOOKUP($A167,Valves!$A$8:$M$131,6,FALSE),
IF($A167&lt;SDR35SW!$A$124,VLOOKUP($A167,SDR35SW!$A$8:$M$123,6,FALSE),
IF($A167&lt;SDR35G!$A$143,VLOOKUP($A167, SDR35G!$A$8:$M$142,6,FALSE),
IF($A167&lt;SDR26G!$A$61,VLOOKUP($A167,SDR26G!$A$8:$N$60,6,FALSE),
IF($A167&lt;Cements!$A$100,VLOOKUP($A167,Cements!$A$8:$Q$99,6,FALSE),
IF($A167&lt;ValveBox!$A$143,VLOOKUP($A167,ValveBox!$A$10:$O$142,6,FALSE),
IF($A167&lt;'ValveBox Components'!$A$165,VLOOKUP($A167,'ValveBox Components'!$A$10:$O$164,6,FALSE),
IF($A167&lt;Drainage!$A$92,VLOOKUP($A167,Drainage!$A$8:$M$91,6,FALSE),
IF($A167&lt;Nipples!$A$82,VLOOKUP($A167,Nipples!$A$9:$Q$81,6,FALSE),
IF($A167&lt;Manifold!$A$33,VLOOKUP($A167,Manifold!$A$9:$M$32,6,FALSE),
IF($A167&lt;FlexibleRepairCouplings!$A$13,VLOOKUP($A167,FlexibleRepairCouplings!$A$10:$M$12,6,FALSE),
IF($A167&lt;DuraFix!$A$15,VLOOKUP($A167,DuraFix!$A$9:$M$14,6,FALSE),
IF($A167&lt;'Compression Fittings'!$A$16,VLOOKUP($A167,'Compression Fittings'!$A$8:$M$15,6,FALSE),
IF($A167&lt;'Hose Fittings'!$A$30,VLOOKUP($A167,'Hose Fittings'!$A$8:$M$29,6,FALSE),
IF($A167&lt;'Swing Joints'!$A$496,VLOOKUP($A167,'Swing Joints'!$A$9:$M$495,6,FALSE),
IF($A167&lt;'Swing Joints Components'!$A$135,VLOOKUP($A167,'Swing Joints Components'!$A$9:$M$134,6,FALSE),
IF($A167&lt;Nonstandard!$A$42,VLOOKUP($A167,Nonstandard!$A$31:$J$41,7,FALSE),"")))))))))))))))))))))))))))),"")</f>
        <v/>
      </c>
      <c r="E167" s="427"/>
      <c r="F167" s="418" t="str">
        <f>IFERROR(IF($A167&lt;'DWV PVC'!$A$285,VLOOKUP($A167,'DWV PVC'!$A$8:$M$284,9,FALSE),
IF($A167&lt;'DWV ABS'!$A$117,VLOOKUP($A167,'DWV ABS'!$A$8:$M$116,9,FALSE),
IF($A167&lt;'PVC SCH40'!$A$376,VLOOKUP($A167,'PVC SCH40'!$A$8:$M$375,9,FALSE),
IF($A167&lt;'PVC SCH40 LD'!$A$22,VLOOKUP($A167,'PVC SCH40 LD'!$A$8:$M$21,9,FALSE),
IF($A167&lt;'Pool &amp; SPA Sweep Elbows'!$A$12,VLOOKUP($A167,'Pool &amp; SPA Sweep Elbows'!$A$8:$M$11,9,FALSE),
IF($A167&lt;'Pool &amp; SPA Pipe Extender'!$A$11,VLOOKUP($A167,'Pool &amp; SPA Pipe Extender'!$A$8:$M$10,9,FALSE),
IF($A167&lt;'PVC SCH80'!$A$250,VLOOKUP($A167,'PVC SCH80'!$A$8:$M$249,9,FALSE),
IF($A167&lt;'PVC SCH80 Flange'!$A$49,VLOOKUP($A167,'PVC SCH80 Flange'!$A$8:$M$48,9,FALSE),
IF($A167&lt;'PVC SCH80 LD Flange'!$A$17,VLOOKUP($A167,'PVC SCH80 LD Flange'!$A$8:$M$16,9,FALSE),
IF($A167&lt;CPVC!$A$100,VLOOKUP($A167,CPVC!$A$8:$M$99,9,FALSE),
IF($A167&lt;InsertFittings!$A$237,VLOOKUP($A167,InsertFittings!$A$11:$M$236,9,FALSE),
IF($A167&lt;Valves!$A$132,VLOOKUP($A167,Valves!$A$8:$M$131,9,FALSE),
IF($A167&lt;SDR35SW!$A$124,VLOOKUP($A167,SDR35SW!$A$8:$M$123,9,FALSE),
IF($A167&lt;SDR35G!$A$143,VLOOKUP($A167, SDR35G!$A$8:$M$142,9,FALSE),
IF($A167&lt;SDR26G!$A$61,VLOOKUP($A167,SDR26G!$A$8:$N$60,10,FALSE),
IF($A167&lt;Cements!$A$100,VLOOKUP($A167,Cements!$A$8:$Q$99,13,FALSE),
IF($A167&lt;ValveBox!$A$143,VLOOKUP($A167,ValveBox!$A$10:$O$142,11,FALSE),
IF($A167&lt;'ValveBox Components'!$A$165,VLOOKUP($A167,'ValveBox Components'!$A$10:$O$164,11,FALSE),
IF($A167&lt;Drainage!$A$92,VLOOKUP($A167,Drainage!$A$8:$M$91,9,FALSE),
IF($A167&lt;Nipples!$A$82,VLOOKUP($A167,Nipples!$A$9:$Q$81,13,FALSE),
IF($A167&lt;Manifold!$A$33,VLOOKUP($A167,Manifold!$A$9:$M$32,9,FALSE),
IF($A167&lt;FlexibleRepairCouplings!$A$13,VLOOKUP($A167,FlexibleRepairCouplings!$A$10:$M$12,9,FALSE),
IF($A167&lt;DuraFix!$A$15,VLOOKUP($A167,DuraFix!$A$9:$M$14,9,FALSE),
IF($A167&lt;'Compression Fittings'!$A$16,VLOOKUP($A167,'Compression Fittings'!$A$8:$M$15,9,FALSE),
IF($A167&lt;'Hose Fittings'!$A$30,VLOOKUP($A167,'Hose Fittings'!$A$8:$M$29,9,FALSE),
IF($A167&lt;'Swing Joints'!$A$496,VLOOKUP($A167,'Swing Joints'!$A$9:$M$495,9,FALSE),
IF($A167&lt;'Swing Joints Components'!$A$135,VLOOKUP($A167,'Swing Joints Components'!$A$9:$M$134,9,FALSE),
IF($A167&lt;Nonstandard!$A$42,VLOOKUP($A167,Nonstandard!$A$31:$J$41,8,FALSE),"")))))))))))))))))))))))))))),"")</f>
        <v/>
      </c>
      <c r="G167" s="416" t="str">
        <f>IFERROR(IF($A167&lt;'DWV PVC'!$A$285,VLOOKUP($A167,'DWV PVC'!$A$8:$M$284,11,FALSE),
IF($A167&lt;'DWV ABS'!$A$117,VLOOKUP($A167,'DWV ABS'!$A$8:$M$116,11,FALSE),
IF($A167&lt;'PVC SCH40'!$A$376,VLOOKUP($A167,'PVC SCH40'!$A$8:$M$375,11,FALSE),
IF($A167&lt;'PVC SCH40 LD'!$A$22,VLOOKUP($A167,'PVC SCH40 LD'!$A$8:$M$21,11,FALSE),
IF($A167&lt;'Pool &amp; SPA Sweep Elbows'!$A$12,VLOOKUP($A167,'Pool &amp; SPA Sweep Elbows'!$A$8:$M$11,11,FALSE),
IF($A167&lt;'Pool &amp; SPA Pipe Extender'!$A$11,VLOOKUP($A167,'Pool &amp; SPA Pipe Extender'!$A$8:$M$10,11,FALSE),
IF($A167&lt;'PVC SCH80'!$A$250,VLOOKUP($A167,'PVC SCH80'!$A$8:$M$249,11,FALSE),
IF($A167&lt;'PVC SCH80 Flange'!$A$49,VLOOKUP($A167,'PVC SCH80 Flange'!$A$8:$M$48,11,FALSE),
IF($A167&lt;'PVC SCH80 LD Flange'!$A$17,VLOOKUP($A167,'PVC SCH80 LD Flange'!$A$8:$M$16,11,FALSE),
IF($A167&lt;CPVC!$A$100,VLOOKUP($A167,CPVC!$A$8:$M$99,11,FALSE),
IF($A167&lt;InsertFittings!$A$237,VLOOKUP($A167,InsertFittings!$A$11:$M$236,11,FALSE),
IF($A167&lt;Valves!$A$132,VLOOKUP($A167,Valves!$A$8:$M$131,11,FALSE),
IF($A167&lt;SDR35SW!$A$124,VLOOKUP($A167,SDR35SW!$A$8:$M$123,11,FALSE),
IF($A167&lt;SDR35G!$A$143,VLOOKUP($A167, SDR35G!$A$8:$M$142,11,FALSE),
IF($A167&lt;SDR26G!$A$61,VLOOKUP($A167,SDR26G!$A$8:$N$60,12,FALSE),
IF($A167&lt;Cements!$A$100,VLOOKUP($A167,Cements!$A$8:$Q$99,15,FALSE),
IF($A167&lt;ValveBox!$A$143,VLOOKUP($A167,ValveBox!$A$10:$O$142,13,FALSE),
IF($A167&lt;'ValveBox Components'!$A$165,VLOOKUP($A167,'ValveBox Components'!$A$10:$O$164,13,FALSE),
IF($A167&lt;Drainage!$A$92,VLOOKUP($A167,Drainage!$A$8:$M$91,11,FALSE),
IF($A167&lt;Nipples!$A$82,VLOOKUP($A167,Nipples!$A$9:$Q$81,15,FALSE),
IF($A167&lt;Manifold!$A$33,VLOOKUP($A167,Manifold!$A$9:$M$32,11,FALSE),
IF($A167&lt;FlexibleRepairCouplings!$A$13,VLOOKUP($A167,FlexibleRepairCouplings!$A$10:$M$12,11,FALSE),
IF($A167&lt;DuraFix!$A$15,VLOOKUP($A167,DuraFix!$A$9:$M$14,11,FALSE),
IF($A167&lt;'Compression Fittings'!$A$16,VLOOKUP($A167,'Compression Fittings'!$A$8:$M$15,11,FALSE),
IF($A167&lt;'Hose Fittings'!$A$30,VLOOKUP($A167,'Hose Fittings'!$A$8:$M$29,11,FALSE),
IF($A167&lt;'Swing Joints'!$A$496,VLOOKUP($A167,'Swing Joints'!$A$9:$M$495,11,FALSE),
IF($A167&lt;'Swing Joints Components'!$A$135,VLOOKUP($A167,'Swing Joints Components'!$A$9:$M$134,11,FALSE),
IF($A167&lt;Nonstandard!$A$42,VLOOKUP($A167,Nonstandard!$A$31:$J$41,3,FALSE),"")))))))))))))))))))))))))))),"")</f>
        <v/>
      </c>
      <c r="H167" s="586" t="str">
        <f>IFERROR(IF($A167&lt;'DWV PVC'!$A$285,VLOOKUP($A167,'DWV PVC'!$A$8:$M$284,7,FALSE),
IF($A167&lt;'DWV ABS'!$A$117,VLOOKUP($A167,'DWV ABS'!$A$8:$M$116,7,FALSE),
IF($A167&lt;'PVC SCH40'!$A$376,VLOOKUP($A167,'PVC SCH40'!$A$8:$M$375,7,FALSE),
IF($A167&lt;'PVC SCH40 LD'!$A$22,VLOOKUP($A167,'PVC SCH40 LD'!$A$8:$M$21,7,FALSE),
IF($A167&lt;'Pool &amp; SPA Sweep Elbows'!$A$12,VLOOKUP($A167,'Pool &amp; SPA Sweep Elbows'!$A$8:$M$11,7,FALSE),
IF($A167&lt;'Pool &amp; SPA Pipe Extender'!$A$11,VLOOKUP($A167,'Pool &amp; SPA Pipe Extender'!$A$8:$M$10,7,FALSE),
IF($A167&lt;'PVC SCH80'!$A$250,VLOOKUP($A167,'PVC SCH80'!$A$8:$M$249,7,FALSE),
IF($A167&lt;'PVC SCH80 Flange'!$A$49,VLOOKUP($A167,'PVC SCH80 Flange'!$A$8:$M$48,7,FALSE),
IF($A167&lt;'PVC SCH80 LD Flange'!$A$17,VLOOKUP($A167,'PVC SCH80 LD Flange'!$A$8:$M$16,7,FALSE),
IF($A167&lt;CPVC!$A$100,VLOOKUP($A167,CPVC!$A$8:$M$99,7,FALSE),
IF($A167&lt;InsertFittings!$A$237,VLOOKUP($A167,InsertFittings!$A$11:$M$236,7,FALSE),
IF($A167&lt;Valves!$A$132,VLOOKUP($A167,Valves!$A$8:$M$131,7,FALSE),
IF($A167&lt;SDR35SW!$A$124,VLOOKUP($A167,SDR35SW!$A$8:$M$123,7,FALSE),
IF($A167&lt;SDR35G!$A$143,VLOOKUP($A167, SDR35G!$A$8:$M$142,7,FALSE),
IF($A167&lt;SDR26G!$A$61,VLOOKUP($A167,SDR26G!$A$8:$N$60,10,FALSE),
IF($A167&lt;Cements!$A$100,VLOOKUP($A167,Cements!$A$8:$Q$99,13,FALSE),
IF($A167&lt;ValveBox!$A$143,VLOOKUP($A167,ValveBox!$A$10:$O$142,11,FALSE),
IF($A167&lt;'ValveBox Components'!$A$165,VLOOKUP($A167,'ValveBox Components'!$A$10:$O$164,11,FALSE),
IF($A167&lt;Drainage!$A$92,VLOOKUP($A167,Drainage!$A$8:$M$91,7,FALSE),
IF($A167&lt;Nipples!$A$82,VLOOKUP($A167,Nipples!$A$9:$Q$81,13,FALSE),
IF($A167&lt;Manifold!$A$33,VLOOKUP($A167,Manifold!$A$9:$M$32,7,FALSE),
IF($A167&lt;FlexibleRepairCouplings!$A$13,VLOOKUP($A167,FlexibleRepairCouplings!$A$10:$M$12,7,FALSE),
IF($A167&lt;DuraFix!$A$15,VLOOKUP($A167,DuraFix!$A$9:$M$14,7,FALSE),
IF($A167&lt;'Compression Fittings'!$A$16,VLOOKUP($A167,'Compression Fittings'!$A$8:$M$15,7,FALSE),
IF($A167&lt;'Hose Fittings'!$A$30,VLOOKUP($A167,'Hose Fittings'!$A$8:$M$29,7,FALSE),
IF($A167&lt;'Swing Joints'!$A$496,VLOOKUP($A167,'Swing Joints'!$A$9:$M$495,7,FALSE),
IF($A167&lt;'Swing Joints Components'!$A$135,VLOOKUP($A167,'Swing Joints Components'!$A$9:$M$134,7,FALSE),
IF($A167&lt;Nonstandard!$A$42,VLOOKUP($A167,Nonstandard!$A$31:$J$41,3,FALSE),"")))))))))))))))))))))))))))),"")</f>
        <v/>
      </c>
      <c r="I167" s="587"/>
      <c r="J167" s="383" t="str">
        <f t="shared" si="5"/>
        <v/>
      </c>
      <c r="K167" s="417" t="str">
        <f>IFERROR(IF($A167&lt;'DWV PVC'!$A$285,VLOOKUP($A167,'DWV PVC'!$A$8:$M$284,10,FALSE),
IF($A167&lt;'DWV ABS'!$A$117,VLOOKUP($A167,'DWV ABS'!$A$8:$M$116,10,FALSE),
IF($A167&lt;'PVC SCH40'!$A$376,VLOOKUP($A167,'PVC SCH40'!$A$8:$M$375,10,FALSE),
IF($A167&lt;'PVC SCH40 LD'!$A$22,VLOOKUP($A167,'PVC SCH40 LD'!$A$8:$M$21,10,FALSE),
IF($A167&lt;'Pool &amp; SPA Sweep Elbows'!$A$12,VLOOKUP($A167,'Pool &amp; SPA Sweep Elbows'!$A$8:$M$11,10,FALSE),
IF($A167&lt;'Pool &amp; SPA Pipe Extender'!$A$11,VLOOKUP($A167,'Pool &amp; SPA Pipe Extender'!$A$8:$M$10,10,FALSE),
IF($A167&lt;'PVC SCH80'!$A$250,VLOOKUP($A167,'PVC SCH80'!$A$8:$M$249,10,FALSE),
IF($A167&lt;'PVC SCH80 Flange'!$A$49,VLOOKUP($A167,'PVC SCH80 Flange'!$A$8:$M$48,10,FALSE),
IF($A167&lt;'PVC SCH80 LD Flange'!$A$17,VLOOKUP($A167,'PVC SCH80 LD Flange'!$A$8:$M$16,10,FALSE),
IF($A167&lt;CPVC!$A$100,VLOOKUP($A167,CPVC!$A$8:$M$99,10,FALSE),
IF($A167&lt;InsertFittings!$A$237,VLOOKUP($A167,InsertFittings!$A$11:$M$236,10,FALSE),
IF($A167&lt;Valves!$A$132,VLOOKUP($A167,Valves!$A$8:$M$131,10,FALSE),
IF($A167&lt;SDR35SW!$A$124,VLOOKUP($A167,SDR35SW!$A$8:$M$123,10,FALSE),
IF($A167&lt;SDR35G!$A$143,VLOOKUP($A167, SDR35G!$A$8:$M$142,10,FALSE),
IF($A167&lt;SDR26G!$A$61,VLOOKUP($A167,SDR26G!$A$8:$N$60,11,FALSE),
IF($A167&lt;Cements!$A$100,VLOOKUP($A167,Cements!$A$8:$Q$99,14,FALSE),
IF($A167&lt;ValveBox!$A$143,VLOOKUP($A167,ValveBox!$A$10:$O$142,12,FALSE),
IF($A167&lt;'ValveBox Components'!$A$165,VLOOKUP($A167,'ValveBox Components'!$A$10:$O$164,12,FALSE),
IF($A167&lt;Drainage!$A$92,VLOOKUP($A167,Drainage!$A$8:$M$91,10,FALSE),
IF($A167&lt;Nipples!$A$82,VLOOKUP($A167,Nipples!$A$9:$Q$81,14,FALSE),
IF($A167&lt;Manifold!$A$33,VLOOKUP($A167,Manifold!$A$9:$M$32,10,FALSE),
IF($A167&lt;FlexibleRepairCouplings!$A$13,VLOOKUP($A167,FlexibleRepairCouplings!$A$10:$M$12,10,FALSE),
IF($A167&lt;DuraFix!$A$15,VLOOKUP($A167,DuraFix!$A$9:$M$14,10,FALSE),
IF($A167&lt;'Compression Fittings'!$A$16,VLOOKUP($A167,'Compression Fittings'!$A$8:$M$15,10,FALSE),
IF($A167&lt;'Hose Fittings'!$A$30,VLOOKUP($A167,'Hose Fittings'!$A$8:$M$29,10,FALSE),
IF($A167&lt;'Swing Joints'!$A$496,VLOOKUP($A167,'Swing Joints'!$A$9:$M$495,10,FALSE),
IF($A167&lt;'Swing Joints Components'!$A$135,VLOOKUP($A167,'Swing Joints Components'!$A$9:$M$134,10,FALSE),
IF($A167&lt;Nonstandard!$A$42,VLOOKUP($A167,Nonstandard!$A$31:$J$41,10,FALSE),"")))))))))))))))))))))))))))),"")</f>
        <v/>
      </c>
      <c r="L167" s="418" t="str">
        <f t="shared" si="4"/>
        <v>-</v>
      </c>
      <c r="M167" s="419"/>
    </row>
    <row r="168" spans="1:13" ht="15.75">
      <c r="A168" s="420">
        <v>136</v>
      </c>
      <c r="B168" s="420" t="str">
        <f>IFERROR(IF($A168&lt;'DWV PVC'!$A$285,VLOOKUP($A168,'DWV PVC'!$A$8:$M$284,4,FALSE),
IF($A168&lt;'DWV ABS'!$A$117,VLOOKUP($A168,'DWV ABS'!$A$8:$M$116,4,FALSE),
IF($A168&lt;'PVC SCH40'!$A$376,VLOOKUP($A168,'PVC SCH40'!$A$8:$M$375,4,FALSE),
IF($A168&lt;'PVC SCH40 LD'!$A$22,VLOOKUP($A168,'PVC SCH40 LD'!$A$8:$M$21,4,FALSE),
IF($A168&lt;'Pool &amp; SPA Sweep Elbows'!$A$12,VLOOKUP($A168,'Pool &amp; SPA Sweep Elbows'!$A$8:$M$11,4,FALSE),
IF($A168&lt;'Pool &amp; SPA Pipe Extender'!$A$11,VLOOKUP($A168,'Pool &amp; SPA Pipe Extender'!$A$8:$M$10,4,FALSE),
IF($A168&lt;'PVC SCH80'!$A$250,VLOOKUP($A168,'PVC SCH80'!$A$8:$M$249,4,FALSE),
IF($A168&lt;'PVC SCH80 Flange'!$A$49,VLOOKUP($A168,'PVC SCH80 Flange'!$A$8:$M$48,4,FALSE),
IF($A168&lt;'PVC SCH80 LD Flange'!$A$17,VLOOKUP($A168,'PVC SCH80 LD Flange'!$A$8:$M$16,4,FALSE),
IF($A168&lt;CPVC!$A$100,VLOOKUP($A168,CPVC!$A$8:$M$99,4,FALSE),
IF($A168&lt;InsertFittings!$A$237,VLOOKUP($A168,InsertFittings!$A$11:$M$236,4,FALSE),
IF($A168&lt;Valves!$A$132,VLOOKUP($A168,Valves!$A$8:$M$131,4,FALSE),
IF($A168&lt;SDR35SW!$A$124,VLOOKUP($A168,SDR35SW!$A$8:$M$123,4,FALSE),
IF($A168&lt;SDR35G!$A$143,VLOOKUP($A168, SDR35G!$A$8:$M$142,4,FALSE),
IF($A168&lt;SDR26G!$A$61,VLOOKUP($A168,SDR26G!$A$8:$N$60,4,FALSE),
IF($A168&lt;Cements!$A$100,VLOOKUP($A168,Cements!$A$8:$Q$99,4,FALSE),
IF($A168&lt;ValveBox!$A$143,VLOOKUP($A168,ValveBox!$A$10:$O$142,4,FALSE),
IF($A168&lt;'ValveBox Components'!$A$165,VLOOKUP($A168,'ValveBox Components'!$A$10:$O$164,4,FALSE),
IF($A168&lt;Drainage!$A$92,VLOOKUP($A168,Drainage!$A$8:$M$91,4,FALSE),
IF($A168&lt;Nipples!$A$82,VLOOKUP($A168,Nipples!$A$9:$Q$81,4,FALSE),
IF($A168&lt;Manifold!$A$33,VLOOKUP($A168,Manifold!$A$9:$M$32,4,FALSE),
IF($A168&lt;FlexibleRepairCouplings!$A$13,VLOOKUP($A168,FlexibleRepairCouplings!$A$10:$M$12,4,FALSE),
IF($A168&lt;DuraFix!$A$15,VLOOKUP($A168,DuraFix!$A$9:$M$14,4,FALSE),
IF($A168&lt;'Compression Fittings'!$A$16,VLOOKUP($A168,'Compression Fittings'!$A$8:$M$15,4,FALSE),
IF($A168&lt;'Hose Fittings'!$A$30,VLOOKUP($A168,'Hose Fittings'!$A$8:$M$29,4,FALSE),
IF($A168&lt;'Swing Joints'!$A$496,VLOOKUP($A168,'Swing Joints'!$A$9:$M$495,4,FALSE),
IF($A168&lt;'Swing Joints Components'!$A$135,VLOOKUP($A168,'Swing Joints Components'!$A$9:$M$134,4,FALSE),
IF($A168&lt;Nonstandard!$A$42,VLOOKUP($A168,Nonstandard!$A$31:$J$41,5,FALSE),"")))))))))))))))))))))))))))),"")</f>
        <v/>
      </c>
      <c r="C168" s="420" t="str">
        <f>IFERROR(IF($A168&lt;'DWV PVC'!$A$285,VLOOKUP($A168,'DWV PVC'!$A$8:$M$284,5,FALSE),
IF($A168&lt;'DWV ABS'!$A$117,VLOOKUP($A168,'DWV ABS'!$A$8:$M$116,5,FALSE),
IF($A168&lt;'PVC SCH40'!$A$376,VLOOKUP($A168,'PVC SCH40'!$A$8:$M$375,5,FALSE),
IF($A168&lt;'PVC SCH40 LD'!$A$22,VLOOKUP($A168,'PVC SCH40 LD'!$A$8:$M$21,5,FALSE),
IF($A168&lt;'Pool &amp; SPA Sweep Elbows'!$A$12,VLOOKUP($A168,'Pool &amp; SPA Sweep Elbows'!$A$8:$M$11,5,FALSE),
IF($A168&lt;'Pool &amp; SPA Pipe Extender'!$A$11,VLOOKUP($A168,'Pool &amp; SPA Pipe Extender'!$A$8:$M$10,5,FALSE),
IF($A168&lt;'PVC SCH80'!$A$250,VLOOKUP($A168,'PVC SCH80'!$A$8:$M$249,5,FALSE),
IF($A168&lt;'PVC SCH80 Flange'!$A$49,VLOOKUP($A168,'PVC SCH80 Flange'!$A$8:$M$48,5,FALSE),
IF($A168&lt;'PVC SCH80 LD Flange'!$A$17,VLOOKUP($A168,'PVC SCH80 LD Flange'!$A$8:$M$16,5,FALSE),
IF($A168&lt;CPVC!$A$100,VLOOKUP($A168,CPVC!$A$8:$M$99,5,FALSE),
IF($A168&lt;InsertFittings!$A$237,VLOOKUP($A168,InsertFittings!$A$11:$M$236,5,FALSE),
IF($A168&lt;Valves!$A$132,VLOOKUP($A168,Valves!$A$8:$M$131,5,FALSE),
IF($A168&lt;SDR35SW!$A$124,VLOOKUP($A168,SDR35SW!$A$8:$M$123,5,FALSE),
IF($A168&lt;SDR35G!$A$143,VLOOKUP($A168, SDR35G!$A$8:$M$142,5,FALSE),
IF($A168&lt;SDR26G!$A$61,VLOOKUP($A168,SDR26G!$A$8:$N$60,5,FALSE),
IF($A168&lt;Cements!$A$100,VLOOKUP($A168,Cements!$A$8:$Q$99,5,FALSE),
IF($A168&lt;ValveBox!$A$143,VLOOKUP($A168,ValveBox!$A$10:$O$142,5,FALSE),
IF($A168&lt;'ValveBox Components'!$A$165,VLOOKUP($A168,'ValveBox Components'!$A$10:$O$164,5,FALSE),
IF($A168&lt;Drainage!$A$92,VLOOKUP($A168,Drainage!$A$8:$M$91,5,FALSE),
IF($A168&lt;Nipples!$A$82,VLOOKUP($A168,Nipples!$A$9:$Q$81,5,FALSE),
IF($A168&lt;Manifold!$A$33,VLOOKUP($A168,Manifold!$A$9:$M$32,5,FALSE),
IF($A168&lt;FlexibleRepairCouplings!$A$13,VLOOKUP($A168,FlexibleRepairCouplings!$A$10:$M$12,5,FALSE),
IF($A168&lt;DuraFix!$A$15,VLOOKUP($A168,DuraFix!$A$9:$M$14,5,FALSE),
IF($A168&lt;'Compression Fittings'!$A$16,VLOOKUP($A168,'Compression Fittings'!$A$8:$M$15,5,FALSE),
IF($A168&lt;'Hose Fittings'!$A$30,VLOOKUP($A168,'Hose Fittings'!$A$8:$M$29,5,FALSE),
IF($A168&lt;'Swing Joints'!$A$496,VLOOKUP($A168,'Swing Joints'!$A$9:$M$495,5,FALSE),
IF($A168&lt;'Swing Joints Components'!$A$135,VLOOKUP($A168,'Swing Joints Components'!$A$9:$M$134,5,FALSE),
IF($A168&lt;Nonstandard!$A$42,VLOOKUP($A168,Nonstandard!$A$31:$J$41,6,FALSE),"")))))))))))))))))))))))))))),"")</f>
        <v/>
      </c>
      <c r="D168" s="428" t="str">
        <f>IFERROR(IF($A168&lt;'DWV PVC'!$A$285,VLOOKUP($A168,'DWV PVC'!$A$8:$M$284,6,FALSE),
IF($A168&lt;'DWV ABS'!$A$117,VLOOKUP($A168,'DWV ABS'!$A$8:$M$116,6,FALSE),
IF($A168&lt;'PVC SCH40'!$A$376,VLOOKUP($A168,'PVC SCH40'!$A$8:$M$375,6,FALSE),
IF($A168&lt;'PVC SCH40 LD'!$A$22,VLOOKUP($A168,'PVC SCH40 LD'!$A$8:$M$21,6,FALSE),
IF($A168&lt;'Pool &amp; SPA Sweep Elbows'!$A$12,VLOOKUP($A168,'Pool &amp; SPA Sweep Elbows'!$A$8:$M$11,6,FALSE),
IF($A168&lt;'Pool &amp; SPA Pipe Extender'!$A$11,VLOOKUP($A168,'Pool &amp; SPA Pipe Extender'!$A$8:$M$10,6,FALSE),
IF($A168&lt;'PVC SCH80'!$A$250,VLOOKUP($A168,'PVC SCH80'!$A$8:$M$249,6,FALSE),
IF($A168&lt;'PVC SCH80 Flange'!$A$49,VLOOKUP($A168,'PVC SCH80 Flange'!$A$8:$M$48,6,FALSE),
IF($A168&lt;'PVC SCH80 LD Flange'!$A$17,VLOOKUP($A168,'PVC SCH80 LD Flange'!$A$8:$M$16,6,FALSE),
IF($A168&lt;CPVC!$A$100,VLOOKUP($A168,CPVC!$A$8:$M$99,6,FALSE),
IF($A168&lt;InsertFittings!$A$237,VLOOKUP($A168,InsertFittings!$A$11:$M$236,6,FALSE),
IF($A168&lt;Valves!$A$132,VLOOKUP($A168,Valves!$A$8:$M$131,6,FALSE),
IF($A168&lt;SDR35SW!$A$124,VLOOKUP($A168,SDR35SW!$A$8:$M$123,6,FALSE),
IF($A168&lt;SDR35G!$A$143,VLOOKUP($A168, SDR35G!$A$8:$M$142,6,FALSE),
IF($A168&lt;SDR26G!$A$61,VLOOKUP($A168,SDR26G!$A$8:$N$60,6,FALSE),
IF($A168&lt;Cements!$A$100,VLOOKUP($A168,Cements!$A$8:$Q$99,6,FALSE),
IF($A168&lt;ValveBox!$A$143,VLOOKUP($A168,ValveBox!$A$10:$O$142,6,FALSE),
IF($A168&lt;'ValveBox Components'!$A$165,VLOOKUP($A168,'ValveBox Components'!$A$10:$O$164,6,FALSE),
IF($A168&lt;Drainage!$A$92,VLOOKUP($A168,Drainage!$A$8:$M$91,6,FALSE),
IF($A168&lt;Nipples!$A$82,VLOOKUP($A168,Nipples!$A$9:$Q$81,6,FALSE),
IF($A168&lt;Manifold!$A$33,VLOOKUP($A168,Manifold!$A$9:$M$32,6,FALSE),
IF($A168&lt;FlexibleRepairCouplings!$A$13,VLOOKUP($A168,FlexibleRepairCouplings!$A$10:$M$12,6,FALSE),
IF($A168&lt;DuraFix!$A$15,VLOOKUP($A168,DuraFix!$A$9:$M$14,6,FALSE),
IF($A168&lt;'Compression Fittings'!$A$16,VLOOKUP($A168,'Compression Fittings'!$A$8:$M$15,6,FALSE),
IF($A168&lt;'Hose Fittings'!$A$30,VLOOKUP($A168,'Hose Fittings'!$A$8:$M$29,6,FALSE),
IF($A168&lt;'Swing Joints'!$A$496,VLOOKUP($A168,'Swing Joints'!$A$9:$M$495,6,FALSE),
IF($A168&lt;'Swing Joints Components'!$A$135,VLOOKUP($A168,'Swing Joints Components'!$A$9:$M$134,6,FALSE),
IF($A168&lt;Nonstandard!$A$42,VLOOKUP($A168,Nonstandard!$A$31:$J$41,7,FALSE),"")))))))))))))))))))))))))))),"")</f>
        <v/>
      </c>
      <c r="E168" s="429"/>
      <c r="F168" s="421" t="str">
        <f>IFERROR(IF($A168&lt;'DWV PVC'!$A$285,VLOOKUP($A168,'DWV PVC'!$A$8:$M$284,9,FALSE),
IF($A168&lt;'DWV ABS'!$A$117,VLOOKUP($A168,'DWV ABS'!$A$8:$M$116,9,FALSE),
IF($A168&lt;'PVC SCH40'!$A$376,VLOOKUP($A168,'PVC SCH40'!$A$8:$M$375,9,FALSE),
IF($A168&lt;'PVC SCH40 LD'!$A$22,VLOOKUP($A168,'PVC SCH40 LD'!$A$8:$M$21,9,FALSE),
IF($A168&lt;'Pool &amp; SPA Sweep Elbows'!$A$12,VLOOKUP($A168,'Pool &amp; SPA Sweep Elbows'!$A$8:$M$11,9,FALSE),
IF($A168&lt;'Pool &amp; SPA Pipe Extender'!$A$11,VLOOKUP($A168,'Pool &amp; SPA Pipe Extender'!$A$8:$M$10,9,FALSE),
IF($A168&lt;'PVC SCH80'!$A$250,VLOOKUP($A168,'PVC SCH80'!$A$8:$M$249,9,FALSE),
IF($A168&lt;'PVC SCH80 Flange'!$A$49,VLOOKUP($A168,'PVC SCH80 Flange'!$A$8:$M$48,9,FALSE),
IF($A168&lt;'PVC SCH80 LD Flange'!$A$17,VLOOKUP($A168,'PVC SCH80 LD Flange'!$A$8:$M$16,9,FALSE),
IF($A168&lt;CPVC!$A$100,VLOOKUP($A168,CPVC!$A$8:$M$99,9,FALSE),
IF($A168&lt;InsertFittings!$A$237,VLOOKUP($A168,InsertFittings!$A$11:$M$236,9,FALSE),
IF($A168&lt;Valves!$A$132,VLOOKUP($A168,Valves!$A$8:$M$131,9,FALSE),
IF($A168&lt;SDR35SW!$A$124,VLOOKUP($A168,SDR35SW!$A$8:$M$123,9,FALSE),
IF($A168&lt;SDR35G!$A$143,VLOOKUP($A168, SDR35G!$A$8:$M$142,9,FALSE),
IF($A168&lt;SDR26G!$A$61,VLOOKUP($A168,SDR26G!$A$8:$N$60,10,FALSE),
IF($A168&lt;Cements!$A$100,VLOOKUP($A168,Cements!$A$8:$Q$99,13,FALSE),
IF($A168&lt;ValveBox!$A$143,VLOOKUP($A168,ValveBox!$A$10:$O$142,11,FALSE),
IF($A168&lt;'ValveBox Components'!$A$165,VLOOKUP($A168,'ValveBox Components'!$A$10:$O$164,11,FALSE),
IF($A168&lt;Drainage!$A$92,VLOOKUP($A168,Drainage!$A$8:$M$91,9,FALSE),
IF($A168&lt;Nipples!$A$82,VLOOKUP($A168,Nipples!$A$9:$Q$81,13,FALSE),
IF($A168&lt;Manifold!$A$33,VLOOKUP($A168,Manifold!$A$9:$M$32,9,FALSE),
IF($A168&lt;FlexibleRepairCouplings!$A$13,VLOOKUP($A168,FlexibleRepairCouplings!$A$10:$M$12,9,FALSE),
IF($A168&lt;DuraFix!$A$15,VLOOKUP($A168,DuraFix!$A$9:$M$14,9,FALSE),
IF($A168&lt;'Compression Fittings'!$A$16,VLOOKUP($A168,'Compression Fittings'!$A$8:$M$15,9,FALSE),
IF($A168&lt;'Hose Fittings'!$A$30,VLOOKUP($A168,'Hose Fittings'!$A$8:$M$29,9,FALSE),
IF($A168&lt;'Swing Joints'!$A$496,VLOOKUP($A168,'Swing Joints'!$A$9:$M$495,9,FALSE),
IF($A168&lt;'Swing Joints Components'!$A$135,VLOOKUP($A168,'Swing Joints Components'!$A$9:$M$134,9,FALSE),
IF($A168&lt;Nonstandard!$A$42,VLOOKUP($A168,Nonstandard!$A$31:$J$41,8,FALSE),"")))))))))))))))))))))))))))),"")</f>
        <v/>
      </c>
      <c r="G168" s="422" t="str">
        <f>IFERROR(IF($A168&lt;'DWV PVC'!$A$285,VLOOKUP($A168,'DWV PVC'!$A$8:$M$284,11,FALSE),
IF($A168&lt;'DWV ABS'!$A$117,VLOOKUP($A168,'DWV ABS'!$A$8:$M$116,11,FALSE),
IF($A168&lt;'PVC SCH40'!$A$376,VLOOKUP($A168,'PVC SCH40'!$A$8:$M$375,11,FALSE),
IF($A168&lt;'PVC SCH40 LD'!$A$22,VLOOKUP($A168,'PVC SCH40 LD'!$A$8:$M$21,11,FALSE),
IF($A168&lt;'Pool &amp; SPA Sweep Elbows'!$A$12,VLOOKUP($A168,'Pool &amp; SPA Sweep Elbows'!$A$8:$M$11,11,FALSE),
IF($A168&lt;'Pool &amp; SPA Pipe Extender'!$A$11,VLOOKUP($A168,'Pool &amp; SPA Pipe Extender'!$A$8:$M$10,11,FALSE),
IF($A168&lt;'PVC SCH80'!$A$250,VLOOKUP($A168,'PVC SCH80'!$A$8:$M$249,11,FALSE),
IF($A168&lt;'PVC SCH80 Flange'!$A$49,VLOOKUP($A168,'PVC SCH80 Flange'!$A$8:$M$48,11,FALSE),
IF($A168&lt;'PVC SCH80 LD Flange'!$A$17,VLOOKUP($A168,'PVC SCH80 LD Flange'!$A$8:$M$16,11,FALSE),
IF($A168&lt;CPVC!$A$100,VLOOKUP($A168,CPVC!$A$8:$M$99,11,FALSE),
IF($A168&lt;InsertFittings!$A$237,VLOOKUP($A168,InsertFittings!$A$11:$M$236,11,FALSE),
IF($A168&lt;Valves!$A$132,VLOOKUP($A168,Valves!$A$8:$M$131,11,FALSE),
IF($A168&lt;SDR35SW!$A$124,VLOOKUP($A168,SDR35SW!$A$8:$M$123,11,FALSE),
IF($A168&lt;SDR35G!$A$143,VLOOKUP($A168, SDR35G!$A$8:$M$142,11,FALSE),
IF($A168&lt;SDR26G!$A$61,VLOOKUP($A168,SDR26G!$A$8:$N$60,12,FALSE),
IF($A168&lt;Cements!$A$100,VLOOKUP($A168,Cements!$A$8:$Q$99,15,FALSE),
IF($A168&lt;ValveBox!$A$143,VLOOKUP($A168,ValveBox!$A$10:$O$142,13,FALSE),
IF($A168&lt;'ValveBox Components'!$A$165,VLOOKUP($A168,'ValveBox Components'!$A$10:$O$164,13,FALSE),
IF($A168&lt;Drainage!$A$92,VLOOKUP($A168,Drainage!$A$8:$M$91,11,FALSE),
IF($A168&lt;Nipples!$A$82,VLOOKUP($A168,Nipples!$A$9:$Q$81,15,FALSE),
IF($A168&lt;Manifold!$A$33,VLOOKUP($A168,Manifold!$A$9:$M$32,11,FALSE),
IF($A168&lt;FlexibleRepairCouplings!$A$13,VLOOKUP($A168,FlexibleRepairCouplings!$A$10:$M$12,11,FALSE),
IF($A168&lt;DuraFix!$A$15,VLOOKUP($A168,DuraFix!$A$9:$M$14,11,FALSE),
IF($A168&lt;'Compression Fittings'!$A$16,VLOOKUP($A168,'Compression Fittings'!$A$8:$M$15,11,FALSE),
IF($A168&lt;'Hose Fittings'!$A$30,VLOOKUP($A168,'Hose Fittings'!$A$8:$M$29,11,FALSE),
IF($A168&lt;'Swing Joints'!$A$496,VLOOKUP($A168,'Swing Joints'!$A$9:$M$495,11,FALSE),
IF($A168&lt;'Swing Joints Components'!$A$135,VLOOKUP($A168,'Swing Joints Components'!$A$9:$M$134,11,FALSE),
IF($A168&lt;Nonstandard!$A$42,VLOOKUP($A168,Nonstandard!$A$31:$J$41,3,FALSE),"")))))))))))))))))))))))))))),"")</f>
        <v/>
      </c>
      <c r="H168" s="588" t="str">
        <f>IFERROR(IF($A168&lt;'DWV PVC'!$A$285,VLOOKUP($A168,'DWV PVC'!$A$8:$M$284,7,FALSE),
IF($A168&lt;'DWV ABS'!$A$117,VLOOKUP($A168,'DWV ABS'!$A$8:$M$116,7,FALSE),
IF($A168&lt;'PVC SCH40'!$A$376,VLOOKUP($A168,'PVC SCH40'!$A$8:$M$375,7,FALSE),
IF($A168&lt;'PVC SCH40 LD'!$A$22,VLOOKUP($A168,'PVC SCH40 LD'!$A$8:$M$21,7,FALSE),
IF($A168&lt;'Pool &amp; SPA Sweep Elbows'!$A$12,VLOOKUP($A168,'Pool &amp; SPA Sweep Elbows'!$A$8:$M$11,7,FALSE),
IF($A168&lt;'Pool &amp; SPA Pipe Extender'!$A$11,VLOOKUP($A168,'Pool &amp; SPA Pipe Extender'!$A$8:$M$10,7,FALSE),
IF($A168&lt;'PVC SCH80'!$A$250,VLOOKUP($A168,'PVC SCH80'!$A$8:$M$249,7,FALSE),
IF($A168&lt;'PVC SCH80 Flange'!$A$49,VLOOKUP($A168,'PVC SCH80 Flange'!$A$8:$M$48,7,FALSE),
IF($A168&lt;'PVC SCH80 LD Flange'!$A$17,VLOOKUP($A168,'PVC SCH80 LD Flange'!$A$8:$M$16,7,FALSE),
IF($A168&lt;CPVC!$A$100,VLOOKUP($A168,CPVC!$A$8:$M$99,7,FALSE),
IF($A168&lt;InsertFittings!$A$237,VLOOKUP($A168,InsertFittings!$A$11:$M$236,7,FALSE),
IF($A168&lt;Valves!$A$132,VLOOKUP($A168,Valves!$A$8:$M$131,7,FALSE),
IF($A168&lt;SDR35SW!$A$124,VLOOKUP($A168,SDR35SW!$A$8:$M$123,7,FALSE),
IF($A168&lt;SDR35G!$A$143,VLOOKUP($A168, SDR35G!$A$8:$M$142,7,FALSE),
IF($A168&lt;SDR26G!$A$61,VLOOKUP($A168,SDR26G!$A$8:$N$60,10,FALSE),
IF($A168&lt;Cements!$A$100,VLOOKUP($A168,Cements!$A$8:$Q$99,13,FALSE),
IF($A168&lt;ValveBox!$A$143,VLOOKUP($A168,ValveBox!$A$10:$O$142,11,FALSE),
IF($A168&lt;'ValveBox Components'!$A$165,VLOOKUP($A168,'ValveBox Components'!$A$10:$O$164,11,FALSE),
IF($A168&lt;Drainage!$A$92,VLOOKUP($A168,Drainage!$A$8:$M$91,7,FALSE),
IF($A168&lt;Nipples!$A$82,VLOOKUP($A168,Nipples!$A$9:$Q$81,13,FALSE),
IF($A168&lt;Manifold!$A$33,VLOOKUP($A168,Manifold!$A$9:$M$32,7,FALSE),
IF($A168&lt;FlexibleRepairCouplings!$A$13,VLOOKUP($A168,FlexibleRepairCouplings!$A$10:$M$12,7,FALSE),
IF($A168&lt;DuraFix!$A$15,VLOOKUP($A168,DuraFix!$A$9:$M$14,7,FALSE),
IF($A168&lt;'Compression Fittings'!$A$16,VLOOKUP($A168,'Compression Fittings'!$A$8:$M$15,7,FALSE),
IF($A168&lt;'Hose Fittings'!$A$30,VLOOKUP($A168,'Hose Fittings'!$A$8:$M$29,7,FALSE),
IF($A168&lt;'Swing Joints'!$A$496,VLOOKUP($A168,'Swing Joints'!$A$9:$M$495,7,FALSE),
IF($A168&lt;'Swing Joints Components'!$A$135,VLOOKUP($A168,'Swing Joints Components'!$A$9:$M$134,7,FALSE),
IF($A168&lt;Nonstandard!$A$42,VLOOKUP($A168,Nonstandard!$A$31:$J$41,3,FALSE),"")))))))))))))))))))))))))))),"")</f>
        <v/>
      </c>
      <c r="I168" s="589"/>
      <c r="J168" s="423" t="str">
        <f t="shared" si="5"/>
        <v/>
      </c>
      <c r="K168" s="424" t="str">
        <f>IFERROR(IF($A168&lt;'DWV PVC'!$A$285,VLOOKUP($A168,'DWV PVC'!$A$8:$M$284,10,FALSE),
IF($A168&lt;'DWV ABS'!$A$117,VLOOKUP($A168,'DWV ABS'!$A$8:$M$116,10,FALSE),
IF($A168&lt;'PVC SCH40'!$A$376,VLOOKUP($A168,'PVC SCH40'!$A$8:$M$375,10,FALSE),
IF($A168&lt;'PVC SCH40 LD'!$A$22,VLOOKUP($A168,'PVC SCH40 LD'!$A$8:$M$21,10,FALSE),
IF($A168&lt;'Pool &amp; SPA Sweep Elbows'!$A$12,VLOOKUP($A168,'Pool &amp; SPA Sweep Elbows'!$A$8:$M$11,10,FALSE),
IF($A168&lt;'Pool &amp; SPA Pipe Extender'!$A$11,VLOOKUP($A168,'Pool &amp; SPA Pipe Extender'!$A$8:$M$10,10,FALSE),
IF($A168&lt;'PVC SCH80'!$A$250,VLOOKUP($A168,'PVC SCH80'!$A$8:$M$249,10,FALSE),
IF($A168&lt;'PVC SCH80 Flange'!$A$49,VLOOKUP($A168,'PVC SCH80 Flange'!$A$8:$M$48,10,FALSE),
IF($A168&lt;'PVC SCH80 LD Flange'!$A$17,VLOOKUP($A168,'PVC SCH80 LD Flange'!$A$8:$M$16,10,FALSE),
IF($A168&lt;CPVC!$A$100,VLOOKUP($A168,CPVC!$A$8:$M$99,10,FALSE),
IF($A168&lt;InsertFittings!$A$237,VLOOKUP($A168,InsertFittings!$A$11:$M$236,10,FALSE),
IF($A168&lt;Valves!$A$132,VLOOKUP($A168,Valves!$A$8:$M$131,10,FALSE),
IF($A168&lt;SDR35SW!$A$124,VLOOKUP($A168,SDR35SW!$A$8:$M$123,10,FALSE),
IF($A168&lt;SDR35G!$A$143,VLOOKUP($A168, SDR35G!$A$8:$M$142,10,FALSE),
IF($A168&lt;SDR26G!$A$61,VLOOKUP($A168,SDR26G!$A$8:$N$60,11,FALSE),
IF($A168&lt;Cements!$A$100,VLOOKUP($A168,Cements!$A$8:$Q$99,14,FALSE),
IF($A168&lt;ValveBox!$A$143,VLOOKUP($A168,ValveBox!$A$10:$O$142,12,FALSE),
IF($A168&lt;'ValveBox Components'!$A$165,VLOOKUP($A168,'ValveBox Components'!$A$10:$O$164,12,FALSE),
IF($A168&lt;Drainage!$A$92,VLOOKUP($A168,Drainage!$A$8:$M$91,10,FALSE),
IF($A168&lt;Nipples!$A$82,VLOOKUP($A168,Nipples!$A$9:$Q$81,14,FALSE),
IF($A168&lt;Manifold!$A$33,VLOOKUP($A168,Manifold!$A$9:$M$32,10,FALSE),
IF($A168&lt;FlexibleRepairCouplings!$A$13,VLOOKUP($A168,FlexibleRepairCouplings!$A$10:$M$12,10,FALSE),
IF($A168&lt;DuraFix!$A$15,VLOOKUP($A168,DuraFix!$A$9:$M$14,10,FALSE),
IF($A168&lt;'Compression Fittings'!$A$16,VLOOKUP($A168,'Compression Fittings'!$A$8:$M$15,10,FALSE),
IF($A168&lt;'Hose Fittings'!$A$30,VLOOKUP($A168,'Hose Fittings'!$A$8:$M$29,10,FALSE),
IF($A168&lt;'Swing Joints'!$A$496,VLOOKUP($A168,'Swing Joints'!$A$9:$M$495,10,FALSE),
IF($A168&lt;'Swing Joints Components'!$A$135,VLOOKUP($A168,'Swing Joints Components'!$A$9:$M$134,10,FALSE),
IF($A168&lt;Nonstandard!$A$42,VLOOKUP($A168,Nonstandard!$A$31:$J$41,10,FALSE),"")))))))))))))))))))))))))))),"")</f>
        <v/>
      </c>
      <c r="L168" s="421" t="str">
        <f t="shared" si="4"/>
        <v>-</v>
      </c>
      <c r="M168" s="425"/>
    </row>
    <row r="169" spans="1:13" ht="15.75">
      <c r="A169" s="415">
        <v>137</v>
      </c>
      <c r="B169" s="415" t="str">
        <f>IFERROR(IF($A169&lt;'DWV PVC'!$A$285,VLOOKUP($A169,'DWV PVC'!$A$8:$M$284,4,FALSE),
IF($A169&lt;'DWV ABS'!$A$117,VLOOKUP($A169,'DWV ABS'!$A$8:$M$116,4,FALSE),
IF($A169&lt;'PVC SCH40'!$A$376,VLOOKUP($A169,'PVC SCH40'!$A$8:$M$375,4,FALSE),
IF($A169&lt;'PVC SCH40 LD'!$A$22,VLOOKUP($A169,'PVC SCH40 LD'!$A$8:$M$21,4,FALSE),
IF($A169&lt;'Pool &amp; SPA Sweep Elbows'!$A$12,VLOOKUP($A169,'Pool &amp; SPA Sweep Elbows'!$A$8:$M$11,4,FALSE),
IF($A169&lt;'Pool &amp; SPA Pipe Extender'!$A$11,VLOOKUP($A169,'Pool &amp; SPA Pipe Extender'!$A$8:$M$10,4,FALSE),
IF($A169&lt;'PVC SCH80'!$A$250,VLOOKUP($A169,'PVC SCH80'!$A$8:$M$249,4,FALSE),
IF($A169&lt;'PVC SCH80 Flange'!$A$49,VLOOKUP($A169,'PVC SCH80 Flange'!$A$8:$M$48,4,FALSE),
IF($A169&lt;'PVC SCH80 LD Flange'!$A$17,VLOOKUP($A169,'PVC SCH80 LD Flange'!$A$8:$M$16,4,FALSE),
IF($A169&lt;CPVC!$A$100,VLOOKUP($A169,CPVC!$A$8:$M$99,4,FALSE),
IF($A169&lt;InsertFittings!$A$237,VLOOKUP($A169,InsertFittings!$A$11:$M$236,4,FALSE),
IF($A169&lt;Valves!$A$132,VLOOKUP($A169,Valves!$A$8:$M$131,4,FALSE),
IF($A169&lt;SDR35SW!$A$124,VLOOKUP($A169,SDR35SW!$A$8:$M$123,4,FALSE),
IF($A169&lt;SDR35G!$A$143,VLOOKUP($A169, SDR35G!$A$8:$M$142,4,FALSE),
IF($A169&lt;SDR26G!$A$61,VLOOKUP($A169,SDR26G!$A$8:$N$60,4,FALSE),
IF($A169&lt;Cements!$A$100,VLOOKUP($A169,Cements!$A$8:$Q$99,4,FALSE),
IF($A169&lt;ValveBox!$A$143,VLOOKUP($A169,ValveBox!$A$10:$O$142,4,FALSE),
IF($A169&lt;'ValveBox Components'!$A$165,VLOOKUP($A169,'ValveBox Components'!$A$10:$O$164,4,FALSE),
IF($A169&lt;Drainage!$A$92,VLOOKUP($A169,Drainage!$A$8:$M$91,4,FALSE),
IF($A169&lt;Nipples!$A$82,VLOOKUP($A169,Nipples!$A$9:$Q$81,4,FALSE),
IF($A169&lt;Manifold!$A$33,VLOOKUP($A169,Manifold!$A$9:$M$32,4,FALSE),
IF($A169&lt;FlexibleRepairCouplings!$A$13,VLOOKUP($A169,FlexibleRepairCouplings!$A$10:$M$12,4,FALSE),
IF($A169&lt;DuraFix!$A$15,VLOOKUP($A169,DuraFix!$A$9:$M$14,4,FALSE),
IF($A169&lt;'Compression Fittings'!$A$16,VLOOKUP($A169,'Compression Fittings'!$A$8:$M$15,4,FALSE),
IF($A169&lt;'Hose Fittings'!$A$30,VLOOKUP($A169,'Hose Fittings'!$A$8:$M$29,4,FALSE),
IF($A169&lt;'Swing Joints'!$A$496,VLOOKUP($A169,'Swing Joints'!$A$9:$M$495,4,FALSE),
IF($A169&lt;'Swing Joints Components'!$A$135,VLOOKUP($A169,'Swing Joints Components'!$A$9:$M$134,4,FALSE),
IF($A169&lt;Nonstandard!$A$42,VLOOKUP($A169,Nonstandard!$A$31:$J$41,5,FALSE),"")))))))))))))))))))))))))))),"")</f>
        <v/>
      </c>
      <c r="C169" s="415" t="str">
        <f>IFERROR(IF($A169&lt;'DWV PVC'!$A$285,VLOOKUP($A169,'DWV PVC'!$A$8:$M$284,5,FALSE),
IF($A169&lt;'DWV ABS'!$A$117,VLOOKUP($A169,'DWV ABS'!$A$8:$M$116,5,FALSE),
IF($A169&lt;'PVC SCH40'!$A$376,VLOOKUP($A169,'PVC SCH40'!$A$8:$M$375,5,FALSE),
IF($A169&lt;'PVC SCH40 LD'!$A$22,VLOOKUP($A169,'PVC SCH40 LD'!$A$8:$M$21,5,FALSE),
IF($A169&lt;'Pool &amp; SPA Sweep Elbows'!$A$12,VLOOKUP($A169,'Pool &amp; SPA Sweep Elbows'!$A$8:$M$11,5,FALSE),
IF($A169&lt;'Pool &amp; SPA Pipe Extender'!$A$11,VLOOKUP($A169,'Pool &amp; SPA Pipe Extender'!$A$8:$M$10,5,FALSE),
IF($A169&lt;'PVC SCH80'!$A$250,VLOOKUP($A169,'PVC SCH80'!$A$8:$M$249,5,FALSE),
IF($A169&lt;'PVC SCH80 Flange'!$A$49,VLOOKUP($A169,'PVC SCH80 Flange'!$A$8:$M$48,5,FALSE),
IF($A169&lt;'PVC SCH80 LD Flange'!$A$17,VLOOKUP($A169,'PVC SCH80 LD Flange'!$A$8:$M$16,5,FALSE),
IF($A169&lt;CPVC!$A$100,VLOOKUP($A169,CPVC!$A$8:$M$99,5,FALSE),
IF($A169&lt;InsertFittings!$A$237,VLOOKUP($A169,InsertFittings!$A$11:$M$236,5,FALSE),
IF($A169&lt;Valves!$A$132,VLOOKUP($A169,Valves!$A$8:$M$131,5,FALSE),
IF($A169&lt;SDR35SW!$A$124,VLOOKUP($A169,SDR35SW!$A$8:$M$123,5,FALSE),
IF($A169&lt;SDR35G!$A$143,VLOOKUP($A169, SDR35G!$A$8:$M$142,5,FALSE),
IF($A169&lt;SDR26G!$A$61,VLOOKUP($A169,SDR26G!$A$8:$N$60,5,FALSE),
IF($A169&lt;Cements!$A$100,VLOOKUP($A169,Cements!$A$8:$Q$99,5,FALSE),
IF($A169&lt;ValveBox!$A$143,VLOOKUP($A169,ValveBox!$A$10:$O$142,5,FALSE),
IF($A169&lt;'ValveBox Components'!$A$165,VLOOKUP($A169,'ValveBox Components'!$A$10:$O$164,5,FALSE),
IF($A169&lt;Drainage!$A$92,VLOOKUP($A169,Drainage!$A$8:$M$91,5,FALSE),
IF($A169&lt;Nipples!$A$82,VLOOKUP($A169,Nipples!$A$9:$Q$81,5,FALSE),
IF($A169&lt;Manifold!$A$33,VLOOKUP($A169,Manifold!$A$9:$M$32,5,FALSE),
IF($A169&lt;FlexibleRepairCouplings!$A$13,VLOOKUP($A169,FlexibleRepairCouplings!$A$10:$M$12,5,FALSE),
IF($A169&lt;DuraFix!$A$15,VLOOKUP($A169,DuraFix!$A$9:$M$14,5,FALSE),
IF($A169&lt;'Compression Fittings'!$A$16,VLOOKUP($A169,'Compression Fittings'!$A$8:$M$15,5,FALSE),
IF($A169&lt;'Hose Fittings'!$A$30,VLOOKUP($A169,'Hose Fittings'!$A$8:$M$29,5,FALSE),
IF($A169&lt;'Swing Joints'!$A$496,VLOOKUP($A169,'Swing Joints'!$A$9:$M$495,5,FALSE),
IF($A169&lt;'Swing Joints Components'!$A$135,VLOOKUP($A169,'Swing Joints Components'!$A$9:$M$134,5,FALSE),
IF($A169&lt;Nonstandard!$A$42,VLOOKUP($A169,Nonstandard!$A$31:$J$41,6,FALSE),"")))))))))))))))))))))))))))),"")</f>
        <v/>
      </c>
      <c r="D169" s="426" t="str">
        <f>IFERROR(IF($A169&lt;'DWV PVC'!$A$285,VLOOKUP($A169,'DWV PVC'!$A$8:$M$284,6,FALSE),
IF($A169&lt;'DWV ABS'!$A$117,VLOOKUP($A169,'DWV ABS'!$A$8:$M$116,6,FALSE),
IF($A169&lt;'PVC SCH40'!$A$376,VLOOKUP($A169,'PVC SCH40'!$A$8:$M$375,6,FALSE),
IF($A169&lt;'PVC SCH40 LD'!$A$22,VLOOKUP($A169,'PVC SCH40 LD'!$A$8:$M$21,6,FALSE),
IF($A169&lt;'Pool &amp; SPA Sweep Elbows'!$A$12,VLOOKUP($A169,'Pool &amp; SPA Sweep Elbows'!$A$8:$M$11,6,FALSE),
IF($A169&lt;'Pool &amp; SPA Pipe Extender'!$A$11,VLOOKUP($A169,'Pool &amp; SPA Pipe Extender'!$A$8:$M$10,6,FALSE),
IF($A169&lt;'PVC SCH80'!$A$250,VLOOKUP($A169,'PVC SCH80'!$A$8:$M$249,6,FALSE),
IF($A169&lt;'PVC SCH80 Flange'!$A$49,VLOOKUP($A169,'PVC SCH80 Flange'!$A$8:$M$48,6,FALSE),
IF($A169&lt;'PVC SCH80 LD Flange'!$A$17,VLOOKUP($A169,'PVC SCH80 LD Flange'!$A$8:$M$16,6,FALSE),
IF($A169&lt;CPVC!$A$100,VLOOKUP($A169,CPVC!$A$8:$M$99,6,FALSE),
IF($A169&lt;InsertFittings!$A$237,VLOOKUP($A169,InsertFittings!$A$11:$M$236,6,FALSE),
IF($A169&lt;Valves!$A$132,VLOOKUP($A169,Valves!$A$8:$M$131,6,FALSE),
IF($A169&lt;SDR35SW!$A$124,VLOOKUP($A169,SDR35SW!$A$8:$M$123,6,FALSE),
IF($A169&lt;SDR35G!$A$143,VLOOKUP($A169, SDR35G!$A$8:$M$142,6,FALSE),
IF($A169&lt;SDR26G!$A$61,VLOOKUP($A169,SDR26G!$A$8:$N$60,6,FALSE),
IF($A169&lt;Cements!$A$100,VLOOKUP($A169,Cements!$A$8:$Q$99,6,FALSE),
IF($A169&lt;ValveBox!$A$143,VLOOKUP($A169,ValveBox!$A$10:$O$142,6,FALSE),
IF($A169&lt;'ValveBox Components'!$A$165,VLOOKUP($A169,'ValveBox Components'!$A$10:$O$164,6,FALSE),
IF($A169&lt;Drainage!$A$92,VLOOKUP($A169,Drainage!$A$8:$M$91,6,FALSE),
IF($A169&lt;Nipples!$A$82,VLOOKUP($A169,Nipples!$A$9:$Q$81,6,FALSE),
IF($A169&lt;Manifold!$A$33,VLOOKUP($A169,Manifold!$A$9:$M$32,6,FALSE),
IF($A169&lt;FlexibleRepairCouplings!$A$13,VLOOKUP($A169,FlexibleRepairCouplings!$A$10:$M$12,6,FALSE),
IF($A169&lt;DuraFix!$A$15,VLOOKUP($A169,DuraFix!$A$9:$M$14,6,FALSE),
IF($A169&lt;'Compression Fittings'!$A$16,VLOOKUP($A169,'Compression Fittings'!$A$8:$M$15,6,FALSE),
IF($A169&lt;'Hose Fittings'!$A$30,VLOOKUP($A169,'Hose Fittings'!$A$8:$M$29,6,FALSE),
IF($A169&lt;'Swing Joints'!$A$496,VLOOKUP($A169,'Swing Joints'!$A$9:$M$495,6,FALSE),
IF($A169&lt;'Swing Joints Components'!$A$135,VLOOKUP($A169,'Swing Joints Components'!$A$9:$M$134,6,FALSE),
IF($A169&lt;Nonstandard!$A$42,VLOOKUP($A169,Nonstandard!$A$31:$J$41,7,FALSE),"")))))))))))))))))))))))))))),"")</f>
        <v/>
      </c>
      <c r="E169" s="427"/>
      <c r="F169" s="418" t="str">
        <f>IFERROR(IF($A169&lt;'DWV PVC'!$A$285,VLOOKUP($A169,'DWV PVC'!$A$8:$M$284,9,FALSE),
IF($A169&lt;'DWV ABS'!$A$117,VLOOKUP($A169,'DWV ABS'!$A$8:$M$116,9,FALSE),
IF($A169&lt;'PVC SCH40'!$A$376,VLOOKUP($A169,'PVC SCH40'!$A$8:$M$375,9,FALSE),
IF($A169&lt;'PVC SCH40 LD'!$A$22,VLOOKUP($A169,'PVC SCH40 LD'!$A$8:$M$21,9,FALSE),
IF($A169&lt;'Pool &amp; SPA Sweep Elbows'!$A$12,VLOOKUP($A169,'Pool &amp; SPA Sweep Elbows'!$A$8:$M$11,9,FALSE),
IF($A169&lt;'Pool &amp; SPA Pipe Extender'!$A$11,VLOOKUP($A169,'Pool &amp; SPA Pipe Extender'!$A$8:$M$10,9,FALSE),
IF($A169&lt;'PVC SCH80'!$A$250,VLOOKUP($A169,'PVC SCH80'!$A$8:$M$249,9,FALSE),
IF($A169&lt;'PVC SCH80 Flange'!$A$49,VLOOKUP($A169,'PVC SCH80 Flange'!$A$8:$M$48,9,FALSE),
IF($A169&lt;'PVC SCH80 LD Flange'!$A$17,VLOOKUP($A169,'PVC SCH80 LD Flange'!$A$8:$M$16,9,FALSE),
IF($A169&lt;CPVC!$A$100,VLOOKUP($A169,CPVC!$A$8:$M$99,9,FALSE),
IF($A169&lt;InsertFittings!$A$237,VLOOKUP($A169,InsertFittings!$A$11:$M$236,9,FALSE),
IF($A169&lt;Valves!$A$132,VLOOKUP($A169,Valves!$A$8:$M$131,9,FALSE),
IF($A169&lt;SDR35SW!$A$124,VLOOKUP($A169,SDR35SW!$A$8:$M$123,9,FALSE),
IF($A169&lt;SDR35G!$A$143,VLOOKUP($A169, SDR35G!$A$8:$M$142,9,FALSE),
IF($A169&lt;SDR26G!$A$61,VLOOKUP($A169,SDR26G!$A$8:$N$60,10,FALSE),
IF($A169&lt;Cements!$A$100,VLOOKUP($A169,Cements!$A$8:$Q$99,13,FALSE),
IF($A169&lt;ValveBox!$A$143,VLOOKUP($A169,ValveBox!$A$10:$O$142,11,FALSE),
IF($A169&lt;'ValveBox Components'!$A$165,VLOOKUP($A169,'ValveBox Components'!$A$10:$O$164,11,FALSE),
IF($A169&lt;Drainage!$A$92,VLOOKUP($A169,Drainage!$A$8:$M$91,9,FALSE),
IF($A169&lt;Nipples!$A$82,VLOOKUP($A169,Nipples!$A$9:$Q$81,13,FALSE),
IF($A169&lt;Manifold!$A$33,VLOOKUP($A169,Manifold!$A$9:$M$32,9,FALSE),
IF($A169&lt;FlexibleRepairCouplings!$A$13,VLOOKUP($A169,FlexibleRepairCouplings!$A$10:$M$12,9,FALSE),
IF($A169&lt;DuraFix!$A$15,VLOOKUP($A169,DuraFix!$A$9:$M$14,9,FALSE),
IF($A169&lt;'Compression Fittings'!$A$16,VLOOKUP($A169,'Compression Fittings'!$A$8:$M$15,9,FALSE),
IF($A169&lt;'Hose Fittings'!$A$30,VLOOKUP($A169,'Hose Fittings'!$A$8:$M$29,9,FALSE),
IF($A169&lt;'Swing Joints'!$A$496,VLOOKUP($A169,'Swing Joints'!$A$9:$M$495,9,FALSE),
IF($A169&lt;'Swing Joints Components'!$A$135,VLOOKUP($A169,'Swing Joints Components'!$A$9:$M$134,9,FALSE),
IF($A169&lt;Nonstandard!$A$42,VLOOKUP($A169,Nonstandard!$A$31:$J$41,8,FALSE),"")))))))))))))))))))))))))))),"")</f>
        <v/>
      </c>
      <c r="G169" s="416" t="str">
        <f>IFERROR(IF($A169&lt;'DWV PVC'!$A$285,VLOOKUP($A169,'DWV PVC'!$A$8:$M$284,11,FALSE),
IF($A169&lt;'DWV ABS'!$A$117,VLOOKUP($A169,'DWV ABS'!$A$8:$M$116,11,FALSE),
IF($A169&lt;'PVC SCH40'!$A$376,VLOOKUP($A169,'PVC SCH40'!$A$8:$M$375,11,FALSE),
IF($A169&lt;'PVC SCH40 LD'!$A$22,VLOOKUP($A169,'PVC SCH40 LD'!$A$8:$M$21,11,FALSE),
IF($A169&lt;'Pool &amp; SPA Sweep Elbows'!$A$12,VLOOKUP($A169,'Pool &amp; SPA Sweep Elbows'!$A$8:$M$11,11,FALSE),
IF($A169&lt;'Pool &amp; SPA Pipe Extender'!$A$11,VLOOKUP($A169,'Pool &amp; SPA Pipe Extender'!$A$8:$M$10,11,FALSE),
IF($A169&lt;'PVC SCH80'!$A$250,VLOOKUP($A169,'PVC SCH80'!$A$8:$M$249,11,FALSE),
IF($A169&lt;'PVC SCH80 Flange'!$A$49,VLOOKUP($A169,'PVC SCH80 Flange'!$A$8:$M$48,11,FALSE),
IF($A169&lt;'PVC SCH80 LD Flange'!$A$17,VLOOKUP($A169,'PVC SCH80 LD Flange'!$A$8:$M$16,11,FALSE),
IF($A169&lt;CPVC!$A$100,VLOOKUP($A169,CPVC!$A$8:$M$99,11,FALSE),
IF($A169&lt;InsertFittings!$A$237,VLOOKUP($A169,InsertFittings!$A$11:$M$236,11,FALSE),
IF($A169&lt;Valves!$A$132,VLOOKUP($A169,Valves!$A$8:$M$131,11,FALSE),
IF($A169&lt;SDR35SW!$A$124,VLOOKUP($A169,SDR35SW!$A$8:$M$123,11,FALSE),
IF($A169&lt;SDR35G!$A$143,VLOOKUP($A169, SDR35G!$A$8:$M$142,11,FALSE),
IF($A169&lt;SDR26G!$A$61,VLOOKUP($A169,SDR26G!$A$8:$N$60,12,FALSE),
IF($A169&lt;Cements!$A$100,VLOOKUP($A169,Cements!$A$8:$Q$99,15,FALSE),
IF($A169&lt;ValveBox!$A$143,VLOOKUP($A169,ValveBox!$A$10:$O$142,13,FALSE),
IF($A169&lt;'ValveBox Components'!$A$165,VLOOKUP($A169,'ValveBox Components'!$A$10:$O$164,13,FALSE),
IF($A169&lt;Drainage!$A$92,VLOOKUP($A169,Drainage!$A$8:$M$91,11,FALSE),
IF($A169&lt;Nipples!$A$82,VLOOKUP($A169,Nipples!$A$9:$Q$81,15,FALSE),
IF($A169&lt;Manifold!$A$33,VLOOKUP($A169,Manifold!$A$9:$M$32,11,FALSE),
IF($A169&lt;FlexibleRepairCouplings!$A$13,VLOOKUP($A169,FlexibleRepairCouplings!$A$10:$M$12,11,FALSE),
IF($A169&lt;DuraFix!$A$15,VLOOKUP($A169,DuraFix!$A$9:$M$14,11,FALSE),
IF($A169&lt;'Compression Fittings'!$A$16,VLOOKUP($A169,'Compression Fittings'!$A$8:$M$15,11,FALSE),
IF($A169&lt;'Hose Fittings'!$A$30,VLOOKUP($A169,'Hose Fittings'!$A$8:$M$29,11,FALSE),
IF($A169&lt;'Swing Joints'!$A$496,VLOOKUP($A169,'Swing Joints'!$A$9:$M$495,11,FALSE),
IF($A169&lt;'Swing Joints Components'!$A$135,VLOOKUP($A169,'Swing Joints Components'!$A$9:$M$134,11,FALSE),
IF($A169&lt;Nonstandard!$A$42,VLOOKUP($A169,Nonstandard!$A$31:$J$41,3,FALSE),"")))))))))))))))))))))))))))),"")</f>
        <v/>
      </c>
      <c r="H169" s="586" t="str">
        <f>IFERROR(IF($A169&lt;'DWV PVC'!$A$285,VLOOKUP($A169,'DWV PVC'!$A$8:$M$284,7,FALSE),
IF($A169&lt;'DWV ABS'!$A$117,VLOOKUP($A169,'DWV ABS'!$A$8:$M$116,7,FALSE),
IF($A169&lt;'PVC SCH40'!$A$376,VLOOKUP($A169,'PVC SCH40'!$A$8:$M$375,7,FALSE),
IF($A169&lt;'PVC SCH40 LD'!$A$22,VLOOKUP($A169,'PVC SCH40 LD'!$A$8:$M$21,7,FALSE),
IF($A169&lt;'Pool &amp; SPA Sweep Elbows'!$A$12,VLOOKUP($A169,'Pool &amp; SPA Sweep Elbows'!$A$8:$M$11,7,FALSE),
IF($A169&lt;'Pool &amp; SPA Pipe Extender'!$A$11,VLOOKUP($A169,'Pool &amp; SPA Pipe Extender'!$A$8:$M$10,7,FALSE),
IF($A169&lt;'PVC SCH80'!$A$250,VLOOKUP($A169,'PVC SCH80'!$A$8:$M$249,7,FALSE),
IF($A169&lt;'PVC SCH80 Flange'!$A$49,VLOOKUP($A169,'PVC SCH80 Flange'!$A$8:$M$48,7,FALSE),
IF($A169&lt;'PVC SCH80 LD Flange'!$A$17,VLOOKUP($A169,'PVC SCH80 LD Flange'!$A$8:$M$16,7,FALSE),
IF($A169&lt;CPVC!$A$100,VLOOKUP($A169,CPVC!$A$8:$M$99,7,FALSE),
IF($A169&lt;InsertFittings!$A$237,VLOOKUP($A169,InsertFittings!$A$11:$M$236,7,FALSE),
IF($A169&lt;Valves!$A$132,VLOOKUP($A169,Valves!$A$8:$M$131,7,FALSE),
IF($A169&lt;SDR35SW!$A$124,VLOOKUP($A169,SDR35SW!$A$8:$M$123,7,FALSE),
IF($A169&lt;SDR35G!$A$143,VLOOKUP($A169, SDR35G!$A$8:$M$142,7,FALSE),
IF($A169&lt;SDR26G!$A$61,VLOOKUP($A169,SDR26G!$A$8:$N$60,10,FALSE),
IF($A169&lt;Cements!$A$100,VLOOKUP($A169,Cements!$A$8:$Q$99,13,FALSE),
IF($A169&lt;ValveBox!$A$143,VLOOKUP($A169,ValveBox!$A$10:$O$142,11,FALSE),
IF($A169&lt;'ValveBox Components'!$A$165,VLOOKUP($A169,'ValveBox Components'!$A$10:$O$164,11,FALSE),
IF($A169&lt;Drainage!$A$92,VLOOKUP($A169,Drainage!$A$8:$M$91,7,FALSE),
IF($A169&lt;Nipples!$A$82,VLOOKUP($A169,Nipples!$A$9:$Q$81,13,FALSE),
IF($A169&lt;Manifold!$A$33,VLOOKUP($A169,Manifold!$A$9:$M$32,7,FALSE),
IF($A169&lt;FlexibleRepairCouplings!$A$13,VLOOKUP($A169,FlexibleRepairCouplings!$A$10:$M$12,7,FALSE),
IF($A169&lt;DuraFix!$A$15,VLOOKUP($A169,DuraFix!$A$9:$M$14,7,FALSE),
IF($A169&lt;'Compression Fittings'!$A$16,VLOOKUP($A169,'Compression Fittings'!$A$8:$M$15,7,FALSE),
IF($A169&lt;'Hose Fittings'!$A$30,VLOOKUP($A169,'Hose Fittings'!$A$8:$M$29,7,FALSE),
IF($A169&lt;'Swing Joints'!$A$496,VLOOKUP($A169,'Swing Joints'!$A$9:$M$495,7,FALSE),
IF($A169&lt;'Swing Joints Components'!$A$135,VLOOKUP($A169,'Swing Joints Components'!$A$9:$M$134,7,FALSE),
IF($A169&lt;Nonstandard!$A$42,VLOOKUP($A169,Nonstandard!$A$31:$J$41,3,FALSE),"")))))))))))))))))))))))))))),"")</f>
        <v/>
      </c>
      <c r="I169" s="587"/>
      <c r="J169" s="383" t="str">
        <f t="shared" si="5"/>
        <v/>
      </c>
      <c r="K169" s="417" t="str">
        <f>IFERROR(IF($A169&lt;'DWV PVC'!$A$285,VLOOKUP($A169,'DWV PVC'!$A$8:$M$284,10,FALSE),
IF($A169&lt;'DWV ABS'!$A$117,VLOOKUP($A169,'DWV ABS'!$A$8:$M$116,10,FALSE),
IF($A169&lt;'PVC SCH40'!$A$376,VLOOKUP($A169,'PVC SCH40'!$A$8:$M$375,10,FALSE),
IF($A169&lt;'PVC SCH40 LD'!$A$22,VLOOKUP($A169,'PVC SCH40 LD'!$A$8:$M$21,10,FALSE),
IF($A169&lt;'Pool &amp; SPA Sweep Elbows'!$A$12,VLOOKUP($A169,'Pool &amp; SPA Sweep Elbows'!$A$8:$M$11,10,FALSE),
IF($A169&lt;'Pool &amp; SPA Pipe Extender'!$A$11,VLOOKUP($A169,'Pool &amp; SPA Pipe Extender'!$A$8:$M$10,10,FALSE),
IF($A169&lt;'PVC SCH80'!$A$250,VLOOKUP($A169,'PVC SCH80'!$A$8:$M$249,10,FALSE),
IF($A169&lt;'PVC SCH80 Flange'!$A$49,VLOOKUP($A169,'PVC SCH80 Flange'!$A$8:$M$48,10,FALSE),
IF($A169&lt;'PVC SCH80 LD Flange'!$A$17,VLOOKUP($A169,'PVC SCH80 LD Flange'!$A$8:$M$16,10,FALSE),
IF($A169&lt;CPVC!$A$100,VLOOKUP($A169,CPVC!$A$8:$M$99,10,FALSE),
IF($A169&lt;InsertFittings!$A$237,VLOOKUP($A169,InsertFittings!$A$11:$M$236,10,FALSE),
IF($A169&lt;Valves!$A$132,VLOOKUP($A169,Valves!$A$8:$M$131,10,FALSE),
IF($A169&lt;SDR35SW!$A$124,VLOOKUP($A169,SDR35SW!$A$8:$M$123,10,FALSE),
IF($A169&lt;SDR35G!$A$143,VLOOKUP($A169, SDR35G!$A$8:$M$142,10,FALSE),
IF($A169&lt;SDR26G!$A$61,VLOOKUP($A169,SDR26G!$A$8:$N$60,11,FALSE),
IF($A169&lt;Cements!$A$100,VLOOKUP($A169,Cements!$A$8:$Q$99,14,FALSE),
IF($A169&lt;ValveBox!$A$143,VLOOKUP($A169,ValveBox!$A$10:$O$142,12,FALSE),
IF($A169&lt;'ValveBox Components'!$A$165,VLOOKUP($A169,'ValveBox Components'!$A$10:$O$164,12,FALSE),
IF($A169&lt;Drainage!$A$92,VLOOKUP($A169,Drainage!$A$8:$M$91,10,FALSE),
IF($A169&lt;Nipples!$A$82,VLOOKUP($A169,Nipples!$A$9:$Q$81,14,FALSE),
IF($A169&lt;Manifold!$A$33,VLOOKUP($A169,Manifold!$A$9:$M$32,10,FALSE),
IF($A169&lt;FlexibleRepairCouplings!$A$13,VLOOKUP($A169,FlexibleRepairCouplings!$A$10:$M$12,10,FALSE),
IF($A169&lt;DuraFix!$A$15,VLOOKUP($A169,DuraFix!$A$9:$M$14,10,FALSE),
IF($A169&lt;'Compression Fittings'!$A$16,VLOOKUP($A169,'Compression Fittings'!$A$8:$M$15,10,FALSE),
IF($A169&lt;'Hose Fittings'!$A$30,VLOOKUP($A169,'Hose Fittings'!$A$8:$M$29,10,FALSE),
IF($A169&lt;'Swing Joints'!$A$496,VLOOKUP($A169,'Swing Joints'!$A$9:$M$495,10,FALSE),
IF($A169&lt;'Swing Joints Components'!$A$135,VLOOKUP($A169,'Swing Joints Components'!$A$9:$M$134,10,FALSE),
IF($A169&lt;Nonstandard!$A$42,VLOOKUP($A169,Nonstandard!$A$31:$J$41,10,FALSE),"")))))))))))))))))))))))))))),"")</f>
        <v/>
      </c>
      <c r="L169" s="418" t="str">
        <f t="shared" si="4"/>
        <v>-</v>
      </c>
      <c r="M169" s="419"/>
    </row>
    <row r="170" spans="1:13" ht="15.75">
      <c r="A170" s="420">
        <v>138</v>
      </c>
      <c r="B170" s="420" t="str">
        <f>IFERROR(IF($A170&lt;'DWV PVC'!$A$285,VLOOKUP($A170,'DWV PVC'!$A$8:$M$284,4,FALSE),
IF($A170&lt;'DWV ABS'!$A$117,VLOOKUP($A170,'DWV ABS'!$A$8:$M$116,4,FALSE),
IF($A170&lt;'PVC SCH40'!$A$376,VLOOKUP($A170,'PVC SCH40'!$A$8:$M$375,4,FALSE),
IF($A170&lt;'PVC SCH40 LD'!$A$22,VLOOKUP($A170,'PVC SCH40 LD'!$A$8:$M$21,4,FALSE),
IF($A170&lt;'Pool &amp; SPA Sweep Elbows'!$A$12,VLOOKUP($A170,'Pool &amp; SPA Sweep Elbows'!$A$8:$M$11,4,FALSE),
IF($A170&lt;'Pool &amp; SPA Pipe Extender'!$A$11,VLOOKUP($A170,'Pool &amp; SPA Pipe Extender'!$A$8:$M$10,4,FALSE),
IF($A170&lt;'PVC SCH80'!$A$250,VLOOKUP($A170,'PVC SCH80'!$A$8:$M$249,4,FALSE),
IF($A170&lt;'PVC SCH80 Flange'!$A$49,VLOOKUP($A170,'PVC SCH80 Flange'!$A$8:$M$48,4,FALSE),
IF($A170&lt;'PVC SCH80 LD Flange'!$A$17,VLOOKUP($A170,'PVC SCH80 LD Flange'!$A$8:$M$16,4,FALSE),
IF($A170&lt;CPVC!$A$100,VLOOKUP($A170,CPVC!$A$8:$M$99,4,FALSE),
IF($A170&lt;InsertFittings!$A$237,VLOOKUP($A170,InsertFittings!$A$11:$M$236,4,FALSE),
IF($A170&lt;Valves!$A$132,VLOOKUP($A170,Valves!$A$8:$M$131,4,FALSE),
IF($A170&lt;SDR35SW!$A$124,VLOOKUP($A170,SDR35SW!$A$8:$M$123,4,FALSE),
IF($A170&lt;SDR35G!$A$143,VLOOKUP($A170, SDR35G!$A$8:$M$142,4,FALSE),
IF($A170&lt;SDR26G!$A$61,VLOOKUP($A170,SDR26G!$A$8:$N$60,4,FALSE),
IF($A170&lt;Cements!$A$100,VLOOKUP($A170,Cements!$A$8:$Q$99,4,FALSE),
IF($A170&lt;ValveBox!$A$143,VLOOKUP($A170,ValveBox!$A$10:$O$142,4,FALSE),
IF($A170&lt;'ValveBox Components'!$A$165,VLOOKUP($A170,'ValveBox Components'!$A$10:$O$164,4,FALSE),
IF($A170&lt;Drainage!$A$92,VLOOKUP($A170,Drainage!$A$8:$M$91,4,FALSE),
IF($A170&lt;Nipples!$A$82,VLOOKUP($A170,Nipples!$A$9:$Q$81,4,FALSE),
IF($A170&lt;Manifold!$A$33,VLOOKUP($A170,Manifold!$A$9:$M$32,4,FALSE),
IF($A170&lt;FlexibleRepairCouplings!$A$13,VLOOKUP($A170,FlexibleRepairCouplings!$A$10:$M$12,4,FALSE),
IF($A170&lt;DuraFix!$A$15,VLOOKUP($A170,DuraFix!$A$9:$M$14,4,FALSE),
IF($A170&lt;'Compression Fittings'!$A$16,VLOOKUP($A170,'Compression Fittings'!$A$8:$M$15,4,FALSE),
IF($A170&lt;'Hose Fittings'!$A$30,VLOOKUP($A170,'Hose Fittings'!$A$8:$M$29,4,FALSE),
IF($A170&lt;'Swing Joints'!$A$496,VLOOKUP($A170,'Swing Joints'!$A$9:$M$495,4,FALSE),
IF($A170&lt;'Swing Joints Components'!$A$135,VLOOKUP($A170,'Swing Joints Components'!$A$9:$M$134,4,FALSE),
IF($A170&lt;Nonstandard!$A$42,VLOOKUP($A170,Nonstandard!$A$31:$J$41,5,FALSE),"")))))))))))))))))))))))))))),"")</f>
        <v/>
      </c>
      <c r="C170" s="420" t="str">
        <f>IFERROR(IF($A170&lt;'DWV PVC'!$A$285,VLOOKUP($A170,'DWV PVC'!$A$8:$M$284,5,FALSE),
IF($A170&lt;'DWV ABS'!$A$117,VLOOKUP($A170,'DWV ABS'!$A$8:$M$116,5,FALSE),
IF($A170&lt;'PVC SCH40'!$A$376,VLOOKUP($A170,'PVC SCH40'!$A$8:$M$375,5,FALSE),
IF($A170&lt;'PVC SCH40 LD'!$A$22,VLOOKUP($A170,'PVC SCH40 LD'!$A$8:$M$21,5,FALSE),
IF($A170&lt;'Pool &amp; SPA Sweep Elbows'!$A$12,VLOOKUP($A170,'Pool &amp; SPA Sweep Elbows'!$A$8:$M$11,5,FALSE),
IF($A170&lt;'Pool &amp; SPA Pipe Extender'!$A$11,VLOOKUP($A170,'Pool &amp; SPA Pipe Extender'!$A$8:$M$10,5,FALSE),
IF($A170&lt;'PVC SCH80'!$A$250,VLOOKUP($A170,'PVC SCH80'!$A$8:$M$249,5,FALSE),
IF($A170&lt;'PVC SCH80 Flange'!$A$49,VLOOKUP($A170,'PVC SCH80 Flange'!$A$8:$M$48,5,FALSE),
IF($A170&lt;'PVC SCH80 LD Flange'!$A$17,VLOOKUP($A170,'PVC SCH80 LD Flange'!$A$8:$M$16,5,FALSE),
IF($A170&lt;CPVC!$A$100,VLOOKUP($A170,CPVC!$A$8:$M$99,5,FALSE),
IF($A170&lt;InsertFittings!$A$237,VLOOKUP($A170,InsertFittings!$A$11:$M$236,5,FALSE),
IF($A170&lt;Valves!$A$132,VLOOKUP($A170,Valves!$A$8:$M$131,5,FALSE),
IF($A170&lt;SDR35SW!$A$124,VLOOKUP($A170,SDR35SW!$A$8:$M$123,5,FALSE),
IF($A170&lt;SDR35G!$A$143,VLOOKUP($A170, SDR35G!$A$8:$M$142,5,FALSE),
IF($A170&lt;SDR26G!$A$61,VLOOKUP($A170,SDR26G!$A$8:$N$60,5,FALSE),
IF($A170&lt;Cements!$A$100,VLOOKUP($A170,Cements!$A$8:$Q$99,5,FALSE),
IF($A170&lt;ValveBox!$A$143,VLOOKUP($A170,ValveBox!$A$10:$O$142,5,FALSE),
IF($A170&lt;'ValveBox Components'!$A$165,VLOOKUP($A170,'ValveBox Components'!$A$10:$O$164,5,FALSE),
IF($A170&lt;Drainage!$A$92,VLOOKUP($A170,Drainage!$A$8:$M$91,5,FALSE),
IF($A170&lt;Nipples!$A$82,VLOOKUP($A170,Nipples!$A$9:$Q$81,5,FALSE),
IF($A170&lt;Manifold!$A$33,VLOOKUP($A170,Manifold!$A$9:$M$32,5,FALSE),
IF($A170&lt;FlexibleRepairCouplings!$A$13,VLOOKUP($A170,FlexibleRepairCouplings!$A$10:$M$12,5,FALSE),
IF($A170&lt;DuraFix!$A$15,VLOOKUP($A170,DuraFix!$A$9:$M$14,5,FALSE),
IF($A170&lt;'Compression Fittings'!$A$16,VLOOKUP($A170,'Compression Fittings'!$A$8:$M$15,5,FALSE),
IF($A170&lt;'Hose Fittings'!$A$30,VLOOKUP($A170,'Hose Fittings'!$A$8:$M$29,5,FALSE),
IF($A170&lt;'Swing Joints'!$A$496,VLOOKUP($A170,'Swing Joints'!$A$9:$M$495,5,FALSE),
IF($A170&lt;'Swing Joints Components'!$A$135,VLOOKUP($A170,'Swing Joints Components'!$A$9:$M$134,5,FALSE),
IF($A170&lt;Nonstandard!$A$42,VLOOKUP($A170,Nonstandard!$A$31:$J$41,6,FALSE),"")))))))))))))))))))))))))))),"")</f>
        <v/>
      </c>
      <c r="D170" s="428" t="str">
        <f>IFERROR(IF($A170&lt;'DWV PVC'!$A$285,VLOOKUP($A170,'DWV PVC'!$A$8:$M$284,6,FALSE),
IF($A170&lt;'DWV ABS'!$A$117,VLOOKUP($A170,'DWV ABS'!$A$8:$M$116,6,FALSE),
IF($A170&lt;'PVC SCH40'!$A$376,VLOOKUP($A170,'PVC SCH40'!$A$8:$M$375,6,FALSE),
IF($A170&lt;'PVC SCH40 LD'!$A$22,VLOOKUP($A170,'PVC SCH40 LD'!$A$8:$M$21,6,FALSE),
IF($A170&lt;'Pool &amp; SPA Sweep Elbows'!$A$12,VLOOKUP($A170,'Pool &amp; SPA Sweep Elbows'!$A$8:$M$11,6,FALSE),
IF($A170&lt;'Pool &amp; SPA Pipe Extender'!$A$11,VLOOKUP($A170,'Pool &amp; SPA Pipe Extender'!$A$8:$M$10,6,FALSE),
IF($A170&lt;'PVC SCH80'!$A$250,VLOOKUP($A170,'PVC SCH80'!$A$8:$M$249,6,FALSE),
IF($A170&lt;'PVC SCH80 Flange'!$A$49,VLOOKUP($A170,'PVC SCH80 Flange'!$A$8:$M$48,6,FALSE),
IF($A170&lt;'PVC SCH80 LD Flange'!$A$17,VLOOKUP($A170,'PVC SCH80 LD Flange'!$A$8:$M$16,6,FALSE),
IF($A170&lt;CPVC!$A$100,VLOOKUP($A170,CPVC!$A$8:$M$99,6,FALSE),
IF($A170&lt;InsertFittings!$A$237,VLOOKUP($A170,InsertFittings!$A$11:$M$236,6,FALSE),
IF($A170&lt;Valves!$A$132,VLOOKUP($A170,Valves!$A$8:$M$131,6,FALSE),
IF($A170&lt;SDR35SW!$A$124,VLOOKUP($A170,SDR35SW!$A$8:$M$123,6,FALSE),
IF($A170&lt;SDR35G!$A$143,VLOOKUP($A170, SDR35G!$A$8:$M$142,6,FALSE),
IF($A170&lt;SDR26G!$A$61,VLOOKUP($A170,SDR26G!$A$8:$N$60,6,FALSE),
IF($A170&lt;Cements!$A$100,VLOOKUP($A170,Cements!$A$8:$Q$99,6,FALSE),
IF($A170&lt;ValveBox!$A$143,VLOOKUP($A170,ValveBox!$A$10:$O$142,6,FALSE),
IF($A170&lt;'ValveBox Components'!$A$165,VLOOKUP($A170,'ValveBox Components'!$A$10:$O$164,6,FALSE),
IF($A170&lt;Drainage!$A$92,VLOOKUP($A170,Drainage!$A$8:$M$91,6,FALSE),
IF($A170&lt;Nipples!$A$82,VLOOKUP($A170,Nipples!$A$9:$Q$81,6,FALSE),
IF($A170&lt;Manifold!$A$33,VLOOKUP($A170,Manifold!$A$9:$M$32,6,FALSE),
IF($A170&lt;FlexibleRepairCouplings!$A$13,VLOOKUP($A170,FlexibleRepairCouplings!$A$10:$M$12,6,FALSE),
IF($A170&lt;DuraFix!$A$15,VLOOKUP($A170,DuraFix!$A$9:$M$14,6,FALSE),
IF($A170&lt;'Compression Fittings'!$A$16,VLOOKUP($A170,'Compression Fittings'!$A$8:$M$15,6,FALSE),
IF($A170&lt;'Hose Fittings'!$A$30,VLOOKUP($A170,'Hose Fittings'!$A$8:$M$29,6,FALSE),
IF($A170&lt;'Swing Joints'!$A$496,VLOOKUP($A170,'Swing Joints'!$A$9:$M$495,6,FALSE),
IF($A170&lt;'Swing Joints Components'!$A$135,VLOOKUP($A170,'Swing Joints Components'!$A$9:$M$134,6,FALSE),
IF($A170&lt;Nonstandard!$A$42,VLOOKUP($A170,Nonstandard!$A$31:$J$41,7,FALSE),"")))))))))))))))))))))))))))),"")</f>
        <v/>
      </c>
      <c r="E170" s="429"/>
      <c r="F170" s="421" t="str">
        <f>IFERROR(IF($A170&lt;'DWV PVC'!$A$285,VLOOKUP($A170,'DWV PVC'!$A$8:$M$284,9,FALSE),
IF($A170&lt;'DWV ABS'!$A$117,VLOOKUP($A170,'DWV ABS'!$A$8:$M$116,9,FALSE),
IF($A170&lt;'PVC SCH40'!$A$376,VLOOKUP($A170,'PVC SCH40'!$A$8:$M$375,9,FALSE),
IF($A170&lt;'PVC SCH40 LD'!$A$22,VLOOKUP($A170,'PVC SCH40 LD'!$A$8:$M$21,9,FALSE),
IF($A170&lt;'Pool &amp; SPA Sweep Elbows'!$A$12,VLOOKUP($A170,'Pool &amp; SPA Sweep Elbows'!$A$8:$M$11,9,FALSE),
IF($A170&lt;'Pool &amp; SPA Pipe Extender'!$A$11,VLOOKUP($A170,'Pool &amp; SPA Pipe Extender'!$A$8:$M$10,9,FALSE),
IF($A170&lt;'PVC SCH80'!$A$250,VLOOKUP($A170,'PVC SCH80'!$A$8:$M$249,9,FALSE),
IF($A170&lt;'PVC SCH80 Flange'!$A$49,VLOOKUP($A170,'PVC SCH80 Flange'!$A$8:$M$48,9,FALSE),
IF($A170&lt;'PVC SCH80 LD Flange'!$A$17,VLOOKUP($A170,'PVC SCH80 LD Flange'!$A$8:$M$16,9,FALSE),
IF($A170&lt;CPVC!$A$100,VLOOKUP($A170,CPVC!$A$8:$M$99,9,FALSE),
IF($A170&lt;InsertFittings!$A$237,VLOOKUP($A170,InsertFittings!$A$11:$M$236,9,FALSE),
IF($A170&lt;Valves!$A$132,VLOOKUP($A170,Valves!$A$8:$M$131,9,FALSE),
IF($A170&lt;SDR35SW!$A$124,VLOOKUP($A170,SDR35SW!$A$8:$M$123,9,FALSE),
IF($A170&lt;SDR35G!$A$143,VLOOKUP($A170, SDR35G!$A$8:$M$142,9,FALSE),
IF($A170&lt;SDR26G!$A$61,VLOOKUP($A170,SDR26G!$A$8:$N$60,10,FALSE),
IF($A170&lt;Cements!$A$100,VLOOKUP($A170,Cements!$A$8:$Q$99,13,FALSE),
IF($A170&lt;ValveBox!$A$143,VLOOKUP($A170,ValveBox!$A$10:$O$142,11,FALSE),
IF($A170&lt;'ValveBox Components'!$A$165,VLOOKUP($A170,'ValveBox Components'!$A$10:$O$164,11,FALSE),
IF($A170&lt;Drainage!$A$92,VLOOKUP($A170,Drainage!$A$8:$M$91,9,FALSE),
IF($A170&lt;Nipples!$A$82,VLOOKUP($A170,Nipples!$A$9:$Q$81,13,FALSE),
IF($A170&lt;Manifold!$A$33,VLOOKUP($A170,Manifold!$A$9:$M$32,9,FALSE),
IF($A170&lt;FlexibleRepairCouplings!$A$13,VLOOKUP($A170,FlexibleRepairCouplings!$A$10:$M$12,9,FALSE),
IF($A170&lt;DuraFix!$A$15,VLOOKUP($A170,DuraFix!$A$9:$M$14,9,FALSE),
IF($A170&lt;'Compression Fittings'!$A$16,VLOOKUP($A170,'Compression Fittings'!$A$8:$M$15,9,FALSE),
IF($A170&lt;'Hose Fittings'!$A$30,VLOOKUP($A170,'Hose Fittings'!$A$8:$M$29,9,FALSE),
IF($A170&lt;'Swing Joints'!$A$496,VLOOKUP($A170,'Swing Joints'!$A$9:$M$495,9,FALSE),
IF($A170&lt;'Swing Joints Components'!$A$135,VLOOKUP($A170,'Swing Joints Components'!$A$9:$M$134,9,FALSE),
IF($A170&lt;Nonstandard!$A$42,VLOOKUP($A170,Nonstandard!$A$31:$J$41,8,FALSE),"")))))))))))))))))))))))))))),"")</f>
        <v/>
      </c>
      <c r="G170" s="422" t="str">
        <f>IFERROR(IF($A170&lt;'DWV PVC'!$A$285,VLOOKUP($A170,'DWV PVC'!$A$8:$M$284,11,FALSE),
IF($A170&lt;'DWV ABS'!$A$117,VLOOKUP($A170,'DWV ABS'!$A$8:$M$116,11,FALSE),
IF($A170&lt;'PVC SCH40'!$A$376,VLOOKUP($A170,'PVC SCH40'!$A$8:$M$375,11,FALSE),
IF($A170&lt;'PVC SCH40 LD'!$A$22,VLOOKUP($A170,'PVC SCH40 LD'!$A$8:$M$21,11,FALSE),
IF($A170&lt;'Pool &amp; SPA Sweep Elbows'!$A$12,VLOOKUP($A170,'Pool &amp; SPA Sweep Elbows'!$A$8:$M$11,11,FALSE),
IF($A170&lt;'Pool &amp; SPA Pipe Extender'!$A$11,VLOOKUP($A170,'Pool &amp; SPA Pipe Extender'!$A$8:$M$10,11,FALSE),
IF($A170&lt;'PVC SCH80'!$A$250,VLOOKUP($A170,'PVC SCH80'!$A$8:$M$249,11,FALSE),
IF($A170&lt;'PVC SCH80 Flange'!$A$49,VLOOKUP($A170,'PVC SCH80 Flange'!$A$8:$M$48,11,FALSE),
IF($A170&lt;'PVC SCH80 LD Flange'!$A$17,VLOOKUP($A170,'PVC SCH80 LD Flange'!$A$8:$M$16,11,FALSE),
IF($A170&lt;CPVC!$A$100,VLOOKUP($A170,CPVC!$A$8:$M$99,11,FALSE),
IF($A170&lt;InsertFittings!$A$237,VLOOKUP($A170,InsertFittings!$A$11:$M$236,11,FALSE),
IF($A170&lt;Valves!$A$132,VLOOKUP($A170,Valves!$A$8:$M$131,11,FALSE),
IF($A170&lt;SDR35SW!$A$124,VLOOKUP($A170,SDR35SW!$A$8:$M$123,11,FALSE),
IF($A170&lt;SDR35G!$A$143,VLOOKUP($A170, SDR35G!$A$8:$M$142,11,FALSE),
IF($A170&lt;SDR26G!$A$61,VLOOKUP($A170,SDR26G!$A$8:$N$60,12,FALSE),
IF($A170&lt;Cements!$A$100,VLOOKUP($A170,Cements!$A$8:$Q$99,15,FALSE),
IF($A170&lt;ValveBox!$A$143,VLOOKUP($A170,ValveBox!$A$10:$O$142,13,FALSE),
IF($A170&lt;'ValveBox Components'!$A$165,VLOOKUP($A170,'ValveBox Components'!$A$10:$O$164,13,FALSE),
IF($A170&lt;Drainage!$A$92,VLOOKUP($A170,Drainage!$A$8:$M$91,11,FALSE),
IF($A170&lt;Nipples!$A$82,VLOOKUP($A170,Nipples!$A$9:$Q$81,15,FALSE),
IF($A170&lt;Manifold!$A$33,VLOOKUP($A170,Manifold!$A$9:$M$32,11,FALSE),
IF($A170&lt;FlexibleRepairCouplings!$A$13,VLOOKUP($A170,FlexibleRepairCouplings!$A$10:$M$12,11,FALSE),
IF($A170&lt;DuraFix!$A$15,VLOOKUP($A170,DuraFix!$A$9:$M$14,11,FALSE),
IF($A170&lt;'Compression Fittings'!$A$16,VLOOKUP($A170,'Compression Fittings'!$A$8:$M$15,11,FALSE),
IF($A170&lt;'Hose Fittings'!$A$30,VLOOKUP($A170,'Hose Fittings'!$A$8:$M$29,11,FALSE),
IF($A170&lt;'Swing Joints'!$A$496,VLOOKUP($A170,'Swing Joints'!$A$9:$M$495,11,FALSE),
IF($A170&lt;'Swing Joints Components'!$A$135,VLOOKUP($A170,'Swing Joints Components'!$A$9:$M$134,11,FALSE),
IF($A170&lt;Nonstandard!$A$42,VLOOKUP($A170,Nonstandard!$A$31:$J$41,3,FALSE),"")))))))))))))))))))))))))))),"")</f>
        <v/>
      </c>
      <c r="H170" s="588" t="str">
        <f>IFERROR(IF($A170&lt;'DWV PVC'!$A$285,VLOOKUP($A170,'DWV PVC'!$A$8:$M$284,7,FALSE),
IF($A170&lt;'DWV ABS'!$A$117,VLOOKUP($A170,'DWV ABS'!$A$8:$M$116,7,FALSE),
IF($A170&lt;'PVC SCH40'!$A$376,VLOOKUP($A170,'PVC SCH40'!$A$8:$M$375,7,FALSE),
IF($A170&lt;'PVC SCH40 LD'!$A$22,VLOOKUP($A170,'PVC SCH40 LD'!$A$8:$M$21,7,FALSE),
IF($A170&lt;'Pool &amp; SPA Sweep Elbows'!$A$12,VLOOKUP($A170,'Pool &amp; SPA Sweep Elbows'!$A$8:$M$11,7,FALSE),
IF($A170&lt;'Pool &amp; SPA Pipe Extender'!$A$11,VLOOKUP($A170,'Pool &amp; SPA Pipe Extender'!$A$8:$M$10,7,FALSE),
IF($A170&lt;'PVC SCH80'!$A$250,VLOOKUP($A170,'PVC SCH80'!$A$8:$M$249,7,FALSE),
IF($A170&lt;'PVC SCH80 Flange'!$A$49,VLOOKUP($A170,'PVC SCH80 Flange'!$A$8:$M$48,7,FALSE),
IF($A170&lt;'PVC SCH80 LD Flange'!$A$17,VLOOKUP($A170,'PVC SCH80 LD Flange'!$A$8:$M$16,7,FALSE),
IF($A170&lt;CPVC!$A$100,VLOOKUP($A170,CPVC!$A$8:$M$99,7,FALSE),
IF($A170&lt;InsertFittings!$A$237,VLOOKUP($A170,InsertFittings!$A$11:$M$236,7,FALSE),
IF($A170&lt;Valves!$A$132,VLOOKUP($A170,Valves!$A$8:$M$131,7,FALSE),
IF($A170&lt;SDR35SW!$A$124,VLOOKUP($A170,SDR35SW!$A$8:$M$123,7,FALSE),
IF($A170&lt;SDR35G!$A$143,VLOOKUP($A170, SDR35G!$A$8:$M$142,7,FALSE),
IF($A170&lt;SDR26G!$A$61,VLOOKUP($A170,SDR26G!$A$8:$N$60,10,FALSE),
IF($A170&lt;Cements!$A$100,VLOOKUP($A170,Cements!$A$8:$Q$99,13,FALSE),
IF($A170&lt;ValveBox!$A$143,VLOOKUP($A170,ValveBox!$A$10:$O$142,11,FALSE),
IF($A170&lt;'ValveBox Components'!$A$165,VLOOKUP($A170,'ValveBox Components'!$A$10:$O$164,11,FALSE),
IF($A170&lt;Drainage!$A$92,VLOOKUP($A170,Drainage!$A$8:$M$91,7,FALSE),
IF($A170&lt;Nipples!$A$82,VLOOKUP($A170,Nipples!$A$9:$Q$81,13,FALSE),
IF($A170&lt;Manifold!$A$33,VLOOKUP($A170,Manifold!$A$9:$M$32,7,FALSE),
IF($A170&lt;FlexibleRepairCouplings!$A$13,VLOOKUP($A170,FlexibleRepairCouplings!$A$10:$M$12,7,FALSE),
IF($A170&lt;DuraFix!$A$15,VLOOKUP($A170,DuraFix!$A$9:$M$14,7,FALSE),
IF($A170&lt;'Compression Fittings'!$A$16,VLOOKUP($A170,'Compression Fittings'!$A$8:$M$15,7,FALSE),
IF($A170&lt;'Hose Fittings'!$A$30,VLOOKUP($A170,'Hose Fittings'!$A$8:$M$29,7,FALSE),
IF($A170&lt;'Swing Joints'!$A$496,VLOOKUP($A170,'Swing Joints'!$A$9:$M$495,7,FALSE),
IF($A170&lt;'Swing Joints Components'!$A$135,VLOOKUP($A170,'Swing Joints Components'!$A$9:$M$134,7,FALSE),
IF($A170&lt;Nonstandard!$A$42,VLOOKUP($A170,Nonstandard!$A$31:$J$41,3,FALSE),"")))))))))))))))))))))))))))),"")</f>
        <v/>
      </c>
      <c r="I170" s="589"/>
      <c r="J170" s="423" t="str">
        <f t="shared" si="5"/>
        <v/>
      </c>
      <c r="K170" s="424" t="str">
        <f>IFERROR(IF($A170&lt;'DWV PVC'!$A$285,VLOOKUP($A170,'DWV PVC'!$A$8:$M$284,10,FALSE),
IF($A170&lt;'DWV ABS'!$A$117,VLOOKUP($A170,'DWV ABS'!$A$8:$M$116,10,FALSE),
IF($A170&lt;'PVC SCH40'!$A$376,VLOOKUP($A170,'PVC SCH40'!$A$8:$M$375,10,FALSE),
IF($A170&lt;'PVC SCH40 LD'!$A$22,VLOOKUP($A170,'PVC SCH40 LD'!$A$8:$M$21,10,FALSE),
IF($A170&lt;'Pool &amp; SPA Sweep Elbows'!$A$12,VLOOKUP($A170,'Pool &amp; SPA Sweep Elbows'!$A$8:$M$11,10,FALSE),
IF($A170&lt;'Pool &amp; SPA Pipe Extender'!$A$11,VLOOKUP($A170,'Pool &amp; SPA Pipe Extender'!$A$8:$M$10,10,FALSE),
IF($A170&lt;'PVC SCH80'!$A$250,VLOOKUP($A170,'PVC SCH80'!$A$8:$M$249,10,FALSE),
IF($A170&lt;'PVC SCH80 Flange'!$A$49,VLOOKUP($A170,'PVC SCH80 Flange'!$A$8:$M$48,10,FALSE),
IF($A170&lt;'PVC SCH80 LD Flange'!$A$17,VLOOKUP($A170,'PVC SCH80 LD Flange'!$A$8:$M$16,10,FALSE),
IF($A170&lt;CPVC!$A$100,VLOOKUP($A170,CPVC!$A$8:$M$99,10,FALSE),
IF($A170&lt;InsertFittings!$A$237,VLOOKUP($A170,InsertFittings!$A$11:$M$236,10,FALSE),
IF($A170&lt;Valves!$A$132,VLOOKUP($A170,Valves!$A$8:$M$131,10,FALSE),
IF($A170&lt;SDR35SW!$A$124,VLOOKUP($A170,SDR35SW!$A$8:$M$123,10,FALSE),
IF($A170&lt;SDR35G!$A$143,VLOOKUP($A170, SDR35G!$A$8:$M$142,10,FALSE),
IF($A170&lt;SDR26G!$A$61,VLOOKUP($A170,SDR26G!$A$8:$N$60,11,FALSE),
IF($A170&lt;Cements!$A$100,VLOOKUP($A170,Cements!$A$8:$Q$99,14,FALSE),
IF($A170&lt;ValveBox!$A$143,VLOOKUP($A170,ValveBox!$A$10:$O$142,12,FALSE),
IF($A170&lt;'ValveBox Components'!$A$165,VLOOKUP($A170,'ValveBox Components'!$A$10:$O$164,12,FALSE),
IF($A170&lt;Drainage!$A$92,VLOOKUP($A170,Drainage!$A$8:$M$91,10,FALSE),
IF($A170&lt;Nipples!$A$82,VLOOKUP($A170,Nipples!$A$9:$Q$81,14,FALSE),
IF($A170&lt;Manifold!$A$33,VLOOKUP($A170,Manifold!$A$9:$M$32,10,FALSE),
IF($A170&lt;FlexibleRepairCouplings!$A$13,VLOOKUP($A170,FlexibleRepairCouplings!$A$10:$M$12,10,FALSE),
IF($A170&lt;DuraFix!$A$15,VLOOKUP($A170,DuraFix!$A$9:$M$14,10,FALSE),
IF($A170&lt;'Compression Fittings'!$A$16,VLOOKUP($A170,'Compression Fittings'!$A$8:$M$15,10,FALSE),
IF($A170&lt;'Hose Fittings'!$A$30,VLOOKUP($A170,'Hose Fittings'!$A$8:$M$29,10,FALSE),
IF($A170&lt;'Swing Joints'!$A$496,VLOOKUP($A170,'Swing Joints'!$A$9:$M$495,10,FALSE),
IF($A170&lt;'Swing Joints Components'!$A$135,VLOOKUP($A170,'Swing Joints Components'!$A$9:$M$134,10,FALSE),
IF($A170&lt;Nonstandard!$A$42,VLOOKUP($A170,Nonstandard!$A$31:$J$41,10,FALSE),"")))))))))))))))))))))))))))),"")</f>
        <v/>
      </c>
      <c r="L170" s="421" t="str">
        <f t="shared" si="4"/>
        <v>-</v>
      </c>
      <c r="M170" s="425"/>
    </row>
    <row r="171" spans="1:13" ht="15.75">
      <c r="A171" s="415">
        <v>139</v>
      </c>
      <c r="B171" s="415" t="str">
        <f>IFERROR(IF($A171&lt;'DWV PVC'!$A$285,VLOOKUP($A171,'DWV PVC'!$A$8:$M$284,4,FALSE),
IF($A171&lt;'DWV ABS'!$A$117,VLOOKUP($A171,'DWV ABS'!$A$8:$M$116,4,FALSE),
IF($A171&lt;'PVC SCH40'!$A$376,VLOOKUP($A171,'PVC SCH40'!$A$8:$M$375,4,FALSE),
IF($A171&lt;'PVC SCH40 LD'!$A$22,VLOOKUP($A171,'PVC SCH40 LD'!$A$8:$M$21,4,FALSE),
IF($A171&lt;'Pool &amp; SPA Sweep Elbows'!$A$12,VLOOKUP($A171,'Pool &amp; SPA Sweep Elbows'!$A$8:$M$11,4,FALSE),
IF($A171&lt;'Pool &amp; SPA Pipe Extender'!$A$11,VLOOKUP($A171,'Pool &amp; SPA Pipe Extender'!$A$8:$M$10,4,FALSE),
IF($A171&lt;'PVC SCH80'!$A$250,VLOOKUP($A171,'PVC SCH80'!$A$8:$M$249,4,FALSE),
IF($A171&lt;'PVC SCH80 Flange'!$A$49,VLOOKUP($A171,'PVC SCH80 Flange'!$A$8:$M$48,4,FALSE),
IF($A171&lt;'PVC SCH80 LD Flange'!$A$17,VLOOKUP($A171,'PVC SCH80 LD Flange'!$A$8:$M$16,4,FALSE),
IF($A171&lt;CPVC!$A$100,VLOOKUP($A171,CPVC!$A$8:$M$99,4,FALSE),
IF($A171&lt;InsertFittings!$A$237,VLOOKUP($A171,InsertFittings!$A$11:$M$236,4,FALSE),
IF($A171&lt;Valves!$A$132,VLOOKUP($A171,Valves!$A$8:$M$131,4,FALSE),
IF($A171&lt;SDR35SW!$A$124,VLOOKUP($A171,SDR35SW!$A$8:$M$123,4,FALSE),
IF($A171&lt;SDR35G!$A$143,VLOOKUP($A171, SDR35G!$A$8:$M$142,4,FALSE),
IF($A171&lt;SDR26G!$A$61,VLOOKUP($A171,SDR26G!$A$8:$N$60,4,FALSE),
IF($A171&lt;Cements!$A$100,VLOOKUP($A171,Cements!$A$8:$Q$99,4,FALSE),
IF($A171&lt;ValveBox!$A$143,VLOOKUP($A171,ValveBox!$A$10:$O$142,4,FALSE),
IF($A171&lt;'ValveBox Components'!$A$165,VLOOKUP($A171,'ValveBox Components'!$A$10:$O$164,4,FALSE),
IF($A171&lt;Drainage!$A$92,VLOOKUP($A171,Drainage!$A$8:$M$91,4,FALSE),
IF($A171&lt;Nipples!$A$82,VLOOKUP($A171,Nipples!$A$9:$Q$81,4,FALSE),
IF($A171&lt;Manifold!$A$33,VLOOKUP($A171,Manifold!$A$9:$M$32,4,FALSE),
IF($A171&lt;FlexibleRepairCouplings!$A$13,VLOOKUP($A171,FlexibleRepairCouplings!$A$10:$M$12,4,FALSE),
IF($A171&lt;DuraFix!$A$15,VLOOKUP($A171,DuraFix!$A$9:$M$14,4,FALSE),
IF($A171&lt;'Compression Fittings'!$A$16,VLOOKUP($A171,'Compression Fittings'!$A$8:$M$15,4,FALSE),
IF($A171&lt;'Hose Fittings'!$A$30,VLOOKUP($A171,'Hose Fittings'!$A$8:$M$29,4,FALSE),
IF($A171&lt;'Swing Joints'!$A$496,VLOOKUP($A171,'Swing Joints'!$A$9:$M$495,4,FALSE),
IF($A171&lt;'Swing Joints Components'!$A$135,VLOOKUP($A171,'Swing Joints Components'!$A$9:$M$134,4,FALSE),
IF($A171&lt;Nonstandard!$A$42,VLOOKUP($A171,Nonstandard!$A$31:$J$41,5,FALSE),"")))))))))))))))))))))))))))),"")</f>
        <v/>
      </c>
      <c r="C171" s="415" t="str">
        <f>IFERROR(IF($A171&lt;'DWV PVC'!$A$285,VLOOKUP($A171,'DWV PVC'!$A$8:$M$284,5,FALSE),
IF($A171&lt;'DWV ABS'!$A$117,VLOOKUP($A171,'DWV ABS'!$A$8:$M$116,5,FALSE),
IF($A171&lt;'PVC SCH40'!$A$376,VLOOKUP($A171,'PVC SCH40'!$A$8:$M$375,5,FALSE),
IF($A171&lt;'PVC SCH40 LD'!$A$22,VLOOKUP($A171,'PVC SCH40 LD'!$A$8:$M$21,5,FALSE),
IF($A171&lt;'Pool &amp; SPA Sweep Elbows'!$A$12,VLOOKUP($A171,'Pool &amp; SPA Sweep Elbows'!$A$8:$M$11,5,FALSE),
IF($A171&lt;'Pool &amp; SPA Pipe Extender'!$A$11,VLOOKUP($A171,'Pool &amp; SPA Pipe Extender'!$A$8:$M$10,5,FALSE),
IF($A171&lt;'PVC SCH80'!$A$250,VLOOKUP($A171,'PVC SCH80'!$A$8:$M$249,5,FALSE),
IF($A171&lt;'PVC SCH80 Flange'!$A$49,VLOOKUP($A171,'PVC SCH80 Flange'!$A$8:$M$48,5,FALSE),
IF($A171&lt;'PVC SCH80 LD Flange'!$A$17,VLOOKUP($A171,'PVC SCH80 LD Flange'!$A$8:$M$16,5,FALSE),
IF($A171&lt;CPVC!$A$100,VLOOKUP($A171,CPVC!$A$8:$M$99,5,FALSE),
IF($A171&lt;InsertFittings!$A$237,VLOOKUP($A171,InsertFittings!$A$11:$M$236,5,FALSE),
IF($A171&lt;Valves!$A$132,VLOOKUP($A171,Valves!$A$8:$M$131,5,FALSE),
IF($A171&lt;SDR35SW!$A$124,VLOOKUP($A171,SDR35SW!$A$8:$M$123,5,FALSE),
IF($A171&lt;SDR35G!$A$143,VLOOKUP($A171, SDR35G!$A$8:$M$142,5,FALSE),
IF($A171&lt;SDR26G!$A$61,VLOOKUP($A171,SDR26G!$A$8:$N$60,5,FALSE),
IF($A171&lt;Cements!$A$100,VLOOKUP($A171,Cements!$A$8:$Q$99,5,FALSE),
IF($A171&lt;ValveBox!$A$143,VLOOKUP($A171,ValveBox!$A$10:$O$142,5,FALSE),
IF($A171&lt;'ValveBox Components'!$A$165,VLOOKUP($A171,'ValveBox Components'!$A$10:$O$164,5,FALSE),
IF($A171&lt;Drainage!$A$92,VLOOKUP($A171,Drainage!$A$8:$M$91,5,FALSE),
IF($A171&lt;Nipples!$A$82,VLOOKUP($A171,Nipples!$A$9:$Q$81,5,FALSE),
IF($A171&lt;Manifold!$A$33,VLOOKUP($A171,Manifold!$A$9:$M$32,5,FALSE),
IF($A171&lt;FlexibleRepairCouplings!$A$13,VLOOKUP($A171,FlexibleRepairCouplings!$A$10:$M$12,5,FALSE),
IF($A171&lt;DuraFix!$A$15,VLOOKUP($A171,DuraFix!$A$9:$M$14,5,FALSE),
IF($A171&lt;'Compression Fittings'!$A$16,VLOOKUP($A171,'Compression Fittings'!$A$8:$M$15,5,FALSE),
IF($A171&lt;'Hose Fittings'!$A$30,VLOOKUP($A171,'Hose Fittings'!$A$8:$M$29,5,FALSE),
IF($A171&lt;'Swing Joints'!$A$496,VLOOKUP($A171,'Swing Joints'!$A$9:$M$495,5,FALSE),
IF($A171&lt;'Swing Joints Components'!$A$135,VLOOKUP($A171,'Swing Joints Components'!$A$9:$M$134,5,FALSE),
IF($A171&lt;Nonstandard!$A$42,VLOOKUP($A171,Nonstandard!$A$31:$J$41,6,FALSE),"")))))))))))))))))))))))))))),"")</f>
        <v/>
      </c>
      <c r="D171" s="426" t="str">
        <f>IFERROR(IF($A171&lt;'DWV PVC'!$A$285,VLOOKUP($A171,'DWV PVC'!$A$8:$M$284,6,FALSE),
IF($A171&lt;'DWV ABS'!$A$117,VLOOKUP($A171,'DWV ABS'!$A$8:$M$116,6,FALSE),
IF($A171&lt;'PVC SCH40'!$A$376,VLOOKUP($A171,'PVC SCH40'!$A$8:$M$375,6,FALSE),
IF($A171&lt;'PVC SCH40 LD'!$A$22,VLOOKUP($A171,'PVC SCH40 LD'!$A$8:$M$21,6,FALSE),
IF($A171&lt;'Pool &amp; SPA Sweep Elbows'!$A$12,VLOOKUP($A171,'Pool &amp; SPA Sweep Elbows'!$A$8:$M$11,6,FALSE),
IF($A171&lt;'Pool &amp; SPA Pipe Extender'!$A$11,VLOOKUP($A171,'Pool &amp; SPA Pipe Extender'!$A$8:$M$10,6,FALSE),
IF($A171&lt;'PVC SCH80'!$A$250,VLOOKUP($A171,'PVC SCH80'!$A$8:$M$249,6,FALSE),
IF($A171&lt;'PVC SCH80 Flange'!$A$49,VLOOKUP($A171,'PVC SCH80 Flange'!$A$8:$M$48,6,FALSE),
IF($A171&lt;'PVC SCH80 LD Flange'!$A$17,VLOOKUP($A171,'PVC SCH80 LD Flange'!$A$8:$M$16,6,FALSE),
IF($A171&lt;CPVC!$A$100,VLOOKUP($A171,CPVC!$A$8:$M$99,6,FALSE),
IF($A171&lt;InsertFittings!$A$237,VLOOKUP($A171,InsertFittings!$A$11:$M$236,6,FALSE),
IF($A171&lt;Valves!$A$132,VLOOKUP($A171,Valves!$A$8:$M$131,6,FALSE),
IF($A171&lt;SDR35SW!$A$124,VLOOKUP($A171,SDR35SW!$A$8:$M$123,6,FALSE),
IF($A171&lt;SDR35G!$A$143,VLOOKUP($A171, SDR35G!$A$8:$M$142,6,FALSE),
IF($A171&lt;SDR26G!$A$61,VLOOKUP($A171,SDR26G!$A$8:$N$60,6,FALSE),
IF($A171&lt;Cements!$A$100,VLOOKUP($A171,Cements!$A$8:$Q$99,6,FALSE),
IF($A171&lt;ValveBox!$A$143,VLOOKUP($A171,ValveBox!$A$10:$O$142,6,FALSE),
IF($A171&lt;'ValveBox Components'!$A$165,VLOOKUP($A171,'ValveBox Components'!$A$10:$O$164,6,FALSE),
IF($A171&lt;Drainage!$A$92,VLOOKUP($A171,Drainage!$A$8:$M$91,6,FALSE),
IF($A171&lt;Nipples!$A$82,VLOOKUP($A171,Nipples!$A$9:$Q$81,6,FALSE),
IF($A171&lt;Manifold!$A$33,VLOOKUP($A171,Manifold!$A$9:$M$32,6,FALSE),
IF($A171&lt;FlexibleRepairCouplings!$A$13,VLOOKUP($A171,FlexibleRepairCouplings!$A$10:$M$12,6,FALSE),
IF($A171&lt;DuraFix!$A$15,VLOOKUP($A171,DuraFix!$A$9:$M$14,6,FALSE),
IF($A171&lt;'Compression Fittings'!$A$16,VLOOKUP($A171,'Compression Fittings'!$A$8:$M$15,6,FALSE),
IF($A171&lt;'Hose Fittings'!$A$30,VLOOKUP($A171,'Hose Fittings'!$A$8:$M$29,6,FALSE),
IF($A171&lt;'Swing Joints'!$A$496,VLOOKUP($A171,'Swing Joints'!$A$9:$M$495,6,FALSE),
IF($A171&lt;'Swing Joints Components'!$A$135,VLOOKUP($A171,'Swing Joints Components'!$A$9:$M$134,6,FALSE),
IF($A171&lt;Nonstandard!$A$42,VLOOKUP($A171,Nonstandard!$A$31:$J$41,7,FALSE),"")))))))))))))))))))))))))))),"")</f>
        <v/>
      </c>
      <c r="E171" s="427"/>
      <c r="F171" s="418" t="str">
        <f>IFERROR(IF($A171&lt;'DWV PVC'!$A$285,VLOOKUP($A171,'DWV PVC'!$A$8:$M$284,9,FALSE),
IF($A171&lt;'DWV ABS'!$A$117,VLOOKUP($A171,'DWV ABS'!$A$8:$M$116,9,FALSE),
IF($A171&lt;'PVC SCH40'!$A$376,VLOOKUP($A171,'PVC SCH40'!$A$8:$M$375,9,FALSE),
IF($A171&lt;'PVC SCH40 LD'!$A$22,VLOOKUP($A171,'PVC SCH40 LD'!$A$8:$M$21,9,FALSE),
IF($A171&lt;'Pool &amp; SPA Sweep Elbows'!$A$12,VLOOKUP($A171,'Pool &amp; SPA Sweep Elbows'!$A$8:$M$11,9,FALSE),
IF($A171&lt;'Pool &amp; SPA Pipe Extender'!$A$11,VLOOKUP($A171,'Pool &amp; SPA Pipe Extender'!$A$8:$M$10,9,FALSE),
IF($A171&lt;'PVC SCH80'!$A$250,VLOOKUP($A171,'PVC SCH80'!$A$8:$M$249,9,FALSE),
IF($A171&lt;'PVC SCH80 Flange'!$A$49,VLOOKUP($A171,'PVC SCH80 Flange'!$A$8:$M$48,9,FALSE),
IF($A171&lt;'PVC SCH80 LD Flange'!$A$17,VLOOKUP($A171,'PVC SCH80 LD Flange'!$A$8:$M$16,9,FALSE),
IF($A171&lt;CPVC!$A$100,VLOOKUP($A171,CPVC!$A$8:$M$99,9,FALSE),
IF($A171&lt;InsertFittings!$A$237,VLOOKUP($A171,InsertFittings!$A$11:$M$236,9,FALSE),
IF($A171&lt;Valves!$A$132,VLOOKUP($A171,Valves!$A$8:$M$131,9,FALSE),
IF($A171&lt;SDR35SW!$A$124,VLOOKUP($A171,SDR35SW!$A$8:$M$123,9,FALSE),
IF($A171&lt;SDR35G!$A$143,VLOOKUP($A171, SDR35G!$A$8:$M$142,9,FALSE),
IF($A171&lt;SDR26G!$A$61,VLOOKUP($A171,SDR26G!$A$8:$N$60,10,FALSE),
IF($A171&lt;Cements!$A$100,VLOOKUP($A171,Cements!$A$8:$Q$99,13,FALSE),
IF($A171&lt;ValveBox!$A$143,VLOOKUP($A171,ValveBox!$A$10:$O$142,11,FALSE),
IF($A171&lt;'ValveBox Components'!$A$165,VLOOKUP($A171,'ValveBox Components'!$A$10:$O$164,11,FALSE),
IF($A171&lt;Drainage!$A$92,VLOOKUP($A171,Drainage!$A$8:$M$91,9,FALSE),
IF($A171&lt;Nipples!$A$82,VLOOKUP($A171,Nipples!$A$9:$Q$81,13,FALSE),
IF($A171&lt;Manifold!$A$33,VLOOKUP($A171,Manifold!$A$9:$M$32,9,FALSE),
IF($A171&lt;FlexibleRepairCouplings!$A$13,VLOOKUP($A171,FlexibleRepairCouplings!$A$10:$M$12,9,FALSE),
IF($A171&lt;DuraFix!$A$15,VLOOKUP($A171,DuraFix!$A$9:$M$14,9,FALSE),
IF($A171&lt;'Compression Fittings'!$A$16,VLOOKUP($A171,'Compression Fittings'!$A$8:$M$15,9,FALSE),
IF($A171&lt;'Hose Fittings'!$A$30,VLOOKUP($A171,'Hose Fittings'!$A$8:$M$29,9,FALSE),
IF($A171&lt;'Swing Joints'!$A$496,VLOOKUP($A171,'Swing Joints'!$A$9:$M$495,9,FALSE),
IF($A171&lt;'Swing Joints Components'!$A$135,VLOOKUP($A171,'Swing Joints Components'!$A$9:$M$134,9,FALSE),
IF($A171&lt;Nonstandard!$A$42,VLOOKUP($A171,Nonstandard!$A$31:$J$41,8,FALSE),"")))))))))))))))))))))))))))),"")</f>
        <v/>
      </c>
      <c r="G171" s="416" t="str">
        <f>IFERROR(IF($A171&lt;'DWV PVC'!$A$285,VLOOKUP($A171,'DWV PVC'!$A$8:$M$284,11,FALSE),
IF($A171&lt;'DWV ABS'!$A$117,VLOOKUP($A171,'DWV ABS'!$A$8:$M$116,11,FALSE),
IF($A171&lt;'PVC SCH40'!$A$376,VLOOKUP($A171,'PVC SCH40'!$A$8:$M$375,11,FALSE),
IF($A171&lt;'PVC SCH40 LD'!$A$22,VLOOKUP($A171,'PVC SCH40 LD'!$A$8:$M$21,11,FALSE),
IF($A171&lt;'Pool &amp; SPA Sweep Elbows'!$A$12,VLOOKUP($A171,'Pool &amp; SPA Sweep Elbows'!$A$8:$M$11,11,FALSE),
IF($A171&lt;'Pool &amp; SPA Pipe Extender'!$A$11,VLOOKUP($A171,'Pool &amp; SPA Pipe Extender'!$A$8:$M$10,11,FALSE),
IF($A171&lt;'PVC SCH80'!$A$250,VLOOKUP($A171,'PVC SCH80'!$A$8:$M$249,11,FALSE),
IF($A171&lt;'PVC SCH80 Flange'!$A$49,VLOOKUP($A171,'PVC SCH80 Flange'!$A$8:$M$48,11,FALSE),
IF($A171&lt;'PVC SCH80 LD Flange'!$A$17,VLOOKUP($A171,'PVC SCH80 LD Flange'!$A$8:$M$16,11,FALSE),
IF($A171&lt;CPVC!$A$100,VLOOKUP($A171,CPVC!$A$8:$M$99,11,FALSE),
IF($A171&lt;InsertFittings!$A$237,VLOOKUP($A171,InsertFittings!$A$11:$M$236,11,FALSE),
IF($A171&lt;Valves!$A$132,VLOOKUP($A171,Valves!$A$8:$M$131,11,FALSE),
IF($A171&lt;SDR35SW!$A$124,VLOOKUP($A171,SDR35SW!$A$8:$M$123,11,FALSE),
IF($A171&lt;SDR35G!$A$143,VLOOKUP($A171, SDR35G!$A$8:$M$142,11,FALSE),
IF($A171&lt;SDR26G!$A$61,VLOOKUP($A171,SDR26G!$A$8:$N$60,12,FALSE),
IF($A171&lt;Cements!$A$100,VLOOKUP($A171,Cements!$A$8:$Q$99,15,FALSE),
IF($A171&lt;ValveBox!$A$143,VLOOKUP($A171,ValveBox!$A$10:$O$142,13,FALSE),
IF($A171&lt;'ValveBox Components'!$A$165,VLOOKUP($A171,'ValveBox Components'!$A$10:$O$164,13,FALSE),
IF($A171&lt;Drainage!$A$92,VLOOKUP($A171,Drainage!$A$8:$M$91,11,FALSE),
IF($A171&lt;Nipples!$A$82,VLOOKUP($A171,Nipples!$A$9:$Q$81,15,FALSE),
IF($A171&lt;Manifold!$A$33,VLOOKUP($A171,Manifold!$A$9:$M$32,11,FALSE),
IF($A171&lt;FlexibleRepairCouplings!$A$13,VLOOKUP($A171,FlexibleRepairCouplings!$A$10:$M$12,11,FALSE),
IF($A171&lt;DuraFix!$A$15,VLOOKUP($A171,DuraFix!$A$9:$M$14,11,FALSE),
IF($A171&lt;'Compression Fittings'!$A$16,VLOOKUP($A171,'Compression Fittings'!$A$8:$M$15,11,FALSE),
IF($A171&lt;'Hose Fittings'!$A$30,VLOOKUP($A171,'Hose Fittings'!$A$8:$M$29,11,FALSE),
IF($A171&lt;'Swing Joints'!$A$496,VLOOKUP($A171,'Swing Joints'!$A$9:$M$495,11,FALSE),
IF($A171&lt;'Swing Joints Components'!$A$135,VLOOKUP($A171,'Swing Joints Components'!$A$9:$M$134,11,FALSE),
IF($A171&lt;Nonstandard!$A$42,VLOOKUP($A171,Nonstandard!$A$31:$J$41,3,FALSE),"")))))))))))))))))))))))))))),"")</f>
        <v/>
      </c>
      <c r="H171" s="586" t="str">
        <f>IFERROR(IF($A171&lt;'DWV PVC'!$A$285,VLOOKUP($A171,'DWV PVC'!$A$8:$M$284,7,FALSE),
IF($A171&lt;'DWV ABS'!$A$117,VLOOKUP($A171,'DWV ABS'!$A$8:$M$116,7,FALSE),
IF($A171&lt;'PVC SCH40'!$A$376,VLOOKUP($A171,'PVC SCH40'!$A$8:$M$375,7,FALSE),
IF($A171&lt;'PVC SCH40 LD'!$A$22,VLOOKUP($A171,'PVC SCH40 LD'!$A$8:$M$21,7,FALSE),
IF($A171&lt;'Pool &amp; SPA Sweep Elbows'!$A$12,VLOOKUP($A171,'Pool &amp; SPA Sweep Elbows'!$A$8:$M$11,7,FALSE),
IF($A171&lt;'Pool &amp; SPA Pipe Extender'!$A$11,VLOOKUP($A171,'Pool &amp; SPA Pipe Extender'!$A$8:$M$10,7,FALSE),
IF($A171&lt;'PVC SCH80'!$A$250,VLOOKUP($A171,'PVC SCH80'!$A$8:$M$249,7,FALSE),
IF($A171&lt;'PVC SCH80 Flange'!$A$49,VLOOKUP($A171,'PVC SCH80 Flange'!$A$8:$M$48,7,FALSE),
IF($A171&lt;'PVC SCH80 LD Flange'!$A$17,VLOOKUP($A171,'PVC SCH80 LD Flange'!$A$8:$M$16,7,FALSE),
IF($A171&lt;CPVC!$A$100,VLOOKUP($A171,CPVC!$A$8:$M$99,7,FALSE),
IF($A171&lt;InsertFittings!$A$237,VLOOKUP($A171,InsertFittings!$A$11:$M$236,7,FALSE),
IF($A171&lt;Valves!$A$132,VLOOKUP($A171,Valves!$A$8:$M$131,7,FALSE),
IF($A171&lt;SDR35SW!$A$124,VLOOKUP($A171,SDR35SW!$A$8:$M$123,7,FALSE),
IF($A171&lt;SDR35G!$A$143,VLOOKUP($A171, SDR35G!$A$8:$M$142,7,FALSE),
IF($A171&lt;SDR26G!$A$61,VLOOKUP($A171,SDR26G!$A$8:$N$60,10,FALSE),
IF($A171&lt;Cements!$A$100,VLOOKUP($A171,Cements!$A$8:$Q$99,13,FALSE),
IF($A171&lt;ValveBox!$A$143,VLOOKUP($A171,ValveBox!$A$10:$O$142,11,FALSE),
IF($A171&lt;'ValveBox Components'!$A$165,VLOOKUP($A171,'ValveBox Components'!$A$10:$O$164,11,FALSE),
IF($A171&lt;Drainage!$A$92,VLOOKUP($A171,Drainage!$A$8:$M$91,7,FALSE),
IF($A171&lt;Nipples!$A$82,VLOOKUP($A171,Nipples!$A$9:$Q$81,13,FALSE),
IF($A171&lt;Manifold!$A$33,VLOOKUP($A171,Manifold!$A$9:$M$32,7,FALSE),
IF($A171&lt;FlexibleRepairCouplings!$A$13,VLOOKUP($A171,FlexibleRepairCouplings!$A$10:$M$12,7,FALSE),
IF($A171&lt;DuraFix!$A$15,VLOOKUP($A171,DuraFix!$A$9:$M$14,7,FALSE),
IF($A171&lt;'Compression Fittings'!$A$16,VLOOKUP($A171,'Compression Fittings'!$A$8:$M$15,7,FALSE),
IF($A171&lt;'Hose Fittings'!$A$30,VLOOKUP($A171,'Hose Fittings'!$A$8:$M$29,7,FALSE),
IF($A171&lt;'Swing Joints'!$A$496,VLOOKUP($A171,'Swing Joints'!$A$9:$M$495,7,FALSE),
IF($A171&lt;'Swing Joints Components'!$A$135,VLOOKUP($A171,'Swing Joints Components'!$A$9:$M$134,7,FALSE),
IF($A171&lt;Nonstandard!$A$42,VLOOKUP($A171,Nonstandard!$A$31:$J$41,3,FALSE),"")))))))))))))))))))))))))))),"")</f>
        <v/>
      </c>
      <c r="I171" s="587"/>
      <c r="J171" s="383" t="str">
        <f t="shared" si="5"/>
        <v/>
      </c>
      <c r="K171" s="417" t="str">
        <f>IFERROR(IF($A171&lt;'DWV PVC'!$A$285,VLOOKUP($A171,'DWV PVC'!$A$8:$M$284,10,FALSE),
IF($A171&lt;'DWV ABS'!$A$117,VLOOKUP($A171,'DWV ABS'!$A$8:$M$116,10,FALSE),
IF($A171&lt;'PVC SCH40'!$A$376,VLOOKUP($A171,'PVC SCH40'!$A$8:$M$375,10,FALSE),
IF($A171&lt;'PVC SCH40 LD'!$A$22,VLOOKUP($A171,'PVC SCH40 LD'!$A$8:$M$21,10,FALSE),
IF($A171&lt;'Pool &amp; SPA Sweep Elbows'!$A$12,VLOOKUP($A171,'Pool &amp; SPA Sweep Elbows'!$A$8:$M$11,10,FALSE),
IF($A171&lt;'Pool &amp; SPA Pipe Extender'!$A$11,VLOOKUP($A171,'Pool &amp; SPA Pipe Extender'!$A$8:$M$10,10,FALSE),
IF($A171&lt;'PVC SCH80'!$A$250,VLOOKUP($A171,'PVC SCH80'!$A$8:$M$249,10,FALSE),
IF($A171&lt;'PVC SCH80 Flange'!$A$49,VLOOKUP($A171,'PVC SCH80 Flange'!$A$8:$M$48,10,FALSE),
IF($A171&lt;'PVC SCH80 LD Flange'!$A$17,VLOOKUP($A171,'PVC SCH80 LD Flange'!$A$8:$M$16,10,FALSE),
IF($A171&lt;CPVC!$A$100,VLOOKUP($A171,CPVC!$A$8:$M$99,10,FALSE),
IF($A171&lt;InsertFittings!$A$237,VLOOKUP($A171,InsertFittings!$A$11:$M$236,10,FALSE),
IF($A171&lt;Valves!$A$132,VLOOKUP($A171,Valves!$A$8:$M$131,10,FALSE),
IF($A171&lt;SDR35SW!$A$124,VLOOKUP($A171,SDR35SW!$A$8:$M$123,10,FALSE),
IF($A171&lt;SDR35G!$A$143,VLOOKUP($A171, SDR35G!$A$8:$M$142,10,FALSE),
IF($A171&lt;SDR26G!$A$61,VLOOKUP($A171,SDR26G!$A$8:$N$60,11,FALSE),
IF($A171&lt;Cements!$A$100,VLOOKUP($A171,Cements!$A$8:$Q$99,14,FALSE),
IF($A171&lt;ValveBox!$A$143,VLOOKUP($A171,ValveBox!$A$10:$O$142,12,FALSE),
IF($A171&lt;'ValveBox Components'!$A$165,VLOOKUP($A171,'ValveBox Components'!$A$10:$O$164,12,FALSE),
IF($A171&lt;Drainage!$A$92,VLOOKUP($A171,Drainage!$A$8:$M$91,10,FALSE),
IF($A171&lt;Nipples!$A$82,VLOOKUP($A171,Nipples!$A$9:$Q$81,14,FALSE),
IF($A171&lt;Manifold!$A$33,VLOOKUP($A171,Manifold!$A$9:$M$32,10,FALSE),
IF($A171&lt;FlexibleRepairCouplings!$A$13,VLOOKUP($A171,FlexibleRepairCouplings!$A$10:$M$12,10,FALSE),
IF($A171&lt;DuraFix!$A$15,VLOOKUP($A171,DuraFix!$A$9:$M$14,10,FALSE),
IF($A171&lt;'Compression Fittings'!$A$16,VLOOKUP($A171,'Compression Fittings'!$A$8:$M$15,10,FALSE),
IF($A171&lt;'Hose Fittings'!$A$30,VLOOKUP($A171,'Hose Fittings'!$A$8:$M$29,10,FALSE),
IF($A171&lt;'Swing Joints'!$A$496,VLOOKUP($A171,'Swing Joints'!$A$9:$M$495,10,FALSE),
IF($A171&lt;'Swing Joints Components'!$A$135,VLOOKUP($A171,'Swing Joints Components'!$A$9:$M$134,10,FALSE),
IF($A171&lt;Nonstandard!$A$42,VLOOKUP($A171,Nonstandard!$A$31:$J$41,10,FALSE),"")))))))))))))))))))))))))))),"")</f>
        <v/>
      </c>
      <c r="L171" s="418" t="str">
        <f t="shared" si="4"/>
        <v>-</v>
      </c>
      <c r="M171" s="419"/>
    </row>
    <row r="172" spans="1:13" ht="15.75">
      <c r="A172" s="420">
        <v>140</v>
      </c>
      <c r="B172" s="420" t="str">
        <f>IFERROR(IF($A172&lt;'DWV PVC'!$A$285,VLOOKUP($A172,'DWV PVC'!$A$8:$M$284,4,FALSE),
IF($A172&lt;'DWV ABS'!$A$117,VLOOKUP($A172,'DWV ABS'!$A$8:$M$116,4,FALSE),
IF($A172&lt;'PVC SCH40'!$A$376,VLOOKUP($A172,'PVC SCH40'!$A$8:$M$375,4,FALSE),
IF($A172&lt;'PVC SCH40 LD'!$A$22,VLOOKUP($A172,'PVC SCH40 LD'!$A$8:$M$21,4,FALSE),
IF($A172&lt;'Pool &amp; SPA Sweep Elbows'!$A$12,VLOOKUP($A172,'Pool &amp; SPA Sweep Elbows'!$A$8:$M$11,4,FALSE),
IF($A172&lt;'Pool &amp; SPA Pipe Extender'!$A$11,VLOOKUP($A172,'Pool &amp; SPA Pipe Extender'!$A$8:$M$10,4,FALSE),
IF($A172&lt;'PVC SCH80'!$A$250,VLOOKUP($A172,'PVC SCH80'!$A$8:$M$249,4,FALSE),
IF($A172&lt;'PVC SCH80 Flange'!$A$49,VLOOKUP($A172,'PVC SCH80 Flange'!$A$8:$M$48,4,FALSE),
IF($A172&lt;'PVC SCH80 LD Flange'!$A$17,VLOOKUP($A172,'PVC SCH80 LD Flange'!$A$8:$M$16,4,FALSE),
IF($A172&lt;CPVC!$A$100,VLOOKUP($A172,CPVC!$A$8:$M$99,4,FALSE),
IF($A172&lt;InsertFittings!$A$237,VLOOKUP($A172,InsertFittings!$A$11:$M$236,4,FALSE),
IF($A172&lt;Valves!$A$132,VLOOKUP($A172,Valves!$A$8:$M$131,4,FALSE),
IF($A172&lt;SDR35SW!$A$124,VLOOKUP($A172,SDR35SW!$A$8:$M$123,4,FALSE),
IF($A172&lt;SDR35G!$A$143,VLOOKUP($A172, SDR35G!$A$8:$M$142,4,FALSE),
IF($A172&lt;SDR26G!$A$61,VLOOKUP($A172,SDR26G!$A$8:$N$60,4,FALSE),
IF($A172&lt;Cements!$A$100,VLOOKUP($A172,Cements!$A$8:$Q$99,4,FALSE),
IF($A172&lt;ValveBox!$A$143,VLOOKUP($A172,ValveBox!$A$10:$O$142,4,FALSE),
IF($A172&lt;'ValveBox Components'!$A$165,VLOOKUP($A172,'ValveBox Components'!$A$10:$O$164,4,FALSE),
IF($A172&lt;Drainage!$A$92,VLOOKUP($A172,Drainage!$A$8:$M$91,4,FALSE),
IF($A172&lt;Nipples!$A$82,VLOOKUP($A172,Nipples!$A$9:$Q$81,4,FALSE),
IF($A172&lt;Manifold!$A$33,VLOOKUP($A172,Manifold!$A$9:$M$32,4,FALSE),
IF($A172&lt;FlexibleRepairCouplings!$A$13,VLOOKUP($A172,FlexibleRepairCouplings!$A$10:$M$12,4,FALSE),
IF($A172&lt;DuraFix!$A$15,VLOOKUP($A172,DuraFix!$A$9:$M$14,4,FALSE),
IF($A172&lt;'Compression Fittings'!$A$16,VLOOKUP($A172,'Compression Fittings'!$A$8:$M$15,4,FALSE),
IF($A172&lt;'Hose Fittings'!$A$30,VLOOKUP($A172,'Hose Fittings'!$A$8:$M$29,4,FALSE),
IF($A172&lt;'Swing Joints'!$A$496,VLOOKUP($A172,'Swing Joints'!$A$9:$M$495,4,FALSE),
IF($A172&lt;'Swing Joints Components'!$A$135,VLOOKUP($A172,'Swing Joints Components'!$A$9:$M$134,4,FALSE),
IF($A172&lt;Nonstandard!$A$42,VLOOKUP($A172,Nonstandard!$A$31:$J$41,5,FALSE),"")))))))))))))))))))))))))))),"")</f>
        <v/>
      </c>
      <c r="C172" s="420" t="str">
        <f>IFERROR(IF($A172&lt;'DWV PVC'!$A$285,VLOOKUP($A172,'DWV PVC'!$A$8:$M$284,5,FALSE),
IF($A172&lt;'DWV ABS'!$A$117,VLOOKUP($A172,'DWV ABS'!$A$8:$M$116,5,FALSE),
IF($A172&lt;'PVC SCH40'!$A$376,VLOOKUP($A172,'PVC SCH40'!$A$8:$M$375,5,FALSE),
IF($A172&lt;'PVC SCH40 LD'!$A$22,VLOOKUP($A172,'PVC SCH40 LD'!$A$8:$M$21,5,FALSE),
IF($A172&lt;'Pool &amp; SPA Sweep Elbows'!$A$12,VLOOKUP($A172,'Pool &amp; SPA Sweep Elbows'!$A$8:$M$11,5,FALSE),
IF($A172&lt;'Pool &amp; SPA Pipe Extender'!$A$11,VLOOKUP($A172,'Pool &amp; SPA Pipe Extender'!$A$8:$M$10,5,FALSE),
IF($A172&lt;'PVC SCH80'!$A$250,VLOOKUP($A172,'PVC SCH80'!$A$8:$M$249,5,FALSE),
IF($A172&lt;'PVC SCH80 Flange'!$A$49,VLOOKUP($A172,'PVC SCH80 Flange'!$A$8:$M$48,5,FALSE),
IF($A172&lt;'PVC SCH80 LD Flange'!$A$17,VLOOKUP($A172,'PVC SCH80 LD Flange'!$A$8:$M$16,5,FALSE),
IF($A172&lt;CPVC!$A$100,VLOOKUP($A172,CPVC!$A$8:$M$99,5,FALSE),
IF($A172&lt;InsertFittings!$A$237,VLOOKUP($A172,InsertFittings!$A$11:$M$236,5,FALSE),
IF($A172&lt;Valves!$A$132,VLOOKUP($A172,Valves!$A$8:$M$131,5,FALSE),
IF($A172&lt;SDR35SW!$A$124,VLOOKUP($A172,SDR35SW!$A$8:$M$123,5,FALSE),
IF($A172&lt;SDR35G!$A$143,VLOOKUP($A172, SDR35G!$A$8:$M$142,5,FALSE),
IF($A172&lt;SDR26G!$A$61,VLOOKUP($A172,SDR26G!$A$8:$N$60,5,FALSE),
IF($A172&lt;Cements!$A$100,VLOOKUP($A172,Cements!$A$8:$Q$99,5,FALSE),
IF($A172&lt;ValveBox!$A$143,VLOOKUP($A172,ValveBox!$A$10:$O$142,5,FALSE),
IF($A172&lt;'ValveBox Components'!$A$165,VLOOKUP($A172,'ValveBox Components'!$A$10:$O$164,5,FALSE),
IF($A172&lt;Drainage!$A$92,VLOOKUP($A172,Drainage!$A$8:$M$91,5,FALSE),
IF($A172&lt;Nipples!$A$82,VLOOKUP($A172,Nipples!$A$9:$Q$81,5,FALSE),
IF($A172&lt;Manifold!$A$33,VLOOKUP($A172,Manifold!$A$9:$M$32,5,FALSE),
IF($A172&lt;FlexibleRepairCouplings!$A$13,VLOOKUP($A172,FlexibleRepairCouplings!$A$10:$M$12,5,FALSE),
IF($A172&lt;DuraFix!$A$15,VLOOKUP($A172,DuraFix!$A$9:$M$14,5,FALSE),
IF($A172&lt;'Compression Fittings'!$A$16,VLOOKUP($A172,'Compression Fittings'!$A$8:$M$15,5,FALSE),
IF($A172&lt;'Hose Fittings'!$A$30,VLOOKUP($A172,'Hose Fittings'!$A$8:$M$29,5,FALSE),
IF($A172&lt;'Swing Joints'!$A$496,VLOOKUP($A172,'Swing Joints'!$A$9:$M$495,5,FALSE),
IF($A172&lt;'Swing Joints Components'!$A$135,VLOOKUP($A172,'Swing Joints Components'!$A$9:$M$134,5,FALSE),
IF($A172&lt;Nonstandard!$A$42,VLOOKUP($A172,Nonstandard!$A$31:$J$41,6,FALSE),"")))))))))))))))))))))))))))),"")</f>
        <v/>
      </c>
      <c r="D172" s="428" t="str">
        <f>IFERROR(IF($A172&lt;'DWV PVC'!$A$285,VLOOKUP($A172,'DWV PVC'!$A$8:$M$284,6,FALSE),
IF($A172&lt;'DWV ABS'!$A$117,VLOOKUP($A172,'DWV ABS'!$A$8:$M$116,6,FALSE),
IF($A172&lt;'PVC SCH40'!$A$376,VLOOKUP($A172,'PVC SCH40'!$A$8:$M$375,6,FALSE),
IF($A172&lt;'PVC SCH40 LD'!$A$22,VLOOKUP($A172,'PVC SCH40 LD'!$A$8:$M$21,6,FALSE),
IF($A172&lt;'Pool &amp; SPA Sweep Elbows'!$A$12,VLOOKUP($A172,'Pool &amp; SPA Sweep Elbows'!$A$8:$M$11,6,FALSE),
IF($A172&lt;'Pool &amp; SPA Pipe Extender'!$A$11,VLOOKUP($A172,'Pool &amp; SPA Pipe Extender'!$A$8:$M$10,6,FALSE),
IF($A172&lt;'PVC SCH80'!$A$250,VLOOKUP($A172,'PVC SCH80'!$A$8:$M$249,6,FALSE),
IF($A172&lt;'PVC SCH80 Flange'!$A$49,VLOOKUP($A172,'PVC SCH80 Flange'!$A$8:$M$48,6,FALSE),
IF($A172&lt;'PVC SCH80 LD Flange'!$A$17,VLOOKUP($A172,'PVC SCH80 LD Flange'!$A$8:$M$16,6,FALSE),
IF($A172&lt;CPVC!$A$100,VLOOKUP($A172,CPVC!$A$8:$M$99,6,FALSE),
IF($A172&lt;InsertFittings!$A$237,VLOOKUP($A172,InsertFittings!$A$11:$M$236,6,FALSE),
IF($A172&lt;Valves!$A$132,VLOOKUP($A172,Valves!$A$8:$M$131,6,FALSE),
IF($A172&lt;SDR35SW!$A$124,VLOOKUP($A172,SDR35SW!$A$8:$M$123,6,FALSE),
IF($A172&lt;SDR35G!$A$143,VLOOKUP($A172, SDR35G!$A$8:$M$142,6,FALSE),
IF($A172&lt;SDR26G!$A$61,VLOOKUP($A172,SDR26G!$A$8:$N$60,6,FALSE),
IF($A172&lt;Cements!$A$100,VLOOKUP($A172,Cements!$A$8:$Q$99,6,FALSE),
IF($A172&lt;ValveBox!$A$143,VLOOKUP($A172,ValveBox!$A$10:$O$142,6,FALSE),
IF($A172&lt;'ValveBox Components'!$A$165,VLOOKUP($A172,'ValveBox Components'!$A$10:$O$164,6,FALSE),
IF($A172&lt;Drainage!$A$92,VLOOKUP($A172,Drainage!$A$8:$M$91,6,FALSE),
IF($A172&lt;Nipples!$A$82,VLOOKUP($A172,Nipples!$A$9:$Q$81,6,FALSE),
IF($A172&lt;Manifold!$A$33,VLOOKUP($A172,Manifold!$A$9:$M$32,6,FALSE),
IF($A172&lt;FlexibleRepairCouplings!$A$13,VLOOKUP($A172,FlexibleRepairCouplings!$A$10:$M$12,6,FALSE),
IF($A172&lt;DuraFix!$A$15,VLOOKUP($A172,DuraFix!$A$9:$M$14,6,FALSE),
IF($A172&lt;'Compression Fittings'!$A$16,VLOOKUP($A172,'Compression Fittings'!$A$8:$M$15,6,FALSE),
IF($A172&lt;'Hose Fittings'!$A$30,VLOOKUP($A172,'Hose Fittings'!$A$8:$M$29,6,FALSE),
IF($A172&lt;'Swing Joints'!$A$496,VLOOKUP($A172,'Swing Joints'!$A$9:$M$495,6,FALSE),
IF($A172&lt;'Swing Joints Components'!$A$135,VLOOKUP($A172,'Swing Joints Components'!$A$9:$M$134,6,FALSE),
IF($A172&lt;Nonstandard!$A$42,VLOOKUP($A172,Nonstandard!$A$31:$J$41,7,FALSE),"")))))))))))))))))))))))))))),"")</f>
        <v/>
      </c>
      <c r="E172" s="429"/>
      <c r="F172" s="421" t="str">
        <f>IFERROR(IF($A172&lt;'DWV PVC'!$A$285,VLOOKUP($A172,'DWV PVC'!$A$8:$M$284,9,FALSE),
IF($A172&lt;'DWV ABS'!$A$117,VLOOKUP($A172,'DWV ABS'!$A$8:$M$116,9,FALSE),
IF($A172&lt;'PVC SCH40'!$A$376,VLOOKUP($A172,'PVC SCH40'!$A$8:$M$375,9,FALSE),
IF($A172&lt;'PVC SCH40 LD'!$A$22,VLOOKUP($A172,'PVC SCH40 LD'!$A$8:$M$21,9,FALSE),
IF($A172&lt;'Pool &amp; SPA Sweep Elbows'!$A$12,VLOOKUP($A172,'Pool &amp; SPA Sweep Elbows'!$A$8:$M$11,9,FALSE),
IF($A172&lt;'Pool &amp; SPA Pipe Extender'!$A$11,VLOOKUP($A172,'Pool &amp; SPA Pipe Extender'!$A$8:$M$10,9,FALSE),
IF($A172&lt;'PVC SCH80'!$A$250,VLOOKUP($A172,'PVC SCH80'!$A$8:$M$249,9,FALSE),
IF($A172&lt;'PVC SCH80 Flange'!$A$49,VLOOKUP($A172,'PVC SCH80 Flange'!$A$8:$M$48,9,FALSE),
IF($A172&lt;'PVC SCH80 LD Flange'!$A$17,VLOOKUP($A172,'PVC SCH80 LD Flange'!$A$8:$M$16,9,FALSE),
IF($A172&lt;CPVC!$A$100,VLOOKUP($A172,CPVC!$A$8:$M$99,9,FALSE),
IF($A172&lt;InsertFittings!$A$237,VLOOKUP($A172,InsertFittings!$A$11:$M$236,9,FALSE),
IF($A172&lt;Valves!$A$132,VLOOKUP($A172,Valves!$A$8:$M$131,9,FALSE),
IF($A172&lt;SDR35SW!$A$124,VLOOKUP($A172,SDR35SW!$A$8:$M$123,9,FALSE),
IF($A172&lt;SDR35G!$A$143,VLOOKUP($A172, SDR35G!$A$8:$M$142,9,FALSE),
IF($A172&lt;SDR26G!$A$61,VLOOKUP($A172,SDR26G!$A$8:$N$60,10,FALSE),
IF($A172&lt;Cements!$A$100,VLOOKUP($A172,Cements!$A$8:$Q$99,13,FALSE),
IF($A172&lt;ValveBox!$A$143,VLOOKUP($A172,ValveBox!$A$10:$O$142,11,FALSE),
IF($A172&lt;'ValveBox Components'!$A$165,VLOOKUP($A172,'ValveBox Components'!$A$10:$O$164,11,FALSE),
IF($A172&lt;Drainage!$A$92,VLOOKUP($A172,Drainage!$A$8:$M$91,9,FALSE),
IF($A172&lt;Nipples!$A$82,VLOOKUP($A172,Nipples!$A$9:$Q$81,13,FALSE),
IF($A172&lt;Manifold!$A$33,VLOOKUP($A172,Manifold!$A$9:$M$32,9,FALSE),
IF($A172&lt;FlexibleRepairCouplings!$A$13,VLOOKUP($A172,FlexibleRepairCouplings!$A$10:$M$12,9,FALSE),
IF($A172&lt;DuraFix!$A$15,VLOOKUP($A172,DuraFix!$A$9:$M$14,9,FALSE),
IF($A172&lt;'Compression Fittings'!$A$16,VLOOKUP($A172,'Compression Fittings'!$A$8:$M$15,9,FALSE),
IF($A172&lt;'Hose Fittings'!$A$30,VLOOKUP($A172,'Hose Fittings'!$A$8:$M$29,9,FALSE),
IF($A172&lt;'Swing Joints'!$A$496,VLOOKUP($A172,'Swing Joints'!$A$9:$M$495,9,FALSE),
IF($A172&lt;'Swing Joints Components'!$A$135,VLOOKUP($A172,'Swing Joints Components'!$A$9:$M$134,9,FALSE),
IF($A172&lt;Nonstandard!$A$42,VLOOKUP($A172,Nonstandard!$A$31:$J$41,8,FALSE),"")))))))))))))))))))))))))))),"")</f>
        <v/>
      </c>
      <c r="G172" s="422" t="str">
        <f>IFERROR(IF($A172&lt;'DWV PVC'!$A$285,VLOOKUP($A172,'DWV PVC'!$A$8:$M$284,11,FALSE),
IF($A172&lt;'DWV ABS'!$A$117,VLOOKUP($A172,'DWV ABS'!$A$8:$M$116,11,FALSE),
IF($A172&lt;'PVC SCH40'!$A$376,VLOOKUP($A172,'PVC SCH40'!$A$8:$M$375,11,FALSE),
IF($A172&lt;'PVC SCH40 LD'!$A$22,VLOOKUP($A172,'PVC SCH40 LD'!$A$8:$M$21,11,FALSE),
IF($A172&lt;'Pool &amp; SPA Sweep Elbows'!$A$12,VLOOKUP($A172,'Pool &amp; SPA Sweep Elbows'!$A$8:$M$11,11,FALSE),
IF($A172&lt;'Pool &amp; SPA Pipe Extender'!$A$11,VLOOKUP($A172,'Pool &amp; SPA Pipe Extender'!$A$8:$M$10,11,FALSE),
IF($A172&lt;'PVC SCH80'!$A$250,VLOOKUP($A172,'PVC SCH80'!$A$8:$M$249,11,FALSE),
IF($A172&lt;'PVC SCH80 Flange'!$A$49,VLOOKUP($A172,'PVC SCH80 Flange'!$A$8:$M$48,11,FALSE),
IF($A172&lt;'PVC SCH80 LD Flange'!$A$17,VLOOKUP($A172,'PVC SCH80 LD Flange'!$A$8:$M$16,11,FALSE),
IF($A172&lt;CPVC!$A$100,VLOOKUP($A172,CPVC!$A$8:$M$99,11,FALSE),
IF($A172&lt;InsertFittings!$A$237,VLOOKUP($A172,InsertFittings!$A$11:$M$236,11,FALSE),
IF($A172&lt;Valves!$A$132,VLOOKUP($A172,Valves!$A$8:$M$131,11,FALSE),
IF($A172&lt;SDR35SW!$A$124,VLOOKUP($A172,SDR35SW!$A$8:$M$123,11,FALSE),
IF($A172&lt;SDR35G!$A$143,VLOOKUP($A172, SDR35G!$A$8:$M$142,11,FALSE),
IF($A172&lt;SDR26G!$A$61,VLOOKUP($A172,SDR26G!$A$8:$N$60,12,FALSE),
IF($A172&lt;Cements!$A$100,VLOOKUP($A172,Cements!$A$8:$Q$99,15,FALSE),
IF($A172&lt;ValveBox!$A$143,VLOOKUP($A172,ValveBox!$A$10:$O$142,13,FALSE),
IF($A172&lt;'ValveBox Components'!$A$165,VLOOKUP($A172,'ValveBox Components'!$A$10:$O$164,13,FALSE),
IF($A172&lt;Drainage!$A$92,VLOOKUP($A172,Drainage!$A$8:$M$91,11,FALSE),
IF($A172&lt;Nipples!$A$82,VLOOKUP($A172,Nipples!$A$9:$Q$81,15,FALSE),
IF($A172&lt;Manifold!$A$33,VLOOKUP($A172,Manifold!$A$9:$M$32,11,FALSE),
IF($A172&lt;FlexibleRepairCouplings!$A$13,VLOOKUP($A172,FlexibleRepairCouplings!$A$10:$M$12,11,FALSE),
IF($A172&lt;DuraFix!$A$15,VLOOKUP($A172,DuraFix!$A$9:$M$14,11,FALSE),
IF($A172&lt;'Compression Fittings'!$A$16,VLOOKUP($A172,'Compression Fittings'!$A$8:$M$15,11,FALSE),
IF($A172&lt;'Hose Fittings'!$A$30,VLOOKUP($A172,'Hose Fittings'!$A$8:$M$29,11,FALSE),
IF($A172&lt;'Swing Joints'!$A$496,VLOOKUP($A172,'Swing Joints'!$A$9:$M$495,11,FALSE),
IF($A172&lt;'Swing Joints Components'!$A$135,VLOOKUP($A172,'Swing Joints Components'!$A$9:$M$134,11,FALSE),
IF($A172&lt;Nonstandard!$A$42,VLOOKUP($A172,Nonstandard!$A$31:$J$41,3,FALSE),"")))))))))))))))))))))))))))),"")</f>
        <v/>
      </c>
      <c r="H172" s="588" t="str">
        <f>IFERROR(IF($A172&lt;'DWV PVC'!$A$285,VLOOKUP($A172,'DWV PVC'!$A$8:$M$284,7,FALSE),
IF($A172&lt;'DWV ABS'!$A$117,VLOOKUP($A172,'DWV ABS'!$A$8:$M$116,7,FALSE),
IF($A172&lt;'PVC SCH40'!$A$376,VLOOKUP($A172,'PVC SCH40'!$A$8:$M$375,7,FALSE),
IF($A172&lt;'PVC SCH40 LD'!$A$22,VLOOKUP($A172,'PVC SCH40 LD'!$A$8:$M$21,7,FALSE),
IF($A172&lt;'Pool &amp; SPA Sweep Elbows'!$A$12,VLOOKUP($A172,'Pool &amp; SPA Sweep Elbows'!$A$8:$M$11,7,FALSE),
IF($A172&lt;'Pool &amp; SPA Pipe Extender'!$A$11,VLOOKUP($A172,'Pool &amp; SPA Pipe Extender'!$A$8:$M$10,7,FALSE),
IF($A172&lt;'PVC SCH80'!$A$250,VLOOKUP($A172,'PVC SCH80'!$A$8:$M$249,7,FALSE),
IF($A172&lt;'PVC SCH80 Flange'!$A$49,VLOOKUP($A172,'PVC SCH80 Flange'!$A$8:$M$48,7,FALSE),
IF($A172&lt;'PVC SCH80 LD Flange'!$A$17,VLOOKUP($A172,'PVC SCH80 LD Flange'!$A$8:$M$16,7,FALSE),
IF($A172&lt;CPVC!$A$100,VLOOKUP($A172,CPVC!$A$8:$M$99,7,FALSE),
IF($A172&lt;InsertFittings!$A$237,VLOOKUP($A172,InsertFittings!$A$11:$M$236,7,FALSE),
IF($A172&lt;Valves!$A$132,VLOOKUP($A172,Valves!$A$8:$M$131,7,FALSE),
IF($A172&lt;SDR35SW!$A$124,VLOOKUP($A172,SDR35SW!$A$8:$M$123,7,FALSE),
IF($A172&lt;SDR35G!$A$143,VLOOKUP($A172, SDR35G!$A$8:$M$142,7,FALSE),
IF($A172&lt;SDR26G!$A$61,VLOOKUP($A172,SDR26G!$A$8:$N$60,10,FALSE),
IF($A172&lt;Cements!$A$100,VLOOKUP($A172,Cements!$A$8:$Q$99,13,FALSE),
IF($A172&lt;ValveBox!$A$143,VLOOKUP($A172,ValveBox!$A$10:$O$142,11,FALSE),
IF($A172&lt;'ValveBox Components'!$A$165,VLOOKUP($A172,'ValveBox Components'!$A$10:$O$164,11,FALSE),
IF($A172&lt;Drainage!$A$92,VLOOKUP($A172,Drainage!$A$8:$M$91,7,FALSE),
IF($A172&lt;Nipples!$A$82,VLOOKUP($A172,Nipples!$A$9:$Q$81,13,FALSE),
IF($A172&lt;Manifold!$A$33,VLOOKUP($A172,Manifold!$A$9:$M$32,7,FALSE),
IF($A172&lt;FlexibleRepairCouplings!$A$13,VLOOKUP($A172,FlexibleRepairCouplings!$A$10:$M$12,7,FALSE),
IF($A172&lt;DuraFix!$A$15,VLOOKUP($A172,DuraFix!$A$9:$M$14,7,FALSE),
IF($A172&lt;'Compression Fittings'!$A$16,VLOOKUP($A172,'Compression Fittings'!$A$8:$M$15,7,FALSE),
IF($A172&lt;'Hose Fittings'!$A$30,VLOOKUP($A172,'Hose Fittings'!$A$8:$M$29,7,FALSE),
IF($A172&lt;'Swing Joints'!$A$496,VLOOKUP($A172,'Swing Joints'!$A$9:$M$495,7,FALSE),
IF($A172&lt;'Swing Joints Components'!$A$135,VLOOKUP($A172,'Swing Joints Components'!$A$9:$M$134,7,FALSE),
IF($A172&lt;Nonstandard!$A$42,VLOOKUP($A172,Nonstandard!$A$31:$J$41,3,FALSE),"")))))))))))))))))))))))))))),"")</f>
        <v/>
      </c>
      <c r="I172" s="589"/>
      <c r="J172" s="423" t="str">
        <f t="shared" si="5"/>
        <v/>
      </c>
      <c r="K172" s="424" t="str">
        <f>IFERROR(IF($A172&lt;'DWV PVC'!$A$285,VLOOKUP($A172,'DWV PVC'!$A$8:$M$284,10,FALSE),
IF($A172&lt;'DWV ABS'!$A$117,VLOOKUP($A172,'DWV ABS'!$A$8:$M$116,10,FALSE),
IF($A172&lt;'PVC SCH40'!$A$376,VLOOKUP($A172,'PVC SCH40'!$A$8:$M$375,10,FALSE),
IF($A172&lt;'PVC SCH40 LD'!$A$22,VLOOKUP($A172,'PVC SCH40 LD'!$A$8:$M$21,10,FALSE),
IF($A172&lt;'Pool &amp; SPA Sweep Elbows'!$A$12,VLOOKUP($A172,'Pool &amp; SPA Sweep Elbows'!$A$8:$M$11,10,FALSE),
IF($A172&lt;'Pool &amp; SPA Pipe Extender'!$A$11,VLOOKUP($A172,'Pool &amp; SPA Pipe Extender'!$A$8:$M$10,10,FALSE),
IF($A172&lt;'PVC SCH80'!$A$250,VLOOKUP($A172,'PVC SCH80'!$A$8:$M$249,10,FALSE),
IF($A172&lt;'PVC SCH80 Flange'!$A$49,VLOOKUP($A172,'PVC SCH80 Flange'!$A$8:$M$48,10,FALSE),
IF($A172&lt;'PVC SCH80 LD Flange'!$A$17,VLOOKUP($A172,'PVC SCH80 LD Flange'!$A$8:$M$16,10,FALSE),
IF($A172&lt;CPVC!$A$100,VLOOKUP($A172,CPVC!$A$8:$M$99,10,FALSE),
IF($A172&lt;InsertFittings!$A$237,VLOOKUP($A172,InsertFittings!$A$11:$M$236,10,FALSE),
IF($A172&lt;Valves!$A$132,VLOOKUP($A172,Valves!$A$8:$M$131,10,FALSE),
IF($A172&lt;SDR35SW!$A$124,VLOOKUP($A172,SDR35SW!$A$8:$M$123,10,FALSE),
IF($A172&lt;SDR35G!$A$143,VLOOKUP($A172, SDR35G!$A$8:$M$142,10,FALSE),
IF($A172&lt;SDR26G!$A$61,VLOOKUP($A172,SDR26G!$A$8:$N$60,11,FALSE),
IF($A172&lt;Cements!$A$100,VLOOKUP($A172,Cements!$A$8:$Q$99,14,FALSE),
IF($A172&lt;ValveBox!$A$143,VLOOKUP($A172,ValveBox!$A$10:$O$142,12,FALSE),
IF($A172&lt;'ValveBox Components'!$A$165,VLOOKUP($A172,'ValveBox Components'!$A$10:$O$164,12,FALSE),
IF($A172&lt;Drainage!$A$92,VLOOKUP($A172,Drainage!$A$8:$M$91,10,FALSE),
IF($A172&lt;Nipples!$A$82,VLOOKUP($A172,Nipples!$A$9:$Q$81,14,FALSE),
IF($A172&lt;Manifold!$A$33,VLOOKUP($A172,Manifold!$A$9:$M$32,10,FALSE),
IF($A172&lt;FlexibleRepairCouplings!$A$13,VLOOKUP($A172,FlexibleRepairCouplings!$A$10:$M$12,10,FALSE),
IF($A172&lt;DuraFix!$A$15,VLOOKUP($A172,DuraFix!$A$9:$M$14,10,FALSE),
IF($A172&lt;'Compression Fittings'!$A$16,VLOOKUP($A172,'Compression Fittings'!$A$8:$M$15,10,FALSE),
IF($A172&lt;'Hose Fittings'!$A$30,VLOOKUP($A172,'Hose Fittings'!$A$8:$M$29,10,FALSE),
IF($A172&lt;'Swing Joints'!$A$496,VLOOKUP($A172,'Swing Joints'!$A$9:$M$495,10,FALSE),
IF($A172&lt;'Swing Joints Components'!$A$135,VLOOKUP($A172,'Swing Joints Components'!$A$9:$M$134,10,FALSE),
IF($A172&lt;Nonstandard!$A$42,VLOOKUP($A172,Nonstandard!$A$31:$J$41,10,FALSE),"")))))))))))))))))))))))))))),"")</f>
        <v/>
      </c>
      <c r="L172" s="421" t="str">
        <f t="shared" si="4"/>
        <v>-</v>
      </c>
      <c r="M172" s="425"/>
    </row>
    <row r="173" spans="1:13" ht="15.75">
      <c r="A173" s="415">
        <v>141</v>
      </c>
      <c r="B173" s="415" t="str">
        <f>IFERROR(IF($A173&lt;'DWV PVC'!$A$285,VLOOKUP($A173,'DWV PVC'!$A$8:$M$284,4,FALSE),
IF($A173&lt;'DWV ABS'!$A$117,VLOOKUP($A173,'DWV ABS'!$A$8:$M$116,4,FALSE),
IF($A173&lt;'PVC SCH40'!$A$376,VLOOKUP($A173,'PVC SCH40'!$A$8:$M$375,4,FALSE),
IF($A173&lt;'PVC SCH40 LD'!$A$22,VLOOKUP($A173,'PVC SCH40 LD'!$A$8:$M$21,4,FALSE),
IF($A173&lt;'Pool &amp; SPA Sweep Elbows'!$A$12,VLOOKUP($A173,'Pool &amp; SPA Sweep Elbows'!$A$8:$M$11,4,FALSE),
IF($A173&lt;'Pool &amp; SPA Pipe Extender'!$A$11,VLOOKUP($A173,'Pool &amp; SPA Pipe Extender'!$A$8:$M$10,4,FALSE),
IF($A173&lt;'PVC SCH80'!$A$250,VLOOKUP($A173,'PVC SCH80'!$A$8:$M$249,4,FALSE),
IF($A173&lt;'PVC SCH80 Flange'!$A$49,VLOOKUP($A173,'PVC SCH80 Flange'!$A$8:$M$48,4,FALSE),
IF($A173&lt;'PVC SCH80 LD Flange'!$A$17,VLOOKUP($A173,'PVC SCH80 LD Flange'!$A$8:$M$16,4,FALSE),
IF($A173&lt;CPVC!$A$100,VLOOKUP($A173,CPVC!$A$8:$M$99,4,FALSE),
IF($A173&lt;InsertFittings!$A$237,VLOOKUP($A173,InsertFittings!$A$11:$M$236,4,FALSE),
IF($A173&lt;Valves!$A$132,VLOOKUP($A173,Valves!$A$8:$M$131,4,FALSE),
IF($A173&lt;SDR35SW!$A$124,VLOOKUP($A173,SDR35SW!$A$8:$M$123,4,FALSE),
IF($A173&lt;SDR35G!$A$143,VLOOKUP($A173, SDR35G!$A$8:$M$142,4,FALSE),
IF($A173&lt;SDR26G!$A$61,VLOOKUP($A173,SDR26G!$A$8:$N$60,4,FALSE),
IF($A173&lt;Cements!$A$100,VLOOKUP($A173,Cements!$A$8:$Q$99,4,FALSE),
IF($A173&lt;ValveBox!$A$143,VLOOKUP($A173,ValveBox!$A$10:$O$142,4,FALSE),
IF($A173&lt;'ValveBox Components'!$A$165,VLOOKUP($A173,'ValveBox Components'!$A$10:$O$164,4,FALSE),
IF($A173&lt;Drainage!$A$92,VLOOKUP($A173,Drainage!$A$8:$M$91,4,FALSE),
IF($A173&lt;Nipples!$A$82,VLOOKUP($A173,Nipples!$A$9:$Q$81,4,FALSE),
IF($A173&lt;Manifold!$A$33,VLOOKUP($A173,Manifold!$A$9:$M$32,4,FALSE),
IF($A173&lt;FlexibleRepairCouplings!$A$13,VLOOKUP($A173,FlexibleRepairCouplings!$A$10:$M$12,4,FALSE),
IF($A173&lt;DuraFix!$A$15,VLOOKUP($A173,DuraFix!$A$9:$M$14,4,FALSE),
IF($A173&lt;'Compression Fittings'!$A$16,VLOOKUP($A173,'Compression Fittings'!$A$8:$M$15,4,FALSE),
IF($A173&lt;'Hose Fittings'!$A$30,VLOOKUP($A173,'Hose Fittings'!$A$8:$M$29,4,FALSE),
IF($A173&lt;'Swing Joints'!$A$496,VLOOKUP($A173,'Swing Joints'!$A$9:$M$495,4,FALSE),
IF($A173&lt;'Swing Joints Components'!$A$135,VLOOKUP($A173,'Swing Joints Components'!$A$9:$M$134,4,FALSE),
IF($A173&lt;Nonstandard!$A$42,VLOOKUP($A173,Nonstandard!$A$31:$J$41,5,FALSE),"")))))))))))))))))))))))))))),"")</f>
        <v/>
      </c>
      <c r="C173" s="415" t="str">
        <f>IFERROR(IF($A173&lt;'DWV PVC'!$A$285,VLOOKUP($A173,'DWV PVC'!$A$8:$M$284,5,FALSE),
IF($A173&lt;'DWV ABS'!$A$117,VLOOKUP($A173,'DWV ABS'!$A$8:$M$116,5,FALSE),
IF($A173&lt;'PVC SCH40'!$A$376,VLOOKUP($A173,'PVC SCH40'!$A$8:$M$375,5,FALSE),
IF($A173&lt;'PVC SCH40 LD'!$A$22,VLOOKUP($A173,'PVC SCH40 LD'!$A$8:$M$21,5,FALSE),
IF($A173&lt;'Pool &amp; SPA Sweep Elbows'!$A$12,VLOOKUP($A173,'Pool &amp; SPA Sweep Elbows'!$A$8:$M$11,5,FALSE),
IF($A173&lt;'Pool &amp; SPA Pipe Extender'!$A$11,VLOOKUP($A173,'Pool &amp; SPA Pipe Extender'!$A$8:$M$10,5,FALSE),
IF($A173&lt;'PVC SCH80'!$A$250,VLOOKUP($A173,'PVC SCH80'!$A$8:$M$249,5,FALSE),
IF($A173&lt;'PVC SCH80 Flange'!$A$49,VLOOKUP($A173,'PVC SCH80 Flange'!$A$8:$M$48,5,FALSE),
IF($A173&lt;'PVC SCH80 LD Flange'!$A$17,VLOOKUP($A173,'PVC SCH80 LD Flange'!$A$8:$M$16,5,FALSE),
IF($A173&lt;CPVC!$A$100,VLOOKUP($A173,CPVC!$A$8:$M$99,5,FALSE),
IF($A173&lt;InsertFittings!$A$237,VLOOKUP($A173,InsertFittings!$A$11:$M$236,5,FALSE),
IF($A173&lt;Valves!$A$132,VLOOKUP($A173,Valves!$A$8:$M$131,5,FALSE),
IF($A173&lt;SDR35SW!$A$124,VLOOKUP($A173,SDR35SW!$A$8:$M$123,5,FALSE),
IF($A173&lt;SDR35G!$A$143,VLOOKUP($A173, SDR35G!$A$8:$M$142,5,FALSE),
IF($A173&lt;SDR26G!$A$61,VLOOKUP($A173,SDR26G!$A$8:$N$60,5,FALSE),
IF($A173&lt;Cements!$A$100,VLOOKUP($A173,Cements!$A$8:$Q$99,5,FALSE),
IF($A173&lt;ValveBox!$A$143,VLOOKUP($A173,ValveBox!$A$10:$O$142,5,FALSE),
IF($A173&lt;'ValveBox Components'!$A$165,VLOOKUP($A173,'ValveBox Components'!$A$10:$O$164,5,FALSE),
IF($A173&lt;Drainage!$A$92,VLOOKUP($A173,Drainage!$A$8:$M$91,5,FALSE),
IF($A173&lt;Nipples!$A$82,VLOOKUP($A173,Nipples!$A$9:$Q$81,5,FALSE),
IF($A173&lt;Manifold!$A$33,VLOOKUP($A173,Manifold!$A$9:$M$32,5,FALSE),
IF($A173&lt;FlexibleRepairCouplings!$A$13,VLOOKUP($A173,FlexibleRepairCouplings!$A$10:$M$12,5,FALSE),
IF($A173&lt;DuraFix!$A$15,VLOOKUP($A173,DuraFix!$A$9:$M$14,5,FALSE),
IF($A173&lt;'Compression Fittings'!$A$16,VLOOKUP($A173,'Compression Fittings'!$A$8:$M$15,5,FALSE),
IF($A173&lt;'Hose Fittings'!$A$30,VLOOKUP($A173,'Hose Fittings'!$A$8:$M$29,5,FALSE),
IF($A173&lt;'Swing Joints'!$A$496,VLOOKUP($A173,'Swing Joints'!$A$9:$M$495,5,FALSE),
IF($A173&lt;'Swing Joints Components'!$A$135,VLOOKUP($A173,'Swing Joints Components'!$A$9:$M$134,5,FALSE),
IF($A173&lt;Nonstandard!$A$42,VLOOKUP($A173,Nonstandard!$A$31:$J$41,6,FALSE),"")))))))))))))))))))))))))))),"")</f>
        <v/>
      </c>
      <c r="D173" s="426" t="str">
        <f>IFERROR(IF($A173&lt;'DWV PVC'!$A$285,VLOOKUP($A173,'DWV PVC'!$A$8:$M$284,6,FALSE),
IF($A173&lt;'DWV ABS'!$A$117,VLOOKUP($A173,'DWV ABS'!$A$8:$M$116,6,FALSE),
IF($A173&lt;'PVC SCH40'!$A$376,VLOOKUP($A173,'PVC SCH40'!$A$8:$M$375,6,FALSE),
IF($A173&lt;'PVC SCH40 LD'!$A$22,VLOOKUP($A173,'PVC SCH40 LD'!$A$8:$M$21,6,FALSE),
IF($A173&lt;'Pool &amp; SPA Sweep Elbows'!$A$12,VLOOKUP($A173,'Pool &amp; SPA Sweep Elbows'!$A$8:$M$11,6,FALSE),
IF($A173&lt;'Pool &amp; SPA Pipe Extender'!$A$11,VLOOKUP($A173,'Pool &amp; SPA Pipe Extender'!$A$8:$M$10,6,FALSE),
IF($A173&lt;'PVC SCH80'!$A$250,VLOOKUP($A173,'PVC SCH80'!$A$8:$M$249,6,FALSE),
IF($A173&lt;'PVC SCH80 Flange'!$A$49,VLOOKUP($A173,'PVC SCH80 Flange'!$A$8:$M$48,6,FALSE),
IF($A173&lt;'PVC SCH80 LD Flange'!$A$17,VLOOKUP($A173,'PVC SCH80 LD Flange'!$A$8:$M$16,6,FALSE),
IF($A173&lt;CPVC!$A$100,VLOOKUP($A173,CPVC!$A$8:$M$99,6,FALSE),
IF($A173&lt;InsertFittings!$A$237,VLOOKUP($A173,InsertFittings!$A$11:$M$236,6,FALSE),
IF($A173&lt;Valves!$A$132,VLOOKUP($A173,Valves!$A$8:$M$131,6,FALSE),
IF($A173&lt;SDR35SW!$A$124,VLOOKUP($A173,SDR35SW!$A$8:$M$123,6,FALSE),
IF($A173&lt;SDR35G!$A$143,VLOOKUP($A173, SDR35G!$A$8:$M$142,6,FALSE),
IF($A173&lt;SDR26G!$A$61,VLOOKUP($A173,SDR26G!$A$8:$N$60,6,FALSE),
IF($A173&lt;Cements!$A$100,VLOOKUP($A173,Cements!$A$8:$Q$99,6,FALSE),
IF($A173&lt;ValveBox!$A$143,VLOOKUP($A173,ValveBox!$A$10:$O$142,6,FALSE),
IF($A173&lt;'ValveBox Components'!$A$165,VLOOKUP($A173,'ValveBox Components'!$A$10:$O$164,6,FALSE),
IF($A173&lt;Drainage!$A$92,VLOOKUP($A173,Drainage!$A$8:$M$91,6,FALSE),
IF($A173&lt;Nipples!$A$82,VLOOKUP($A173,Nipples!$A$9:$Q$81,6,FALSE),
IF($A173&lt;Manifold!$A$33,VLOOKUP($A173,Manifold!$A$9:$M$32,6,FALSE),
IF($A173&lt;FlexibleRepairCouplings!$A$13,VLOOKUP($A173,FlexibleRepairCouplings!$A$10:$M$12,6,FALSE),
IF($A173&lt;DuraFix!$A$15,VLOOKUP($A173,DuraFix!$A$9:$M$14,6,FALSE),
IF($A173&lt;'Compression Fittings'!$A$16,VLOOKUP($A173,'Compression Fittings'!$A$8:$M$15,6,FALSE),
IF($A173&lt;'Hose Fittings'!$A$30,VLOOKUP($A173,'Hose Fittings'!$A$8:$M$29,6,FALSE),
IF($A173&lt;'Swing Joints'!$A$496,VLOOKUP($A173,'Swing Joints'!$A$9:$M$495,6,FALSE),
IF($A173&lt;'Swing Joints Components'!$A$135,VLOOKUP($A173,'Swing Joints Components'!$A$9:$M$134,6,FALSE),
IF($A173&lt;Nonstandard!$A$42,VLOOKUP($A173,Nonstandard!$A$31:$J$41,7,FALSE),"")))))))))))))))))))))))))))),"")</f>
        <v/>
      </c>
      <c r="E173" s="427"/>
      <c r="F173" s="418" t="str">
        <f>IFERROR(IF($A173&lt;'DWV PVC'!$A$285,VLOOKUP($A173,'DWV PVC'!$A$8:$M$284,9,FALSE),
IF($A173&lt;'DWV ABS'!$A$117,VLOOKUP($A173,'DWV ABS'!$A$8:$M$116,9,FALSE),
IF($A173&lt;'PVC SCH40'!$A$376,VLOOKUP($A173,'PVC SCH40'!$A$8:$M$375,9,FALSE),
IF($A173&lt;'PVC SCH40 LD'!$A$22,VLOOKUP($A173,'PVC SCH40 LD'!$A$8:$M$21,9,FALSE),
IF($A173&lt;'Pool &amp; SPA Sweep Elbows'!$A$12,VLOOKUP($A173,'Pool &amp; SPA Sweep Elbows'!$A$8:$M$11,9,FALSE),
IF($A173&lt;'Pool &amp; SPA Pipe Extender'!$A$11,VLOOKUP($A173,'Pool &amp; SPA Pipe Extender'!$A$8:$M$10,9,FALSE),
IF($A173&lt;'PVC SCH80'!$A$250,VLOOKUP($A173,'PVC SCH80'!$A$8:$M$249,9,FALSE),
IF($A173&lt;'PVC SCH80 Flange'!$A$49,VLOOKUP($A173,'PVC SCH80 Flange'!$A$8:$M$48,9,FALSE),
IF($A173&lt;'PVC SCH80 LD Flange'!$A$17,VLOOKUP($A173,'PVC SCH80 LD Flange'!$A$8:$M$16,9,FALSE),
IF($A173&lt;CPVC!$A$100,VLOOKUP($A173,CPVC!$A$8:$M$99,9,FALSE),
IF($A173&lt;InsertFittings!$A$237,VLOOKUP($A173,InsertFittings!$A$11:$M$236,9,FALSE),
IF($A173&lt;Valves!$A$132,VLOOKUP($A173,Valves!$A$8:$M$131,9,FALSE),
IF($A173&lt;SDR35SW!$A$124,VLOOKUP($A173,SDR35SW!$A$8:$M$123,9,FALSE),
IF($A173&lt;SDR35G!$A$143,VLOOKUP($A173, SDR35G!$A$8:$M$142,9,FALSE),
IF($A173&lt;SDR26G!$A$61,VLOOKUP($A173,SDR26G!$A$8:$N$60,10,FALSE),
IF($A173&lt;Cements!$A$100,VLOOKUP($A173,Cements!$A$8:$Q$99,13,FALSE),
IF($A173&lt;ValveBox!$A$143,VLOOKUP($A173,ValveBox!$A$10:$O$142,11,FALSE),
IF($A173&lt;'ValveBox Components'!$A$165,VLOOKUP($A173,'ValveBox Components'!$A$10:$O$164,11,FALSE),
IF($A173&lt;Drainage!$A$92,VLOOKUP($A173,Drainage!$A$8:$M$91,9,FALSE),
IF($A173&lt;Nipples!$A$82,VLOOKUP($A173,Nipples!$A$9:$Q$81,13,FALSE),
IF($A173&lt;Manifold!$A$33,VLOOKUP($A173,Manifold!$A$9:$M$32,9,FALSE),
IF($A173&lt;FlexibleRepairCouplings!$A$13,VLOOKUP($A173,FlexibleRepairCouplings!$A$10:$M$12,9,FALSE),
IF($A173&lt;DuraFix!$A$15,VLOOKUP($A173,DuraFix!$A$9:$M$14,9,FALSE),
IF($A173&lt;'Compression Fittings'!$A$16,VLOOKUP($A173,'Compression Fittings'!$A$8:$M$15,9,FALSE),
IF($A173&lt;'Hose Fittings'!$A$30,VLOOKUP($A173,'Hose Fittings'!$A$8:$M$29,9,FALSE),
IF($A173&lt;'Swing Joints'!$A$496,VLOOKUP($A173,'Swing Joints'!$A$9:$M$495,9,FALSE),
IF($A173&lt;'Swing Joints Components'!$A$135,VLOOKUP($A173,'Swing Joints Components'!$A$9:$M$134,9,FALSE),
IF($A173&lt;Nonstandard!$A$42,VLOOKUP($A173,Nonstandard!$A$31:$J$41,8,FALSE),"")))))))))))))))))))))))))))),"")</f>
        <v/>
      </c>
      <c r="G173" s="416" t="str">
        <f>IFERROR(IF($A173&lt;'DWV PVC'!$A$285,VLOOKUP($A173,'DWV PVC'!$A$8:$M$284,11,FALSE),
IF($A173&lt;'DWV ABS'!$A$117,VLOOKUP($A173,'DWV ABS'!$A$8:$M$116,11,FALSE),
IF($A173&lt;'PVC SCH40'!$A$376,VLOOKUP($A173,'PVC SCH40'!$A$8:$M$375,11,FALSE),
IF($A173&lt;'PVC SCH40 LD'!$A$22,VLOOKUP($A173,'PVC SCH40 LD'!$A$8:$M$21,11,FALSE),
IF($A173&lt;'Pool &amp; SPA Sweep Elbows'!$A$12,VLOOKUP($A173,'Pool &amp; SPA Sweep Elbows'!$A$8:$M$11,11,FALSE),
IF($A173&lt;'Pool &amp; SPA Pipe Extender'!$A$11,VLOOKUP($A173,'Pool &amp; SPA Pipe Extender'!$A$8:$M$10,11,FALSE),
IF($A173&lt;'PVC SCH80'!$A$250,VLOOKUP($A173,'PVC SCH80'!$A$8:$M$249,11,FALSE),
IF($A173&lt;'PVC SCH80 Flange'!$A$49,VLOOKUP($A173,'PVC SCH80 Flange'!$A$8:$M$48,11,FALSE),
IF($A173&lt;'PVC SCH80 LD Flange'!$A$17,VLOOKUP($A173,'PVC SCH80 LD Flange'!$A$8:$M$16,11,FALSE),
IF($A173&lt;CPVC!$A$100,VLOOKUP($A173,CPVC!$A$8:$M$99,11,FALSE),
IF($A173&lt;InsertFittings!$A$237,VLOOKUP($A173,InsertFittings!$A$11:$M$236,11,FALSE),
IF($A173&lt;Valves!$A$132,VLOOKUP($A173,Valves!$A$8:$M$131,11,FALSE),
IF($A173&lt;SDR35SW!$A$124,VLOOKUP($A173,SDR35SW!$A$8:$M$123,11,FALSE),
IF($A173&lt;SDR35G!$A$143,VLOOKUP($A173, SDR35G!$A$8:$M$142,11,FALSE),
IF($A173&lt;SDR26G!$A$61,VLOOKUP($A173,SDR26G!$A$8:$N$60,12,FALSE),
IF($A173&lt;Cements!$A$100,VLOOKUP($A173,Cements!$A$8:$Q$99,15,FALSE),
IF($A173&lt;ValveBox!$A$143,VLOOKUP($A173,ValveBox!$A$10:$O$142,13,FALSE),
IF($A173&lt;'ValveBox Components'!$A$165,VLOOKUP($A173,'ValveBox Components'!$A$10:$O$164,13,FALSE),
IF($A173&lt;Drainage!$A$92,VLOOKUP($A173,Drainage!$A$8:$M$91,11,FALSE),
IF($A173&lt;Nipples!$A$82,VLOOKUP($A173,Nipples!$A$9:$Q$81,15,FALSE),
IF($A173&lt;Manifold!$A$33,VLOOKUP($A173,Manifold!$A$9:$M$32,11,FALSE),
IF($A173&lt;FlexibleRepairCouplings!$A$13,VLOOKUP($A173,FlexibleRepairCouplings!$A$10:$M$12,11,FALSE),
IF($A173&lt;DuraFix!$A$15,VLOOKUP($A173,DuraFix!$A$9:$M$14,11,FALSE),
IF($A173&lt;'Compression Fittings'!$A$16,VLOOKUP($A173,'Compression Fittings'!$A$8:$M$15,11,FALSE),
IF($A173&lt;'Hose Fittings'!$A$30,VLOOKUP($A173,'Hose Fittings'!$A$8:$M$29,11,FALSE),
IF($A173&lt;'Swing Joints'!$A$496,VLOOKUP($A173,'Swing Joints'!$A$9:$M$495,11,FALSE),
IF($A173&lt;'Swing Joints Components'!$A$135,VLOOKUP($A173,'Swing Joints Components'!$A$9:$M$134,11,FALSE),
IF($A173&lt;Nonstandard!$A$42,VLOOKUP($A173,Nonstandard!$A$31:$J$41,3,FALSE),"")))))))))))))))))))))))))))),"")</f>
        <v/>
      </c>
      <c r="H173" s="586" t="str">
        <f>IFERROR(IF($A173&lt;'DWV PVC'!$A$285,VLOOKUP($A173,'DWV PVC'!$A$8:$M$284,7,FALSE),
IF($A173&lt;'DWV ABS'!$A$117,VLOOKUP($A173,'DWV ABS'!$A$8:$M$116,7,FALSE),
IF($A173&lt;'PVC SCH40'!$A$376,VLOOKUP($A173,'PVC SCH40'!$A$8:$M$375,7,FALSE),
IF($A173&lt;'PVC SCH40 LD'!$A$22,VLOOKUP($A173,'PVC SCH40 LD'!$A$8:$M$21,7,FALSE),
IF($A173&lt;'Pool &amp; SPA Sweep Elbows'!$A$12,VLOOKUP($A173,'Pool &amp; SPA Sweep Elbows'!$A$8:$M$11,7,FALSE),
IF($A173&lt;'Pool &amp; SPA Pipe Extender'!$A$11,VLOOKUP($A173,'Pool &amp; SPA Pipe Extender'!$A$8:$M$10,7,FALSE),
IF($A173&lt;'PVC SCH80'!$A$250,VLOOKUP($A173,'PVC SCH80'!$A$8:$M$249,7,FALSE),
IF($A173&lt;'PVC SCH80 Flange'!$A$49,VLOOKUP($A173,'PVC SCH80 Flange'!$A$8:$M$48,7,FALSE),
IF($A173&lt;'PVC SCH80 LD Flange'!$A$17,VLOOKUP($A173,'PVC SCH80 LD Flange'!$A$8:$M$16,7,FALSE),
IF($A173&lt;CPVC!$A$100,VLOOKUP($A173,CPVC!$A$8:$M$99,7,FALSE),
IF($A173&lt;InsertFittings!$A$237,VLOOKUP($A173,InsertFittings!$A$11:$M$236,7,FALSE),
IF($A173&lt;Valves!$A$132,VLOOKUP($A173,Valves!$A$8:$M$131,7,FALSE),
IF($A173&lt;SDR35SW!$A$124,VLOOKUP($A173,SDR35SW!$A$8:$M$123,7,FALSE),
IF($A173&lt;SDR35G!$A$143,VLOOKUP($A173, SDR35G!$A$8:$M$142,7,FALSE),
IF($A173&lt;SDR26G!$A$61,VLOOKUP($A173,SDR26G!$A$8:$N$60,10,FALSE),
IF($A173&lt;Cements!$A$100,VLOOKUP($A173,Cements!$A$8:$Q$99,13,FALSE),
IF($A173&lt;ValveBox!$A$143,VLOOKUP($A173,ValveBox!$A$10:$O$142,11,FALSE),
IF($A173&lt;'ValveBox Components'!$A$165,VLOOKUP($A173,'ValveBox Components'!$A$10:$O$164,11,FALSE),
IF($A173&lt;Drainage!$A$92,VLOOKUP($A173,Drainage!$A$8:$M$91,7,FALSE),
IF($A173&lt;Nipples!$A$82,VLOOKUP($A173,Nipples!$A$9:$Q$81,13,FALSE),
IF($A173&lt;Manifold!$A$33,VLOOKUP($A173,Manifold!$A$9:$M$32,7,FALSE),
IF($A173&lt;FlexibleRepairCouplings!$A$13,VLOOKUP($A173,FlexibleRepairCouplings!$A$10:$M$12,7,FALSE),
IF($A173&lt;DuraFix!$A$15,VLOOKUP($A173,DuraFix!$A$9:$M$14,7,FALSE),
IF($A173&lt;'Compression Fittings'!$A$16,VLOOKUP($A173,'Compression Fittings'!$A$8:$M$15,7,FALSE),
IF($A173&lt;'Hose Fittings'!$A$30,VLOOKUP($A173,'Hose Fittings'!$A$8:$M$29,7,FALSE),
IF($A173&lt;'Swing Joints'!$A$496,VLOOKUP($A173,'Swing Joints'!$A$9:$M$495,7,FALSE),
IF($A173&lt;'Swing Joints Components'!$A$135,VLOOKUP($A173,'Swing Joints Components'!$A$9:$M$134,7,FALSE),
IF($A173&lt;Nonstandard!$A$42,VLOOKUP($A173,Nonstandard!$A$31:$J$41,3,FALSE),"")))))))))))))))))))))))))))),"")</f>
        <v/>
      </c>
      <c r="I173" s="587"/>
      <c r="J173" s="383" t="str">
        <f t="shared" si="5"/>
        <v/>
      </c>
      <c r="K173" s="417" t="str">
        <f>IFERROR(IF($A173&lt;'DWV PVC'!$A$285,VLOOKUP($A173,'DWV PVC'!$A$8:$M$284,10,FALSE),
IF($A173&lt;'DWV ABS'!$A$117,VLOOKUP($A173,'DWV ABS'!$A$8:$M$116,10,FALSE),
IF($A173&lt;'PVC SCH40'!$A$376,VLOOKUP($A173,'PVC SCH40'!$A$8:$M$375,10,FALSE),
IF($A173&lt;'PVC SCH40 LD'!$A$22,VLOOKUP($A173,'PVC SCH40 LD'!$A$8:$M$21,10,FALSE),
IF($A173&lt;'Pool &amp; SPA Sweep Elbows'!$A$12,VLOOKUP($A173,'Pool &amp; SPA Sweep Elbows'!$A$8:$M$11,10,FALSE),
IF($A173&lt;'Pool &amp; SPA Pipe Extender'!$A$11,VLOOKUP($A173,'Pool &amp; SPA Pipe Extender'!$A$8:$M$10,10,FALSE),
IF($A173&lt;'PVC SCH80'!$A$250,VLOOKUP($A173,'PVC SCH80'!$A$8:$M$249,10,FALSE),
IF($A173&lt;'PVC SCH80 Flange'!$A$49,VLOOKUP($A173,'PVC SCH80 Flange'!$A$8:$M$48,10,FALSE),
IF($A173&lt;'PVC SCH80 LD Flange'!$A$17,VLOOKUP($A173,'PVC SCH80 LD Flange'!$A$8:$M$16,10,FALSE),
IF($A173&lt;CPVC!$A$100,VLOOKUP($A173,CPVC!$A$8:$M$99,10,FALSE),
IF($A173&lt;InsertFittings!$A$237,VLOOKUP($A173,InsertFittings!$A$11:$M$236,10,FALSE),
IF($A173&lt;Valves!$A$132,VLOOKUP($A173,Valves!$A$8:$M$131,10,FALSE),
IF($A173&lt;SDR35SW!$A$124,VLOOKUP($A173,SDR35SW!$A$8:$M$123,10,FALSE),
IF($A173&lt;SDR35G!$A$143,VLOOKUP($A173, SDR35G!$A$8:$M$142,10,FALSE),
IF($A173&lt;SDR26G!$A$61,VLOOKUP($A173,SDR26G!$A$8:$N$60,11,FALSE),
IF($A173&lt;Cements!$A$100,VLOOKUP($A173,Cements!$A$8:$Q$99,14,FALSE),
IF($A173&lt;ValveBox!$A$143,VLOOKUP($A173,ValveBox!$A$10:$O$142,12,FALSE),
IF($A173&lt;'ValveBox Components'!$A$165,VLOOKUP($A173,'ValveBox Components'!$A$10:$O$164,12,FALSE),
IF($A173&lt;Drainage!$A$92,VLOOKUP($A173,Drainage!$A$8:$M$91,10,FALSE),
IF($A173&lt;Nipples!$A$82,VLOOKUP($A173,Nipples!$A$9:$Q$81,14,FALSE),
IF($A173&lt;Manifold!$A$33,VLOOKUP($A173,Manifold!$A$9:$M$32,10,FALSE),
IF($A173&lt;FlexibleRepairCouplings!$A$13,VLOOKUP($A173,FlexibleRepairCouplings!$A$10:$M$12,10,FALSE),
IF($A173&lt;DuraFix!$A$15,VLOOKUP($A173,DuraFix!$A$9:$M$14,10,FALSE),
IF($A173&lt;'Compression Fittings'!$A$16,VLOOKUP($A173,'Compression Fittings'!$A$8:$M$15,10,FALSE),
IF($A173&lt;'Hose Fittings'!$A$30,VLOOKUP($A173,'Hose Fittings'!$A$8:$M$29,10,FALSE),
IF($A173&lt;'Swing Joints'!$A$496,VLOOKUP($A173,'Swing Joints'!$A$9:$M$495,10,FALSE),
IF($A173&lt;'Swing Joints Components'!$A$135,VLOOKUP($A173,'Swing Joints Components'!$A$9:$M$134,10,FALSE),
IF($A173&lt;Nonstandard!$A$42,VLOOKUP($A173,Nonstandard!$A$31:$J$41,10,FALSE),"")))))))))))))))))))))))))))),"")</f>
        <v/>
      </c>
      <c r="L173" s="418" t="str">
        <f t="shared" si="4"/>
        <v>-</v>
      </c>
      <c r="M173" s="419"/>
    </row>
    <row r="174" spans="1:13" ht="15.75">
      <c r="A174" s="420">
        <v>142</v>
      </c>
      <c r="B174" s="420" t="str">
        <f>IFERROR(IF($A174&lt;'DWV PVC'!$A$285,VLOOKUP($A174,'DWV PVC'!$A$8:$M$284,4,FALSE),
IF($A174&lt;'DWV ABS'!$A$117,VLOOKUP($A174,'DWV ABS'!$A$8:$M$116,4,FALSE),
IF($A174&lt;'PVC SCH40'!$A$376,VLOOKUP($A174,'PVC SCH40'!$A$8:$M$375,4,FALSE),
IF($A174&lt;'PVC SCH40 LD'!$A$22,VLOOKUP($A174,'PVC SCH40 LD'!$A$8:$M$21,4,FALSE),
IF($A174&lt;'Pool &amp; SPA Sweep Elbows'!$A$12,VLOOKUP($A174,'Pool &amp; SPA Sweep Elbows'!$A$8:$M$11,4,FALSE),
IF($A174&lt;'Pool &amp; SPA Pipe Extender'!$A$11,VLOOKUP($A174,'Pool &amp; SPA Pipe Extender'!$A$8:$M$10,4,FALSE),
IF($A174&lt;'PVC SCH80'!$A$250,VLOOKUP($A174,'PVC SCH80'!$A$8:$M$249,4,FALSE),
IF($A174&lt;'PVC SCH80 Flange'!$A$49,VLOOKUP($A174,'PVC SCH80 Flange'!$A$8:$M$48,4,FALSE),
IF($A174&lt;'PVC SCH80 LD Flange'!$A$17,VLOOKUP($A174,'PVC SCH80 LD Flange'!$A$8:$M$16,4,FALSE),
IF($A174&lt;CPVC!$A$100,VLOOKUP($A174,CPVC!$A$8:$M$99,4,FALSE),
IF($A174&lt;InsertFittings!$A$237,VLOOKUP($A174,InsertFittings!$A$11:$M$236,4,FALSE),
IF($A174&lt;Valves!$A$132,VLOOKUP($A174,Valves!$A$8:$M$131,4,FALSE),
IF($A174&lt;SDR35SW!$A$124,VLOOKUP($A174,SDR35SW!$A$8:$M$123,4,FALSE),
IF($A174&lt;SDR35G!$A$143,VLOOKUP($A174, SDR35G!$A$8:$M$142,4,FALSE),
IF($A174&lt;SDR26G!$A$61,VLOOKUP($A174,SDR26G!$A$8:$N$60,4,FALSE),
IF($A174&lt;Cements!$A$100,VLOOKUP($A174,Cements!$A$8:$Q$99,4,FALSE),
IF($A174&lt;ValveBox!$A$143,VLOOKUP($A174,ValveBox!$A$10:$O$142,4,FALSE),
IF($A174&lt;'ValveBox Components'!$A$165,VLOOKUP($A174,'ValveBox Components'!$A$10:$O$164,4,FALSE),
IF($A174&lt;Drainage!$A$92,VLOOKUP($A174,Drainage!$A$8:$M$91,4,FALSE),
IF($A174&lt;Nipples!$A$82,VLOOKUP($A174,Nipples!$A$9:$Q$81,4,FALSE),
IF($A174&lt;Manifold!$A$33,VLOOKUP($A174,Manifold!$A$9:$M$32,4,FALSE),
IF($A174&lt;FlexibleRepairCouplings!$A$13,VLOOKUP($A174,FlexibleRepairCouplings!$A$10:$M$12,4,FALSE),
IF($A174&lt;DuraFix!$A$15,VLOOKUP($A174,DuraFix!$A$9:$M$14,4,FALSE),
IF($A174&lt;'Compression Fittings'!$A$16,VLOOKUP($A174,'Compression Fittings'!$A$8:$M$15,4,FALSE),
IF($A174&lt;'Hose Fittings'!$A$30,VLOOKUP($A174,'Hose Fittings'!$A$8:$M$29,4,FALSE),
IF($A174&lt;'Swing Joints'!$A$496,VLOOKUP($A174,'Swing Joints'!$A$9:$M$495,4,FALSE),
IF($A174&lt;'Swing Joints Components'!$A$135,VLOOKUP($A174,'Swing Joints Components'!$A$9:$M$134,4,FALSE),
IF($A174&lt;Nonstandard!$A$42,VLOOKUP($A174,Nonstandard!$A$31:$J$41,5,FALSE),"")))))))))))))))))))))))))))),"")</f>
        <v/>
      </c>
      <c r="C174" s="420" t="str">
        <f>IFERROR(IF($A174&lt;'DWV PVC'!$A$285,VLOOKUP($A174,'DWV PVC'!$A$8:$M$284,5,FALSE),
IF($A174&lt;'DWV ABS'!$A$117,VLOOKUP($A174,'DWV ABS'!$A$8:$M$116,5,FALSE),
IF($A174&lt;'PVC SCH40'!$A$376,VLOOKUP($A174,'PVC SCH40'!$A$8:$M$375,5,FALSE),
IF($A174&lt;'PVC SCH40 LD'!$A$22,VLOOKUP($A174,'PVC SCH40 LD'!$A$8:$M$21,5,FALSE),
IF($A174&lt;'Pool &amp; SPA Sweep Elbows'!$A$12,VLOOKUP($A174,'Pool &amp; SPA Sweep Elbows'!$A$8:$M$11,5,FALSE),
IF($A174&lt;'Pool &amp; SPA Pipe Extender'!$A$11,VLOOKUP($A174,'Pool &amp; SPA Pipe Extender'!$A$8:$M$10,5,FALSE),
IF($A174&lt;'PVC SCH80'!$A$250,VLOOKUP($A174,'PVC SCH80'!$A$8:$M$249,5,FALSE),
IF($A174&lt;'PVC SCH80 Flange'!$A$49,VLOOKUP($A174,'PVC SCH80 Flange'!$A$8:$M$48,5,FALSE),
IF($A174&lt;'PVC SCH80 LD Flange'!$A$17,VLOOKUP($A174,'PVC SCH80 LD Flange'!$A$8:$M$16,5,FALSE),
IF($A174&lt;CPVC!$A$100,VLOOKUP($A174,CPVC!$A$8:$M$99,5,FALSE),
IF($A174&lt;InsertFittings!$A$237,VLOOKUP($A174,InsertFittings!$A$11:$M$236,5,FALSE),
IF($A174&lt;Valves!$A$132,VLOOKUP($A174,Valves!$A$8:$M$131,5,FALSE),
IF($A174&lt;SDR35SW!$A$124,VLOOKUP($A174,SDR35SW!$A$8:$M$123,5,FALSE),
IF($A174&lt;SDR35G!$A$143,VLOOKUP($A174, SDR35G!$A$8:$M$142,5,FALSE),
IF($A174&lt;SDR26G!$A$61,VLOOKUP($A174,SDR26G!$A$8:$N$60,5,FALSE),
IF($A174&lt;Cements!$A$100,VLOOKUP($A174,Cements!$A$8:$Q$99,5,FALSE),
IF($A174&lt;ValveBox!$A$143,VLOOKUP($A174,ValveBox!$A$10:$O$142,5,FALSE),
IF($A174&lt;'ValveBox Components'!$A$165,VLOOKUP($A174,'ValveBox Components'!$A$10:$O$164,5,FALSE),
IF($A174&lt;Drainage!$A$92,VLOOKUP($A174,Drainage!$A$8:$M$91,5,FALSE),
IF($A174&lt;Nipples!$A$82,VLOOKUP($A174,Nipples!$A$9:$Q$81,5,FALSE),
IF($A174&lt;Manifold!$A$33,VLOOKUP($A174,Manifold!$A$9:$M$32,5,FALSE),
IF($A174&lt;FlexibleRepairCouplings!$A$13,VLOOKUP($A174,FlexibleRepairCouplings!$A$10:$M$12,5,FALSE),
IF($A174&lt;DuraFix!$A$15,VLOOKUP($A174,DuraFix!$A$9:$M$14,5,FALSE),
IF($A174&lt;'Compression Fittings'!$A$16,VLOOKUP($A174,'Compression Fittings'!$A$8:$M$15,5,FALSE),
IF($A174&lt;'Hose Fittings'!$A$30,VLOOKUP($A174,'Hose Fittings'!$A$8:$M$29,5,FALSE),
IF($A174&lt;'Swing Joints'!$A$496,VLOOKUP($A174,'Swing Joints'!$A$9:$M$495,5,FALSE),
IF($A174&lt;'Swing Joints Components'!$A$135,VLOOKUP($A174,'Swing Joints Components'!$A$9:$M$134,5,FALSE),
IF($A174&lt;Nonstandard!$A$42,VLOOKUP($A174,Nonstandard!$A$31:$J$41,6,FALSE),"")))))))))))))))))))))))))))),"")</f>
        <v/>
      </c>
      <c r="D174" s="428" t="str">
        <f>IFERROR(IF($A174&lt;'DWV PVC'!$A$285,VLOOKUP($A174,'DWV PVC'!$A$8:$M$284,6,FALSE),
IF($A174&lt;'DWV ABS'!$A$117,VLOOKUP($A174,'DWV ABS'!$A$8:$M$116,6,FALSE),
IF($A174&lt;'PVC SCH40'!$A$376,VLOOKUP($A174,'PVC SCH40'!$A$8:$M$375,6,FALSE),
IF($A174&lt;'PVC SCH40 LD'!$A$22,VLOOKUP($A174,'PVC SCH40 LD'!$A$8:$M$21,6,FALSE),
IF($A174&lt;'Pool &amp; SPA Sweep Elbows'!$A$12,VLOOKUP($A174,'Pool &amp; SPA Sweep Elbows'!$A$8:$M$11,6,FALSE),
IF($A174&lt;'Pool &amp; SPA Pipe Extender'!$A$11,VLOOKUP($A174,'Pool &amp; SPA Pipe Extender'!$A$8:$M$10,6,FALSE),
IF($A174&lt;'PVC SCH80'!$A$250,VLOOKUP($A174,'PVC SCH80'!$A$8:$M$249,6,FALSE),
IF($A174&lt;'PVC SCH80 Flange'!$A$49,VLOOKUP($A174,'PVC SCH80 Flange'!$A$8:$M$48,6,FALSE),
IF($A174&lt;'PVC SCH80 LD Flange'!$A$17,VLOOKUP($A174,'PVC SCH80 LD Flange'!$A$8:$M$16,6,FALSE),
IF($A174&lt;CPVC!$A$100,VLOOKUP($A174,CPVC!$A$8:$M$99,6,FALSE),
IF($A174&lt;InsertFittings!$A$237,VLOOKUP($A174,InsertFittings!$A$11:$M$236,6,FALSE),
IF($A174&lt;Valves!$A$132,VLOOKUP($A174,Valves!$A$8:$M$131,6,FALSE),
IF($A174&lt;SDR35SW!$A$124,VLOOKUP($A174,SDR35SW!$A$8:$M$123,6,FALSE),
IF($A174&lt;SDR35G!$A$143,VLOOKUP($A174, SDR35G!$A$8:$M$142,6,FALSE),
IF($A174&lt;SDR26G!$A$61,VLOOKUP($A174,SDR26G!$A$8:$N$60,6,FALSE),
IF($A174&lt;Cements!$A$100,VLOOKUP($A174,Cements!$A$8:$Q$99,6,FALSE),
IF($A174&lt;ValveBox!$A$143,VLOOKUP($A174,ValveBox!$A$10:$O$142,6,FALSE),
IF($A174&lt;'ValveBox Components'!$A$165,VLOOKUP($A174,'ValveBox Components'!$A$10:$O$164,6,FALSE),
IF($A174&lt;Drainage!$A$92,VLOOKUP($A174,Drainage!$A$8:$M$91,6,FALSE),
IF($A174&lt;Nipples!$A$82,VLOOKUP($A174,Nipples!$A$9:$Q$81,6,FALSE),
IF($A174&lt;Manifold!$A$33,VLOOKUP($A174,Manifold!$A$9:$M$32,6,FALSE),
IF($A174&lt;FlexibleRepairCouplings!$A$13,VLOOKUP($A174,FlexibleRepairCouplings!$A$10:$M$12,6,FALSE),
IF($A174&lt;DuraFix!$A$15,VLOOKUP($A174,DuraFix!$A$9:$M$14,6,FALSE),
IF($A174&lt;'Compression Fittings'!$A$16,VLOOKUP($A174,'Compression Fittings'!$A$8:$M$15,6,FALSE),
IF($A174&lt;'Hose Fittings'!$A$30,VLOOKUP($A174,'Hose Fittings'!$A$8:$M$29,6,FALSE),
IF($A174&lt;'Swing Joints'!$A$496,VLOOKUP($A174,'Swing Joints'!$A$9:$M$495,6,FALSE),
IF($A174&lt;'Swing Joints Components'!$A$135,VLOOKUP($A174,'Swing Joints Components'!$A$9:$M$134,6,FALSE),
IF($A174&lt;Nonstandard!$A$42,VLOOKUP($A174,Nonstandard!$A$31:$J$41,7,FALSE),"")))))))))))))))))))))))))))),"")</f>
        <v/>
      </c>
      <c r="E174" s="429"/>
      <c r="F174" s="421" t="str">
        <f>IFERROR(IF($A174&lt;'DWV PVC'!$A$285,VLOOKUP($A174,'DWV PVC'!$A$8:$M$284,9,FALSE),
IF($A174&lt;'DWV ABS'!$A$117,VLOOKUP($A174,'DWV ABS'!$A$8:$M$116,9,FALSE),
IF($A174&lt;'PVC SCH40'!$A$376,VLOOKUP($A174,'PVC SCH40'!$A$8:$M$375,9,FALSE),
IF($A174&lt;'PVC SCH40 LD'!$A$22,VLOOKUP($A174,'PVC SCH40 LD'!$A$8:$M$21,9,FALSE),
IF($A174&lt;'Pool &amp; SPA Sweep Elbows'!$A$12,VLOOKUP($A174,'Pool &amp; SPA Sweep Elbows'!$A$8:$M$11,9,FALSE),
IF($A174&lt;'Pool &amp; SPA Pipe Extender'!$A$11,VLOOKUP($A174,'Pool &amp; SPA Pipe Extender'!$A$8:$M$10,9,FALSE),
IF($A174&lt;'PVC SCH80'!$A$250,VLOOKUP($A174,'PVC SCH80'!$A$8:$M$249,9,FALSE),
IF($A174&lt;'PVC SCH80 Flange'!$A$49,VLOOKUP($A174,'PVC SCH80 Flange'!$A$8:$M$48,9,FALSE),
IF($A174&lt;'PVC SCH80 LD Flange'!$A$17,VLOOKUP($A174,'PVC SCH80 LD Flange'!$A$8:$M$16,9,FALSE),
IF($A174&lt;CPVC!$A$100,VLOOKUP($A174,CPVC!$A$8:$M$99,9,FALSE),
IF($A174&lt;InsertFittings!$A$237,VLOOKUP($A174,InsertFittings!$A$11:$M$236,9,FALSE),
IF($A174&lt;Valves!$A$132,VLOOKUP($A174,Valves!$A$8:$M$131,9,FALSE),
IF($A174&lt;SDR35SW!$A$124,VLOOKUP($A174,SDR35SW!$A$8:$M$123,9,FALSE),
IF($A174&lt;SDR35G!$A$143,VLOOKUP($A174, SDR35G!$A$8:$M$142,9,FALSE),
IF($A174&lt;SDR26G!$A$61,VLOOKUP($A174,SDR26G!$A$8:$N$60,10,FALSE),
IF($A174&lt;Cements!$A$100,VLOOKUP($A174,Cements!$A$8:$Q$99,13,FALSE),
IF($A174&lt;ValveBox!$A$143,VLOOKUP($A174,ValveBox!$A$10:$O$142,11,FALSE),
IF($A174&lt;'ValveBox Components'!$A$165,VLOOKUP($A174,'ValveBox Components'!$A$10:$O$164,11,FALSE),
IF($A174&lt;Drainage!$A$92,VLOOKUP($A174,Drainage!$A$8:$M$91,9,FALSE),
IF($A174&lt;Nipples!$A$82,VLOOKUP($A174,Nipples!$A$9:$Q$81,13,FALSE),
IF($A174&lt;Manifold!$A$33,VLOOKUP($A174,Manifold!$A$9:$M$32,9,FALSE),
IF($A174&lt;FlexibleRepairCouplings!$A$13,VLOOKUP($A174,FlexibleRepairCouplings!$A$10:$M$12,9,FALSE),
IF($A174&lt;DuraFix!$A$15,VLOOKUP($A174,DuraFix!$A$9:$M$14,9,FALSE),
IF($A174&lt;'Compression Fittings'!$A$16,VLOOKUP($A174,'Compression Fittings'!$A$8:$M$15,9,FALSE),
IF($A174&lt;'Hose Fittings'!$A$30,VLOOKUP($A174,'Hose Fittings'!$A$8:$M$29,9,FALSE),
IF($A174&lt;'Swing Joints'!$A$496,VLOOKUP($A174,'Swing Joints'!$A$9:$M$495,9,FALSE),
IF($A174&lt;'Swing Joints Components'!$A$135,VLOOKUP($A174,'Swing Joints Components'!$A$9:$M$134,9,FALSE),
IF($A174&lt;Nonstandard!$A$42,VLOOKUP($A174,Nonstandard!$A$31:$J$41,8,FALSE),"")))))))))))))))))))))))))))),"")</f>
        <v/>
      </c>
      <c r="G174" s="422" t="str">
        <f>IFERROR(IF($A174&lt;'DWV PVC'!$A$285,VLOOKUP($A174,'DWV PVC'!$A$8:$M$284,11,FALSE),
IF($A174&lt;'DWV ABS'!$A$117,VLOOKUP($A174,'DWV ABS'!$A$8:$M$116,11,FALSE),
IF($A174&lt;'PVC SCH40'!$A$376,VLOOKUP($A174,'PVC SCH40'!$A$8:$M$375,11,FALSE),
IF($A174&lt;'PVC SCH40 LD'!$A$22,VLOOKUP($A174,'PVC SCH40 LD'!$A$8:$M$21,11,FALSE),
IF($A174&lt;'Pool &amp; SPA Sweep Elbows'!$A$12,VLOOKUP($A174,'Pool &amp; SPA Sweep Elbows'!$A$8:$M$11,11,FALSE),
IF($A174&lt;'Pool &amp; SPA Pipe Extender'!$A$11,VLOOKUP($A174,'Pool &amp; SPA Pipe Extender'!$A$8:$M$10,11,FALSE),
IF($A174&lt;'PVC SCH80'!$A$250,VLOOKUP($A174,'PVC SCH80'!$A$8:$M$249,11,FALSE),
IF($A174&lt;'PVC SCH80 Flange'!$A$49,VLOOKUP($A174,'PVC SCH80 Flange'!$A$8:$M$48,11,FALSE),
IF($A174&lt;'PVC SCH80 LD Flange'!$A$17,VLOOKUP($A174,'PVC SCH80 LD Flange'!$A$8:$M$16,11,FALSE),
IF($A174&lt;CPVC!$A$100,VLOOKUP($A174,CPVC!$A$8:$M$99,11,FALSE),
IF($A174&lt;InsertFittings!$A$237,VLOOKUP($A174,InsertFittings!$A$11:$M$236,11,FALSE),
IF($A174&lt;Valves!$A$132,VLOOKUP($A174,Valves!$A$8:$M$131,11,FALSE),
IF($A174&lt;SDR35SW!$A$124,VLOOKUP($A174,SDR35SW!$A$8:$M$123,11,FALSE),
IF($A174&lt;SDR35G!$A$143,VLOOKUP($A174, SDR35G!$A$8:$M$142,11,FALSE),
IF($A174&lt;SDR26G!$A$61,VLOOKUP($A174,SDR26G!$A$8:$N$60,12,FALSE),
IF($A174&lt;Cements!$A$100,VLOOKUP($A174,Cements!$A$8:$Q$99,15,FALSE),
IF($A174&lt;ValveBox!$A$143,VLOOKUP($A174,ValveBox!$A$10:$O$142,13,FALSE),
IF($A174&lt;'ValveBox Components'!$A$165,VLOOKUP($A174,'ValveBox Components'!$A$10:$O$164,13,FALSE),
IF($A174&lt;Drainage!$A$92,VLOOKUP($A174,Drainage!$A$8:$M$91,11,FALSE),
IF($A174&lt;Nipples!$A$82,VLOOKUP($A174,Nipples!$A$9:$Q$81,15,FALSE),
IF($A174&lt;Manifold!$A$33,VLOOKUP($A174,Manifold!$A$9:$M$32,11,FALSE),
IF($A174&lt;FlexibleRepairCouplings!$A$13,VLOOKUP($A174,FlexibleRepairCouplings!$A$10:$M$12,11,FALSE),
IF($A174&lt;DuraFix!$A$15,VLOOKUP($A174,DuraFix!$A$9:$M$14,11,FALSE),
IF($A174&lt;'Compression Fittings'!$A$16,VLOOKUP($A174,'Compression Fittings'!$A$8:$M$15,11,FALSE),
IF($A174&lt;'Hose Fittings'!$A$30,VLOOKUP($A174,'Hose Fittings'!$A$8:$M$29,11,FALSE),
IF($A174&lt;'Swing Joints'!$A$496,VLOOKUP($A174,'Swing Joints'!$A$9:$M$495,11,FALSE),
IF($A174&lt;'Swing Joints Components'!$A$135,VLOOKUP($A174,'Swing Joints Components'!$A$9:$M$134,11,FALSE),
IF($A174&lt;Nonstandard!$A$42,VLOOKUP($A174,Nonstandard!$A$31:$J$41,3,FALSE),"")))))))))))))))))))))))))))),"")</f>
        <v/>
      </c>
      <c r="H174" s="588" t="str">
        <f>IFERROR(IF($A174&lt;'DWV PVC'!$A$285,VLOOKUP($A174,'DWV PVC'!$A$8:$M$284,7,FALSE),
IF($A174&lt;'DWV ABS'!$A$117,VLOOKUP($A174,'DWV ABS'!$A$8:$M$116,7,FALSE),
IF($A174&lt;'PVC SCH40'!$A$376,VLOOKUP($A174,'PVC SCH40'!$A$8:$M$375,7,FALSE),
IF($A174&lt;'PVC SCH40 LD'!$A$22,VLOOKUP($A174,'PVC SCH40 LD'!$A$8:$M$21,7,FALSE),
IF($A174&lt;'Pool &amp; SPA Sweep Elbows'!$A$12,VLOOKUP($A174,'Pool &amp; SPA Sweep Elbows'!$A$8:$M$11,7,FALSE),
IF($A174&lt;'Pool &amp; SPA Pipe Extender'!$A$11,VLOOKUP($A174,'Pool &amp; SPA Pipe Extender'!$A$8:$M$10,7,FALSE),
IF($A174&lt;'PVC SCH80'!$A$250,VLOOKUP($A174,'PVC SCH80'!$A$8:$M$249,7,FALSE),
IF($A174&lt;'PVC SCH80 Flange'!$A$49,VLOOKUP($A174,'PVC SCH80 Flange'!$A$8:$M$48,7,FALSE),
IF($A174&lt;'PVC SCH80 LD Flange'!$A$17,VLOOKUP($A174,'PVC SCH80 LD Flange'!$A$8:$M$16,7,FALSE),
IF($A174&lt;CPVC!$A$100,VLOOKUP($A174,CPVC!$A$8:$M$99,7,FALSE),
IF($A174&lt;InsertFittings!$A$237,VLOOKUP($A174,InsertFittings!$A$11:$M$236,7,FALSE),
IF($A174&lt;Valves!$A$132,VLOOKUP($A174,Valves!$A$8:$M$131,7,FALSE),
IF($A174&lt;SDR35SW!$A$124,VLOOKUP($A174,SDR35SW!$A$8:$M$123,7,FALSE),
IF($A174&lt;SDR35G!$A$143,VLOOKUP($A174, SDR35G!$A$8:$M$142,7,FALSE),
IF($A174&lt;SDR26G!$A$61,VLOOKUP($A174,SDR26G!$A$8:$N$60,10,FALSE),
IF($A174&lt;Cements!$A$100,VLOOKUP($A174,Cements!$A$8:$Q$99,13,FALSE),
IF($A174&lt;ValveBox!$A$143,VLOOKUP($A174,ValveBox!$A$10:$O$142,11,FALSE),
IF($A174&lt;'ValveBox Components'!$A$165,VLOOKUP($A174,'ValveBox Components'!$A$10:$O$164,11,FALSE),
IF($A174&lt;Drainage!$A$92,VLOOKUP($A174,Drainage!$A$8:$M$91,7,FALSE),
IF($A174&lt;Nipples!$A$82,VLOOKUP($A174,Nipples!$A$9:$Q$81,13,FALSE),
IF($A174&lt;Manifold!$A$33,VLOOKUP($A174,Manifold!$A$9:$M$32,7,FALSE),
IF($A174&lt;FlexibleRepairCouplings!$A$13,VLOOKUP($A174,FlexibleRepairCouplings!$A$10:$M$12,7,FALSE),
IF($A174&lt;DuraFix!$A$15,VLOOKUP($A174,DuraFix!$A$9:$M$14,7,FALSE),
IF($A174&lt;'Compression Fittings'!$A$16,VLOOKUP($A174,'Compression Fittings'!$A$8:$M$15,7,FALSE),
IF($A174&lt;'Hose Fittings'!$A$30,VLOOKUP($A174,'Hose Fittings'!$A$8:$M$29,7,FALSE),
IF($A174&lt;'Swing Joints'!$A$496,VLOOKUP($A174,'Swing Joints'!$A$9:$M$495,7,FALSE),
IF($A174&lt;'Swing Joints Components'!$A$135,VLOOKUP($A174,'Swing Joints Components'!$A$9:$M$134,7,FALSE),
IF($A174&lt;Nonstandard!$A$42,VLOOKUP($A174,Nonstandard!$A$31:$J$41,3,FALSE),"")))))))))))))))))))))))))))),"")</f>
        <v/>
      </c>
      <c r="I174" s="589"/>
      <c r="J174" s="423" t="str">
        <f t="shared" si="5"/>
        <v/>
      </c>
      <c r="K174" s="424" t="str">
        <f>IFERROR(IF($A174&lt;'DWV PVC'!$A$285,VLOOKUP($A174,'DWV PVC'!$A$8:$M$284,10,FALSE),
IF($A174&lt;'DWV ABS'!$A$117,VLOOKUP($A174,'DWV ABS'!$A$8:$M$116,10,FALSE),
IF($A174&lt;'PVC SCH40'!$A$376,VLOOKUP($A174,'PVC SCH40'!$A$8:$M$375,10,FALSE),
IF($A174&lt;'PVC SCH40 LD'!$A$22,VLOOKUP($A174,'PVC SCH40 LD'!$A$8:$M$21,10,FALSE),
IF($A174&lt;'Pool &amp; SPA Sweep Elbows'!$A$12,VLOOKUP($A174,'Pool &amp; SPA Sweep Elbows'!$A$8:$M$11,10,FALSE),
IF($A174&lt;'Pool &amp; SPA Pipe Extender'!$A$11,VLOOKUP($A174,'Pool &amp; SPA Pipe Extender'!$A$8:$M$10,10,FALSE),
IF($A174&lt;'PVC SCH80'!$A$250,VLOOKUP($A174,'PVC SCH80'!$A$8:$M$249,10,FALSE),
IF($A174&lt;'PVC SCH80 Flange'!$A$49,VLOOKUP($A174,'PVC SCH80 Flange'!$A$8:$M$48,10,FALSE),
IF($A174&lt;'PVC SCH80 LD Flange'!$A$17,VLOOKUP($A174,'PVC SCH80 LD Flange'!$A$8:$M$16,10,FALSE),
IF($A174&lt;CPVC!$A$100,VLOOKUP($A174,CPVC!$A$8:$M$99,10,FALSE),
IF($A174&lt;InsertFittings!$A$237,VLOOKUP($A174,InsertFittings!$A$11:$M$236,10,FALSE),
IF($A174&lt;Valves!$A$132,VLOOKUP($A174,Valves!$A$8:$M$131,10,FALSE),
IF($A174&lt;SDR35SW!$A$124,VLOOKUP($A174,SDR35SW!$A$8:$M$123,10,FALSE),
IF($A174&lt;SDR35G!$A$143,VLOOKUP($A174, SDR35G!$A$8:$M$142,10,FALSE),
IF($A174&lt;SDR26G!$A$61,VLOOKUP($A174,SDR26G!$A$8:$N$60,11,FALSE),
IF($A174&lt;Cements!$A$100,VLOOKUP($A174,Cements!$A$8:$Q$99,14,FALSE),
IF($A174&lt;ValveBox!$A$143,VLOOKUP($A174,ValveBox!$A$10:$O$142,12,FALSE),
IF($A174&lt;'ValveBox Components'!$A$165,VLOOKUP($A174,'ValveBox Components'!$A$10:$O$164,12,FALSE),
IF($A174&lt;Drainage!$A$92,VLOOKUP($A174,Drainage!$A$8:$M$91,10,FALSE),
IF($A174&lt;Nipples!$A$82,VLOOKUP($A174,Nipples!$A$9:$Q$81,14,FALSE),
IF($A174&lt;Manifold!$A$33,VLOOKUP($A174,Manifold!$A$9:$M$32,10,FALSE),
IF($A174&lt;FlexibleRepairCouplings!$A$13,VLOOKUP($A174,FlexibleRepairCouplings!$A$10:$M$12,10,FALSE),
IF($A174&lt;DuraFix!$A$15,VLOOKUP($A174,DuraFix!$A$9:$M$14,10,FALSE),
IF($A174&lt;'Compression Fittings'!$A$16,VLOOKUP($A174,'Compression Fittings'!$A$8:$M$15,10,FALSE),
IF($A174&lt;'Hose Fittings'!$A$30,VLOOKUP($A174,'Hose Fittings'!$A$8:$M$29,10,FALSE),
IF($A174&lt;'Swing Joints'!$A$496,VLOOKUP($A174,'Swing Joints'!$A$9:$M$495,10,FALSE),
IF($A174&lt;'Swing Joints Components'!$A$135,VLOOKUP($A174,'Swing Joints Components'!$A$9:$M$134,10,FALSE),
IF($A174&lt;Nonstandard!$A$42,VLOOKUP($A174,Nonstandard!$A$31:$J$41,10,FALSE),"")))))))))))))))))))))))))))),"")</f>
        <v/>
      </c>
      <c r="L174" s="421" t="str">
        <f t="shared" si="4"/>
        <v>-</v>
      </c>
      <c r="M174" s="425"/>
    </row>
    <row r="175" spans="1:13" ht="15.75">
      <c r="A175" s="415">
        <v>143</v>
      </c>
      <c r="B175" s="415" t="str">
        <f>IFERROR(IF($A175&lt;'DWV PVC'!$A$285,VLOOKUP($A175,'DWV PVC'!$A$8:$M$284,4,FALSE),
IF($A175&lt;'DWV ABS'!$A$117,VLOOKUP($A175,'DWV ABS'!$A$8:$M$116,4,FALSE),
IF($A175&lt;'PVC SCH40'!$A$376,VLOOKUP($A175,'PVC SCH40'!$A$8:$M$375,4,FALSE),
IF($A175&lt;'PVC SCH40 LD'!$A$22,VLOOKUP($A175,'PVC SCH40 LD'!$A$8:$M$21,4,FALSE),
IF($A175&lt;'Pool &amp; SPA Sweep Elbows'!$A$12,VLOOKUP($A175,'Pool &amp; SPA Sweep Elbows'!$A$8:$M$11,4,FALSE),
IF($A175&lt;'Pool &amp; SPA Pipe Extender'!$A$11,VLOOKUP($A175,'Pool &amp; SPA Pipe Extender'!$A$8:$M$10,4,FALSE),
IF($A175&lt;'PVC SCH80'!$A$250,VLOOKUP($A175,'PVC SCH80'!$A$8:$M$249,4,FALSE),
IF($A175&lt;'PVC SCH80 Flange'!$A$49,VLOOKUP($A175,'PVC SCH80 Flange'!$A$8:$M$48,4,FALSE),
IF($A175&lt;'PVC SCH80 LD Flange'!$A$17,VLOOKUP($A175,'PVC SCH80 LD Flange'!$A$8:$M$16,4,FALSE),
IF($A175&lt;CPVC!$A$100,VLOOKUP($A175,CPVC!$A$8:$M$99,4,FALSE),
IF($A175&lt;InsertFittings!$A$237,VLOOKUP($A175,InsertFittings!$A$11:$M$236,4,FALSE),
IF($A175&lt;Valves!$A$132,VLOOKUP($A175,Valves!$A$8:$M$131,4,FALSE),
IF($A175&lt;SDR35SW!$A$124,VLOOKUP($A175,SDR35SW!$A$8:$M$123,4,FALSE),
IF($A175&lt;SDR35G!$A$143,VLOOKUP($A175, SDR35G!$A$8:$M$142,4,FALSE),
IF($A175&lt;SDR26G!$A$61,VLOOKUP($A175,SDR26G!$A$8:$N$60,4,FALSE),
IF($A175&lt;Cements!$A$100,VLOOKUP($A175,Cements!$A$8:$Q$99,4,FALSE),
IF($A175&lt;ValveBox!$A$143,VLOOKUP($A175,ValveBox!$A$10:$O$142,4,FALSE),
IF($A175&lt;'ValveBox Components'!$A$165,VLOOKUP($A175,'ValveBox Components'!$A$10:$O$164,4,FALSE),
IF($A175&lt;Drainage!$A$92,VLOOKUP($A175,Drainage!$A$8:$M$91,4,FALSE),
IF($A175&lt;Nipples!$A$82,VLOOKUP($A175,Nipples!$A$9:$Q$81,4,FALSE),
IF($A175&lt;Manifold!$A$33,VLOOKUP($A175,Manifold!$A$9:$M$32,4,FALSE),
IF($A175&lt;FlexibleRepairCouplings!$A$13,VLOOKUP($A175,FlexibleRepairCouplings!$A$10:$M$12,4,FALSE),
IF($A175&lt;DuraFix!$A$15,VLOOKUP($A175,DuraFix!$A$9:$M$14,4,FALSE),
IF($A175&lt;'Compression Fittings'!$A$16,VLOOKUP($A175,'Compression Fittings'!$A$8:$M$15,4,FALSE),
IF($A175&lt;'Hose Fittings'!$A$30,VLOOKUP($A175,'Hose Fittings'!$A$8:$M$29,4,FALSE),
IF($A175&lt;'Swing Joints'!$A$496,VLOOKUP($A175,'Swing Joints'!$A$9:$M$495,4,FALSE),
IF($A175&lt;'Swing Joints Components'!$A$135,VLOOKUP($A175,'Swing Joints Components'!$A$9:$M$134,4,FALSE),
IF($A175&lt;Nonstandard!$A$42,VLOOKUP($A175,Nonstandard!$A$31:$J$41,5,FALSE),"")))))))))))))))))))))))))))),"")</f>
        <v/>
      </c>
      <c r="C175" s="415" t="str">
        <f>IFERROR(IF($A175&lt;'DWV PVC'!$A$285,VLOOKUP($A175,'DWV PVC'!$A$8:$M$284,5,FALSE),
IF($A175&lt;'DWV ABS'!$A$117,VLOOKUP($A175,'DWV ABS'!$A$8:$M$116,5,FALSE),
IF($A175&lt;'PVC SCH40'!$A$376,VLOOKUP($A175,'PVC SCH40'!$A$8:$M$375,5,FALSE),
IF($A175&lt;'PVC SCH40 LD'!$A$22,VLOOKUP($A175,'PVC SCH40 LD'!$A$8:$M$21,5,FALSE),
IF($A175&lt;'Pool &amp; SPA Sweep Elbows'!$A$12,VLOOKUP($A175,'Pool &amp; SPA Sweep Elbows'!$A$8:$M$11,5,FALSE),
IF($A175&lt;'Pool &amp; SPA Pipe Extender'!$A$11,VLOOKUP($A175,'Pool &amp; SPA Pipe Extender'!$A$8:$M$10,5,FALSE),
IF($A175&lt;'PVC SCH80'!$A$250,VLOOKUP($A175,'PVC SCH80'!$A$8:$M$249,5,FALSE),
IF($A175&lt;'PVC SCH80 Flange'!$A$49,VLOOKUP($A175,'PVC SCH80 Flange'!$A$8:$M$48,5,FALSE),
IF($A175&lt;'PVC SCH80 LD Flange'!$A$17,VLOOKUP($A175,'PVC SCH80 LD Flange'!$A$8:$M$16,5,FALSE),
IF($A175&lt;CPVC!$A$100,VLOOKUP($A175,CPVC!$A$8:$M$99,5,FALSE),
IF($A175&lt;InsertFittings!$A$237,VLOOKUP($A175,InsertFittings!$A$11:$M$236,5,FALSE),
IF($A175&lt;Valves!$A$132,VLOOKUP($A175,Valves!$A$8:$M$131,5,FALSE),
IF($A175&lt;SDR35SW!$A$124,VLOOKUP($A175,SDR35SW!$A$8:$M$123,5,FALSE),
IF($A175&lt;SDR35G!$A$143,VLOOKUP($A175, SDR35G!$A$8:$M$142,5,FALSE),
IF($A175&lt;SDR26G!$A$61,VLOOKUP($A175,SDR26G!$A$8:$N$60,5,FALSE),
IF($A175&lt;Cements!$A$100,VLOOKUP($A175,Cements!$A$8:$Q$99,5,FALSE),
IF($A175&lt;ValveBox!$A$143,VLOOKUP($A175,ValveBox!$A$10:$O$142,5,FALSE),
IF($A175&lt;'ValveBox Components'!$A$165,VLOOKUP($A175,'ValveBox Components'!$A$10:$O$164,5,FALSE),
IF($A175&lt;Drainage!$A$92,VLOOKUP($A175,Drainage!$A$8:$M$91,5,FALSE),
IF($A175&lt;Nipples!$A$82,VLOOKUP($A175,Nipples!$A$9:$Q$81,5,FALSE),
IF($A175&lt;Manifold!$A$33,VLOOKUP($A175,Manifold!$A$9:$M$32,5,FALSE),
IF($A175&lt;FlexibleRepairCouplings!$A$13,VLOOKUP($A175,FlexibleRepairCouplings!$A$10:$M$12,5,FALSE),
IF($A175&lt;DuraFix!$A$15,VLOOKUP($A175,DuraFix!$A$9:$M$14,5,FALSE),
IF($A175&lt;'Compression Fittings'!$A$16,VLOOKUP($A175,'Compression Fittings'!$A$8:$M$15,5,FALSE),
IF($A175&lt;'Hose Fittings'!$A$30,VLOOKUP($A175,'Hose Fittings'!$A$8:$M$29,5,FALSE),
IF($A175&lt;'Swing Joints'!$A$496,VLOOKUP($A175,'Swing Joints'!$A$9:$M$495,5,FALSE),
IF($A175&lt;'Swing Joints Components'!$A$135,VLOOKUP($A175,'Swing Joints Components'!$A$9:$M$134,5,FALSE),
IF($A175&lt;Nonstandard!$A$42,VLOOKUP($A175,Nonstandard!$A$31:$J$41,6,FALSE),"")))))))))))))))))))))))))))),"")</f>
        <v/>
      </c>
      <c r="D175" s="426" t="str">
        <f>IFERROR(IF($A175&lt;'DWV PVC'!$A$285,VLOOKUP($A175,'DWV PVC'!$A$8:$M$284,6,FALSE),
IF($A175&lt;'DWV ABS'!$A$117,VLOOKUP($A175,'DWV ABS'!$A$8:$M$116,6,FALSE),
IF($A175&lt;'PVC SCH40'!$A$376,VLOOKUP($A175,'PVC SCH40'!$A$8:$M$375,6,FALSE),
IF($A175&lt;'PVC SCH40 LD'!$A$22,VLOOKUP($A175,'PVC SCH40 LD'!$A$8:$M$21,6,FALSE),
IF($A175&lt;'Pool &amp; SPA Sweep Elbows'!$A$12,VLOOKUP($A175,'Pool &amp; SPA Sweep Elbows'!$A$8:$M$11,6,FALSE),
IF($A175&lt;'Pool &amp; SPA Pipe Extender'!$A$11,VLOOKUP($A175,'Pool &amp; SPA Pipe Extender'!$A$8:$M$10,6,FALSE),
IF($A175&lt;'PVC SCH80'!$A$250,VLOOKUP($A175,'PVC SCH80'!$A$8:$M$249,6,FALSE),
IF($A175&lt;'PVC SCH80 Flange'!$A$49,VLOOKUP($A175,'PVC SCH80 Flange'!$A$8:$M$48,6,FALSE),
IF($A175&lt;'PVC SCH80 LD Flange'!$A$17,VLOOKUP($A175,'PVC SCH80 LD Flange'!$A$8:$M$16,6,FALSE),
IF($A175&lt;CPVC!$A$100,VLOOKUP($A175,CPVC!$A$8:$M$99,6,FALSE),
IF($A175&lt;InsertFittings!$A$237,VLOOKUP($A175,InsertFittings!$A$11:$M$236,6,FALSE),
IF($A175&lt;Valves!$A$132,VLOOKUP($A175,Valves!$A$8:$M$131,6,FALSE),
IF($A175&lt;SDR35SW!$A$124,VLOOKUP($A175,SDR35SW!$A$8:$M$123,6,FALSE),
IF($A175&lt;SDR35G!$A$143,VLOOKUP($A175, SDR35G!$A$8:$M$142,6,FALSE),
IF($A175&lt;SDR26G!$A$61,VLOOKUP($A175,SDR26G!$A$8:$N$60,6,FALSE),
IF($A175&lt;Cements!$A$100,VLOOKUP($A175,Cements!$A$8:$Q$99,6,FALSE),
IF($A175&lt;ValveBox!$A$143,VLOOKUP($A175,ValveBox!$A$10:$O$142,6,FALSE),
IF($A175&lt;'ValveBox Components'!$A$165,VLOOKUP($A175,'ValveBox Components'!$A$10:$O$164,6,FALSE),
IF($A175&lt;Drainage!$A$92,VLOOKUP($A175,Drainage!$A$8:$M$91,6,FALSE),
IF($A175&lt;Nipples!$A$82,VLOOKUP($A175,Nipples!$A$9:$Q$81,6,FALSE),
IF($A175&lt;Manifold!$A$33,VLOOKUP($A175,Manifold!$A$9:$M$32,6,FALSE),
IF($A175&lt;FlexibleRepairCouplings!$A$13,VLOOKUP($A175,FlexibleRepairCouplings!$A$10:$M$12,6,FALSE),
IF($A175&lt;DuraFix!$A$15,VLOOKUP($A175,DuraFix!$A$9:$M$14,6,FALSE),
IF($A175&lt;'Compression Fittings'!$A$16,VLOOKUP($A175,'Compression Fittings'!$A$8:$M$15,6,FALSE),
IF($A175&lt;'Hose Fittings'!$A$30,VLOOKUP($A175,'Hose Fittings'!$A$8:$M$29,6,FALSE),
IF($A175&lt;'Swing Joints'!$A$496,VLOOKUP($A175,'Swing Joints'!$A$9:$M$495,6,FALSE),
IF($A175&lt;'Swing Joints Components'!$A$135,VLOOKUP($A175,'Swing Joints Components'!$A$9:$M$134,6,FALSE),
IF($A175&lt;Nonstandard!$A$42,VLOOKUP($A175,Nonstandard!$A$31:$J$41,7,FALSE),"")))))))))))))))))))))))))))),"")</f>
        <v/>
      </c>
      <c r="E175" s="427"/>
      <c r="F175" s="418" t="str">
        <f>IFERROR(IF($A175&lt;'DWV PVC'!$A$285,VLOOKUP($A175,'DWV PVC'!$A$8:$M$284,9,FALSE),
IF($A175&lt;'DWV ABS'!$A$117,VLOOKUP($A175,'DWV ABS'!$A$8:$M$116,9,FALSE),
IF($A175&lt;'PVC SCH40'!$A$376,VLOOKUP($A175,'PVC SCH40'!$A$8:$M$375,9,FALSE),
IF($A175&lt;'PVC SCH40 LD'!$A$22,VLOOKUP($A175,'PVC SCH40 LD'!$A$8:$M$21,9,FALSE),
IF($A175&lt;'Pool &amp; SPA Sweep Elbows'!$A$12,VLOOKUP($A175,'Pool &amp; SPA Sweep Elbows'!$A$8:$M$11,9,FALSE),
IF($A175&lt;'Pool &amp; SPA Pipe Extender'!$A$11,VLOOKUP($A175,'Pool &amp; SPA Pipe Extender'!$A$8:$M$10,9,FALSE),
IF($A175&lt;'PVC SCH80'!$A$250,VLOOKUP($A175,'PVC SCH80'!$A$8:$M$249,9,FALSE),
IF($A175&lt;'PVC SCH80 Flange'!$A$49,VLOOKUP($A175,'PVC SCH80 Flange'!$A$8:$M$48,9,FALSE),
IF($A175&lt;'PVC SCH80 LD Flange'!$A$17,VLOOKUP($A175,'PVC SCH80 LD Flange'!$A$8:$M$16,9,FALSE),
IF($A175&lt;CPVC!$A$100,VLOOKUP($A175,CPVC!$A$8:$M$99,9,FALSE),
IF($A175&lt;InsertFittings!$A$237,VLOOKUP($A175,InsertFittings!$A$11:$M$236,9,FALSE),
IF($A175&lt;Valves!$A$132,VLOOKUP($A175,Valves!$A$8:$M$131,9,FALSE),
IF($A175&lt;SDR35SW!$A$124,VLOOKUP($A175,SDR35SW!$A$8:$M$123,9,FALSE),
IF($A175&lt;SDR35G!$A$143,VLOOKUP($A175, SDR35G!$A$8:$M$142,9,FALSE),
IF($A175&lt;SDR26G!$A$61,VLOOKUP($A175,SDR26G!$A$8:$N$60,10,FALSE),
IF($A175&lt;Cements!$A$100,VLOOKUP($A175,Cements!$A$8:$Q$99,13,FALSE),
IF($A175&lt;ValveBox!$A$143,VLOOKUP($A175,ValveBox!$A$10:$O$142,11,FALSE),
IF($A175&lt;'ValveBox Components'!$A$165,VLOOKUP($A175,'ValveBox Components'!$A$10:$O$164,11,FALSE),
IF($A175&lt;Drainage!$A$92,VLOOKUP($A175,Drainage!$A$8:$M$91,9,FALSE),
IF($A175&lt;Nipples!$A$82,VLOOKUP($A175,Nipples!$A$9:$Q$81,13,FALSE),
IF($A175&lt;Manifold!$A$33,VLOOKUP($A175,Manifold!$A$9:$M$32,9,FALSE),
IF($A175&lt;FlexibleRepairCouplings!$A$13,VLOOKUP($A175,FlexibleRepairCouplings!$A$10:$M$12,9,FALSE),
IF($A175&lt;DuraFix!$A$15,VLOOKUP($A175,DuraFix!$A$9:$M$14,9,FALSE),
IF($A175&lt;'Compression Fittings'!$A$16,VLOOKUP($A175,'Compression Fittings'!$A$8:$M$15,9,FALSE),
IF($A175&lt;'Hose Fittings'!$A$30,VLOOKUP($A175,'Hose Fittings'!$A$8:$M$29,9,FALSE),
IF($A175&lt;'Swing Joints'!$A$496,VLOOKUP($A175,'Swing Joints'!$A$9:$M$495,9,FALSE),
IF($A175&lt;'Swing Joints Components'!$A$135,VLOOKUP($A175,'Swing Joints Components'!$A$9:$M$134,9,FALSE),
IF($A175&lt;Nonstandard!$A$42,VLOOKUP($A175,Nonstandard!$A$31:$J$41,8,FALSE),"")))))))))))))))))))))))))))),"")</f>
        <v/>
      </c>
      <c r="G175" s="416" t="str">
        <f>IFERROR(IF($A175&lt;'DWV PVC'!$A$285,VLOOKUP($A175,'DWV PVC'!$A$8:$M$284,11,FALSE),
IF($A175&lt;'DWV ABS'!$A$117,VLOOKUP($A175,'DWV ABS'!$A$8:$M$116,11,FALSE),
IF($A175&lt;'PVC SCH40'!$A$376,VLOOKUP($A175,'PVC SCH40'!$A$8:$M$375,11,FALSE),
IF($A175&lt;'PVC SCH40 LD'!$A$22,VLOOKUP($A175,'PVC SCH40 LD'!$A$8:$M$21,11,FALSE),
IF($A175&lt;'Pool &amp; SPA Sweep Elbows'!$A$12,VLOOKUP($A175,'Pool &amp; SPA Sweep Elbows'!$A$8:$M$11,11,FALSE),
IF($A175&lt;'Pool &amp; SPA Pipe Extender'!$A$11,VLOOKUP($A175,'Pool &amp; SPA Pipe Extender'!$A$8:$M$10,11,FALSE),
IF($A175&lt;'PVC SCH80'!$A$250,VLOOKUP($A175,'PVC SCH80'!$A$8:$M$249,11,FALSE),
IF($A175&lt;'PVC SCH80 Flange'!$A$49,VLOOKUP($A175,'PVC SCH80 Flange'!$A$8:$M$48,11,FALSE),
IF($A175&lt;'PVC SCH80 LD Flange'!$A$17,VLOOKUP($A175,'PVC SCH80 LD Flange'!$A$8:$M$16,11,FALSE),
IF($A175&lt;CPVC!$A$100,VLOOKUP($A175,CPVC!$A$8:$M$99,11,FALSE),
IF($A175&lt;InsertFittings!$A$237,VLOOKUP($A175,InsertFittings!$A$11:$M$236,11,FALSE),
IF($A175&lt;Valves!$A$132,VLOOKUP($A175,Valves!$A$8:$M$131,11,FALSE),
IF($A175&lt;SDR35SW!$A$124,VLOOKUP($A175,SDR35SW!$A$8:$M$123,11,FALSE),
IF($A175&lt;SDR35G!$A$143,VLOOKUP($A175, SDR35G!$A$8:$M$142,11,FALSE),
IF($A175&lt;SDR26G!$A$61,VLOOKUP($A175,SDR26G!$A$8:$N$60,12,FALSE),
IF($A175&lt;Cements!$A$100,VLOOKUP($A175,Cements!$A$8:$Q$99,15,FALSE),
IF($A175&lt;ValveBox!$A$143,VLOOKUP($A175,ValveBox!$A$10:$O$142,13,FALSE),
IF($A175&lt;'ValveBox Components'!$A$165,VLOOKUP($A175,'ValveBox Components'!$A$10:$O$164,13,FALSE),
IF($A175&lt;Drainage!$A$92,VLOOKUP($A175,Drainage!$A$8:$M$91,11,FALSE),
IF($A175&lt;Nipples!$A$82,VLOOKUP($A175,Nipples!$A$9:$Q$81,15,FALSE),
IF($A175&lt;Manifold!$A$33,VLOOKUP($A175,Manifold!$A$9:$M$32,11,FALSE),
IF($A175&lt;FlexibleRepairCouplings!$A$13,VLOOKUP($A175,FlexibleRepairCouplings!$A$10:$M$12,11,FALSE),
IF($A175&lt;DuraFix!$A$15,VLOOKUP($A175,DuraFix!$A$9:$M$14,11,FALSE),
IF($A175&lt;'Compression Fittings'!$A$16,VLOOKUP($A175,'Compression Fittings'!$A$8:$M$15,11,FALSE),
IF($A175&lt;'Hose Fittings'!$A$30,VLOOKUP($A175,'Hose Fittings'!$A$8:$M$29,11,FALSE),
IF($A175&lt;'Swing Joints'!$A$496,VLOOKUP($A175,'Swing Joints'!$A$9:$M$495,11,FALSE),
IF($A175&lt;'Swing Joints Components'!$A$135,VLOOKUP($A175,'Swing Joints Components'!$A$9:$M$134,11,FALSE),
IF($A175&lt;Nonstandard!$A$42,VLOOKUP($A175,Nonstandard!$A$31:$J$41,3,FALSE),"")))))))))))))))))))))))))))),"")</f>
        <v/>
      </c>
      <c r="H175" s="586" t="str">
        <f>IFERROR(IF($A175&lt;'DWV PVC'!$A$285,VLOOKUP($A175,'DWV PVC'!$A$8:$M$284,7,FALSE),
IF($A175&lt;'DWV ABS'!$A$117,VLOOKUP($A175,'DWV ABS'!$A$8:$M$116,7,FALSE),
IF($A175&lt;'PVC SCH40'!$A$376,VLOOKUP($A175,'PVC SCH40'!$A$8:$M$375,7,FALSE),
IF($A175&lt;'PVC SCH40 LD'!$A$22,VLOOKUP($A175,'PVC SCH40 LD'!$A$8:$M$21,7,FALSE),
IF($A175&lt;'Pool &amp; SPA Sweep Elbows'!$A$12,VLOOKUP($A175,'Pool &amp; SPA Sweep Elbows'!$A$8:$M$11,7,FALSE),
IF($A175&lt;'Pool &amp; SPA Pipe Extender'!$A$11,VLOOKUP($A175,'Pool &amp; SPA Pipe Extender'!$A$8:$M$10,7,FALSE),
IF($A175&lt;'PVC SCH80'!$A$250,VLOOKUP($A175,'PVC SCH80'!$A$8:$M$249,7,FALSE),
IF($A175&lt;'PVC SCH80 Flange'!$A$49,VLOOKUP($A175,'PVC SCH80 Flange'!$A$8:$M$48,7,FALSE),
IF($A175&lt;'PVC SCH80 LD Flange'!$A$17,VLOOKUP($A175,'PVC SCH80 LD Flange'!$A$8:$M$16,7,FALSE),
IF($A175&lt;CPVC!$A$100,VLOOKUP($A175,CPVC!$A$8:$M$99,7,FALSE),
IF($A175&lt;InsertFittings!$A$237,VLOOKUP($A175,InsertFittings!$A$11:$M$236,7,FALSE),
IF($A175&lt;Valves!$A$132,VLOOKUP($A175,Valves!$A$8:$M$131,7,FALSE),
IF($A175&lt;SDR35SW!$A$124,VLOOKUP($A175,SDR35SW!$A$8:$M$123,7,FALSE),
IF($A175&lt;SDR35G!$A$143,VLOOKUP($A175, SDR35G!$A$8:$M$142,7,FALSE),
IF($A175&lt;SDR26G!$A$61,VLOOKUP($A175,SDR26G!$A$8:$N$60,10,FALSE),
IF($A175&lt;Cements!$A$100,VLOOKUP($A175,Cements!$A$8:$Q$99,13,FALSE),
IF($A175&lt;ValveBox!$A$143,VLOOKUP($A175,ValveBox!$A$10:$O$142,11,FALSE),
IF($A175&lt;'ValveBox Components'!$A$165,VLOOKUP($A175,'ValveBox Components'!$A$10:$O$164,11,FALSE),
IF($A175&lt;Drainage!$A$92,VLOOKUP($A175,Drainage!$A$8:$M$91,7,FALSE),
IF($A175&lt;Nipples!$A$82,VLOOKUP($A175,Nipples!$A$9:$Q$81,13,FALSE),
IF($A175&lt;Manifold!$A$33,VLOOKUP($A175,Manifold!$A$9:$M$32,7,FALSE),
IF($A175&lt;FlexibleRepairCouplings!$A$13,VLOOKUP($A175,FlexibleRepairCouplings!$A$10:$M$12,7,FALSE),
IF($A175&lt;DuraFix!$A$15,VLOOKUP($A175,DuraFix!$A$9:$M$14,7,FALSE),
IF($A175&lt;'Compression Fittings'!$A$16,VLOOKUP($A175,'Compression Fittings'!$A$8:$M$15,7,FALSE),
IF($A175&lt;'Hose Fittings'!$A$30,VLOOKUP($A175,'Hose Fittings'!$A$8:$M$29,7,FALSE),
IF($A175&lt;'Swing Joints'!$A$496,VLOOKUP($A175,'Swing Joints'!$A$9:$M$495,7,FALSE),
IF($A175&lt;'Swing Joints Components'!$A$135,VLOOKUP($A175,'Swing Joints Components'!$A$9:$M$134,7,FALSE),
IF($A175&lt;Nonstandard!$A$42,VLOOKUP($A175,Nonstandard!$A$31:$J$41,3,FALSE),"")))))))))))))))))))))))))))),"")</f>
        <v/>
      </c>
      <c r="I175" s="587"/>
      <c r="J175" s="383" t="str">
        <f t="shared" si="5"/>
        <v/>
      </c>
      <c r="K175" s="417" t="str">
        <f>IFERROR(IF($A175&lt;'DWV PVC'!$A$285,VLOOKUP($A175,'DWV PVC'!$A$8:$M$284,10,FALSE),
IF($A175&lt;'DWV ABS'!$A$117,VLOOKUP($A175,'DWV ABS'!$A$8:$M$116,10,FALSE),
IF($A175&lt;'PVC SCH40'!$A$376,VLOOKUP($A175,'PVC SCH40'!$A$8:$M$375,10,FALSE),
IF($A175&lt;'PVC SCH40 LD'!$A$22,VLOOKUP($A175,'PVC SCH40 LD'!$A$8:$M$21,10,FALSE),
IF($A175&lt;'Pool &amp; SPA Sweep Elbows'!$A$12,VLOOKUP($A175,'Pool &amp; SPA Sweep Elbows'!$A$8:$M$11,10,FALSE),
IF($A175&lt;'Pool &amp; SPA Pipe Extender'!$A$11,VLOOKUP($A175,'Pool &amp; SPA Pipe Extender'!$A$8:$M$10,10,FALSE),
IF($A175&lt;'PVC SCH80'!$A$250,VLOOKUP($A175,'PVC SCH80'!$A$8:$M$249,10,FALSE),
IF($A175&lt;'PVC SCH80 Flange'!$A$49,VLOOKUP($A175,'PVC SCH80 Flange'!$A$8:$M$48,10,FALSE),
IF($A175&lt;'PVC SCH80 LD Flange'!$A$17,VLOOKUP($A175,'PVC SCH80 LD Flange'!$A$8:$M$16,10,FALSE),
IF($A175&lt;CPVC!$A$100,VLOOKUP($A175,CPVC!$A$8:$M$99,10,FALSE),
IF($A175&lt;InsertFittings!$A$237,VLOOKUP($A175,InsertFittings!$A$11:$M$236,10,FALSE),
IF($A175&lt;Valves!$A$132,VLOOKUP($A175,Valves!$A$8:$M$131,10,FALSE),
IF($A175&lt;SDR35SW!$A$124,VLOOKUP($A175,SDR35SW!$A$8:$M$123,10,FALSE),
IF($A175&lt;SDR35G!$A$143,VLOOKUP($A175, SDR35G!$A$8:$M$142,10,FALSE),
IF($A175&lt;SDR26G!$A$61,VLOOKUP($A175,SDR26G!$A$8:$N$60,11,FALSE),
IF($A175&lt;Cements!$A$100,VLOOKUP($A175,Cements!$A$8:$Q$99,14,FALSE),
IF($A175&lt;ValveBox!$A$143,VLOOKUP($A175,ValveBox!$A$10:$O$142,12,FALSE),
IF($A175&lt;'ValveBox Components'!$A$165,VLOOKUP($A175,'ValveBox Components'!$A$10:$O$164,12,FALSE),
IF($A175&lt;Drainage!$A$92,VLOOKUP($A175,Drainage!$A$8:$M$91,10,FALSE),
IF($A175&lt;Nipples!$A$82,VLOOKUP($A175,Nipples!$A$9:$Q$81,14,FALSE),
IF($A175&lt;Manifold!$A$33,VLOOKUP($A175,Manifold!$A$9:$M$32,10,FALSE),
IF($A175&lt;FlexibleRepairCouplings!$A$13,VLOOKUP($A175,FlexibleRepairCouplings!$A$10:$M$12,10,FALSE),
IF($A175&lt;DuraFix!$A$15,VLOOKUP($A175,DuraFix!$A$9:$M$14,10,FALSE),
IF($A175&lt;'Compression Fittings'!$A$16,VLOOKUP($A175,'Compression Fittings'!$A$8:$M$15,10,FALSE),
IF($A175&lt;'Hose Fittings'!$A$30,VLOOKUP($A175,'Hose Fittings'!$A$8:$M$29,10,FALSE),
IF($A175&lt;'Swing Joints'!$A$496,VLOOKUP($A175,'Swing Joints'!$A$9:$M$495,10,FALSE),
IF($A175&lt;'Swing Joints Components'!$A$135,VLOOKUP($A175,'Swing Joints Components'!$A$9:$M$134,10,FALSE),
IF($A175&lt;Nonstandard!$A$42,VLOOKUP($A175,Nonstandard!$A$31:$J$41,10,FALSE),"")))))))))))))))))))))))))))),"")</f>
        <v/>
      </c>
      <c r="L175" s="418" t="str">
        <f t="shared" si="4"/>
        <v>-</v>
      </c>
      <c r="M175" s="419"/>
    </row>
    <row r="176" spans="1:13" ht="15.75">
      <c r="A176" s="420">
        <v>144</v>
      </c>
      <c r="B176" s="420" t="str">
        <f>IFERROR(IF($A176&lt;'DWV PVC'!$A$285,VLOOKUP($A176,'DWV PVC'!$A$8:$M$284,4,FALSE),
IF($A176&lt;'DWV ABS'!$A$117,VLOOKUP($A176,'DWV ABS'!$A$8:$M$116,4,FALSE),
IF($A176&lt;'PVC SCH40'!$A$376,VLOOKUP($A176,'PVC SCH40'!$A$8:$M$375,4,FALSE),
IF($A176&lt;'PVC SCH40 LD'!$A$22,VLOOKUP($A176,'PVC SCH40 LD'!$A$8:$M$21,4,FALSE),
IF($A176&lt;'Pool &amp; SPA Sweep Elbows'!$A$12,VLOOKUP($A176,'Pool &amp; SPA Sweep Elbows'!$A$8:$M$11,4,FALSE),
IF($A176&lt;'Pool &amp; SPA Pipe Extender'!$A$11,VLOOKUP($A176,'Pool &amp; SPA Pipe Extender'!$A$8:$M$10,4,FALSE),
IF($A176&lt;'PVC SCH80'!$A$250,VLOOKUP($A176,'PVC SCH80'!$A$8:$M$249,4,FALSE),
IF($A176&lt;'PVC SCH80 Flange'!$A$49,VLOOKUP($A176,'PVC SCH80 Flange'!$A$8:$M$48,4,FALSE),
IF($A176&lt;'PVC SCH80 LD Flange'!$A$17,VLOOKUP($A176,'PVC SCH80 LD Flange'!$A$8:$M$16,4,FALSE),
IF($A176&lt;CPVC!$A$100,VLOOKUP($A176,CPVC!$A$8:$M$99,4,FALSE),
IF($A176&lt;InsertFittings!$A$237,VLOOKUP($A176,InsertFittings!$A$11:$M$236,4,FALSE),
IF($A176&lt;Valves!$A$132,VLOOKUP($A176,Valves!$A$8:$M$131,4,FALSE),
IF($A176&lt;SDR35SW!$A$124,VLOOKUP($A176,SDR35SW!$A$8:$M$123,4,FALSE),
IF($A176&lt;SDR35G!$A$143,VLOOKUP($A176, SDR35G!$A$8:$M$142,4,FALSE),
IF($A176&lt;SDR26G!$A$61,VLOOKUP($A176,SDR26G!$A$8:$N$60,4,FALSE),
IF($A176&lt;Cements!$A$100,VLOOKUP($A176,Cements!$A$8:$Q$99,4,FALSE),
IF($A176&lt;ValveBox!$A$143,VLOOKUP($A176,ValveBox!$A$10:$O$142,4,FALSE),
IF($A176&lt;'ValveBox Components'!$A$165,VLOOKUP($A176,'ValveBox Components'!$A$10:$O$164,4,FALSE),
IF($A176&lt;Drainage!$A$92,VLOOKUP($A176,Drainage!$A$8:$M$91,4,FALSE),
IF($A176&lt;Nipples!$A$82,VLOOKUP($A176,Nipples!$A$9:$Q$81,4,FALSE),
IF($A176&lt;Manifold!$A$33,VLOOKUP($A176,Manifold!$A$9:$M$32,4,FALSE),
IF($A176&lt;FlexibleRepairCouplings!$A$13,VLOOKUP($A176,FlexibleRepairCouplings!$A$10:$M$12,4,FALSE),
IF($A176&lt;DuraFix!$A$15,VLOOKUP($A176,DuraFix!$A$9:$M$14,4,FALSE),
IF($A176&lt;'Compression Fittings'!$A$16,VLOOKUP($A176,'Compression Fittings'!$A$8:$M$15,4,FALSE),
IF($A176&lt;'Hose Fittings'!$A$30,VLOOKUP($A176,'Hose Fittings'!$A$8:$M$29,4,FALSE),
IF($A176&lt;'Swing Joints'!$A$496,VLOOKUP($A176,'Swing Joints'!$A$9:$M$495,4,FALSE),
IF($A176&lt;'Swing Joints Components'!$A$135,VLOOKUP($A176,'Swing Joints Components'!$A$9:$M$134,4,FALSE),
IF($A176&lt;Nonstandard!$A$42,VLOOKUP($A176,Nonstandard!$A$31:$J$41,5,FALSE),"")))))))))))))))))))))))))))),"")</f>
        <v/>
      </c>
      <c r="C176" s="420" t="str">
        <f>IFERROR(IF($A176&lt;'DWV PVC'!$A$285,VLOOKUP($A176,'DWV PVC'!$A$8:$M$284,5,FALSE),
IF($A176&lt;'DWV ABS'!$A$117,VLOOKUP($A176,'DWV ABS'!$A$8:$M$116,5,FALSE),
IF($A176&lt;'PVC SCH40'!$A$376,VLOOKUP($A176,'PVC SCH40'!$A$8:$M$375,5,FALSE),
IF($A176&lt;'PVC SCH40 LD'!$A$22,VLOOKUP($A176,'PVC SCH40 LD'!$A$8:$M$21,5,FALSE),
IF($A176&lt;'Pool &amp; SPA Sweep Elbows'!$A$12,VLOOKUP($A176,'Pool &amp; SPA Sweep Elbows'!$A$8:$M$11,5,FALSE),
IF($A176&lt;'Pool &amp; SPA Pipe Extender'!$A$11,VLOOKUP($A176,'Pool &amp; SPA Pipe Extender'!$A$8:$M$10,5,FALSE),
IF($A176&lt;'PVC SCH80'!$A$250,VLOOKUP($A176,'PVC SCH80'!$A$8:$M$249,5,FALSE),
IF($A176&lt;'PVC SCH80 Flange'!$A$49,VLOOKUP($A176,'PVC SCH80 Flange'!$A$8:$M$48,5,FALSE),
IF($A176&lt;'PVC SCH80 LD Flange'!$A$17,VLOOKUP($A176,'PVC SCH80 LD Flange'!$A$8:$M$16,5,FALSE),
IF($A176&lt;CPVC!$A$100,VLOOKUP($A176,CPVC!$A$8:$M$99,5,FALSE),
IF($A176&lt;InsertFittings!$A$237,VLOOKUP($A176,InsertFittings!$A$11:$M$236,5,FALSE),
IF($A176&lt;Valves!$A$132,VLOOKUP($A176,Valves!$A$8:$M$131,5,FALSE),
IF($A176&lt;SDR35SW!$A$124,VLOOKUP($A176,SDR35SW!$A$8:$M$123,5,FALSE),
IF($A176&lt;SDR35G!$A$143,VLOOKUP($A176, SDR35G!$A$8:$M$142,5,FALSE),
IF($A176&lt;SDR26G!$A$61,VLOOKUP($A176,SDR26G!$A$8:$N$60,5,FALSE),
IF($A176&lt;Cements!$A$100,VLOOKUP($A176,Cements!$A$8:$Q$99,5,FALSE),
IF($A176&lt;ValveBox!$A$143,VLOOKUP($A176,ValveBox!$A$10:$O$142,5,FALSE),
IF($A176&lt;'ValveBox Components'!$A$165,VLOOKUP($A176,'ValveBox Components'!$A$10:$O$164,5,FALSE),
IF($A176&lt;Drainage!$A$92,VLOOKUP($A176,Drainage!$A$8:$M$91,5,FALSE),
IF($A176&lt;Nipples!$A$82,VLOOKUP($A176,Nipples!$A$9:$Q$81,5,FALSE),
IF($A176&lt;Manifold!$A$33,VLOOKUP($A176,Manifold!$A$9:$M$32,5,FALSE),
IF($A176&lt;FlexibleRepairCouplings!$A$13,VLOOKUP($A176,FlexibleRepairCouplings!$A$10:$M$12,5,FALSE),
IF($A176&lt;DuraFix!$A$15,VLOOKUP($A176,DuraFix!$A$9:$M$14,5,FALSE),
IF($A176&lt;'Compression Fittings'!$A$16,VLOOKUP($A176,'Compression Fittings'!$A$8:$M$15,5,FALSE),
IF($A176&lt;'Hose Fittings'!$A$30,VLOOKUP($A176,'Hose Fittings'!$A$8:$M$29,5,FALSE),
IF($A176&lt;'Swing Joints'!$A$496,VLOOKUP($A176,'Swing Joints'!$A$9:$M$495,5,FALSE),
IF($A176&lt;'Swing Joints Components'!$A$135,VLOOKUP($A176,'Swing Joints Components'!$A$9:$M$134,5,FALSE),
IF($A176&lt;Nonstandard!$A$42,VLOOKUP($A176,Nonstandard!$A$31:$J$41,6,FALSE),"")))))))))))))))))))))))))))),"")</f>
        <v/>
      </c>
      <c r="D176" s="428" t="str">
        <f>IFERROR(IF($A176&lt;'DWV PVC'!$A$285,VLOOKUP($A176,'DWV PVC'!$A$8:$M$284,6,FALSE),
IF($A176&lt;'DWV ABS'!$A$117,VLOOKUP($A176,'DWV ABS'!$A$8:$M$116,6,FALSE),
IF($A176&lt;'PVC SCH40'!$A$376,VLOOKUP($A176,'PVC SCH40'!$A$8:$M$375,6,FALSE),
IF($A176&lt;'PVC SCH40 LD'!$A$22,VLOOKUP($A176,'PVC SCH40 LD'!$A$8:$M$21,6,FALSE),
IF($A176&lt;'Pool &amp; SPA Sweep Elbows'!$A$12,VLOOKUP($A176,'Pool &amp; SPA Sweep Elbows'!$A$8:$M$11,6,FALSE),
IF($A176&lt;'Pool &amp; SPA Pipe Extender'!$A$11,VLOOKUP($A176,'Pool &amp; SPA Pipe Extender'!$A$8:$M$10,6,FALSE),
IF($A176&lt;'PVC SCH80'!$A$250,VLOOKUP($A176,'PVC SCH80'!$A$8:$M$249,6,FALSE),
IF($A176&lt;'PVC SCH80 Flange'!$A$49,VLOOKUP($A176,'PVC SCH80 Flange'!$A$8:$M$48,6,FALSE),
IF($A176&lt;'PVC SCH80 LD Flange'!$A$17,VLOOKUP($A176,'PVC SCH80 LD Flange'!$A$8:$M$16,6,FALSE),
IF($A176&lt;CPVC!$A$100,VLOOKUP($A176,CPVC!$A$8:$M$99,6,FALSE),
IF($A176&lt;InsertFittings!$A$237,VLOOKUP($A176,InsertFittings!$A$11:$M$236,6,FALSE),
IF($A176&lt;Valves!$A$132,VLOOKUP($A176,Valves!$A$8:$M$131,6,FALSE),
IF($A176&lt;SDR35SW!$A$124,VLOOKUP($A176,SDR35SW!$A$8:$M$123,6,FALSE),
IF($A176&lt;SDR35G!$A$143,VLOOKUP($A176, SDR35G!$A$8:$M$142,6,FALSE),
IF($A176&lt;SDR26G!$A$61,VLOOKUP($A176,SDR26G!$A$8:$N$60,6,FALSE),
IF($A176&lt;Cements!$A$100,VLOOKUP($A176,Cements!$A$8:$Q$99,6,FALSE),
IF($A176&lt;ValveBox!$A$143,VLOOKUP($A176,ValveBox!$A$10:$O$142,6,FALSE),
IF($A176&lt;'ValveBox Components'!$A$165,VLOOKUP($A176,'ValveBox Components'!$A$10:$O$164,6,FALSE),
IF($A176&lt;Drainage!$A$92,VLOOKUP($A176,Drainage!$A$8:$M$91,6,FALSE),
IF($A176&lt;Nipples!$A$82,VLOOKUP($A176,Nipples!$A$9:$Q$81,6,FALSE),
IF($A176&lt;Manifold!$A$33,VLOOKUP($A176,Manifold!$A$9:$M$32,6,FALSE),
IF($A176&lt;FlexibleRepairCouplings!$A$13,VLOOKUP($A176,FlexibleRepairCouplings!$A$10:$M$12,6,FALSE),
IF($A176&lt;DuraFix!$A$15,VLOOKUP($A176,DuraFix!$A$9:$M$14,6,FALSE),
IF($A176&lt;'Compression Fittings'!$A$16,VLOOKUP($A176,'Compression Fittings'!$A$8:$M$15,6,FALSE),
IF($A176&lt;'Hose Fittings'!$A$30,VLOOKUP($A176,'Hose Fittings'!$A$8:$M$29,6,FALSE),
IF($A176&lt;'Swing Joints'!$A$496,VLOOKUP($A176,'Swing Joints'!$A$9:$M$495,6,FALSE),
IF($A176&lt;'Swing Joints Components'!$A$135,VLOOKUP($A176,'Swing Joints Components'!$A$9:$M$134,6,FALSE),
IF($A176&lt;Nonstandard!$A$42,VLOOKUP($A176,Nonstandard!$A$31:$J$41,7,FALSE),"")))))))))))))))))))))))))))),"")</f>
        <v/>
      </c>
      <c r="E176" s="429"/>
      <c r="F176" s="421" t="str">
        <f>IFERROR(IF($A176&lt;'DWV PVC'!$A$285,VLOOKUP($A176,'DWV PVC'!$A$8:$M$284,9,FALSE),
IF($A176&lt;'DWV ABS'!$A$117,VLOOKUP($A176,'DWV ABS'!$A$8:$M$116,9,FALSE),
IF($A176&lt;'PVC SCH40'!$A$376,VLOOKUP($A176,'PVC SCH40'!$A$8:$M$375,9,FALSE),
IF($A176&lt;'PVC SCH40 LD'!$A$22,VLOOKUP($A176,'PVC SCH40 LD'!$A$8:$M$21,9,FALSE),
IF($A176&lt;'Pool &amp; SPA Sweep Elbows'!$A$12,VLOOKUP($A176,'Pool &amp; SPA Sweep Elbows'!$A$8:$M$11,9,FALSE),
IF($A176&lt;'Pool &amp; SPA Pipe Extender'!$A$11,VLOOKUP($A176,'Pool &amp; SPA Pipe Extender'!$A$8:$M$10,9,FALSE),
IF($A176&lt;'PVC SCH80'!$A$250,VLOOKUP($A176,'PVC SCH80'!$A$8:$M$249,9,FALSE),
IF($A176&lt;'PVC SCH80 Flange'!$A$49,VLOOKUP($A176,'PVC SCH80 Flange'!$A$8:$M$48,9,FALSE),
IF($A176&lt;'PVC SCH80 LD Flange'!$A$17,VLOOKUP($A176,'PVC SCH80 LD Flange'!$A$8:$M$16,9,FALSE),
IF($A176&lt;CPVC!$A$100,VLOOKUP($A176,CPVC!$A$8:$M$99,9,FALSE),
IF($A176&lt;InsertFittings!$A$237,VLOOKUP($A176,InsertFittings!$A$11:$M$236,9,FALSE),
IF($A176&lt;Valves!$A$132,VLOOKUP($A176,Valves!$A$8:$M$131,9,FALSE),
IF($A176&lt;SDR35SW!$A$124,VLOOKUP($A176,SDR35SW!$A$8:$M$123,9,FALSE),
IF($A176&lt;SDR35G!$A$143,VLOOKUP($A176, SDR35G!$A$8:$M$142,9,FALSE),
IF($A176&lt;SDR26G!$A$61,VLOOKUP($A176,SDR26G!$A$8:$N$60,10,FALSE),
IF($A176&lt;Cements!$A$100,VLOOKUP($A176,Cements!$A$8:$Q$99,13,FALSE),
IF($A176&lt;ValveBox!$A$143,VLOOKUP($A176,ValveBox!$A$10:$O$142,11,FALSE),
IF($A176&lt;'ValveBox Components'!$A$165,VLOOKUP($A176,'ValveBox Components'!$A$10:$O$164,11,FALSE),
IF($A176&lt;Drainage!$A$92,VLOOKUP($A176,Drainage!$A$8:$M$91,9,FALSE),
IF($A176&lt;Nipples!$A$82,VLOOKUP($A176,Nipples!$A$9:$Q$81,13,FALSE),
IF($A176&lt;Manifold!$A$33,VLOOKUP($A176,Manifold!$A$9:$M$32,9,FALSE),
IF($A176&lt;FlexibleRepairCouplings!$A$13,VLOOKUP($A176,FlexibleRepairCouplings!$A$10:$M$12,9,FALSE),
IF($A176&lt;DuraFix!$A$15,VLOOKUP($A176,DuraFix!$A$9:$M$14,9,FALSE),
IF($A176&lt;'Compression Fittings'!$A$16,VLOOKUP($A176,'Compression Fittings'!$A$8:$M$15,9,FALSE),
IF($A176&lt;'Hose Fittings'!$A$30,VLOOKUP($A176,'Hose Fittings'!$A$8:$M$29,9,FALSE),
IF($A176&lt;'Swing Joints'!$A$496,VLOOKUP($A176,'Swing Joints'!$A$9:$M$495,9,FALSE),
IF($A176&lt;'Swing Joints Components'!$A$135,VLOOKUP($A176,'Swing Joints Components'!$A$9:$M$134,9,FALSE),
IF($A176&lt;Nonstandard!$A$42,VLOOKUP($A176,Nonstandard!$A$31:$J$41,8,FALSE),"")))))))))))))))))))))))))))),"")</f>
        <v/>
      </c>
      <c r="G176" s="422" t="str">
        <f>IFERROR(IF($A176&lt;'DWV PVC'!$A$285,VLOOKUP($A176,'DWV PVC'!$A$8:$M$284,11,FALSE),
IF($A176&lt;'DWV ABS'!$A$117,VLOOKUP($A176,'DWV ABS'!$A$8:$M$116,11,FALSE),
IF($A176&lt;'PVC SCH40'!$A$376,VLOOKUP($A176,'PVC SCH40'!$A$8:$M$375,11,FALSE),
IF($A176&lt;'PVC SCH40 LD'!$A$22,VLOOKUP($A176,'PVC SCH40 LD'!$A$8:$M$21,11,FALSE),
IF($A176&lt;'Pool &amp; SPA Sweep Elbows'!$A$12,VLOOKUP($A176,'Pool &amp; SPA Sweep Elbows'!$A$8:$M$11,11,FALSE),
IF($A176&lt;'Pool &amp; SPA Pipe Extender'!$A$11,VLOOKUP($A176,'Pool &amp; SPA Pipe Extender'!$A$8:$M$10,11,FALSE),
IF($A176&lt;'PVC SCH80'!$A$250,VLOOKUP($A176,'PVC SCH80'!$A$8:$M$249,11,FALSE),
IF($A176&lt;'PVC SCH80 Flange'!$A$49,VLOOKUP($A176,'PVC SCH80 Flange'!$A$8:$M$48,11,FALSE),
IF($A176&lt;'PVC SCH80 LD Flange'!$A$17,VLOOKUP($A176,'PVC SCH80 LD Flange'!$A$8:$M$16,11,FALSE),
IF($A176&lt;CPVC!$A$100,VLOOKUP($A176,CPVC!$A$8:$M$99,11,FALSE),
IF($A176&lt;InsertFittings!$A$237,VLOOKUP($A176,InsertFittings!$A$11:$M$236,11,FALSE),
IF($A176&lt;Valves!$A$132,VLOOKUP($A176,Valves!$A$8:$M$131,11,FALSE),
IF($A176&lt;SDR35SW!$A$124,VLOOKUP($A176,SDR35SW!$A$8:$M$123,11,FALSE),
IF($A176&lt;SDR35G!$A$143,VLOOKUP($A176, SDR35G!$A$8:$M$142,11,FALSE),
IF($A176&lt;SDR26G!$A$61,VLOOKUP($A176,SDR26G!$A$8:$N$60,12,FALSE),
IF($A176&lt;Cements!$A$100,VLOOKUP($A176,Cements!$A$8:$Q$99,15,FALSE),
IF($A176&lt;ValveBox!$A$143,VLOOKUP($A176,ValveBox!$A$10:$O$142,13,FALSE),
IF($A176&lt;'ValveBox Components'!$A$165,VLOOKUP($A176,'ValveBox Components'!$A$10:$O$164,13,FALSE),
IF($A176&lt;Drainage!$A$92,VLOOKUP($A176,Drainage!$A$8:$M$91,11,FALSE),
IF($A176&lt;Nipples!$A$82,VLOOKUP($A176,Nipples!$A$9:$Q$81,15,FALSE),
IF($A176&lt;Manifold!$A$33,VLOOKUP($A176,Manifold!$A$9:$M$32,11,FALSE),
IF($A176&lt;FlexibleRepairCouplings!$A$13,VLOOKUP($A176,FlexibleRepairCouplings!$A$10:$M$12,11,FALSE),
IF($A176&lt;DuraFix!$A$15,VLOOKUP($A176,DuraFix!$A$9:$M$14,11,FALSE),
IF($A176&lt;'Compression Fittings'!$A$16,VLOOKUP($A176,'Compression Fittings'!$A$8:$M$15,11,FALSE),
IF($A176&lt;'Hose Fittings'!$A$30,VLOOKUP($A176,'Hose Fittings'!$A$8:$M$29,11,FALSE),
IF($A176&lt;'Swing Joints'!$A$496,VLOOKUP($A176,'Swing Joints'!$A$9:$M$495,11,FALSE),
IF($A176&lt;'Swing Joints Components'!$A$135,VLOOKUP($A176,'Swing Joints Components'!$A$9:$M$134,11,FALSE),
IF($A176&lt;Nonstandard!$A$42,VLOOKUP($A176,Nonstandard!$A$31:$J$41,3,FALSE),"")))))))))))))))))))))))))))),"")</f>
        <v/>
      </c>
      <c r="H176" s="588" t="str">
        <f>IFERROR(IF($A176&lt;'DWV PVC'!$A$285,VLOOKUP($A176,'DWV PVC'!$A$8:$M$284,7,FALSE),
IF($A176&lt;'DWV ABS'!$A$117,VLOOKUP($A176,'DWV ABS'!$A$8:$M$116,7,FALSE),
IF($A176&lt;'PVC SCH40'!$A$376,VLOOKUP($A176,'PVC SCH40'!$A$8:$M$375,7,FALSE),
IF($A176&lt;'PVC SCH40 LD'!$A$22,VLOOKUP($A176,'PVC SCH40 LD'!$A$8:$M$21,7,FALSE),
IF($A176&lt;'Pool &amp; SPA Sweep Elbows'!$A$12,VLOOKUP($A176,'Pool &amp; SPA Sweep Elbows'!$A$8:$M$11,7,FALSE),
IF($A176&lt;'Pool &amp; SPA Pipe Extender'!$A$11,VLOOKUP($A176,'Pool &amp; SPA Pipe Extender'!$A$8:$M$10,7,FALSE),
IF($A176&lt;'PVC SCH80'!$A$250,VLOOKUP($A176,'PVC SCH80'!$A$8:$M$249,7,FALSE),
IF($A176&lt;'PVC SCH80 Flange'!$A$49,VLOOKUP($A176,'PVC SCH80 Flange'!$A$8:$M$48,7,FALSE),
IF($A176&lt;'PVC SCH80 LD Flange'!$A$17,VLOOKUP($A176,'PVC SCH80 LD Flange'!$A$8:$M$16,7,FALSE),
IF($A176&lt;CPVC!$A$100,VLOOKUP($A176,CPVC!$A$8:$M$99,7,FALSE),
IF($A176&lt;InsertFittings!$A$237,VLOOKUP($A176,InsertFittings!$A$11:$M$236,7,FALSE),
IF($A176&lt;Valves!$A$132,VLOOKUP($A176,Valves!$A$8:$M$131,7,FALSE),
IF($A176&lt;SDR35SW!$A$124,VLOOKUP($A176,SDR35SW!$A$8:$M$123,7,FALSE),
IF($A176&lt;SDR35G!$A$143,VLOOKUP($A176, SDR35G!$A$8:$M$142,7,FALSE),
IF($A176&lt;SDR26G!$A$61,VLOOKUP($A176,SDR26G!$A$8:$N$60,10,FALSE),
IF($A176&lt;Cements!$A$100,VLOOKUP($A176,Cements!$A$8:$Q$99,13,FALSE),
IF($A176&lt;ValveBox!$A$143,VLOOKUP($A176,ValveBox!$A$10:$O$142,11,FALSE),
IF($A176&lt;'ValveBox Components'!$A$165,VLOOKUP($A176,'ValveBox Components'!$A$10:$O$164,11,FALSE),
IF($A176&lt;Drainage!$A$92,VLOOKUP($A176,Drainage!$A$8:$M$91,7,FALSE),
IF($A176&lt;Nipples!$A$82,VLOOKUP($A176,Nipples!$A$9:$Q$81,13,FALSE),
IF($A176&lt;Manifold!$A$33,VLOOKUP($A176,Manifold!$A$9:$M$32,7,FALSE),
IF($A176&lt;FlexibleRepairCouplings!$A$13,VLOOKUP($A176,FlexibleRepairCouplings!$A$10:$M$12,7,FALSE),
IF($A176&lt;DuraFix!$A$15,VLOOKUP($A176,DuraFix!$A$9:$M$14,7,FALSE),
IF($A176&lt;'Compression Fittings'!$A$16,VLOOKUP($A176,'Compression Fittings'!$A$8:$M$15,7,FALSE),
IF($A176&lt;'Hose Fittings'!$A$30,VLOOKUP($A176,'Hose Fittings'!$A$8:$M$29,7,FALSE),
IF($A176&lt;'Swing Joints'!$A$496,VLOOKUP($A176,'Swing Joints'!$A$9:$M$495,7,FALSE),
IF($A176&lt;'Swing Joints Components'!$A$135,VLOOKUP($A176,'Swing Joints Components'!$A$9:$M$134,7,FALSE),
IF($A176&lt;Nonstandard!$A$42,VLOOKUP($A176,Nonstandard!$A$31:$J$41,3,FALSE),"")))))))))))))))))))))))))))),"")</f>
        <v/>
      </c>
      <c r="I176" s="589"/>
      <c r="J176" s="423" t="str">
        <f t="shared" si="5"/>
        <v/>
      </c>
      <c r="K176" s="424" t="str">
        <f>IFERROR(IF($A176&lt;'DWV PVC'!$A$285,VLOOKUP($A176,'DWV PVC'!$A$8:$M$284,10,FALSE),
IF($A176&lt;'DWV ABS'!$A$117,VLOOKUP($A176,'DWV ABS'!$A$8:$M$116,10,FALSE),
IF($A176&lt;'PVC SCH40'!$A$376,VLOOKUP($A176,'PVC SCH40'!$A$8:$M$375,10,FALSE),
IF($A176&lt;'PVC SCH40 LD'!$A$22,VLOOKUP($A176,'PVC SCH40 LD'!$A$8:$M$21,10,FALSE),
IF($A176&lt;'Pool &amp; SPA Sweep Elbows'!$A$12,VLOOKUP($A176,'Pool &amp; SPA Sweep Elbows'!$A$8:$M$11,10,FALSE),
IF($A176&lt;'Pool &amp; SPA Pipe Extender'!$A$11,VLOOKUP($A176,'Pool &amp; SPA Pipe Extender'!$A$8:$M$10,10,FALSE),
IF($A176&lt;'PVC SCH80'!$A$250,VLOOKUP($A176,'PVC SCH80'!$A$8:$M$249,10,FALSE),
IF($A176&lt;'PVC SCH80 Flange'!$A$49,VLOOKUP($A176,'PVC SCH80 Flange'!$A$8:$M$48,10,FALSE),
IF($A176&lt;'PVC SCH80 LD Flange'!$A$17,VLOOKUP($A176,'PVC SCH80 LD Flange'!$A$8:$M$16,10,FALSE),
IF($A176&lt;CPVC!$A$100,VLOOKUP($A176,CPVC!$A$8:$M$99,10,FALSE),
IF($A176&lt;InsertFittings!$A$237,VLOOKUP($A176,InsertFittings!$A$11:$M$236,10,FALSE),
IF($A176&lt;Valves!$A$132,VLOOKUP($A176,Valves!$A$8:$M$131,10,FALSE),
IF($A176&lt;SDR35SW!$A$124,VLOOKUP($A176,SDR35SW!$A$8:$M$123,10,FALSE),
IF($A176&lt;SDR35G!$A$143,VLOOKUP($A176, SDR35G!$A$8:$M$142,10,FALSE),
IF($A176&lt;SDR26G!$A$61,VLOOKUP($A176,SDR26G!$A$8:$N$60,11,FALSE),
IF($A176&lt;Cements!$A$100,VLOOKUP($A176,Cements!$A$8:$Q$99,14,FALSE),
IF($A176&lt;ValveBox!$A$143,VLOOKUP($A176,ValveBox!$A$10:$O$142,12,FALSE),
IF($A176&lt;'ValveBox Components'!$A$165,VLOOKUP($A176,'ValveBox Components'!$A$10:$O$164,12,FALSE),
IF($A176&lt;Drainage!$A$92,VLOOKUP($A176,Drainage!$A$8:$M$91,10,FALSE),
IF($A176&lt;Nipples!$A$82,VLOOKUP($A176,Nipples!$A$9:$Q$81,14,FALSE),
IF($A176&lt;Manifold!$A$33,VLOOKUP($A176,Manifold!$A$9:$M$32,10,FALSE),
IF($A176&lt;FlexibleRepairCouplings!$A$13,VLOOKUP($A176,FlexibleRepairCouplings!$A$10:$M$12,10,FALSE),
IF($A176&lt;DuraFix!$A$15,VLOOKUP($A176,DuraFix!$A$9:$M$14,10,FALSE),
IF($A176&lt;'Compression Fittings'!$A$16,VLOOKUP($A176,'Compression Fittings'!$A$8:$M$15,10,FALSE),
IF($A176&lt;'Hose Fittings'!$A$30,VLOOKUP($A176,'Hose Fittings'!$A$8:$M$29,10,FALSE),
IF($A176&lt;'Swing Joints'!$A$496,VLOOKUP($A176,'Swing Joints'!$A$9:$M$495,10,FALSE),
IF($A176&lt;'Swing Joints Components'!$A$135,VLOOKUP($A176,'Swing Joints Components'!$A$9:$M$134,10,FALSE),
IF($A176&lt;Nonstandard!$A$42,VLOOKUP($A176,Nonstandard!$A$31:$J$41,10,FALSE),"")))))))))))))))))))))))))))),"")</f>
        <v/>
      </c>
      <c r="L176" s="421" t="str">
        <f t="shared" si="4"/>
        <v>-</v>
      </c>
      <c r="M176" s="425"/>
    </row>
    <row r="177" spans="1:13" ht="15.75">
      <c r="A177" s="415">
        <v>145</v>
      </c>
      <c r="B177" s="415" t="str">
        <f>IFERROR(IF($A177&lt;'DWV PVC'!$A$285,VLOOKUP($A177,'DWV PVC'!$A$8:$M$284,4,FALSE),
IF($A177&lt;'DWV ABS'!$A$117,VLOOKUP($A177,'DWV ABS'!$A$8:$M$116,4,FALSE),
IF($A177&lt;'PVC SCH40'!$A$376,VLOOKUP($A177,'PVC SCH40'!$A$8:$M$375,4,FALSE),
IF($A177&lt;'PVC SCH40 LD'!$A$22,VLOOKUP($A177,'PVC SCH40 LD'!$A$8:$M$21,4,FALSE),
IF($A177&lt;'Pool &amp; SPA Sweep Elbows'!$A$12,VLOOKUP($A177,'Pool &amp; SPA Sweep Elbows'!$A$8:$M$11,4,FALSE),
IF($A177&lt;'Pool &amp; SPA Pipe Extender'!$A$11,VLOOKUP($A177,'Pool &amp; SPA Pipe Extender'!$A$8:$M$10,4,FALSE),
IF($A177&lt;'PVC SCH80'!$A$250,VLOOKUP($A177,'PVC SCH80'!$A$8:$M$249,4,FALSE),
IF($A177&lt;'PVC SCH80 Flange'!$A$49,VLOOKUP($A177,'PVC SCH80 Flange'!$A$8:$M$48,4,FALSE),
IF($A177&lt;'PVC SCH80 LD Flange'!$A$17,VLOOKUP($A177,'PVC SCH80 LD Flange'!$A$8:$M$16,4,FALSE),
IF($A177&lt;CPVC!$A$100,VLOOKUP($A177,CPVC!$A$8:$M$99,4,FALSE),
IF($A177&lt;InsertFittings!$A$237,VLOOKUP($A177,InsertFittings!$A$11:$M$236,4,FALSE),
IF($A177&lt;Valves!$A$132,VLOOKUP($A177,Valves!$A$8:$M$131,4,FALSE),
IF($A177&lt;SDR35SW!$A$124,VLOOKUP($A177,SDR35SW!$A$8:$M$123,4,FALSE),
IF($A177&lt;SDR35G!$A$143,VLOOKUP($A177, SDR35G!$A$8:$M$142,4,FALSE),
IF($A177&lt;SDR26G!$A$61,VLOOKUP($A177,SDR26G!$A$8:$N$60,4,FALSE),
IF($A177&lt;Cements!$A$100,VLOOKUP($A177,Cements!$A$8:$Q$99,4,FALSE),
IF($A177&lt;ValveBox!$A$143,VLOOKUP($A177,ValveBox!$A$10:$O$142,4,FALSE),
IF($A177&lt;'ValveBox Components'!$A$165,VLOOKUP($A177,'ValveBox Components'!$A$10:$O$164,4,FALSE),
IF($A177&lt;Drainage!$A$92,VLOOKUP($A177,Drainage!$A$8:$M$91,4,FALSE),
IF($A177&lt;Nipples!$A$82,VLOOKUP($A177,Nipples!$A$9:$Q$81,4,FALSE),
IF($A177&lt;Manifold!$A$33,VLOOKUP($A177,Manifold!$A$9:$M$32,4,FALSE),
IF($A177&lt;FlexibleRepairCouplings!$A$13,VLOOKUP($A177,FlexibleRepairCouplings!$A$10:$M$12,4,FALSE),
IF($A177&lt;DuraFix!$A$15,VLOOKUP($A177,DuraFix!$A$9:$M$14,4,FALSE),
IF($A177&lt;'Compression Fittings'!$A$16,VLOOKUP($A177,'Compression Fittings'!$A$8:$M$15,4,FALSE),
IF($A177&lt;'Hose Fittings'!$A$30,VLOOKUP($A177,'Hose Fittings'!$A$8:$M$29,4,FALSE),
IF($A177&lt;'Swing Joints'!$A$496,VLOOKUP($A177,'Swing Joints'!$A$9:$M$495,4,FALSE),
IF($A177&lt;'Swing Joints Components'!$A$135,VLOOKUP($A177,'Swing Joints Components'!$A$9:$M$134,4,FALSE),
IF($A177&lt;Nonstandard!$A$42,VLOOKUP($A177,Nonstandard!$A$31:$J$41,5,FALSE),"")))))))))))))))))))))))))))),"")</f>
        <v/>
      </c>
      <c r="C177" s="415" t="str">
        <f>IFERROR(IF($A177&lt;'DWV PVC'!$A$285,VLOOKUP($A177,'DWV PVC'!$A$8:$M$284,5,FALSE),
IF($A177&lt;'DWV ABS'!$A$117,VLOOKUP($A177,'DWV ABS'!$A$8:$M$116,5,FALSE),
IF($A177&lt;'PVC SCH40'!$A$376,VLOOKUP($A177,'PVC SCH40'!$A$8:$M$375,5,FALSE),
IF($A177&lt;'PVC SCH40 LD'!$A$22,VLOOKUP($A177,'PVC SCH40 LD'!$A$8:$M$21,5,FALSE),
IF($A177&lt;'Pool &amp; SPA Sweep Elbows'!$A$12,VLOOKUP($A177,'Pool &amp; SPA Sweep Elbows'!$A$8:$M$11,5,FALSE),
IF($A177&lt;'Pool &amp; SPA Pipe Extender'!$A$11,VLOOKUP($A177,'Pool &amp; SPA Pipe Extender'!$A$8:$M$10,5,FALSE),
IF($A177&lt;'PVC SCH80'!$A$250,VLOOKUP($A177,'PVC SCH80'!$A$8:$M$249,5,FALSE),
IF($A177&lt;'PVC SCH80 Flange'!$A$49,VLOOKUP($A177,'PVC SCH80 Flange'!$A$8:$M$48,5,FALSE),
IF($A177&lt;'PVC SCH80 LD Flange'!$A$17,VLOOKUP($A177,'PVC SCH80 LD Flange'!$A$8:$M$16,5,FALSE),
IF($A177&lt;CPVC!$A$100,VLOOKUP($A177,CPVC!$A$8:$M$99,5,FALSE),
IF($A177&lt;InsertFittings!$A$237,VLOOKUP($A177,InsertFittings!$A$11:$M$236,5,FALSE),
IF($A177&lt;Valves!$A$132,VLOOKUP($A177,Valves!$A$8:$M$131,5,FALSE),
IF($A177&lt;SDR35SW!$A$124,VLOOKUP($A177,SDR35SW!$A$8:$M$123,5,FALSE),
IF($A177&lt;SDR35G!$A$143,VLOOKUP($A177, SDR35G!$A$8:$M$142,5,FALSE),
IF($A177&lt;SDR26G!$A$61,VLOOKUP($A177,SDR26G!$A$8:$N$60,5,FALSE),
IF($A177&lt;Cements!$A$100,VLOOKUP($A177,Cements!$A$8:$Q$99,5,FALSE),
IF($A177&lt;ValveBox!$A$143,VLOOKUP($A177,ValveBox!$A$10:$O$142,5,FALSE),
IF($A177&lt;'ValveBox Components'!$A$165,VLOOKUP($A177,'ValveBox Components'!$A$10:$O$164,5,FALSE),
IF($A177&lt;Drainage!$A$92,VLOOKUP($A177,Drainage!$A$8:$M$91,5,FALSE),
IF($A177&lt;Nipples!$A$82,VLOOKUP($A177,Nipples!$A$9:$Q$81,5,FALSE),
IF($A177&lt;Manifold!$A$33,VLOOKUP($A177,Manifold!$A$9:$M$32,5,FALSE),
IF($A177&lt;FlexibleRepairCouplings!$A$13,VLOOKUP($A177,FlexibleRepairCouplings!$A$10:$M$12,5,FALSE),
IF($A177&lt;DuraFix!$A$15,VLOOKUP($A177,DuraFix!$A$9:$M$14,5,FALSE),
IF($A177&lt;'Compression Fittings'!$A$16,VLOOKUP($A177,'Compression Fittings'!$A$8:$M$15,5,FALSE),
IF($A177&lt;'Hose Fittings'!$A$30,VLOOKUP($A177,'Hose Fittings'!$A$8:$M$29,5,FALSE),
IF($A177&lt;'Swing Joints'!$A$496,VLOOKUP($A177,'Swing Joints'!$A$9:$M$495,5,FALSE),
IF($A177&lt;'Swing Joints Components'!$A$135,VLOOKUP($A177,'Swing Joints Components'!$A$9:$M$134,5,FALSE),
IF($A177&lt;Nonstandard!$A$42,VLOOKUP($A177,Nonstandard!$A$31:$J$41,6,FALSE),"")))))))))))))))))))))))))))),"")</f>
        <v/>
      </c>
      <c r="D177" s="426" t="str">
        <f>IFERROR(IF($A177&lt;'DWV PVC'!$A$285,VLOOKUP($A177,'DWV PVC'!$A$8:$M$284,6,FALSE),
IF($A177&lt;'DWV ABS'!$A$117,VLOOKUP($A177,'DWV ABS'!$A$8:$M$116,6,FALSE),
IF($A177&lt;'PVC SCH40'!$A$376,VLOOKUP($A177,'PVC SCH40'!$A$8:$M$375,6,FALSE),
IF($A177&lt;'PVC SCH40 LD'!$A$22,VLOOKUP($A177,'PVC SCH40 LD'!$A$8:$M$21,6,FALSE),
IF($A177&lt;'Pool &amp; SPA Sweep Elbows'!$A$12,VLOOKUP($A177,'Pool &amp; SPA Sweep Elbows'!$A$8:$M$11,6,FALSE),
IF($A177&lt;'Pool &amp; SPA Pipe Extender'!$A$11,VLOOKUP($A177,'Pool &amp; SPA Pipe Extender'!$A$8:$M$10,6,FALSE),
IF($A177&lt;'PVC SCH80'!$A$250,VLOOKUP($A177,'PVC SCH80'!$A$8:$M$249,6,FALSE),
IF($A177&lt;'PVC SCH80 Flange'!$A$49,VLOOKUP($A177,'PVC SCH80 Flange'!$A$8:$M$48,6,FALSE),
IF($A177&lt;'PVC SCH80 LD Flange'!$A$17,VLOOKUP($A177,'PVC SCH80 LD Flange'!$A$8:$M$16,6,FALSE),
IF($A177&lt;CPVC!$A$100,VLOOKUP($A177,CPVC!$A$8:$M$99,6,FALSE),
IF($A177&lt;InsertFittings!$A$237,VLOOKUP($A177,InsertFittings!$A$11:$M$236,6,FALSE),
IF($A177&lt;Valves!$A$132,VLOOKUP($A177,Valves!$A$8:$M$131,6,FALSE),
IF($A177&lt;SDR35SW!$A$124,VLOOKUP($A177,SDR35SW!$A$8:$M$123,6,FALSE),
IF($A177&lt;SDR35G!$A$143,VLOOKUP($A177, SDR35G!$A$8:$M$142,6,FALSE),
IF($A177&lt;SDR26G!$A$61,VLOOKUP($A177,SDR26G!$A$8:$N$60,6,FALSE),
IF($A177&lt;Cements!$A$100,VLOOKUP($A177,Cements!$A$8:$Q$99,6,FALSE),
IF($A177&lt;ValveBox!$A$143,VLOOKUP($A177,ValveBox!$A$10:$O$142,6,FALSE),
IF($A177&lt;'ValveBox Components'!$A$165,VLOOKUP($A177,'ValveBox Components'!$A$10:$O$164,6,FALSE),
IF($A177&lt;Drainage!$A$92,VLOOKUP($A177,Drainage!$A$8:$M$91,6,FALSE),
IF($A177&lt;Nipples!$A$82,VLOOKUP($A177,Nipples!$A$9:$Q$81,6,FALSE),
IF($A177&lt;Manifold!$A$33,VLOOKUP($A177,Manifold!$A$9:$M$32,6,FALSE),
IF($A177&lt;FlexibleRepairCouplings!$A$13,VLOOKUP($A177,FlexibleRepairCouplings!$A$10:$M$12,6,FALSE),
IF($A177&lt;DuraFix!$A$15,VLOOKUP($A177,DuraFix!$A$9:$M$14,6,FALSE),
IF($A177&lt;'Compression Fittings'!$A$16,VLOOKUP($A177,'Compression Fittings'!$A$8:$M$15,6,FALSE),
IF($A177&lt;'Hose Fittings'!$A$30,VLOOKUP($A177,'Hose Fittings'!$A$8:$M$29,6,FALSE),
IF($A177&lt;'Swing Joints'!$A$496,VLOOKUP($A177,'Swing Joints'!$A$9:$M$495,6,FALSE),
IF($A177&lt;'Swing Joints Components'!$A$135,VLOOKUP($A177,'Swing Joints Components'!$A$9:$M$134,6,FALSE),
IF($A177&lt;Nonstandard!$A$42,VLOOKUP($A177,Nonstandard!$A$31:$J$41,7,FALSE),"")))))))))))))))))))))))))))),"")</f>
        <v/>
      </c>
      <c r="E177" s="427"/>
      <c r="F177" s="418" t="str">
        <f>IFERROR(IF($A177&lt;'DWV PVC'!$A$285,VLOOKUP($A177,'DWV PVC'!$A$8:$M$284,9,FALSE),
IF($A177&lt;'DWV ABS'!$A$117,VLOOKUP($A177,'DWV ABS'!$A$8:$M$116,9,FALSE),
IF($A177&lt;'PVC SCH40'!$A$376,VLOOKUP($A177,'PVC SCH40'!$A$8:$M$375,9,FALSE),
IF($A177&lt;'PVC SCH40 LD'!$A$22,VLOOKUP($A177,'PVC SCH40 LD'!$A$8:$M$21,9,FALSE),
IF($A177&lt;'Pool &amp; SPA Sweep Elbows'!$A$12,VLOOKUP($A177,'Pool &amp; SPA Sweep Elbows'!$A$8:$M$11,9,FALSE),
IF($A177&lt;'Pool &amp; SPA Pipe Extender'!$A$11,VLOOKUP($A177,'Pool &amp; SPA Pipe Extender'!$A$8:$M$10,9,FALSE),
IF($A177&lt;'PVC SCH80'!$A$250,VLOOKUP($A177,'PVC SCH80'!$A$8:$M$249,9,FALSE),
IF($A177&lt;'PVC SCH80 Flange'!$A$49,VLOOKUP($A177,'PVC SCH80 Flange'!$A$8:$M$48,9,FALSE),
IF($A177&lt;'PVC SCH80 LD Flange'!$A$17,VLOOKUP($A177,'PVC SCH80 LD Flange'!$A$8:$M$16,9,FALSE),
IF($A177&lt;CPVC!$A$100,VLOOKUP($A177,CPVC!$A$8:$M$99,9,FALSE),
IF($A177&lt;InsertFittings!$A$237,VLOOKUP($A177,InsertFittings!$A$11:$M$236,9,FALSE),
IF($A177&lt;Valves!$A$132,VLOOKUP($A177,Valves!$A$8:$M$131,9,FALSE),
IF($A177&lt;SDR35SW!$A$124,VLOOKUP($A177,SDR35SW!$A$8:$M$123,9,FALSE),
IF($A177&lt;SDR35G!$A$143,VLOOKUP($A177, SDR35G!$A$8:$M$142,9,FALSE),
IF($A177&lt;SDR26G!$A$61,VLOOKUP($A177,SDR26G!$A$8:$N$60,10,FALSE),
IF($A177&lt;Cements!$A$100,VLOOKUP($A177,Cements!$A$8:$Q$99,13,FALSE),
IF($A177&lt;ValveBox!$A$143,VLOOKUP($A177,ValveBox!$A$10:$O$142,11,FALSE),
IF($A177&lt;'ValveBox Components'!$A$165,VLOOKUP($A177,'ValveBox Components'!$A$10:$O$164,11,FALSE),
IF($A177&lt;Drainage!$A$92,VLOOKUP($A177,Drainage!$A$8:$M$91,9,FALSE),
IF($A177&lt;Nipples!$A$82,VLOOKUP($A177,Nipples!$A$9:$Q$81,13,FALSE),
IF($A177&lt;Manifold!$A$33,VLOOKUP($A177,Manifold!$A$9:$M$32,9,FALSE),
IF($A177&lt;FlexibleRepairCouplings!$A$13,VLOOKUP($A177,FlexibleRepairCouplings!$A$10:$M$12,9,FALSE),
IF($A177&lt;DuraFix!$A$15,VLOOKUP($A177,DuraFix!$A$9:$M$14,9,FALSE),
IF($A177&lt;'Compression Fittings'!$A$16,VLOOKUP($A177,'Compression Fittings'!$A$8:$M$15,9,FALSE),
IF($A177&lt;'Hose Fittings'!$A$30,VLOOKUP($A177,'Hose Fittings'!$A$8:$M$29,9,FALSE),
IF($A177&lt;'Swing Joints'!$A$496,VLOOKUP($A177,'Swing Joints'!$A$9:$M$495,9,FALSE),
IF($A177&lt;'Swing Joints Components'!$A$135,VLOOKUP($A177,'Swing Joints Components'!$A$9:$M$134,9,FALSE),
IF($A177&lt;Nonstandard!$A$42,VLOOKUP($A177,Nonstandard!$A$31:$J$41,8,FALSE),"")))))))))))))))))))))))))))),"")</f>
        <v/>
      </c>
      <c r="G177" s="416" t="str">
        <f>IFERROR(IF($A177&lt;'DWV PVC'!$A$285,VLOOKUP($A177,'DWV PVC'!$A$8:$M$284,11,FALSE),
IF($A177&lt;'DWV ABS'!$A$117,VLOOKUP($A177,'DWV ABS'!$A$8:$M$116,11,FALSE),
IF($A177&lt;'PVC SCH40'!$A$376,VLOOKUP($A177,'PVC SCH40'!$A$8:$M$375,11,FALSE),
IF($A177&lt;'PVC SCH40 LD'!$A$22,VLOOKUP($A177,'PVC SCH40 LD'!$A$8:$M$21,11,FALSE),
IF($A177&lt;'Pool &amp; SPA Sweep Elbows'!$A$12,VLOOKUP($A177,'Pool &amp; SPA Sweep Elbows'!$A$8:$M$11,11,FALSE),
IF($A177&lt;'Pool &amp; SPA Pipe Extender'!$A$11,VLOOKUP($A177,'Pool &amp; SPA Pipe Extender'!$A$8:$M$10,11,FALSE),
IF($A177&lt;'PVC SCH80'!$A$250,VLOOKUP($A177,'PVC SCH80'!$A$8:$M$249,11,FALSE),
IF($A177&lt;'PVC SCH80 Flange'!$A$49,VLOOKUP($A177,'PVC SCH80 Flange'!$A$8:$M$48,11,FALSE),
IF($A177&lt;'PVC SCH80 LD Flange'!$A$17,VLOOKUP($A177,'PVC SCH80 LD Flange'!$A$8:$M$16,11,FALSE),
IF($A177&lt;CPVC!$A$100,VLOOKUP($A177,CPVC!$A$8:$M$99,11,FALSE),
IF($A177&lt;InsertFittings!$A$237,VLOOKUP($A177,InsertFittings!$A$11:$M$236,11,FALSE),
IF($A177&lt;Valves!$A$132,VLOOKUP($A177,Valves!$A$8:$M$131,11,FALSE),
IF($A177&lt;SDR35SW!$A$124,VLOOKUP($A177,SDR35SW!$A$8:$M$123,11,FALSE),
IF($A177&lt;SDR35G!$A$143,VLOOKUP($A177, SDR35G!$A$8:$M$142,11,FALSE),
IF($A177&lt;SDR26G!$A$61,VLOOKUP($A177,SDR26G!$A$8:$N$60,12,FALSE),
IF($A177&lt;Cements!$A$100,VLOOKUP($A177,Cements!$A$8:$Q$99,15,FALSE),
IF($A177&lt;ValveBox!$A$143,VLOOKUP($A177,ValveBox!$A$10:$O$142,13,FALSE),
IF($A177&lt;'ValveBox Components'!$A$165,VLOOKUP($A177,'ValveBox Components'!$A$10:$O$164,13,FALSE),
IF($A177&lt;Drainage!$A$92,VLOOKUP($A177,Drainage!$A$8:$M$91,11,FALSE),
IF($A177&lt;Nipples!$A$82,VLOOKUP($A177,Nipples!$A$9:$Q$81,15,FALSE),
IF($A177&lt;Manifold!$A$33,VLOOKUP($A177,Manifold!$A$9:$M$32,11,FALSE),
IF($A177&lt;FlexibleRepairCouplings!$A$13,VLOOKUP($A177,FlexibleRepairCouplings!$A$10:$M$12,11,FALSE),
IF($A177&lt;DuraFix!$A$15,VLOOKUP($A177,DuraFix!$A$9:$M$14,11,FALSE),
IF($A177&lt;'Compression Fittings'!$A$16,VLOOKUP($A177,'Compression Fittings'!$A$8:$M$15,11,FALSE),
IF($A177&lt;'Hose Fittings'!$A$30,VLOOKUP($A177,'Hose Fittings'!$A$8:$M$29,11,FALSE),
IF($A177&lt;'Swing Joints'!$A$496,VLOOKUP($A177,'Swing Joints'!$A$9:$M$495,11,FALSE),
IF($A177&lt;'Swing Joints Components'!$A$135,VLOOKUP($A177,'Swing Joints Components'!$A$9:$M$134,11,FALSE),
IF($A177&lt;Nonstandard!$A$42,VLOOKUP($A177,Nonstandard!$A$31:$J$41,3,FALSE),"")))))))))))))))))))))))))))),"")</f>
        <v/>
      </c>
      <c r="H177" s="586" t="str">
        <f>IFERROR(IF($A177&lt;'DWV PVC'!$A$285,VLOOKUP($A177,'DWV PVC'!$A$8:$M$284,7,FALSE),
IF($A177&lt;'DWV ABS'!$A$117,VLOOKUP($A177,'DWV ABS'!$A$8:$M$116,7,FALSE),
IF($A177&lt;'PVC SCH40'!$A$376,VLOOKUP($A177,'PVC SCH40'!$A$8:$M$375,7,FALSE),
IF($A177&lt;'PVC SCH40 LD'!$A$22,VLOOKUP($A177,'PVC SCH40 LD'!$A$8:$M$21,7,FALSE),
IF($A177&lt;'Pool &amp; SPA Sweep Elbows'!$A$12,VLOOKUP($A177,'Pool &amp; SPA Sweep Elbows'!$A$8:$M$11,7,FALSE),
IF($A177&lt;'Pool &amp; SPA Pipe Extender'!$A$11,VLOOKUP($A177,'Pool &amp; SPA Pipe Extender'!$A$8:$M$10,7,FALSE),
IF($A177&lt;'PVC SCH80'!$A$250,VLOOKUP($A177,'PVC SCH80'!$A$8:$M$249,7,FALSE),
IF($A177&lt;'PVC SCH80 Flange'!$A$49,VLOOKUP($A177,'PVC SCH80 Flange'!$A$8:$M$48,7,FALSE),
IF($A177&lt;'PVC SCH80 LD Flange'!$A$17,VLOOKUP($A177,'PVC SCH80 LD Flange'!$A$8:$M$16,7,FALSE),
IF($A177&lt;CPVC!$A$100,VLOOKUP($A177,CPVC!$A$8:$M$99,7,FALSE),
IF($A177&lt;InsertFittings!$A$237,VLOOKUP($A177,InsertFittings!$A$11:$M$236,7,FALSE),
IF($A177&lt;Valves!$A$132,VLOOKUP($A177,Valves!$A$8:$M$131,7,FALSE),
IF($A177&lt;SDR35SW!$A$124,VLOOKUP($A177,SDR35SW!$A$8:$M$123,7,FALSE),
IF($A177&lt;SDR35G!$A$143,VLOOKUP($A177, SDR35G!$A$8:$M$142,7,FALSE),
IF($A177&lt;SDR26G!$A$61,VLOOKUP($A177,SDR26G!$A$8:$N$60,10,FALSE),
IF($A177&lt;Cements!$A$100,VLOOKUP($A177,Cements!$A$8:$Q$99,13,FALSE),
IF($A177&lt;ValveBox!$A$143,VLOOKUP($A177,ValveBox!$A$10:$O$142,11,FALSE),
IF($A177&lt;'ValveBox Components'!$A$165,VLOOKUP($A177,'ValveBox Components'!$A$10:$O$164,11,FALSE),
IF($A177&lt;Drainage!$A$92,VLOOKUP($A177,Drainage!$A$8:$M$91,7,FALSE),
IF($A177&lt;Nipples!$A$82,VLOOKUP($A177,Nipples!$A$9:$Q$81,13,FALSE),
IF($A177&lt;Manifold!$A$33,VLOOKUP($A177,Manifold!$A$9:$M$32,7,FALSE),
IF($A177&lt;FlexibleRepairCouplings!$A$13,VLOOKUP($A177,FlexibleRepairCouplings!$A$10:$M$12,7,FALSE),
IF($A177&lt;DuraFix!$A$15,VLOOKUP($A177,DuraFix!$A$9:$M$14,7,FALSE),
IF($A177&lt;'Compression Fittings'!$A$16,VLOOKUP($A177,'Compression Fittings'!$A$8:$M$15,7,FALSE),
IF($A177&lt;'Hose Fittings'!$A$30,VLOOKUP($A177,'Hose Fittings'!$A$8:$M$29,7,FALSE),
IF($A177&lt;'Swing Joints'!$A$496,VLOOKUP($A177,'Swing Joints'!$A$9:$M$495,7,FALSE),
IF($A177&lt;'Swing Joints Components'!$A$135,VLOOKUP($A177,'Swing Joints Components'!$A$9:$M$134,7,FALSE),
IF($A177&lt;Nonstandard!$A$42,VLOOKUP($A177,Nonstandard!$A$31:$J$41,3,FALSE),"")))))))))))))))))))))))))))),"")</f>
        <v/>
      </c>
      <c r="I177" s="587"/>
      <c r="J177" s="383" t="str">
        <f t="shared" si="5"/>
        <v/>
      </c>
      <c r="K177" s="417" t="str">
        <f>IFERROR(IF($A177&lt;'DWV PVC'!$A$285,VLOOKUP($A177,'DWV PVC'!$A$8:$M$284,10,FALSE),
IF($A177&lt;'DWV ABS'!$A$117,VLOOKUP($A177,'DWV ABS'!$A$8:$M$116,10,FALSE),
IF($A177&lt;'PVC SCH40'!$A$376,VLOOKUP($A177,'PVC SCH40'!$A$8:$M$375,10,FALSE),
IF($A177&lt;'PVC SCH40 LD'!$A$22,VLOOKUP($A177,'PVC SCH40 LD'!$A$8:$M$21,10,FALSE),
IF($A177&lt;'Pool &amp; SPA Sweep Elbows'!$A$12,VLOOKUP($A177,'Pool &amp; SPA Sweep Elbows'!$A$8:$M$11,10,FALSE),
IF($A177&lt;'Pool &amp; SPA Pipe Extender'!$A$11,VLOOKUP($A177,'Pool &amp; SPA Pipe Extender'!$A$8:$M$10,10,FALSE),
IF($A177&lt;'PVC SCH80'!$A$250,VLOOKUP($A177,'PVC SCH80'!$A$8:$M$249,10,FALSE),
IF($A177&lt;'PVC SCH80 Flange'!$A$49,VLOOKUP($A177,'PVC SCH80 Flange'!$A$8:$M$48,10,FALSE),
IF($A177&lt;'PVC SCH80 LD Flange'!$A$17,VLOOKUP($A177,'PVC SCH80 LD Flange'!$A$8:$M$16,10,FALSE),
IF($A177&lt;CPVC!$A$100,VLOOKUP($A177,CPVC!$A$8:$M$99,10,FALSE),
IF($A177&lt;InsertFittings!$A$237,VLOOKUP($A177,InsertFittings!$A$11:$M$236,10,FALSE),
IF($A177&lt;Valves!$A$132,VLOOKUP($A177,Valves!$A$8:$M$131,10,FALSE),
IF($A177&lt;SDR35SW!$A$124,VLOOKUP($A177,SDR35SW!$A$8:$M$123,10,FALSE),
IF($A177&lt;SDR35G!$A$143,VLOOKUP($A177, SDR35G!$A$8:$M$142,10,FALSE),
IF($A177&lt;SDR26G!$A$61,VLOOKUP($A177,SDR26G!$A$8:$N$60,11,FALSE),
IF($A177&lt;Cements!$A$100,VLOOKUP($A177,Cements!$A$8:$Q$99,14,FALSE),
IF($A177&lt;ValveBox!$A$143,VLOOKUP($A177,ValveBox!$A$10:$O$142,12,FALSE),
IF($A177&lt;'ValveBox Components'!$A$165,VLOOKUP($A177,'ValveBox Components'!$A$10:$O$164,12,FALSE),
IF($A177&lt;Drainage!$A$92,VLOOKUP($A177,Drainage!$A$8:$M$91,10,FALSE),
IF($A177&lt;Nipples!$A$82,VLOOKUP($A177,Nipples!$A$9:$Q$81,14,FALSE),
IF($A177&lt;Manifold!$A$33,VLOOKUP($A177,Manifold!$A$9:$M$32,10,FALSE),
IF($A177&lt;FlexibleRepairCouplings!$A$13,VLOOKUP($A177,FlexibleRepairCouplings!$A$10:$M$12,10,FALSE),
IF($A177&lt;DuraFix!$A$15,VLOOKUP($A177,DuraFix!$A$9:$M$14,10,FALSE),
IF($A177&lt;'Compression Fittings'!$A$16,VLOOKUP($A177,'Compression Fittings'!$A$8:$M$15,10,FALSE),
IF($A177&lt;'Hose Fittings'!$A$30,VLOOKUP($A177,'Hose Fittings'!$A$8:$M$29,10,FALSE),
IF($A177&lt;'Swing Joints'!$A$496,VLOOKUP($A177,'Swing Joints'!$A$9:$M$495,10,FALSE),
IF($A177&lt;'Swing Joints Components'!$A$135,VLOOKUP($A177,'Swing Joints Components'!$A$9:$M$134,10,FALSE),
IF($A177&lt;Nonstandard!$A$42,VLOOKUP($A177,Nonstandard!$A$31:$J$41,10,FALSE),"")))))))))))))))))))))))))))),"")</f>
        <v/>
      </c>
      <c r="L177" s="418" t="str">
        <f t="shared" si="4"/>
        <v>-</v>
      </c>
      <c r="M177" s="419"/>
    </row>
    <row r="178" spans="1:13" ht="15.75">
      <c r="A178" s="420">
        <v>146</v>
      </c>
      <c r="B178" s="420" t="str">
        <f>IFERROR(IF($A178&lt;'DWV PVC'!$A$285,VLOOKUP($A178,'DWV PVC'!$A$8:$M$284,4,FALSE),
IF($A178&lt;'DWV ABS'!$A$117,VLOOKUP($A178,'DWV ABS'!$A$8:$M$116,4,FALSE),
IF($A178&lt;'PVC SCH40'!$A$376,VLOOKUP($A178,'PVC SCH40'!$A$8:$M$375,4,FALSE),
IF($A178&lt;'PVC SCH40 LD'!$A$22,VLOOKUP($A178,'PVC SCH40 LD'!$A$8:$M$21,4,FALSE),
IF($A178&lt;'Pool &amp; SPA Sweep Elbows'!$A$12,VLOOKUP($A178,'Pool &amp; SPA Sweep Elbows'!$A$8:$M$11,4,FALSE),
IF($A178&lt;'Pool &amp; SPA Pipe Extender'!$A$11,VLOOKUP($A178,'Pool &amp; SPA Pipe Extender'!$A$8:$M$10,4,FALSE),
IF($A178&lt;'PVC SCH80'!$A$250,VLOOKUP($A178,'PVC SCH80'!$A$8:$M$249,4,FALSE),
IF($A178&lt;'PVC SCH80 Flange'!$A$49,VLOOKUP($A178,'PVC SCH80 Flange'!$A$8:$M$48,4,FALSE),
IF($A178&lt;'PVC SCH80 LD Flange'!$A$17,VLOOKUP($A178,'PVC SCH80 LD Flange'!$A$8:$M$16,4,FALSE),
IF($A178&lt;CPVC!$A$100,VLOOKUP($A178,CPVC!$A$8:$M$99,4,FALSE),
IF($A178&lt;InsertFittings!$A$237,VLOOKUP($A178,InsertFittings!$A$11:$M$236,4,FALSE),
IF($A178&lt;Valves!$A$132,VLOOKUP($A178,Valves!$A$8:$M$131,4,FALSE),
IF($A178&lt;SDR35SW!$A$124,VLOOKUP($A178,SDR35SW!$A$8:$M$123,4,FALSE),
IF($A178&lt;SDR35G!$A$143,VLOOKUP($A178, SDR35G!$A$8:$M$142,4,FALSE),
IF($A178&lt;SDR26G!$A$61,VLOOKUP($A178,SDR26G!$A$8:$N$60,4,FALSE),
IF($A178&lt;Cements!$A$100,VLOOKUP($A178,Cements!$A$8:$Q$99,4,FALSE),
IF($A178&lt;ValveBox!$A$143,VLOOKUP($A178,ValveBox!$A$10:$O$142,4,FALSE),
IF($A178&lt;'ValveBox Components'!$A$165,VLOOKUP($A178,'ValveBox Components'!$A$10:$O$164,4,FALSE),
IF($A178&lt;Drainage!$A$92,VLOOKUP($A178,Drainage!$A$8:$M$91,4,FALSE),
IF($A178&lt;Nipples!$A$82,VLOOKUP($A178,Nipples!$A$9:$Q$81,4,FALSE),
IF($A178&lt;Manifold!$A$33,VLOOKUP($A178,Manifold!$A$9:$M$32,4,FALSE),
IF($A178&lt;FlexibleRepairCouplings!$A$13,VLOOKUP($A178,FlexibleRepairCouplings!$A$10:$M$12,4,FALSE),
IF($A178&lt;DuraFix!$A$15,VLOOKUP($A178,DuraFix!$A$9:$M$14,4,FALSE),
IF($A178&lt;'Compression Fittings'!$A$16,VLOOKUP($A178,'Compression Fittings'!$A$8:$M$15,4,FALSE),
IF($A178&lt;'Hose Fittings'!$A$30,VLOOKUP($A178,'Hose Fittings'!$A$8:$M$29,4,FALSE),
IF($A178&lt;'Swing Joints'!$A$496,VLOOKUP($A178,'Swing Joints'!$A$9:$M$495,4,FALSE),
IF($A178&lt;'Swing Joints Components'!$A$135,VLOOKUP($A178,'Swing Joints Components'!$A$9:$M$134,4,FALSE),
IF($A178&lt;Nonstandard!$A$42,VLOOKUP($A178,Nonstandard!$A$31:$J$41,5,FALSE),"")))))))))))))))))))))))))))),"")</f>
        <v/>
      </c>
      <c r="C178" s="420" t="str">
        <f>IFERROR(IF($A178&lt;'DWV PVC'!$A$285,VLOOKUP($A178,'DWV PVC'!$A$8:$M$284,5,FALSE),
IF($A178&lt;'DWV ABS'!$A$117,VLOOKUP($A178,'DWV ABS'!$A$8:$M$116,5,FALSE),
IF($A178&lt;'PVC SCH40'!$A$376,VLOOKUP($A178,'PVC SCH40'!$A$8:$M$375,5,FALSE),
IF($A178&lt;'PVC SCH40 LD'!$A$22,VLOOKUP($A178,'PVC SCH40 LD'!$A$8:$M$21,5,FALSE),
IF($A178&lt;'Pool &amp; SPA Sweep Elbows'!$A$12,VLOOKUP($A178,'Pool &amp; SPA Sweep Elbows'!$A$8:$M$11,5,FALSE),
IF($A178&lt;'Pool &amp; SPA Pipe Extender'!$A$11,VLOOKUP($A178,'Pool &amp; SPA Pipe Extender'!$A$8:$M$10,5,FALSE),
IF($A178&lt;'PVC SCH80'!$A$250,VLOOKUP($A178,'PVC SCH80'!$A$8:$M$249,5,FALSE),
IF($A178&lt;'PVC SCH80 Flange'!$A$49,VLOOKUP($A178,'PVC SCH80 Flange'!$A$8:$M$48,5,FALSE),
IF($A178&lt;'PVC SCH80 LD Flange'!$A$17,VLOOKUP($A178,'PVC SCH80 LD Flange'!$A$8:$M$16,5,FALSE),
IF($A178&lt;CPVC!$A$100,VLOOKUP($A178,CPVC!$A$8:$M$99,5,FALSE),
IF($A178&lt;InsertFittings!$A$237,VLOOKUP($A178,InsertFittings!$A$11:$M$236,5,FALSE),
IF($A178&lt;Valves!$A$132,VLOOKUP($A178,Valves!$A$8:$M$131,5,FALSE),
IF($A178&lt;SDR35SW!$A$124,VLOOKUP($A178,SDR35SW!$A$8:$M$123,5,FALSE),
IF($A178&lt;SDR35G!$A$143,VLOOKUP($A178, SDR35G!$A$8:$M$142,5,FALSE),
IF($A178&lt;SDR26G!$A$61,VLOOKUP($A178,SDR26G!$A$8:$N$60,5,FALSE),
IF($A178&lt;Cements!$A$100,VLOOKUP($A178,Cements!$A$8:$Q$99,5,FALSE),
IF($A178&lt;ValveBox!$A$143,VLOOKUP($A178,ValveBox!$A$10:$O$142,5,FALSE),
IF($A178&lt;'ValveBox Components'!$A$165,VLOOKUP($A178,'ValveBox Components'!$A$10:$O$164,5,FALSE),
IF($A178&lt;Drainage!$A$92,VLOOKUP($A178,Drainage!$A$8:$M$91,5,FALSE),
IF($A178&lt;Nipples!$A$82,VLOOKUP($A178,Nipples!$A$9:$Q$81,5,FALSE),
IF($A178&lt;Manifold!$A$33,VLOOKUP($A178,Manifold!$A$9:$M$32,5,FALSE),
IF($A178&lt;FlexibleRepairCouplings!$A$13,VLOOKUP($A178,FlexibleRepairCouplings!$A$10:$M$12,5,FALSE),
IF($A178&lt;DuraFix!$A$15,VLOOKUP($A178,DuraFix!$A$9:$M$14,5,FALSE),
IF($A178&lt;'Compression Fittings'!$A$16,VLOOKUP($A178,'Compression Fittings'!$A$8:$M$15,5,FALSE),
IF($A178&lt;'Hose Fittings'!$A$30,VLOOKUP($A178,'Hose Fittings'!$A$8:$M$29,5,FALSE),
IF($A178&lt;'Swing Joints'!$A$496,VLOOKUP($A178,'Swing Joints'!$A$9:$M$495,5,FALSE),
IF($A178&lt;'Swing Joints Components'!$A$135,VLOOKUP($A178,'Swing Joints Components'!$A$9:$M$134,5,FALSE),
IF($A178&lt;Nonstandard!$A$42,VLOOKUP($A178,Nonstandard!$A$31:$J$41,6,FALSE),"")))))))))))))))))))))))))))),"")</f>
        <v/>
      </c>
      <c r="D178" s="428" t="str">
        <f>IFERROR(IF($A178&lt;'DWV PVC'!$A$285,VLOOKUP($A178,'DWV PVC'!$A$8:$M$284,6,FALSE),
IF($A178&lt;'DWV ABS'!$A$117,VLOOKUP($A178,'DWV ABS'!$A$8:$M$116,6,FALSE),
IF($A178&lt;'PVC SCH40'!$A$376,VLOOKUP($A178,'PVC SCH40'!$A$8:$M$375,6,FALSE),
IF($A178&lt;'PVC SCH40 LD'!$A$22,VLOOKUP($A178,'PVC SCH40 LD'!$A$8:$M$21,6,FALSE),
IF($A178&lt;'Pool &amp; SPA Sweep Elbows'!$A$12,VLOOKUP($A178,'Pool &amp; SPA Sweep Elbows'!$A$8:$M$11,6,FALSE),
IF($A178&lt;'Pool &amp; SPA Pipe Extender'!$A$11,VLOOKUP($A178,'Pool &amp; SPA Pipe Extender'!$A$8:$M$10,6,FALSE),
IF($A178&lt;'PVC SCH80'!$A$250,VLOOKUP($A178,'PVC SCH80'!$A$8:$M$249,6,FALSE),
IF($A178&lt;'PVC SCH80 Flange'!$A$49,VLOOKUP($A178,'PVC SCH80 Flange'!$A$8:$M$48,6,FALSE),
IF($A178&lt;'PVC SCH80 LD Flange'!$A$17,VLOOKUP($A178,'PVC SCH80 LD Flange'!$A$8:$M$16,6,FALSE),
IF($A178&lt;CPVC!$A$100,VLOOKUP($A178,CPVC!$A$8:$M$99,6,FALSE),
IF($A178&lt;InsertFittings!$A$237,VLOOKUP($A178,InsertFittings!$A$11:$M$236,6,FALSE),
IF($A178&lt;Valves!$A$132,VLOOKUP($A178,Valves!$A$8:$M$131,6,FALSE),
IF($A178&lt;SDR35SW!$A$124,VLOOKUP($A178,SDR35SW!$A$8:$M$123,6,FALSE),
IF($A178&lt;SDR35G!$A$143,VLOOKUP($A178, SDR35G!$A$8:$M$142,6,FALSE),
IF($A178&lt;SDR26G!$A$61,VLOOKUP($A178,SDR26G!$A$8:$N$60,6,FALSE),
IF($A178&lt;Cements!$A$100,VLOOKUP($A178,Cements!$A$8:$Q$99,6,FALSE),
IF($A178&lt;ValveBox!$A$143,VLOOKUP($A178,ValveBox!$A$10:$O$142,6,FALSE),
IF($A178&lt;'ValveBox Components'!$A$165,VLOOKUP($A178,'ValveBox Components'!$A$10:$O$164,6,FALSE),
IF($A178&lt;Drainage!$A$92,VLOOKUP($A178,Drainage!$A$8:$M$91,6,FALSE),
IF($A178&lt;Nipples!$A$82,VLOOKUP($A178,Nipples!$A$9:$Q$81,6,FALSE),
IF($A178&lt;Manifold!$A$33,VLOOKUP($A178,Manifold!$A$9:$M$32,6,FALSE),
IF($A178&lt;FlexibleRepairCouplings!$A$13,VLOOKUP($A178,FlexibleRepairCouplings!$A$10:$M$12,6,FALSE),
IF($A178&lt;DuraFix!$A$15,VLOOKUP($A178,DuraFix!$A$9:$M$14,6,FALSE),
IF($A178&lt;'Compression Fittings'!$A$16,VLOOKUP($A178,'Compression Fittings'!$A$8:$M$15,6,FALSE),
IF($A178&lt;'Hose Fittings'!$A$30,VLOOKUP($A178,'Hose Fittings'!$A$8:$M$29,6,FALSE),
IF($A178&lt;'Swing Joints'!$A$496,VLOOKUP($A178,'Swing Joints'!$A$9:$M$495,6,FALSE),
IF($A178&lt;'Swing Joints Components'!$A$135,VLOOKUP($A178,'Swing Joints Components'!$A$9:$M$134,6,FALSE),
IF($A178&lt;Nonstandard!$A$42,VLOOKUP($A178,Nonstandard!$A$31:$J$41,7,FALSE),"")))))))))))))))))))))))))))),"")</f>
        <v/>
      </c>
      <c r="E178" s="429"/>
      <c r="F178" s="421" t="str">
        <f>IFERROR(IF($A178&lt;'DWV PVC'!$A$285,VLOOKUP($A178,'DWV PVC'!$A$8:$M$284,9,FALSE),
IF($A178&lt;'DWV ABS'!$A$117,VLOOKUP($A178,'DWV ABS'!$A$8:$M$116,9,FALSE),
IF($A178&lt;'PVC SCH40'!$A$376,VLOOKUP($A178,'PVC SCH40'!$A$8:$M$375,9,FALSE),
IF($A178&lt;'PVC SCH40 LD'!$A$22,VLOOKUP($A178,'PVC SCH40 LD'!$A$8:$M$21,9,FALSE),
IF($A178&lt;'Pool &amp; SPA Sweep Elbows'!$A$12,VLOOKUP($A178,'Pool &amp; SPA Sweep Elbows'!$A$8:$M$11,9,FALSE),
IF($A178&lt;'Pool &amp; SPA Pipe Extender'!$A$11,VLOOKUP($A178,'Pool &amp; SPA Pipe Extender'!$A$8:$M$10,9,FALSE),
IF($A178&lt;'PVC SCH80'!$A$250,VLOOKUP($A178,'PVC SCH80'!$A$8:$M$249,9,FALSE),
IF($A178&lt;'PVC SCH80 Flange'!$A$49,VLOOKUP($A178,'PVC SCH80 Flange'!$A$8:$M$48,9,FALSE),
IF($A178&lt;'PVC SCH80 LD Flange'!$A$17,VLOOKUP($A178,'PVC SCH80 LD Flange'!$A$8:$M$16,9,FALSE),
IF($A178&lt;CPVC!$A$100,VLOOKUP($A178,CPVC!$A$8:$M$99,9,FALSE),
IF($A178&lt;InsertFittings!$A$237,VLOOKUP($A178,InsertFittings!$A$11:$M$236,9,FALSE),
IF($A178&lt;Valves!$A$132,VLOOKUP($A178,Valves!$A$8:$M$131,9,FALSE),
IF($A178&lt;SDR35SW!$A$124,VLOOKUP($A178,SDR35SW!$A$8:$M$123,9,FALSE),
IF($A178&lt;SDR35G!$A$143,VLOOKUP($A178, SDR35G!$A$8:$M$142,9,FALSE),
IF($A178&lt;SDR26G!$A$61,VLOOKUP($A178,SDR26G!$A$8:$N$60,10,FALSE),
IF($A178&lt;Cements!$A$100,VLOOKUP($A178,Cements!$A$8:$Q$99,13,FALSE),
IF($A178&lt;ValveBox!$A$143,VLOOKUP($A178,ValveBox!$A$10:$O$142,11,FALSE),
IF($A178&lt;'ValveBox Components'!$A$165,VLOOKUP($A178,'ValveBox Components'!$A$10:$O$164,11,FALSE),
IF($A178&lt;Drainage!$A$92,VLOOKUP($A178,Drainage!$A$8:$M$91,9,FALSE),
IF($A178&lt;Nipples!$A$82,VLOOKUP($A178,Nipples!$A$9:$Q$81,13,FALSE),
IF($A178&lt;Manifold!$A$33,VLOOKUP($A178,Manifold!$A$9:$M$32,9,FALSE),
IF($A178&lt;FlexibleRepairCouplings!$A$13,VLOOKUP($A178,FlexibleRepairCouplings!$A$10:$M$12,9,FALSE),
IF($A178&lt;DuraFix!$A$15,VLOOKUP($A178,DuraFix!$A$9:$M$14,9,FALSE),
IF($A178&lt;'Compression Fittings'!$A$16,VLOOKUP($A178,'Compression Fittings'!$A$8:$M$15,9,FALSE),
IF($A178&lt;'Hose Fittings'!$A$30,VLOOKUP($A178,'Hose Fittings'!$A$8:$M$29,9,FALSE),
IF($A178&lt;'Swing Joints'!$A$496,VLOOKUP($A178,'Swing Joints'!$A$9:$M$495,9,FALSE),
IF($A178&lt;'Swing Joints Components'!$A$135,VLOOKUP($A178,'Swing Joints Components'!$A$9:$M$134,9,FALSE),
IF($A178&lt;Nonstandard!$A$42,VLOOKUP($A178,Nonstandard!$A$31:$J$41,8,FALSE),"")))))))))))))))))))))))))))),"")</f>
        <v/>
      </c>
      <c r="G178" s="422" t="str">
        <f>IFERROR(IF($A178&lt;'DWV PVC'!$A$285,VLOOKUP($A178,'DWV PVC'!$A$8:$M$284,11,FALSE),
IF($A178&lt;'DWV ABS'!$A$117,VLOOKUP($A178,'DWV ABS'!$A$8:$M$116,11,FALSE),
IF($A178&lt;'PVC SCH40'!$A$376,VLOOKUP($A178,'PVC SCH40'!$A$8:$M$375,11,FALSE),
IF($A178&lt;'PVC SCH40 LD'!$A$22,VLOOKUP($A178,'PVC SCH40 LD'!$A$8:$M$21,11,FALSE),
IF($A178&lt;'Pool &amp; SPA Sweep Elbows'!$A$12,VLOOKUP($A178,'Pool &amp; SPA Sweep Elbows'!$A$8:$M$11,11,FALSE),
IF($A178&lt;'Pool &amp; SPA Pipe Extender'!$A$11,VLOOKUP($A178,'Pool &amp; SPA Pipe Extender'!$A$8:$M$10,11,FALSE),
IF($A178&lt;'PVC SCH80'!$A$250,VLOOKUP($A178,'PVC SCH80'!$A$8:$M$249,11,FALSE),
IF($A178&lt;'PVC SCH80 Flange'!$A$49,VLOOKUP($A178,'PVC SCH80 Flange'!$A$8:$M$48,11,FALSE),
IF($A178&lt;'PVC SCH80 LD Flange'!$A$17,VLOOKUP($A178,'PVC SCH80 LD Flange'!$A$8:$M$16,11,FALSE),
IF($A178&lt;CPVC!$A$100,VLOOKUP($A178,CPVC!$A$8:$M$99,11,FALSE),
IF($A178&lt;InsertFittings!$A$237,VLOOKUP($A178,InsertFittings!$A$11:$M$236,11,FALSE),
IF($A178&lt;Valves!$A$132,VLOOKUP($A178,Valves!$A$8:$M$131,11,FALSE),
IF($A178&lt;SDR35SW!$A$124,VLOOKUP($A178,SDR35SW!$A$8:$M$123,11,FALSE),
IF($A178&lt;SDR35G!$A$143,VLOOKUP($A178, SDR35G!$A$8:$M$142,11,FALSE),
IF($A178&lt;SDR26G!$A$61,VLOOKUP($A178,SDR26G!$A$8:$N$60,12,FALSE),
IF($A178&lt;Cements!$A$100,VLOOKUP($A178,Cements!$A$8:$Q$99,15,FALSE),
IF($A178&lt;ValveBox!$A$143,VLOOKUP($A178,ValveBox!$A$10:$O$142,13,FALSE),
IF($A178&lt;'ValveBox Components'!$A$165,VLOOKUP($A178,'ValveBox Components'!$A$10:$O$164,13,FALSE),
IF($A178&lt;Drainage!$A$92,VLOOKUP($A178,Drainage!$A$8:$M$91,11,FALSE),
IF($A178&lt;Nipples!$A$82,VLOOKUP($A178,Nipples!$A$9:$Q$81,15,FALSE),
IF($A178&lt;Manifold!$A$33,VLOOKUP($A178,Manifold!$A$9:$M$32,11,FALSE),
IF($A178&lt;FlexibleRepairCouplings!$A$13,VLOOKUP($A178,FlexibleRepairCouplings!$A$10:$M$12,11,FALSE),
IF($A178&lt;DuraFix!$A$15,VLOOKUP($A178,DuraFix!$A$9:$M$14,11,FALSE),
IF($A178&lt;'Compression Fittings'!$A$16,VLOOKUP($A178,'Compression Fittings'!$A$8:$M$15,11,FALSE),
IF($A178&lt;'Hose Fittings'!$A$30,VLOOKUP($A178,'Hose Fittings'!$A$8:$M$29,11,FALSE),
IF($A178&lt;'Swing Joints'!$A$496,VLOOKUP($A178,'Swing Joints'!$A$9:$M$495,11,FALSE),
IF($A178&lt;'Swing Joints Components'!$A$135,VLOOKUP($A178,'Swing Joints Components'!$A$9:$M$134,11,FALSE),
IF($A178&lt;Nonstandard!$A$42,VLOOKUP($A178,Nonstandard!$A$31:$J$41,3,FALSE),"")))))))))))))))))))))))))))),"")</f>
        <v/>
      </c>
      <c r="H178" s="588" t="str">
        <f>IFERROR(IF($A178&lt;'DWV PVC'!$A$285,VLOOKUP($A178,'DWV PVC'!$A$8:$M$284,7,FALSE),
IF($A178&lt;'DWV ABS'!$A$117,VLOOKUP($A178,'DWV ABS'!$A$8:$M$116,7,FALSE),
IF($A178&lt;'PVC SCH40'!$A$376,VLOOKUP($A178,'PVC SCH40'!$A$8:$M$375,7,FALSE),
IF($A178&lt;'PVC SCH40 LD'!$A$22,VLOOKUP($A178,'PVC SCH40 LD'!$A$8:$M$21,7,FALSE),
IF($A178&lt;'Pool &amp; SPA Sweep Elbows'!$A$12,VLOOKUP($A178,'Pool &amp; SPA Sweep Elbows'!$A$8:$M$11,7,FALSE),
IF($A178&lt;'Pool &amp; SPA Pipe Extender'!$A$11,VLOOKUP($A178,'Pool &amp; SPA Pipe Extender'!$A$8:$M$10,7,FALSE),
IF($A178&lt;'PVC SCH80'!$A$250,VLOOKUP($A178,'PVC SCH80'!$A$8:$M$249,7,FALSE),
IF($A178&lt;'PVC SCH80 Flange'!$A$49,VLOOKUP($A178,'PVC SCH80 Flange'!$A$8:$M$48,7,FALSE),
IF($A178&lt;'PVC SCH80 LD Flange'!$A$17,VLOOKUP($A178,'PVC SCH80 LD Flange'!$A$8:$M$16,7,FALSE),
IF($A178&lt;CPVC!$A$100,VLOOKUP($A178,CPVC!$A$8:$M$99,7,FALSE),
IF($A178&lt;InsertFittings!$A$237,VLOOKUP($A178,InsertFittings!$A$11:$M$236,7,FALSE),
IF($A178&lt;Valves!$A$132,VLOOKUP($A178,Valves!$A$8:$M$131,7,FALSE),
IF($A178&lt;SDR35SW!$A$124,VLOOKUP($A178,SDR35SW!$A$8:$M$123,7,FALSE),
IF($A178&lt;SDR35G!$A$143,VLOOKUP($A178, SDR35G!$A$8:$M$142,7,FALSE),
IF($A178&lt;SDR26G!$A$61,VLOOKUP($A178,SDR26G!$A$8:$N$60,10,FALSE),
IF($A178&lt;Cements!$A$100,VLOOKUP($A178,Cements!$A$8:$Q$99,13,FALSE),
IF($A178&lt;ValveBox!$A$143,VLOOKUP($A178,ValveBox!$A$10:$O$142,11,FALSE),
IF($A178&lt;'ValveBox Components'!$A$165,VLOOKUP($A178,'ValveBox Components'!$A$10:$O$164,11,FALSE),
IF($A178&lt;Drainage!$A$92,VLOOKUP($A178,Drainage!$A$8:$M$91,7,FALSE),
IF($A178&lt;Nipples!$A$82,VLOOKUP($A178,Nipples!$A$9:$Q$81,13,FALSE),
IF($A178&lt;Manifold!$A$33,VLOOKUP($A178,Manifold!$A$9:$M$32,7,FALSE),
IF($A178&lt;FlexibleRepairCouplings!$A$13,VLOOKUP($A178,FlexibleRepairCouplings!$A$10:$M$12,7,FALSE),
IF($A178&lt;DuraFix!$A$15,VLOOKUP($A178,DuraFix!$A$9:$M$14,7,FALSE),
IF($A178&lt;'Compression Fittings'!$A$16,VLOOKUP($A178,'Compression Fittings'!$A$8:$M$15,7,FALSE),
IF($A178&lt;'Hose Fittings'!$A$30,VLOOKUP($A178,'Hose Fittings'!$A$8:$M$29,7,FALSE),
IF($A178&lt;'Swing Joints'!$A$496,VLOOKUP($A178,'Swing Joints'!$A$9:$M$495,7,FALSE),
IF($A178&lt;'Swing Joints Components'!$A$135,VLOOKUP($A178,'Swing Joints Components'!$A$9:$M$134,7,FALSE),
IF($A178&lt;Nonstandard!$A$42,VLOOKUP($A178,Nonstandard!$A$31:$J$41,3,FALSE),"")))))))))))))))))))))))))))),"")</f>
        <v/>
      </c>
      <c r="I178" s="589"/>
      <c r="J178" s="423" t="str">
        <f t="shared" si="5"/>
        <v/>
      </c>
      <c r="K178" s="424" t="str">
        <f>IFERROR(IF($A178&lt;'DWV PVC'!$A$285,VLOOKUP($A178,'DWV PVC'!$A$8:$M$284,10,FALSE),
IF($A178&lt;'DWV ABS'!$A$117,VLOOKUP($A178,'DWV ABS'!$A$8:$M$116,10,FALSE),
IF($A178&lt;'PVC SCH40'!$A$376,VLOOKUP($A178,'PVC SCH40'!$A$8:$M$375,10,FALSE),
IF($A178&lt;'PVC SCH40 LD'!$A$22,VLOOKUP($A178,'PVC SCH40 LD'!$A$8:$M$21,10,FALSE),
IF($A178&lt;'Pool &amp; SPA Sweep Elbows'!$A$12,VLOOKUP($A178,'Pool &amp; SPA Sweep Elbows'!$A$8:$M$11,10,FALSE),
IF($A178&lt;'Pool &amp; SPA Pipe Extender'!$A$11,VLOOKUP($A178,'Pool &amp; SPA Pipe Extender'!$A$8:$M$10,10,FALSE),
IF($A178&lt;'PVC SCH80'!$A$250,VLOOKUP($A178,'PVC SCH80'!$A$8:$M$249,10,FALSE),
IF($A178&lt;'PVC SCH80 Flange'!$A$49,VLOOKUP($A178,'PVC SCH80 Flange'!$A$8:$M$48,10,FALSE),
IF($A178&lt;'PVC SCH80 LD Flange'!$A$17,VLOOKUP($A178,'PVC SCH80 LD Flange'!$A$8:$M$16,10,FALSE),
IF($A178&lt;CPVC!$A$100,VLOOKUP($A178,CPVC!$A$8:$M$99,10,FALSE),
IF($A178&lt;InsertFittings!$A$237,VLOOKUP($A178,InsertFittings!$A$11:$M$236,10,FALSE),
IF($A178&lt;Valves!$A$132,VLOOKUP($A178,Valves!$A$8:$M$131,10,FALSE),
IF($A178&lt;SDR35SW!$A$124,VLOOKUP($A178,SDR35SW!$A$8:$M$123,10,FALSE),
IF($A178&lt;SDR35G!$A$143,VLOOKUP($A178, SDR35G!$A$8:$M$142,10,FALSE),
IF($A178&lt;SDR26G!$A$61,VLOOKUP($A178,SDR26G!$A$8:$N$60,11,FALSE),
IF($A178&lt;Cements!$A$100,VLOOKUP($A178,Cements!$A$8:$Q$99,14,FALSE),
IF($A178&lt;ValveBox!$A$143,VLOOKUP($A178,ValveBox!$A$10:$O$142,12,FALSE),
IF($A178&lt;'ValveBox Components'!$A$165,VLOOKUP($A178,'ValveBox Components'!$A$10:$O$164,12,FALSE),
IF($A178&lt;Drainage!$A$92,VLOOKUP($A178,Drainage!$A$8:$M$91,10,FALSE),
IF($A178&lt;Nipples!$A$82,VLOOKUP($A178,Nipples!$A$9:$Q$81,14,FALSE),
IF($A178&lt;Manifold!$A$33,VLOOKUP($A178,Manifold!$A$9:$M$32,10,FALSE),
IF($A178&lt;FlexibleRepairCouplings!$A$13,VLOOKUP($A178,FlexibleRepairCouplings!$A$10:$M$12,10,FALSE),
IF($A178&lt;DuraFix!$A$15,VLOOKUP($A178,DuraFix!$A$9:$M$14,10,FALSE),
IF($A178&lt;'Compression Fittings'!$A$16,VLOOKUP($A178,'Compression Fittings'!$A$8:$M$15,10,FALSE),
IF($A178&lt;'Hose Fittings'!$A$30,VLOOKUP($A178,'Hose Fittings'!$A$8:$M$29,10,FALSE),
IF($A178&lt;'Swing Joints'!$A$496,VLOOKUP($A178,'Swing Joints'!$A$9:$M$495,10,FALSE),
IF($A178&lt;'Swing Joints Components'!$A$135,VLOOKUP($A178,'Swing Joints Components'!$A$9:$M$134,10,FALSE),
IF($A178&lt;Nonstandard!$A$42,VLOOKUP($A178,Nonstandard!$A$31:$J$41,10,FALSE),"")))))))))))))))))))))))))))),"")</f>
        <v/>
      </c>
      <c r="L178" s="421" t="str">
        <f t="shared" si="4"/>
        <v>-</v>
      </c>
      <c r="M178" s="425"/>
    </row>
    <row r="179" spans="1:13" ht="15.75">
      <c r="A179" s="415">
        <v>147</v>
      </c>
      <c r="B179" s="415" t="str">
        <f>IFERROR(IF($A179&lt;'DWV PVC'!$A$285,VLOOKUP($A179,'DWV PVC'!$A$8:$M$284,4,FALSE),
IF($A179&lt;'DWV ABS'!$A$117,VLOOKUP($A179,'DWV ABS'!$A$8:$M$116,4,FALSE),
IF($A179&lt;'PVC SCH40'!$A$376,VLOOKUP($A179,'PVC SCH40'!$A$8:$M$375,4,FALSE),
IF($A179&lt;'PVC SCH40 LD'!$A$22,VLOOKUP($A179,'PVC SCH40 LD'!$A$8:$M$21,4,FALSE),
IF($A179&lt;'Pool &amp; SPA Sweep Elbows'!$A$12,VLOOKUP($A179,'Pool &amp; SPA Sweep Elbows'!$A$8:$M$11,4,FALSE),
IF($A179&lt;'Pool &amp; SPA Pipe Extender'!$A$11,VLOOKUP($A179,'Pool &amp; SPA Pipe Extender'!$A$8:$M$10,4,FALSE),
IF($A179&lt;'PVC SCH80'!$A$250,VLOOKUP($A179,'PVC SCH80'!$A$8:$M$249,4,FALSE),
IF($A179&lt;'PVC SCH80 Flange'!$A$49,VLOOKUP($A179,'PVC SCH80 Flange'!$A$8:$M$48,4,FALSE),
IF($A179&lt;'PVC SCH80 LD Flange'!$A$17,VLOOKUP($A179,'PVC SCH80 LD Flange'!$A$8:$M$16,4,FALSE),
IF($A179&lt;CPVC!$A$100,VLOOKUP($A179,CPVC!$A$8:$M$99,4,FALSE),
IF($A179&lt;InsertFittings!$A$237,VLOOKUP($A179,InsertFittings!$A$11:$M$236,4,FALSE),
IF($A179&lt;Valves!$A$132,VLOOKUP($A179,Valves!$A$8:$M$131,4,FALSE),
IF($A179&lt;SDR35SW!$A$124,VLOOKUP($A179,SDR35SW!$A$8:$M$123,4,FALSE),
IF($A179&lt;SDR35G!$A$143,VLOOKUP($A179, SDR35G!$A$8:$M$142,4,FALSE),
IF($A179&lt;SDR26G!$A$61,VLOOKUP($A179,SDR26G!$A$8:$N$60,4,FALSE),
IF($A179&lt;Cements!$A$100,VLOOKUP($A179,Cements!$A$8:$Q$99,4,FALSE),
IF($A179&lt;ValveBox!$A$143,VLOOKUP($A179,ValveBox!$A$10:$O$142,4,FALSE),
IF($A179&lt;'ValveBox Components'!$A$165,VLOOKUP($A179,'ValveBox Components'!$A$10:$O$164,4,FALSE),
IF($A179&lt;Drainage!$A$92,VLOOKUP($A179,Drainage!$A$8:$M$91,4,FALSE),
IF($A179&lt;Nipples!$A$82,VLOOKUP($A179,Nipples!$A$9:$Q$81,4,FALSE),
IF($A179&lt;Manifold!$A$33,VLOOKUP($A179,Manifold!$A$9:$M$32,4,FALSE),
IF($A179&lt;FlexibleRepairCouplings!$A$13,VLOOKUP($A179,FlexibleRepairCouplings!$A$10:$M$12,4,FALSE),
IF($A179&lt;DuraFix!$A$15,VLOOKUP($A179,DuraFix!$A$9:$M$14,4,FALSE),
IF($A179&lt;'Compression Fittings'!$A$16,VLOOKUP($A179,'Compression Fittings'!$A$8:$M$15,4,FALSE),
IF($A179&lt;'Hose Fittings'!$A$30,VLOOKUP($A179,'Hose Fittings'!$A$8:$M$29,4,FALSE),
IF($A179&lt;'Swing Joints'!$A$496,VLOOKUP($A179,'Swing Joints'!$A$9:$M$495,4,FALSE),
IF($A179&lt;'Swing Joints Components'!$A$135,VLOOKUP($A179,'Swing Joints Components'!$A$9:$M$134,4,FALSE),
IF($A179&lt;Nonstandard!$A$42,VLOOKUP($A179,Nonstandard!$A$31:$J$41,5,FALSE),"")))))))))))))))))))))))))))),"")</f>
        <v/>
      </c>
      <c r="C179" s="415" t="str">
        <f>IFERROR(IF($A179&lt;'DWV PVC'!$A$285,VLOOKUP($A179,'DWV PVC'!$A$8:$M$284,5,FALSE),
IF($A179&lt;'DWV ABS'!$A$117,VLOOKUP($A179,'DWV ABS'!$A$8:$M$116,5,FALSE),
IF($A179&lt;'PVC SCH40'!$A$376,VLOOKUP($A179,'PVC SCH40'!$A$8:$M$375,5,FALSE),
IF($A179&lt;'PVC SCH40 LD'!$A$22,VLOOKUP($A179,'PVC SCH40 LD'!$A$8:$M$21,5,FALSE),
IF($A179&lt;'Pool &amp; SPA Sweep Elbows'!$A$12,VLOOKUP($A179,'Pool &amp; SPA Sweep Elbows'!$A$8:$M$11,5,FALSE),
IF($A179&lt;'Pool &amp; SPA Pipe Extender'!$A$11,VLOOKUP($A179,'Pool &amp; SPA Pipe Extender'!$A$8:$M$10,5,FALSE),
IF($A179&lt;'PVC SCH80'!$A$250,VLOOKUP($A179,'PVC SCH80'!$A$8:$M$249,5,FALSE),
IF($A179&lt;'PVC SCH80 Flange'!$A$49,VLOOKUP($A179,'PVC SCH80 Flange'!$A$8:$M$48,5,FALSE),
IF($A179&lt;'PVC SCH80 LD Flange'!$A$17,VLOOKUP($A179,'PVC SCH80 LD Flange'!$A$8:$M$16,5,FALSE),
IF($A179&lt;CPVC!$A$100,VLOOKUP($A179,CPVC!$A$8:$M$99,5,FALSE),
IF($A179&lt;InsertFittings!$A$237,VLOOKUP($A179,InsertFittings!$A$11:$M$236,5,FALSE),
IF($A179&lt;Valves!$A$132,VLOOKUP($A179,Valves!$A$8:$M$131,5,FALSE),
IF($A179&lt;SDR35SW!$A$124,VLOOKUP($A179,SDR35SW!$A$8:$M$123,5,FALSE),
IF($A179&lt;SDR35G!$A$143,VLOOKUP($A179, SDR35G!$A$8:$M$142,5,FALSE),
IF($A179&lt;SDR26G!$A$61,VLOOKUP($A179,SDR26G!$A$8:$N$60,5,FALSE),
IF($A179&lt;Cements!$A$100,VLOOKUP($A179,Cements!$A$8:$Q$99,5,FALSE),
IF($A179&lt;ValveBox!$A$143,VLOOKUP($A179,ValveBox!$A$10:$O$142,5,FALSE),
IF($A179&lt;'ValveBox Components'!$A$165,VLOOKUP($A179,'ValveBox Components'!$A$10:$O$164,5,FALSE),
IF($A179&lt;Drainage!$A$92,VLOOKUP($A179,Drainage!$A$8:$M$91,5,FALSE),
IF($A179&lt;Nipples!$A$82,VLOOKUP($A179,Nipples!$A$9:$Q$81,5,FALSE),
IF($A179&lt;Manifold!$A$33,VLOOKUP($A179,Manifold!$A$9:$M$32,5,FALSE),
IF($A179&lt;FlexibleRepairCouplings!$A$13,VLOOKUP($A179,FlexibleRepairCouplings!$A$10:$M$12,5,FALSE),
IF($A179&lt;DuraFix!$A$15,VLOOKUP($A179,DuraFix!$A$9:$M$14,5,FALSE),
IF($A179&lt;'Compression Fittings'!$A$16,VLOOKUP($A179,'Compression Fittings'!$A$8:$M$15,5,FALSE),
IF($A179&lt;'Hose Fittings'!$A$30,VLOOKUP($A179,'Hose Fittings'!$A$8:$M$29,5,FALSE),
IF($A179&lt;'Swing Joints'!$A$496,VLOOKUP($A179,'Swing Joints'!$A$9:$M$495,5,FALSE),
IF($A179&lt;'Swing Joints Components'!$A$135,VLOOKUP($A179,'Swing Joints Components'!$A$9:$M$134,5,FALSE),
IF($A179&lt;Nonstandard!$A$42,VLOOKUP($A179,Nonstandard!$A$31:$J$41,6,FALSE),"")))))))))))))))))))))))))))),"")</f>
        <v/>
      </c>
      <c r="D179" s="426" t="str">
        <f>IFERROR(IF($A179&lt;'DWV PVC'!$A$285,VLOOKUP($A179,'DWV PVC'!$A$8:$M$284,6,FALSE),
IF($A179&lt;'DWV ABS'!$A$117,VLOOKUP($A179,'DWV ABS'!$A$8:$M$116,6,FALSE),
IF($A179&lt;'PVC SCH40'!$A$376,VLOOKUP($A179,'PVC SCH40'!$A$8:$M$375,6,FALSE),
IF($A179&lt;'PVC SCH40 LD'!$A$22,VLOOKUP($A179,'PVC SCH40 LD'!$A$8:$M$21,6,FALSE),
IF($A179&lt;'Pool &amp; SPA Sweep Elbows'!$A$12,VLOOKUP($A179,'Pool &amp; SPA Sweep Elbows'!$A$8:$M$11,6,FALSE),
IF($A179&lt;'Pool &amp; SPA Pipe Extender'!$A$11,VLOOKUP($A179,'Pool &amp; SPA Pipe Extender'!$A$8:$M$10,6,FALSE),
IF($A179&lt;'PVC SCH80'!$A$250,VLOOKUP($A179,'PVC SCH80'!$A$8:$M$249,6,FALSE),
IF($A179&lt;'PVC SCH80 Flange'!$A$49,VLOOKUP($A179,'PVC SCH80 Flange'!$A$8:$M$48,6,FALSE),
IF($A179&lt;'PVC SCH80 LD Flange'!$A$17,VLOOKUP($A179,'PVC SCH80 LD Flange'!$A$8:$M$16,6,FALSE),
IF($A179&lt;CPVC!$A$100,VLOOKUP($A179,CPVC!$A$8:$M$99,6,FALSE),
IF($A179&lt;InsertFittings!$A$237,VLOOKUP($A179,InsertFittings!$A$11:$M$236,6,FALSE),
IF($A179&lt;Valves!$A$132,VLOOKUP($A179,Valves!$A$8:$M$131,6,FALSE),
IF($A179&lt;SDR35SW!$A$124,VLOOKUP($A179,SDR35SW!$A$8:$M$123,6,FALSE),
IF($A179&lt;SDR35G!$A$143,VLOOKUP($A179, SDR35G!$A$8:$M$142,6,FALSE),
IF($A179&lt;SDR26G!$A$61,VLOOKUP($A179,SDR26G!$A$8:$N$60,6,FALSE),
IF($A179&lt;Cements!$A$100,VLOOKUP($A179,Cements!$A$8:$Q$99,6,FALSE),
IF($A179&lt;ValveBox!$A$143,VLOOKUP($A179,ValveBox!$A$10:$O$142,6,FALSE),
IF($A179&lt;'ValveBox Components'!$A$165,VLOOKUP($A179,'ValveBox Components'!$A$10:$O$164,6,FALSE),
IF($A179&lt;Drainage!$A$92,VLOOKUP($A179,Drainage!$A$8:$M$91,6,FALSE),
IF($A179&lt;Nipples!$A$82,VLOOKUP($A179,Nipples!$A$9:$Q$81,6,FALSE),
IF($A179&lt;Manifold!$A$33,VLOOKUP($A179,Manifold!$A$9:$M$32,6,FALSE),
IF($A179&lt;FlexibleRepairCouplings!$A$13,VLOOKUP($A179,FlexibleRepairCouplings!$A$10:$M$12,6,FALSE),
IF($A179&lt;DuraFix!$A$15,VLOOKUP($A179,DuraFix!$A$9:$M$14,6,FALSE),
IF($A179&lt;'Compression Fittings'!$A$16,VLOOKUP($A179,'Compression Fittings'!$A$8:$M$15,6,FALSE),
IF($A179&lt;'Hose Fittings'!$A$30,VLOOKUP($A179,'Hose Fittings'!$A$8:$M$29,6,FALSE),
IF($A179&lt;'Swing Joints'!$A$496,VLOOKUP($A179,'Swing Joints'!$A$9:$M$495,6,FALSE),
IF($A179&lt;'Swing Joints Components'!$A$135,VLOOKUP($A179,'Swing Joints Components'!$A$9:$M$134,6,FALSE),
IF($A179&lt;Nonstandard!$A$42,VLOOKUP($A179,Nonstandard!$A$31:$J$41,7,FALSE),"")))))))))))))))))))))))))))),"")</f>
        <v/>
      </c>
      <c r="E179" s="427"/>
      <c r="F179" s="418" t="str">
        <f>IFERROR(IF($A179&lt;'DWV PVC'!$A$285,VLOOKUP($A179,'DWV PVC'!$A$8:$M$284,9,FALSE),
IF($A179&lt;'DWV ABS'!$A$117,VLOOKUP($A179,'DWV ABS'!$A$8:$M$116,9,FALSE),
IF($A179&lt;'PVC SCH40'!$A$376,VLOOKUP($A179,'PVC SCH40'!$A$8:$M$375,9,FALSE),
IF($A179&lt;'PVC SCH40 LD'!$A$22,VLOOKUP($A179,'PVC SCH40 LD'!$A$8:$M$21,9,FALSE),
IF($A179&lt;'Pool &amp; SPA Sweep Elbows'!$A$12,VLOOKUP($A179,'Pool &amp; SPA Sweep Elbows'!$A$8:$M$11,9,FALSE),
IF($A179&lt;'Pool &amp; SPA Pipe Extender'!$A$11,VLOOKUP($A179,'Pool &amp; SPA Pipe Extender'!$A$8:$M$10,9,FALSE),
IF($A179&lt;'PVC SCH80'!$A$250,VLOOKUP($A179,'PVC SCH80'!$A$8:$M$249,9,FALSE),
IF($A179&lt;'PVC SCH80 Flange'!$A$49,VLOOKUP($A179,'PVC SCH80 Flange'!$A$8:$M$48,9,FALSE),
IF($A179&lt;'PVC SCH80 LD Flange'!$A$17,VLOOKUP($A179,'PVC SCH80 LD Flange'!$A$8:$M$16,9,FALSE),
IF($A179&lt;CPVC!$A$100,VLOOKUP($A179,CPVC!$A$8:$M$99,9,FALSE),
IF($A179&lt;InsertFittings!$A$237,VLOOKUP($A179,InsertFittings!$A$11:$M$236,9,FALSE),
IF($A179&lt;Valves!$A$132,VLOOKUP($A179,Valves!$A$8:$M$131,9,FALSE),
IF($A179&lt;SDR35SW!$A$124,VLOOKUP($A179,SDR35SW!$A$8:$M$123,9,FALSE),
IF($A179&lt;SDR35G!$A$143,VLOOKUP($A179, SDR35G!$A$8:$M$142,9,FALSE),
IF($A179&lt;SDR26G!$A$61,VLOOKUP($A179,SDR26G!$A$8:$N$60,10,FALSE),
IF($A179&lt;Cements!$A$100,VLOOKUP($A179,Cements!$A$8:$Q$99,13,FALSE),
IF($A179&lt;ValveBox!$A$143,VLOOKUP($A179,ValveBox!$A$10:$O$142,11,FALSE),
IF($A179&lt;'ValveBox Components'!$A$165,VLOOKUP($A179,'ValveBox Components'!$A$10:$O$164,11,FALSE),
IF($A179&lt;Drainage!$A$92,VLOOKUP($A179,Drainage!$A$8:$M$91,9,FALSE),
IF($A179&lt;Nipples!$A$82,VLOOKUP($A179,Nipples!$A$9:$Q$81,13,FALSE),
IF($A179&lt;Manifold!$A$33,VLOOKUP($A179,Manifold!$A$9:$M$32,9,FALSE),
IF($A179&lt;FlexibleRepairCouplings!$A$13,VLOOKUP($A179,FlexibleRepairCouplings!$A$10:$M$12,9,FALSE),
IF($A179&lt;DuraFix!$A$15,VLOOKUP($A179,DuraFix!$A$9:$M$14,9,FALSE),
IF($A179&lt;'Compression Fittings'!$A$16,VLOOKUP($A179,'Compression Fittings'!$A$8:$M$15,9,FALSE),
IF($A179&lt;'Hose Fittings'!$A$30,VLOOKUP($A179,'Hose Fittings'!$A$8:$M$29,9,FALSE),
IF($A179&lt;'Swing Joints'!$A$496,VLOOKUP($A179,'Swing Joints'!$A$9:$M$495,9,FALSE),
IF($A179&lt;'Swing Joints Components'!$A$135,VLOOKUP($A179,'Swing Joints Components'!$A$9:$M$134,9,FALSE),
IF($A179&lt;Nonstandard!$A$42,VLOOKUP($A179,Nonstandard!$A$31:$J$41,8,FALSE),"")))))))))))))))))))))))))))),"")</f>
        <v/>
      </c>
      <c r="G179" s="416" t="str">
        <f>IFERROR(IF($A179&lt;'DWV PVC'!$A$285,VLOOKUP($A179,'DWV PVC'!$A$8:$M$284,11,FALSE),
IF($A179&lt;'DWV ABS'!$A$117,VLOOKUP($A179,'DWV ABS'!$A$8:$M$116,11,FALSE),
IF($A179&lt;'PVC SCH40'!$A$376,VLOOKUP($A179,'PVC SCH40'!$A$8:$M$375,11,FALSE),
IF($A179&lt;'PVC SCH40 LD'!$A$22,VLOOKUP($A179,'PVC SCH40 LD'!$A$8:$M$21,11,FALSE),
IF($A179&lt;'Pool &amp; SPA Sweep Elbows'!$A$12,VLOOKUP($A179,'Pool &amp; SPA Sweep Elbows'!$A$8:$M$11,11,FALSE),
IF($A179&lt;'Pool &amp; SPA Pipe Extender'!$A$11,VLOOKUP($A179,'Pool &amp; SPA Pipe Extender'!$A$8:$M$10,11,FALSE),
IF($A179&lt;'PVC SCH80'!$A$250,VLOOKUP($A179,'PVC SCH80'!$A$8:$M$249,11,FALSE),
IF($A179&lt;'PVC SCH80 Flange'!$A$49,VLOOKUP($A179,'PVC SCH80 Flange'!$A$8:$M$48,11,FALSE),
IF($A179&lt;'PVC SCH80 LD Flange'!$A$17,VLOOKUP($A179,'PVC SCH80 LD Flange'!$A$8:$M$16,11,FALSE),
IF($A179&lt;CPVC!$A$100,VLOOKUP($A179,CPVC!$A$8:$M$99,11,FALSE),
IF($A179&lt;InsertFittings!$A$237,VLOOKUP($A179,InsertFittings!$A$11:$M$236,11,FALSE),
IF($A179&lt;Valves!$A$132,VLOOKUP($A179,Valves!$A$8:$M$131,11,FALSE),
IF($A179&lt;SDR35SW!$A$124,VLOOKUP($A179,SDR35SW!$A$8:$M$123,11,FALSE),
IF($A179&lt;SDR35G!$A$143,VLOOKUP($A179, SDR35G!$A$8:$M$142,11,FALSE),
IF($A179&lt;SDR26G!$A$61,VLOOKUP($A179,SDR26G!$A$8:$N$60,12,FALSE),
IF($A179&lt;Cements!$A$100,VLOOKUP($A179,Cements!$A$8:$Q$99,15,FALSE),
IF($A179&lt;ValveBox!$A$143,VLOOKUP($A179,ValveBox!$A$10:$O$142,13,FALSE),
IF($A179&lt;'ValveBox Components'!$A$165,VLOOKUP($A179,'ValveBox Components'!$A$10:$O$164,13,FALSE),
IF($A179&lt;Drainage!$A$92,VLOOKUP($A179,Drainage!$A$8:$M$91,11,FALSE),
IF($A179&lt;Nipples!$A$82,VLOOKUP($A179,Nipples!$A$9:$Q$81,15,FALSE),
IF($A179&lt;Manifold!$A$33,VLOOKUP($A179,Manifold!$A$9:$M$32,11,FALSE),
IF($A179&lt;FlexibleRepairCouplings!$A$13,VLOOKUP($A179,FlexibleRepairCouplings!$A$10:$M$12,11,FALSE),
IF($A179&lt;DuraFix!$A$15,VLOOKUP($A179,DuraFix!$A$9:$M$14,11,FALSE),
IF($A179&lt;'Compression Fittings'!$A$16,VLOOKUP($A179,'Compression Fittings'!$A$8:$M$15,11,FALSE),
IF($A179&lt;'Hose Fittings'!$A$30,VLOOKUP($A179,'Hose Fittings'!$A$8:$M$29,11,FALSE),
IF($A179&lt;'Swing Joints'!$A$496,VLOOKUP($A179,'Swing Joints'!$A$9:$M$495,11,FALSE),
IF($A179&lt;'Swing Joints Components'!$A$135,VLOOKUP($A179,'Swing Joints Components'!$A$9:$M$134,11,FALSE),
IF($A179&lt;Nonstandard!$A$42,VLOOKUP($A179,Nonstandard!$A$31:$J$41,3,FALSE),"")))))))))))))))))))))))))))),"")</f>
        <v/>
      </c>
      <c r="H179" s="586" t="str">
        <f>IFERROR(IF($A179&lt;'DWV PVC'!$A$285,VLOOKUP($A179,'DWV PVC'!$A$8:$M$284,7,FALSE),
IF($A179&lt;'DWV ABS'!$A$117,VLOOKUP($A179,'DWV ABS'!$A$8:$M$116,7,FALSE),
IF($A179&lt;'PVC SCH40'!$A$376,VLOOKUP($A179,'PVC SCH40'!$A$8:$M$375,7,FALSE),
IF($A179&lt;'PVC SCH40 LD'!$A$22,VLOOKUP($A179,'PVC SCH40 LD'!$A$8:$M$21,7,FALSE),
IF($A179&lt;'Pool &amp; SPA Sweep Elbows'!$A$12,VLOOKUP($A179,'Pool &amp; SPA Sweep Elbows'!$A$8:$M$11,7,FALSE),
IF($A179&lt;'Pool &amp; SPA Pipe Extender'!$A$11,VLOOKUP($A179,'Pool &amp; SPA Pipe Extender'!$A$8:$M$10,7,FALSE),
IF($A179&lt;'PVC SCH80'!$A$250,VLOOKUP($A179,'PVC SCH80'!$A$8:$M$249,7,FALSE),
IF($A179&lt;'PVC SCH80 Flange'!$A$49,VLOOKUP($A179,'PVC SCH80 Flange'!$A$8:$M$48,7,FALSE),
IF($A179&lt;'PVC SCH80 LD Flange'!$A$17,VLOOKUP($A179,'PVC SCH80 LD Flange'!$A$8:$M$16,7,FALSE),
IF($A179&lt;CPVC!$A$100,VLOOKUP($A179,CPVC!$A$8:$M$99,7,FALSE),
IF($A179&lt;InsertFittings!$A$237,VLOOKUP($A179,InsertFittings!$A$11:$M$236,7,FALSE),
IF($A179&lt;Valves!$A$132,VLOOKUP($A179,Valves!$A$8:$M$131,7,FALSE),
IF($A179&lt;SDR35SW!$A$124,VLOOKUP($A179,SDR35SW!$A$8:$M$123,7,FALSE),
IF($A179&lt;SDR35G!$A$143,VLOOKUP($A179, SDR35G!$A$8:$M$142,7,FALSE),
IF($A179&lt;SDR26G!$A$61,VLOOKUP($A179,SDR26G!$A$8:$N$60,10,FALSE),
IF($A179&lt;Cements!$A$100,VLOOKUP($A179,Cements!$A$8:$Q$99,13,FALSE),
IF($A179&lt;ValveBox!$A$143,VLOOKUP($A179,ValveBox!$A$10:$O$142,11,FALSE),
IF($A179&lt;'ValveBox Components'!$A$165,VLOOKUP($A179,'ValveBox Components'!$A$10:$O$164,11,FALSE),
IF($A179&lt;Drainage!$A$92,VLOOKUP($A179,Drainage!$A$8:$M$91,7,FALSE),
IF($A179&lt;Nipples!$A$82,VLOOKUP($A179,Nipples!$A$9:$Q$81,13,FALSE),
IF($A179&lt;Manifold!$A$33,VLOOKUP($A179,Manifold!$A$9:$M$32,7,FALSE),
IF($A179&lt;FlexibleRepairCouplings!$A$13,VLOOKUP($A179,FlexibleRepairCouplings!$A$10:$M$12,7,FALSE),
IF($A179&lt;DuraFix!$A$15,VLOOKUP($A179,DuraFix!$A$9:$M$14,7,FALSE),
IF($A179&lt;'Compression Fittings'!$A$16,VLOOKUP($A179,'Compression Fittings'!$A$8:$M$15,7,FALSE),
IF($A179&lt;'Hose Fittings'!$A$30,VLOOKUP($A179,'Hose Fittings'!$A$8:$M$29,7,FALSE),
IF($A179&lt;'Swing Joints'!$A$496,VLOOKUP($A179,'Swing Joints'!$A$9:$M$495,7,FALSE),
IF($A179&lt;'Swing Joints Components'!$A$135,VLOOKUP($A179,'Swing Joints Components'!$A$9:$M$134,7,FALSE),
IF($A179&lt;Nonstandard!$A$42,VLOOKUP($A179,Nonstandard!$A$31:$J$41,3,FALSE),"")))))))))))))))))))))))))))),"")</f>
        <v/>
      </c>
      <c r="I179" s="587"/>
      <c r="J179" s="383" t="str">
        <f t="shared" si="5"/>
        <v/>
      </c>
      <c r="K179" s="417" t="str">
        <f>IFERROR(IF($A179&lt;'DWV PVC'!$A$285,VLOOKUP($A179,'DWV PVC'!$A$8:$M$284,10,FALSE),
IF($A179&lt;'DWV ABS'!$A$117,VLOOKUP($A179,'DWV ABS'!$A$8:$M$116,10,FALSE),
IF($A179&lt;'PVC SCH40'!$A$376,VLOOKUP($A179,'PVC SCH40'!$A$8:$M$375,10,FALSE),
IF($A179&lt;'PVC SCH40 LD'!$A$22,VLOOKUP($A179,'PVC SCH40 LD'!$A$8:$M$21,10,FALSE),
IF($A179&lt;'Pool &amp; SPA Sweep Elbows'!$A$12,VLOOKUP($A179,'Pool &amp; SPA Sweep Elbows'!$A$8:$M$11,10,FALSE),
IF($A179&lt;'Pool &amp; SPA Pipe Extender'!$A$11,VLOOKUP($A179,'Pool &amp; SPA Pipe Extender'!$A$8:$M$10,10,FALSE),
IF($A179&lt;'PVC SCH80'!$A$250,VLOOKUP($A179,'PVC SCH80'!$A$8:$M$249,10,FALSE),
IF($A179&lt;'PVC SCH80 Flange'!$A$49,VLOOKUP($A179,'PVC SCH80 Flange'!$A$8:$M$48,10,FALSE),
IF($A179&lt;'PVC SCH80 LD Flange'!$A$17,VLOOKUP($A179,'PVC SCH80 LD Flange'!$A$8:$M$16,10,FALSE),
IF($A179&lt;CPVC!$A$100,VLOOKUP($A179,CPVC!$A$8:$M$99,10,FALSE),
IF($A179&lt;InsertFittings!$A$237,VLOOKUP($A179,InsertFittings!$A$11:$M$236,10,FALSE),
IF($A179&lt;Valves!$A$132,VLOOKUP($A179,Valves!$A$8:$M$131,10,FALSE),
IF($A179&lt;SDR35SW!$A$124,VLOOKUP($A179,SDR35SW!$A$8:$M$123,10,FALSE),
IF($A179&lt;SDR35G!$A$143,VLOOKUP($A179, SDR35G!$A$8:$M$142,10,FALSE),
IF($A179&lt;SDR26G!$A$61,VLOOKUP($A179,SDR26G!$A$8:$N$60,11,FALSE),
IF($A179&lt;Cements!$A$100,VLOOKUP($A179,Cements!$A$8:$Q$99,14,FALSE),
IF($A179&lt;ValveBox!$A$143,VLOOKUP($A179,ValveBox!$A$10:$O$142,12,FALSE),
IF($A179&lt;'ValveBox Components'!$A$165,VLOOKUP($A179,'ValveBox Components'!$A$10:$O$164,12,FALSE),
IF($A179&lt;Drainage!$A$92,VLOOKUP($A179,Drainage!$A$8:$M$91,10,FALSE),
IF($A179&lt;Nipples!$A$82,VLOOKUP($A179,Nipples!$A$9:$Q$81,14,FALSE),
IF($A179&lt;Manifold!$A$33,VLOOKUP($A179,Manifold!$A$9:$M$32,10,FALSE),
IF($A179&lt;FlexibleRepairCouplings!$A$13,VLOOKUP($A179,FlexibleRepairCouplings!$A$10:$M$12,10,FALSE),
IF($A179&lt;DuraFix!$A$15,VLOOKUP($A179,DuraFix!$A$9:$M$14,10,FALSE),
IF($A179&lt;'Compression Fittings'!$A$16,VLOOKUP($A179,'Compression Fittings'!$A$8:$M$15,10,FALSE),
IF($A179&lt;'Hose Fittings'!$A$30,VLOOKUP($A179,'Hose Fittings'!$A$8:$M$29,10,FALSE),
IF($A179&lt;'Swing Joints'!$A$496,VLOOKUP($A179,'Swing Joints'!$A$9:$M$495,10,FALSE),
IF($A179&lt;'Swing Joints Components'!$A$135,VLOOKUP($A179,'Swing Joints Components'!$A$9:$M$134,10,FALSE),
IF($A179&lt;Nonstandard!$A$42,VLOOKUP($A179,Nonstandard!$A$31:$J$41,10,FALSE),"")))))))))))))))))))))))))))),"")</f>
        <v/>
      </c>
      <c r="L179" s="418" t="str">
        <f t="shared" si="4"/>
        <v>-</v>
      </c>
      <c r="M179" s="419"/>
    </row>
    <row r="180" spans="1:13" ht="15.75">
      <c r="A180" s="420">
        <v>148</v>
      </c>
      <c r="B180" s="420" t="str">
        <f>IFERROR(IF($A180&lt;'DWV PVC'!$A$285,VLOOKUP($A180,'DWV PVC'!$A$8:$M$284,4,FALSE),
IF($A180&lt;'DWV ABS'!$A$117,VLOOKUP($A180,'DWV ABS'!$A$8:$M$116,4,FALSE),
IF($A180&lt;'PVC SCH40'!$A$376,VLOOKUP($A180,'PVC SCH40'!$A$8:$M$375,4,FALSE),
IF($A180&lt;'PVC SCH40 LD'!$A$22,VLOOKUP($A180,'PVC SCH40 LD'!$A$8:$M$21,4,FALSE),
IF($A180&lt;'Pool &amp; SPA Sweep Elbows'!$A$12,VLOOKUP($A180,'Pool &amp; SPA Sweep Elbows'!$A$8:$M$11,4,FALSE),
IF($A180&lt;'Pool &amp; SPA Pipe Extender'!$A$11,VLOOKUP($A180,'Pool &amp; SPA Pipe Extender'!$A$8:$M$10,4,FALSE),
IF($A180&lt;'PVC SCH80'!$A$250,VLOOKUP($A180,'PVC SCH80'!$A$8:$M$249,4,FALSE),
IF($A180&lt;'PVC SCH80 Flange'!$A$49,VLOOKUP($A180,'PVC SCH80 Flange'!$A$8:$M$48,4,FALSE),
IF($A180&lt;'PVC SCH80 LD Flange'!$A$17,VLOOKUP($A180,'PVC SCH80 LD Flange'!$A$8:$M$16,4,FALSE),
IF($A180&lt;CPVC!$A$100,VLOOKUP($A180,CPVC!$A$8:$M$99,4,FALSE),
IF($A180&lt;InsertFittings!$A$237,VLOOKUP($A180,InsertFittings!$A$11:$M$236,4,FALSE),
IF($A180&lt;Valves!$A$132,VLOOKUP($A180,Valves!$A$8:$M$131,4,FALSE),
IF($A180&lt;SDR35SW!$A$124,VLOOKUP($A180,SDR35SW!$A$8:$M$123,4,FALSE),
IF($A180&lt;SDR35G!$A$143,VLOOKUP($A180, SDR35G!$A$8:$M$142,4,FALSE),
IF($A180&lt;SDR26G!$A$61,VLOOKUP($A180,SDR26G!$A$8:$N$60,4,FALSE),
IF($A180&lt;Cements!$A$100,VLOOKUP($A180,Cements!$A$8:$Q$99,4,FALSE),
IF($A180&lt;ValveBox!$A$143,VLOOKUP($A180,ValveBox!$A$10:$O$142,4,FALSE),
IF($A180&lt;'ValveBox Components'!$A$165,VLOOKUP($A180,'ValveBox Components'!$A$10:$O$164,4,FALSE),
IF($A180&lt;Drainage!$A$92,VLOOKUP($A180,Drainage!$A$8:$M$91,4,FALSE),
IF($A180&lt;Nipples!$A$82,VLOOKUP($A180,Nipples!$A$9:$Q$81,4,FALSE),
IF($A180&lt;Manifold!$A$33,VLOOKUP($A180,Manifold!$A$9:$M$32,4,FALSE),
IF($A180&lt;FlexibleRepairCouplings!$A$13,VLOOKUP($A180,FlexibleRepairCouplings!$A$10:$M$12,4,FALSE),
IF($A180&lt;DuraFix!$A$15,VLOOKUP($A180,DuraFix!$A$9:$M$14,4,FALSE),
IF($A180&lt;'Compression Fittings'!$A$16,VLOOKUP($A180,'Compression Fittings'!$A$8:$M$15,4,FALSE),
IF($A180&lt;'Hose Fittings'!$A$30,VLOOKUP($A180,'Hose Fittings'!$A$8:$M$29,4,FALSE),
IF($A180&lt;'Swing Joints'!$A$496,VLOOKUP($A180,'Swing Joints'!$A$9:$M$495,4,FALSE),
IF($A180&lt;'Swing Joints Components'!$A$135,VLOOKUP($A180,'Swing Joints Components'!$A$9:$M$134,4,FALSE),
IF($A180&lt;Nonstandard!$A$42,VLOOKUP($A180,Nonstandard!$A$31:$J$41,5,FALSE),"")))))))))))))))))))))))))))),"")</f>
        <v/>
      </c>
      <c r="C180" s="420" t="str">
        <f>IFERROR(IF($A180&lt;'DWV PVC'!$A$285,VLOOKUP($A180,'DWV PVC'!$A$8:$M$284,5,FALSE),
IF($A180&lt;'DWV ABS'!$A$117,VLOOKUP($A180,'DWV ABS'!$A$8:$M$116,5,FALSE),
IF($A180&lt;'PVC SCH40'!$A$376,VLOOKUP($A180,'PVC SCH40'!$A$8:$M$375,5,FALSE),
IF($A180&lt;'PVC SCH40 LD'!$A$22,VLOOKUP($A180,'PVC SCH40 LD'!$A$8:$M$21,5,FALSE),
IF($A180&lt;'Pool &amp; SPA Sweep Elbows'!$A$12,VLOOKUP($A180,'Pool &amp; SPA Sweep Elbows'!$A$8:$M$11,5,FALSE),
IF($A180&lt;'Pool &amp; SPA Pipe Extender'!$A$11,VLOOKUP($A180,'Pool &amp; SPA Pipe Extender'!$A$8:$M$10,5,FALSE),
IF($A180&lt;'PVC SCH80'!$A$250,VLOOKUP($A180,'PVC SCH80'!$A$8:$M$249,5,FALSE),
IF($A180&lt;'PVC SCH80 Flange'!$A$49,VLOOKUP($A180,'PVC SCH80 Flange'!$A$8:$M$48,5,FALSE),
IF($A180&lt;'PVC SCH80 LD Flange'!$A$17,VLOOKUP($A180,'PVC SCH80 LD Flange'!$A$8:$M$16,5,FALSE),
IF($A180&lt;CPVC!$A$100,VLOOKUP($A180,CPVC!$A$8:$M$99,5,FALSE),
IF($A180&lt;InsertFittings!$A$237,VLOOKUP($A180,InsertFittings!$A$11:$M$236,5,FALSE),
IF($A180&lt;Valves!$A$132,VLOOKUP($A180,Valves!$A$8:$M$131,5,FALSE),
IF($A180&lt;SDR35SW!$A$124,VLOOKUP($A180,SDR35SW!$A$8:$M$123,5,FALSE),
IF($A180&lt;SDR35G!$A$143,VLOOKUP($A180, SDR35G!$A$8:$M$142,5,FALSE),
IF($A180&lt;SDR26G!$A$61,VLOOKUP($A180,SDR26G!$A$8:$N$60,5,FALSE),
IF($A180&lt;Cements!$A$100,VLOOKUP($A180,Cements!$A$8:$Q$99,5,FALSE),
IF($A180&lt;ValveBox!$A$143,VLOOKUP($A180,ValveBox!$A$10:$O$142,5,FALSE),
IF($A180&lt;'ValveBox Components'!$A$165,VLOOKUP($A180,'ValveBox Components'!$A$10:$O$164,5,FALSE),
IF($A180&lt;Drainage!$A$92,VLOOKUP($A180,Drainage!$A$8:$M$91,5,FALSE),
IF($A180&lt;Nipples!$A$82,VLOOKUP($A180,Nipples!$A$9:$Q$81,5,FALSE),
IF($A180&lt;Manifold!$A$33,VLOOKUP($A180,Manifold!$A$9:$M$32,5,FALSE),
IF($A180&lt;FlexibleRepairCouplings!$A$13,VLOOKUP($A180,FlexibleRepairCouplings!$A$10:$M$12,5,FALSE),
IF($A180&lt;DuraFix!$A$15,VLOOKUP($A180,DuraFix!$A$9:$M$14,5,FALSE),
IF($A180&lt;'Compression Fittings'!$A$16,VLOOKUP($A180,'Compression Fittings'!$A$8:$M$15,5,FALSE),
IF($A180&lt;'Hose Fittings'!$A$30,VLOOKUP($A180,'Hose Fittings'!$A$8:$M$29,5,FALSE),
IF($A180&lt;'Swing Joints'!$A$496,VLOOKUP($A180,'Swing Joints'!$A$9:$M$495,5,FALSE),
IF($A180&lt;'Swing Joints Components'!$A$135,VLOOKUP($A180,'Swing Joints Components'!$A$9:$M$134,5,FALSE),
IF($A180&lt;Nonstandard!$A$42,VLOOKUP($A180,Nonstandard!$A$31:$J$41,6,FALSE),"")))))))))))))))))))))))))))),"")</f>
        <v/>
      </c>
      <c r="D180" s="428" t="str">
        <f>IFERROR(IF($A180&lt;'DWV PVC'!$A$285,VLOOKUP($A180,'DWV PVC'!$A$8:$M$284,6,FALSE),
IF($A180&lt;'DWV ABS'!$A$117,VLOOKUP($A180,'DWV ABS'!$A$8:$M$116,6,FALSE),
IF($A180&lt;'PVC SCH40'!$A$376,VLOOKUP($A180,'PVC SCH40'!$A$8:$M$375,6,FALSE),
IF($A180&lt;'PVC SCH40 LD'!$A$22,VLOOKUP($A180,'PVC SCH40 LD'!$A$8:$M$21,6,FALSE),
IF($A180&lt;'Pool &amp; SPA Sweep Elbows'!$A$12,VLOOKUP($A180,'Pool &amp; SPA Sweep Elbows'!$A$8:$M$11,6,FALSE),
IF($A180&lt;'Pool &amp; SPA Pipe Extender'!$A$11,VLOOKUP($A180,'Pool &amp; SPA Pipe Extender'!$A$8:$M$10,6,FALSE),
IF($A180&lt;'PVC SCH80'!$A$250,VLOOKUP($A180,'PVC SCH80'!$A$8:$M$249,6,FALSE),
IF($A180&lt;'PVC SCH80 Flange'!$A$49,VLOOKUP($A180,'PVC SCH80 Flange'!$A$8:$M$48,6,FALSE),
IF($A180&lt;'PVC SCH80 LD Flange'!$A$17,VLOOKUP($A180,'PVC SCH80 LD Flange'!$A$8:$M$16,6,FALSE),
IF($A180&lt;CPVC!$A$100,VLOOKUP($A180,CPVC!$A$8:$M$99,6,FALSE),
IF($A180&lt;InsertFittings!$A$237,VLOOKUP($A180,InsertFittings!$A$11:$M$236,6,FALSE),
IF($A180&lt;Valves!$A$132,VLOOKUP($A180,Valves!$A$8:$M$131,6,FALSE),
IF($A180&lt;SDR35SW!$A$124,VLOOKUP($A180,SDR35SW!$A$8:$M$123,6,FALSE),
IF($A180&lt;SDR35G!$A$143,VLOOKUP($A180, SDR35G!$A$8:$M$142,6,FALSE),
IF($A180&lt;SDR26G!$A$61,VLOOKUP($A180,SDR26G!$A$8:$N$60,6,FALSE),
IF($A180&lt;Cements!$A$100,VLOOKUP($A180,Cements!$A$8:$Q$99,6,FALSE),
IF($A180&lt;ValveBox!$A$143,VLOOKUP($A180,ValveBox!$A$10:$O$142,6,FALSE),
IF($A180&lt;'ValveBox Components'!$A$165,VLOOKUP($A180,'ValveBox Components'!$A$10:$O$164,6,FALSE),
IF($A180&lt;Drainage!$A$92,VLOOKUP($A180,Drainage!$A$8:$M$91,6,FALSE),
IF($A180&lt;Nipples!$A$82,VLOOKUP($A180,Nipples!$A$9:$Q$81,6,FALSE),
IF($A180&lt;Manifold!$A$33,VLOOKUP($A180,Manifold!$A$9:$M$32,6,FALSE),
IF($A180&lt;FlexibleRepairCouplings!$A$13,VLOOKUP($A180,FlexibleRepairCouplings!$A$10:$M$12,6,FALSE),
IF($A180&lt;DuraFix!$A$15,VLOOKUP($A180,DuraFix!$A$9:$M$14,6,FALSE),
IF($A180&lt;'Compression Fittings'!$A$16,VLOOKUP($A180,'Compression Fittings'!$A$8:$M$15,6,FALSE),
IF($A180&lt;'Hose Fittings'!$A$30,VLOOKUP($A180,'Hose Fittings'!$A$8:$M$29,6,FALSE),
IF($A180&lt;'Swing Joints'!$A$496,VLOOKUP($A180,'Swing Joints'!$A$9:$M$495,6,FALSE),
IF($A180&lt;'Swing Joints Components'!$A$135,VLOOKUP($A180,'Swing Joints Components'!$A$9:$M$134,6,FALSE),
IF($A180&lt;Nonstandard!$A$42,VLOOKUP($A180,Nonstandard!$A$31:$J$41,7,FALSE),"")))))))))))))))))))))))))))),"")</f>
        <v/>
      </c>
      <c r="E180" s="429"/>
      <c r="F180" s="421" t="str">
        <f>IFERROR(IF($A180&lt;'DWV PVC'!$A$285,VLOOKUP($A180,'DWV PVC'!$A$8:$M$284,9,FALSE),
IF($A180&lt;'DWV ABS'!$A$117,VLOOKUP($A180,'DWV ABS'!$A$8:$M$116,9,FALSE),
IF($A180&lt;'PVC SCH40'!$A$376,VLOOKUP($A180,'PVC SCH40'!$A$8:$M$375,9,FALSE),
IF($A180&lt;'PVC SCH40 LD'!$A$22,VLOOKUP($A180,'PVC SCH40 LD'!$A$8:$M$21,9,FALSE),
IF($A180&lt;'Pool &amp; SPA Sweep Elbows'!$A$12,VLOOKUP($A180,'Pool &amp; SPA Sweep Elbows'!$A$8:$M$11,9,FALSE),
IF($A180&lt;'Pool &amp; SPA Pipe Extender'!$A$11,VLOOKUP($A180,'Pool &amp; SPA Pipe Extender'!$A$8:$M$10,9,FALSE),
IF($A180&lt;'PVC SCH80'!$A$250,VLOOKUP($A180,'PVC SCH80'!$A$8:$M$249,9,FALSE),
IF($A180&lt;'PVC SCH80 Flange'!$A$49,VLOOKUP($A180,'PVC SCH80 Flange'!$A$8:$M$48,9,FALSE),
IF($A180&lt;'PVC SCH80 LD Flange'!$A$17,VLOOKUP($A180,'PVC SCH80 LD Flange'!$A$8:$M$16,9,FALSE),
IF($A180&lt;CPVC!$A$100,VLOOKUP($A180,CPVC!$A$8:$M$99,9,FALSE),
IF($A180&lt;InsertFittings!$A$237,VLOOKUP($A180,InsertFittings!$A$11:$M$236,9,FALSE),
IF($A180&lt;Valves!$A$132,VLOOKUP($A180,Valves!$A$8:$M$131,9,FALSE),
IF($A180&lt;SDR35SW!$A$124,VLOOKUP($A180,SDR35SW!$A$8:$M$123,9,FALSE),
IF($A180&lt;SDR35G!$A$143,VLOOKUP($A180, SDR35G!$A$8:$M$142,9,FALSE),
IF($A180&lt;SDR26G!$A$61,VLOOKUP($A180,SDR26G!$A$8:$N$60,10,FALSE),
IF($A180&lt;Cements!$A$100,VLOOKUP($A180,Cements!$A$8:$Q$99,13,FALSE),
IF($A180&lt;ValveBox!$A$143,VLOOKUP($A180,ValveBox!$A$10:$O$142,11,FALSE),
IF($A180&lt;'ValveBox Components'!$A$165,VLOOKUP($A180,'ValveBox Components'!$A$10:$O$164,11,FALSE),
IF($A180&lt;Drainage!$A$92,VLOOKUP($A180,Drainage!$A$8:$M$91,9,FALSE),
IF($A180&lt;Nipples!$A$82,VLOOKUP($A180,Nipples!$A$9:$Q$81,13,FALSE),
IF($A180&lt;Manifold!$A$33,VLOOKUP($A180,Manifold!$A$9:$M$32,9,FALSE),
IF($A180&lt;FlexibleRepairCouplings!$A$13,VLOOKUP($A180,FlexibleRepairCouplings!$A$10:$M$12,9,FALSE),
IF($A180&lt;DuraFix!$A$15,VLOOKUP($A180,DuraFix!$A$9:$M$14,9,FALSE),
IF($A180&lt;'Compression Fittings'!$A$16,VLOOKUP($A180,'Compression Fittings'!$A$8:$M$15,9,FALSE),
IF($A180&lt;'Hose Fittings'!$A$30,VLOOKUP($A180,'Hose Fittings'!$A$8:$M$29,9,FALSE),
IF($A180&lt;'Swing Joints'!$A$496,VLOOKUP($A180,'Swing Joints'!$A$9:$M$495,9,FALSE),
IF($A180&lt;'Swing Joints Components'!$A$135,VLOOKUP($A180,'Swing Joints Components'!$A$9:$M$134,9,FALSE),
IF($A180&lt;Nonstandard!$A$42,VLOOKUP($A180,Nonstandard!$A$31:$J$41,8,FALSE),"")))))))))))))))))))))))))))),"")</f>
        <v/>
      </c>
      <c r="G180" s="422" t="str">
        <f>IFERROR(IF($A180&lt;'DWV PVC'!$A$285,VLOOKUP($A180,'DWV PVC'!$A$8:$M$284,11,FALSE),
IF($A180&lt;'DWV ABS'!$A$117,VLOOKUP($A180,'DWV ABS'!$A$8:$M$116,11,FALSE),
IF($A180&lt;'PVC SCH40'!$A$376,VLOOKUP($A180,'PVC SCH40'!$A$8:$M$375,11,FALSE),
IF($A180&lt;'PVC SCH40 LD'!$A$22,VLOOKUP($A180,'PVC SCH40 LD'!$A$8:$M$21,11,FALSE),
IF($A180&lt;'Pool &amp; SPA Sweep Elbows'!$A$12,VLOOKUP($A180,'Pool &amp; SPA Sweep Elbows'!$A$8:$M$11,11,FALSE),
IF($A180&lt;'Pool &amp; SPA Pipe Extender'!$A$11,VLOOKUP($A180,'Pool &amp; SPA Pipe Extender'!$A$8:$M$10,11,FALSE),
IF($A180&lt;'PVC SCH80'!$A$250,VLOOKUP($A180,'PVC SCH80'!$A$8:$M$249,11,FALSE),
IF($A180&lt;'PVC SCH80 Flange'!$A$49,VLOOKUP($A180,'PVC SCH80 Flange'!$A$8:$M$48,11,FALSE),
IF($A180&lt;'PVC SCH80 LD Flange'!$A$17,VLOOKUP($A180,'PVC SCH80 LD Flange'!$A$8:$M$16,11,FALSE),
IF($A180&lt;CPVC!$A$100,VLOOKUP($A180,CPVC!$A$8:$M$99,11,FALSE),
IF($A180&lt;InsertFittings!$A$237,VLOOKUP($A180,InsertFittings!$A$11:$M$236,11,FALSE),
IF($A180&lt;Valves!$A$132,VLOOKUP($A180,Valves!$A$8:$M$131,11,FALSE),
IF($A180&lt;SDR35SW!$A$124,VLOOKUP($A180,SDR35SW!$A$8:$M$123,11,FALSE),
IF($A180&lt;SDR35G!$A$143,VLOOKUP($A180, SDR35G!$A$8:$M$142,11,FALSE),
IF($A180&lt;SDR26G!$A$61,VLOOKUP($A180,SDR26G!$A$8:$N$60,12,FALSE),
IF($A180&lt;Cements!$A$100,VLOOKUP($A180,Cements!$A$8:$Q$99,15,FALSE),
IF($A180&lt;ValveBox!$A$143,VLOOKUP($A180,ValveBox!$A$10:$O$142,13,FALSE),
IF($A180&lt;'ValveBox Components'!$A$165,VLOOKUP($A180,'ValveBox Components'!$A$10:$O$164,13,FALSE),
IF($A180&lt;Drainage!$A$92,VLOOKUP($A180,Drainage!$A$8:$M$91,11,FALSE),
IF($A180&lt;Nipples!$A$82,VLOOKUP($A180,Nipples!$A$9:$Q$81,15,FALSE),
IF($A180&lt;Manifold!$A$33,VLOOKUP($A180,Manifold!$A$9:$M$32,11,FALSE),
IF($A180&lt;FlexibleRepairCouplings!$A$13,VLOOKUP($A180,FlexibleRepairCouplings!$A$10:$M$12,11,FALSE),
IF($A180&lt;DuraFix!$A$15,VLOOKUP($A180,DuraFix!$A$9:$M$14,11,FALSE),
IF($A180&lt;'Compression Fittings'!$A$16,VLOOKUP($A180,'Compression Fittings'!$A$8:$M$15,11,FALSE),
IF($A180&lt;'Hose Fittings'!$A$30,VLOOKUP($A180,'Hose Fittings'!$A$8:$M$29,11,FALSE),
IF($A180&lt;'Swing Joints'!$A$496,VLOOKUP($A180,'Swing Joints'!$A$9:$M$495,11,FALSE),
IF($A180&lt;'Swing Joints Components'!$A$135,VLOOKUP($A180,'Swing Joints Components'!$A$9:$M$134,11,FALSE),
IF($A180&lt;Nonstandard!$A$42,VLOOKUP($A180,Nonstandard!$A$31:$J$41,3,FALSE),"")))))))))))))))))))))))))))),"")</f>
        <v/>
      </c>
      <c r="H180" s="588" t="str">
        <f>IFERROR(IF($A180&lt;'DWV PVC'!$A$285,VLOOKUP($A180,'DWV PVC'!$A$8:$M$284,7,FALSE),
IF($A180&lt;'DWV ABS'!$A$117,VLOOKUP($A180,'DWV ABS'!$A$8:$M$116,7,FALSE),
IF($A180&lt;'PVC SCH40'!$A$376,VLOOKUP($A180,'PVC SCH40'!$A$8:$M$375,7,FALSE),
IF($A180&lt;'PVC SCH40 LD'!$A$22,VLOOKUP($A180,'PVC SCH40 LD'!$A$8:$M$21,7,FALSE),
IF($A180&lt;'Pool &amp; SPA Sweep Elbows'!$A$12,VLOOKUP($A180,'Pool &amp; SPA Sweep Elbows'!$A$8:$M$11,7,FALSE),
IF($A180&lt;'Pool &amp; SPA Pipe Extender'!$A$11,VLOOKUP($A180,'Pool &amp; SPA Pipe Extender'!$A$8:$M$10,7,FALSE),
IF($A180&lt;'PVC SCH80'!$A$250,VLOOKUP($A180,'PVC SCH80'!$A$8:$M$249,7,FALSE),
IF($A180&lt;'PVC SCH80 Flange'!$A$49,VLOOKUP($A180,'PVC SCH80 Flange'!$A$8:$M$48,7,FALSE),
IF($A180&lt;'PVC SCH80 LD Flange'!$A$17,VLOOKUP($A180,'PVC SCH80 LD Flange'!$A$8:$M$16,7,FALSE),
IF($A180&lt;CPVC!$A$100,VLOOKUP($A180,CPVC!$A$8:$M$99,7,FALSE),
IF($A180&lt;InsertFittings!$A$237,VLOOKUP($A180,InsertFittings!$A$11:$M$236,7,FALSE),
IF($A180&lt;Valves!$A$132,VLOOKUP($A180,Valves!$A$8:$M$131,7,FALSE),
IF($A180&lt;SDR35SW!$A$124,VLOOKUP($A180,SDR35SW!$A$8:$M$123,7,FALSE),
IF($A180&lt;SDR35G!$A$143,VLOOKUP($A180, SDR35G!$A$8:$M$142,7,FALSE),
IF($A180&lt;SDR26G!$A$61,VLOOKUP($A180,SDR26G!$A$8:$N$60,10,FALSE),
IF($A180&lt;Cements!$A$100,VLOOKUP($A180,Cements!$A$8:$Q$99,13,FALSE),
IF($A180&lt;ValveBox!$A$143,VLOOKUP($A180,ValveBox!$A$10:$O$142,11,FALSE),
IF($A180&lt;'ValveBox Components'!$A$165,VLOOKUP($A180,'ValveBox Components'!$A$10:$O$164,11,FALSE),
IF($A180&lt;Drainage!$A$92,VLOOKUP($A180,Drainage!$A$8:$M$91,7,FALSE),
IF($A180&lt;Nipples!$A$82,VLOOKUP($A180,Nipples!$A$9:$Q$81,13,FALSE),
IF($A180&lt;Manifold!$A$33,VLOOKUP($A180,Manifold!$A$9:$M$32,7,FALSE),
IF($A180&lt;FlexibleRepairCouplings!$A$13,VLOOKUP($A180,FlexibleRepairCouplings!$A$10:$M$12,7,FALSE),
IF($A180&lt;DuraFix!$A$15,VLOOKUP($A180,DuraFix!$A$9:$M$14,7,FALSE),
IF($A180&lt;'Compression Fittings'!$A$16,VLOOKUP($A180,'Compression Fittings'!$A$8:$M$15,7,FALSE),
IF($A180&lt;'Hose Fittings'!$A$30,VLOOKUP($A180,'Hose Fittings'!$A$8:$M$29,7,FALSE),
IF($A180&lt;'Swing Joints'!$A$496,VLOOKUP($A180,'Swing Joints'!$A$9:$M$495,7,FALSE),
IF($A180&lt;'Swing Joints Components'!$A$135,VLOOKUP($A180,'Swing Joints Components'!$A$9:$M$134,7,FALSE),
IF($A180&lt;Nonstandard!$A$42,VLOOKUP($A180,Nonstandard!$A$31:$J$41,3,FALSE),"")))))))))))))))))))))))))))),"")</f>
        <v/>
      </c>
      <c r="I180" s="589"/>
      <c r="J180" s="423" t="str">
        <f t="shared" si="5"/>
        <v/>
      </c>
      <c r="K180" s="424" t="str">
        <f>IFERROR(IF($A180&lt;'DWV PVC'!$A$285,VLOOKUP($A180,'DWV PVC'!$A$8:$M$284,10,FALSE),
IF($A180&lt;'DWV ABS'!$A$117,VLOOKUP($A180,'DWV ABS'!$A$8:$M$116,10,FALSE),
IF($A180&lt;'PVC SCH40'!$A$376,VLOOKUP($A180,'PVC SCH40'!$A$8:$M$375,10,FALSE),
IF($A180&lt;'PVC SCH40 LD'!$A$22,VLOOKUP($A180,'PVC SCH40 LD'!$A$8:$M$21,10,FALSE),
IF($A180&lt;'Pool &amp; SPA Sweep Elbows'!$A$12,VLOOKUP($A180,'Pool &amp; SPA Sweep Elbows'!$A$8:$M$11,10,FALSE),
IF($A180&lt;'Pool &amp; SPA Pipe Extender'!$A$11,VLOOKUP($A180,'Pool &amp; SPA Pipe Extender'!$A$8:$M$10,10,FALSE),
IF($A180&lt;'PVC SCH80'!$A$250,VLOOKUP($A180,'PVC SCH80'!$A$8:$M$249,10,FALSE),
IF($A180&lt;'PVC SCH80 Flange'!$A$49,VLOOKUP($A180,'PVC SCH80 Flange'!$A$8:$M$48,10,FALSE),
IF($A180&lt;'PVC SCH80 LD Flange'!$A$17,VLOOKUP($A180,'PVC SCH80 LD Flange'!$A$8:$M$16,10,FALSE),
IF($A180&lt;CPVC!$A$100,VLOOKUP($A180,CPVC!$A$8:$M$99,10,FALSE),
IF($A180&lt;InsertFittings!$A$237,VLOOKUP($A180,InsertFittings!$A$11:$M$236,10,FALSE),
IF($A180&lt;Valves!$A$132,VLOOKUP($A180,Valves!$A$8:$M$131,10,FALSE),
IF($A180&lt;SDR35SW!$A$124,VLOOKUP($A180,SDR35SW!$A$8:$M$123,10,FALSE),
IF($A180&lt;SDR35G!$A$143,VLOOKUP($A180, SDR35G!$A$8:$M$142,10,FALSE),
IF($A180&lt;SDR26G!$A$61,VLOOKUP($A180,SDR26G!$A$8:$N$60,11,FALSE),
IF($A180&lt;Cements!$A$100,VLOOKUP($A180,Cements!$A$8:$Q$99,14,FALSE),
IF($A180&lt;ValveBox!$A$143,VLOOKUP($A180,ValveBox!$A$10:$O$142,12,FALSE),
IF($A180&lt;'ValveBox Components'!$A$165,VLOOKUP($A180,'ValveBox Components'!$A$10:$O$164,12,FALSE),
IF($A180&lt;Drainage!$A$92,VLOOKUP($A180,Drainage!$A$8:$M$91,10,FALSE),
IF($A180&lt;Nipples!$A$82,VLOOKUP($A180,Nipples!$A$9:$Q$81,14,FALSE),
IF($A180&lt;Manifold!$A$33,VLOOKUP($A180,Manifold!$A$9:$M$32,10,FALSE),
IF($A180&lt;FlexibleRepairCouplings!$A$13,VLOOKUP($A180,FlexibleRepairCouplings!$A$10:$M$12,10,FALSE),
IF($A180&lt;DuraFix!$A$15,VLOOKUP($A180,DuraFix!$A$9:$M$14,10,FALSE),
IF($A180&lt;'Compression Fittings'!$A$16,VLOOKUP($A180,'Compression Fittings'!$A$8:$M$15,10,FALSE),
IF($A180&lt;'Hose Fittings'!$A$30,VLOOKUP($A180,'Hose Fittings'!$A$8:$M$29,10,FALSE),
IF($A180&lt;'Swing Joints'!$A$496,VLOOKUP($A180,'Swing Joints'!$A$9:$M$495,10,FALSE),
IF($A180&lt;'Swing Joints Components'!$A$135,VLOOKUP($A180,'Swing Joints Components'!$A$9:$M$134,10,FALSE),
IF($A180&lt;Nonstandard!$A$42,VLOOKUP($A180,Nonstandard!$A$31:$J$41,10,FALSE),"")))))))))))))))))))))))))))),"")</f>
        <v/>
      </c>
      <c r="L180" s="421" t="str">
        <f t="shared" si="4"/>
        <v>-</v>
      </c>
      <c r="M180" s="425"/>
    </row>
    <row r="181" spans="1:13" ht="15.75">
      <c r="A181" s="415">
        <v>149</v>
      </c>
      <c r="B181" s="415" t="str">
        <f>IFERROR(IF($A181&lt;'DWV PVC'!$A$285,VLOOKUP($A181,'DWV PVC'!$A$8:$M$284,4,FALSE),
IF($A181&lt;'DWV ABS'!$A$117,VLOOKUP($A181,'DWV ABS'!$A$8:$M$116,4,FALSE),
IF($A181&lt;'PVC SCH40'!$A$376,VLOOKUP($A181,'PVC SCH40'!$A$8:$M$375,4,FALSE),
IF($A181&lt;'PVC SCH40 LD'!$A$22,VLOOKUP($A181,'PVC SCH40 LD'!$A$8:$M$21,4,FALSE),
IF($A181&lt;'Pool &amp; SPA Sweep Elbows'!$A$12,VLOOKUP($A181,'Pool &amp; SPA Sweep Elbows'!$A$8:$M$11,4,FALSE),
IF($A181&lt;'Pool &amp; SPA Pipe Extender'!$A$11,VLOOKUP($A181,'Pool &amp; SPA Pipe Extender'!$A$8:$M$10,4,FALSE),
IF($A181&lt;'PVC SCH80'!$A$250,VLOOKUP($A181,'PVC SCH80'!$A$8:$M$249,4,FALSE),
IF($A181&lt;'PVC SCH80 Flange'!$A$49,VLOOKUP($A181,'PVC SCH80 Flange'!$A$8:$M$48,4,FALSE),
IF($A181&lt;'PVC SCH80 LD Flange'!$A$17,VLOOKUP($A181,'PVC SCH80 LD Flange'!$A$8:$M$16,4,FALSE),
IF($A181&lt;CPVC!$A$100,VLOOKUP($A181,CPVC!$A$8:$M$99,4,FALSE),
IF($A181&lt;InsertFittings!$A$237,VLOOKUP($A181,InsertFittings!$A$11:$M$236,4,FALSE),
IF($A181&lt;Valves!$A$132,VLOOKUP($A181,Valves!$A$8:$M$131,4,FALSE),
IF($A181&lt;SDR35SW!$A$124,VLOOKUP($A181,SDR35SW!$A$8:$M$123,4,FALSE),
IF($A181&lt;SDR35G!$A$143,VLOOKUP($A181, SDR35G!$A$8:$M$142,4,FALSE),
IF($A181&lt;SDR26G!$A$61,VLOOKUP($A181,SDR26G!$A$8:$N$60,4,FALSE),
IF($A181&lt;Cements!$A$100,VLOOKUP($A181,Cements!$A$8:$Q$99,4,FALSE),
IF($A181&lt;ValveBox!$A$143,VLOOKUP($A181,ValveBox!$A$10:$O$142,4,FALSE),
IF($A181&lt;'ValveBox Components'!$A$165,VLOOKUP($A181,'ValveBox Components'!$A$10:$O$164,4,FALSE),
IF($A181&lt;Drainage!$A$92,VLOOKUP($A181,Drainage!$A$8:$M$91,4,FALSE),
IF($A181&lt;Nipples!$A$82,VLOOKUP($A181,Nipples!$A$9:$Q$81,4,FALSE),
IF($A181&lt;Manifold!$A$33,VLOOKUP($A181,Manifold!$A$9:$M$32,4,FALSE),
IF($A181&lt;FlexibleRepairCouplings!$A$13,VLOOKUP($A181,FlexibleRepairCouplings!$A$10:$M$12,4,FALSE),
IF($A181&lt;DuraFix!$A$15,VLOOKUP($A181,DuraFix!$A$9:$M$14,4,FALSE),
IF($A181&lt;'Compression Fittings'!$A$16,VLOOKUP($A181,'Compression Fittings'!$A$8:$M$15,4,FALSE),
IF($A181&lt;'Hose Fittings'!$A$30,VLOOKUP($A181,'Hose Fittings'!$A$8:$M$29,4,FALSE),
IF($A181&lt;'Swing Joints'!$A$496,VLOOKUP($A181,'Swing Joints'!$A$9:$M$495,4,FALSE),
IF($A181&lt;'Swing Joints Components'!$A$135,VLOOKUP($A181,'Swing Joints Components'!$A$9:$M$134,4,FALSE),
IF($A181&lt;Nonstandard!$A$42,VLOOKUP($A181,Nonstandard!$A$31:$J$41,5,FALSE),"")))))))))))))))))))))))))))),"")</f>
        <v/>
      </c>
      <c r="C181" s="415" t="str">
        <f>IFERROR(IF($A181&lt;'DWV PVC'!$A$285,VLOOKUP($A181,'DWV PVC'!$A$8:$M$284,5,FALSE),
IF($A181&lt;'DWV ABS'!$A$117,VLOOKUP($A181,'DWV ABS'!$A$8:$M$116,5,FALSE),
IF($A181&lt;'PVC SCH40'!$A$376,VLOOKUP($A181,'PVC SCH40'!$A$8:$M$375,5,FALSE),
IF($A181&lt;'PVC SCH40 LD'!$A$22,VLOOKUP($A181,'PVC SCH40 LD'!$A$8:$M$21,5,FALSE),
IF($A181&lt;'Pool &amp; SPA Sweep Elbows'!$A$12,VLOOKUP($A181,'Pool &amp; SPA Sweep Elbows'!$A$8:$M$11,5,FALSE),
IF($A181&lt;'Pool &amp; SPA Pipe Extender'!$A$11,VLOOKUP($A181,'Pool &amp; SPA Pipe Extender'!$A$8:$M$10,5,FALSE),
IF($A181&lt;'PVC SCH80'!$A$250,VLOOKUP($A181,'PVC SCH80'!$A$8:$M$249,5,FALSE),
IF($A181&lt;'PVC SCH80 Flange'!$A$49,VLOOKUP($A181,'PVC SCH80 Flange'!$A$8:$M$48,5,FALSE),
IF($A181&lt;'PVC SCH80 LD Flange'!$A$17,VLOOKUP($A181,'PVC SCH80 LD Flange'!$A$8:$M$16,5,FALSE),
IF($A181&lt;CPVC!$A$100,VLOOKUP($A181,CPVC!$A$8:$M$99,5,FALSE),
IF($A181&lt;InsertFittings!$A$237,VLOOKUP($A181,InsertFittings!$A$11:$M$236,5,FALSE),
IF($A181&lt;Valves!$A$132,VLOOKUP($A181,Valves!$A$8:$M$131,5,FALSE),
IF($A181&lt;SDR35SW!$A$124,VLOOKUP($A181,SDR35SW!$A$8:$M$123,5,FALSE),
IF($A181&lt;SDR35G!$A$143,VLOOKUP($A181, SDR35G!$A$8:$M$142,5,FALSE),
IF($A181&lt;SDR26G!$A$61,VLOOKUP($A181,SDR26G!$A$8:$N$60,5,FALSE),
IF($A181&lt;Cements!$A$100,VLOOKUP($A181,Cements!$A$8:$Q$99,5,FALSE),
IF($A181&lt;ValveBox!$A$143,VLOOKUP($A181,ValveBox!$A$10:$O$142,5,FALSE),
IF($A181&lt;'ValveBox Components'!$A$165,VLOOKUP($A181,'ValveBox Components'!$A$10:$O$164,5,FALSE),
IF($A181&lt;Drainage!$A$92,VLOOKUP($A181,Drainage!$A$8:$M$91,5,FALSE),
IF($A181&lt;Nipples!$A$82,VLOOKUP($A181,Nipples!$A$9:$Q$81,5,FALSE),
IF($A181&lt;Manifold!$A$33,VLOOKUP($A181,Manifold!$A$9:$M$32,5,FALSE),
IF($A181&lt;FlexibleRepairCouplings!$A$13,VLOOKUP($A181,FlexibleRepairCouplings!$A$10:$M$12,5,FALSE),
IF($A181&lt;DuraFix!$A$15,VLOOKUP($A181,DuraFix!$A$9:$M$14,5,FALSE),
IF($A181&lt;'Compression Fittings'!$A$16,VLOOKUP($A181,'Compression Fittings'!$A$8:$M$15,5,FALSE),
IF($A181&lt;'Hose Fittings'!$A$30,VLOOKUP($A181,'Hose Fittings'!$A$8:$M$29,5,FALSE),
IF($A181&lt;'Swing Joints'!$A$496,VLOOKUP($A181,'Swing Joints'!$A$9:$M$495,5,FALSE),
IF($A181&lt;'Swing Joints Components'!$A$135,VLOOKUP($A181,'Swing Joints Components'!$A$9:$M$134,5,FALSE),
IF($A181&lt;Nonstandard!$A$42,VLOOKUP($A181,Nonstandard!$A$31:$J$41,6,FALSE),"")))))))))))))))))))))))))))),"")</f>
        <v/>
      </c>
      <c r="D181" s="426" t="str">
        <f>IFERROR(IF($A181&lt;'DWV PVC'!$A$285,VLOOKUP($A181,'DWV PVC'!$A$8:$M$284,6,FALSE),
IF($A181&lt;'DWV ABS'!$A$117,VLOOKUP($A181,'DWV ABS'!$A$8:$M$116,6,FALSE),
IF($A181&lt;'PVC SCH40'!$A$376,VLOOKUP($A181,'PVC SCH40'!$A$8:$M$375,6,FALSE),
IF($A181&lt;'PVC SCH40 LD'!$A$22,VLOOKUP($A181,'PVC SCH40 LD'!$A$8:$M$21,6,FALSE),
IF($A181&lt;'Pool &amp; SPA Sweep Elbows'!$A$12,VLOOKUP($A181,'Pool &amp; SPA Sweep Elbows'!$A$8:$M$11,6,FALSE),
IF($A181&lt;'Pool &amp; SPA Pipe Extender'!$A$11,VLOOKUP($A181,'Pool &amp; SPA Pipe Extender'!$A$8:$M$10,6,FALSE),
IF($A181&lt;'PVC SCH80'!$A$250,VLOOKUP($A181,'PVC SCH80'!$A$8:$M$249,6,FALSE),
IF($A181&lt;'PVC SCH80 Flange'!$A$49,VLOOKUP($A181,'PVC SCH80 Flange'!$A$8:$M$48,6,FALSE),
IF($A181&lt;'PVC SCH80 LD Flange'!$A$17,VLOOKUP($A181,'PVC SCH80 LD Flange'!$A$8:$M$16,6,FALSE),
IF($A181&lt;CPVC!$A$100,VLOOKUP($A181,CPVC!$A$8:$M$99,6,FALSE),
IF($A181&lt;InsertFittings!$A$237,VLOOKUP($A181,InsertFittings!$A$11:$M$236,6,FALSE),
IF($A181&lt;Valves!$A$132,VLOOKUP($A181,Valves!$A$8:$M$131,6,FALSE),
IF($A181&lt;SDR35SW!$A$124,VLOOKUP($A181,SDR35SW!$A$8:$M$123,6,FALSE),
IF($A181&lt;SDR35G!$A$143,VLOOKUP($A181, SDR35G!$A$8:$M$142,6,FALSE),
IF($A181&lt;SDR26G!$A$61,VLOOKUP($A181,SDR26G!$A$8:$N$60,6,FALSE),
IF($A181&lt;Cements!$A$100,VLOOKUP($A181,Cements!$A$8:$Q$99,6,FALSE),
IF($A181&lt;ValveBox!$A$143,VLOOKUP($A181,ValveBox!$A$10:$O$142,6,FALSE),
IF($A181&lt;'ValveBox Components'!$A$165,VLOOKUP($A181,'ValveBox Components'!$A$10:$O$164,6,FALSE),
IF($A181&lt;Drainage!$A$92,VLOOKUP($A181,Drainage!$A$8:$M$91,6,FALSE),
IF($A181&lt;Nipples!$A$82,VLOOKUP($A181,Nipples!$A$9:$Q$81,6,FALSE),
IF($A181&lt;Manifold!$A$33,VLOOKUP($A181,Manifold!$A$9:$M$32,6,FALSE),
IF($A181&lt;FlexibleRepairCouplings!$A$13,VLOOKUP($A181,FlexibleRepairCouplings!$A$10:$M$12,6,FALSE),
IF($A181&lt;DuraFix!$A$15,VLOOKUP($A181,DuraFix!$A$9:$M$14,6,FALSE),
IF($A181&lt;'Compression Fittings'!$A$16,VLOOKUP($A181,'Compression Fittings'!$A$8:$M$15,6,FALSE),
IF($A181&lt;'Hose Fittings'!$A$30,VLOOKUP($A181,'Hose Fittings'!$A$8:$M$29,6,FALSE),
IF($A181&lt;'Swing Joints'!$A$496,VLOOKUP($A181,'Swing Joints'!$A$9:$M$495,6,FALSE),
IF($A181&lt;'Swing Joints Components'!$A$135,VLOOKUP($A181,'Swing Joints Components'!$A$9:$M$134,6,FALSE),
IF($A181&lt;Nonstandard!$A$42,VLOOKUP($A181,Nonstandard!$A$31:$J$41,7,FALSE),"")))))))))))))))))))))))))))),"")</f>
        <v/>
      </c>
      <c r="E181" s="427"/>
      <c r="F181" s="418" t="str">
        <f>IFERROR(IF($A181&lt;'DWV PVC'!$A$285,VLOOKUP($A181,'DWV PVC'!$A$8:$M$284,9,FALSE),
IF($A181&lt;'DWV ABS'!$A$117,VLOOKUP($A181,'DWV ABS'!$A$8:$M$116,9,FALSE),
IF($A181&lt;'PVC SCH40'!$A$376,VLOOKUP($A181,'PVC SCH40'!$A$8:$M$375,9,FALSE),
IF($A181&lt;'PVC SCH40 LD'!$A$22,VLOOKUP($A181,'PVC SCH40 LD'!$A$8:$M$21,9,FALSE),
IF($A181&lt;'Pool &amp; SPA Sweep Elbows'!$A$12,VLOOKUP($A181,'Pool &amp; SPA Sweep Elbows'!$A$8:$M$11,9,FALSE),
IF($A181&lt;'Pool &amp; SPA Pipe Extender'!$A$11,VLOOKUP($A181,'Pool &amp; SPA Pipe Extender'!$A$8:$M$10,9,FALSE),
IF($A181&lt;'PVC SCH80'!$A$250,VLOOKUP($A181,'PVC SCH80'!$A$8:$M$249,9,FALSE),
IF($A181&lt;'PVC SCH80 Flange'!$A$49,VLOOKUP($A181,'PVC SCH80 Flange'!$A$8:$M$48,9,FALSE),
IF($A181&lt;'PVC SCH80 LD Flange'!$A$17,VLOOKUP($A181,'PVC SCH80 LD Flange'!$A$8:$M$16,9,FALSE),
IF($A181&lt;CPVC!$A$100,VLOOKUP($A181,CPVC!$A$8:$M$99,9,FALSE),
IF($A181&lt;InsertFittings!$A$237,VLOOKUP($A181,InsertFittings!$A$11:$M$236,9,FALSE),
IF($A181&lt;Valves!$A$132,VLOOKUP($A181,Valves!$A$8:$M$131,9,FALSE),
IF($A181&lt;SDR35SW!$A$124,VLOOKUP($A181,SDR35SW!$A$8:$M$123,9,FALSE),
IF($A181&lt;SDR35G!$A$143,VLOOKUP($A181, SDR35G!$A$8:$M$142,9,FALSE),
IF($A181&lt;SDR26G!$A$61,VLOOKUP($A181,SDR26G!$A$8:$N$60,10,FALSE),
IF($A181&lt;Cements!$A$100,VLOOKUP($A181,Cements!$A$8:$Q$99,13,FALSE),
IF($A181&lt;ValveBox!$A$143,VLOOKUP($A181,ValveBox!$A$10:$O$142,11,FALSE),
IF($A181&lt;'ValveBox Components'!$A$165,VLOOKUP($A181,'ValveBox Components'!$A$10:$O$164,11,FALSE),
IF($A181&lt;Drainage!$A$92,VLOOKUP($A181,Drainage!$A$8:$M$91,9,FALSE),
IF($A181&lt;Nipples!$A$82,VLOOKUP($A181,Nipples!$A$9:$Q$81,13,FALSE),
IF($A181&lt;Manifold!$A$33,VLOOKUP($A181,Manifold!$A$9:$M$32,9,FALSE),
IF($A181&lt;FlexibleRepairCouplings!$A$13,VLOOKUP($A181,FlexibleRepairCouplings!$A$10:$M$12,9,FALSE),
IF($A181&lt;DuraFix!$A$15,VLOOKUP($A181,DuraFix!$A$9:$M$14,9,FALSE),
IF($A181&lt;'Compression Fittings'!$A$16,VLOOKUP($A181,'Compression Fittings'!$A$8:$M$15,9,FALSE),
IF($A181&lt;'Hose Fittings'!$A$30,VLOOKUP($A181,'Hose Fittings'!$A$8:$M$29,9,FALSE),
IF($A181&lt;'Swing Joints'!$A$496,VLOOKUP($A181,'Swing Joints'!$A$9:$M$495,9,FALSE),
IF($A181&lt;'Swing Joints Components'!$A$135,VLOOKUP($A181,'Swing Joints Components'!$A$9:$M$134,9,FALSE),
IF($A181&lt;Nonstandard!$A$42,VLOOKUP($A181,Nonstandard!$A$31:$J$41,8,FALSE),"")))))))))))))))))))))))))))),"")</f>
        <v/>
      </c>
      <c r="G181" s="416" t="str">
        <f>IFERROR(IF($A181&lt;'DWV PVC'!$A$285,VLOOKUP($A181,'DWV PVC'!$A$8:$M$284,11,FALSE),
IF($A181&lt;'DWV ABS'!$A$117,VLOOKUP($A181,'DWV ABS'!$A$8:$M$116,11,FALSE),
IF($A181&lt;'PVC SCH40'!$A$376,VLOOKUP($A181,'PVC SCH40'!$A$8:$M$375,11,FALSE),
IF($A181&lt;'PVC SCH40 LD'!$A$22,VLOOKUP($A181,'PVC SCH40 LD'!$A$8:$M$21,11,FALSE),
IF($A181&lt;'Pool &amp; SPA Sweep Elbows'!$A$12,VLOOKUP($A181,'Pool &amp; SPA Sweep Elbows'!$A$8:$M$11,11,FALSE),
IF($A181&lt;'Pool &amp; SPA Pipe Extender'!$A$11,VLOOKUP($A181,'Pool &amp; SPA Pipe Extender'!$A$8:$M$10,11,FALSE),
IF($A181&lt;'PVC SCH80'!$A$250,VLOOKUP($A181,'PVC SCH80'!$A$8:$M$249,11,FALSE),
IF($A181&lt;'PVC SCH80 Flange'!$A$49,VLOOKUP($A181,'PVC SCH80 Flange'!$A$8:$M$48,11,FALSE),
IF($A181&lt;'PVC SCH80 LD Flange'!$A$17,VLOOKUP($A181,'PVC SCH80 LD Flange'!$A$8:$M$16,11,FALSE),
IF($A181&lt;CPVC!$A$100,VLOOKUP($A181,CPVC!$A$8:$M$99,11,FALSE),
IF($A181&lt;InsertFittings!$A$237,VLOOKUP($A181,InsertFittings!$A$11:$M$236,11,FALSE),
IF($A181&lt;Valves!$A$132,VLOOKUP($A181,Valves!$A$8:$M$131,11,FALSE),
IF($A181&lt;SDR35SW!$A$124,VLOOKUP($A181,SDR35SW!$A$8:$M$123,11,FALSE),
IF($A181&lt;SDR35G!$A$143,VLOOKUP($A181, SDR35G!$A$8:$M$142,11,FALSE),
IF($A181&lt;SDR26G!$A$61,VLOOKUP($A181,SDR26G!$A$8:$N$60,12,FALSE),
IF($A181&lt;Cements!$A$100,VLOOKUP($A181,Cements!$A$8:$Q$99,15,FALSE),
IF($A181&lt;ValveBox!$A$143,VLOOKUP($A181,ValveBox!$A$10:$O$142,13,FALSE),
IF($A181&lt;'ValveBox Components'!$A$165,VLOOKUP($A181,'ValveBox Components'!$A$10:$O$164,13,FALSE),
IF($A181&lt;Drainage!$A$92,VLOOKUP($A181,Drainage!$A$8:$M$91,11,FALSE),
IF($A181&lt;Nipples!$A$82,VLOOKUP($A181,Nipples!$A$9:$Q$81,15,FALSE),
IF($A181&lt;Manifold!$A$33,VLOOKUP($A181,Manifold!$A$9:$M$32,11,FALSE),
IF($A181&lt;FlexibleRepairCouplings!$A$13,VLOOKUP($A181,FlexibleRepairCouplings!$A$10:$M$12,11,FALSE),
IF($A181&lt;DuraFix!$A$15,VLOOKUP($A181,DuraFix!$A$9:$M$14,11,FALSE),
IF($A181&lt;'Compression Fittings'!$A$16,VLOOKUP($A181,'Compression Fittings'!$A$8:$M$15,11,FALSE),
IF($A181&lt;'Hose Fittings'!$A$30,VLOOKUP($A181,'Hose Fittings'!$A$8:$M$29,11,FALSE),
IF($A181&lt;'Swing Joints'!$A$496,VLOOKUP($A181,'Swing Joints'!$A$9:$M$495,11,FALSE),
IF($A181&lt;'Swing Joints Components'!$A$135,VLOOKUP($A181,'Swing Joints Components'!$A$9:$M$134,11,FALSE),
IF($A181&lt;Nonstandard!$A$42,VLOOKUP($A181,Nonstandard!$A$31:$J$41,3,FALSE),"")))))))))))))))))))))))))))),"")</f>
        <v/>
      </c>
      <c r="H181" s="586" t="str">
        <f>IFERROR(IF($A181&lt;'DWV PVC'!$A$285,VLOOKUP($A181,'DWV PVC'!$A$8:$M$284,7,FALSE),
IF($A181&lt;'DWV ABS'!$A$117,VLOOKUP($A181,'DWV ABS'!$A$8:$M$116,7,FALSE),
IF($A181&lt;'PVC SCH40'!$A$376,VLOOKUP($A181,'PVC SCH40'!$A$8:$M$375,7,FALSE),
IF($A181&lt;'PVC SCH40 LD'!$A$22,VLOOKUP($A181,'PVC SCH40 LD'!$A$8:$M$21,7,FALSE),
IF($A181&lt;'Pool &amp; SPA Sweep Elbows'!$A$12,VLOOKUP($A181,'Pool &amp; SPA Sweep Elbows'!$A$8:$M$11,7,FALSE),
IF($A181&lt;'Pool &amp; SPA Pipe Extender'!$A$11,VLOOKUP($A181,'Pool &amp; SPA Pipe Extender'!$A$8:$M$10,7,FALSE),
IF($A181&lt;'PVC SCH80'!$A$250,VLOOKUP($A181,'PVC SCH80'!$A$8:$M$249,7,FALSE),
IF($A181&lt;'PVC SCH80 Flange'!$A$49,VLOOKUP($A181,'PVC SCH80 Flange'!$A$8:$M$48,7,FALSE),
IF($A181&lt;'PVC SCH80 LD Flange'!$A$17,VLOOKUP($A181,'PVC SCH80 LD Flange'!$A$8:$M$16,7,FALSE),
IF($A181&lt;CPVC!$A$100,VLOOKUP($A181,CPVC!$A$8:$M$99,7,FALSE),
IF($A181&lt;InsertFittings!$A$237,VLOOKUP($A181,InsertFittings!$A$11:$M$236,7,FALSE),
IF($A181&lt;Valves!$A$132,VLOOKUP($A181,Valves!$A$8:$M$131,7,FALSE),
IF($A181&lt;SDR35SW!$A$124,VLOOKUP($A181,SDR35SW!$A$8:$M$123,7,FALSE),
IF($A181&lt;SDR35G!$A$143,VLOOKUP($A181, SDR35G!$A$8:$M$142,7,FALSE),
IF($A181&lt;SDR26G!$A$61,VLOOKUP($A181,SDR26G!$A$8:$N$60,10,FALSE),
IF($A181&lt;Cements!$A$100,VLOOKUP($A181,Cements!$A$8:$Q$99,13,FALSE),
IF($A181&lt;ValveBox!$A$143,VLOOKUP($A181,ValveBox!$A$10:$O$142,11,FALSE),
IF($A181&lt;'ValveBox Components'!$A$165,VLOOKUP($A181,'ValveBox Components'!$A$10:$O$164,11,FALSE),
IF($A181&lt;Drainage!$A$92,VLOOKUP($A181,Drainage!$A$8:$M$91,7,FALSE),
IF($A181&lt;Nipples!$A$82,VLOOKUP($A181,Nipples!$A$9:$Q$81,13,FALSE),
IF($A181&lt;Manifold!$A$33,VLOOKUP($A181,Manifold!$A$9:$M$32,7,FALSE),
IF($A181&lt;FlexibleRepairCouplings!$A$13,VLOOKUP($A181,FlexibleRepairCouplings!$A$10:$M$12,7,FALSE),
IF($A181&lt;DuraFix!$A$15,VLOOKUP($A181,DuraFix!$A$9:$M$14,7,FALSE),
IF($A181&lt;'Compression Fittings'!$A$16,VLOOKUP($A181,'Compression Fittings'!$A$8:$M$15,7,FALSE),
IF($A181&lt;'Hose Fittings'!$A$30,VLOOKUP($A181,'Hose Fittings'!$A$8:$M$29,7,FALSE),
IF($A181&lt;'Swing Joints'!$A$496,VLOOKUP($A181,'Swing Joints'!$A$9:$M$495,7,FALSE),
IF($A181&lt;'Swing Joints Components'!$A$135,VLOOKUP($A181,'Swing Joints Components'!$A$9:$M$134,7,FALSE),
IF($A181&lt;Nonstandard!$A$42,VLOOKUP($A181,Nonstandard!$A$31:$J$41,3,FALSE),"")))))))))))))))))))))))))))),"")</f>
        <v/>
      </c>
      <c r="I181" s="587"/>
      <c r="J181" s="383" t="str">
        <f t="shared" si="5"/>
        <v/>
      </c>
      <c r="K181" s="417" t="str">
        <f>IFERROR(IF($A181&lt;'DWV PVC'!$A$285,VLOOKUP($A181,'DWV PVC'!$A$8:$M$284,10,FALSE),
IF($A181&lt;'DWV ABS'!$A$117,VLOOKUP($A181,'DWV ABS'!$A$8:$M$116,10,FALSE),
IF($A181&lt;'PVC SCH40'!$A$376,VLOOKUP($A181,'PVC SCH40'!$A$8:$M$375,10,FALSE),
IF($A181&lt;'PVC SCH40 LD'!$A$22,VLOOKUP($A181,'PVC SCH40 LD'!$A$8:$M$21,10,FALSE),
IF($A181&lt;'Pool &amp; SPA Sweep Elbows'!$A$12,VLOOKUP($A181,'Pool &amp; SPA Sweep Elbows'!$A$8:$M$11,10,FALSE),
IF($A181&lt;'Pool &amp; SPA Pipe Extender'!$A$11,VLOOKUP($A181,'Pool &amp; SPA Pipe Extender'!$A$8:$M$10,10,FALSE),
IF($A181&lt;'PVC SCH80'!$A$250,VLOOKUP($A181,'PVC SCH80'!$A$8:$M$249,10,FALSE),
IF($A181&lt;'PVC SCH80 Flange'!$A$49,VLOOKUP($A181,'PVC SCH80 Flange'!$A$8:$M$48,10,FALSE),
IF($A181&lt;'PVC SCH80 LD Flange'!$A$17,VLOOKUP($A181,'PVC SCH80 LD Flange'!$A$8:$M$16,10,FALSE),
IF($A181&lt;CPVC!$A$100,VLOOKUP($A181,CPVC!$A$8:$M$99,10,FALSE),
IF($A181&lt;InsertFittings!$A$237,VLOOKUP($A181,InsertFittings!$A$11:$M$236,10,FALSE),
IF($A181&lt;Valves!$A$132,VLOOKUP($A181,Valves!$A$8:$M$131,10,FALSE),
IF($A181&lt;SDR35SW!$A$124,VLOOKUP($A181,SDR35SW!$A$8:$M$123,10,FALSE),
IF($A181&lt;SDR35G!$A$143,VLOOKUP($A181, SDR35G!$A$8:$M$142,10,FALSE),
IF($A181&lt;SDR26G!$A$61,VLOOKUP($A181,SDR26G!$A$8:$N$60,11,FALSE),
IF($A181&lt;Cements!$A$100,VLOOKUP($A181,Cements!$A$8:$Q$99,14,FALSE),
IF($A181&lt;ValveBox!$A$143,VLOOKUP($A181,ValveBox!$A$10:$O$142,12,FALSE),
IF($A181&lt;'ValveBox Components'!$A$165,VLOOKUP($A181,'ValveBox Components'!$A$10:$O$164,12,FALSE),
IF($A181&lt;Drainage!$A$92,VLOOKUP($A181,Drainage!$A$8:$M$91,10,FALSE),
IF($A181&lt;Nipples!$A$82,VLOOKUP($A181,Nipples!$A$9:$Q$81,14,FALSE),
IF($A181&lt;Manifold!$A$33,VLOOKUP($A181,Manifold!$A$9:$M$32,10,FALSE),
IF($A181&lt;FlexibleRepairCouplings!$A$13,VLOOKUP($A181,FlexibleRepairCouplings!$A$10:$M$12,10,FALSE),
IF($A181&lt;DuraFix!$A$15,VLOOKUP($A181,DuraFix!$A$9:$M$14,10,FALSE),
IF($A181&lt;'Compression Fittings'!$A$16,VLOOKUP($A181,'Compression Fittings'!$A$8:$M$15,10,FALSE),
IF($A181&lt;'Hose Fittings'!$A$30,VLOOKUP($A181,'Hose Fittings'!$A$8:$M$29,10,FALSE),
IF($A181&lt;'Swing Joints'!$A$496,VLOOKUP($A181,'Swing Joints'!$A$9:$M$495,10,FALSE),
IF($A181&lt;'Swing Joints Components'!$A$135,VLOOKUP($A181,'Swing Joints Components'!$A$9:$M$134,10,FALSE),
IF($A181&lt;Nonstandard!$A$42,VLOOKUP($A181,Nonstandard!$A$31:$J$41,10,FALSE),"")))))))))))))))))))))))))))),"")</f>
        <v/>
      </c>
      <c r="L181" s="418" t="str">
        <f t="shared" si="4"/>
        <v>-</v>
      </c>
      <c r="M181" s="419"/>
    </row>
    <row r="182" spans="1:13" ht="15.75">
      <c r="A182" s="420">
        <v>150</v>
      </c>
      <c r="B182" s="420" t="str">
        <f>IFERROR(IF($A182&lt;'DWV PVC'!$A$285,VLOOKUP($A182,'DWV PVC'!$A$8:$M$284,4,FALSE),
IF($A182&lt;'DWV ABS'!$A$117,VLOOKUP($A182,'DWV ABS'!$A$8:$M$116,4,FALSE),
IF($A182&lt;'PVC SCH40'!$A$376,VLOOKUP($A182,'PVC SCH40'!$A$8:$M$375,4,FALSE),
IF($A182&lt;'PVC SCH40 LD'!$A$22,VLOOKUP($A182,'PVC SCH40 LD'!$A$8:$M$21,4,FALSE),
IF($A182&lt;'Pool &amp; SPA Sweep Elbows'!$A$12,VLOOKUP($A182,'Pool &amp; SPA Sweep Elbows'!$A$8:$M$11,4,FALSE),
IF($A182&lt;'Pool &amp; SPA Pipe Extender'!$A$11,VLOOKUP($A182,'Pool &amp; SPA Pipe Extender'!$A$8:$M$10,4,FALSE),
IF($A182&lt;'PVC SCH80'!$A$250,VLOOKUP($A182,'PVC SCH80'!$A$8:$M$249,4,FALSE),
IF($A182&lt;'PVC SCH80 Flange'!$A$49,VLOOKUP($A182,'PVC SCH80 Flange'!$A$8:$M$48,4,FALSE),
IF($A182&lt;'PVC SCH80 LD Flange'!$A$17,VLOOKUP($A182,'PVC SCH80 LD Flange'!$A$8:$M$16,4,FALSE),
IF($A182&lt;CPVC!$A$100,VLOOKUP($A182,CPVC!$A$8:$M$99,4,FALSE),
IF($A182&lt;InsertFittings!$A$237,VLOOKUP($A182,InsertFittings!$A$11:$M$236,4,FALSE),
IF($A182&lt;Valves!$A$132,VLOOKUP($A182,Valves!$A$8:$M$131,4,FALSE),
IF($A182&lt;SDR35SW!$A$124,VLOOKUP($A182,SDR35SW!$A$8:$M$123,4,FALSE),
IF($A182&lt;SDR35G!$A$143,VLOOKUP($A182, SDR35G!$A$8:$M$142,4,FALSE),
IF($A182&lt;SDR26G!$A$61,VLOOKUP($A182,SDR26G!$A$8:$N$60,4,FALSE),
IF($A182&lt;Cements!$A$100,VLOOKUP($A182,Cements!$A$8:$Q$99,4,FALSE),
IF($A182&lt;ValveBox!$A$143,VLOOKUP($A182,ValveBox!$A$10:$O$142,4,FALSE),
IF($A182&lt;'ValveBox Components'!$A$165,VLOOKUP($A182,'ValveBox Components'!$A$10:$O$164,4,FALSE),
IF($A182&lt;Drainage!$A$92,VLOOKUP($A182,Drainage!$A$8:$M$91,4,FALSE),
IF($A182&lt;Nipples!$A$82,VLOOKUP($A182,Nipples!$A$9:$Q$81,4,FALSE),
IF($A182&lt;Manifold!$A$33,VLOOKUP($A182,Manifold!$A$9:$M$32,4,FALSE),
IF($A182&lt;FlexibleRepairCouplings!$A$13,VLOOKUP($A182,FlexibleRepairCouplings!$A$10:$M$12,4,FALSE),
IF($A182&lt;DuraFix!$A$15,VLOOKUP($A182,DuraFix!$A$9:$M$14,4,FALSE),
IF($A182&lt;'Compression Fittings'!$A$16,VLOOKUP($A182,'Compression Fittings'!$A$8:$M$15,4,FALSE),
IF($A182&lt;'Hose Fittings'!$A$30,VLOOKUP($A182,'Hose Fittings'!$A$8:$M$29,4,FALSE),
IF($A182&lt;'Swing Joints'!$A$496,VLOOKUP($A182,'Swing Joints'!$A$9:$M$495,4,FALSE),
IF($A182&lt;'Swing Joints Components'!$A$135,VLOOKUP($A182,'Swing Joints Components'!$A$9:$M$134,4,FALSE),
IF($A182&lt;Nonstandard!$A$42,VLOOKUP($A182,Nonstandard!$A$31:$J$41,5,FALSE),"")))))))))))))))))))))))))))),"")</f>
        <v/>
      </c>
      <c r="C182" s="420" t="str">
        <f>IFERROR(IF($A182&lt;'DWV PVC'!$A$285,VLOOKUP($A182,'DWV PVC'!$A$8:$M$284,5,FALSE),
IF($A182&lt;'DWV ABS'!$A$117,VLOOKUP($A182,'DWV ABS'!$A$8:$M$116,5,FALSE),
IF($A182&lt;'PVC SCH40'!$A$376,VLOOKUP($A182,'PVC SCH40'!$A$8:$M$375,5,FALSE),
IF($A182&lt;'PVC SCH40 LD'!$A$22,VLOOKUP($A182,'PVC SCH40 LD'!$A$8:$M$21,5,FALSE),
IF($A182&lt;'Pool &amp; SPA Sweep Elbows'!$A$12,VLOOKUP($A182,'Pool &amp; SPA Sweep Elbows'!$A$8:$M$11,5,FALSE),
IF($A182&lt;'Pool &amp; SPA Pipe Extender'!$A$11,VLOOKUP($A182,'Pool &amp; SPA Pipe Extender'!$A$8:$M$10,5,FALSE),
IF($A182&lt;'PVC SCH80'!$A$250,VLOOKUP($A182,'PVC SCH80'!$A$8:$M$249,5,FALSE),
IF($A182&lt;'PVC SCH80 Flange'!$A$49,VLOOKUP($A182,'PVC SCH80 Flange'!$A$8:$M$48,5,FALSE),
IF($A182&lt;'PVC SCH80 LD Flange'!$A$17,VLOOKUP($A182,'PVC SCH80 LD Flange'!$A$8:$M$16,5,FALSE),
IF($A182&lt;CPVC!$A$100,VLOOKUP($A182,CPVC!$A$8:$M$99,5,FALSE),
IF($A182&lt;InsertFittings!$A$237,VLOOKUP($A182,InsertFittings!$A$11:$M$236,5,FALSE),
IF($A182&lt;Valves!$A$132,VLOOKUP($A182,Valves!$A$8:$M$131,5,FALSE),
IF($A182&lt;SDR35SW!$A$124,VLOOKUP($A182,SDR35SW!$A$8:$M$123,5,FALSE),
IF($A182&lt;SDR35G!$A$143,VLOOKUP($A182, SDR35G!$A$8:$M$142,5,FALSE),
IF($A182&lt;SDR26G!$A$61,VLOOKUP($A182,SDR26G!$A$8:$N$60,5,FALSE),
IF($A182&lt;Cements!$A$100,VLOOKUP($A182,Cements!$A$8:$Q$99,5,FALSE),
IF($A182&lt;ValveBox!$A$143,VLOOKUP($A182,ValveBox!$A$10:$O$142,5,FALSE),
IF($A182&lt;'ValveBox Components'!$A$165,VLOOKUP($A182,'ValveBox Components'!$A$10:$O$164,5,FALSE),
IF($A182&lt;Drainage!$A$92,VLOOKUP($A182,Drainage!$A$8:$M$91,5,FALSE),
IF($A182&lt;Nipples!$A$82,VLOOKUP($A182,Nipples!$A$9:$Q$81,5,FALSE),
IF($A182&lt;Manifold!$A$33,VLOOKUP($A182,Manifold!$A$9:$M$32,5,FALSE),
IF($A182&lt;FlexibleRepairCouplings!$A$13,VLOOKUP($A182,FlexibleRepairCouplings!$A$10:$M$12,5,FALSE),
IF($A182&lt;DuraFix!$A$15,VLOOKUP($A182,DuraFix!$A$9:$M$14,5,FALSE),
IF($A182&lt;'Compression Fittings'!$A$16,VLOOKUP($A182,'Compression Fittings'!$A$8:$M$15,5,FALSE),
IF($A182&lt;'Hose Fittings'!$A$30,VLOOKUP($A182,'Hose Fittings'!$A$8:$M$29,5,FALSE),
IF($A182&lt;'Swing Joints'!$A$496,VLOOKUP($A182,'Swing Joints'!$A$9:$M$495,5,FALSE),
IF($A182&lt;'Swing Joints Components'!$A$135,VLOOKUP($A182,'Swing Joints Components'!$A$9:$M$134,5,FALSE),
IF($A182&lt;Nonstandard!$A$42,VLOOKUP($A182,Nonstandard!$A$31:$J$41,6,FALSE),"")))))))))))))))))))))))))))),"")</f>
        <v/>
      </c>
      <c r="D182" s="428" t="str">
        <f>IFERROR(IF($A182&lt;'DWV PVC'!$A$285,VLOOKUP($A182,'DWV PVC'!$A$8:$M$284,6,FALSE),
IF($A182&lt;'DWV ABS'!$A$117,VLOOKUP($A182,'DWV ABS'!$A$8:$M$116,6,FALSE),
IF($A182&lt;'PVC SCH40'!$A$376,VLOOKUP($A182,'PVC SCH40'!$A$8:$M$375,6,FALSE),
IF($A182&lt;'PVC SCH40 LD'!$A$22,VLOOKUP($A182,'PVC SCH40 LD'!$A$8:$M$21,6,FALSE),
IF($A182&lt;'Pool &amp; SPA Sweep Elbows'!$A$12,VLOOKUP($A182,'Pool &amp; SPA Sweep Elbows'!$A$8:$M$11,6,FALSE),
IF($A182&lt;'Pool &amp; SPA Pipe Extender'!$A$11,VLOOKUP($A182,'Pool &amp; SPA Pipe Extender'!$A$8:$M$10,6,FALSE),
IF($A182&lt;'PVC SCH80'!$A$250,VLOOKUP($A182,'PVC SCH80'!$A$8:$M$249,6,FALSE),
IF($A182&lt;'PVC SCH80 Flange'!$A$49,VLOOKUP($A182,'PVC SCH80 Flange'!$A$8:$M$48,6,FALSE),
IF($A182&lt;'PVC SCH80 LD Flange'!$A$17,VLOOKUP($A182,'PVC SCH80 LD Flange'!$A$8:$M$16,6,FALSE),
IF($A182&lt;CPVC!$A$100,VLOOKUP($A182,CPVC!$A$8:$M$99,6,FALSE),
IF($A182&lt;InsertFittings!$A$237,VLOOKUP($A182,InsertFittings!$A$11:$M$236,6,FALSE),
IF($A182&lt;Valves!$A$132,VLOOKUP($A182,Valves!$A$8:$M$131,6,FALSE),
IF($A182&lt;SDR35SW!$A$124,VLOOKUP($A182,SDR35SW!$A$8:$M$123,6,FALSE),
IF($A182&lt;SDR35G!$A$143,VLOOKUP($A182, SDR35G!$A$8:$M$142,6,FALSE),
IF($A182&lt;SDR26G!$A$61,VLOOKUP($A182,SDR26G!$A$8:$N$60,6,FALSE),
IF($A182&lt;Cements!$A$100,VLOOKUP($A182,Cements!$A$8:$Q$99,6,FALSE),
IF($A182&lt;ValveBox!$A$143,VLOOKUP($A182,ValveBox!$A$10:$O$142,6,FALSE),
IF($A182&lt;'ValveBox Components'!$A$165,VLOOKUP($A182,'ValveBox Components'!$A$10:$O$164,6,FALSE),
IF($A182&lt;Drainage!$A$92,VLOOKUP($A182,Drainage!$A$8:$M$91,6,FALSE),
IF($A182&lt;Nipples!$A$82,VLOOKUP($A182,Nipples!$A$9:$Q$81,6,FALSE),
IF($A182&lt;Manifold!$A$33,VLOOKUP($A182,Manifold!$A$9:$M$32,6,FALSE),
IF($A182&lt;FlexibleRepairCouplings!$A$13,VLOOKUP($A182,FlexibleRepairCouplings!$A$10:$M$12,6,FALSE),
IF($A182&lt;DuraFix!$A$15,VLOOKUP($A182,DuraFix!$A$9:$M$14,6,FALSE),
IF($A182&lt;'Compression Fittings'!$A$16,VLOOKUP($A182,'Compression Fittings'!$A$8:$M$15,6,FALSE),
IF($A182&lt;'Hose Fittings'!$A$30,VLOOKUP($A182,'Hose Fittings'!$A$8:$M$29,6,FALSE),
IF($A182&lt;'Swing Joints'!$A$496,VLOOKUP($A182,'Swing Joints'!$A$9:$M$495,6,FALSE),
IF($A182&lt;'Swing Joints Components'!$A$135,VLOOKUP($A182,'Swing Joints Components'!$A$9:$M$134,6,FALSE),
IF($A182&lt;Nonstandard!$A$42,VLOOKUP($A182,Nonstandard!$A$31:$J$41,7,FALSE),"")))))))))))))))))))))))))))),"")</f>
        <v/>
      </c>
      <c r="E182" s="429"/>
      <c r="F182" s="421" t="str">
        <f>IFERROR(IF($A182&lt;'DWV PVC'!$A$285,VLOOKUP($A182,'DWV PVC'!$A$8:$M$284,9,FALSE),
IF($A182&lt;'DWV ABS'!$A$117,VLOOKUP($A182,'DWV ABS'!$A$8:$M$116,9,FALSE),
IF($A182&lt;'PVC SCH40'!$A$376,VLOOKUP($A182,'PVC SCH40'!$A$8:$M$375,9,FALSE),
IF($A182&lt;'PVC SCH40 LD'!$A$22,VLOOKUP($A182,'PVC SCH40 LD'!$A$8:$M$21,9,FALSE),
IF($A182&lt;'Pool &amp; SPA Sweep Elbows'!$A$12,VLOOKUP($A182,'Pool &amp; SPA Sweep Elbows'!$A$8:$M$11,9,FALSE),
IF($A182&lt;'Pool &amp; SPA Pipe Extender'!$A$11,VLOOKUP($A182,'Pool &amp; SPA Pipe Extender'!$A$8:$M$10,9,FALSE),
IF($A182&lt;'PVC SCH80'!$A$250,VLOOKUP($A182,'PVC SCH80'!$A$8:$M$249,9,FALSE),
IF($A182&lt;'PVC SCH80 Flange'!$A$49,VLOOKUP($A182,'PVC SCH80 Flange'!$A$8:$M$48,9,FALSE),
IF($A182&lt;'PVC SCH80 LD Flange'!$A$17,VLOOKUP($A182,'PVC SCH80 LD Flange'!$A$8:$M$16,9,FALSE),
IF($A182&lt;CPVC!$A$100,VLOOKUP($A182,CPVC!$A$8:$M$99,9,FALSE),
IF($A182&lt;InsertFittings!$A$237,VLOOKUP($A182,InsertFittings!$A$11:$M$236,9,FALSE),
IF($A182&lt;Valves!$A$132,VLOOKUP($A182,Valves!$A$8:$M$131,9,FALSE),
IF($A182&lt;SDR35SW!$A$124,VLOOKUP($A182,SDR35SW!$A$8:$M$123,9,FALSE),
IF($A182&lt;SDR35G!$A$143,VLOOKUP($A182, SDR35G!$A$8:$M$142,9,FALSE),
IF($A182&lt;SDR26G!$A$61,VLOOKUP($A182,SDR26G!$A$8:$N$60,10,FALSE),
IF($A182&lt;Cements!$A$100,VLOOKUP($A182,Cements!$A$8:$Q$99,13,FALSE),
IF($A182&lt;ValveBox!$A$143,VLOOKUP($A182,ValveBox!$A$10:$O$142,11,FALSE),
IF($A182&lt;'ValveBox Components'!$A$165,VLOOKUP($A182,'ValveBox Components'!$A$10:$O$164,11,FALSE),
IF($A182&lt;Drainage!$A$92,VLOOKUP($A182,Drainage!$A$8:$M$91,9,FALSE),
IF($A182&lt;Nipples!$A$82,VLOOKUP($A182,Nipples!$A$9:$Q$81,13,FALSE),
IF($A182&lt;Manifold!$A$33,VLOOKUP($A182,Manifold!$A$9:$M$32,9,FALSE),
IF($A182&lt;FlexibleRepairCouplings!$A$13,VLOOKUP($A182,FlexibleRepairCouplings!$A$10:$M$12,9,FALSE),
IF($A182&lt;DuraFix!$A$15,VLOOKUP($A182,DuraFix!$A$9:$M$14,9,FALSE),
IF($A182&lt;'Compression Fittings'!$A$16,VLOOKUP($A182,'Compression Fittings'!$A$8:$M$15,9,FALSE),
IF($A182&lt;'Hose Fittings'!$A$30,VLOOKUP($A182,'Hose Fittings'!$A$8:$M$29,9,FALSE),
IF($A182&lt;'Swing Joints'!$A$496,VLOOKUP($A182,'Swing Joints'!$A$9:$M$495,9,FALSE),
IF($A182&lt;'Swing Joints Components'!$A$135,VLOOKUP($A182,'Swing Joints Components'!$A$9:$M$134,9,FALSE),
IF($A182&lt;Nonstandard!$A$42,VLOOKUP($A182,Nonstandard!$A$31:$J$41,8,FALSE),"")))))))))))))))))))))))))))),"")</f>
        <v/>
      </c>
      <c r="G182" s="422" t="str">
        <f>IFERROR(IF($A182&lt;'DWV PVC'!$A$285,VLOOKUP($A182,'DWV PVC'!$A$8:$M$284,11,FALSE),
IF($A182&lt;'DWV ABS'!$A$117,VLOOKUP($A182,'DWV ABS'!$A$8:$M$116,11,FALSE),
IF($A182&lt;'PVC SCH40'!$A$376,VLOOKUP($A182,'PVC SCH40'!$A$8:$M$375,11,FALSE),
IF($A182&lt;'PVC SCH40 LD'!$A$22,VLOOKUP($A182,'PVC SCH40 LD'!$A$8:$M$21,11,FALSE),
IF($A182&lt;'Pool &amp; SPA Sweep Elbows'!$A$12,VLOOKUP($A182,'Pool &amp; SPA Sweep Elbows'!$A$8:$M$11,11,FALSE),
IF($A182&lt;'Pool &amp; SPA Pipe Extender'!$A$11,VLOOKUP($A182,'Pool &amp; SPA Pipe Extender'!$A$8:$M$10,11,FALSE),
IF($A182&lt;'PVC SCH80'!$A$250,VLOOKUP($A182,'PVC SCH80'!$A$8:$M$249,11,FALSE),
IF($A182&lt;'PVC SCH80 Flange'!$A$49,VLOOKUP($A182,'PVC SCH80 Flange'!$A$8:$M$48,11,FALSE),
IF($A182&lt;'PVC SCH80 LD Flange'!$A$17,VLOOKUP($A182,'PVC SCH80 LD Flange'!$A$8:$M$16,11,FALSE),
IF($A182&lt;CPVC!$A$100,VLOOKUP($A182,CPVC!$A$8:$M$99,11,FALSE),
IF($A182&lt;InsertFittings!$A$237,VLOOKUP($A182,InsertFittings!$A$11:$M$236,11,FALSE),
IF($A182&lt;Valves!$A$132,VLOOKUP($A182,Valves!$A$8:$M$131,11,FALSE),
IF($A182&lt;SDR35SW!$A$124,VLOOKUP($A182,SDR35SW!$A$8:$M$123,11,FALSE),
IF($A182&lt;SDR35G!$A$143,VLOOKUP($A182, SDR35G!$A$8:$M$142,11,FALSE),
IF($A182&lt;SDR26G!$A$61,VLOOKUP($A182,SDR26G!$A$8:$N$60,12,FALSE),
IF($A182&lt;Cements!$A$100,VLOOKUP($A182,Cements!$A$8:$Q$99,15,FALSE),
IF($A182&lt;ValveBox!$A$143,VLOOKUP($A182,ValveBox!$A$10:$O$142,13,FALSE),
IF($A182&lt;'ValveBox Components'!$A$165,VLOOKUP($A182,'ValveBox Components'!$A$10:$O$164,13,FALSE),
IF($A182&lt;Drainage!$A$92,VLOOKUP($A182,Drainage!$A$8:$M$91,11,FALSE),
IF($A182&lt;Nipples!$A$82,VLOOKUP($A182,Nipples!$A$9:$Q$81,15,FALSE),
IF($A182&lt;Manifold!$A$33,VLOOKUP($A182,Manifold!$A$9:$M$32,11,FALSE),
IF($A182&lt;FlexibleRepairCouplings!$A$13,VLOOKUP($A182,FlexibleRepairCouplings!$A$10:$M$12,11,FALSE),
IF($A182&lt;DuraFix!$A$15,VLOOKUP($A182,DuraFix!$A$9:$M$14,11,FALSE),
IF($A182&lt;'Compression Fittings'!$A$16,VLOOKUP($A182,'Compression Fittings'!$A$8:$M$15,11,FALSE),
IF($A182&lt;'Hose Fittings'!$A$30,VLOOKUP($A182,'Hose Fittings'!$A$8:$M$29,11,FALSE),
IF($A182&lt;'Swing Joints'!$A$496,VLOOKUP($A182,'Swing Joints'!$A$9:$M$495,11,FALSE),
IF($A182&lt;'Swing Joints Components'!$A$135,VLOOKUP($A182,'Swing Joints Components'!$A$9:$M$134,11,FALSE),
IF($A182&lt;Nonstandard!$A$42,VLOOKUP($A182,Nonstandard!$A$31:$J$41,3,FALSE),"")))))))))))))))))))))))))))),"")</f>
        <v/>
      </c>
      <c r="H182" s="588" t="str">
        <f>IFERROR(IF($A182&lt;'DWV PVC'!$A$285,VLOOKUP($A182,'DWV PVC'!$A$8:$M$284,7,FALSE),
IF($A182&lt;'DWV ABS'!$A$117,VLOOKUP($A182,'DWV ABS'!$A$8:$M$116,7,FALSE),
IF($A182&lt;'PVC SCH40'!$A$376,VLOOKUP($A182,'PVC SCH40'!$A$8:$M$375,7,FALSE),
IF($A182&lt;'PVC SCH40 LD'!$A$22,VLOOKUP($A182,'PVC SCH40 LD'!$A$8:$M$21,7,FALSE),
IF($A182&lt;'Pool &amp; SPA Sweep Elbows'!$A$12,VLOOKUP($A182,'Pool &amp; SPA Sweep Elbows'!$A$8:$M$11,7,FALSE),
IF($A182&lt;'Pool &amp; SPA Pipe Extender'!$A$11,VLOOKUP($A182,'Pool &amp; SPA Pipe Extender'!$A$8:$M$10,7,FALSE),
IF($A182&lt;'PVC SCH80'!$A$250,VLOOKUP($A182,'PVC SCH80'!$A$8:$M$249,7,FALSE),
IF($A182&lt;'PVC SCH80 Flange'!$A$49,VLOOKUP($A182,'PVC SCH80 Flange'!$A$8:$M$48,7,FALSE),
IF($A182&lt;'PVC SCH80 LD Flange'!$A$17,VLOOKUP($A182,'PVC SCH80 LD Flange'!$A$8:$M$16,7,FALSE),
IF($A182&lt;CPVC!$A$100,VLOOKUP($A182,CPVC!$A$8:$M$99,7,FALSE),
IF($A182&lt;InsertFittings!$A$237,VLOOKUP($A182,InsertFittings!$A$11:$M$236,7,FALSE),
IF($A182&lt;Valves!$A$132,VLOOKUP($A182,Valves!$A$8:$M$131,7,FALSE),
IF($A182&lt;SDR35SW!$A$124,VLOOKUP($A182,SDR35SW!$A$8:$M$123,7,FALSE),
IF($A182&lt;SDR35G!$A$143,VLOOKUP($A182, SDR35G!$A$8:$M$142,7,FALSE),
IF($A182&lt;SDR26G!$A$61,VLOOKUP($A182,SDR26G!$A$8:$N$60,10,FALSE),
IF($A182&lt;Cements!$A$100,VLOOKUP($A182,Cements!$A$8:$Q$99,13,FALSE),
IF($A182&lt;ValveBox!$A$143,VLOOKUP($A182,ValveBox!$A$10:$O$142,11,FALSE),
IF($A182&lt;'ValveBox Components'!$A$165,VLOOKUP($A182,'ValveBox Components'!$A$10:$O$164,11,FALSE),
IF($A182&lt;Drainage!$A$92,VLOOKUP($A182,Drainage!$A$8:$M$91,7,FALSE),
IF($A182&lt;Nipples!$A$82,VLOOKUP($A182,Nipples!$A$9:$Q$81,13,FALSE),
IF($A182&lt;Manifold!$A$33,VLOOKUP($A182,Manifold!$A$9:$M$32,7,FALSE),
IF($A182&lt;FlexibleRepairCouplings!$A$13,VLOOKUP($A182,FlexibleRepairCouplings!$A$10:$M$12,7,FALSE),
IF($A182&lt;DuraFix!$A$15,VLOOKUP($A182,DuraFix!$A$9:$M$14,7,FALSE),
IF($A182&lt;'Compression Fittings'!$A$16,VLOOKUP($A182,'Compression Fittings'!$A$8:$M$15,7,FALSE),
IF($A182&lt;'Hose Fittings'!$A$30,VLOOKUP($A182,'Hose Fittings'!$A$8:$M$29,7,FALSE),
IF($A182&lt;'Swing Joints'!$A$496,VLOOKUP($A182,'Swing Joints'!$A$9:$M$495,7,FALSE),
IF($A182&lt;'Swing Joints Components'!$A$135,VLOOKUP($A182,'Swing Joints Components'!$A$9:$M$134,7,FALSE),
IF($A182&lt;Nonstandard!$A$42,VLOOKUP($A182,Nonstandard!$A$31:$J$41,3,FALSE),"")))))))))))))))))))))))))))),"")</f>
        <v/>
      </c>
      <c r="I182" s="589"/>
      <c r="J182" s="423" t="str">
        <f t="shared" si="5"/>
        <v/>
      </c>
      <c r="K182" s="424" t="str">
        <f>IFERROR(IF($A182&lt;'DWV PVC'!$A$285,VLOOKUP($A182,'DWV PVC'!$A$8:$M$284,10,FALSE),
IF($A182&lt;'DWV ABS'!$A$117,VLOOKUP($A182,'DWV ABS'!$A$8:$M$116,10,FALSE),
IF($A182&lt;'PVC SCH40'!$A$376,VLOOKUP($A182,'PVC SCH40'!$A$8:$M$375,10,FALSE),
IF($A182&lt;'PVC SCH40 LD'!$A$22,VLOOKUP($A182,'PVC SCH40 LD'!$A$8:$M$21,10,FALSE),
IF($A182&lt;'Pool &amp; SPA Sweep Elbows'!$A$12,VLOOKUP($A182,'Pool &amp; SPA Sweep Elbows'!$A$8:$M$11,10,FALSE),
IF($A182&lt;'Pool &amp; SPA Pipe Extender'!$A$11,VLOOKUP($A182,'Pool &amp; SPA Pipe Extender'!$A$8:$M$10,10,FALSE),
IF($A182&lt;'PVC SCH80'!$A$250,VLOOKUP($A182,'PVC SCH80'!$A$8:$M$249,10,FALSE),
IF($A182&lt;'PVC SCH80 Flange'!$A$49,VLOOKUP($A182,'PVC SCH80 Flange'!$A$8:$M$48,10,FALSE),
IF($A182&lt;'PVC SCH80 LD Flange'!$A$17,VLOOKUP($A182,'PVC SCH80 LD Flange'!$A$8:$M$16,10,FALSE),
IF($A182&lt;CPVC!$A$100,VLOOKUP($A182,CPVC!$A$8:$M$99,10,FALSE),
IF($A182&lt;InsertFittings!$A$237,VLOOKUP($A182,InsertFittings!$A$11:$M$236,10,FALSE),
IF($A182&lt;Valves!$A$132,VLOOKUP($A182,Valves!$A$8:$M$131,10,FALSE),
IF($A182&lt;SDR35SW!$A$124,VLOOKUP($A182,SDR35SW!$A$8:$M$123,10,FALSE),
IF($A182&lt;SDR35G!$A$143,VLOOKUP($A182, SDR35G!$A$8:$M$142,10,FALSE),
IF($A182&lt;SDR26G!$A$61,VLOOKUP($A182,SDR26G!$A$8:$N$60,11,FALSE),
IF($A182&lt;Cements!$A$100,VLOOKUP($A182,Cements!$A$8:$Q$99,14,FALSE),
IF($A182&lt;ValveBox!$A$143,VLOOKUP($A182,ValveBox!$A$10:$O$142,12,FALSE),
IF($A182&lt;'ValveBox Components'!$A$165,VLOOKUP($A182,'ValveBox Components'!$A$10:$O$164,12,FALSE),
IF($A182&lt;Drainage!$A$92,VLOOKUP($A182,Drainage!$A$8:$M$91,10,FALSE),
IF($A182&lt;Nipples!$A$82,VLOOKUP($A182,Nipples!$A$9:$Q$81,14,FALSE),
IF($A182&lt;Manifold!$A$33,VLOOKUP($A182,Manifold!$A$9:$M$32,10,FALSE),
IF($A182&lt;FlexibleRepairCouplings!$A$13,VLOOKUP($A182,FlexibleRepairCouplings!$A$10:$M$12,10,FALSE),
IF($A182&lt;DuraFix!$A$15,VLOOKUP($A182,DuraFix!$A$9:$M$14,10,FALSE),
IF($A182&lt;'Compression Fittings'!$A$16,VLOOKUP($A182,'Compression Fittings'!$A$8:$M$15,10,FALSE),
IF($A182&lt;'Hose Fittings'!$A$30,VLOOKUP($A182,'Hose Fittings'!$A$8:$M$29,10,FALSE),
IF($A182&lt;'Swing Joints'!$A$496,VLOOKUP($A182,'Swing Joints'!$A$9:$M$495,10,FALSE),
IF($A182&lt;'Swing Joints Components'!$A$135,VLOOKUP($A182,'Swing Joints Components'!$A$9:$M$134,10,FALSE),
IF($A182&lt;Nonstandard!$A$42,VLOOKUP($A182,Nonstandard!$A$31:$J$41,10,FALSE),"")))))))))))))))))))))))))))),"")</f>
        <v/>
      </c>
      <c r="L182" s="421" t="str">
        <f t="shared" si="4"/>
        <v>-</v>
      </c>
      <c r="M182" s="425"/>
    </row>
    <row r="183" spans="1:13" ht="15.75">
      <c r="A183" s="415">
        <v>151</v>
      </c>
      <c r="B183" s="415" t="str">
        <f>IFERROR(IF($A183&lt;'DWV PVC'!$A$285,VLOOKUP($A183,'DWV PVC'!$A$8:$M$284,4,FALSE),
IF($A183&lt;'DWV ABS'!$A$117,VLOOKUP($A183,'DWV ABS'!$A$8:$M$116,4,FALSE),
IF($A183&lt;'PVC SCH40'!$A$376,VLOOKUP($A183,'PVC SCH40'!$A$8:$M$375,4,FALSE),
IF($A183&lt;'PVC SCH40 LD'!$A$22,VLOOKUP($A183,'PVC SCH40 LD'!$A$8:$M$21,4,FALSE),
IF($A183&lt;'Pool &amp; SPA Sweep Elbows'!$A$12,VLOOKUP($A183,'Pool &amp; SPA Sweep Elbows'!$A$8:$M$11,4,FALSE),
IF($A183&lt;'Pool &amp; SPA Pipe Extender'!$A$11,VLOOKUP($A183,'Pool &amp; SPA Pipe Extender'!$A$8:$M$10,4,FALSE),
IF($A183&lt;'PVC SCH80'!$A$250,VLOOKUP($A183,'PVC SCH80'!$A$8:$M$249,4,FALSE),
IF($A183&lt;'PVC SCH80 Flange'!$A$49,VLOOKUP($A183,'PVC SCH80 Flange'!$A$8:$M$48,4,FALSE),
IF($A183&lt;'PVC SCH80 LD Flange'!$A$17,VLOOKUP($A183,'PVC SCH80 LD Flange'!$A$8:$M$16,4,FALSE),
IF($A183&lt;CPVC!$A$100,VLOOKUP($A183,CPVC!$A$8:$M$99,4,FALSE),
IF($A183&lt;InsertFittings!$A$237,VLOOKUP($A183,InsertFittings!$A$11:$M$236,4,FALSE),
IF($A183&lt;Valves!$A$132,VLOOKUP($A183,Valves!$A$8:$M$131,4,FALSE),
IF($A183&lt;SDR35SW!$A$124,VLOOKUP($A183,SDR35SW!$A$8:$M$123,4,FALSE),
IF($A183&lt;SDR35G!$A$143,VLOOKUP($A183, SDR35G!$A$8:$M$142,4,FALSE),
IF($A183&lt;SDR26G!$A$61,VLOOKUP($A183,SDR26G!$A$8:$N$60,4,FALSE),
IF($A183&lt;Cements!$A$100,VLOOKUP($A183,Cements!$A$8:$Q$99,4,FALSE),
IF($A183&lt;ValveBox!$A$143,VLOOKUP($A183,ValveBox!$A$10:$O$142,4,FALSE),
IF($A183&lt;'ValveBox Components'!$A$165,VLOOKUP($A183,'ValveBox Components'!$A$10:$O$164,4,FALSE),
IF($A183&lt;Drainage!$A$92,VLOOKUP($A183,Drainage!$A$8:$M$91,4,FALSE),
IF($A183&lt;Nipples!$A$82,VLOOKUP($A183,Nipples!$A$9:$Q$81,4,FALSE),
IF($A183&lt;Manifold!$A$33,VLOOKUP($A183,Manifold!$A$9:$M$32,4,FALSE),
IF($A183&lt;FlexibleRepairCouplings!$A$13,VLOOKUP($A183,FlexibleRepairCouplings!$A$10:$M$12,4,FALSE),
IF($A183&lt;DuraFix!$A$15,VLOOKUP($A183,DuraFix!$A$9:$M$14,4,FALSE),
IF($A183&lt;'Compression Fittings'!$A$16,VLOOKUP($A183,'Compression Fittings'!$A$8:$M$15,4,FALSE),
IF($A183&lt;'Hose Fittings'!$A$30,VLOOKUP($A183,'Hose Fittings'!$A$8:$M$29,4,FALSE),
IF($A183&lt;'Swing Joints'!$A$496,VLOOKUP($A183,'Swing Joints'!$A$9:$M$495,4,FALSE),
IF($A183&lt;'Swing Joints Components'!$A$135,VLOOKUP($A183,'Swing Joints Components'!$A$9:$M$134,4,FALSE),
IF($A183&lt;Nonstandard!$A$42,VLOOKUP($A183,Nonstandard!$A$31:$J$41,5,FALSE),"")))))))))))))))))))))))))))),"")</f>
        <v/>
      </c>
      <c r="C183" s="415" t="str">
        <f>IFERROR(IF($A183&lt;'DWV PVC'!$A$285,VLOOKUP($A183,'DWV PVC'!$A$8:$M$284,5,FALSE),
IF($A183&lt;'DWV ABS'!$A$117,VLOOKUP($A183,'DWV ABS'!$A$8:$M$116,5,FALSE),
IF($A183&lt;'PVC SCH40'!$A$376,VLOOKUP($A183,'PVC SCH40'!$A$8:$M$375,5,FALSE),
IF($A183&lt;'PVC SCH40 LD'!$A$22,VLOOKUP($A183,'PVC SCH40 LD'!$A$8:$M$21,5,FALSE),
IF($A183&lt;'Pool &amp; SPA Sweep Elbows'!$A$12,VLOOKUP($A183,'Pool &amp; SPA Sweep Elbows'!$A$8:$M$11,5,FALSE),
IF($A183&lt;'Pool &amp; SPA Pipe Extender'!$A$11,VLOOKUP($A183,'Pool &amp; SPA Pipe Extender'!$A$8:$M$10,5,FALSE),
IF($A183&lt;'PVC SCH80'!$A$250,VLOOKUP($A183,'PVC SCH80'!$A$8:$M$249,5,FALSE),
IF($A183&lt;'PVC SCH80 Flange'!$A$49,VLOOKUP($A183,'PVC SCH80 Flange'!$A$8:$M$48,5,FALSE),
IF($A183&lt;'PVC SCH80 LD Flange'!$A$17,VLOOKUP($A183,'PVC SCH80 LD Flange'!$A$8:$M$16,5,FALSE),
IF($A183&lt;CPVC!$A$100,VLOOKUP($A183,CPVC!$A$8:$M$99,5,FALSE),
IF($A183&lt;InsertFittings!$A$237,VLOOKUP($A183,InsertFittings!$A$11:$M$236,5,FALSE),
IF($A183&lt;Valves!$A$132,VLOOKUP($A183,Valves!$A$8:$M$131,5,FALSE),
IF($A183&lt;SDR35SW!$A$124,VLOOKUP($A183,SDR35SW!$A$8:$M$123,5,FALSE),
IF($A183&lt;SDR35G!$A$143,VLOOKUP($A183, SDR35G!$A$8:$M$142,5,FALSE),
IF($A183&lt;SDR26G!$A$61,VLOOKUP($A183,SDR26G!$A$8:$N$60,5,FALSE),
IF($A183&lt;Cements!$A$100,VLOOKUP($A183,Cements!$A$8:$Q$99,5,FALSE),
IF($A183&lt;ValveBox!$A$143,VLOOKUP($A183,ValveBox!$A$10:$O$142,5,FALSE),
IF($A183&lt;'ValveBox Components'!$A$165,VLOOKUP($A183,'ValveBox Components'!$A$10:$O$164,5,FALSE),
IF($A183&lt;Drainage!$A$92,VLOOKUP($A183,Drainage!$A$8:$M$91,5,FALSE),
IF($A183&lt;Nipples!$A$82,VLOOKUP($A183,Nipples!$A$9:$Q$81,5,FALSE),
IF($A183&lt;Manifold!$A$33,VLOOKUP($A183,Manifold!$A$9:$M$32,5,FALSE),
IF($A183&lt;FlexibleRepairCouplings!$A$13,VLOOKUP($A183,FlexibleRepairCouplings!$A$10:$M$12,5,FALSE),
IF($A183&lt;DuraFix!$A$15,VLOOKUP($A183,DuraFix!$A$9:$M$14,5,FALSE),
IF($A183&lt;'Compression Fittings'!$A$16,VLOOKUP($A183,'Compression Fittings'!$A$8:$M$15,5,FALSE),
IF($A183&lt;'Hose Fittings'!$A$30,VLOOKUP($A183,'Hose Fittings'!$A$8:$M$29,5,FALSE),
IF($A183&lt;'Swing Joints'!$A$496,VLOOKUP($A183,'Swing Joints'!$A$9:$M$495,5,FALSE),
IF($A183&lt;'Swing Joints Components'!$A$135,VLOOKUP($A183,'Swing Joints Components'!$A$9:$M$134,5,FALSE),
IF($A183&lt;Nonstandard!$A$42,VLOOKUP($A183,Nonstandard!$A$31:$J$41,6,FALSE),"")))))))))))))))))))))))))))),"")</f>
        <v/>
      </c>
      <c r="D183" s="426" t="str">
        <f>IFERROR(IF($A183&lt;'DWV PVC'!$A$285,VLOOKUP($A183,'DWV PVC'!$A$8:$M$284,6,FALSE),
IF($A183&lt;'DWV ABS'!$A$117,VLOOKUP($A183,'DWV ABS'!$A$8:$M$116,6,FALSE),
IF($A183&lt;'PVC SCH40'!$A$376,VLOOKUP($A183,'PVC SCH40'!$A$8:$M$375,6,FALSE),
IF($A183&lt;'PVC SCH40 LD'!$A$22,VLOOKUP($A183,'PVC SCH40 LD'!$A$8:$M$21,6,FALSE),
IF($A183&lt;'Pool &amp; SPA Sweep Elbows'!$A$12,VLOOKUP($A183,'Pool &amp; SPA Sweep Elbows'!$A$8:$M$11,6,FALSE),
IF($A183&lt;'Pool &amp; SPA Pipe Extender'!$A$11,VLOOKUP($A183,'Pool &amp; SPA Pipe Extender'!$A$8:$M$10,6,FALSE),
IF($A183&lt;'PVC SCH80'!$A$250,VLOOKUP($A183,'PVC SCH80'!$A$8:$M$249,6,FALSE),
IF($A183&lt;'PVC SCH80 Flange'!$A$49,VLOOKUP($A183,'PVC SCH80 Flange'!$A$8:$M$48,6,FALSE),
IF($A183&lt;'PVC SCH80 LD Flange'!$A$17,VLOOKUP($A183,'PVC SCH80 LD Flange'!$A$8:$M$16,6,FALSE),
IF($A183&lt;CPVC!$A$100,VLOOKUP($A183,CPVC!$A$8:$M$99,6,FALSE),
IF($A183&lt;InsertFittings!$A$237,VLOOKUP($A183,InsertFittings!$A$11:$M$236,6,FALSE),
IF($A183&lt;Valves!$A$132,VLOOKUP($A183,Valves!$A$8:$M$131,6,FALSE),
IF($A183&lt;SDR35SW!$A$124,VLOOKUP($A183,SDR35SW!$A$8:$M$123,6,FALSE),
IF($A183&lt;SDR35G!$A$143,VLOOKUP($A183, SDR35G!$A$8:$M$142,6,FALSE),
IF($A183&lt;SDR26G!$A$61,VLOOKUP($A183,SDR26G!$A$8:$N$60,6,FALSE),
IF($A183&lt;Cements!$A$100,VLOOKUP($A183,Cements!$A$8:$Q$99,6,FALSE),
IF($A183&lt;ValveBox!$A$143,VLOOKUP($A183,ValveBox!$A$10:$O$142,6,FALSE),
IF($A183&lt;'ValveBox Components'!$A$165,VLOOKUP($A183,'ValveBox Components'!$A$10:$O$164,6,FALSE),
IF($A183&lt;Drainage!$A$92,VLOOKUP($A183,Drainage!$A$8:$M$91,6,FALSE),
IF($A183&lt;Nipples!$A$82,VLOOKUP($A183,Nipples!$A$9:$Q$81,6,FALSE),
IF($A183&lt;Manifold!$A$33,VLOOKUP($A183,Manifold!$A$9:$M$32,6,FALSE),
IF($A183&lt;FlexibleRepairCouplings!$A$13,VLOOKUP($A183,FlexibleRepairCouplings!$A$10:$M$12,6,FALSE),
IF($A183&lt;DuraFix!$A$15,VLOOKUP($A183,DuraFix!$A$9:$M$14,6,FALSE),
IF($A183&lt;'Compression Fittings'!$A$16,VLOOKUP($A183,'Compression Fittings'!$A$8:$M$15,6,FALSE),
IF($A183&lt;'Hose Fittings'!$A$30,VLOOKUP($A183,'Hose Fittings'!$A$8:$M$29,6,FALSE),
IF($A183&lt;'Swing Joints'!$A$496,VLOOKUP($A183,'Swing Joints'!$A$9:$M$495,6,FALSE),
IF($A183&lt;'Swing Joints Components'!$A$135,VLOOKUP($A183,'Swing Joints Components'!$A$9:$M$134,6,FALSE),
IF($A183&lt;Nonstandard!$A$42,VLOOKUP($A183,Nonstandard!$A$31:$J$41,7,FALSE),"")))))))))))))))))))))))))))),"")</f>
        <v/>
      </c>
      <c r="E183" s="427"/>
      <c r="F183" s="418" t="str">
        <f>IFERROR(IF($A183&lt;'DWV PVC'!$A$285,VLOOKUP($A183,'DWV PVC'!$A$8:$M$284,9,FALSE),
IF($A183&lt;'DWV ABS'!$A$117,VLOOKUP($A183,'DWV ABS'!$A$8:$M$116,9,FALSE),
IF($A183&lt;'PVC SCH40'!$A$376,VLOOKUP($A183,'PVC SCH40'!$A$8:$M$375,9,FALSE),
IF($A183&lt;'PVC SCH40 LD'!$A$22,VLOOKUP($A183,'PVC SCH40 LD'!$A$8:$M$21,9,FALSE),
IF($A183&lt;'Pool &amp; SPA Sweep Elbows'!$A$12,VLOOKUP($A183,'Pool &amp; SPA Sweep Elbows'!$A$8:$M$11,9,FALSE),
IF($A183&lt;'Pool &amp; SPA Pipe Extender'!$A$11,VLOOKUP($A183,'Pool &amp; SPA Pipe Extender'!$A$8:$M$10,9,FALSE),
IF($A183&lt;'PVC SCH80'!$A$250,VLOOKUP($A183,'PVC SCH80'!$A$8:$M$249,9,FALSE),
IF($A183&lt;'PVC SCH80 Flange'!$A$49,VLOOKUP($A183,'PVC SCH80 Flange'!$A$8:$M$48,9,FALSE),
IF($A183&lt;'PVC SCH80 LD Flange'!$A$17,VLOOKUP($A183,'PVC SCH80 LD Flange'!$A$8:$M$16,9,FALSE),
IF($A183&lt;CPVC!$A$100,VLOOKUP($A183,CPVC!$A$8:$M$99,9,FALSE),
IF($A183&lt;InsertFittings!$A$237,VLOOKUP($A183,InsertFittings!$A$11:$M$236,9,FALSE),
IF($A183&lt;Valves!$A$132,VLOOKUP($A183,Valves!$A$8:$M$131,9,FALSE),
IF($A183&lt;SDR35SW!$A$124,VLOOKUP($A183,SDR35SW!$A$8:$M$123,9,FALSE),
IF($A183&lt;SDR35G!$A$143,VLOOKUP($A183, SDR35G!$A$8:$M$142,9,FALSE),
IF($A183&lt;SDR26G!$A$61,VLOOKUP($A183,SDR26G!$A$8:$N$60,10,FALSE),
IF($A183&lt;Cements!$A$100,VLOOKUP($A183,Cements!$A$8:$Q$99,13,FALSE),
IF($A183&lt;ValveBox!$A$143,VLOOKUP($A183,ValveBox!$A$10:$O$142,11,FALSE),
IF($A183&lt;'ValveBox Components'!$A$165,VLOOKUP($A183,'ValveBox Components'!$A$10:$O$164,11,FALSE),
IF($A183&lt;Drainage!$A$92,VLOOKUP($A183,Drainage!$A$8:$M$91,9,FALSE),
IF($A183&lt;Nipples!$A$82,VLOOKUP($A183,Nipples!$A$9:$Q$81,13,FALSE),
IF($A183&lt;Manifold!$A$33,VLOOKUP($A183,Manifold!$A$9:$M$32,9,FALSE),
IF($A183&lt;FlexibleRepairCouplings!$A$13,VLOOKUP($A183,FlexibleRepairCouplings!$A$10:$M$12,9,FALSE),
IF($A183&lt;DuraFix!$A$15,VLOOKUP($A183,DuraFix!$A$9:$M$14,9,FALSE),
IF($A183&lt;'Compression Fittings'!$A$16,VLOOKUP($A183,'Compression Fittings'!$A$8:$M$15,9,FALSE),
IF($A183&lt;'Hose Fittings'!$A$30,VLOOKUP($A183,'Hose Fittings'!$A$8:$M$29,9,FALSE),
IF($A183&lt;'Swing Joints'!$A$496,VLOOKUP($A183,'Swing Joints'!$A$9:$M$495,9,FALSE),
IF($A183&lt;'Swing Joints Components'!$A$135,VLOOKUP($A183,'Swing Joints Components'!$A$9:$M$134,9,FALSE),
IF($A183&lt;Nonstandard!$A$42,VLOOKUP($A183,Nonstandard!$A$31:$J$41,8,FALSE),"")))))))))))))))))))))))))))),"")</f>
        <v/>
      </c>
      <c r="G183" s="416" t="str">
        <f>IFERROR(IF($A183&lt;'DWV PVC'!$A$285,VLOOKUP($A183,'DWV PVC'!$A$8:$M$284,11,FALSE),
IF($A183&lt;'DWV ABS'!$A$117,VLOOKUP($A183,'DWV ABS'!$A$8:$M$116,11,FALSE),
IF($A183&lt;'PVC SCH40'!$A$376,VLOOKUP($A183,'PVC SCH40'!$A$8:$M$375,11,FALSE),
IF($A183&lt;'PVC SCH40 LD'!$A$22,VLOOKUP($A183,'PVC SCH40 LD'!$A$8:$M$21,11,FALSE),
IF($A183&lt;'Pool &amp; SPA Sweep Elbows'!$A$12,VLOOKUP($A183,'Pool &amp; SPA Sweep Elbows'!$A$8:$M$11,11,FALSE),
IF($A183&lt;'Pool &amp; SPA Pipe Extender'!$A$11,VLOOKUP($A183,'Pool &amp; SPA Pipe Extender'!$A$8:$M$10,11,FALSE),
IF($A183&lt;'PVC SCH80'!$A$250,VLOOKUP($A183,'PVC SCH80'!$A$8:$M$249,11,FALSE),
IF($A183&lt;'PVC SCH80 Flange'!$A$49,VLOOKUP($A183,'PVC SCH80 Flange'!$A$8:$M$48,11,FALSE),
IF($A183&lt;'PVC SCH80 LD Flange'!$A$17,VLOOKUP($A183,'PVC SCH80 LD Flange'!$A$8:$M$16,11,FALSE),
IF($A183&lt;CPVC!$A$100,VLOOKUP($A183,CPVC!$A$8:$M$99,11,FALSE),
IF($A183&lt;InsertFittings!$A$237,VLOOKUP($A183,InsertFittings!$A$11:$M$236,11,FALSE),
IF($A183&lt;Valves!$A$132,VLOOKUP($A183,Valves!$A$8:$M$131,11,FALSE),
IF($A183&lt;SDR35SW!$A$124,VLOOKUP($A183,SDR35SW!$A$8:$M$123,11,FALSE),
IF($A183&lt;SDR35G!$A$143,VLOOKUP($A183, SDR35G!$A$8:$M$142,11,FALSE),
IF($A183&lt;SDR26G!$A$61,VLOOKUP($A183,SDR26G!$A$8:$N$60,12,FALSE),
IF($A183&lt;Cements!$A$100,VLOOKUP($A183,Cements!$A$8:$Q$99,15,FALSE),
IF($A183&lt;ValveBox!$A$143,VLOOKUP($A183,ValveBox!$A$10:$O$142,13,FALSE),
IF($A183&lt;'ValveBox Components'!$A$165,VLOOKUP($A183,'ValveBox Components'!$A$10:$O$164,13,FALSE),
IF($A183&lt;Drainage!$A$92,VLOOKUP($A183,Drainage!$A$8:$M$91,11,FALSE),
IF($A183&lt;Nipples!$A$82,VLOOKUP($A183,Nipples!$A$9:$Q$81,15,FALSE),
IF($A183&lt;Manifold!$A$33,VLOOKUP($A183,Manifold!$A$9:$M$32,11,FALSE),
IF($A183&lt;FlexibleRepairCouplings!$A$13,VLOOKUP($A183,FlexibleRepairCouplings!$A$10:$M$12,11,FALSE),
IF($A183&lt;DuraFix!$A$15,VLOOKUP($A183,DuraFix!$A$9:$M$14,11,FALSE),
IF($A183&lt;'Compression Fittings'!$A$16,VLOOKUP($A183,'Compression Fittings'!$A$8:$M$15,11,FALSE),
IF($A183&lt;'Hose Fittings'!$A$30,VLOOKUP($A183,'Hose Fittings'!$A$8:$M$29,11,FALSE),
IF($A183&lt;'Swing Joints'!$A$496,VLOOKUP($A183,'Swing Joints'!$A$9:$M$495,11,FALSE),
IF($A183&lt;'Swing Joints Components'!$A$135,VLOOKUP($A183,'Swing Joints Components'!$A$9:$M$134,11,FALSE),
IF($A183&lt;Nonstandard!$A$42,VLOOKUP($A183,Nonstandard!$A$31:$J$41,3,FALSE),"")))))))))))))))))))))))))))),"")</f>
        <v/>
      </c>
      <c r="H183" s="586" t="str">
        <f>IFERROR(IF($A183&lt;'DWV PVC'!$A$285,VLOOKUP($A183,'DWV PVC'!$A$8:$M$284,7,FALSE),
IF($A183&lt;'DWV ABS'!$A$117,VLOOKUP($A183,'DWV ABS'!$A$8:$M$116,7,FALSE),
IF($A183&lt;'PVC SCH40'!$A$376,VLOOKUP($A183,'PVC SCH40'!$A$8:$M$375,7,FALSE),
IF($A183&lt;'PVC SCH40 LD'!$A$22,VLOOKUP($A183,'PVC SCH40 LD'!$A$8:$M$21,7,FALSE),
IF($A183&lt;'Pool &amp; SPA Sweep Elbows'!$A$12,VLOOKUP($A183,'Pool &amp; SPA Sweep Elbows'!$A$8:$M$11,7,FALSE),
IF($A183&lt;'Pool &amp; SPA Pipe Extender'!$A$11,VLOOKUP($A183,'Pool &amp; SPA Pipe Extender'!$A$8:$M$10,7,FALSE),
IF($A183&lt;'PVC SCH80'!$A$250,VLOOKUP($A183,'PVC SCH80'!$A$8:$M$249,7,FALSE),
IF($A183&lt;'PVC SCH80 Flange'!$A$49,VLOOKUP($A183,'PVC SCH80 Flange'!$A$8:$M$48,7,FALSE),
IF($A183&lt;'PVC SCH80 LD Flange'!$A$17,VLOOKUP($A183,'PVC SCH80 LD Flange'!$A$8:$M$16,7,FALSE),
IF($A183&lt;CPVC!$A$100,VLOOKUP($A183,CPVC!$A$8:$M$99,7,FALSE),
IF($A183&lt;InsertFittings!$A$237,VLOOKUP($A183,InsertFittings!$A$11:$M$236,7,FALSE),
IF($A183&lt;Valves!$A$132,VLOOKUP($A183,Valves!$A$8:$M$131,7,FALSE),
IF($A183&lt;SDR35SW!$A$124,VLOOKUP($A183,SDR35SW!$A$8:$M$123,7,FALSE),
IF($A183&lt;SDR35G!$A$143,VLOOKUP($A183, SDR35G!$A$8:$M$142,7,FALSE),
IF($A183&lt;SDR26G!$A$61,VLOOKUP($A183,SDR26G!$A$8:$N$60,10,FALSE),
IF($A183&lt;Cements!$A$100,VLOOKUP($A183,Cements!$A$8:$Q$99,13,FALSE),
IF($A183&lt;ValveBox!$A$143,VLOOKUP($A183,ValveBox!$A$10:$O$142,11,FALSE),
IF($A183&lt;'ValveBox Components'!$A$165,VLOOKUP($A183,'ValveBox Components'!$A$10:$O$164,11,FALSE),
IF($A183&lt;Drainage!$A$92,VLOOKUP($A183,Drainage!$A$8:$M$91,7,FALSE),
IF($A183&lt;Nipples!$A$82,VLOOKUP($A183,Nipples!$A$9:$Q$81,13,FALSE),
IF($A183&lt;Manifold!$A$33,VLOOKUP($A183,Manifold!$A$9:$M$32,7,FALSE),
IF($A183&lt;FlexibleRepairCouplings!$A$13,VLOOKUP($A183,FlexibleRepairCouplings!$A$10:$M$12,7,FALSE),
IF($A183&lt;DuraFix!$A$15,VLOOKUP($A183,DuraFix!$A$9:$M$14,7,FALSE),
IF($A183&lt;'Compression Fittings'!$A$16,VLOOKUP($A183,'Compression Fittings'!$A$8:$M$15,7,FALSE),
IF($A183&lt;'Hose Fittings'!$A$30,VLOOKUP($A183,'Hose Fittings'!$A$8:$M$29,7,FALSE),
IF($A183&lt;'Swing Joints'!$A$496,VLOOKUP($A183,'Swing Joints'!$A$9:$M$495,7,FALSE),
IF($A183&lt;'Swing Joints Components'!$A$135,VLOOKUP($A183,'Swing Joints Components'!$A$9:$M$134,7,FALSE),
IF($A183&lt;Nonstandard!$A$42,VLOOKUP($A183,Nonstandard!$A$31:$J$41,3,FALSE),"")))))))))))))))))))))))))))),"")</f>
        <v/>
      </c>
      <c r="I183" s="587"/>
      <c r="J183" s="383" t="str">
        <f t="shared" si="5"/>
        <v/>
      </c>
      <c r="K183" s="417" t="str">
        <f>IFERROR(IF($A183&lt;'DWV PVC'!$A$285,VLOOKUP($A183,'DWV PVC'!$A$8:$M$284,10,FALSE),
IF($A183&lt;'DWV ABS'!$A$117,VLOOKUP($A183,'DWV ABS'!$A$8:$M$116,10,FALSE),
IF($A183&lt;'PVC SCH40'!$A$376,VLOOKUP($A183,'PVC SCH40'!$A$8:$M$375,10,FALSE),
IF($A183&lt;'PVC SCH40 LD'!$A$22,VLOOKUP($A183,'PVC SCH40 LD'!$A$8:$M$21,10,FALSE),
IF($A183&lt;'Pool &amp; SPA Sweep Elbows'!$A$12,VLOOKUP($A183,'Pool &amp; SPA Sweep Elbows'!$A$8:$M$11,10,FALSE),
IF($A183&lt;'Pool &amp; SPA Pipe Extender'!$A$11,VLOOKUP($A183,'Pool &amp; SPA Pipe Extender'!$A$8:$M$10,10,FALSE),
IF($A183&lt;'PVC SCH80'!$A$250,VLOOKUP($A183,'PVC SCH80'!$A$8:$M$249,10,FALSE),
IF($A183&lt;'PVC SCH80 Flange'!$A$49,VLOOKUP($A183,'PVC SCH80 Flange'!$A$8:$M$48,10,FALSE),
IF($A183&lt;'PVC SCH80 LD Flange'!$A$17,VLOOKUP($A183,'PVC SCH80 LD Flange'!$A$8:$M$16,10,FALSE),
IF($A183&lt;CPVC!$A$100,VLOOKUP($A183,CPVC!$A$8:$M$99,10,FALSE),
IF($A183&lt;InsertFittings!$A$237,VLOOKUP($A183,InsertFittings!$A$11:$M$236,10,FALSE),
IF($A183&lt;Valves!$A$132,VLOOKUP($A183,Valves!$A$8:$M$131,10,FALSE),
IF($A183&lt;SDR35SW!$A$124,VLOOKUP($A183,SDR35SW!$A$8:$M$123,10,FALSE),
IF($A183&lt;SDR35G!$A$143,VLOOKUP($A183, SDR35G!$A$8:$M$142,10,FALSE),
IF($A183&lt;SDR26G!$A$61,VLOOKUP($A183,SDR26G!$A$8:$N$60,11,FALSE),
IF($A183&lt;Cements!$A$100,VLOOKUP($A183,Cements!$A$8:$Q$99,14,FALSE),
IF($A183&lt;ValveBox!$A$143,VLOOKUP($A183,ValveBox!$A$10:$O$142,12,FALSE),
IF($A183&lt;'ValveBox Components'!$A$165,VLOOKUP($A183,'ValveBox Components'!$A$10:$O$164,12,FALSE),
IF($A183&lt;Drainage!$A$92,VLOOKUP($A183,Drainage!$A$8:$M$91,10,FALSE),
IF($A183&lt;Nipples!$A$82,VLOOKUP($A183,Nipples!$A$9:$Q$81,14,FALSE),
IF($A183&lt;Manifold!$A$33,VLOOKUP($A183,Manifold!$A$9:$M$32,10,FALSE),
IF($A183&lt;FlexibleRepairCouplings!$A$13,VLOOKUP($A183,FlexibleRepairCouplings!$A$10:$M$12,10,FALSE),
IF($A183&lt;DuraFix!$A$15,VLOOKUP($A183,DuraFix!$A$9:$M$14,10,FALSE),
IF($A183&lt;'Compression Fittings'!$A$16,VLOOKUP($A183,'Compression Fittings'!$A$8:$M$15,10,FALSE),
IF($A183&lt;'Hose Fittings'!$A$30,VLOOKUP($A183,'Hose Fittings'!$A$8:$M$29,10,FALSE),
IF($A183&lt;'Swing Joints'!$A$496,VLOOKUP($A183,'Swing Joints'!$A$9:$M$495,10,FALSE),
IF($A183&lt;'Swing Joints Components'!$A$135,VLOOKUP($A183,'Swing Joints Components'!$A$9:$M$134,10,FALSE),
IF($A183&lt;Nonstandard!$A$42,VLOOKUP($A183,Nonstandard!$A$31:$J$41,10,FALSE),"")))))))))))))))))))))))))))),"")</f>
        <v/>
      </c>
      <c r="L183" s="418" t="str">
        <f t="shared" si="4"/>
        <v>-</v>
      </c>
      <c r="M183" s="419"/>
    </row>
    <row r="184" spans="1:13" ht="15.75">
      <c r="A184" s="420">
        <v>152</v>
      </c>
      <c r="B184" s="420" t="str">
        <f>IFERROR(IF($A184&lt;'DWV PVC'!$A$285,VLOOKUP($A184,'DWV PVC'!$A$8:$M$284,4,FALSE),
IF($A184&lt;'DWV ABS'!$A$117,VLOOKUP($A184,'DWV ABS'!$A$8:$M$116,4,FALSE),
IF($A184&lt;'PVC SCH40'!$A$376,VLOOKUP($A184,'PVC SCH40'!$A$8:$M$375,4,FALSE),
IF($A184&lt;'PVC SCH40 LD'!$A$22,VLOOKUP($A184,'PVC SCH40 LD'!$A$8:$M$21,4,FALSE),
IF($A184&lt;'Pool &amp; SPA Sweep Elbows'!$A$12,VLOOKUP($A184,'Pool &amp; SPA Sweep Elbows'!$A$8:$M$11,4,FALSE),
IF($A184&lt;'Pool &amp; SPA Pipe Extender'!$A$11,VLOOKUP($A184,'Pool &amp; SPA Pipe Extender'!$A$8:$M$10,4,FALSE),
IF($A184&lt;'PVC SCH80'!$A$250,VLOOKUP($A184,'PVC SCH80'!$A$8:$M$249,4,FALSE),
IF($A184&lt;'PVC SCH80 Flange'!$A$49,VLOOKUP($A184,'PVC SCH80 Flange'!$A$8:$M$48,4,FALSE),
IF($A184&lt;'PVC SCH80 LD Flange'!$A$17,VLOOKUP($A184,'PVC SCH80 LD Flange'!$A$8:$M$16,4,FALSE),
IF($A184&lt;CPVC!$A$100,VLOOKUP($A184,CPVC!$A$8:$M$99,4,FALSE),
IF($A184&lt;InsertFittings!$A$237,VLOOKUP($A184,InsertFittings!$A$11:$M$236,4,FALSE),
IF($A184&lt;Valves!$A$132,VLOOKUP($A184,Valves!$A$8:$M$131,4,FALSE),
IF($A184&lt;SDR35SW!$A$124,VLOOKUP($A184,SDR35SW!$A$8:$M$123,4,FALSE),
IF($A184&lt;SDR35G!$A$143,VLOOKUP($A184, SDR35G!$A$8:$M$142,4,FALSE),
IF($A184&lt;SDR26G!$A$61,VLOOKUP($A184,SDR26G!$A$8:$N$60,4,FALSE),
IF($A184&lt;Cements!$A$100,VLOOKUP($A184,Cements!$A$8:$Q$99,4,FALSE),
IF($A184&lt;ValveBox!$A$143,VLOOKUP($A184,ValveBox!$A$10:$O$142,4,FALSE),
IF($A184&lt;'ValveBox Components'!$A$165,VLOOKUP($A184,'ValveBox Components'!$A$10:$O$164,4,FALSE),
IF($A184&lt;Drainage!$A$92,VLOOKUP($A184,Drainage!$A$8:$M$91,4,FALSE),
IF($A184&lt;Nipples!$A$82,VLOOKUP($A184,Nipples!$A$9:$Q$81,4,FALSE),
IF($A184&lt;Manifold!$A$33,VLOOKUP($A184,Manifold!$A$9:$M$32,4,FALSE),
IF($A184&lt;FlexibleRepairCouplings!$A$13,VLOOKUP($A184,FlexibleRepairCouplings!$A$10:$M$12,4,FALSE),
IF($A184&lt;DuraFix!$A$15,VLOOKUP($A184,DuraFix!$A$9:$M$14,4,FALSE),
IF($A184&lt;'Compression Fittings'!$A$16,VLOOKUP($A184,'Compression Fittings'!$A$8:$M$15,4,FALSE),
IF($A184&lt;'Hose Fittings'!$A$30,VLOOKUP($A184,'Hose Fittings'!$A$8:$M$29,4,FALSE),
IF($A184&lt;'Swing Joints'!$A$496,VLOOKUP($A184,'Swing Joints'!$A$9:$M$495,4,FALSE),
IF($A184&lt;'Swing Joints Components'!$A$135,VLOOKUP($A184,'Swing Joints Components'!$A$9:$M$134,4,FALSE),
IF($A184&lt;Nonstandard!$A$42,VLOOKUP($A184,Nonstandard!$A$31:$J$41,5,FALSE),"")))))))))))))))))))))))))))),"")</f>
        <v/>
      </c>
      <c r="C184" s="420" t="str">
        <f>IFERROR(IF($A184&lt;'DWV PVC'!$A$285,VLOOKUP($A184,'DWV PVC'!$A$8:$M$284,5,FALSE),
IF($A184&lt;'DWV ABS'!$A$117,VLOOKUP($A184,'DWV ABS'!$A$8:$M$116,5,FALSE),
IF($A184&lt;'PVC SCH40'!$A$376,VLOOKUP($A184,'PVC SCH40'!$A$8:$M$375,5,FALSE),
IF($A184&lt;'PVC SCH40 LD'!$A$22,VLOOKUP($A184,'PVC SCH40 LD'!$A$8:$M$21,5,FALSE),
IF($A184&lt;'Pool &amp; SPA Sweep Elbows'!$A$12,VLOOKUP($A184,'Pool &amp; SPA Sweep Elbows'!$A$8:$M$11,5,FALSE),
IF($A184&lt;'Pool &amp; SPA Pipe Extender'!$A$11,VLOOKUP($A184,'Pool &amp; SPA Pipe Extender'!$A$8:$M$10,5,FALSE),
IF($A184&lt;'PVC SCH80'!$A$250,VLOOKUP($A184,'PVC SCH80'!$A$8:$M$249,5,FALSE),
IF($A184&lt;'PVC SCH80 Flange'!$A$49,VLOOKUP($A184,'PVC SCH80 Flange'!$A$8:$M$48,5,FALSE),
IF($A184&lt;'PVC SCH80 LD Flange'!$A$17,VLOOKUP($A184,'PVC SCH80 LD Flange'!$A$8:$M$16,5,FALSE),
IF($A184&lt;CPVC!$A$100,VLOOKUP($A184,CPVC!$A$8:$M$99,5,FALSE),
IF($A184&lt;InsertFittings!$A$237,VLOOKUP($A184,InsertFittings!$A$11:$M$236,5,FALSE),
IF($A184&lt;Valves!$A$132,VLOOKUP($A184,Valves!$A$8:$M$131,5,FALSE),
IF($A184&lt;SDR35SW!$A$124,VLOOKUP($A184,SDR35SW!$A$8:$M$123,5,FALSE),
IF($A184&lt;SDR35G!$A$143,VLOOKUP($A184, SDR35G!$A$8:$M$142,5,FALSE),
IF($A184&lt;SDR26G!$A$61,VLOOKUP($A184,SDR26G!$A$8:$N$60,5,FALSE),
IF($A184&lt;Cements!$A$100,VLOOKUP($A184,Cements!$A$8:$Q$99,5,FALSE),
IF($A184&lt;ValveBox!$A$143,VLOOKUP($A184,ValveBox!$A$10:$O$142,5,FALSE),
IF($A184&lt;'ValveBox Components'!$A$165,VLOOKUP($A184,'ValveBox Components'!$A$10:$O$164,5,FALSE),
IF($A184&lt;Drainage!$A$92,VLOOKUP($A184,Drainage!$A$8:$M$91,5,FALSE),
IF($A184&lt;Nipples!$A$82,VLOOKUP($A184,Nipples!$A$9:$Q$81,5,FALSE),
IF($A184&lt;Manifold!$A$33,VLOOKUP($A184,Manifold!$A$9:$M$32,5,FALSE),
IF($A184&lt;FlexibleRepairCouplings!$A$13,VLOOKUP($A184,FlexibleRepairCouplings!$A$10:$M$12,5,FALSE),
IF($A184&lt;DuraFix!$A$15,VLOOKUP($A184,DuraFix!$A$9:$M$14,5,FALSE),
IF($A184&lt;'Compression Fittings'!$A$16,VLOOKUP($A184,'Compression Fittings'!$A$8:$M$15,5,FALSE),
IF($A184&lt;'Hose Fittings'!$A$30,VLOOKUP($A184,'Hose Fittings'!$A$8:$M$29,5,FALSE),
IF($A184&lt;'Swing Joints'!$A$496,VLOOKUP($A184,'Swing Joints'!$A$9:$M$495,5,FALSE),
IF($A184&lt;'Swing Joints Components'!$A$135,VLOOKUP($A184,'Swing Joints Components'!$A$9:$M$134,5,FALSE),
IF($A184&lt;Nonstandard!$A$42,VLOOKUP($A184,Nonstandard!$A$31:$J$41,6,FALSE),"")))))))))))))))))))))))))))),"")</f>
        <v/>
      </c>
      <c r="D184" s="428" t="str">
        <f>IFERROR(IF($A184&lt;'DWV PVC'!$A$285,VLOOKUP($A184,'DWV PVC'!$A$8:$M$284,6,FALSE),
IF($A184&lt;'DWV ABS'!$A$117,VLOOKUP($A184,'DWV ABS'!$A$8:$M$116,6,FALSE),
IF($A184&lt;'PVC SCH40'!$A$376,VLOOKUP($A184,'PVC SCH40'!$A$8:$M$375,6,FALSE),
IF($A184&lt;'PVC SCH40 LD'!$A$22,VLOOKUP($A184,'PVC SCH40 LD'!$A$8:$M$21,6,FALSE),
IF($A184&lt;'Pool &amp; SPA Sweep Elbows'!$A$12,VLOOKUP($A184,'Pool &amp; SPA Sweep Elbows'!$A$8:$M$11,6,FALSE),
IF($A184&lt;'Pool &amp; SPA Pipe Extender'!$A$11,VLOOKUP($A184,'Pool &amp; SPA Pipe Extender'!$A$8:$M$10,6,FALSE),
IF($A184&lt;'PVC SCH80'!$A$250,VLOOKUP($A184,'PVC SCH80'!$A$8:$M$249,6,FALSE),
IF($A184&lt;'PVC SCH80 Flange'!$A$49,VLOOKUP($A184,'PVC SCH80 Flange'!$A$8:$M$48,6,FALSE),
IF($A184&lt;'PVC SCH80 LD Flange'!$A$17,VLOOKUP($A184,'PVC SCH80 LD Flange'!$A$8:$M$16,6,FALSE),
IF($A184&lt;CPVC!$A$100,VLOOKUP($A184,CPVC!$A$8:$M$99,6,FALSE),
IF($A184&lt;InsertFittings!$A$237,VLOOKUP($A184,InsertFittings!$A$11:$M$236,6,FALSE),
IF($A184&lt;Valves!$A$132,VLOOKUP($A184,Valves!$A$8:$M$131,6,FALSE),
IF($A184&lt;SDR35SW!$A$124,VLOOKUP($A184,SDR35SW!$A$8:$M$123,6,FALSE),
IF($A184&lt;SDR35G!$A$143,VLOOKUP($A184, SDR35G!$A$8:$M$142,6,FALSE),
IF($A184&lt;SDR26G!$A$61,VLOOKUP($A184,SDR26G!$A$8:$N$60,6,FALSE),
IF($A184&lt;Cements!$A$100,VLOOKUP($A184,Cements!$A$8:$Q$99,6,FALSE),
IF($A184&lt;ValveBox!$A$143,VLOOKUP($A184,ValveBox!$A$10:$O$142,6,FALSE),
IF($A184&lt;'ValveBox Components'!$A$165,VLOOKUP($A184,'ValveBox Components'!$A$10:$O$164,6,FALSE),
IF($A184&lt;Drainage!$A$92,VLOOKUP($A184,Drainage!$A$8:$M$91,6,FALSE),
IF($A184&lt;Nipples!$A$82,VLOOKUP($A184,Nipples!$A$9:$Q$81,6,FALSE),
IF($A184&lt;Manifold!$A$33,VLOOKUP($A184,Manifold!$A$9:$M$32,6,FALSE),
IF($A184&lt;FlexibleRepairCouplings!$A$13,VLOOKUP($A184,FlexibleRepairCouplings!$A$10:$M$12,6,FALSE),
IF($A184&lt;DuraFix!$A$15,VLOOKUP($A184,DuraFix!$A$9:$M$14,6,FALSE),
IF($A184&lt;'Compression Fittings'!$A$16,VLOOKUP($A184,'Compression Fittings'!$A$8:$M$15,6,FALSE),
IF($A184&lt;'Hose Fittings'!$A$30,VLOOKUP($A184,'Hose Fittings'!$A$8:$M$29,6,FALSE),
IF($A184&lt;'Swing Joints'!$A$496,VLOOKUP($A184,'Swing Joints'!$A$9:$M$495,6,FALSE),
IF($A184&lt;'Swing Joints Components'!$A$135,VLOOKUP($A184,'Swing Joints Components'!$A$9:$M$134,6,FALSE),
IF($A184&lt;Nonstandard!$A$42,VLOOKUP($A184,Nonstandard!$A$31:$J$41,7,FALSE),"")))))))))))))))))))))))))))),"")</f>
        <v/>
      </c>
      <c r="E184" s="429"/>
      <c r="F184" s="421" t="str">
        <f>IFERROR(IF($A184&lt;'DWV PVC'!$A$285,VLOOKUP($A184,'DWV PVC'!$A$8:$M$284,9,FALSE),
IF($A184&lt;'DWV ABS'!$A$117,VLOOKUP($A184,'DWV ABS'!$A$8:$M$116,9,FALSE),
IF($A184&lt;'PVC SCH40'!$A$376,VLOOKUP($A184,'PVC SCH40'!$A$8:$M$375,9,FALSE),
IF($A184&lt;'PVC SCH40 LD'!$A$22,VLOOKUP($A184,'PVC SCH40 LD'!$A$8:$M$21,9,FALSE),
IF($A184&lt;'Pool &amp; SPA Sweep Elbows'!$A$12,VLOOKUP($A184,'Pool &amp; SPA Sweep Elbows'!$A$8:$M$11,9,FALSE),
IF($A184&lt;'Pool &amp; SPA Pipe Extender'!$A$11,VLOOKUP($A184,'Pool &amp; SPA Pipe Extender'!$A$8:$M$10,9,FALSE),
IF($A184&lt;'PVC SCH80'!$A$250,VLOOKUP($A184,'PVC SCH80'!$A$8:$M$249,9,FALSE),
IF($A184&lt;'PVC SCH80 Flange'!$A$49,VLOOKUP($A184,'PVC SCH80 Flange'!$A$8:$M$48,9,FALSE),
IF($A184&lt;'PVC SCH80 LD Flange'!$A$17,VLOOKUP($A184,'PVC SCH80 LD Flange'!$A$8:$M$16,9,FALSE),
IF($A184&lt;CPVC!$A$100,VLOOKUP($A184,CPVC!$A$8:$M$99,9,FALSE),
IF($A184&lt;InsertFittings!$A$237,VLOOKUP($A184,InsertFittings!$A$11:$M$236,9,FALSE),
IF($A184&lt;Valves!$A$132,VLOOKUP($A184,Valves!$A$8:$M$131,9,FALSE),
IF($A184&lt;SDR35SW!$A$124,VLOOKUP($A184,SDR35SW!$A$8:$M$123,9,FALSE),
IF($A184&lt;SDR35G!$A$143,VLOOKUP($A184, SDR35G!$A$8:$M$142,9,FALSE),
IF($A184&lt;SDR26G!$A$61,VLOOKUP($A184,SDR26G!$A$8:$N$60,10,FALSE),
IF($A184&lt;Cements!$A$100,VLOOKUP($A184,Cements!$A$8:$Q$99,13,FALSE),
IF($A184&lt;ValveBox!$A$143,VLOOKUP($A184,ValveBox!$A$10:$O$142,11,FALSE),
IF($A184&lt;'ValveBox Components'!$A$165,VLOOKUP($A184,'ValveBox Components'!$A$10:$O$164,11,FALSE),
IF($A184&lt;Drainage!$A$92,VLOOKUP($A184,Drainage!$A$8:$M$91,9,FALSE),
IF($A184&lt;Nipples!$A$82,VLOOKUP($A184,Nipples!$A$9:$Q$81,13,FALSE),
IF($A184&lt;Manifold!$A$33,VLOOKUP($A184,Manifold!$A$9:$M$32,9,FALSE),
IF($A184&lt;FlexibleRepairCouplings!$A$13,VLOOKUP($A184,FlexibleRepairCouplings!$A$10:$M$12,9,FALSE),
IF($A184&lt;DuraFix!$A$15,VLOOKUP($A184,DuraFix!$A$9:$M$14,9,FALSE),
IF($A184&lt;'Compression Fittings'!$A$16,VLOOKUP($A184,'Compression Fittings'!$A$8:$M$15,9,FALSE),
IF($A184&lt;'Hose Fittings'!$A$30,VLOOKUP($A184,'Hose Fittings'!$A$8:$M$29,9,FALSE),
IF($A184&lt;'Swing Joints'!$A$496,VLOOKUP($A184,'Swing Joints'!$A$9:$M$495,9,FALSE),
IF($A184&lt;'Swing Joints Components'!$A$135,VLOOKUP($A184,'Swing Joints Components'!$A$9:$M$134,9,FALSE),
IF($A184&lt;Nonstandard!$A$42,VLOOKUP($A184,Nonstandard!$A$31:$J$41,8,FALSE),"")))))))))))))))))))))))))))),"")</f>
        <v/>
      </c>
      <c r="G184" s="422" t="str">
        <f>IFERROR(IF($A184&lt;'DWV PVC'!$A$285,VLOOKUP($A184,'DWV PVC'!$A$8:$M$284,11,FALSE),
IF($A184&lt;'DWV ABS'!$A$117,VLOOKUP($A184,'DWV ABS'!$A$8:$M$116,11,FALSE),
IF($A184&lt;'PVC SCH40'!$A$376,VLOOKUP($A184,'PVC SCH40'!$A$8:$M$375,11,FALSE),
IF($A184&lt;'PVC SCH40 LD'!$A$22,VLOOKUP($A184,'PVC SCH40 LD'!$A$8:$M$21,11,FALSE),
IF($A184&lt;'Pool &amp; SPA Sweep Elbows'!$A$12,VLOOKUP($A184,'Pool &amp; SPA Sweep Elbows'!$A$8:$M$11,11,FALSE),
IF($A184&lt;'Pool &amp; SPA Pipe Extender'!$A$11,VLOOKUP($A184,'Pool &amp; SPA Pipe Extender'!$A$8:$M$10,11,FALSE),
IF($A184&lt;'PVC SCH80'!$A$250,VLOOKUP($A184,'PVC SCH80'!$A$8:$M$249,11,FALSE),
IF($A184&lt;'PVC SCH80 Flange'!$A$49,VLOOKUP($A184,'PVC SCH80 Flange'!$A$8:$M$48,11,FALSE),
IF($A184&lt;'PVC SCH80 LD Flange'!$A$17,VLOOKUP($A184,'PVC SCH80 LD Flange'!$A$8:$M$16,11,FALSE),
IF($A184&lt;CPVC!$A$100,VLOOKUP($A184,CPVC!$A$8:$M$99,11,FALSE),
IF($A184&lt;InsertFittings!$A$237,VLOOKUP($A184,InsertFittings!$A$11:$M$236,11,FALSE),
IF($A184&lt;Valves!$A$132,VLOOKUP($A184,Valves!$A$8:$M$131,11,FALSE),
IF($A184&lt;SDR35SW!$A$124,VLOOKUP($A184,SDR35SW!$A$8:$M$123,11,FALSE),
IF($A184&lt;SDR35G!$A$143,VLOOKUP($A184, SDR35G!$A$8:$M$142,11,FALSE),
IF($A184&lt;SDR26G!$A$61,VLOOKUP($A184,SDR26G!$A$8:$N$60,12,FALSE),
IF($A184&lt;Cements!$A$100,VLOOKUP($A184,Cements!$A$8:$Q$99,15,FALSE),
IF($A184&lt;ValveBox!$A$143,VLOOKUP($A184,ValveBox!$A$10:$O$142,13,FALSE),
IF($A184&lt;'ValveBox Components'!$A$165,VLOOKUP($A184,'ValveBox Components'!$A$10:$O$164,13,FALSE),
IF($A184&lt;Drainage!$A$92,VLOOKUP($A184,Drainage!$A$8:$M$91,11,FALSE),
IF($A184&lt;Nipples!$A$82,VLOOKUP($A184,Nipples!$A$9:$Q$81,15,FALSE),
IF($A184&lt;Manifold!$A$33,VLOOKUP($A184,Manifold!$A$9:$M$32,11,FALSE),
IF($A184&lt;FlexibleRepairCouplings!$A$13,VLOOKUP($A184,FlexibleRepairCouplings!$A$10:$M$12,11,FALSE),
IF($A184&lt;DuraFix!$A$15,VLOOKUP($A184,DuraFix!$A$9:$M$14,11,FALSE),
IF($A184&lt;'Compression Fittings'!$A$16,VLOOKUP($A184,'Compression Fittings'!$A$8:$M$15,11,FALSE),
IF($A184&lt;'Hose Fittings'!$A$30,VLOOKUP($A184,'Hose Fittings'!$A$8:$M$29,11,FALSE),
IF($A184&lt;'Swing Joints'!$A$496,VLOOKUP($A184,'Swing Joints'!$A$9:$M$495,11,FALSE),
IF($A184&lt;'Swing Joints Components'!$A$135,VLOOKUP($A184,'Swing Joints Components'!$A$9:$M$134,11,FALSE),
IF($A184&lt;Nonstandard!$A$42,VLOOKUP($A184,Nonstandard!$A$31:$J$41,3,FALSE),"")))))))))))))))))))))))))))),"")</f>
        <v/>
      </c>
      <c r="H184" s="588" t="str">
        <f>IFERROR(IF($A184&lt;'DWV PVC'!$A$285,VLOOKUP($A184,'DWV PVC'!$A$8:$M$284,7,FALSE),
IF($A184&lt;'DWV ABS'!$A$117,VLOOKUP($A184,'DWV ABS'!$A$8:$M$116,7,FALSE),
IF($A184&lt;'PVC SCH40'!$A$376,VLOOKUP($A184,'PVC SCH40'!$A$8:$M$375,7,FALSE),
IF($A184&lt;'PVC SCH40 LD'!$A$22,VLOOKUP($A184,'PVC SCH40 LD'!$A$8:$M$21,7,FALSE),
IF($A184&lt;'Pool &amp; SPA Sweep Elbows'!$A$12,VLOOKUP($A184,'Pool &amp; SPA Sweep Elbows'!$A$8:$M$11,7,FALSE),
IF($A184&lt;'Pool &amp; SPA Pipe Extender'!$A$11,VLOOKUP($A184,'Pool &amp; SPA Pipe Extender'!$A$8:$M$10,7,FALSE),
IF($A184&lt;'PVC SCH80'!$A$250,VLOOKUP($A184,'PVC SCH80'!$A$8:$M$249,7,FALSE),
IF($A184&lt;'PVC SCH80 Flange'!$A$49,VLOOKUP($A184,'PVC SCH80 Flange'!$A$8:$M$48,7,FALSE),
IF($A184&lt;'PVC SCH80 LD Flange'!$A$17,VLOOKUP($A184,'PVC SCH80 LD Flange'!$A$8:$M$16,7,FALSE),
IF($A184&lt;CPVC!$A$100,VLOOKUP($A184,CPVC!$A$8:$M$99,7,FALSE),
IF($A184&lt;InsertFittings!$A$237,VLOOKUP($A184,InsertFittings!$A$11:$M$236,7,FALSE),
IF($A184&lt;Valves!$A$132,VLOOKUP($A184,Valves!$A$8:$M$131,7,FALSE),
IF($A184&lt;SDR35SW!$A$124,VLOOKUP($A184,SDR35SW!$A$8:$M$123,7,FALSE),
IF($A184&lt;SDR35G!$A$143,VLOOKUP($A184, SDR35G!$A$8:$M$142,7,FALSE),
IF($A184&lt;SDR26G!$A$61,VLOOKUP($A184,SDR26G!$A$8:$N$60,10,FALSE),
IF($A184&lt;Cements!$A$100,VLOOKUP($A184,Cements!$A$8:$Q$99,13,FALSE),
IF($A184&lt;ValveBox!$A$143,VLOOKUP($A184,ValveBox!$A$10:$O$142,11,FALSE),
IF($A184&lt;'ValveBox Components'!$A$165,VLOOKUP($A184,'ValveBox Components'!$A$10:$O$164,11,FALSE),
IF($A184&lt;Drainage!$A$92,VLOOKUP($A184,Drainage!$A$8:$M$91,7,FALSE),
IF($A184&lt;Nipples!$A$82,VLOOKUP($A184,Nipples!$A$9:$Q$81,13,FALSE),
IF($A184&lt;Manifold!$A$33,VLOOKUP($A184,Manifold!$A$9:$M$32,7,FALSE),
IF($A184&lt;FlexibleRepairCouplings!$A$13,VLOOKUP($A184,FlexibleRepairCouplings!$A$10:$M$12,7,FALSE),
IF($A184&lt;DuraFix!$A$15,VLOOKUP($A184,DuraFix!$A$9:$M$14,7,FALSE),
IF($A184&lt;'Compression Fittings'!$A$16,VLOOKUP($A184,'Compression Fittings'!$A$8:$M$15,7,FALSE),
IF($A184&lt;'Hose Fittings'!$A$30,VLOOKUP($A184,'Hose Fittings'!$A$8:$M$29,7,FALSE),
IF($A184&lt;'Swing Joints'!$A$496,VLOOKUP($A184,'Swing Joints'!$A$9:$M$495,7,FALSE),
IF($A184&lt;'Swing Joints Components'!$A$135,VLOOKUP($A184,'Swing Joints Components'!$A$9:$M$134,7,FALSE),
IF($A184&lt;Nonstandard!$A$42,VLOOKUP($A184,Nonstandard!$A$31:$J$41,3,FALSE),"")))))))))))))))))))))))))))),"")</f>
        <v/>
      </c>
      <c r="I184" s="589"/>
      <c r="J184" s="423" t="str">
        <f t="shared" si="5"/>
        <v/>
      </c>
      <c r="K184" s="424" t="str">
        <f>IFERROR(IF($A184&lt;'DWV PVC'!$A$285,VLOOKUP($A184,'DWV PVC'!$A$8:$M$284,10,FALSE),
IF($A184&lt;'DWV ABS'!$A$117,VLOOKUP($A184,'DWV ABS'!$A$8:$M$116,10,FALSE),
IF($A184&lt;'PVC SCH40'!$A$376,VLOOKUP($A184,'PVC SCH40'!$A$8:$M$375,10,FALSE),
IF($A184&lt;'PVC SCH40 LD'!$A$22,VLOOKUP($A184,'PVC SCH40 LD'!$A$8:$M$21,10,FALSE),
IF($A184&lt;'Pool &amp; SPA Sweep Elbows'!$A$12,VLOOKUP($A184,'Pool &amp; SPA Sweep Elbows'!$A$8:$M$11,10,FALSE),
IF($A184&lt;'Pool &amp; SPA Pipe Extender'!$A$11,VLOOKUP($A184,'Pool &amp; SPA Pipe Extender'!$A$8:$M$10,10,FALSE),
IF($A184&lt;'PVC SCH80'!$A$250,VLOOKUP($A184,'PVC SCH80'!$A$8:$M$249,10,FALSE),
IF($A184&lt;'PVC SCH80 Flange'!$A$49,VLOOKUP($A184,'PVC SCH80 Flange'!$A$8:$M$48,10,FALSE),
IF($A184&lt;'PVC SCH80 LD Flange'!$A$17,VLOOKUP($A184,'PVC SCH80 LD Flange'!$A$8:$M$16,10,FALSE),
IF($A184&lt;CPVC!$A$100,VLOOKUP($A184,CPVC!$A$8:$M$99,10,FALSE),
IF($A184&lt;InsertFittings!$A$237,VLOOKUP($A184,InsertFittings!$A$11:$M$236,10,FALSE),
IF($A184&lt;Valves!$A$132,VLOOKUP($A184,Valves!$A$8:$M$131,10,FALSE),
IF($A184&lt;SDR35SW!$A$124,VLOOKUP($A184,SDR35SW!$A$8:$M$123,10,FALSE),
IF($A184&lt;SDR35G!$A$143,VLOOKUP($A184, SDR35G!$A$8:$M$142,10,FALSE),
IF($A184&lt;SDR26G!$A$61,VLOOKUP($A184,SDR26G!$A$8:$N$60,11,FALSE),
IF($A184&lt;Cements!$A$100,VLOOKUP($A184,Cements!$A$8:$Q$99,14,FALSE),
IF($A184&lt;ValveBox!$A$143,VLOOKUP($A184,ValveBox!$A$10:$O$142,12,FALSE),
IF($A184&lt;'ValveBox Components'!$A$165,VLOOKUP($A184,'ValveBox Components'!$A$10:$O$164,12,FALSE),
IF($A184&lt;Drainage!$A$92,VLOOKUP($A184,Drainage!$A$8:$M$91,10,FALSE),
IF($A184&lt;Nipples!$A$82,VLOOKUP($A184,Nipples!$A$9:$Q$81,14,FALSE),
IF($A184&lt;Manifold!$A$33,VLOOKUP($A184,Manifold!$A$9:$M$32,10,FALSE),
IF($A184&lt;FlexibleRepairCouplings!$A$13,VLOOKUP($A184,FlexibleRepairCouplings!$A$10:$M$12,10,FALSE),
IF($A184&lt;DuraFix!$A$15,VLOOKUP($A184,DuraFix!$A$9:$M$14,10,FALSE),
IF($A184&lt;'Compression Fittings'!$A$16,VLOOKUP($A184,'Compression Fittings'!$A$8:$M$15,10,FALSE),
IF($A184&lt;'Hose Fittings'!$A$30,VLOOKUP($A184,'Hose Fittings'!$A$8:$M$29,10,FALSE),
IF($A184&lt;'Swing Joints'!$A$496,VLOOKUP($A184,'Swing Joints'!$A$9:$M$495,10,FALSE),
IF($A184&lt;'Swing Joints Components'!$A$135,VLOOKUP($A184,'Swing Joints Components'!$A$9:$M$134,10,FALSE),
IF($A184&lt;Nonstandard!$A$42,VLOOKUP($A184,Nonstandard!$A$31:$J$41,10,FALSE),"")))))))))))))))))))))))))))),"")</f>
        <v/>
      </c>
      <c r="L184" s="421" t="str">
        <f t="shared" si="4"/>
        <v>-</v>
      </c>
      <c r="M184" s="425"/>
    </row>
    <row r="185" spans="1:13" ht="15.75">
      <c r="A185" s="415">
        <v>153</v>
      </c>
      <c r="B185" s="415" t="str">
        <f>IFERROR(IF($A185&lt;'DWV PVC'!$A$285,VLOOKUP($A185,'DWV PVC'!$A$8:$M$284,4,FALSE),
IF($A185&lt;'DWV ABS'!$A$117,VLOOKUP($A185,'DWV ABS'!$A$8:$M$116,4,FALSE),
IF($A185&lt;'PVC SCH40'!$A$376,VLOOKUP($A185,'PVC SCH40'!$A$8:$M$375,4,FALSE),
IF($A185&lt;'PVC SCH40 LD'!$A$22,VLOOKUP($A185,'PVC SCH40 LD'!$A$8:$M$21,4,FALSE),
IF($A185&lt;'Pool &amp; SPA Sweep Elbows'!$A$12,VLOOKUP($A185,'Pool &amp; SPA Sweep Elbows'!$A$8:$M$11,4,FALSE),
IF($A185&lt;'Pool &amp; SPA Pipe Extender'!$A$11,VLOOKUP($A185,'Pool &amp; SPA Pipe Extender'!$A$8:$M$10,4,FALSE),
IF($A185&lt;'PVC SCH80'!$A$250,VLOOKUP($A185,'PVC SCH80'!$A$8:$M$249,4,FALSE),
IF($A185&lt;'PVC SCH80 Flange'!$A$49,VLOOKUP($A185,'PVC SCH80 Flange'!$A$8:$M$48,4,FALSE),
IF($A185&lt;'PVC SCH80 LD Flange'!$A$17,VLOOKUP($A185,'PVC SCH80 LD Flange'!$A$8:$M$16,4,FALSE),
IF($A185&lt;CPVC!$A$100,VLOOKUP($A185,CPVC!$A$8:$M$99,4,FALSE),
IF($A185&lt;InsertFittings!$A$237,VLOOKUP($A185,InsertFittings!$A$11:$M$236,4,FALSE),
IF($A185&lt;Valves!$A$132,VLOOKUP($A185,Valves!$A$8:$M$131,4,FALSE),
IF($A185&lt;SDR35SW!$A$124,VLOOKUP($A185,SDR35SW!$A$8:$M$123,4,FALSE),
IF($A185&lt;SDR35G!$A$143,VLOOKUP($A185, SDR35G!$A$8:$M$142,4,FALSE),
IF($A185&lt;SDR26G!$A$61,VLOOKUP($A185,SDR26G!$A$8:$N$60,4,FALSE),
IF($A185&lt;Cements!$A$100,VLOOKUP($A185,Cements!$A$8:$Q$99,4,FALSE),
IF($A185&lt;ValveBox!$A$143,VLOOKUP($A185,ValveBox!$A$10:$O$142,4,FALSE),
IF($A185&lt;'ValveBox Components'!$A$165,VLOOKUP($A185,'ValveBox Components'!$A$10:$O$164,4,FALSE),
IF($A185&lt;Drainage!$A$92,VLOOKUP($A185,Drainage!$A$8:$M$91,4,FALSE),
IF($A185&lt;Nipples!$A$82,VLOOKUP($A185,Nipples!$A$9:$Q$81,4,FALSE),
IF($A185&lt;Manifold!$A$33,VLOOKUP($A185,Manifold!$A$9:$M$32,4,FALSE),
IF($A185&lt;FlexibleRepairCouplings!$A$13,VLOOKUP($A185,FlexibleRepairCouplings!$A$10:$M$12,4,FALSE),
IF($A185&lt;DuraFix!$A$15,VLOOKUP($A185,DuraFix!$A$9:$M$14,4,FALSE),
IF($A185&lt;'Compression Fittings'!$A$16,VLOOKUP($A185,'Compression Fittings'!$A$8:$M$15,4,FALSE),
IF($A185&lt;'Hose Fittings'!$A$30,VLOOKUP($A185,'Hose Fittings'!$A$8:$M$29,4,FALSE),
IF($A185&lt;'Swing Joints'!$A$496,VLOOKUP($A185,'Swing Joints'!$A$9:$M$495,4,FALSE),
IF($A185&lt;'Swing Joints Components'!$A$135,VLOOKUP($A185,'Swing Joints Components'!$A$9:$M$134,4,FALSE),
IF($A185&lt;Nonstandard!$A$42,VLOOKUP($A185,Nonstandard!$A$31:$J$41,5,FALSE),"")))))))))))))))))))))))))))),"")</f>
        <v/>
      </c>
      <c r="C185" s="415" t="str">
        <f>IFERROR(IF($A185&lt;'DWV PVC'!$A$285,VLOOKUP($A185,'DWV PVC'!$A$8:$M$284,5,FALSE),
IF($A185&lt;'DWV ABS'!$A$117,VLOOKUP($A185,'DWV ABS'!$A$8:$M$116,5,FALSE),
IF($A185&lt;'PVC SCH40'!$A$376,VLOOKUP($A185,'PVC SCH40'!$A$8:$M$375,5,FALSE),
IF($A185&lt;'PVC SCH40 LD'!$A$22,VLOOKUP($A185,'PVC SCH40 LD'!$A$8:$M$21,5,FALSE),
IF($A185&lt;'Pool &amp; SPA Sweep Elbows'!$A$12,VLOOKUP($A185,'Pool &amp; SPA Sweep Elbows'!$A$8:$M$11,5,FALSE),
IF($A185&lt;'Pool &amp; SPA Pipe Extender'!$A$11,VLOOKUP($A185,'Pool &amp; SPA Pipe Extender'!$A$8:$M$10,5,FALSE),
IF($A185&lt;'PVC SCH80'!$A$250,VLOOKUP($A185,'PVC SCH80'!$A$8:$M$249,5,FALSE),
IF($A185&lt;'PVC SCH80 Flange'!$A$49,VLOOKUP($A185,'PVC SCH80 Flange'!$A$8:$M$48,5,FALSE),
IF($A185&lt;'PVC SCH80 LD Flange'!$A$17,VLOOKUP($A185,'PVC SCH80 LD Flange'!$A$8:$M$16,5,FALSE),
IF($A185&lt;CPVC!$A$100,VLOOKUP($A185,CPVC!$A$8:$M$99,5,FALSE),
IF($A185&lt;InsertFittings!$A$237,VLOOKUP($A185,InsertFittings!$A$11:$M$236,5,FALSE),
IF($A185&lt;Valves!$A$132,VLOOKUP($A185,Valves!$A$8:$M$131,5,FALSE),
IF($A185&lt;SDR35SW!$A$124,VLOOKUP($A185,SDR35SW!$A$8:$M$123,5,FALSE),
IF($A185&lt;SDR35G!$A$143,VLOOKUP($A185, SDR35G!$A$8:$M$142,5,FALSE),
IF($A185&lt;SDR26G!$A$61,VLOOKUP($A185,SDR26G!$A$8:$N$60,5,FALSE),
IF($A185&lt;Cements!$A$100,VLOOKUP($A185,Cements!$A$8:$Q$99,5,FALSE),
IF($A185&lt;ValveBox!$A$143,VLOOKUP($A185,ValveBox!$A$10:$O$142,5,FALSE),
IF($A185&lt;'ValveBox Components'!$A$165,VLOOKUP($A185,'ValveBox Components'!$A$10:$O$164,5,FALSE),
IF($A185&lt;Drainage!$A$92,VLOOKUP($A185,Drainage!$A$8:$M$91,5,FALSE),
IF($A185&lt;Nipples!$A$82,VLOOKUP($A185,Nipples!$A$9:$Q$81,5,FALSE),
IF($A185&lt;Manifold!$A$33,VLOOKUP($A185,Manifold!$A$9:$M$32,5,FALSE),
IF($A185&lt;FlexibleRepairCouplings!$A$13,VLOOKUP($A185,FlexibleRepairCouplings!$A$10:$M$12,5,FALSE),
IF($A185&lt;DuraFix!$A$15,VLOOKUP($A185,DuraFix!$A$9:$M$14,5,FALSE),
IF($A185&lt;'Compression Fittings'!$A$16,VLOOKUP($A185,'Compression Fittings'!$A$8:$M$15,5,FALSE),
IF($A185&lt;'Hose Fittings'!$A$30,VLOOKUP($A185,'Hose Fittings'!$A$8:$M$29,5,FALSE),
IF($A185&lt;'Swing Joints'!$A$496,VLOOKUP($A185,'Swing Joints'!$A$9:$M$495,5,FALSE),
IF($A185&lt;'Swing Joints Components'!$A$135,VLOOKUP($A185,'Swing Joints Components'!$A$9:$M$134,5,FALSE),
IF($A185&lt;Nonstandard!$A$42,VLOOKUP($A185,Nonstandard!$A$31:$J$41,6,FALSE),"")))))))))))))))))))))))))))),"")</f>
        <v/>
      </c>
      <c r="D185" s="426" t="str">
        <f>IFERROR(IF($A185&lt;'DWV PVC'!$A$285,VLOOKUP($A185,'DWV PVC'!$A$8:$M$284,6,FALSE),
IF($A185&lt;'DWV ABS'!$A$117,VLOOKUP($A185,'DWV ABS'!$A$8:$M$116,6,FALSE),
IF($A185&lt;'PVC SCH40'!$A$376,VLOOKUP($A185,'PVC SCH40'!$A$8:$M$375,6,FALSE),
IF($A185&lt;'PVC SCH40 LD'!$A$22,VLOOKUP($A185,'PVC SCH40 LD'!$A$8:$M$21,6,FALSE),
IF($A185&lt;'Pool &amp; SPA Sweep Elbows'!$A$12,VLOOKUP($A185,'Pool &amp; SPA Sweep Elbows'!$A$8:$M$11,6,FALSE),
IF($A185&lt;'Pool &amp; SPA Pipe Extender'!$A$11,VLOOKUP($A185,'Pool &amp; SPA Pipe Extender'!$A$8:$M$10,6,FALSE),
IF($A185&lt;'PVC SCH80'!$A$250,VLOOKUP($A185,'PVC SCH80'!$A$8:$M$249,6,FALSE),
IF($A185&lt;'PVC SCH80 Flange'!$A$49,VLOOKUP($A185,'PVC SCH80 Flange'!$A$8:$M$48,6,FALSE),
IF($A185&lt;'PVC SCH80 LD Flange'!$A$17,VLOOKUP($A185,'PVC SCH80 LD Flange'!$A$8:$M$16,6,FALSE),
IF($A185&lt;CPVC!$A$100,VLOOKUP($A185,CPVC!$A$8:$M$99,6,FALSE),
IF($A185&lt;InsertFittings!$A$237,VLOOKUP($A185,InsertFittings!$A$11:$M$236,6,FALSE),
IF($A185&lt;Valves!$A$132,VLOOKUP($A185,Valves!$A$8:$M$131,6,FALSE),
IF($A185&lt;SDR35SW!$A$124,VLOOKUP($A185,SDR35SW!$A$8:$M$123,6,FALSE),
IF($A185&lt;SDR35G!$A$143,VLOOKUP($A185, SDR35G!$A$8:$M$142,6,FALSE),
IF($A185&lt;SDR26G!$A$61,VLOOKUP($A185,SDR26G!$A$8:$N$60,6,FALSE),
IF($A185&lt;Cements!$A$100,VLOOKUP($A185,Cements!$A$8:$Q$99,6,FALSE),
IF($A185&lt;ValveBox!$A$143,VLOOKUP($A185,ValveBox!$A$10:$O$142,6,FALSE),
IF($A185&lt;'ValveBox Components'!$A$165,VLOOKUP($A185,'ValveBox Components'!$A$10:$O$164,6,FALSE),
IF($A185&lt;Drainage!$A$92,VLOOKUP($A185,Drainage!$A$8:$M$91,6,FALSE),
IF($A185&lt;Nipples!$A$82,VLOOKUP($A185,Nipples!$A$9:$Q$81,6,FALSE),
IF($A185&lt;Manifold!$A$33,VLOOKUP($A185,Manifold!$A$9:$M$32,6,FALSE),
IF($A185&lt;FlexibleRepairCouplings!$A$13,VLOOKUP($A185,FlexibleRepairCouplings!$A$10:$M$12,6,FALSE),
IF($A185&lt;DuraFix!$A$15,VLOOKUP($A185,DuraFix!$A$9:$M$14,6,FALSE),
IF($A185&lt;'Compression Fittings'!$A$16,VLOOKUP($A185,'Compression Fittings'!$A$8:$M$15,6,FALSE),
IF($A185&lt;'Hose Fittings'!$A$30,VLOOKUP($A185,'Hose Fittings'!$A$8:$M$29,6,FALSE),
IF($A185&lt;'Swing Joints'!$A$496,VLOOKUP($A185,'Swing Joints'!$A$9:$M$495,6,FALSE),
IF($A185&lt;'Swing Joints Components'!$A$135,VLOOKUP($A185,'Swing Joints Components'!$A$9:$M$134,6,FALSE),
IF($A185&lt;Nonstandard!$A$42,VLOOKUP($A185,Nonstandard!$A$31:$J$41,7,FALSE),"")))))))))))))))))))))))))))),"")</f>
        <v/>
      </c>
      <c r="E185" s="427"/>
      <c r="F185" s="418" t="str">
        <f>IFERROR(IF($A185&lt;'DWV PVC'!$A$285,VLOOKUP($A185,'DWV PVC'!$A$8:$M$284,9,FALSE),
IF($A185&lt;'DWV ABS'!$A$117,VLOOKUP($A185,'DWV ABS'!$A$8:$M$116,9,FALSE),
IF($A185&lt;'PVC SCH40'!$A$376,VLOOKUP($A185,'PVC SCH40'!$A$8:$M$375,9,FALSE),
IF($A185&lt;'PVC SCH40 LD'!$A$22,VLOOKUP($A185,'PVC SCH40 LD'!$A$8:$M$21,9,FALSE),
IF($A185&lt;'Pool &amp; SPA Sweep Elbows'!$A$12,VLOOKUP($A185,'Pool &amp; SPA Sweep Elbows'!$A$8:$M$11,9,FALSE),
IF($A185&lt;'Pool &amp; SPA Pipe Extender'!$A$11,VLOOKUP($A185,'Pool &amp; SPA Pipe Extender'!$A$8:$M$10,9,FALSE),
IF($A185&lt;'PVC SCH80'!$A$250,VLOOKUP($A185,'PVC SCH80'!$A$8:$M$249,9,FALSE),
IF($A185&lt;'PVC SCH80 Flange'!$A$49,VLOOKUP($A185,'PVC SCH80 Flange'!$A$8:$M$48,9,FALSE),
IF($A185&lt;'PVC SCH80 LD Flange'!$A$17,VLOOKUP($A185,'PVC SCH80 LD Flange'!$A$8:$M$16,9,FALSE),
IF($A185&lt;CPVC!$A$100,VLOOKUP($A185,CPVC!$A$8:$M$99,9,FALSE),
IF($A185&lt;InsertFittings!$A$237,VLOOKUP($A185,InsertFittings!$A$11:$M$236,9,FALSE),
IF($A185&lt;Valves!$A$132,VLOOKUP($A185,Valves!$A$8:$M$131,9,FALSE),
IF($A185&lt;SDR35SW!$A$124,VLOOKUP($A185,SDR35SW!$A$8:$M$123,9,FALSE),
IF($A185&lt;SDR35G!$A$143,VLOOKUP($A185, SDR35G!$A$8:$M$142,9,FALSE),
IF($A185&lt;SDR26G!$A$61,VLOOKUP($A185,SDR26G!$A$8:$N$60,10,FALSE),
IF($A185&lt;Cements!$A$100,VLOOKUP($A185,Cements!$A$8:$Q$99,13,FALSE),
IF($A185&lt;ValveBox!$A$143,VLOOKUP($A185,ValveBox!$A$10:$O$142,11,FALSE),
IF($A185&lt;'ValveBox Components'!$A$165,VLOOKUP($A185,'ValveBox Components'!$A$10:$O$164,11,FALSE),
IF($A185&lt;Drainage!$A$92,VLOOKUP($A185,Drainage!$A$8:$M$91,9,FALSE),
IF($A185&lt;Nipples!$A$82,VLOOKUP($A185,Nipples!$A$9:$Q$81,13,FALSE),
IF($A185&lt;Manifold!$A$33,VLOOKUP($A185,Manifold!$A$9:$M$32,9,FALSE),
IF($A185&lt;FlexibleRepairCouplings!$A$13,VLOOKUP($A185,FlexibleRepairCouplings!$A$10:$M$12,9,FALSE),
IF($A185&lt;DuraFix!$A$15,VLOOKUP($A185,DuraFix!$A$9:$M$14,9,FALSE),
IF($A185&lt;'Compression Fittings'!$A$16,VLOOKUP($A185,'Compression Fittings'!$A$8:$M$15,9,FALSE),
IF($A185&lt;'Hose Fittings'!$A$30,VLOOKUP($A185,'Hose Fittings'!$A$8:$M$29,9,FALSE),
IF($A185&lt;'Swing Joints'!$A$496,VLOOKUP($A185,'Swing Joints'!$A$9:$M$495,9,FALSE),
IF($A185&lt;'Swing Joints Components'!$A$135,VLOOKUP($A185,'Swing Joints Components'!$A$9:$M$134,9,FALSE),
IF($A185&lt;Nonstandard!$A$42,VLOOKUP($A185,Nonstandard!$A$31:$J$41,8,FALSE),"")))))))))))))))))))))))))))),"")</f>
        <v/>
      </c>
      <c r="G185" s="416" t="str">
        <f>IFERROR(IF($A185&lt;'DWV PVC'!$A$285,VLOOKUP($A185,'DWV PVC'!$A$8:$M$284,11,FALSE),
IF($A185&lt;'DWV ABS'!$A$117,VLOOKUP($A185,'DWV ABS'!$A$8:$M$116,11,FALSE),
IF($A185&lt;'PVC SCH40'!$A$376,VLOOKUP($A185,'PVC SCH40'!$A$8:$M$375,11,FALSE),
IF($A185&lt;'PVC SCH40 LD'!$A$22,VLOOKUP($A185,'PVC SCH40 LD'!$A$8:$M$21,11,FALSE),
IF($A185&lt;'Pool &amp; SPA Sweep Elbows'!$A$12,VLOOKUP($A185,'Pool &amp; SPA Sweep Elbows'!$A$8:$M$11,11,FALSE),
IF($A185&lt;'Pool &amp; SPA Pipe Extender'!$A$11,VLOOKUP($A185,'Pool &amp; SPA Pipe Extender'!$A$8:$M$10,11,FALSE),
IF($A185&lt;'PVC SCH80'!$A$250,VLOOKUP($A185,'PVC SCH80'!$A$8:$M$249,11,FALSE),
IF($A185&lt;'PVC SCH80 Flange'!$A$49,VLOOKUP($A185,'PVC SCH80 Flange'!$A$8:$M$48,11,FALSE),
IF($A185&lt;'PVC SCH80 LD Flange'!$A$17,VLOOKUP($A185,'PVC SCH80 LD Flange'!$A$8:$M$16,11,FALSE),
IF($A185&lt;CPVC!$A$100,VLOOKUP($A185,CPVC!$A$8:$M$99,11,FALSE),
IF($A185&lt;InsertFittings!$A$237,VLOOKUP($A185,InsertFittings!$A$11:$M$236,11,FALSE),
IF($A185&lt;Valves!$A$132,VLOOKUP($A185,Valves!$A$8:$M$131,11,FALSE),
IF($A185&lt;SDR35SW!$A$124,VLOOKUP($A185,SDR35SW!$A$8:$M$123,11,FALSE),
IF($A185&lt;SDR35G!$A$143,VLOOKUP($A185, SDR35G!$A$8:$M$142,11,FALSE),
IF($A185&lt;SDR26G!$A$61,VLOOKUP($A185,SDR26G!$A$8:$N$60,12,FALSE),
IF($A185&lt;Cements!$A$100,VLOOKUP($A185,Cements!$A$8:$Q$99,15,FALSE),
IF($A185&lt;ValveBox!$A$143,VLOOKUP($A185,ValveBox!$A$10:$O$142,13,FALSE),
IF($A185&lt;'ValveBox Components'!$A$165,VLOOKUP($A185,'ValveBox Components'!$A$10:$O$164,13,FALSE),
IF($A185&lt;Drainage!$A$92,VLOOKUP($A185,Drainage!$A$8:$M$91,11,FALSE),
IF($A185&lt;Nipples!$A$82,VLOOKUP($A185,Nipples!$A$9:$Q$81,15,FALSE),
IF($A185&lt;Manifold!$A$33,VLOOKUP($A185,Manifold!$A$9:$M$32,11,FALSE),
IF($A185&lt;FlexibleRepairCouplings!$A$13,VLOOKUP($A185,FlexibleRepairCouplings!$A$10:$M$12,11,FALSE),
IF($A185&lt;DuraFix!$A$15,VLOOKUP($A185,DuraFix!$A$9:$M$14,11,FALSE),
IF($A185&lt;'Compression Fittings'!$A$16,VLOOKUP($A185,'Compression Fittings'!$A$8:$M$15,11,FALSE),
IF($A185&lt;'Hose Fittings'!$A$30,VLOOKUP($A185,'Hose Fittings'!$A$8:$M$29,11,FALSE),
IF($A185&lt;'Swing Joints'!$A$496,VLOOKUP($A185,'Swing Joints'!$A$9:$M$495,11,FALSE),
IF($A185&lt;'Swing Joints Components'!$A$135,VLOOKUP($A185,'Swing Joints Components'!$A$9:$M$134,11,FALSE),
IF($A185&lt;Nonstandard!$A$42,VLOOKUP($A185,Nonstandard!$A$31:$J$41,3,FALSE),"")))))))))))))))))))))))))))),"")</f>
        <v/>
      </c>
      <c r="H185" s="586" t="str">
        <f>IFERROR(IF($A185&lt;'DWV PVC'!$A$285,VLOOKUP($A185,'DWV PVC'!$A$8:$M$284,7,FALSE),
IF($A185&lt;'DWV ABS'!$A$117,VLOOKUP($A185,'DWV ABS'!$A$8:$M$116,7,FALSE),
IF($A185&lt;'PVC SCH40'!$A$376,VLOOKUP($A185,'PVC SCH40'!$A$8:$M$375,7,FALSE),
IF($A185&lt;'PVC SCH40 LD'!$A$22,VLOOKUP($A185,'PVC SCH40 LD'!$A$8:$M$21,7,FALSE),
IF($A185&lt;'Pool &amp; SPA Sweep Elbows'!$A$12,VLOOKUP($A185,'Pool &amp; SPA Sweep Elbows'!$A$8:$M$11,7,FALSE),
IF($A185&lt;'Pool &amp; SPA Pipe Extender'!$A$11,VLOOKUP($A185,'Pool &amp; SPA Pipe Extender'!$A$8:$M$10,7,FALSE),
IF($A185&lt;'PVC SCH80'!$A$250,VLOOKUP($A185,'PVC SCH80'!$A$8:$M$249,7,FALSE),
IF($A185&lt;'PVC SCH80 Flange'!$A$49,VLOOKUP($A185,'PVC SCH80 Flange'!$A$8:$M$48,7,FALSE),
IF($A185&lt;'PVC SCH80 LD Flange'!$A$17,VLOOKUP($A185,'PVC SCH80 LD Flange'!$A$8:$M$16,7,FALSE),
IF($A185&lt;CPVC!$A$100,VLOOKUP($A185,CPVC!$A$8:$M$99,7,FALSE),
IF($A185&lt;InsertFittings!$A$237,VLOOKUP($A185,InsertFittings!$A$11:$M$236,7,FALSE),
IF($A185&lt;Valves!$A$132,VLOOKUP($A185,Valves!$A$8:$M$131,7,FALSE),
IF($A185&lt;SDR35SW!$A$124,VLOOKUP($A185,SDR35SW!$A$8:$M$123,7,FALSE),
IF($A185&lt;SDR35G!$A$143,VLOOKUP($A185, SDR35G!$A$8:$M$142,7,FALSE),
IF($A185&lt;SDR26G!$A$61,VLOOKUP($A185,SDR26G!$A$8:$N$60,10,FALSE),
IF($A185&lt;Cements!$A$100,VLOOKUP($A185,Cements!$A$8:$Q$99,13,FALSE),
IF($A185&lt;ValveBox!$A$143,VLOOKUP($A185,ValveBox!$A$10:$O$142,11,FALSE),
IF($A185&lt;'ValveBox Components'!$A$165,VLOOKUP($A185,'ValveBox Components'!$A$10:$O$164,11,FALSE),
IF($A185&lt;Drainage!$A$92,VLOOKUP($A185,Drainage!$A$8:$M$91,7,FALSE),
IF($A185&lt;Nipples!$A$82,VLOOKUP($A185,Nipples!$A$9:$Q$81,13,FALSE),
IF($A185&lt;Manifold!$A$33,VLOOKUP($A185,Manifold!$A$9:$M$32,7,FALSE),
IF($A185&lt;FlexibleRepairCouplings!$A$13,VLOOKUP($A185,FlexibleRepairCouplings!$A$10:$M$12,7,FALSE),
IF($A185&lt;DuraFix!$A$15,VLOOKUP($A185,DuraFix!$A$9:$M$14,7,FALSE),
IF($A185&lt;'Compression Fittings'!$A$16,VLOOKUP($A185,'Compression Fittings'!$A$8:$M$15,7,FALSE),
IF($A185&lt;'Hose Fittings'!$A$30,VLOOKUP($A185,'Hose Fittings'!$A$8:$M$29,7,FALSE),
IF($A185&lt;'Swing Joints'!$A$496,VLOOKUP($A185,'Swing Joints'!$A$9:$M$495,7,FALSE),
IF($A185&lt;'Swing Joints Components'!$A$135,VLOOKUP($A185,'Swing Joints Components'!$A$9:$M$134,7,FALSE),
IF($A185&lt;Nonstandard!$A$42,VLOOKUP($A185,Nonstandard!$A$31:$J$41,3,FALSE),"")))))))))))))))))))))))))))),"")</f>
        <v/>
      </c>
      <c r="I185" s="587"/>
      <c r="J185" s="383" t="str">
        <f t="shared" si="5"/>
        <v/>
      </c>
      <c r="K185" s="417" t="str">
        <f>IFERROR(IF($A185&lt;'DWV PVC'!$A$285,VLOOKUP($A185,'DWV PVC'!$A$8:$M$284,10,FALSE),
IF($A185&lt;'DWV ABS'!$A$117,VLOOKUP($A185,'DWV ABS'!$A$8:$M$116,10,FALSE),
IF($A185&lt;'PVC SCH40'!$A$376,VLOOKUP($A185,'PVC SCH40'!$A$8:$M$375,10,FALSE),
IF($A185&lt;'PVC SCH40 LD'!$A$22,VLOOKUP($A185,'PVC SCH40 LD'!$A$8:$M$21,10,FALSE),
IF($A185&lt;'Pool &amp; SPA Sweep Elbows'!$A$12,VLOOKUP($A185,'Pool &amp; SPA Sweep Elbows'!$A$8:$M$11,10,FALSE),
IF($A185&lt;'Pool &amp; SPA Pipe Extender'!$A$11,VLOOKUP($A185,'Pool &amp; SPA Pipe Extender'!$A$8:$M$10,10,FALSE),
IF($A185&lt;'PVC SCH80'!$A$250,VLOOKUP($A185,'PVC SCH80'!$A$8:$M$249,10,FALSE),
IF($A185&lt;'PVC SCH80 Flange'!$A$49,VLOOKUP($A185,'PVC SCH80 Flange'!$A$8:$M$48,10,FALSE),
IF($A185&lt;'PVC SCH80 LD Flange'!$A$17,VLOOKUP($A185,'PVC SCH80 LD Flange'!$A$8:$M$16,10,FALSE),
IF($A185&lt;CPVC!$A$100,VLOOKUP($A185,CPVC!$A$8:$M$99,10,FALSE),
IF($A185&lt;InsertFittings!$A$237,VLOOKUP($A185,InsertFittings!$A$11:$M$236,10,FALSE),
IF($A185&lt;Valves!$A$132,VLOOKUP($A185,Valves!$A$8:$M$131,10,FALSE),
IF($A185&lt;SDR35SW!$A$124,VLOOKUP($A185,SDR35SW!$A$8:$M$123,10,FALSE),
IF($A185&lt;SDR35G!$A$143,VLOOKUP($A185, SDR35G!$A$8:$M$142,10,FALSE),
IF($A185&lt;SDR26G!$A$61,VLOOKUP($A185,SDR26G!$A$8:$N$60,11,FALSE),
IF($A185&lt;Cements!$A$100,VLOOKUP($A185,Cements!$A$8:$Q$99,14,FALSE),
IF($A185&lt;ValveBox!$A$143,VLOOKUP($A185,ValveBox!$A$10:$O$142,12,FALSE),
IF($A185&lt;'ValveBox Components'!$A$165,VLOOKUP($A185,'ValveBox Components'!$A$10:$O$164,12,FALSE),
IF($A185&lt;Drainage!$A$92,VLOOKUP($A185,Drainage!$A$8:$M$91,10,FALSE),
IF($A185&lt;Nipples!$A$82,VLOOKUP($A185,Nipples!$A$9:$Q$81,14,FALSE),
IF($A185&lt;Manifold!$A$33,VLOOKUP($A185,Manifold!$A$9:$M$32,10,FALSE),
IF($A185&lt;FlexibleRepairCouplings!$A$13,VLOOKUP($A185,FlexibleRepairCouplings!$A$10:$M$12,10,FALSE),
IF($A185&lt;DuraFix!$A$15,VLOOKUP($A185,DuraFix!$A$9:$M$14,10,FALSE),
IF($A185&lt;'Compression Fittings'!$A$16,VLOOKUP($A185,'Compression Fittings'!$A$8:$M$15,10,FALSE),
IF($A185&lt;'Hose Fittings'!$A$30,VLOOKUP($A185,'Hose Fittings'!$A$8:$M$29,10,FALSE),
IF($A185&lt;'Swing Joints'!$A$496,VLOOKUP($A185,'Swing Joints'!$A$9:$M$495,10,FALSE),
IF($A185&lt;'Swing Joints Components'!$A$135,VLOOKUP($A185,'Swing Joints Components'!$A$9:$M$134,10,FALSE),
IF($A185&lt;Nonstandard!$A$42,VLOOKUP($A185,Nonstandard!$A$31:$J$41,10,FALSE),"")))))))))))))))))))))))))))),"")</f>
        <v/>
      </c>
      <c r="L185" s="418" t="str">
        <f t="shared" si="4"/>
        <v>-</v>
      </c>
      <c r="M185" s="419"/>
    </row>
    <row r="186" spans="1:13" ht="15.75">
      <c r="A186" s="420">
        <v>154</v>
      </c>
      <c r="B186" s="420" t="str">
        <f>IFERROR(IF($A186&lt;'DWV PVC'!$A$285,VLOOKUP($A186,'DWV PVC'!$A$8:$M$284,4,FALSE),
IF($A186&lt;'DWV ABS'!$A$117,VLOOKUP($A186,'DWV ABS'!$A$8:$M$116,4,FALSE),
IF($A186&lt;'PVC SCH40'!$A$376,VLOOKUP($A186,'PVC SCH40'!$A$8:$M$375,4,FALSE),
IF($A186&lt;'PVC SCH40 LD'!$A$22,VLOOKUP($A186,'PVC SCH40 LD'!$A$8:$M$21,4,FALSE),
IF($A186&lt;'Pool &amp; SPA Sweep Elbows'!$A$12,VLOOKUP($A186,'Pool &amp; SPA Sweep Elbows'!$A$8:$M$11,4,FALSE),
IF($A186&lt;'Pool &amp; SPA Pipe Extender'!$A$11,VLOOKUP($A186,'Pool &amp; SPA Pipe Extender'!$A$8:$M$10,4,FALSE),
IF($A186&lt;'PVC SCH80'!$A$250,VLOOKUP($A186,'PVC SCH80'!$A$8:$M$249,4,FALSE),
IF($A186&lt;'PVC SCH80 Flange'!$A$49,VLOOKUP($A186,'PVC SCH80 Flange'!$A$8:$M$48,4,FALSE),
IF($A186&lt;'PVC SCH80 LD Flange'!$A$17,VLOOKUP($A186,'PVC SCH80 LD Flange'!$A$8:$M$16,4,FALSE),
IF($A186&lt;CPVC!$A$100,VLOOKUP($A186,CPVC!$A$8:$M$99,4,FALSE),
IF($A186&lt;InsertFittings!$A$237,VLOOKUP($A186,InsertFittings!$A$11:$M$236,4,FALSE),
IF($A186&lt;Valves!$A$132,VLOOKUP($A186,Valves!$A$8:$M$131,4,FALSE),
IF($A186&lt;SDR35SW!$A$124,VLOOKUP($A186,SDR35SW!$A$8:$M$123,4,FALSE),
IF($A186&lt;SDR35G!$A$143,VLOOKUP($A186, SDR35G!$A$8:$M$142,4,FALSE),
IF($A186&lt;SDR26G!$A$61,VLOOKUP($A186,SDR26G!$A$8:$N$60,4,FALSE),
IF($A186&lt;Cements!$A$100,VLOOKUP($A186,Cements!$A$8:$Q$99,4,FALSE),
IF($A186&lt;ValveBox!$A$143,VLOOKUP($A186,ValveBox!$A$10:$O$142,4,FALSE),
IF($A186&lt;'ValveBox Components'!$A$165,VLOOKUP($A186,'ValveBox Components'!$A$10:$O$164,4,FALSE),
IF($A186&lt;Drainage!$A$92,VLOOKUP($A186,Drainage!$A$8:$M$91,4,FALSE),
IF($A186&lt;Nipples!$A$82,VLOOKUP($A186,Nipples!$A$9:$Q$81,4,FALSE),
IF($A186&lt;Manifold!$A$33,VLOOKUP($A186,Manifold!$A$9:$M$32,4,FALSE),
IF($A186&lt;FlexibleRepairCouplings!$A$13,VLOOKUP($A186,FlexibleRepairCouplings!$A$10:$M$12,4,FALSE),
IF($A186&lt;DuraFix!$A$15,VLOOKUP($A186,DuraFix!$A$9:$M$14,4,FALSE),
IF($A186&lt;'Compression Fittings'!$A$16,VLOOKUP($A186,'Compression Fittings'!$A$8:$M$15,4,FALSE),
IF($A186&lt;'Hose Fittings'!$A$30,VLOOKUP($A186,'Hose Fittings'!$A$8:$M$29,4,FALSE),
IF($A186&lt;'Swing Joints'!$A$496,VLOOKUP($A186,'Swing Joints'!$A$9:$M$495,4,FALSE),
IF($A186&lt;'Swing Joints Components'!$A$135,VLOOKUP($A186,'Swing Joints Components'!$A$9:$M$134,4,FALSE),
IF($A186&lt;Nonstandard!$A$42,VLOOKUP($A186,Nonstandard!$A$31:$J$41,5,FALSE),"")))))))))))))))))))))))))))),"")</f>
        <v/>
      </c>
      <c r="C186" s="420" t="str">
        <f>IFERROR(IF($A186&lt;'DWV PVC'!$A$285,VLOOKUP($A186,'DWV PVC'!$A$8:$M$284,5,FALSE),
IF($A186&lt;'DWV ABS'!$A$117,VLOOKUP($A186,'DWV ABS'!$A$8:$M$116,5,FALSE),
IF($A186&lt;'PVC SCH40'!$A$376,VLOOKUP($A186,'PVC SCH40'!$A$8:$M$375,5,FALSE),
IF($A186&lt;'PVC SCH40 LD'!$A$22,VLOOKUP($A186,'PVC SCH40 LD'!$A$8:$M$21,5,FALSE),
IF($A186&lt;'Pool &amp; SPA Sweep Elbows'!$A$12,VLOOKUP($A186,'Pool &amp; SPA Sweep Elbows'!$A$8:$M$11,5,FALSE),
IF($A186&lt;'Pool &amp; SPA Pipe Extender'!$A$11,VLOOKUP($A186,'Pool &amp; SPA Pipe Extender'!$A$8:$M$10,5,FALSE),
IF($A186&lt;'PVC SCH80'!$A$250,VLOOKUP($A186,'PVC SCH80'!$A$8:$M$249,5,FALSE),
IF($A186&lt;'PVC SCH80 Flange'!$A$49,VLOOKUP($A186,'PVC SCH80 Flange'!$A$8:$M$48,5,FALSE),
IF($A186&lt;'PVC SCH80 LD Flange'!$A$17,VLOOKUP($A186,'PVC SCH80 LD Flange'!$A$8:$M$16,5,FALSE),
IF($A186&lt;CPVC!$A$100,VLOOKUP($A186,CPVC!$A$8:$M$99,5,FALSE),
IF($A186&lt;InsertFittings!$A$237,VLOOKUP($A186,InsertFittings!$A$11:$M$236,5,FALSE),
IF($A186&lt;Valves!$A$132,VLOOKUP($A186,Valves!$A$8:$M$131,5,FALSE),
IF($A186&lt;SDR35SW!$A$124,VLOOKUP($A186,SDR35SW!$A$8:$M$123,5,FALSE),
IF($A186&lt;SDR35G!$A$143,VLOOKUP($A186, SDR35G!$A$8:$M$142,5,FALSE),
IF($A186&lt;SDR26G!$A$61,VLOOKUP($A186,SDR26G!$A$8:$N$60,5,FALSE),
IF($A186&lt;Cements!$A$100,VLOOKUP($A186,Cements!$A$8:$Q$99,5,FALSE),
IF($A186&lt;ValveBox!$A$143,VLOOKUP($A186,ValveBox!$A$10:$O$142,5,FALSE),
IF($A186&lt;'ValveBox Components'!$A$165,VLOOKUP($A186,'ValveBox Components'!$A$10:$O$164,5,FALSE),
IF($A186&lt;Drainage!$A$92,VLOOKUP($A186,Drainage!$A$8:$M$91,5,FALSE),
IF($A186&lt;Nipples!$A$82,VLOOKUP($A186,Nipples!$A$9:$Q$81,5,FALSE),
IF($A186&lt;Manifold!$A$33,VLOOKUP($A186,Manifold!$A$9:$M$32,5,FALSE),
IF($A186&lt;FlexibleRepairCouplings!$A$13,VLOOKUP($A186,FlexibleRepairCouplings!$A$10:$M$12,5,FALSE),
IF($A186&lt;DuraFix!$A$15,VLOOKUP($A186,DuraFix!$A$9:$M$14,5,FALSE),
IF($A186&lt;'Compression Fittings'!$A$16,VLOOKUP($A186,'Compression Fittings'!$A$8:$M$15,5,FALSE),
IF($A186&lt;'Hose Fittings'!$A$30,VLOOKUP($A186,'Hose Fittings'!$A$8:$M$29,5,FALSE),
IF($A186&lt;'Swing Joints'!$A$496,VLOOKUP($A186,'Swing Joints'!$A$9:$M$495,5,FALSE),
IF($A186&lt;'Swing Joints Components'!$A$135,VLOOKUP($A186,'Swing Joints Components'!$A$9:$M$134,5,FALSE),
IF($A186&lt;Nonstandard!$A$42,VLOOKUP($A186,Nonstandard!$A$31:$J$41,6,FALSE),"")))))))))))))))))))))))))))),"")</f>
        <v/>
      </c>
      <c r="D186" s="428" t="str">
        <f>IFERROR(IF($A186&lt;'DWV PVC'!$A$285,VLOOKUP($A186,'DWV PVC'!$A$8:$M$284,6,FALSE),
IF($A186&lt;'DWV ABS'!$A$117,VLOOKUP($A186,'DWV ABS'!$A$8:$M$116,6,FALSE),
IF($A186&lt;'PVC SCH40'!$A$376,VLOOKUP($A186,'PVC SCH40'!$A$8:$M$375,6,FALSE),
IF($A186&lt;'PVC SCH40 LD'!$A$22,VLOOKUP($A186,'PVC SCH40 LD'!$A$8:$M$21,6,FALSE),
IF($A186&lt;'Pool &amp; SPA Sweep Elbows'!$A$12,VLOOKUP($A186,'Pool &amp; SPA Sweep Elbows'!$A$8:$M$11,6,FALSE),
IF($A186&lt;'Pool &amp; SPA Pipe Extender'!$A$11,VLOOKUP($A186,'Pool &amp; SPA Pipe Extender'!$A$8:$M$10,6,FALSE),
IF($A186&lt;'PVC SCH80'!$A$250,VLOOKUP($A186,'PVC SCH80'!$A$8:$M$249,6,FALSE),
IF($A186&lt;'PVC SCH80 Flange'!$A$49,VLOOKUP($A186,'PVC SCH80 Flange'!$A$8:$M$48,6,FALSE),
IF($A186&lt;'PVC SCH80 LD Flange'!$A$17,VLOOKUP($A186,'PVC SCH80 LD Flange'!$A$8:$M$16,6,FALSE),
IF($A186&lt;CPVC!$A$100,VLOOKUP($A186,CPVC!$A$8:$M$99,6,FALSE),
IF($A186&lt;InsertFittings!$A$237,VLOOKUP($A186,InsertFittings!$A$11:$M$236,6,FALSE),
IF($A186&lt;Valves!$A$132,VLOOKUP($A186,Valves!$A$8:$M$131,6,FALSE),
IF($A186&lt;SDR35SW!$A$124,VLOOKUP($A186,SDR35SW!$A$8:$M$123,6,FALSE),
IF($A186&lt;SDR35G!$A$143,VLOOKUP($A186, SDR35G!$A$8:$M$142,6,FALSE),
IF($A186&lt;SDR26G!$A$61,VLOOKUP($A186,SDR26G!$A$8:$N$60,6,FALSE),
IF($A186&lt;Cements!$A$100,VLOOKUP($A186,Cements!$A$8:$Q$99,6,FALSE),
IF($A186&lt;ValveBox!$A$143,VLOOKUP($A186,ValveBox!$A$10:$O$142,6,FALSE),
IF($A186&lt;'ValveBox Components'!$A$165,VLOOKUP($A186,'ValveBox Components'!$A$10:$O$164,6,FALSE),
IF($A186&lt;Drainage!$A$92,VLOOKUP($A186,Drainage!$A$8:$M$91,6,FALSE),
IF($A186&lt;Nipples!$A$82,VLOOKUP($A186,Nipples!$A$9:$Q$81,6,FALSE),
IF($A186&lt;Manifold!$A$33,VLOOKUP($A186,Manifold!$A$9:$M$32,6,FALSE),
IF($A186&lt;FlexibleRepairCouplings!$A$13,VLOOKUP($A186,FlexibleRepairCouplings!$A$10:$M$12,6,FALSE),
IF($A186&lt;DuraFix!$A$15,VLOOKUP($A186,DuraFix!$A$9:$M$14,6,FALSE),
IF($A186&lt;'Compression Fittings'!$A$16,VLOOKUP($A186,'Compression Fittings'!$A$8:$M$15,6,FALSE),
IF($A186&lt;'Hose Fittings'!$A$30,VLOOKUP($A186,'Hose Fittings'!$A$8:$M$29,6,FALSE),
IF($A186&lt;'Swing Joints'!$A$496,VLOOKUP($A186,'Swing Joints'!$A$9:$M$495,6,FALSE),
IF($A186&lt;'Swing Joints Components'!$A$135,VLOOKUP($A186,'Swing Joints Components'!$A$9:$M$134,6,FALSE),
IF($A186&lt;Nonstandard!$A$42,VLOOKUP($A186,Nonstandard!$A$31:$J$41,7,FALSE),"")))))))))))))))))))))))))))),"")</f>
        <v/>
      </c>
      <c r="E186" s="429"/>
      <c r="F186" s="421" t="str">
        <f>IFERROR(IF($A186&lt;'DWV PVC'!$A$285,VLOOKUP($A186,'DWV PVC'!$A$8:$M$284,9,FALSE),
IF($A186&lt;'DWV ABS'!$A$117,VLOOKUP($A186,'DWV ABS'!$A$8:$M$116,9,FALSE),
IF($A186&lt;'PVC SCH40'!$A$376,VLOOKUP($A186,'PVC SCH40'!$A$8:$M$375,9,FALSE),
IF($A186&lt;'PVC SCH40 LD'!$A$22,VLOOKUP($A186,'PVC SCH40 LD'!$A$8:$M$21,9,FALSE),
IF($A186&lt;'Pool &amp; SPA Sweep Elbows'!$A$12,VLOOKUP($A186,'Pool &amp; SPA Sweep Elbows'!$A$8:$M$11,9,FALSE),
IF($A186&lt;'Pool &amp; SPA Pipe Extender'!$A$11,VLOOKUP($A186,'Pool &amp; SPA Pipe Extender'!$A$8:$M$10,9,FALSE),
IF($A186&lt;'PVC SCH80'!$A$250,VLOOKUP($A186,'PVC SCH80'!$A$8:$M$249,9,FALSE),
IF($A186&lt;'PVC SCH80 Flange'!$A$49,VLOOKUP($A186,'PVC SCH80 Flange'!$A$8:$M$48,9,FALSE),
IF($A186&lt;'PVC SCH80 LD Flange'!$A$17,VLOOKUP($A186,'PVC SCH80 LD Flange'!$A$8:$M$16,9,FALSE),
IF($A186&lt;CPVC!$A$100,VLOOKUP($A186,CPVC!$A$8:$M$99,9,FALSE),
IF($A186&lt;InsertFittings!$A$237,VLOOKUP($A186,InsertFittings!$A$11:$M$236,9,FALSE),
IF($A186&lt;Valves!$A$132,VLOOKUP($A186,Valves!$A$8:$M$131,9,FALSE),
IF($A186&lt;SDR35SW!$A$124,VLOOKUP($A186,SDR35SW!$A$8:$M$123,9,FALSE),
IF($A186&lt;SDR35G!$A$143,VLOOKUP($A186, SDR35G!$A$8:$M$142,9,FALSE),
IF($A186&lt;SDR26G!$A$61,VLOOKUP($A186,SDR26G!$A$8:$N$60,10,FALSE),
IF($A186&lt;Cements!$A$100,VLOOKUP($A186,Cements!$A$8:$Q$99,13,FALSE),
IF($A186&lt;ValveBox!$A$143,VLOOKUP($A186,ValveBox!$A$10:$O$142,11,FALSE),
IF($A186&lt;'ValveBox Components'!$A$165,VLOOKUP($A186,'ValveBox Components'!$A$10:$O$164,11,FALSE),
IF($A186&lt;Drainage!$A$92,VLOOKUP($A186,Drainage!$A$8:$M$91,9,FALSE),
IF($A186&lt;Nipples!$A$82,VLOOKUP($A186,Nipples!$A$9:$Q$81,13,FALSE),
IF($A186&lt;Manifold!$A$33,VLOOKUP($A186,Manifold!$A$9:$M$32,9,FALSE),
IF($A186&lt;FlexibleRepairCouplings!$A$13,VLOOKUP($A186,FlexibleRepairCouplings!$A$10:$M$12,9,FALSE),
IF($A186&lt;DuraFix!$A$15,VLOOKUP($A186,DuraFix!$A$9:$M$14,9,FALSE),
IF($A186&lt;'Compression Fittings'!$A$16,VLOOKUP($A186,'Compression Fittings'!$A$8:$M$15,9,FALSE),
IF($A186&lt;'Hose Fittings'!$A$30,VLOOKUP($A186,'Hose Fittings'!$A$8:$M$29,9,FALSE),
IF($A186&lt;'Swing Joints'!$A$496,VLOOKUP($A186,'Swing Joints'!$A$9:$M$495,9,FALSE),
IF($A186&lt;'Swing Joints Components'!$A$135,VLOOKUP($A186,'Swing Joints Components'!$A$9:$M$134,9,FALSE),
IF($A186&lt;Nonstandard!$A$42,VLOOKUP($A186,Nonstandard!$A$31:$J$41,8,FALSE),"")))))))))))))))))))))))))))),"")</f>
        <v/>
      </c>
      <c r="G186" s="422" t="str">
        <f>IFERROR(IF($A186&lt;'DWV PVC'!$A$285,VLOOKUP($A186,'DWV PVC'!$A$8:$M$284,11,FALSE),
IF($A186&lt;'DWV ABS'!$A$117,VLOOKUP($A186,'DWV ABS'!$A$8:$M$116,11,FALSE),
IF($A186&lt;'PVC SCH40'!$A$376,VLOOKUP($A186,'PVC SCH40'!$A$8:$M$375,11,FALSE),
IF($A186&lt;'PVC SCH40 LD'!$A$22,VLOOKUP($A186,'PVC SCH40 LD'!$A$8:$M$21,11,FALSE),
IF($A186&lt;'Pool &amp; SPA Sweep Elbows'!$A$12,VLOOKUP($A186,'Pool &amp; SPA Sweep Elbows'!$A$8:$M$11,11,FALSE),
IF($A186&lt;'Pool &amp; SPA Pipe Extender'!$A$11,VLOOKUP($A186,'Pool &amp; SPA Pipe Extender'!$A$8:$M$10,11,FALSE),
IF($A186&lt;'PVC SCH80'!$A$250,VLOOKUP($A186,'PVC SCH80'!$A$8:$M$249,11,FALSE),
IF($A186&lt;'PVC SCH80 Flange'!$A$49,VLOOKUP($A186,'PVC SCH80 Flange'!$A$8:$M$48,11,FALSE),
IF($A186&lt;'PVC SCH80 LD Flange'!$A$17,VLOOKUP($A186,'PVC SCH80 LD Flange'!$A$8:$M$16,11,FALSE),
IF($A186&lt;CPVC!$A$100,VLOOKUP($A186,CPVC!$A$8:$M$99,11,FALSE),
IF($A186&lt;InsertFittings!$A$237,VLOOKUP($A186,InsertFittings!$A$11:$M$236,11,FALSE),
IF($A186&lt;Valves!$A$132,VLOOKUP($A186,Valves!$A$8:$M$131,11,FALSE),
IF($A186&lt;SDR35SW!$A$124,VLOOKUP($A186,SDR35SW!$A$8:$M$123,11,FALSE),
IF($A186&lt;SDR35G!$A$143,VLOOKUP($A186, SDR35G!$A$8:$M$142,11,FALSE),
IF($A186&lt;SDR26G!$A$61,VLOOKUP($A186,SDR26G!$A$8:$N$60,12,FALSE),
IF($A186&lt;Cements!$A$100,VLOOKUP($A186,Cements!$A$8:$Q$99,15,FALSE),
IF($A186&lt;ValveBox!$A$143,VLOOKUP($A186,ValveBox!$A$10:$O$142,13,FALSE),
IF($A186&lt;'ValveBox Components'!$A$165,VLOOKUP($A186,'ValveBox Components'!$A$10:$O$164,13,FALSE),
IF($A186&lt;Drainage!$A$92,VLOOKUP($A186,Drainage!$A$8:$M$91,11,FALSE),
IF($A186&lt;Nipples!$A$82,VLOOKUP($A186,Nipples!$A$9:$Q$81,15,FALSE),
IF($A186&lt;Manifold!$A$33,VLOOKUP($A186,Manifold!$A$9:$M$32,11,FALSE),
IF($A186&lt;FlexibleRepairCouplings!$A$13,VLOOKUP($A186,FlexibleRepairCouplings!$A$10:$M$12,11,FALSE),
IF($A186&lt;DuraFix!$A$15,VLOOKUP($A186,DuraFix!$A$9:$M$14,11,FALSE),
IF($A186&lt;'Compression Fittings'!$A$16,VLOOKUP($A186,'Compression Fittings'!$A$8:$M$15,11,FALSE),
IF($A186&lt;'Hose Fittings'!$A$30,VLOOKUP($A186,'Hose Fittings'!$A$8:$M$29,11,FALSE),
IF($A186&lt;'Swing Joints'!$A$496,VLOOKUP($A186,'Swing Joints'!$A$9:$M$495,11,FALSE),
IF($A186&lt;'Swing Joints Components'!$A$135,VLOOKUP($A186,'Swing Joints Components'!$A$9:$M$134,11,FALSE),
IF($A186&lt;Nonstandard!$A$42,VLOOKUP($A186,Nonstandard!$A$31:$J$41,3,FALSE),"")))))))))))))))))))))))))))),"")</f>
        <v/>
      </c>
      <c r="H186" s="588" t="str">
        <f>IFERROR(IF($A186&lt;'DWV PVC'!$A$285,VLOOKUP($A186,'DWV PVC'!$A$8:$M$284,7,FALSE),
IF($A186&lt;'DWV ABS'!$A$117,VLOOKUP($A186,'DWV ABS'!$A$8:$M$116,7,FALSE),
IF($A186&lt;'PVC SCH40'!$A$376,VLOOKUP($A186,'PVC SCH40'!$A$8:$M$375,7,FALSE),
IF($A186&lt;'PVC SCH40 LD'!$A$22,VLOOKUP($A186,'PVC SCH40 LD'!$A$8:$M$21,7,FALSE),
IF($A186&lt;'Pool &amp; SPA Sweep Elbows'!$A$12,VLOOKUP($A186,'Pool &amp; SPA Sweep Elbows'!$A$8:$M$11,7,FALSE),
IF($A186&lt;'Pool &amp; SPA Pipe Extender'!$A$11,VLOOKUP($A186,'Pool &amp; SPA Pipe Extender'!$A$8:$M$10,7,FALSE),
IF($A186&lt;'PVC SCH80'!$A$250,VLOOKUP($A186,'PVC SCH80'!$A$8:$M$249,7,FALSE),
IF($A186&lt;'PVC SCH80 Flange'!$A$49,VLOOKUP($A186,'PVC SCH80 Flange'!$A$8:$M$48,7,FALSE),
IF($A186&lt;'PVC SCH80 LD Flange'!$A$17,VLOOKUP($A186,'PVC SCH80 LD Flange'!$A$8:$M$16,7,FALSE),
IF($A186&lt;CPVC!$A$100,VLOOKUP($A186,CPVC!$A$8:$M$99,7,FALSE),
IF($A186&lt;InsertFittings!$A$237,VLOOKUP($A186,InsertFittings!$A$11:$M$236,7,FALSE),
IF($A186&lt;Valves!$A$132,VLOOKUP($A186,Valves!$A$8:$M$131,7,FALSE),
IF($A186&lt;SDR35SW!$A$124,VLOOKUP($A186,SDR35SW!$A$8:$M$123,7,FALSE),
IF($A186&lt;SDR35G!$A$143,VLOOKUP($A186, SDR35G!$A$8:$M$142,7,FALSE),
IF($A186&lt;SDR26G!$A$61,VLOOKUP($A186,SDR26G!$A$8:$N$60,10,FALSE),
IF($A186&lt;Cements!$A$100,VLOOKUP($A186,Cements!$A$8:$Q$99,13,FALSE),
IF($A186&lt;ValveBox!$A$143,VLOOKUP($A186,ValveBox!$A$10:$O$142,11,FALSE),
IF($A186&lt;'ValveBox Components'!$A$165,VLOOKUP($A186,'ValveBox Components'!$A$10:$O$164,11,FALSE),
IF($A186&lt;Drainage!$A$92,VLOOKUP($A186,Drainage!$A$8:$M$91,7,FALSE),
IF($A186&lt;Nipples!$A$82,VLOOKUP($A186,Nipples!$A$9:$Q$81,13,FALSE),
IF($A186&lt;Manifold!$A$33,VLOOKUP($A186,Manifold!$A$9:$M$32,7,FALSE),
IF($A186&lt;FlexibleRepairCouplings!$A$13,VLOOKUP($A186,FlexibleRepairCouplings!$A$10:$M$12,7,FALSE),
IF($A186&lt;DuraFix!$A$15,VLOOKUP($A186,DuraFix!$A$9:$M$14,7,FALSE),
IF($A186&lt;'Compression Fittings'!$A$16,VLOOKUP($A186,'Compression Fittings'!$A$8:$M$15,7,FALSE),
IF($A186&lt;'Hose Fittings'!$A$30,VLOOKUP($A186,'Hose Fittings'!$A$8:$M$29,7,FALSE),
IF($A186&lt;'Swing Joints'!$A$496,VLOOKUP($A186,'Swing Joints'!$A$9:$M$495,7,FALSE),
IF($A186&lt;'Swing Joints Components'!$A$135,VLOOKUP($A186,'Swing Joints Components'!$A$9:$M$134,7,FALSE),
IF($A186&lt;Nonstandard!$A$42,VLOOKUP($A186,Nonstandard!$A$31:$J$41,3,FALSE),"")))))))))))))))))))))))))))),"")</f>
        <v/>
      </c>
      <c r="I186" s="589"/>
      <c r="J186" s="423" t="str">
        <f t="shared" si="5"/>
        <v/>
      </c>
      <c r="K186" s="424" t="str">
        <f>IFERROR(IF($A186&lt;'DWV PVC'!$A$285,VLOOKUP($A186,'DWV PVC'!$A$8:$M$284,10,FALSE),
IF($A186&lt;'DWV ABS'!$A$117,VLOOKUP($A186,'DWV ABS'!$A$8:$M$116,10,FALSE),
IF($A186&lt;'PVC SCH40'!$A$376,VLOOKUP($A186,'PVC SCH40'!$A$8:$M$375,10,FALSE),
IF($A186&lt;'PVC SCH40 LD'!$A$22,VLOOKUP($A186,'PVC SCH40 LD'!$A$8:$M$21,10,FALSE),
IF($A186&lt;'Pool &amp; SPA Sweep Elbows'!$A$12,VLOOKUP($A186,'Pool &amp; SPA Sweep Elbows'!$A$8:$M$11,10,FALSE),
IF($A186&lt;'Pool &amp; SPA Pipe Extender'!$A$11,VLOOKUP($A186,'Pool &amp; SPA Pipe Extender'!$A$8:$M$10,10,FALSE),
IF($A186&lt;'PVC SCH80'!$A$250,VLOOKUP($A186,'PVC SCH80'!$A$8:$M$249,10,FALSE),
IF($A186&lt;'PVC SCH80 Flange'!$A$49,VLOOKUP($A186,'PVC SCH80 Flange'!$A$8:$M$48,10,FALSE),
IF($A186&lt;'PVC SCH80 LD Flange'!$A$17,VLOOKUP($A186,'PVC SCH80 LD Flange'!$A$8:$M$16,10,FALSE),
IF($A186&lt;CPVC!$A$100,VLOOKUP($A186,CPVC!$A$8:$M$99,10,FALSE),
IF($A186&lt;InsertFittings!$A$237,VLOOKUP($A186,InsertFittings!$A$11:$M$236,10,FALSE),
IF($A186&lt;Valves!$A$132,VLOOKUP($A186,Valves!$A$8:$M$131,10,FALSE),
IF($A186&lt;SDR35SW!$A$124,VLOOKUP($A186,SDR35SW!$A$8:$M$123,10,FALSE),
IF($A186&lt;SDR35G!$A$143,VLOOKUP($A186, SDR35G!$A$8:$M$142,10,FALSE),
IF($A186&lt;SDR26G!$A$61,VLOOKUP($A186,SDR26G!$A$8:$N$60,11,FALSE),
IF($A186&lt;Cements!$A$100,VLOOKUP($A186,Cements!$A$8:$Q$99,14,FALSE),
IF($A186&lt;ValveBox!$A$143,VLOOKUP($A186,ValveBox!$A$10:$O$142,12,FALSE),
IF($A186&lt;'ValveBox Components'!$A$165,VLOOKUP($A186,'ValveBox Components'!$A$10:$O$164,12,FALSE),
IF($A186&lt;Drainage!$A$92,VLOOKUP($A186,Drainage!$A$8:$M$91,10,FALSE),
IF($A186&lt;Nipples!$A$82,VLOOKUP($A186,Nipples!$A$9:$Q$81,14,FALSE),
IF($A186&lt;Manifold!$A$33,VLOOKUP($A186,Manifold!$A$9:$M$32,10,FALSE),
IF($A186&lt;FlexibleRepairCouplings!$A$13,VLOOKUP($A186,FlexibleRepairCouplings!$A$10:$M$12,10,FALSE),
IF($A186&lt;DuraFix!$A$15,VLOOKUP($A186,DuraFix!$A$9:$M$14,10,FALSE),
IF($A186&lt;'Compression Fittings'!$A$16,VLOOKUP($A186,'Compression Fittings'!$A$8:$M$15,10,FALSE),
IF($A186&lt;'Hose Fittings'!$A$30,VLOOKUP($A186,'Hose Fittings'!$A$8:$M$29,10,FALSE),
IF($A186&lt;'Swing Joints'!$A$496,VLOOKUP($A186,'Swing Joints'!$A$9:$M$495,10,FALSE),
IF($A186&lt;'Swing Joints Components'!$A$135,VLOOKUP($A186,'Swing Joints Components'!$A$9:$M$134,10,FALSE),
IF($A186&lt;Nonstandard!$A$42,VLOOKUP($A186,Nonstandard!$A$31:$J$41,10,FALSE),"")))))))))))))))))))))))))))),"")</f>
        <v/>
      </c>
      <c r="L186" s="421" t="str">
        <f t="shared" si="4"/>
        <v>-</v>
      </c>
      <c r="M186" s="425"/>
    </row>
    <row r="187" spans="1:13" ht="15.75">
      <c r="A187" s="415">
        <v>155</v>
      </c>
      <c r="B187" s="415" t="str">
        <f>IFERROR(IF($A187&lt;'DWV PVC'!$A$285,VLOOKUP($A187,'DWV PVC'!$A$8:$M$284,4,FALSE),
IF($A187&lt;'DWV ABS'!$A$117,VLOOKUP($A187,'DWV ABS'!$A$8:$M$116,4,FALSE),
IF($A187&lt;'PVC SCH40'!$A$376,VLOOKUP($A187,'PVC SCH40'!$A$8:$M$375,4,FALSE),
IF($A187&lt;'PVC SCH40 LD'!$A$22,VLOOKUP($A187,'PVC SCH40 LD'!$A$8:$M$21,4,FALSE),
IF($A187&lt;'Pool &amp; SPA Sweep Elbows'!$A$12,VLOOKUP($A187,'Pool &amp; SPA Sweep Elbows'!$A$8:$M$11,4,FALSE),
IF($A187&lt;'Pool &amp; SPA Pipe Extender'!$A$11,VLOOKUP($A187,'Pool &amp; SPA Pipe Extender'!$A$8:$M$10,4,FALSE),
IF($A187&lt;'PVC SCH80'!$A$250,VLOOKUP($A187,'PVC SCH80'!$A$8:$M$249,4,FALSE),
IF($A187&lt;'PVC SCH80 Flange'!$A$49,VLOOKUP($A187,'PVC SCH80 Flange'!$A$8:$M$48,4,FALSE),
IF($A187&lt;'PVC SCH80 LD Flange'!$A$17,VLOOKUP($A187,'PVC SCH80 LD Flange'!$A$8:$M$16,4,FALSE),
IF($A187&lt;CPVC!$A$100,VLOOKUP($A187,CPVC!$A$8:$M$99,4,FALSE),
IF($A187&lt;InsertFittings!$A$237,VLOOKUP($A187,InsertFittings!$A$11:$M$236,4,FALSE),
IF($A187&lt;Valves!$A$132,VLOOKUP($A187,Valves!$A$8:$M$131,4,FALSE),
IF($A187&lt;SDR35SW!$A$124,VLOOKUP($A187,SDR35SW!$A$8:$M$123,4,FALSE),
IF($A187&lt;SDR35G!$A$143,VLOOKUP($A187, SDR35G!$A$8:$M$142,4,FALSE),
IF($A187&lt;SDR26G!$A$61,VLOOKUP($A187,SDR26G!$A$8:$N$60,4,FALSE),
IF($A187&lt;Cements!$A$100,VLOOKUP($A187,Cements!$A$8:$Q$99,4,FALSE),
IF($A187&lt;ValveBox!$A$143,VLOOKUP($A187,ValveBox!$A$10:$O$142,4,FALSE),
IF($A187&lt;'ValveBox Components'!$A$165,VLOOKUP($A187,'ValveBox Components'!$A$10:$O$164,4,FALSE),
IF($A187&lt;Drainage!$A$92,VLOOKUP($A187,Drainage!$A$8:$M$91,4,FALSE),
IF($A187&lt;Nipples!$A$82,VLOOKUP($A187,Nipples!$A$9:$Q$81,4,FALSE),
IF($A187&lt;Manifold!$A$33,VLOOKUP($A187,Manifold!$A$9:$M$32,4,FALSE),
IF($A187&lt;FlexibleRepairCouplings!$A$13,VLOOKUP($A187,FlexibleRepairCouplings!$A$10:$M$12,4,FALSE),
IF($A187&lt;DuraFix!$A$15,VLOOKUP($A187,DuraFix!$A$9:$M$14,4,FALSE),
IF($A187&lt;'Compression Fittings'!$A$16,VLOOKUP($A187,'Compression Fittings'!$A$8:$M$15,4,FALSE),
IF($A187&lt;'Hose Fittings'!$A$30,VLOOKUP($A187,'Hose Fittings'!$A$8:$M$29,4,FALSE),
IF($A187&lt;'Swing Joints'!$A$496,VLOOKUP($A187,'Swing Joints'!$A$9:$M$495,4,FALSE),
IF($A187&lt;'Swing Joints Components'!$A$135,VLOOKUP($A187,'Swing Joints Components'!$A$9:$M$134,4,FALSE),
IF($A187&lt;Nonstandard!$A$42,VLOOKUP($A187,Nonstandard!$A$31:$J$41,5,FALSE),"")))))))))))))))))))))))))))),"")</f>
        <v/>
      </c>
      <c r="C187" s="415" t="str">
        <f>IFERROR(IF($A187&lt;'DWV PVC'!$A$285,VLOOKUP($A187,'DWV PVC'!$A$8:$M$284,5,FALSE),
IF($A187&lt;'DWV ABS'!$A$117,VLOOKUP($A187,'DWV ABS'!$A$8:$M$116,5,FALSE),
IF($A187&lt;'PVC SCH40'!$A$376,VLOOKUP($A187,'PVC SCH40'!$A$8:$M$375,5,FALSE),
IF($A187&lt;'PVC SCH40 LD'!$A$22,VLOOKUP($A187,'PVC SCH40 LD'!$A$8:$M$21,5,FALSE),
IF($A187&lt;'Pool &amp; SPA Sweep Elbows'!$A$12,VLOOKUP($A187,'Pool &amp; SPA Sweep Elbows'!$A$8:$M$11,5,FALSE),
IF($A187&lt;'Pool &amp; SPA Pipe Extender'!$A$11,VLOOKUP($A187,'Pool &amp; SPA Pipe Extender'!$A$8:$M$10,5,FALSE),
IF($A187&lt;'PVC SCH80'!$A$250,VLOOKUP($A187,'PVC SCH80'!$A$8:$M$249,5,FALSE),
IF($A187&lt;'PVC SCH80 Flange'!$A$49,VLOOKUP($A187,'PVC SCH80 Flange'!$A$8:$M$48,5,FALSE),
IF($A187&lt;'PVC SCH80 LD Flange'!$A$17,VLOOKUP($A187,'PVC SCH80 LD Flange'!$A$8:$M$16,5,FALSE),
IF($A187&lt;CPVC!$A$100,VLOOKUP($A187,CPVC!$A$8:$M$99,5,FALSE),
IF($A187&lt;InsertFittings!$A$237,VLOOKUP($A187,InsertFittings!$A$11:$M$236,5,FALSE),
IF($A187&lt;Valves!$A$132,VLOOKUP($A187,Valves!$A$8:$M$131,5,FALSE),
IF($A187&lt;SDR35SW!$A$124,VLOOKUP($A187,SDR35SW!$A$8:$M$123,5,FALSE),
IF($A187&lt;SDR35G!$A$143,VLOOKUP($A187, SDR35G!$A$8:$M$142,5,FALSE),
IF($A187&lt;SDR26G!$A$61,VLOOKUP($A187,SDR26G!$A$8:$N$60,5,FALSE),
IF($A187&lt;Cements!$A$100,VLOOKUP($A187,Cements!$A$8:$Q$99,5,FALSE),
IF($A187&lt;ValveBox!$A$143,VLOOKUP($A187,ValveBox!$A$10:$O$142,5,FALSE),
IF($A187&lt;'ValveBox Components'!$A$165,VLOOKUP($A187,'ValveBox Components'!$A$10:$O$164,5,FALSE),
IF($A187&lt;Drainage!$A$92,VLOOKUP($A187,Drainage!$A$8:$M$91,5,FALSE),
IF($A187&lt;Nipples!$A$82,VLOOKUP($A187,Nipples!$A$9:$Q$81,5,FALSE),
IF($A187&lt;Manifold!$A$33,VLOOKUP($A187,Manifold!$A$9:$M$32,5,FALSE),
IF($A187&lt;FlexibleRepairCouplings!$A$13,VLOOKUP($A187,FlexibleRepairCouplings!$A$10:$M$12,5,FALSE),
IF($A187&lt;DuraFix!$A$15,VLOOKUP($A187,DuraFix!$A$9:$M$14,5,FALSE),
IF($A187&lt;'Compression Fittings'!$A$16,VLOOKUP($A187,'Compression Fittings'!$A$8:$M$15,5,FALSE),
IF($A187&lt;'Hose Fittings'!$A$30,VLOOKUP($A187,'Hose Fittings'!$A$8:$M$29,5,FALSE),
IF($A187&lt;'Swing Joints'!$A$496,VLOOKUP($A187,'Swing Joints'!$A$9:$M$495,5,FALSE),
IF($A187&lt;'Swing Joints Components'!$A$135,VLOOKUP($A187,'Swing Joints Components'!$A$9:$M$134,5,FALSE),
IF($A187&lt;Nonstandard!$A$42,VLOOKUP($A187,Nonstandard!$A$31:$J$41,6,FALSE),"")))))))))))))))))))))))))))),"")</f>
        <v/>
      </c>
      <c r="D187" s="426" t="str">
        <f>IFERROR(IF($A187&lt;'DWV PVC'!$A$285,VLOOKUP($A187,'DWV PVC'!$A$8:$M$284,6,FALSE),
IF($A187&lt;'DWV ABS'!$A$117,VLOOKUP($A187,'DWV ABS'!$A$8:$M$116,6,FALSE),
IF($A187&lt;'PVC SCH40'!$A$376,VLOOKUP($A187,'PVC SCH40'!$A$8:$M$375,6,FALSE),
IF($A187&lt;'PVC SCH40 LD'!$A$22,VLOOKUP($A187,'PVC SCH40 LD'!$A$8:$M$21,6,FALSE),
IF($A187&lt;'Pool &amp; SPA Sweep Elbows'!$A$12,VLOOKUP($A187,'Pool &amp; SPA Sweep Elbows'!$A$8:$M$11,6,FALSE),
IF($A187&lt;'Pool &amp; SPA Pipe Extender'!$A$11,VLOOKUP($A187,'Pool &amp; SPA Pipe Extender'!$A$8:$M$10,6,FALSE),
IF($A187&lt;'PVC SCH80'!$A$250,VLOOKUP($A187,'PVC SCH80'!$A$8:$M$249,6,FALSE),
IF($A187&lt;'PVC SCH80 Flange'!$A$49,VLOOKUP($A187,'PVC SCH80 Flange'!$A$8:$M$48,6,FALSE),
IF($A187&lt;'PVC SCH80 LD Flange'!$A$17,VLOOKUP($A187,'PVC SCH80 LD Flange'!$A$8:$M$16,6,FALSE),
IF($A187&lt;CPVC!$A$100,VLOOKUP($A187,CPVC!$A$8:$M$99,6,FALSE),
IF($A187&lt;InsertFittings!$A$237,VLOOKUP($A187,InsertFittings!$A$11:$M$236,6,FALSE),
IF($A187&lt;Valves!$A$132,VLOOKUP($A187,Valves!$A$8:$M$131,6,FALSE),
IF($A187&lt;SDR35SW!$A$124,VLOOKUP($A187,SDR35SW!$A$8:$M$123,6,FALSE),
IF($A187&lt;SDR35G!$A$143,VLOOKUP($A187, SDR35G!$A$8:$M$142,6,FALSE),
IF($A187&lt;SDR26G!$A$61,VLOOKUP($A187,SDR26G!$A$8:$N$60,6,FALSE),
IF($A187&lt;Cements!$A$100,VLOOKUP($A187,Cements!$A$8:$Q$99,6,FALSE),
IF($A187&lt;ValveBox!$A$143,VLOOKUP($A187,ValveBox!$A$10:$O$142,6,FALSE),
IF($A187&lt;'ValveBox Components'!$A$165,VLOOKUP($A187,'ValveBox Components'!$A$10:$O$164,6,FALSE),
IF($A187&lt;Drainage!$A$92,VLOOKUP($A187,Drainage!$A$8:$M$91,6,FALSE),
IF($A187&lt;Nipples!$A$82,VLOOKUP($A187,Nipples!$A$9:$Q$81,6,FALSE),
IF($A187&lt;Manifold!$A$33,VLOOKUP($A187,Manifold!$A$9:$M$32,6,FALSE),
IF($A187&lt;FlexibleRepairCouplings!$A$13,VLOOKUP($A187,FlexibleRepairCouplings!$A$10:$M$12,6,FALSE),
IF($A187&lt;DuraFix!$A$15,VLOOKUP($A187,DuraFix!$A$9:$M$14,6,FALSE),
IF($A187&lt;'Compression Fittings'!$A$16,VLOOKUP($A187,'Compression Fittings'!$A$8:$M$15,6,FALSE),
IF($A187&lt;'Hose Fittings'!$A$30,VLOOKUP($A187,'Hose Fittings'!$A$8:$M$29,6,FALSE),
IF($A187&lt;'Swing Joints'!$A$496,VLOOKUP($A187,'Swing Joints'!$A$9:$M$495,6,FALSE),
IF($A187&lt;'Swing Joints Components'!$A$135,VLOOKUP($A187,'Swing Joints Components'!$A$9:$M$134,6,FALSE),
IF($A187&lt;Nonstandard!$A$42,VLOOKUP($A187,Nonstandard!$A$31:$J$41,7,FALSE),"")))))))))))))))))))))))))))),"")</f>
        <v/>
      </c>
      <c r="E187" s="427"/>
      <c r="F187" s="418" t="str">
        <f>IFERROR(IF($A187&lt;'DWV PVC'!$A$285,VLOOKUP($A187,'DWV PVC'!$A$8:$M$284,9,FALSE),
IF($A187&lt;'DWV ABS'!$A$117,VLOOKUP($A187,'DWV ABS'!$A$8:$M$116,9,FALSE),
IF($A187&lt;'PVC SCH40'!$A$376,VLOOKUP($A187,'PVC SCH40'!$A$8:$M$375,9,FALSE),
IF($A187&lt;'PVC SCH40 LD'!$A$22,VLOOKUP($A187,'PVC SCH40 LD'!$A$8:$M$21,9,FALSE),
IF($A187&lt;'Pool &amp; SPA Sweep Elbows'!$A$12,VLOOKUP($A187,'Pool &amp; SPA Sweep Elbows'!$A$8:$M$11,9,FALSE),
IF($A187&lt;'Pool &amp; SPA Pipe Extender'!$A$11,VLOOKUP($A187,'Pool &amp; SPA Pipe Extender'!$A$8:$M$10,9,FALSE),
IF($A187&lt;'PVC SCH80'!$A$250,VLOOKUP($A187,'PVC SCH80'!$A$8:$M$249,9,FALSE),
IF($A187&lt;'PVC SCH80 Flange'!$A$49,VLOOKUP($A187,'PVC SCH80 Flange'!$A$8:$M$48,9,FALSE),
IF($A187&lt;'PVC SCH80 LD Flange'!$A$17,VLOOKUP($A187,'PVC SCH80 LD Flange'!$A$8:$M$16,9,FALSE),
IF($A187&lt;CPVC!$A$100,VLOOKUP($A187,CPVC!$A$8:$M$99,9,FALSE),
IF($A187&lt;InsertFittings!$A$237,VLOOKUP($A187,InsertFittings!$A$11:$M$236,9,FALSE),
IF($A187&lt;Valves!$A$132,VLOOKUP($A187,Valves!$A$8:$M$131,9,FALSE),
IF($A187&lt;SDR35SW!$A$124,VLOOKUP($A187,SDR35SW!$A$8:$M$123,9,FALSE),
IF($A187&lt;SDR35G!$A$143,VLOOKUP($A187, SDR35G!$A$8:$M$142,9,FALSE),
IF($A187&lt;SDR26G!$A$61,VLOOKUP($A187,SDR26G!$A$8:$N$60,10,FALSE),
IF($A187&lt;Cements!$A$100,VLOOKUP($A187,Cements!$A$8:$Q$99,13,FALSE),
IF($A187&lt;ValveBox!$A$143,VLOOKUP($A187,ValveBox!$A$10:$O$142,11,FALSE),
IF($A187&lt;'ValveBox Components'!$A$165,VLOOKUP($A187,'ValveBox Components'!$A$10:$O$164,11,FALSE),
IF($A187&lt;Drainage!$A$92,VLOOKUP($A187,Drainage!$A$8:$M$91,9,FALSE),
IF($A187&lt;Nipples!$A$82,VLOOKUP($A187,Nipples!$A$9:$Q$81,13,FALSE),
IF($A187&lt;Manifold!$A$33,VLOOKUP($A187,Manifold!$A$9:$M$32,9,FALSE),
IF($A187&lt;FlexibleRepairCouplings!$A$13,VLOOKUP($A187,FlexibleRepairCouplings!$A$10:$M$12,9,FALSE),
IF($A187&lt;DuraFix!$A$15,VLOOKUP($A187,DuraFix!$A$9:$M$14,9,FALSE),
IF($A187&lt;'Compression Fittings'!$A$16,VLOOKUP($A187,'Compression Fittings'!$A$8:$M$15,9,FALSE),
IF($A187&lt;'Hose Fittings'!$A$30,VLOOKUP($A187,'Hose Fittings'!$A$8:$M$29,9,FALSE),
IF($A187&lt;'Swing Joints'!$A$496,VLOOKUP($A187,'Swing Joints'!$A$9:$M$495,9,FALSE),
IF($A187&lt;'Swing Joints Components'!$A$135,VLOOKUP($A187,'Swing Joints Components'!$A$9:$M$134,9,FALSE),
IF($A187&lt;Nonstandard!$A$42,VLOOKUP($A187,Nonstandard!$A$31:$J$41,8,FALSE),"")))))))))))))))))))))))))))),"")</f>
        <v/>
      </c>
      <c r="G187" s="416" t="str">
        <f>IFERROR(IF($A187&lt;'DWV PVC'!$A$285,VLOOKUP($A187,'DWV PVC'!$A$8:$M$284,11,FALSE),
IF($A187&lt;'DWV ABS'!$A$117,VLOOKUP($A187,'DWV ABS'!$A$8:$M$116,11,FALSE),
IF($A187&lt;'PVC SCH40'!$A$376,VLOOKUP($A187,'PVC SCH40'!$A$8:$M$375,11,FALSE),
IF($A187&lt;'PVC SCH40 LD'!$A$22,VLOOKUP($A187,'PVC SCH40 LD'!$A$8:$M$21,11,FALSE),
IF($A187&lt;'Pool &amp; SPA Sweep Elbows'!$A$12,VLOOKUP($A187,'Pool &amp; SPA Sweep Elbows'!$A$8:$M$11,11,FALSE),
IF($A187&lt;'Pool &amp; SPA Pipe Extender'!$A$11,VLOOKUP($A187,'Pool &amp; SPA Pipe Extender'!$A$8:$M$10,11,FALSE),
IF($A187&lt;'PVC SCH80'!$A$250,VLOOKUP($A187,'PVC SCH80'!$A$8:$M$249,11,FALSE),
IF($A187&lt;'PVC SCH80 Flange'!$A$49,VLOOKUP($A187,'PVC SCH80 Flange'!$A$8:$M$48,11,FALSE),
IF($A187&lt;'PVC SCH80 LD Flange'!$A$17,VLOOKUP($A187,'PVC SCH80 LD Flange'!$A$8:$M$16,11,FALSE),
IF($A187&lt;CPVC!$A$100,VLOOKUP($A187,CPVC!$A$8:$M$99,11,FALSE),
IF($A187&lt;InsertFittings!$A$237,VLOOKUP($A187,InsertFittings!$A$11:$M$236,11,FALSE),
IF($A187&lt;Valves!$A$132,VLOOKUP($A187,Valves!$A$8:$M$131,11,FALSE),
IF($A187&lt;SDR35SW!$A$124,VLOOKUP($A187,SDR35SW!$A$8:$M$123,11,FALSE),
IF($A187&lt;SDR35G!$A$143,VLOOKUP($A187, SDR35G!$A$8:$M$142,11,FALSE),
IF($A187&lt;SDR26G!$A$61,VLOOKUP($A187,SDR26G!$A$8:$N$60,12,FALSE),
IF($A187&lt;Cements!$A$100,VLOOKUP($A187,Cements!$A$8:$Q$99,15,FALSE),
IF($A187&lt;ValveBox!$A$143,VLOOKUP($A187,ValveBox!$A$10:$O$142,13,FALSE),
IF($A187&lt;'ValveBox Components'!$A$165,VLOOKUP($A187,'ValveBox Components'!$A$10:$O$164,13,FALSE),
IF($A187&lt;Drainage!$A$92,VLOOKUP($A187,Drainage!$A$8:$M$91,11,FALSE),
IF($A187&lt;Nipples!$A$82,VLOOKUP($A187,Nipples!$A$9:$Q$81,15,FALSE),
IF($A187&lt;Manifold!$A$33,VLOOKUP($A187,Manifold!$A$9:$M$32,11,FALSE),
IF($A187&lt;FlexibleRepairCouplings!$A$13,VLOOKUP($A187,FlexibleRepairCouplings!$A$10:$M$12,11,FALSE),
IF($A187&lt;DuraFix!$A$15,VLOOKUP($A187,DuraFix!$A$9:$M$14,11,FALSE),
IF($A187&lt;'Compression Fittings'!$A$16,VLOOKUP($A187,'Compression Fittings'!$A$8:$M$15,11,FALSE),
IF($A187&lt;'Hose Fittings'!$A$30,VLOOKUP($A187,'Hose Fittings'!$A$8:$M$29,11,FALSE),
IF($A187&lt;'Swing Joints'!$A$496,VLOOKUP($A187,'Swing Joints'!$A$9:$M$495,11,FALSE),
IF($A187&lt;'Swing Joints Components'!$A$135,VLOOKUP($A187,'Swing Joints Components'!$A$9:$M$134,11,FALSE),
IF($A187&lt;Nonstandard!$A$42,VLOOKUP($A187,Nonstandard!$A$31:$J$41,3,FALSE),"")))))))))))))))))))))))))))),"")</f>
        <v/>
      </c>
      <c r="H187" s="586" t="str">
        <f>IFERROR(IF($A187&lt;'DWV PVC'!$A$285,VLOOKUP($A187,'DWV PVC'!$A$8:$M$284,7,FALSE),
IF($A187&lt;'DWV ABS'!$A$117,VLOOKUP($A187,'DWV ABS'!$A$8:$M$116,7,FALSE),
IF($A187&lt;'PVC SCH40'!$A$376,VLOOKUP($A187,'PVC SCH40'!$A$8:$M$375,7,FALSE),
IF($A187&lt;'PVC SCH40 LD'!$A$22,VLOOKUP($A187,'PVC SCH40 LD'!$A$8:$M$21,7,FALSE),
IF($A187&lt;'Pool &amp; SPA Sweep Elbows'!$A$12,VLOOKUP($A187,'Pool &amp; SPA Sweep Elbows'!$A$8:$M$11,7,FALSE),
IF($A187&lt;'Pool &amp; SPA Pipe Extender'!$A$11,VLOOKUP($A187,'Pool &amp; SPA Pipe Extender'!$A$8:$M$10,7,FALSE),
IF($A187&lt;'PVC SCH80'!$A$250,VLOOKUP($A187,'PVC SCH80'!$A$8:$M$249,7,FALSE),
IF($A187&lt;'PVC SCH80 Flange'!$A$49,VLOOKUP($A187,'PVC SCH80 Flange'!$A$8:$M$48,7,FALSE),
IF($A187&lt;'PVC SCH80 LD Flange'!$A$17,VLOOKUP($A187,'PVC SCH80 LD Flange'!$A$8:$M$16,7,FALSE),
IF($A187&lt;CPVC!$A$100,VLOOKUP($A187,CPVC!$A$8:$M$99,7,FALSE),
IF($A187&lt;InsertFittings!$A$237,VLOOKUP($A187,InsertFittings!$A$11:$M$236,7,FALSE),
IF($A187&lt;Valves!$A$132,VLOOKUP($A187,Valves!$A$8:$M$131,7,FALSE),
IF($A187&lt;SDR35SW!$A$124,VLOOKUP($A187,SDR35SW!$A$8:$M$123,7,FALSE),
IF($A187&lt;SDR35G!$A$143,VLOOKUP($A187, SDR35G!$A$8:$M$142,7,FALSE),
IF($A187&lt;SDR26G!$A$61,VLOOKUP($A187,SDR26G!$A$8:$N$60,10,FALSE),
IF($A187&lt;Cements!$A$100,VLOOKUP($A187,Cements!$A$8:$Q$99,13,FALSE),
IF($A187&lt;ValveBox!$A$143,VLOOKUP($A187,ValveBox!$A$10:$O$142,11,FALSE),
IF($A187&lt;'ValveBox Components'!$A$165,VLOOKUP($A187,'ValveBox Components'!$A$10:$O$164,11,FALSE),
IF($A187&lt;Drainage!$A$92,VLOOKUP($A187,Drainage!$A$8:$M$91,7,FALSE),
IF($A187&lt;Nipples!$A$82,VLOOKUP($A187,Nipples!$A$9:$Q$81,13,FALSE),
IF($A187&lt;Manifold!$A$33,VLOOKUP($A187,Manifold!$A$9:$M$32,7,FALSE),
IF($A187&lt;FlexibleRepairCouplings!$A$13,VLOOKUP($A187,FlexibleRepairCouplings!$A$10:$M$12,7,FALSE),
IF($A187&lt;DuraFix!$A$15,VLOOKUP($A187,DuraFix!$A$9:$M$14,7,FALSE),
IF($A187&lt;'Compression Fittings'!$A$16,VLOOKUP($A187,'Compression Fittings'!$A$8:$M$15,7,FALSE),
IF($A187&lt;'Hose Fittings'!$A$30,VLOOKUP($A187,'Hose Fittings'!$A$8:$M$29,7,FALSE),
IF($A187&lt;'Swing Joints'!$A$496,VLOOKUP($A187,'Swing Joints'!$A$9:$M$495,7,FALSE),
IF($A187&lt;'Swing Joints Components'!$A$135,VLOOKUP($A187,'Swing Joints Components'!$A$9:$M$134,7,FALSE),
IF($A187&lt;Nonstandard!$A$42,VLOOKUP($A187,Nonstandard!$A$31:$J$41,3,FALSE),"")))))))))))))))))))))))))))),"")</f>
        <v/>
      </c>
      <c r="I187" s="587"/>
      <c r="J187" s="383" t="str">
        <f t="shared" si="5"/>
        <v/>
      </c>
      <c r="K187" s="417" t="str">
        <f>IFERROR(IF($A187&lt;'DWV PVC'!$A$285,VLOOKUP($A187,'DWV PVC'!$A$8:$M$284,10,FALSE),
IF($A187&lt;'DWV ABS'!$A$117,VLOOKUP($A187,'DWV ABS'!$A$8:$M$116,10,FALSE),
IF($A187&lt;'PVC SCH40'!$A$376,VLOOKUP($A187,'PVC SCH40'!$A$8:$M$375,10,FALSE),
IF($A187&lt;'PVC SCH40 LD'!$A$22,VLOOKUP($A187,'PVC SCH40 LD'!$A$8:$M$21,10,FALSE),
IF($A187&lt;'Pool &amp; SPA Sweep Elbows'!$A$12,VLOOKUP($A187,'Pool &amp; SPA Sweep Elbows'!$A$8:$M$11,10,FALSE),
IF($A187&lt;'Pool &amp; SPA Pipe Extender'!$A$11,VLOOKUP($A187,'Pool &amp; SPA Pipe Extender'!$A$8:$M$10,10,FALSE),
IF($A187&lt;'PVC SCH80'!$A$250,VLOOKUP($A187,'PVC SCH80'!$A$8:$M$249,10,FALSE),
IF($A187&lt;'PVC SCH80 Flange'!$A$49,VLOOKUP($A187,'PVC SCH80 Flange'!$A$8:$M$48,10,FALSE),
IF($A187&lt;'PVC SCH80 LD Flange'!$A$17,VLOOKUP($A187,'PVC SCH80 LD Flange'!$A$8:$M$16,10,FALSE),
IF($A187&lt;CPVC!$A$100,VLOOKUP($A187,CPVC!$A$8:$M$99,10,FALSE),
IF($A187&lt;InsertFittings!$A$237,VLOOKUP($A187,InsertFittings!$A$11:$M$236,10,FALSE),
IF($A187&lt;Valves!$A$132,VLOOKUP($A187,Valves!$A$8:$M$131,10,FALSE),
IF($A187&lt;SDR35SW!$A$124,VLOOKUP($A187,SDR35SW!$A$8:$M$123,10,FALSE),
IF($A187&lt;SDR35G!$A$143,VLOOKUP($A187, SDR35G!$A$8:$M$142,10,FALSE),
IF($A187&lt;SDR26G!$A$61,VLOOKUP($A187,SDR26G!$A$8:$N$60,11,FALSE),
IF($A187&lt;Cements!$A$100,VLOOKUP($A187,Cements!$A$8:$Q$99,14,FALSE),
IF($A187&lt;ValveBox!$A$143,VLOOKUP($A187,ValveBox!$A$10:$O$142,12,FALSE),
IF($A187&lt;'ValveBox Components'!$A$165,VLOOKUP($A187,'ValveBox Components'!$A$10:$O$164,12,FALSE),
IF($A187&lt;Drainage!$A$92,VLOOKUP($A187,Drainage!$A$8:$M$91,10,FALSE),
IF($A187&lt;Nipples!$A$82,VLOOKUP($A187,Nipples!$A$9:$Q$81,14,FALSE),
IF($A187&lt;Manifold!$A$33,VLOOKUP($A187,Manifold!$A$9:$M$32,10,FALSE),
IF($A187&lt;FlexibleRepairCouplings!$A$13,VLOOKUP($A187,FlexibleRepairCouplings!$A$10:$M$12,10,FALSE),
IF($A187&lt;DuraFix!$A$15,VLOOKUP($A187,DuraFix!$A$9:$M$14,10,FALSE),
IF($A187&lt;'Compression Fittings'!$A$16,VLOOKUP($A187,'Compression Fittings'!$A$8:$M$15,10,FALSE),
IF($A187&lt;'Hose Fittings'!$A$30,VLOOKUP($A187,'Hose Fittings'!$A$8:$M$29,10,FALSE),
IF($A187&lt;'Swing Joints'!$A$496,VLOOKUP($A187,'Swing Joints'!$A$9:$M$495,10,FALSE),
IF($A187&lt;'Swing Joints Components'!$A$135,VLOOKUP($A187,'Swing Joints Components'!$A$9:$M$134,10,FALSE),
IF($A187&lt;Nonstandard!$A$42,VLOOKUP($A187,Nonstandard!$A$31:$J$41,10,FALSE),"")))))))))))))))))))))))))))),"")</f>
        <v/>
      </c>
      <c r="L187" s="418" t="str">
        <f t="shared" si="4"/>
        <v>-</v>
      </c>
      <c r="M187" s="419"/>
    </row>
    <row r="188" spans="1:13" ht="15.75">
      <c r="A188" s="420">
        <v>156</v>
      </c>
      <c r="B188" s="420" t="str">
        <f>IFERROR(IF($A188&lt;'DWV PVC'!$A$285,VLOOKUP($A188,'DWV PVC'!$A$8:$M$284,4,FALSE),
IF($A188&lt;'DWV ABS'!$A$117,VLOOKUP($A188,'DWV ABS'!$A$8:$M$116,4,FALSE),
IF($A188&lt;'PVC SCH40'!$A$376,VLOOKUP($A188,'PVC SCH40'!$A$8:$M$375,4,FALSE),
IF($A188&lt;'PVC SCH40 LD'!$A$22,VLOOKUP($A188,'PVC SCH40 LD'!$A$8:$M$21,4,FALSE),
IF($A188&lt;'Pool &amp; SPA Sweep Elbows'!$A$12,VLOOKUP($A188,'Pool &amp; SPA Sweep Elbows'!$A$8:$M$11,4,FALSE),
IF($A188&lt;'Pool &amp; SPA Pipe Extender'!$A$11,VLOOKUP($A188,'Pool &amp; SPA Pipe Extender'!$A$8:$M$10,4,FALSE),
IF($A188&lt;'PVC SCH80'!$A$250,VLOOKUP($A188,'PVC SCH80'!$A$8:$M$249,4,FALSE),
IF($A188&lt;'PVC SCH80 Flange'!$A$49,VLOOKUP($A188,'PVC SCH80 Flange'!$A$8:$M$48,4,FALSE),
IF($A188&lt;'PVC SCH80 LD Flange'!$A$17,VLOOKUP($A188,'PVC SCH80 LD Flange'!$A$8:$M$16,4,FALSE),
IF($A188&lt;CPVC!$A$100,VLOOKUP($A188,CPVC!$A$8:$M$99,4,FALSE),
IF($A188&lt;InsertFittings!$A$237,VLOOKUP($A188,InsertFittings!$A$11:$M$236,4,FALSE),
IF($A188&lt;Valves!$A$132,VLOOKUP($A188,Valves!$A$8:$M$131,4,FALSE),
IF($A188&lt;SDR35SW!$A$124,VLOOKUP($A188,SDR35SW!$A$8:$M$123,4,FALSE),
IF($A188&lt;SDR35G!$A$143,VLOOKUP($A188, SDR35G!$A$8:$M$142,4,FALSE),
IF($A188&lt;SDR26G!$A$61,VLOOKUP($A188,SDR26G!$A$8:$N$60,4,FALSE),
IF($A188&lt;Cements!$A$100,VLOOKUP($A188,Cements!$A$8:$Q$99,4,FALSE),
IF($A188&lt;ValveBox!$A$143,VLOOKUP($A188,ValveBox!$A$10:$O$142,4,FALSE),
IF($A188&lt;'ValveBox Components'!$A$165,VLOOKUP($A188,'ValveBox Components'!$A$10:$O$164,4,FALSE),
IF($A188&lt;Drainage!$A$92,VLOOKUP($A188,Drainage!$A$8:$M$91,4,FALSE),
IF($A188&lt;Nipples!$A$82,VLOOKUP($A188,Nipples!$A$9:$Q$81,4,FALSE),
IF($A188&lt;Manifold!$A$33,VLOOKUP($A188,Manifold!$A$9:$M$32,4,FALSE),
IF($A188&lt;FlexibleRepairCouplings!$A$13,VLOOKUP($A188,FlexibleRepairCouplings!$A$10:$M$12,4,FALSE),
IF($A188&lt;DuraFix!$A$15,VLOOKUP($A188,DuraFix!$A$9:$M$14,4,FALSE),
IF($A188&lt;'Compression Fittings'!$A$16,VLOOKUP($A188,'Compression Fittings'!$A$8:$M$15,4,FALSE),
IF($A188&lt;'Hose Fittings'!$A$30,VLOOKUP($A188,'Hose Fittings'!$A$8:$M$29,4,FALSE),
IF($A188&lt;'Swing Joints'!$A$496,VLOOKUP($A188,'Swing Joints'!$A$9:$M$495,4,FALSE),
IF($A188&lt;'Swing Joints Components'!$A$135,VLOOKUP($A188,'Swing Joints Components'!$A$9:$M$134,4,FALSE),
IF($A188&lt;Nonstandard!$A$42,VLOOKUP($A188,Nonstandard!$A$31:$J$41,5,FALSE),"")))))))))))))))))))))))))))),"")</f>
        <v/>
      </c>
      <c r="C188" s="420" t="str">
        <f>IFERROR(IF($A188&lt;'DWV PVC'!$A$285,VLOOKUP($A188,'DWV PVC'!$A$8:$M$284,5,FALSE),
IF($A188&lt;'DWV ABS'!$A$117,VLOOKUP($A188,'DWV ABS'!$A$8:$M$116,5,FALSE),
IF($A188&lt;'PVC SCH40'!$A$376,VLOOKUP($A188,'PVC SCH40'!$A$8:$M$375,5,FALSE),
IF($A188&lt;'PVC SCH40 LD'!$A$22,VLOOKUP($A188,'PVC SCH40 LD'!$A$8:$M$21,5,FALSE),
IF($A188&lt;'Pool &amp; SPA Sweep Elbows'!$A$12,VLOOKUP($A188,'Pool &amp; SPA Sweep Elbows'!$A$8:$M$11,5,FALSE),
IF($A188&lt;'Pool &amp; SPA Pipe Extender'!$A$11,VLOOKUP($A188,'Pool &amp; SPA Pipe Extender'!$A$8:$M$10,5,FALSE),
IF($A188&lt;'PVC SCH80'!$A$250,VLOOKUP($A188,'PVC SCH80'!$A$8:$M$249,5,FALSE),
IF($A188&lt;'PVC SCH80 Flange'!$A$49,VLOOKUP($A188,'PVC SCH80 Flange'!$A$8:$M$48,5,FALSE),
IF($A188&lt;'PVC SCH80 LD Flange'!$A$17,VLOOKUP($A188,'PVC SCH80 LD Flange'!$A$8:$M$16,5,FALSE),
IF($A188&lt;CPVC!$A$100,VLOOKUP($A188,CPVC!$A$8:$M$99,5,FALSE),
IF($A188&lt;InsertFittings!$A$237,VLOOKUP($A188,InsertFittings!$A$11:$M$236,5,FALSE),
IF($A188&lt;Valves!$A$132,VLOOKUP($A188,Valves!$A$8:$M$131,5,FALSE),
IF($A188&lt;SDR35SW!$A$124,VLOOKUP($A188,SDR35SW!$A$8:$M$123,5,FALSE),
IF($A188&lt;SDR35G!$A$143,VLOOKUP($A188, SDR35G!$A$8:$M$142,5,FALSE),
IF($A188&lt;SDR26G!$A$61,VLOOKUP($A188,SDR26G!$A$8:$N$60,5,FALSE),
IF($A188&lt;Cements!$A$100,VLOOKUP($A188,Cements!$A$8:$Q$99,5,FALSE),
IF($A188&lt;ValveBox!$A$143,VLOOKUP($A188,ValveBox!$A$10:$O$142,5,FALSE),
IF($A188&lt;'ValveBox Components'!$A$165,VLOOKUP($A188,'ValveBox Components'!$A$10:$O$164,5,FALSE),
IF($A188&lt;Drainage!$A$92,VLOOKUP($A188,Drainage!$A$8:$M$91,5,FALSE),
IF($A188&lt;Nipples!$A$82,VLOOKUP($A188,Nipples!$A$9:$Q$81,5,FALSE),
IF($A188&lt;Manifold!$A$33,VLOOKUP($A188,Manifold!$A$9:$M$32,5,FALSE),
IF($A188&lt;FlexibleRepairCouplings!$A$13,VLOOKUP($A188,FlexibleRepairCouplings!$A$10:$M$12,5,FALSE),
IF($A188&lt;DuraFix!$A$15,VLOOKUP($A188,DuraFix!$A$9:$M$14,5,FALSE),
IF($A188&lt;'Compression Fittings'!$A$16,VLOOKUP($A188,'Compression Fittings'!$A$8:$M$15,5,FALSE),
IF($A188&lt;'Hose Fittings'!$A$30,VLOOKUP($A188,'Hose Fittings'!$A$8:$M$29,5,FALSE),
IF($A188&lt;'Swing Joints'!$A$496,VLOOKUP($A188,'Swing Joints'!$A$9:$M$495,5,FALSE),
IF($A188&lt;'Swing Joints Components'!$A$135,VLOOKUP($A188,'Swing Joints Components'!$A$9:$M$134,5,FALSE),
IF($A188&lt;Nonstandard!$A$42,VLOOKUP($A188,Nonstandard!$A$31:$J$41,6,FALSE),"")))))))))))))))))))))))))))),"")</f>
        <v/>
      </c>
      <c r="D188" s="428" t="str">
        <f>IFERROR(IF($A188&lt;'DWV PVC'!$A$285,VLOOKUP($A188,'DWV PVC'!$A$8:$M$284,6,FALSE),
IF($A188&lt;'DWV ABS'!$A$117,VLOOKUP($A188,'DWV ABS'!$A$8:$M$116,6,FALSE),
IF($A188&lt;'PVC SCH40'!$A$376,VLOOKUP($A188,'PVC SCH40'!$A$8:$M$375,6,FALSE),
IF($A188&lt;'PVC SCH40 LD'!$A$22,VLOOKUP($A188,'PVC SCH40 LD'!$A$8:$M$21,6,FALSE),
IF($A188&lt;'Pool &amp; SPA Sweep Elbows'!$A$12,VLOOKUP($A188,'Pool &amp; SPA Sweep Elbows'!$A$8:$M$11,6,FALSE),
IF($A188&lt;'Pool &amp; SPA Pipe Extender'!$A$11,VLOOKUP($A188,'Pool &amp; SPA Pipe Extender'!$A$8:$M$10,6,FALSE),
IF($A188&lt;'PVC SCH80'!$A$250,VLOOKUP($A188,'PVC SCH80'!$A$8:$M$249,6,FALSE),
IF($A188&lt;'PVC SCH80 Flange'!$A$49,VLOOKUP($A188,'PVC SCH80 Flange'!$A$8:$M$48,6,FALSE),
IF($A188&lt;'PVC SCH80 LD Flange'!$A$17,VLOOKUP($A188,'PVC SCH80 LD Flange'!$A$8:$M$16,6,FALSE),
IF($A188&lt;CPVC!$A$100,VLOOKUP($A188,CPVC!$A$8:$M$99,6,FALSE),
IF($A188&lt;InsertFittings!$A$237,VLOOKUP($A188,InsertFittings!$A$11:$M$236,6,FALSE),
IF($A188&lt;Valves!$A$132,VLOOKUP($A188,Valves!$A$8:$M$131,6,FALSE),
IF($A188&lt;SDR35SW!$A$124,VLOOKUP($A188,SDR35SW!$A$8:$M$123,6,FALSE),
IF($A188&lt;SDR35G!$A$143,VLOOKUP($A188, SDR35G!$A$8:$M$142,6,FALSE),
IF($A188&lt;SDR26G!$A$61,VLOOKUP($A188,SDR26G!$A$8:$N$60,6,FALSE),
IF($A188&lt;Cements!$A$100,VLOOKUP($A188,Cements!$A$8:$Q$99,6,FALSE),
IF($A188&lt;ValveBox!$A$143,VLOOKUP($A188,ValveBox!$A$10:$O$142,6,FALSE),
IF($A188&lt;'ValveBox Components'!$A$165,VLOOKUP($A188,'ValveBox Components'!$A$10:$O$164,6,FALSE),
IF($A188&lt;Drainage!$A$92,VLOOKUP($A188,Drainage!$A$8:$M$91,6,FALSE),
IF($A188&lt;Nipples!$A$82,VLOOKUP($A188,Nipples!$A$9:$Q$81,6,FALSE),
IF($A188&lt;Manifold!$A$33,VLOOKUP($A188,Manifold!$A$9:$M$32,6,FALSE),
IF($A188&lt;FlexibleRepairCouplings!$A$13,VLOOKUP($A188,FlexibleRepairCouplings!$A$10:$M$12,6,FALSE),
IF($A188&lt;DuraFix!$A$15,VLOOKUP($A188,DuraFix!$A$9:$M$14,6,FALSE),
IF($A188&lt;'Compression Fittings'!$A$16,VLOOKUP($A188,'Compression Fittings'!$A$8:$M$15,6,FALSE),
IF($A188&lt;'Hose Fittings'!$A$30,VLOOKUP($A188,'Hose Fittings'!$A$8:$M$29,6,FALSE),
IF($A188&lt;'Swing Joints'!$A$496,VLOOKUP($A188,'Swing Joints'!$A$9:$M$495,6,FALSE),
IF($A188&lt;'Swing Joints Components'!$A$135,VLOOKUP($A188,'Swing Joints Components'!$A$9:$M$134,6,FALSE),
IF($A188&lt;Nonstandard!$A$42,VLOOKUP($A188,Nonstandard!$A$31:$J$41,7,FALSE),"")))))))))))))))))))))))))))),"")</f>
        <v/>
      </c>
      <c r="E188" s="429"/>
      <c r="F188" s="421" t="str">
        <f>IFERROR(IF($A188&lt;'DWV PVC'!$A$285,VLOOKUP($A188,'DWV PVC'!$A$8:$M$284,9,FALSE),
IF($A188&lt;'DWV ABS'!$A$117,VLOOKUP($A188,'DWV ABS'!$A$8:$M$116,9,FALSE),
IF($A188&lt;'PVC SCH40'!$A$376,VLOOKUP($A188,'PVC SCH40'!$A$8:$M$375,9,FALSE),
IF($A188&lt;'PVC SCH40 LD'!$A$22,VLOOKUP($A188,'PVC SCH40 LD'!$A$8:$M$21,9,FALSE),
IF($A188&lt;'Pool &amp; SPA Sweep Elbows'!$A$12,VLOOKUP($A188,'Pool &amp; SPA Sweep Elbows'!$A$8:$M$11,9,FALSE),
IF($A188&lt;'Pool &amp; SPA Pipe Extender'!$A$11,VLOOKUP($A188,'Pool &amp; SPA Pipe Extender'!$A$8:$M$10,9,FALSE),
IF($A188&lt;'PVC SCH80'!$A$250,VLOOKUP($A188,'PVC SCH80'!$A$8:$M$249,9,FALSE),
IF($A188&lt;'PVC SCH80 Flange'!$A$49,VLOOKUP($A188,'PVC SCH80 Flange'!$A$8:$M$48,9,FALSE),
IF($A188&lt;'PVC SCH80 LD Flange'!$A$17,VLOOKUP($A188,'PVC SCH80 LD Flange'!$A$8:$M$16,9,FALSE),
IF($A188&lt;CPVC!$A$100,VLOOKUP($A188,CPVC!$A$8:$M$99,9,FALSE),
IF($A188&lt;InsertFittings!$A$237,VLOOKUP($A188,InsertFittings!$A$11:$M$236,9,FALSE),
IF($A188&lt;Valves!$A$132,VLOOKUP($A188,Valves!$A$8:$M$131,9,FALSE),
IF($A188&lt;SDR35SW!$A$124,VLOOKUP($A188,SDR35SW!$A$8:$M$123,9,FALSE),
IF($A188&lt;SDR35G!$A$143,VLOOKUP($A188, SDR35G!$A$8:$M$142,9,FALSE),
IF($A188&lt;SDR26G!$A$61,VLOOKUP($A188,SDR26G!$A$8:$N$60,10,FALSE),
IF($A188&lt;Cements!$A$100,VLOOKUP($A188,Cements!$A$8:$Q$99,13,FALSE),
IF($A188&lt;ValveBox!$A$143,VLOOKUP($A188,ValveBox!$A$10:$O$142,11,FALSE),
IF($A188&lt;'ValveBox Components'!$A$165,VLOOKUP($A188,'ValveBox Components'!$A$10:$O$164,11,FALSE),
IF($A188&lt;Drainage!$A$92,VLOOKUP($A188,Drainage!$A$8:$M$91,9,FALSE),
IF($A188&lt;Nipples!$A$82,VLOOKUP($A188,Nipples!$A$9:$Q$81,13,FALSE),
IF($A188&lt;Manifold!$A$33,VLOOKUP($A188,Manifold!$A$9:$M$32,9,FALSE),
IF($A188&lt;FlexibleRepairCouplings!$A$13,VLOOKUP($A188,FlexibleRepairCouplings!$A$10:$M$12,9,FALSE),
IF($A188&lt;DuraFix!$A$15,VLOOKUP($A188,DuraFix!$A$9:$M$14,9,FALSE),
IF($A188&lt;'Compression Fittings'!$A$16,VLOOKUP($A188,'Compression Fittings'!$A$8:$M$15,9,FALSE),
IF($A188&lt;'Hose Fittings'!$A$30,VLOOKUP($A188,'Hose Fittings'!$A$8:$M$29,9,FALSE),
IF($A188&lt;'Swing Joints'!$A$496,VLOOKUP($A188,'Swing Joints'!$A$9:$M$495,9,FALSE),
IF($A188&lt;'Swing Joints Components'!$A$135,VLOOKUP($A188,'Swing Joints Components'!$A$9:$M$134,9,FALSE),
IF($A188&lt;Nonstandard!$A$42,VLOOKUP($A188,Nonstandard!$A$31:$J$41,8,FALSE),"")))))))))))))))))))))))))))),"")</f>
        <v/>
      </c>
      <c r="G188" s="422" t="str">
        <f>IFERROR(IF($A188&lt;'DWV PVC'!$A$285,VLOOKUP($A188,'DWV PVC'!$A$8:$M$284,11,FALSE),
IF($A188&lt;'DWV ABS'!$A$117,VLOOKUP($A188,'DWV ABS'!$A$8:$M$116,11,FALSE),
IF($A188&lt;'PVC SCH40'!$A$376,VLOOKUP($A188,'PVC SCH40'!$A$8:$M$375,11,FALSE),
IF($A188&lt;'PVC SCH40 LD'!$A$22,VLOOKUP($A188,'PVC SCH40 LD'!$A$8:$M$21,11,FALSE),
IF($A188&lt;'Pool &amp; SPA Sweep Elbows'!$A$12,VLOOKUP($A188,'Pool &amp; SPA Sweep Elbows'!$A$8:$M$11,11,FALSE),
IF($A188&lt;'Pool &amp; SPA Pipe Extender'!$A$11,VLOOKUP($A188,'Pool &amp; SPA Pipe Extender'!$A$8:$M$10,11,FALSE),
IF($A188&lt;'PVC SCH80'!$A$250,VLOOKUP($A188,'PVC SCH80'!$A$8:$M$249,11,FALSE),
IF($A188&lt;'PVC SCH80 Flange'!$A$49,VLOOKUP($A188,'PVC SCH80 Flange'!$A$8:$M$48,11,FALSE),
IF($A188&lt;'PVC SCH80 LD Flange'!$A$17,VLOOKUP($A188,'PVC SCH80 LD Flange'!$A$8:$M$16,11,FALSE),
IF($A188&lt;CPVC!$A$100,VLOOKUP($A188,CPVC!$A$8:$M$99,11,FALSE),
IF($A188&lt;InsertFittings!$A$237,VLOOKUP($A188,InsertFittings!$A$11:$M$236,11,FALSE),
IF($A188&lt;Valves!$A$132,VLOOKUP($A188,Valves!$A$8:$M$131,11,FALSE),
IF($A188&lt;SDR35SW!$A$124,VLOOKUP($A188,SDR35SW!$A$8:$M$123,11,FALSE),
IF($A188&lt;SDR35G!$A$143,VLOOKUP($A188, SDR35G!$A$8:$M$142,11,FALSE),
IF($A188&lt;SDR26G!$A$61,VLOOKUP($A188,SDR26G!$A$8:$N$60,12,FALSE),
IF($A188&lt;Cements!$A$100,VLOOKUP($A188,Cements!$A$8:$Q$99,15,FALSE),
IF($A188&lt;ValveBox!$A$143,VLOOKUP($A188,ValveBox!$A$10:$O$142,13,FALSE),
IF($A188&lt;'ValveBox Components'!$A$165,VLOOKUP($A188,'ValveBox Components'!$A$10:$O$164,13,FALSE),
IF($A188&lt;Drainage!$A$92,VLOOKUP($A188,Drainage!$A$8:$M$91,11,FALSE),
IF($A188&lt;Nipples!$A$82,VLOOKUP($A188,Nipples!$A$9:$Q$81,15,FALSE),
IF($A188&lt;Manifold!$A$33,VLOOKUP($A188,Manifold!$A$9:$M$32,11,FALSE),
IF($A188&lt;FlexibleRepairCouplings!$A$13,VLOOKUP($A188,FlexibleRepairCouplings!$A$10:$M$12,11,FALSE),
IF($A188&lt;DuraFix!$A$15,VLOOKUP($A188,DuraFix!$A$9:$M$14,11,FALSE),
IF($A188&lt;'Compression Fittings'!$A$16,VLOOKUP($A188,'Compression Fittings'!$A$8:$M$15,11,FALSE),
IF($A188&lt;'Hose Fittings'!$A$30,VLOOKUP($A188,'Hose Fittings'!$A$8:$M$29,11,FALSE),
IF($A188&lt;'Swing Joints'!$A$496,VLOOKUP($A188,'Swing Joints'!$A$9:$M$495,11,FALSE),
IF($A188&lt;'Swing Joints Components'!$A$135,VLOOKUP($A188,'Swing Joints Components'!$A$9:$M$134,11,FALSE),
IF($A188&lt;Nonstandard!$A$42,VLOOKUP($A188,Nonstandard!$A$31:$J$41,3,FALSE),"")))))))))))))))))))))))))))),"")</f>
        <v/>
      </c>
      <c r="H188" s="588" t="str">
        <f>IFERROR(IF($A188&lt;'DWV PVC'!$A$285,VLOOKUP($A188,'DWV PVC'!$A$8:$M$284,7,FALSE),
IF($A188&lt;'DWV ABS'!$A$117,VLOOKUP($A188,'DWV ABS'!$A$8:$M$116,7,FALSE),
IF($A188&lt;'PVC SCH40'!$A$376,VLOOKUP($A188,'PVC SCH40'!$A$8:$M$375,7,FALSE),
IF($A188&lt;'PVC SCH40 LD'!$A$22,VLOOKUP($A188,'PVC SCH40 LD'!$A$8:$M$21,7,FALSE),
IF($A188&lt;'Pool &amp; SPA Sweep Elbows'!$A$12,VLOOKUP($A188,'Pool &amp; SPA Sweep Elbows'!$A$8:$M$11,7,FALSE),
IF($A188&lt;'Pool &amp; SPA Pipe Extender'!$A$11,VLOOKUP($A188,'Pool &amp; SPA Pipe Extender'!$A$8:$M$10,7,FALSE),
IF($A188&lt;'PVC SCH80'!$A$250,VLOOKUP($A188,'PVC SCH80'!$A$8:$M$249,7,FALSE),
IF($A188&lt;'PVC SCH80 Flange'!$A$49,VLOOKUP($A188,'PVC SCH80 Flange'!$A$8:$M$48,7,FALSE),
IF($A188&lt;'PVC SCH80 LD Flange'!$A$17,VLOOKUP($A188,'PVC SCH80 LD Flange'!$A$8:$M$16,7,FALSE),
IF($A188&lt;CPVC!$A$100,VLOOKUP($A188,CPVC!$A$8:$M$99,7,FALSE),
IF($A188&lt;InsertFittings!$A$237,VLOOKUP($A188,InsertFittings!$A$11:$M$236,7,FALSE),
IF($A188&lt;Valves!$A$132,VLOOKUP($A188,Valves!$A$8:$M$131,7,FALSE),
IF($A188&lt;SDR35SW!$A$124,VLOOKUP($A188,SDR35SW!$A$8:$M$123,7,FALSE),
IF($A188&lt;SDR35G!$A$143,VLOOKUP($A188, SDR35G!$A$8:$M$142,7,FALSE),
IF($A188&lt;SDR26G!$A$61,VLOOKUP($A188,SDR26G!$A$8:$N$60,10,FALSE),
IF($A188&lt;Cements!$A$100,VLOOKUP($A188,Cements!$A$8:$Q$99,13,FALSE),
IF($A188&lt;ValveBox!$A$143,VLOOKUP($A188,ValveBox!$A$10:$O$142,11,FALSE),
IF($A188&lt;'ValveBox Components'!$A$165,VLOOKUP($A188,'ValveBox Components'!$A$10:$O$164,11,FALSE),
IF($A188&lt;Drainage!$A$92,VLOOKUP($A188,Drainage!$A$8:$M$91,7,FALSE),
IF($A188&lt;Nipples!$A$82,VLOOKUP($A188,Nipples!$A$9:$Q$81,13,FALSE),
IF($A188&lt;Manifold!$A$33,VLOOKUP($A188,Manifold!$A$9:$M$32,7,FALSE),
IF($A188&lt;FlexibleRepairCouplings!$A$13,VLOOKUP($A188,FlexibleRepairCouplings!$A$10:$M$12,7,FALSE),
IF($A188&lt;DuraFix!$A$15,VLOOKUP($A188,DuraFix!$A$9:$M$14,7,FALSE),
IF($A188&lt;'Compression Fittings'!$A$16,VLOOKUP($A188,'Compression Fittings'!$A$8:$M$15,7,FALSE),
IF($A188&lt;'Hose Fittings'!$A$30,VLOOKUP($A188,'Hose Fittings'!$A$8:$M$29,7,FALSE),
IF($A188&lt;'Swing Joints'!$A$496,VLOOKUP($A188,'Swing Joints'!$A$9:$M$495,7,FALSE),
IF($A188&lt;'Swing Joints Components'!$A$135,VLOOKUP($A188,'Swing Joints Components'!$A$9:$M$134,7,FALSE),
IF($A188&lt;Nonstandard!$A$42,VLOOKUP($A188,Nonstandard!$A$31:$J$41,3,FALSE),"")))))))))))))))))))))))))))),"")</f>
        <v/>
      </c>
      <c r="I188" s="589"/>
      <c r="J188" s="423" t="str">
        <f t="shared" si="5"/>
        <v/>
      </c>
      <c r="K188" s="424" t="str">
        <f>IFERROR(IF($A188&lt;'DWV PVC'!$A$285,VLOOKUP($A188,'DWV PVC'!$A$8:$M$284,10,FALSE),
IF($A188&lt;'DWV ABS'!$A$117,VLOOKUP($A188,'DWV ABS'!$A$8:$M$116,10,FALSE),
IF($A188&lt;'PVC SCH40'!$A$376,VLOOKUP($A188,'PVC SCH40'!$A$8:$M$375,10,FALSE),
IF($A188&lt;'PVC SCH40 LD'!$A$22,VLOOKUP($A188,'PVC SCH40 LD'!$A$8:$M$21,10,FALSE),
IF($A188&lt;'Pool &amp; SPA Sweep Elbows'!$A$12,VLOOKUP($A188,'Pool &amp; SPA Sweep Elbows'!$A$8:$M$11,10,FALSE),
IF($A188&lt;'Pool &amp; SPA Pipe Extender'!$A$11,VLOOKUP($A188,'Pool &amp; SPA Pipe Extender'!$A$8:$M$10,10,FALSE),
IF($A188&lt;'PVC SCH80'!$A$250,VLOOKUP($A188,'PVC SCH80'!$A$8:$M$249,10,FALSE),
IF($A188&lt;'PVC SCH80 Flange'!$A$49,VLOOKUP($A188,'PVC SCH80 Flange'!$A$8:$M$48,10,FALSE),
IF($A188&lt;'PVC SCH80 LD Flange'!$A$17,VLOOKUP($A188,'PVC SCH80 LD Flange'!$A$8:$M$16,10,FALSE),
IF($A188&lt;CPVC!$A$100,VLOOKUP($A188,CPVC!$A$8:$M$99,10,FALSE),
IF($A188&lt;InsertFittings!$A$237,VLOOKUP($A188,InsertFittings!$A$11:$M$236,10,FALSE),
IF($A188&lt;Valves!$A$132,VLOOKUP($A188,Valves!$A$8:$M$131,10,FALSE),
IF($A188&lt;SDR35SW!$A$124,VLOOKUP($A188,SDR35SW!$A$8:$M$123,10,FALSE),
IF($A188&lt;SDR35G!$A$143,VLOOKUP($A188, SDR35G!$A$8:$M$142,10,FALSE),
IF($A188&lt;SDR26G!$A$61,VLOOKUP($A188,SDR26G!$A$8:$N$60,11,FALSE),
IF($A188&lt;Cements!$A$100,VLOOKUP($A188,Cements!$A$8:$Q$99,14,FALSE),
IF($A188&lt;ValveBox!$A$143,VLOOKUP($A188,ValveBox!$A$10:$O$142,12,FALSE),
IF($A188&lt;'ValveBox Components'!$A$165,VLOOKUP($A188,'ValveBox Components'!$A$10:$O$164,12,FALSE),
IF($A188&lt;Drainage!$A$92,VLOOKUP($A188,Drainage!$A$8:$M$91,10,FALSE),
IF($A188&lt;Nipples!$A$82,VLOOKUP($A188,Nipples!$A$9:$Q$81,14,FALSE),
IF($A188&lt;Manifold!$A$33,VLOOKUP($A188,Manifold!$A$9:$M$32,10,FALSE),
IF($A188&lt;FlexibleRepairCouplings!$A$13,VLOOKUP($A188,FlexibleRepairCouplings!$A$10:$M$12,10,FALSE),
IF($A188&lt;DuraFix!$A$15,VLOOKUP($A188,DuraFix!$A$9:$M$14,10,FALSE),
IF($A188&lt;'Compression Fittings'!$A$16,VLOOKUP($A188,'Compression Fittings'!$A$8:$M$15,10,FALSE),
IF($A188&lt;'Hose Fittings'!$A$30,VLOOKUP($A188,'Hose Fittings'!$A$8:$M$29,10,FALSE),
IF($A188&lt;'Swing Joints'!$A$496,VLOOKUP($A188,'Swing Joints'!$A$9:$M$495,10,FALSE),
IF($A188&lt;'Swing Joints Components'!$A$135,VLOOKUP($A188,'Swing Joints Components'!$A$9:$M$134,10,FALSE),
IF($A188&lt;Nonstandard!$A$42,VLOOKUP($A188,Nonstandard!$A$31:$J$41,10,FALSE),"")))))))))))))))))))))))))))),"")</f>
        <v/>
      </c>
      <c r="L188" s="421" t="str">
        <f t="shared" si="4"/>
        <v>-</v>
      </c>
      <c r="M188" s="425"/>
    </row>
    <row r="189" spans="1:13" ht="15.75">
      <c r="A189" s="415">
        <v>157</v>
      </c>
      <c r="B189" s="415" t="str">
        <f>IFERROR(IF($A189&lt;'DWV PVC'!$A$285,VLOOKUP($A189,'DWV PVC'!$A$8:$M$284,4,FALSE),
IF($A189&lt;'DWV ABS'!$A$117,VLOOKUP($A189,'DWV ABS'!$A$8:$M$116,4,FALSE),
IF($A189&lt;'PVC SCH40'!$A$376,VLOOKUP($A189,'PVC SCH40'!$A$8:$M$375,4,FALSE),
IF($A189&lt;'PVC SCH40 LD'!$A$22,VLOOKUP($A189,'PVC SCH40 LD'!$A$8:$M$21,4,FALSE),
IF($A189&lt;'Pool &amp; SPA Sweep Elbows'!$A$12,VLOOKUP($A189,'Pool &amp; SPA Sweep Elbows'!$A$8:$M$11,4,FALSE),
IF($A189&lt;'Pool &amp; SPA Pipe Extender'!$A$11,VLOOKUP($A189,'Pool &amp; SPA Pipe Extender'!$A$8:$M$10,4,FALSE),
IF($A189&lt;'PVC SCH80'!$A$250,VLOOKUP($A189,'PVC SCH80'!$A$8:$M$249,4,FALSE),
IF($A189&lt;'PVC SCH80 Flange'!$A$49,VLOOKUP($A189,'PVC SCH80 Flange'!$A$8:$M$48,4,FALSE),
IF($A189&lt;'PVC SCH80 LD Flange'!$A$17,VLOOKUP($A189,'PVC SCH80 LD Flange'!$A$8:$M$16,4,FALSE),
IF($A189&lt;CPVC!$A$100,VLOOKUP($A189,CPVC!$A$8:$M$99,4,FALSE),
IF($A189&lt;InsertFittings!$A$237,VLOOKUP($A189,InsertFittings!$A$11:$M$236,4,FALSE),
IF($A189&lt;Valves!$A$132,VLOOKUP($A189,Valves!$A$8:$M$131,4,FALSE),
IF($A189&lt;SDR35SW!$A$124,VLOOKUP($A189,SDR35SW!$A$8:$M$123,4,FALSE),
IF($A189&lt;SDR35G!$A$143,VLOOKUP($A189, SDR35G!$A$8:$M$142,4,FALSE),
IF($A189&lt;SDR26G!$A$61,VLOOKUP($A189,SDR26G!$A$8:$N$60,4,FALSE),
IF($A189&lt;Cements!$A$100,VLOOKUP($A189,Cements!$A$8:$Q$99,4,FALSE),
IF($A189&lt;ValveBox!$A$143,VLOOKUP($A189,ValveBox!$A$10:$O$142,4,FALSE),
IF($A189&lt;'ValveBox Components'!$A$165,VLOOKUP($A189,'ValveBox Components'!$A$10:$O$164,4,FALSE),
IF($A189&lt;Drainage!$A$92,VLOOKUP($A189,Drainage!$A$8:$M$91,4,FALSE),
IF($A189&lt;Nipples!$A$82,VLOOKUP($A189,Nipples!$A$9:$Q$81,4,FALSE),
IF($A189&lt;Manifold!$A$33,VLOOKUP($A189,Manifold!$A$9:$M$32,4,FALSE),
IF($A189&lt;FlexibleRepairCouplings!$A$13,VLOOKUP($A189,FlexibleRepairCouplings!$A$10:$M$12,4,FALSE),
IF($A189&lt;DuraFix!$A$15,VLOOKUP($A189,DuraFix!$A$9:$M$14,4,FALSE),
IF($A189&lt;'Compression Fittings'!$A$16,VLOOKUP($A189,'Compression Fittings'!$A$8:$M$15,4,FALSE),
IF($A189&lt;'Hose Fittings'!$A$30,VLOOKUP($A189,'Hose Fittings'!$A$8:$M$29,4,FALSE),
IF($A189&lt;'Swing Joints'!$A$496,VLOOKUP($A189,'Swing Joints'!$A$9:$M$495,4,FALSE),
IF($A189&lt;'Swing Joints Components'!$A$135,VLOOKUP($A189,'Swing Joints Components'!$A$9:$M$134,4,FALSE),
IF($A189&lt;Nonstandard!$A$42,VLOOKUP($A189,Nonstandard!$A$31:$J$41,5,FALSE),"")))))))))))))))))))))))))))),"")</f>
        <v/>
      </c>
      <c r="C189" s="415" t="str">
        <f>IFERROR(IF($A189&lt;'DWV PVC'!$A$285,VLOOKUP($A189,'DWV PVC'!$A$8:$M$284,5,FALSE),
IF($A189&lt;'DWV ABS'!$A$117,VLOOKUP($A189,'DWV ABS'!$A$8:$M$116,5,FALSE),
IF($A189&lt;'PVC SCH40'!$A$376,VLOOKUP($A189,'PVC SCH40'!$A$8:$M$375,5,FALSE),
IF($A189&lt;'PVC SCH40 LD'!$A$22,VLOOKUP($A189,'PVC SCH40 LD'!$A$8:$M$21,5,FALSE),
IF($A189&lt;'Pool &amp; SPA Sweep Elbows'!$A$12,VLOOKUP($A189,'Pool &amp; SPA Sweep Elbows'!$A$8:$M$11,5,FALSE),
IF($A189&lt;'Pool &amp; SPA Pipe Extender'!$A$11,VLOOKUP($A189,'Pool &amp; SPA Pipe Extender'!$A$8:$M$10,5,FALSE),
IF($A189&lt;'PVC SCH80'!$A$250,VLOOKUP($A189,'PVC SCH80'!$A$8:$M$249,5,FALSE),
IF($A189&lt;'PVC SCH80 Flange'!$A$49,VLOOKUP($A189,'PVC SCH80 Flange'!$A$8:$M$48,5,FALSE),
IF($A189&lt;'PVC SCH80 LD Flange'!$A$17,VLOOKUP($A189,'PVC SCH80 LD Flange'!$A$8:$M$16,5,FALSE),
IF($A189&lt;CPVC!$A$100,VLOOKUP($A189,CPVC!$A$8:$M$99,5,FALSE),
IF($A189&lt;InsertFittings!$A$237,VLOOKUP($A189,InsertFittings!$A$11:$M$236,5,FALSE),
IF($A189&lt;Valves!$A$132,VLOOKUP($A189,Valves!$A$8:$M$131,5,FALSE),
IF($A189&lt;SDR35SW!$A$124,VLOOKUP($A189,SDR35SW!$A$8:$M$123,5,FALSE),
IF($A189&lt;SDR35G!$A$143,VLOOKUP($A189, SDR35G!$A$8:$M$142,5,FALSE),
IF($A189&lt;SDR26G!$A$61,VLOOKUP($A189,SDR26G!$A$8:$N$60,5,FALSE),
IF($A189&lt;Cements!$A$100,VLOOKUP($A189,Cements!$A$8:$Q$99,5,FALSE),
IF($A189&lt;ValveBox!$A$143,VLOOKUP($A189,ValveBox!$A$10:$O$142,5,FALSE),
IF($A189&lt;'ValveBox Components'!$A$165,VLOOKUP($A189,'ValveBox Components'!$A$10:$O$164,5,FALSE),
IF($A189&lt;Drainage!$A$92,VLOOKUP($A189,Drainage!$A$8:$M$91,5,FALSE),
IF($A189&lt;Nipples!$A$82,VLOOKUP($A189,Nipples!$A$9:$Q$81,5,FALSE),
IF($A189&lt;Manifold!$A$33,VLOOKUP($A189,Manifold!$A$9:$M$32,5,FALSE),
IF($A189&lt;FlexibleRepairCouplings!$A$13,VLOOKUP($A189,FlexibleRepairCouplings!$A$10:$M$12,5,FALSE),
IF($A189&lt;DuraFix!$A$15,VLOOKUP($A189,DuraFix!$A$9:$M$14,5,FALSE),
IF($A189&lt;'Compression Fittings'!$A$16,VLOOKUP($A189,'Compression Fittings'!$A$8:$M$15,5,FALSE),
IF($A189&lt;'Hose Fittings'!$A$30,VLOOKUP($A189,'Hose Fittings'!$A$8:$M$29,5,FALSE),
IF($A189&lt;'Swing Joints'!$A$496,VLOOKUP($A189,'Swing Joints'!$A$9:$M$495,5,FALSE),
IF($A189&lt;'Swing Joints Components'!$A$135,VLOOKUP($A189,'Swing Joints Components'!$A$9:$M$134,5,FALSE),
IF($A189&lt;Nonstandard!$A$42,VLOOKUP($A189,Nonstandard!$A$31:$J$41,6,FALSE),"")))))))))))))))))))))))))))),"")</f>
        <v/>
      </c>
      <c r="D189" s="426" t="str">
        <f>IFERROR(IF($A189&lt;'DWV PVC'!$A$285,VLOOKUP($A189,'DWV PVC'!$A$8:$M$284,6,FALSE),
IF($A189&lt;'DWV ABS'!$A$117,VLOOKUP($A189,'DWV ABS'!$A$8:$M$116,6,FALSE),
IF($A189&lt;'PVC SCH40'!$A$376,VLOOKUP($A189,'PVC SCH40'!$A$8:$M$375,6,FALSE),
IF($A189&lt;'PVC SCH40 LD'!$A$22,VLOOKUP($A189,'PVC SCH40 LD'!$A$8:$M$21,6,FALSE),
IF($A189&lt;'Pool &amp; SPA Sweep Elbows'!$A$12,VLOOKUP($A189,'Pool &amp; SPA Sweep Elbows'!$A$8:$M$11,6,FALSE),
IF($A189&lt;'Pool &amp; SPA Pipe Extender'!$A$11,VLOOKUP($A189,'Pool &amp; SPA Pipe Extender'!$A$8:$M$10,6,FALSE),
IF($A189&lt;'PVC SCH80'!$A$250,VLOOKUP($A189,'PVC SCH80'!$A$8:$M$249,6,FALSE),
IF($A189&lt;'PVC SCH80 Flange'!$A$49,VLOOKUP($A189,'PVC SCH80 Flange'!$A$8:$M$48,6,FALSE),
IF($A189&lt;'PVC SCH80 LD Flange'!$A$17,VLOOKUP($A189,'PVC SCH80 LD Flange'!$A$8:$M$16,6,FALSE),
IF($A189&lt;CPVC!$A$100,VLOOKUP($A189,CPVC!$A$8:$M$99,6,FALSE),
IF($A189&lt;InsertFittings!$A$237,VLOOKUP($A189,InsertFittings!$A$11:$M$236,6,FALSE),
IF($A189&lt;Valves!$A$132,VLOOKUP($A189,Valves!$A$8:$M$131,6,FALSE),
IF($A189&lt;SDR35SW!$A$124,VLOOKUP($A189,SDR35SW!$A$8:$M$123,6,FALSE),
IF($A189&lt;SDR35G!$A$143,VLOOKUP($A189, SDR35G!$A$8:$M$142,6,FALSE),
IF($A189&lt;SDR26G!$A$61,VLOOKUP($A189,SDR26G!$A$8:$N$60,6,FALSE),
IF($A189&lt;Cements!$A$100,VLOOKUP($A189,Cements!$A$8:$Q$99,6,FALSE),
IF($A189&lt;ValveBox!$A$143,VLOOKUP($A189,ValveBox!$A$10:$O$142,6,FALSE),
IF($A189&lt;'ValveBox Components'!$A$165,VLOOKUP($A189,'ValveBox Components'!$A$10:$O$164,6,FALSE),
IF($A189&lt;Drainage!$A$92,VLOOKUP($A189,Drainage!$A$8:$M$91,6,FALSE),
IF($A189&lt;Nipples!$A$82,VLOOKUP($A189,Nipples!$A$9:$Q$81,6,FALSE),
IF($A189&lt;Manifold!$A$33,VLOOKUP($A189,Manifold!$A$9:$M$32,6,FALSE),
IF($A189&lt;FlexibleRepairCouplings!$A$13,VLOOKUP($A189,FlexibleRepairCouplings!$A$10:$M$12,6,FALSE),
IF($A189&lt;DuraFix!$A$15,VLOOKUP($A189,DuraFix!$A$9:$M$14,6,FALSE),
IF($A189&lt;'Compression Fittings'!$A$16,VLOOKUP($A189,'Compression Fittings'!$A$8:$M$15,6,FALSE),
IF($A189&lt;'Hose Fittings'!$A$30,VLOOKUP($A189,'Hose Fittings'!$A$8:$M$29,6,FALSE),
IF($A189&lt;'Swing Joints'!$A$496,VLOOKUP($A189,'Swing Joints'!$A$9:$M$495,6,FALSE),
IF($A189&lt;'Swing Joints Components'!$A$135,VLOOKUP($A189,'Swing Joints Components'!$A$9:$M$134,6,FALSE),
IF($A189&lt;Nonstandard!$A$42,VLOOKUP($A189,Nonstandard!$A$31:$J$41,7,FALSE),"")))))))))))))))))))))))))))),"")</f>
        <v/>
      </c>
      <c r="E189" s="427"/>
      <c r="F189" s="418" t="str">
        <f>IFERROR(IF($A189&lt;'DWV PVC'!$A$285,VLOOKUP($A189,'DWV PVC'!$A$8:$M$284,9,FALSE),
IF($A189&lt;'DWV ABS'!$A$117,VLOOKUP($A189,'DWV ABS'!$A$8:$M$116,9,FALSE),
IF($A189&lt;'PVC SCH40'!$A$376,VLOOKUP($A189,'PVC SCH40'!$A$8:$M$375,9,FALSE),
IF($A189&lt;'PVC SCH40 LD'!$A$22,VLOOKUP($A189,'PVC SCH40 LD'!$A$8:$M$21,9,FALSE),
IF($A189&lt;'Pool &amp; SPA Sweep Elbows'!$A$12,VLOOKUP($A189,'Pool &amp; SPA Sweep Elbows'!$A$8:$M$11,9,FALSE),
IF($A189&lt;'Pool &amp; SPA Pipe Extender'!$A$11,VLOOKUP($A189,'Pool &amp; SPA Pipe Extender'!$A$8:$M$10,9,FALSE),
IF($A189&lt;'PVC SCH80'!$A$250,VLOOKUP($A189,'PVC SCH80'!$A$8:$M$249,9,FALSE),
IF($A189&lt;'PVC SCH80 Flange'!$A$49,VLOOKUP($A189,'PVC SCH80 Flange'!$A$8:$M$48,9,FALSE),
IF($A189&lt;'PVC SCH80 LD Flange'!$A$17,VLOOKUP($A189,'PVC SCH80 LD Flange'!$A$8:$M$16,9,FALSE),
IF($A189&lt;CPVC!$A$100,VLOOKUP($A189,CPVC!$A$8:$M$99,9,FALSE),
IF($A189&lt;InsertFittings!$A$237,VLOOKUP($A189,InsertFittings!$A$11:$M$236,9,FALSE),
IF($A189&lt;Valves!$A$132,VLOOKUP($A189,Valves!$A$8:$M$131,9,FALSE),
IF($A189&lt;SDR35SW!$A$124,VLOOKUP($A189,SDR35SW!$A$8:$M$123,9,FALSE),
IF($A189&lt;SDR35G!$A$143,VLOOKUP($A189, SDR35G!$A$8:$M$142,9,FALSE),
IF($A189&lt;SDR26G!$A$61,VLOOKUP($A189,SDR26G!$A$8:$N$60,10,FALSE),
IF($A189&lt;Cements!$A$100,VLOOKUP($A189,Cements!$A$8:$Q$99,13,FALSE),
IF($A189&lt;ValveBox!$A$143,VLOOKUP($A189,ValveBox!$A$10:$O$142,11,FALSE),
IF($A189&lt;'ValveBox Components'!$A$165,VLOOKUP($A189,'ValveBox Components'!$A$10:$O$164,11,FALSE),
IF($A189&lt;Drainage!$A$92,VLOOKUP($A189,Drainage!$A$8:$M$91,9,FALSE),
IF($A189&lt;Nipples!$A$82,VLOOKUP($A189,Nipples!$A$9:$Q$81,13,FALSE),
IF($A189&lt;Manifold!$A$33,VLOOKUP($A189,Manifold!$A$9:$M$32,9,FALSE),
IF($A189&lt;FlexibleRepairCouplings!$A$13,VLOOKUP($A189,FlexibleRepairCouplings!$A$10:$M$12,9,FALSE),
IF($A189&lt;DuraFix!$A$15,VLOOKUP($A189,DuraFix!$A$9:$M$14,9,FALSE),
IF($A189&lt;'Compression Fittings'!$A$16,VLOOKUP($A189,'Compression Fittings'!$A$8:$M$15,9,FALSE),
IF($A189&lt;'Hose Fittings'!$A$30,VLOOKUP($A189,'Hose Fittings'!$A$8:$M$29,9,FALSE),
IF($A189&lt;'Swing Joints'!$A$496,VLOOKUP($A189,'Swing Joints'!$A$9:$M$495,9,FALSE),
IF($A189&lt;'Swing Joints Components'!$A$135,VLOOKUP($A189,'Swing Joints Components'!$A$9:$M$134,9,FALSE),
IF($A189&lt;Nonstandard!$A$42,VLOOKUP($A189,Nonstandard!$A$31:$J$41,8,FALSE),"")))))))))))))))))))))))))))),"")</f>
        <v/>
      </c>
      <c r="G189" s="416" t="str">
        <f>IFERROR(IF($A189&lt;'DWV PVC'!$A$285,VLOOKUP($A189,'DWV PVC'!$A$8:$M$284,11,FALSE),
IF($A189&lt;'DWV ABS'!$A$117,VLOOKUP($A189,'DWV ABS'!$A$8:$M$116,11,FALSE),
IF($A189&lt;'PVC SCH40'!$A$376,VLOOKUP($A189,'PVC SCH40'!$A$8:$M$375,11,FALSE),
IF($A189&lt;'PVC SCH40 LD'!$A$22,VLOOKUP($A189,'PVC SCH40 LD'!$A$8:$M$21,11,FALSE),
IF($A189&lt;'Pool &amp; SPA Sweep Elbows'!$A$12,VLOOKUP($A189,'Pool &amp; SPA Sweep Elbows'!$A$8:$M$11,11,FALSE),
IF($A189&lt;'Pool &amp; SPA Pipe Extender'!$A$11,VLOOKUP($A189,'Pool &amp; SPA Pipe Extender'!$A$8:$M$10,11,FALSE),
IF($A189&lt;'PVC SCH80'!$A$250,VLOOKUP($A189,'PVC SCH80'!$A$8:$M$249,11,FALSE),
IF($A189&lt;'PVC SCH80 Flange'!$A$49,VLOOKUP($A189,'PVC SCH80 Flange'!$A$8:$M$48,11,FALSE),
IF($A189&lt;'PVC SCH80 LD Flange'!$A$17,VLOOKUP($A189,'PVC SCH80 LD Flange'!$A$8:$M$16,11,FALSE),
IF($A189&lt;CPVC!$A$100,VLOOKUP($A189,CPVC!$A$8:$M$99,11,FALSE),
IF($A189&lt;InsertFittings!$A$237,VLOOKUP($A189,InsertFittings!$A$11:$M$236,11,FALSE),
IF($A189&lt;Valves!$A$132,VLOOKUP($A189,Valves!$A$8:$M$131,11,FALSE),
IF($A189&lt;SDR35SW!$A$124,VLOOKUP($A189,SDR35SW!$A$8:$M$123,11,FALSE),
IF($A189&lt;SDR35G!$A$143,VLOOKUP($A189, SDR35G!$A$8:$M$142,11,FALSE),
IF($A189&lt;SDR26G!$A$61,VLOOKUP($A189,SDR26G!$A$8:$N$60,12,FALSE),
IF($A189&lt;Cements!$A$100,VLOOKUP($A189,Cements!$A$8:$Q$99,15,FALSE),
IF($A189&lt;ValveBox!$A$143,VLOOKUP($A189,ValveBox!$A$10:$O$142,13,FALSE),
IF($A189&lt;'ValveBox Components'!$A$165,VLOOKUP($A189,'ValveBox Components'!$A$10:$O$164,13,FALSE),
IF($A189&lt;Drainage!$A$92,VLOOKUP($A189,Drainage!$A$8:$M$91,11,FALSE),
IF($A189&lt;Nipples!$A$82,VLOOKUP($A189,Nipples!$A$9:$Q$81,15,FALSE),
IF($A189&lt;Manifold!$A$33,VLOOKUP($A189,Manifold!$A$9:$M$32,11,FALSE),
IF($A189&lt;FlexibleRepairCouplings!$A$13,VLOOKUP($A189,FlexibleRepairCouplings!$A$10:$M$12,11,FALSE),
IF($A189&lt;DuraFix!$A$15,VLOOKUP($A189,DuraFix!$A$9:$M$14,11,FALSE),
IF($A189&lt;'Compression Fittings'!$A$16,VLOOKUP($A189,'Compression Fittings'!$A$8:$M$15,11,FALSE),
IF($A189&lt;'Hose Fittings'!$A$30,VLOOKUP($A189,'Hose Fittings'!$A$8:$M$29,11,FALSE),
IF($A189&lt;'Swing Joints'!$A$496,VLOOKUP($A189,'Swing Joints'!$A$9:$M$495,11,FALSE),
IF($A189&lt;'Swing Joints Components'!$A$135,VLOOKUP($A189,'Swing Joints Components'!$A$9:$M$134,11,FALSE),
IF($A189&lt;Nonstandard!$A$42,VLOOKUP($A189,Nonstandard!$A$31:$J$41,3,FALSE),"")))))))))))))))))))))))))))),"")</f>
        <v/>
      </c>
      <c r="H189" s="586" t="str">
        <f>IFERROR(IF($A189&lt;'DWV PVC'!$A$285,VLOOKUP($A189,'DWV PVC'!$A$8:$M$284,7,FALSE),
IF($A189&lt;'DWV ABS'!$A$117,VLOOKUP($A189,'DWV ABS'!$A$8:$M$116,7,FALSE),
IF($A189&lt;'PVC SCH40'!$A$376,VLOOKUP($A189,'PVC SCH40'!$A$8:$M$375,7,FALSE),
IF($A189&lt;'PVC SCH40 LD'!$A$22,VLOOKUP($A189,'PVC SCH40 LD'!$A$8:$M$21,7,FALSE),
IF($A189&lt;'Pool &amp; SPA Sweep Elbows'!$A$12,VLOOKUP($A189,'Pool &amp; SPA Sweep Elbows'!$A$8:$M$11,7,FALSE),
IF($A189&lt;'Pool &amp; SPA Pipe Extender'!$A$11,VLOOKUP($A189,'Pool &amp; SPA Pipe Extender'!$A$8:$M$10,7,FALSE),
IF($A189&lt;'PVC SCH80'!$A$250,VLOOKUP($A189,'PVC SCH80'!$A$8:$M$249,7,FALSE),
IF($A189&lt;'PVC SCH80 Flange'!$A$49,VLOOKUP($A189,'PVC SCH80 Flange'!$A$8:$M$48,7,FALSE),
IF($A189&lt;'PVC SCH80 LD Flange'!$A$17,VLOOKUP($A189,'PVC SCH80 LD Flange'!$A$8:$M$16,7,FALSE),
IF($A189&lt;CPVC!$A$100,VLOOKUP($A189,CPVC!$A$8:$M$99,7,FALSE),
IF($A189&lt;InsertFittings!$A$237,VLOOKUP($A189,InsertFittings!$A$11:$M$236,7,FALSE),
IF($A189&lt;Valves!$A$132,VLOOKUP($A189,Valves!$A$8:$M$131,7,FALSE),
IF($A189&lt;SDR35SW!$A$124,VLOOKUP($A189,SDR35SW!$A$8:$M$123,7,FALSE),
IF($A189&lt;SDR35G!$A$143,VLOOKUP($A189, SDR35G!$A$8:$M$142,7,FALSE),
IF($A189&lt;SDR26G!$A$61,VLOOKUP($A189,SDR26G!$A$8:$N$60,10,FALSE),
IF($A189&lt;Cements!$A$100,VLOOKUP($A189,Cements!$A$8:$Q$99,13,FALSE),
IF($A189&lt;ValveBox!$A$143,VLOOKUP($A189,ValveBox!$A$10:$O$142,11,FALSE),
IF($A189&lt;'ValveBox Components'!$A$165,VLOOKUP($A189,'ValveBox Components'!$A$10:$O$164,11,FALSE),
IF($A189&lt;Drainage!$A$92,VLOOKUP($A189,Drainage!$A$8:$M$91,7,FALSE),
IF($A189&lt;Nipples!$A$82,VLOOKUP($A189,Nipples!$A$9:$Q$81,13,FALSE),
IF($A189&lt;Manifold!$A$33,VLOOKUP($A189,Manifold!$A$9:$M$32,7,FALSE),
IF($A189&lt;FlexibleRepairCouplings!$A$13,VLOOKUP($A189,FlexibleRepairCouplings!$A$10:$M$12,7,FALSE),
IF($A189&lt;DuraFix!$A$15,VLOOKUP($A189,DuraFix!$A$9:$M$14,7,FALSE),
IF($A189&lt;'Compression Fittings'!$A$16,VLOOKUP($A189,'Compression Fittings'!$A$8:$M$15,7,FALSE),
IF($A189&lt;'Hose Fittings'!$A$30,VLOOKUP($A189,'Hose Fittings'!$A$8:$M$29,7,FALSE),
IF($A189&lt;'Swing Joints'!$A$496,VLOOKUP($A189,'Swing Joints'!$A$9:$M$495,7,FALSE),
IF($A189&lt;'Swing Joints Components'!$A$135,VLOOKUP($A189,'Swing Joints Components'!$A$9:$M$134,7,FALSE),
IF($A189&lt;Nonstandard!$A$42,VLOOKUP($A189,Nonstandard!$A$31:$J$41,3,FALSE),"")))))))))))))))))))))))))))),"")</f>
        <v/>
      </c>
      <c r="I189" s="587"/>
      <c r="J189" s="383" t="str">
        <f t="shared" si="5"/>
        <v/>
      </c>
      <c r="K189" s="417" t="str">
        <f>IFERROR(IF($A189&lt;'DWV PVC'!$A$285,VLOOKUP($A189,'DWV PVC'!$A$8:$M$284,10,FALSE),
IF($A189&lt;'DWV ABS'!$A$117,VLOOKUP($A189,'DWV ABS'!$A$8:$M$116,10,FALSE),
IF($A189&lt;'PVC SCH40'!$A$376,VLOOKUP($A189,'PVC SCH40'!$A$8:$M$375,10,FALSE),
IF($A189&lt;'PVC SCH40 LD'!$A$22,VLOOKUP($A189,'PVC SCH40 LD'!$A$8:$M$21,10,FALSE),
IF($A189&lt;'Pool &amp; SPA Sweep Elbows'!$A$12,VLOOKUP($A189,'Pool &amp; SPA Sweep Elbows'!$A$8:$M$11,10,FALSE),
IF($A189&lt;'Pool &amp; SPA Pipe Extender'!$A$11,VLOOKUP($A189,'Pool &amp; SPA Pipe Extender'!$A$8:$M$10,10,FALSE),
IF($A189&lt;'PVC SCH80'!$A$250,VLOOKUP($A189,'PVC SCH80'!$A$8:$M$249,10,FALSE),
IF($A189&lt;'PVC SCH80 Flange'!$A$49,VLOOKUP($A189,'PVC SCH80 Flange'!$A$8:$M$48,10,FALSE),
IF($A189&lt;'PVC SCH80 LD Flange'!$A$17,VLOOKUP($A189,'PVC SCH80 LD Flange'!$A$8:$M$16,10,FALSE),
IF($A189&lt;CPVC!$A$100,VLOOKUP($A189,CPVC!$A$8:$M$99,10,FALSE),
IF($A189&lt;InsertFittings!$A$237,VLOOKUP($A189,InsertFittings!$A$11:$M$236,10,FALSE),
IF($A189&lt;Valves!$A$132,VLOOKUP($A189,Valves!$A$8:$M$131,10,FALSE),
IF($A189&lt;SDR35SW!$A$124,VLOOKUP($A189,SDR35SW!$A$8:$M$123,10,FALSE),
IF($A189&lt;SDR35G!$A$143,VLOOKUP($A189, SDR35G!$A$8:$M$142,10,FALSE),
IF($A189&lt;SDR26G!$A$61,VLOOKUP($A189,SDR26G!$A$8:$N$60,11,FALSE),
IF($A189&lt;Cements!$A$100,VLOOKUP($A189,Cements!$A$8:$Q$99,14,FALSE),
IF($A189&lt;ValveBox!$A$143,VLOOKUP($A189,ValveBox!$A$10:$O$142,12,FALSE),
IF($A189&lt;'ValveBox Components'!$A$165,VLOOKUP($A189,'ValveBox Components'!$A$10:$O$164,12,FALSE),
IF($A189&lt;Drainage!$A$92,VLOOKUP($A189,Drainage!$A$8:$M$91,10,FALSE),
IF($A189&lt;Nipples!$A$82,VLOOKUP($A189,Nipples!$A$9:$Q$81,14,FALSE),
IF($A189&lt;Manifold!$A$33,VLOOKUP($A189,Manifold!$A$9:$M$32,10,FALSE),
IF($A189&lt;FlexibleRepairCouplings!$A$13,VLOOKUP($A189,FlexibleRepairCouplings!$A$10:$M$12,10,FALSE),
IF($A189&lt;DuraFix!$A$15,VLOOKUP($A189,DuraFix!$A$9:$M$14,10,FALSE),
IF($A189&lt;'Compression Fittings'!$A$16,VLOOKUP($A189,'Compression Fittings'!$A$8:$M$15,10,FALSE),
IF($A189&lt;'Hose Fittings'!$A$30,VLOOKUP($A189,'Hose Fittings'!$A$8:$M$29,10,FALSE),
IF($A189&lt;'Swing Joints'!$A$496,VLOOKUP($A189,'Swing Joints'!$A$9:$M$495,10,FALSE),
IF($A189&lt;'Swing Joints Components'!$A$135,VLOOKUP($A189,'Swing Joints Components'!$A$9:$M$134,10,FALSE),
IF($A189&lt;Nonstandard!$A$42,VLOOKUP($A189,Nonstandard!$A$31:$J$41,10,FALSE),"")))))))))))))))))))))))))))),"")</f>
        <v/>
      </c>
      <c r="L189" s="418" t="str">
        <f t="shared" si="4"/>
        <v>-</v>
      </c>
      <c r="M189" s="419"/>
    </row>
    <row r="190" spans="1:13" ht="15.75">
      <c r="A190" s="420">
        <v>158</v>
      </c>
      <c r="B190" s="420" t="str">
        <f>IFERROR(IF($A190&lt;'DWV PVC'!$A$285,VLOOKUP($A190,'DWV PVC'!$A$8:$M$284,4,FALSE),
IF($A190&lt;'DWV ABS'!$A$117,VLOOKUP($A190,'DWV ABS'!$A$8:$M$116,4,FALSE),
IF($A190&lt;'PVC SCH40'!$A$376,VLOOKUP($A190,'PVC SCH40'!$A$8:$M$375,4,FALSE),
IF($A190&lt;'PVC SCH40 LD'!$A$22,VLOOKUP($A190,'PVC SCH40 LD'!$A$8:$M$21,4,FALSE),
IF($A190&lt;'Pool &amp; SPA Sweep Elbows'!$A$12,VLOOKUP($A190,'Pool &amp; SPA Sweep Elbows'!$A$8:$M$11,4,FALSE),
IF($A190&lt;'Pool &amp; SPA Pipe Extender'!$A$11,VLOOKUP($A190,'Pool &amp; SPA Pipe Extender'!$A$8:$M$10,4,FALSE),
IF($A190&lt;'PVC SCH80'!$A$250,VLOOKUP($A190,'PVC SCH80'!$A$8:$M$249,4,FALSE),
IF($A190&lt;'PVC SCH80 Flange'!$A$49,VLOOKUP($A190,'PVC SCH80 Flange'!$A$8:$M$48,4,FALSE),
IF($A190&lt;'PVC SCH80 LD Flange'!$A$17,VLOOKUP($A190,'PVC SCH80 LD Flange'!$A$8:$M$16,4,FALSE),
IF($A190&lt;CPVC!$A$100,VLOOKUP($A190,CPVC!$A$8:$M$99,4,FALSE),
IF($A190&lt;InsertFittings!$A$237,VLOOKUP($A190,InsertFittings!$A$11:$M$236,4,FALSE),
IF($A190&lt;Valves!$A$132,VLOOKUP($A190,Valves!$A$8:$M$131,4,FALSE),
IF($A190&lt;SDR35SW!$A$124,VLOOKUP($A190,SDR35SW!$A$8:$M$123,4,FALSE),
IF($A190&lt;SDR35G!$A$143,VLOOKUP($A190, SDR35G!$A$8:$M$142,4,FALSE),
IF($A190&lt;SDR26G!$A$61,VLOOKUP($A190,SDR26G!$A$8:$N$60,4,FALSE),
IF($A190&lt;Cements!$A$100,VLOOKUP($A190,Cements!$A$8:$Q$99,4,FALSE),
IF($A190&lt;ValveBox!$A$143,VLOOKUP($A190,ValveBox!$A$10:$O$142,4,FALSE),
IF($A190&lt;'ValveBox Components'!$A$165,VLOOKUP($A190,'ValveBox Components'!$A$10:$O$164,4,FALSE),
IF($A190&lt;Drainage!$A$92,VLOOKUP($A190,Drainage!$A$8:$M$91,4,FALSE),
IF($A190&lt;Nipples!$A$82,VLOOKUP($A190,Nipples!$A$9:$Q$81,4,FALSE),
IF($A190&lt;Manifold!$A$33,VLOOKUP($A190,Manifold!$A$9:$M$32,4,FALSE),
IF($A190&lt;FlexibleRepairCouplings!$A$13,VLOOKUP($A190,FlexibleRepairCouplings!$A$10:$M$12,4,FALSE),
IF($A190&lt;DuraFix!$A$15,VLOOKUP($A190,DuraFix!$A$9:$M$14,4,FALSE),
IF($A190&lt;'Compression Fittings'!$A$16,VLOOKUP($A190,'Compression Fittings'!$A$8:$M$15,4,FALSE),
IF($A190&lt;'Hose Fittings'!$A$30,VLOOKUP($A190,'Hose Fittings'!$A$8:$M$29,4,FALSE),
IF($A190&lt;'Swing Joints'!$A$496,VLOOKUP($A190,'Swing Joints'!$A$9:$M$495,4,FALSE),
IF($A190&lt;'Swing Joints Components'!$A$135,VLOOKUP($A190,'Swing Joints Components'!$A$9:$M$134,4,FALSE),
IF($A190&lt;Nonstandard!$A$42,VLOOKUP($A190,Nonstandard!$A$31:$J$41,5,FALSE),"")))))))))))))))))))))))))))),"")</f>
        <v/>
      </c>
      <c r="C190" s="420" t="str">
        <f>IFERROR(IF($A190&lt;'DWV PVC'!$A$285,VLOOKUP($A190,'DWV PVC'!$A$8:$M$284,5,FALSE),
IF($A190&lt;'DWV ABS'!$A$117,VLOOKUP($A190,'DWV ABS'!$A$8:$M$116,5,FALSE),
IF($A190&lt;'PVC SCH40'!$A$376,VLOOKUP($A190,'PVC SCH40'!$A$8:$M$375,5,FALSE),
IF($A190&lt;'PVC SCH40 LD'!$A$22,VLOOKUP($A190,'PVC SCH40 LD'!$A$8:$M$21,5,FALSE),
IF($A190&lt;'Pool &amp; SPA Sweep Elbows'!$A$12,VLOOKUP($A190,'Pool &amp; SPA Sweep Elbows'!$A$8:$M$11,5,FALSE),
IF($A190&lt;'Pool &amp; SPA Pipe Extender'!$A$11,VLOOKUP($A190,'Pool &amp; SPA Pipe Extender'!$A$8:$M$10,5,FALSE),
IF($A190&lt;'PVC SCH80'!$A$250,VLOOKUP($A190,'PVC SCH80'!$A$8:$M$249,5,FALSE),
IF($A190&lt;'PVC SCH80 Flange'!$A$49,VLOOKUP($A190,'PVC SCH80 Flange'!$A$8:$M$48,5,FALSE),
IF($A190&lt;'PVC SCH80 LD Flange'!$A$17,VLOOKUP($A190,'PVC SCH80 LD Flange'!$A$8:$M$16,5,FALSE),
IF($A190&lt;CPVC!$A$100,VLOOKUP($A190,CPVC!$A$8:$M$99,5,FALSE),
IF($A190&lt;InsertFittings!$A$237,VLOOKUP($A190,InsertFittings!$A$11:$M$236,5,FALSE),
IF($A190&lt;Valves!$A$132,VLOOKUP($A190,Valves!$A$8:$M$131,5,FALSE),
IF($A190&lt;SDR35SW!$A$124,VLOOKUP($A190,SDR35SW!$A$8:$M$123,5,FALSE),
IF($A190&lt;SDR35G!$A$143,VLOOKUP($A190, SDR35G!$A$8:$M$142,5,FALSE),
IF($A190&lt;SDR26G!$A$61,VLOOKUP($A190,SDR26G!$A$8:$N$60,5,FALSE),
IF($A190&lt;Cements!$A$100,VLOOKUP($A190,Cements!$A$8:$Q$99,5,FALSE),
IF($A190&lt;ValveBox!$A$143,VLOOKUP($A190,ValveBox!$A$10:$O$142,5,FALSE),
IF($A190&lt;'ValveBox Components'!$A$165,VLOOKUP($A190,'ValveBox Components'!$A$10:$O$164,5,FALSE),
IF($A190&lt;Drainage!$A$92,VLOOKUP($A190,Drainage!$A$8:$M$91,5,FALSE),
IF($A190&lt;Nipples!$A$82,VLOOKUP($A190,Nipples!$A$9:$Q$81,5,FALSE),
IF($A190&lt;Manifold!$A$33,VLOOKUP($A190,Manifold!$A$9:$M$32,5,FALSE),
IF($A190&lt;FlexibleRepairCouplings!$A$13,VLOOKUP($A190,FlexibleRepairCouplings!$A$10:$M$12,5,FALSE),
IF($A190&lt;DuraFix!$A$15,VLOOKUP($A190,DuraFix!$A$9:$M$14,5,FALSE),
IF($A190&lt;'Compression Fittings'!$A$16,VLOOKUP($A190,'Compression Fittings'!$A$8:$M$15,5,FALSE),
IF($A190&lt;'Hose Fittings'!$A$30,VLOOKUP($A190,'Hose Fittings'!$A$8:$M$29,5,FALSE),
IF($A190&lt;'Swing Joints'!$A$496,VLOOKUP($A190,'Swing Joints'!$A$9:$M$495,5,FALSE),
IF($A190&lt;'Swing Joints Components'!$A$135,VLOOKUP($A190,'Swing Joints Components'!$A$9:$M$134,5,FALSE),
IF($A190&lt;Nonstandard!$A$42,VLOOKUP($A190,Nonstandard!$A$31:$J$41,6,FALSE),"")))))))))))))))))))))))))))),"")</f>
        <v/>
      </c>
      <c r="D190" s="428" t="str">
        <f>IFERROR(IF($A190&lt;'DWV PVC'!$A$285,VLOOKUP($A190,'DWV PVC'!$A$8:$M$284,6,FALSE),
IF($A190&lt;'DWV ABS'!$A$117,VLOOKUP($A190,'DWV ABS'!$A$8:$M$116,6,FALSE),
IF($A190&lt;'PVC SCH40'!$A$376,VLOOKUP($A190,'PVC SCH40'!$A$8:$M$375,6,FALSE),
IF($A190&lt;'PVC SCH40 LD'!$A$22,VLOOKUP($A190,'PVC SCH40 LD'!$A$8:$M$21,6,FALSE),
IF($A190&lt;'Pool &amp; SPA Sweep Elbows'!$A$12,VLOOKUP($A190,'Pool &amp; SPA Sweep Elbows'!$A$8:$M$11,6,FALSE),
IF($A190&lt;'Pool &amp; SPA Pipe Extender'!$A$11,VLOOKUP($A190,'Pool &amp; SPA Pipe Extender'!$A$8:$M$10,6,FALSE),
IF($A190&lt;'PVC SCH80'!$A$250,VLOOKUP($A190,'PVC SCH80'!$A$8:$M$249,6,FALSE),
IF($A190&lt;'PVC SCH80 Flange'!$A$49,VLOOKUP($A190,'PVC SCH80 Flange'!$A$8:$M$48,6,FALSE),
IF($A190&lt;'PVC SCH80 LD Flange'!$A$17,VLOOKUP($A190,'PVC SCH80 LD Flange'!$A$8:$M$16,6,FALSE),
IF($A190&lt;CPVC!$A$100,VLOOKUP($A190,CPVC!$A$8:$M$99,6,FALSE),
IF($A190&lt;InsertFittings!$A$237,VLOOKUP($A190,InsertFittings!$A$11:$M$236,6,FALSE),
IF($A190&lt;Valves!$A$132,VLOOKUP($A190,Valves!$A$8:$M$131,6,FALSE),
IF($A190&lt;SDR35SW!$A$124,VLOOKUP($A190,SDR35SW!$A$8:$M$123,6,FALSE),
IF($A190&lt;SDR35G!$A$143,VLOOKUP($A190, SDR35G!$A$8:$M$142,6,FALSE),
IF($A190&lt;SDR26G!$A$61,VLOOKUP($A190,SDR26G!$A$8:$N$60,6,FALSE),
IF($A190&lt;Cements!$A$100,VLOOKUP($A190,Cements!$A$8:$Q$99,6,FALSE),
IF($A190&lt;ValveBox!$A$143,VLOOKUP($A190,ValveBox!$A$10:$O$142,6,FALSE),
IF($A190&lt;'ValveBox Components'!$A$165,VLOOKUP($A190,'ValveBox Components'!$A$10:$O$164,6,FALSE),
IF($A190&lt;Drainage!$A$92,VLOOKUP($A190,Drainage!$A$8:$M$91,6,FALSE),
IF($A190&lt;Nipples!$A$82,VLOOKUP($A190,Nipples!$A$9:$Q$81,6,FALSE),
IF($A190&lt;Manifold!$A$33,VLOOKUP($A190,Manifold!$A$9:$M$32,6,FALSE),
IF($A190&lt;FlexibleRepairCouplings!$A$13,VLOOKUP($A190,FlexibleRepairCouplings!$A$10:$M$12,6,FALSE),
IF($A190&lt;DuraFix!$A$15,VLOOKUP($A190,DuraFix!$A$9:$M$14,6,FALSE),
IF($A190&lt;'Compression Fittings'!$A$16,VLOOKUP($A190,'Compression Fittings'!$A$8:$M$15,6,FALSE),
IF($A190&lt;'Hose Fittings'!$A$30,VLOOKUP($A190,'Hose Fittings'!$A$8:$M$29,6,FALSE),
IF($A190&lt;'Swing Joints'!$A$496,VLOOKUP($A190,'Swing Joints'!$A$9:$M$495,6,FALSE),
IF($A190&lt;'Swing Joints Components'!$A$135,VLOOKUP($A190,'Swing Joints Components'!$A$9:$M$134,6,FALSE),
IF($A190&lt;Nonstandard!$A$42,VLOOKUP($A190,Nonstandard!$A$31:$J$41,7,FALSE),"")))))))))))))))))))))))))))),"")</f>
        <v/>
      </c>
      <c r="E190" s="429"/>
      <c r="F190" s="421" t="str">
        <f>IFERROR(IF($A190&lt;'DWV PVC'!$A$285,VLOOKUP($A190,'DWV PVC'!$A$8:$M$284,9,FALSE),
IF($A190&lt;'DWV ABS'!$A$117,VLOOKUP($A190,'DWV ABS'!$A$8:$M$116,9,FALSE),
IF($A190&lt;'PVC SCH40'!$A$376,VLOOKUP($A190,'PVC SCH40'!$A$8:$M$375,9,FALSE),
IF($A190&lt;'PVC SCH40 LD'!$A$22,VLOOKUP($A190,'PVC SCH40 LD'!$A$8:$M$21,9,FALSE),
IF($A190&lt;'Pool &amp; SPA Sweep Elbows'!$A$12,VLOOKUP($A190,'Pool &amp; SPA Sweep Elbows'!$A$8:$M$11,9,FALSE),
IF($A190&lt;'Pool &amp; SPA Pipe Extender'!$A$11,VLOOKUP($A190,'Pool &amp; SPA Pipe Extender'!$A$8:$M$10,9,FALSE),
IF($A190&lt;'PVC SCH80'!$A$250,VLOOKUP($A190,'PVC SCH80'!$A$8:$M$249,9,FALSE),
IF($A190&lt;'PVC SCH80 Flange'!$A$49,VLOOKUP($A190,'PVC SCH80 Flange'!$A$8:$M$48,9,FALSE),
IF($A190&lt;'PVC SCH80 LD Flange'!$A$17,VLOOKUP($A190,'PVC SCH80 LD Flange'!$A$8:$M$16,9,FALSE),
IF($A190&lt;CPVC!$A$100,VLOOKUP($A190,CPVC!$A$8:$M$99,9,FALSE),
IF($A190&lt;InsertFittings!$A$237,VLOOKUP($A190,InsertFittings!$A$11:$M$236,9,FALSE),
IF($A190&lt;Valves!$A$132,VLOOKUP($A190,Valves!$A$8:$M$131,9,FALSE),
IF($A190&lt;SDR35SW!$A$124,VLOOKUP($A190,SDR35SW!$A$8:$M$123,9,FALSE),
IF($A190&lt;SDR35G!$A$143,VLOOKUP($A190, SDR35G!$A$8:$M$142,9,FALSE),
IF($A190&lt;SDR26G!$A$61,VLOOKUP($A190,SDR26G!$A$8:$N$60,10,FALSE),
IF($A190&lt;Cements!$A$100,VLOOKUP($A190,Cements!$A$8:$Q$99,13,FALSE),
IF($A190&lt;ValveBox!$A$143,VLOOKUP($A190,ValveBox!$A$10:$O$142,11,FALSE),
IF($A190&lt;'ValveBox Components'!$A$165,VLOOKUP($A190,'ValveBox Components'!$A$10:$O$164,11,FALSE),
IF($A190&lt;Drainage!$A$92,VLOOKUP($A190,Drainage!$A$8:$M$91,9,FALSE),
IF($A190&lt;Nipples!$A$82,VLOOKUP($A190,Nipples!$A$9:$Q$81,13,FALSE),
IF($A190&lt;Manifold!$A$33,VLOOKUP($A190,Manifold!$A$9:$M$32,9,FALSE),
IF($A190&lt;FlexibleRepairCouplings!$A$13,VLOOKUP($A190,FlexibleRepairCouplings!$A$10:$M$12,9,FALSE),
IF($A190&lt;DuraFix!$A$15,VLOOKUP($A190,DuraFix!$A$9:$M$14,9,FALSE),
IF($A190&lt;'Compression Fittings'!$A$16,VLOOKUP($A190,'Compression Fittings'!$A$8:$M$15,9,FALSE),
IF($A190&lt;'Hose Fittings'!$A$30,VLOOKUP($A190,'Hose Fittings'!$A$8:$M$29,9,FALSE),
IF($A190&lt;'Swing Joints'!$A$496,VLOOKUP($A190,'Swing Joints'!$A$9:$M$495,9,FALSE),
IF($A190&lt;'Swing Joints Components'!$A$135,VLOOKUP($A190,'Swing Joints Components'!$A$9:$M$134,9,FALSE),
IF($A190&lt;Nonstandard!$A$42,VLOOKUP($A190,Nonstandard!$A$31:$J$41,8,FALSE),"")))))))))))))))))))))))))))),"")</f>
        <v/>
      </c>
      <c r="G190" s="422" t="str">
        <f>IFERROR(IF($A190&lt;'DWV PVC'!$A$285,VLOOKUP($A190,'DWV PVC'!$A$8:$M$284,11,FALSE),
IF($A190&lt;'DWV ABS'!$A$117,VLOOKUP($A190,'DWV ABS'!$A$8:$M$116,11,FALSE),
IF($A190&lt;'PVC SCH40'!$A$376,VLOOKUP($A190,'PVC SCH40'!$A$8:$M$375,11,FALSE),
IF($A190&lt;'PVC SCH40 LD'!$A$22,VLOOKUP($A190,'PVC SCH40 LD'!$A$8:$M$21,11,FALSE),
IF($A190&lt;'Pool &amp; SPA Sweep Elbows'!$A$12,VLOOKUP($A190,'Pool &amp; SPA Sweep Elbows'!$A$8:$M$11,11,FALSE),
IF($A190&lt;'Pool &amp; SPA Pipe Extender'!$A$11,VLOOKUP($A190,'Pool &amp; SPA Pipe Extender'!$A$8:$M$10,11,FALSE),
IF($A190&lt;'PVC SCH80'!$A$250,VLOOKUP($A190,'PVC SCH80'!$A$8:$M$249,11,FALSE),
IF($A190&lt;'PVC SCH80 Flange'!$A$49,VLOOKUP($A190,'PVC SCH80 Flange'!$A$8:$M$48,11,FALSE),
IF($A190&lt;'PVC SCH80 LD Flange'!$A$17,VLOOKUP($A190,'PVC SCH80 LD Flange'!$A$8:$M$16,11,FALSE),
IF($A190&lt;CPVC!$A$100,VLOOKUP($A190,CPVC!$A$8:$M$99,11,FALSE),
IF($A190&lt;InsertFittings!$A$237,VLOOKUP($A190,InsertFittings!$A$11:$M$236,11,FALSE),
IF($A190&lt;Valves!$A$132,VLOOKUP($A190,Valves!$A$8:$M$131,11,FALSE),
IF($A190&lt;SDR35SW!$A$124,VLOOKUP($A190,SDR35SW!$A$8:$M$123,11,FALSE),
IF($A190&lt;SDR35G!$A$143,VLOOKUP($A190, SDR35G!$A$8:$M$142,11,FALSE),
IF($A190&lt;SDR26G!$A$61,VLOOKUP($A190,SDR26G!$A$8:$N$60,12,FALSE),
IF($A190&lt;Cements!$A$100,VLOOKUP($A190,Cements!$A$8:$Q$99,15,FALSE),
IF($A190&lt;ValveBox!$A$143,VLOOKUP($A190,ValveBox!$A$10:$O$142,13,FALSE),
IF($A190&lt;'ValveBox Components'!$A$165,VLOOKUP($A190,'ValveBox Components'!$A$10:$O$164,13,FALSE),
IF($A190&lt;Drainage!$A$92,VLOOKUP($A190,Drainage!$A$8:$M$91,11,FALSE),
IF($A190&lt;Nipples!$A$82,VLOOKUP($A190,Nipples!$A$9:$Q$81,15,FALSE),
IF($A190&lt;Manifold!$A$33,VLOOKUP($A190,Manifold!$A$9:$M$32,11,FALSE),
IF($A190&lt;FlexibleRepairCouplings!$A$13,VLOOKUP($A190,FlexibleRepairCouplings!$A$10:$M$12,11,FALSE),
IF($A190&lt;DuraFix!$A$15,VLOOKUP($A190,DuraFix!$A$9:$M$14,11,FALSE),
IF($A190&lt;'Compression Fittings'!$A$16,VLOOKUP($A190,'Compression Fittings'!$A$8:$M$15,11,FALSE),
IF($A190&lt;'Hose Fittings'!$A$30,VLOOKUP($A190,'Hose Fittings'!$A$8:$M$29,11,FALSE),
IF($A190&lt;'Swing Joints'!$A$496,VLOOKUP($A190,'Swing Joints'!$A$9:$M$495,11,FALSE),
IF($A190&lt;'Swing Joints Components'!$A$135,VLOOKUP($A190,'Swing Joints Components'!$A$9:$M$134,11,FALSE),
IF($A190&lt;Nonstandard!$A$42,VLOOKUP($A190,Nonstandard!$A$31:$J$41,3,FALSE),"")))))))))))))))))))))))))))),"")</f>
        <v/>
      </c>
      <c r="H190" s="588" t="str">
        <f>IFERROR(IF($A190&lt;'DWV PVC'!$A$285,VLOOKUP($A190,'DWV PVC'!$A$8:$M$284,7,FALSE),
IF($A190&lt;'DWV ABS'!$A$117,VLOOKUP($A190,'DWV ABS'!$A$8:$M$116,7,FALSE),
IF($A190&lt;'PVC SCH40'!$A$376,VLOOKUP($A190,'PVC SCH40'!$A$8:$M$375,7,FALSE),
IF($A190&lt;'PVC SCH40 LD'!$A$22,VLOOKUP($A190,'PVC SCH40 LD'!$A$8:$M$21,7,FALSE),
IF($A190&lt;'Pool &amp; SPA Sweep Elbows'!$A$12,VLOOKUP($A190,'Pool &amp; SPA Sweep Elbows'!$A$8:$M$11,7,FALSE),
IF($A190&lt;'Pool &amp; SPA Pipe Extender'!$A$11,VLOOKUP($A190,'Pool &amp; SPA Pipe Extender'!$A$8:$M$10,7,FALSE),
IF($A190&lt;'PVC SCH80'!$A$250,VLOOKUP($A190,'PVC SCH80'!$A$8:$M$249,7,FALSE),
IF($A190&lt;'PVC SCH80 Flange'!$A$49,VLOOKUP($A190,'PVC SCH80 Flange'!$A$8:$M$48,7,FALSE),
IF($A190&lt;'PVC SCH80 LD Flange'!$A$17,VLOOKUP($A190,'PVC SCH80 LD Flange'!$A$8:$M$16,7,FALSE),
IF($A190&lt;CPVC!$A$100,VLOOKUP($A190,CPVC!$A$8:$M$99,7,FALSE),
IF($A190&lt;InsertFittings!$A$237,VLOOKUP($A190,InsertFittings!$A$11:$M$236,7,FALSE),
IF($A190&lt;Valves!$A$132,VLOOKUP($A190,Valves!$A$8:$M$131,7,FALSE),
IF($A190&lt;SDR35SW!$A$124,VLOOKUP($A190,SDR35SW!$A$8:$M$123,7,FALSE),
IF($A190&lt;SDR35G!$A$143,VLOOKUP($A190, SDR35G!$A$8:$M$142,7,FALSE),
IF($A190&lt;SDR26G!$A$61,VLOOKUP($A190,SDR26G!$A$8:$N$60,10,FALSE),
IF($A190&lt;Cements!$A$100,VLOOKUP($A190,Cements!$A$8:$Q$99,13,FALSE),
IF($A190&lt;ValveBox!$A$143,VLOOKUP($A190,ValveBox!$A$10:$O$142,11,FALSE),
IF($A190&lt;'ValveBox Components'!$A$165,VLOOKUP($A190,'ValveBox Components'!$A$10:$O$164,11,FALSE),
IF($A190&lt;Drainage!$A$92,VLOOKUP($A190,Drainage!$A$8:$M$91,7,FALSE),
IF($A190&lt;Nipples!$A$82,VLOOKUP($A190,Nipples!$A$9:$Q$81,13,FALSE),
IF($A190&lt;Manifold!$A$33,VLOOKUP($A190,Manifold!$A$9:$M$32,7,FALSE),
IF($A190&lt;FlexibleRepairCouplings!$A$13,VLOOKUP($A190,FlexibleRepairCouplings!$A$10:$M$12,7,FALSE),
IF($A190&lt;DuraFix!$A$15,VLOOKUP($A190,DuraFix!$A$9:$M$14,7,FALSE),
IF($A190&lt;'Compression Fittings'!$A$16,VLOOKUP($A190,'Compression Fittings'!$A$8:$M$15,7,FALSE),
IF($A190&lt;'Hose Fittings'!$A$30,VLOOKUP($A190,'Hose Fittings'!$A$8:$M$29,7,FALSE),
IF($A190&lt;'Swing Joints'!$A$496,VLOOKUP($A190,'Swing Joints'!$A$9:$M$495,7,FALSE),
IF($A190&lt;'Swing Joints Components'!$A$135,VLOOKUP($A190,'Swing Joints Components'!$A$9:$M$134,7,FALSE),
IF($A190&lt;Nonstandard!$A$42,VLOOKUP($A190,Nonstandard!$A$31:$J$41,3,FALSE),"")))))))))))))))))))))))))))),"")</f>
        <v/>
      </c>
      <c r="I190" s="589"/>
      <c r="J190" s="423" t="str">
        <f t="shared" si="5"/>
        <v/>
      </c>
      <c r="K190" s="424" t="str">
        <f>IFERROR(IF($A190&lt;'DWV PVC'!$A$285,VLOOKUP($A190,'DWV PVC'!$A$8:$M$284,10,FALSE),
IF($A190&lt;'DWV ABS'!$A$117,VLOOKUP($A190,'DWV ABS'!$A$8:$M$116,10,FALSE),
IF($A190&lt;'PVC SCH40'!$A$376,VLOOKUP($A190,'PVC SCH40'!$A$8:$M$375,10,FALSE),
IF($A190&lt;'PVC SCH40 LD'!$A$22,VLOOKUP($A190,'PVC SCH40 LD'!$A$8:$M$21,10,FALSE),
IF($A190&lt;'Pool &amp; SPA Sweep Elbows'!$A$12,VLOOKUP($A190,'Pool &amp; SPA Sweep Elbows'!$A$8:$M$11,10,FALSE),
IF($A190&lt;'Pool &amp; SPA Pipe Extender'!$A$11,VLOOKUP($A190,'Pool &amp; SPA Pipe Extender'!$A$8:$M$10,10,FALSE),
IF($A190&lt;'PVC SCH80'!$A$250,VLOOKUP($A190,'PVC SCH80'!$A$8:$M$249,10,FALSE),
IF($A190&lt;'PVC SCH80 Flange'!$A$49,VLOOKUP($A190,'PVC SCH80 Flange'!$A$8:$M$48,10,FALSE),
IF($A190&lt;'PVC SCH80 LD Flange'!$A$17,VLOOKUP($A190,'PVC SCH80 LD Flange'!$A$8:$M$16,10,FALSE),
IF($A190&lt;CPVC!$A$100,VLOOKUP($A190,CPVC!$A$8:$M$99,10,FALSE),
IF($A190&lt;InsertFittings!$A$237,VLOOKUP($A190,InsertFittings!$A$11:$M$236,10,FALSE),
IF($A190&lt;Valves!$A$132,VLOOKUP($A190,Valves!$A$8:$M$131,10,FALSE),
IF($A190&lt;SDR35SW!$A$124,VLOOKUP($A190,SDR35SW!$A$8:$M$123,10,FALSE),
IF($A190&lt;SDR35G!$A$143,VLOOKUP($A190, SDR35G!$A$8:$M$142,10,FALSE),
IF($A190&lt;SDR26G!$A$61,VLOOKUP($A190,SDR26G!$A$8:$N$60,11,FALSE),
IF($A190&lt;Cements!$A$100,VLOOKUP($A190,Cements!$A$8:$Q$99,14,FALSE),
IF($A190&lt;ValveBox!$A$143,VLOOKUP($A190,ValveBox!$A$10:$O$142,12,FALSE),
IF($A190&lt;'ValveBox Components'!$A$165,VLOOKUP($A190,'ValveBox Components'!$A$10:$O$164,12,FALSE),
IF($A190&lt;Drainage!$A$92,VLOOKUP($A190,Drainage!$A$8:$M$91,10,FALSE),
IF($A190&lt;Nipples!$A$82,VLOOKUP($A190,Nipples!$A$9:$Q$81,14,FALSE),
IF($A190&lt;Manifold!$A$33,VLOOKUP($A190,Manifold!$A$9:$M$32,10,FALSE),
IF($A190&lt;FlexibleRepairCouplings!$A$13,VLOOKUP($A190,FlexibleRepairCouplings!$A$10:$M$12,10,FALSE),
IF($A190&lt;DuraFix!$A$15,VLOOKUP($A190,DuraFix!$A$9:$M$14,10,FALSE),
IF($A190&lt;'Compression Fittings'!$A$16,VLOOKUP($A190,'Compression Fittings'!$A$8:$M$15,10,FALSE),
IF($A190&lt;'Hose Fittings'!$A$30,VLOOKUP($A190,'Hose Fittings'!$A$8:$M$29,10,FALSE),
IF($A190&lt;'Swing Joints'!$A$496,VLOOKUP($A190,'Swing Joints'!$A$9:$M$495,10,FALSE),
IF($A190&lt;'Swing Joints Components'!$A$135,VLOOKUP($A190,'Swing Joints Components'!$A$9:$M$134,10,FALSE),
IF($A190&lt;Nonstandard!$A$42,VLOOKUP($A190,Nonstandard!$A$31:$J$41,10,FALSE),"")))))))))))))))))))))))))))),"")</f>
        <v/>
      </c>
      <c r="L190" s="421" t="str">
        <f t="shared" si="4"/>
        <v>-</v>
      </c>
      <c r="M190" s="425"/>
    </row>
    <row r="191" spans="1:13" ht="15.75">
      <c r="A191" s="415">
        <v>159</v>
      </c>
      <c r="B191" s="415" t="str">
        <f>IFERROR(IF($A191&lt;'DWV PVC'!$A$285,VLOOKUP($A191,'DWV PVC'!$A$8:$M$284,4,FALSE),
IF($A191&lt;'DWV ABS'!$A$117,VLOOKUP($A191,'DWV ABS'!$A$8:$M$116,4,FALSE),
IF($A191&lt;'PVC SCH40'!$A$376,VLOOKUP($A191,'PVC SCH40'!$A$8:$M$375,4,FALSE),
IF($A191&lt;'PVC SCH40 LD'!$A$22,VLOOKUP($A191,'PVC SCH40 LD'!$A$8:$M$21,4,FALSE),
IF($A191&lt;'Pool &amp; SPA Sweep Elbows'!$A$12,VLOOKUP($A191,'Pool &amp; SPA Sweep Elbows'!$A$8:$M$11,4,FALSE),
IF($A191&lt;'Pool &amp; SPA Pipe Extender'!$A$11,VLOOKUP($A191,'Pool &amp; SPA Pipe Extender'!$A$8:$M$10,4,FALSE),
IF($A191&lt;'PVC SCH80'!$A$250,VLOOKUP($A191,'PVC SCH80'!$A$8:$M$249,4,FALSE),
IF($A191&lt;'PVC SCH80 Flange'!$A$49,VLOOKUP($A191,'PVC SCH80 Flange'!$A$8:$M$48,4,FALSE),
IF($A191&lt;'PVC SCH80 LD Flange'!$A$17,VLOOKUP($A191,'PVC SCH80 LD Flange'!$A$8:$M$16,4,FALSE),
IF($A191&lt;CPVC!$A$100,VLOOKUP($A191,CPVC!$A$8:$M$99,4,FALSE),
IF($A191&lt;InsertFittings!$A$237,VLOOKUP($A191,InsertFittings!$A$11:$M$236,4,FALSE),
IF($A191&lt;Valves!$A$132,VLOOKUP($A191,Valves!$A$8:$M$131,4,FALSE),
IF($A191&lt;SDR35SW!$A$124,VLOOKUP($A191,SDR35SW!$A$8:$M$123,4,FALSE),
IF($A191&lt;SDR35G!$A$143,VLOOKUP($A191, SDR35G!$A$8:$M$142,4,FALSE),
IF($A191&lt;SDR26G!$A$61,VLOOKUP($A191,SDR26G!$A$8:$N$60,4,FALSE),
IF($A191&lt;Cements!$A$100,VLOOKUP($A191,Cements!$A$8:$Q$99,4,FALSE),
IF($A191&lt;ValveBox!$A$143,VLOOKUP($A191,ValveBox!$A$10:$O$142,4,FALSE),
IF($A191&lt;'ValveBox Components'!$A$165,VLOOKUP($A191,'ValveBox Components'!$A$10:$O$164,4,FALSE),
IF($A191&lt;Drainage!$A$92,VLOOKUP($A191,Drainage!$A$8:$M$91,4,FALSE),
IF($A191&lt;Nipples!$A$82,VLOOKUP($A191,Nipples!$A$9:$Q$81,4,FALSE),
IF($A191&lt;Manifold!$A$33,VLOOKUP($A191,Manifold!$A$9:$M$32,4,FALSE),
IF($A191&lt;FlexibleRepairCouplings!$A$13,VLOOKUP($A191,FlexibleRepairCouplings!$A$10:$M$12,4,FALSE),
IF($A191&lt;DuraFix!$A$15,VLOOKUP($A191,DuraFix!$A$9:$M$14,4,FALSE),
IF($A191&lt;'Compression Fittings'!$A$16,VLOOKUP($A191,'Compression Fittings'!$A$8:$M$15,4,FALSE),
IF($A191&lt;'Hose Fittings'!$A$30,VLOOKUP($A191,'Hose Fittings'!$A$8:$M$29,4,FALSE),
IF($A191&lt;'Swing Joints'!$A$496,VLOOKUP($A191,'Swing Joints'!$A$9:$M$495,4,FALSE),
IF($A191&lt;'Swing Joints Components'!$A$135,VLOOKUP($A191,'Swing Joints Components'!$A$9:$M$134,4,FALSE),
IF($A191&lt;Nonstandard!$A$42,VLOOKUP($A191,Nonstandard!$A$31:$J$41,5,FALSE),"")))))))))))))))))))))))))))),"")</f>
        <v/>
      </c>
      <c r="C191" s="415" t="str">
        <f>IFERROR(IF($A191&lt;'DWV PVC'!$A$285,VLOOKUP($A191,'DWV PVC'!$A$8:$M$284,5,FALSE),
IF($A191&lt;'DWV ABS'!$A$117,VLOOKUP($A191,'DWV ABS'!$A$8:$M$116,5,FALSE),
IF($A191&lt;'PVC SCH40'!$A$376,VLOOKUP($A191,'PVC SCH40'!$A$8:$M$375,5,FALSE),
IF($A191&lt;'PVC SCH40 LD'!$A$22,VLOOKUP($A191,'PVC SCH40 LD'!$A$8:$M$21,5,FALSE),
IF($A191&lt;'Pool &amp; SPA Sweep Elbows'!$A$12,VLOOKUP($A191,'Pool &amp; SPA Sweep Elbows'!$A$8:$M$11,5,FALSE),
IF($A191&lt;'Pool &amp; SPA Pipe Extender'!$A$11,VLOOKUP($A191,'Pool &amp; SPA Pipe Extender'!$A$8:$M$10,5,FALSE),
IF($A191&lt;'PVC SCH80'!$A$250,VLOOKUP($A191,'PVC SCH80'!$A$8:$M$249,5,FALSE),
IF($A191&lt;'PVC SCH80 Flange'!$A$49,VLOOKUP($A191,'PVC SCH80 Flange'!$A$8:$M$48,5,FALSE),
IF($A191&lt;'PVC SCH80 LD Flange'!$A$17,VLOOKUP($A191,'PVC SCH80 LD Flange'!$A$8:$M$16,5,FALSE),
IF($A191&lt;CPVC!$A$100,VLOOKUP($A191,CPVC!$A$8:$M$99,5,FALSE),
IF($A191&lt;InsertFittings!$A$237,VLOOKUP($A191,InsertFittings!$A$11:$M$236,5,FALSE),
IF($A191&lt;Valves!$A$132,VLOOKUP($A191,Valves!$A$8:$M$131,5,FALSE),
IF($A191&lt;SDR35SW!$A$124,VLOOKUP($A191,SDR35SW!$A$8:$M$123,5,FALSE),
IF($A191&lt;SDR35G!$A$143,VLOOKUP($A191, SDR35G!$A$8:$M$142,5,FALSE),
IF($A191&lt;SDR26G!$A$61,VLOOKUP($A191,SDR26G!$A$8:$N$60,5,FALSE),
IF($A191&lt;Cements!$A$100,VLOOKUP($A191,Cements!$A$8:$Q$99,5,FALSE),
IF($A191&lt;ValveBox!$A$143,VLOOKUP($A191,ValveBox!$A$10:$O$142,5,FALSE),
IF($A191&lt;'ValveBox Components'!$A$165,VLOOKUP($A191,'ValveBox Components'!$A$10:$O$164,5,FALSE),
IF($A191&lt;Drainage!$A$92,VLOOKUP($A191,Drainage!$A$8:$M$91,5,FALSE),
IF($A191&lt;Nipples!$A$82,VLOOKUP($A191,Nipples!$A$9:$Q$81,5,FALSE),
IF($A191&lt;Manifold!$A$33,VLOOKUP($A191,Manifold!$A$9:$M$32,5,FALSE),
IF($A191&lt;FlexibleRepairCouplings!$A$13,VLOOKUP($A191,FlexibleRepairCouplings!$A$10:$M$12,5,FALSE),
IF($A191&lt;DuraFix!$A$15,VLOOKUP($A191,DuraFix!$A$9:$M$14,5,FALSE),
IF($A191&lt;'Compression Fittings'!$A$16,VLOOKUP($A191,'Compression Fittings'!$A$8:$M$15,5,FALSE),
IF($A191&lt;'Hose Fittings'!$A$30,VLOOKUP($A191,'Hose Fittings'!$A$8:$M$29,5,FALSE),
IF($A191&lt;'Swing Joints'!$A$496,VLOOKUP($A191,'Swing Joints'!$A$9:$M$495,5,FALSE),
IF($A191&lt;'Swing Joints Components'!$A$135,VLOOKUP($A191,'Swing Joints Components'!$A$9:$M$134,5,FALSE),
IF($A191&lt;Nonstandard!$A$42,VLOOKUP($A191,Nonstandard!$A$31:$J$41,6,FALSE),"")))))))))))))))))))))))))))),"")</f>
        <v/>
      </c>
      <c r="D191" s="426" t="str">
        <f>IFERROR(IF($A191&lt;'DWV PVC'!$A$285,VLOOKUP($A191,'DWV PVC'!$A$8:$M$284,6,FALSE),
IF($A191&lt;'DWV ABS'!$A$117,VLOOKUP($A191,'DWV ABS'!$A$8:$M$116,6,FALSE),
IF($A191&lt;'PVC SCH40'!$A$376,VLOOKUP($A191,'PVC SCH40'!$A$8:$M$375,6,FALSE),
IF($A191&lt;'PVC SCH40 LD'!$A$22,VLOOKUP($A191,'PVC SCH40 LD'!$A$8:$M$21,6,FALSE),
IF($A191&lt;'Pool &amp; SPA Sweep Elbows'!$A$12,VLOOKUP($A191,'Pool &amp; SPA Sweep Elbows'!$A$8:$M$11,6,FALSE),
IF($A191&lt;'Pool &amp; SPA Pipe Extender'!$A$11,VLOOKUP($A191,'Pool &amp; SPA Pipe Extender'!$A$8:$M$10,6,FALSE),
IF($A191&lt;'PVC SCH80'!$A$250,VLOOKUP($A191,'PVC SCH80'!$A$8:$M$249,6,FALSE),
IF($A191&lt;'PVC SCH80 Flange'!$A$49,VLOOKUP($A191,'PVC SCH80 Flange'!$A$8:$M$48,6,FALSE),
IF($A191&lt;'PVC SCH80 LD Flange'!$A$17,VLOOKUP($A191,'PVC SCH80 LD Flange'!$A$8:$M$16,6,FALSE),
IF($A191&lt;CPVC!$A$100,VLOOKUP($A191,CPVC!$A$8:$M$99,6,FALSE),
IF($A191&lt;InsertFittings!$A$237,VLOOKUP($A191,InsertFittings!$A$11:$M$236,6,FALSE),
IF($A191&lt;Valves!$A$132,VLOOKUP($A191,Valves!$A$8:$M$131,6,FALSE),
IF($A191&lt;SDR35SW!$A$124,VLOOKUP($A191,SDR35SW!$A$8:$M$123,6,FALSE),
IF($A191&lt;SDR35G!$A$143,VLOOKUP($A191, SDR35G!$A$8:$M$142,6,FALSE),
IF($A191&lt;SDR26G!$A$61,VLOOKUP($A191,SDR26G!$A$8:$N$60,6,FALSE),
IF($A191&lt;Cements!$A$100,VLOOKUP($A191,Cements!$A$8:$Q$99,6,FALSE),
IF($A191&lt;ValveBox!$A$143,VLOOKUP($A191,ValveBox!$A$10:$O$142,6,FALSE),
IF($A191&lt;'ValveBox Components'!$A$165,VLOOKUP($A191,'ValveBox Components'!$A$10:$O$164,6,FALSE),
IF($A191&lt;Drainage!$A$92,VLOOKUP($A191,Drainage!$A$8:$M$91,6,FALSE),
IF($A191&lt;Nipples!$A$82,VLOOKUP($A191,Nipples!$A$9:$Q$81,6,FALSE),
IF($A191&lt;Manifold!$A$33,VLOOKUP($A191,Manifold!$A$9:$M$32,6,FALSE),
IF($A191&lt;FlexibleRepairCouplings!$A$13,VLOOKUP($A191,FlexibleRepairCouplings!$A$10:$M$12,6,FALSE),
IF($A191&lt;DuraFix!$A$15,VLOOKUP($A191,DuraFix!$A$9:$M$14,6,FALSE),
IF($A191&lt;'Compression Fittings'!$A$16,VLOOKUP($A191,'Compression Fittings'!$A$8:$M$15,6,FALSE),
IF($A191&lt;'Hose Fittings'!$A$30,VLOOKUP($A191,'Hose Fittings'!$A$8:$M$29,6,FALSE),
IF($A191&lt;'Swing Joints'!$A$496,VLOOKUP($A191,'Swing Joints'!$A$9:$M$495,6,FALSE),
IF($A191&lt;'Swing Joints Components'!$A$135,VLOOKUP($A191,'Swing Joints Components'!$A$9:$M$134,6,FALSE),
IF($A191&lt;Nonstandard!$A$42,VLOOKUP($A191,Nonstandard!$A$31:$J$41,7,FALSE),"")))))))))))))))))))))))))))),"")</f>
        <v/>
      </c>
      <c r="E191" s="427"/>
      <c r="F191" s="418" t="str">
        <f>IFERROR(IF($A191&lt;'DWV PVC'!$A$285,VLOOKUP($A191,'DWV PVC'!$A$8:$M$284,9,FALSE),
IF($A191&lt;'DWV ABS'!$A$117,VLOOKUP($A191,'DWV ABS'!$A$8:$M$116,9,FALSE),
IF($A191&lt;'PVC SCH40'!$A$376,VLOOKUP($A191,'PVC SCH40'!$A$8:$M$375,9,FALSE),
IF($A191&lt;'PVC SCH40 LD'!$A$22,VLOOKUP($A191,'PVC SCH40 LD'!$A$8:$M$21,9,FALSE),
IF($A191&lt;'Pool &amp; SPA Sweep Elbows'!$A$12,VLOOKUP($A191,'Pool &amp; SPA Sweep Elbows'!$A$8:$M$11,9,FALSE),
IF($A191&lt;'Pool &amp; SPA Pipe Extender'!$A$11,VLOOKUP($A191,'Pool &amp; SPA Pipe Extender'!$A$8:$M$10,9,FALSE),
IF($A191&lt;'PVC SCH80'!$A$250,VLOOKUP($A191,'PVC SCH80'!$A$8:$M$249,9,FALSE),
IF($A191&lt;'PVC SCH80 Flange'!$A$49,VLOOKUP($A191,'PVC SCH80 Flange'!$A$8:$M$48,9,FALSE),
IF($A191&lt;'PVC SCH80 LD Flange'!$A$17,VLOOKUP($A191,'PVC SCH80 LD Flange'!$A$8:$M$16,9,FALSE),
IF($A191&lt;CPVC!$A$100,VLOOKUP($A191,CPVC!$A$8:$M$99,9,FALSE),
IF($A191&lt;InsertFittings!$A$237,VLOOKUP($A191,InsertFittings!$A$11:$M$236,9,FALSE),
IF($A191&lt;Valves!$A$132,VLOOKUP($A191,Valves!$A$8:$M$131,9,FALSE),
IF($A191&lt;SDR35SW!$A$124,VLOOKUP($A191,SDR35SW!$A$8:$M$123,9,FALSE),
IF($A191&lt;SDR35G!$A$143,VLOOKUP($A191, SDR35G!$A$8:$M$142,9,FALSE),
IF($A191&lt;SDR26G!$A$61,VLOOKUP($A191,SDR26G!$A$8:$N$60,10,FALSE),
IF($A191&lt;Cements!$A$100,VLOOKUP($A191,Cements!$A$8:$Q$99,13,FALSE),
IF($A191&lt;ValveBox!$A$143,VLOOKUP($A191,ValveBox!$A$10:$O$142,11,FALSE),
IF($A191&lt;'ValveBox Components'!$A$165,VLOOKUP($A191,'ValveBox Components'!$A$10:$O$164,11,FALSE),
IF($A191&lt;Drainage!$A$92,VLOOKUP($A191,Drainage!$A$8:$M$91,9,FALSE),
IF($A191&lt;Nipples!$A$82,VLOOKUP($A191,Nipples!$A$9:$Q$81,13,FALSE),
IF($A191&lt;Manifold!$A$33,VLOOKUP($A191,Manifold!$A$9:$M$32,9,FALSE),
IF($A191&lt;FlexibleRepairCouplings!$A$13,VLOOKUP($A191,FlexibleRepairCouplings!$A$10:$M$12,9,FALSE),
IF($A191&lt;DuraFix!$A$15,VLOOKUP($A191,DuraFix!$A$9:$M$14,9,FALSE),
IF($A191&lt;'Compression Fittings'!$A$16,VLOOKUP($A191,'Compression Fittings'!$A$8:$M$15,9,FALSE),
IF($A191&lt;'Hose Fittings'!$A$30,VLOOKUP($A191,'Hose Fittings'!$A$8:$M$29,9,FALSE),
IF($A191&lt;'Swing Joints'!$A$496,VLOOKUP($A191,'Swing Joints'!$A$9:$M$495,9,FALSE),
IF($A191&lt;'Swing Joints Components'!$A$135,VLOOKUP($A191,'Swing Joints Components'!$A$9:$M$134,9,FALSE),
IF($A191&lt;Nonstandard!$A$42,VLOOKUP($A191,Nonstandard!$A$31:$J$41,8,FALSE),"")))))))))))))))))))))))))))),"")</f>
        <v/>
      </c>
      <c r="G191" s="416" t="str">
        <f>IFERROR(IF($A191&lt;'DWV PVC'!$A$285,VLOOKUP($A191,'DWV PVC'!$A$8:$M$284,11,FALSE),
IF($A191&lt;'DWV ABS'!$A$117,VLOOKUP($A191,'DWV ABS'!$A$8:$M$116,11,FALSE),
IF($A191&lt;'PVC SCH40'!$A$376,VLOOKUP($A191,'PVC SCH40'!$A$8:$M$375,11,FALSE),
IF($A191&lt;'PVC SCH40 LD'!$A$22,VLOOKUP($A191,'PVC SCH40 LD'!$A$8:$M$21,11,FALSE),
IF($A191&lt;'Pool &amp; SPA Sweep Elbows'!$A$12,VLOOKUP($A191,'Pool &amp; SPA Sweep Elbows'!$A$8:$M$11,11,FALSE),
IF($A191&lt;'Pool &amp; SPA Pipe Extender'!$A$11,VLOOKUP($A191,'Pool &amp; SPA Pipe Extender'!$A$8:$M$10,11,FALSE),
IF($A191&lt;'PVC SCH80'!$A$250,VLOOKUP($A191,'PVC SCH80'!$A$8:$M$249,11,FALSE),
IF($A191&lt;'PVC SCH80 Flange'!$A$49,VLOOKUP($A191,'PVC SCH80 Flange'!$A$8:$M$48,11,FALSE),
IF($A191&lt;'PVC SCH80 LD Flange'!$A$17,VLOOKUP($A191,'PVC SCH80 LD Flange'!$A$8:$M$16,11,FALSE),
IF($A191&lt;CPVC!$A$100,VLOOKUP($A191,CPVC!$A$8:$M$99,11,FALSE),
IF($A191&lt;InsertFittings!$A$237,VLOOKUP($A191,InsertFittings!$A$11:$M$236,11,FALSE),
IF($A191&lt;Valves!$A$132,VLOOKUP($A191,Valves!$A$8:$M$131,11,FALSE),
IF($A191&lt;SDR35SW!$A$124,VLOOKUP($A191,SDR35SW!$A$8:$M$123,11,FALSE),
IF($A191&lt;SDR35G!$A$143,VLOOKUP($A191, SDR35G!$A$8:$M$142,11,FALSE),
IF($A191&lt;SDR26G!$A$61,VLOOKUP($A191,SDR26G!$A$8:$N$60,12,FALSE),
IF($A191&lt;Cements!$A$100,VLOOKUP($A191,Cements!$A$8:$Q$99,15,FALSE),
IF($A191&lt;ValveBox!$A$143,VLOOKUP($A191,ValveBox!$A$10:$O$142,13,FALSE),
IF($A191&lt;'ValveBox Components'!$A$165,VLOOKUP($A191,'ValveBox Components'!$A$10:$O$164,13,FALSE),
IF($A191&lt;Drainage!$A$92,VLOOKUP($A191,Drainage!$A$8:$M$91,11,FALSE),
IF($A191&lt;Nipples!$A$82,VLOOKUP($A191,Nipples!$A$9:$Q$81,15,FALSE),
IF($A191&lt;Manifold!$A$33,VLOOKUP($A191,Manifold!$A$9:$M$32,11,FALSE),
IF($A191&lt;FlexibleRepairCouplings!$A$13,VLOOKUP($A191,FlexibleRepairCouplings!$A$10:$M$12,11,FALSE),
IF($A191&lt;DuraFix!$A$15,VLOOKUP($A191,DuraFix!$A$9:$M$14,11,FALSE),
IF($A191&lt;'Compression Fittings'!$A$16,VLOOKUP($A191,'Compression Fittings'!$A$8:$M$15,11,FALSE),
IF($A191&lt;'Hose Fittings'!$A$30,VLOOKUP($A191,'Hose Fittings'!$A$8:$M$29,11,FALSE),
IF($A191&lt;'Swing Joints'!$A$496,VLOOKUP($A191,'Swing Joints'!$A$9:$M$495,11,FALSE),
IF($A191&lt;'Swing Joints Components'!$A$135,VLOOKUP($A191,'Swing Joints Components'!$A$9:$M$134,11,FALSE),
IF($A191&lt;Nonstandard!$A$42,VLOOKUP($A191,Nonstandard!$A$31:$J$41,3,FALSE),"")))))))))))))))))))))))))))),"")</f>
        <v/>
      </c>
      <c r="H191" s="586" t="str">
        <f>IFERROR(IF($A191&lt;'DWV PVC'!$A$285,VLOOKUP($A191,'DWV PVC'!$A$8:$M$284,7,FALSE),
IF($A191&lt;'DWV ABS'!$A$117,VLOOKUP($A191,'DWV ABS'!$A$8:$M$116,7,FALSE),
IF($A191&lt;'PVC SCH40'!$A$376,VLOOKUP($A191,'PVC SCH40'!$A$8:$M$375,7,FALSE),
IF($A191&lt;'PVC SCH40 LD'!$A$22,VLOOKUP($A191,'PVC SCH40 LD'!$A$8:$M$21,7,FALSE),
IF($A191&lt;'Pool &amp; SPA Sweep Elbows'!$A$12,VLOOKUP($A191,'Pool &amp; SPA Sweep Elbows'!$A$8:$M$11,7,FALSE),
IF($A191&lt;'Pool &amp; SPA Pipe Extender'!$A$11,VLOOKUP($A191,'Pool &amp; SPA Pipe Extender'!$A$8:$M$10,7,FALSE),
IF($A191&lt;'PVC SCH80'!$A$250,VLOOKUP($A191,'PVC SCH80'!$A$8:$M$249,7,FALSE),
IF($A191&lt;'PVC SCH80 Flange'!$A$49,VLOOKUP($A191,'PVC SCH80 Flange'!$A$8:$M$48,7,FALSE),
IF($A191&lt;'PVC SCH80 LD Flange'!$A$17,VLOOKUP($A191,'PVC SCH80 LD Flange'!$A$8:$M$16,7,FALSE),
IF($A191&lt;CPVC!$A$100,VLOOKUP($A191,CPVC!$A$8:$M$99,7,FALSE),
IF($A191&lt;InsertFittings!$A$237,VLOOKUP($A191,InsertFittings!$A$11:$M$236,7,FALSE),
IF($A191&lt;Valves!$A$132,VLOOKUP($A191,Valves!$A$8:$M$131,7,FALSE),
IF($A191&lt;SDR35SW!$A$124,VLOOKUP($A191,SDR35SW!$A$8:$M$123,7,FALSE),
IF($A191&lt;SDR35G!$A$143,VLOOKUP($A191, SDR35G!$A$8:$M$142,7,FALSE),
IF($A191&lt;SDR26G!$A$61,VLOOKUP($A191,SDR26G!$A$8:$N$60,10,FALSE),
IF($A191&lt;Cements!$A$100,VLOOKUP($A191,Cements!$A$8:$Q$99,13,FALSE),
IF($A191&lt;ValveBox!$A$143,VLOOKUP($A191,ValveBox!$A$10:$O$142,11,FALSE),
IF($A191&lt;'ValveBox Components'!$A$165,VLOOKUP($A191,'ValveBox Components'!$A$10:$O$164,11,FALSE),
IF($A191&lt;Drainage!$A$92,VLOOKUP($A191,Drainage!$A$8:$M$91,7,FALSE),
IF($A191&lt;Nipples!$A$82,VLOOKUP($A191,Nipples!$A$9:$Q$81,13,FALSE),
IF($A191&lt;Manifold!$A$33,VLOOKUP($A191,Manifold!$A$9:$M$32,7,FALSE),
IF($A191&lt;FlexibleRepairCouplings!$A$13,VLOOKUP($A191,FlexibleRepairCouplings!$A$10:$M$12,7,FALSE),
IF($A191&lt;DuraFix!$A$15,VLOOKUP($A191,DuraFix!$A$9:$M$14,7,FALSE),
IF($A191&lt;'Compression Fittings'!$A$16,VLOOKUP($A191,'Compression Fittings'!$A$8:$M$15,7,FALSE),
IF($A191&lt;'Hose Fittings'!$A$30,VLOOKUP($A191,'Hose Fittings'!$A$8:$M$29,7,FALSE),
IF($A191&lt;'Swing Joints'!$A$496,VLOOKUP($A191,'Swing Joints'!$A$9:$M$495,7,FALSE),
IF($A191&lt;'Swing Joints Components'!$A$135,VLOOKUP($A191,'Swing Joints Components'!$A$9:$M$134,7,FALSE),
IF($A191&lt;Nonstandard!$A$42,VLOOKUP($A191,Nonstandard!$A$31:$J$41,3,FALSE),"")))))))))))))))))))))))))))),"")</f>
        <v/>
      </c>
      <c r="I191" s="587"/>
      <c r="J191" s="383" t="str">
        <f t="shared" si="5"/>
        <v/>
      </c>
      <c r="K191" s="417" t="str">
        <f>IFERROR(IF($A191&lt;'DWV PVC'!$A$285,VLOOKUP($A191,'DWV PVC'!$A$8:$M$284,10,FALSE),
IF($A191&lt;'DWV ABS'!$A$117,VLOOKUP($A191,'DWV ABS'!$A$8:$M$116,10,FALSE),
IF($A191&lt;'PVC SCH40'!$A$376,VLOOKUP($A191,'PVC SCH40'!$A$8:$M$375,10,FALSE),
IF($A191&lt;'PVC SCH40 LD'!$A$22,VLOOKUP($A191,'PVC SCH40 LD'!$A$8:$M$21,10,FALSE),
IF($A191&lt;'Pool &amp; SPA Sweep Elbows'!$A$12,VLOOKUP($A191,'Pool &amp; SPA Sweep Elbows'!$A$8:$M$11,10,FALSE),
IF($A191&lt;'Pool &amp; SPA Pipe Extender'!$A$11,VLOOKUP($A191,'Pool &amp; SPA Pipe Extender'!$A$8:$M$10,10,FALSE),
IF($A191&lt;'PVC SCH80'!$A$250,VLOOKUP($A191,'PVC SCH80'!$A$8:$M$249,10,FALSE),
IF($A191&lt;'PVC SCH80 Flange'!$A$49,VLOOKUP($A191,'PVC SCH80 Flange'!$A$8:$M$48,10,FALSE),
IF($A191&lt;'PVC SCH80 LD Flange'!$A$17,VLOOKUP($A191,'PVC SCH80 LD Flange'!$A$8:$M$16,10,FALSE),
IF($A191&lt;CPVC!$A$100,VLOOKUP($A191,CPVC!$A$8:$M$99,10,FALSE),
IF($A191&lt;InsertFittings!$A$237,VLOOKUP($A191,InsertFittings!$A$11:$M$236,10,FALSE),
IF($A191&lt;Valves!$A$132,VLOOKUP($A191,Valves!$A$8:$M$131,10,FALSE),
IF($A191&lt;SDR35SW!$A$124,VLOOKUP($A191,SDR35SW!$A$8:$M$123,10,FALSE),
IF($A191&lt;SDR35G!$A$143,VLOOKUP($A191, SDR35G!$A$8:$M$142,10,FALSE),
IF($A191&lt;SDR26G!$A$61,VLOOKUP($A191,SDR26G!$A$8:$N$60,11,FALSE),
IF($A191&lt;Cements!$A$100,VLOOKUP($A191,Cements!$A$8:$Q$99,14,FALSE),
IF($A191&lt;ValveBox!$A$143,VLOOKUP($A191,ValveBox!$A$10:$O$142,12,FALSE),
IF($A191&lt;'ValveBox Components'!$A$165,VLOOKUP($A191,'ValveBox Components'!$A$10:$O$164,12,FALSE),
IF($A191&lt;Drainage!$A$92,VLOOKUP($A191,Drainage!$A$8:$M$91,10,FALSE),
IF($A191&lt;Nipples!$A$82,VLOOKUP($A191,Nipples!$A$9:$Q$81,14,FALSE),
IF($A191&lt;Manifold!$A$33,VLOOKUP($A191,Manifold!$A$9:$M$32,10,FALSE),
IF($A191&lt;FlexibleRepairCouplings!$A$13,VLOOKUP($A191,FlexibleRepairCouplings!$A$10:$M$12,10,FALSE),
IF($A191&lt;DuraFix!$A$15,VLOOKUP($A191,DuraFix!$A$9:$M$14,10,FALSE),
IF($A191&lt;'Compression Fittings'!$A$16,VLOOKUP($A191,'Compression Fittings'!$A$8:$M$15,10,FALSE),
IF($A191&lt;'Hose Fittings'!$A$30,VLOOKUP($A191,'Hose Fittings'!$A$8:$M$29,10,FALSE),
IF($A191&lt;'Swing Joints'!$A$496,VLOOKUP($A191,'Swing Joints'!$A$9:$M$495,10,FALSE),
IF($A191&lt;'Swing Joints Components'!$A$135,VLOOKUP($A191,'Swing Joints Components'!$A$9:$M$134,10,FALSE),
IF($A191&lt;Nonstandard!$A$42,VLOOKUP($A191,Nonstandard!$A$31:$J$41,10,FALSE),"")))))))))))))))))))))))))))),"")</f>
        <v/>
      </c>
      <c r="L191" s="418" t="str">
        <f t="shared" si="4"/>
        <v>-</v>
      </c>
      <c r="M191" s="419"/>
    </row>
    <row r="192" spans="1:13" ht="15.75">
      <c r="A192" s="420">
        <v>160</v>
      </c>
      <c r="B192" s="420" t="str">
        <f>IFERROR(IF($A192&lt;'DWV PVC'!$A$285,VLOOKUP($A192,'DWV PVC'!$A$8:$M$284,4,FALSE),
IF($A192&lt;'DWV ABS'!$A$117,VLOOKUP($A192,'DWV ABS'!$A$8:$M$116,4,FALSE),
IF($A192&lt;'PVC SCH40'!$A$376,VLOOKUP($A192,'PVC SCH40'!$A$8:$M$375,4,FALSE),
IF($A192&lt;'PVC SCH40 LD'!$A$22,VLOOKUP($A192,'PVC SCH40 LD'!$A$8:$M$21,4,FALSE),
IF($A192&lt;'Pool &amp; SPA Sweep Elbows'!$A$12,VLOOKUP($A192,'Pool &amp; SPA Sweep Elbows'!$A$8:$M$11,4,FALSE),
IF($A192&lt;'Pool &amp; SPA Pipe Extender'!$A$11,VLOOKUP($A192,'Pool &amp; SPA Pipe Extender'!$A$8:$M$10,4,FALSE),
IF($A192&lt;'PVC SCH80'!$A$250,VLOOKUP($A192,'PVC SCH80'!$A$8:$M$249,4,FALSE),
IF($A192&lt;'PVC SCH80 Flange'!$A$49,VLOOKUP($A192,'PVC SCH80 Flange'!$A$8:$M$48,4,FALSE),
IF($A192&lt;'PVC SCH80 LD Flange'!$A$17,VLOOKUP($A192,'PVC SCH80 LD Flange'!$A$8:$M$16,4,FALSE),
IF($A192&lt;CPVC!$A$100,VLOOKUP($A192,CPVC!$A$8:$M$99,4,FALSE),
IF($A192&lt;InsertFittings!$A$237,VLOOKUP($A192,InsertFittings!$A$11:$M$236,4,FALSE),
IF($A192&lt;Valves!$A$132,VLOOKUP($A192,Valves!$A$8:$M$131,4,FALSE),
IF($A192&lt;SDR35SW!$A$124,VLOOKUP($A192,SDR35SW!$A$8:$M$123,4,FALSE),
IF($A192&lt;SDR35G!$A$143,VLOOKUP($A192, SDR35G!$A$8:$M$142,4,FALSE),
IF($A192&lt;SDR26G!$A$61,VLOOKUP($A192,SDR26G!$A$8:$N$60,4,FALSE),
IF($A192&lt;Cements!$A$100,VLOOKUP($A192,Cements!$A$8:$Q$99,4,FALSE),
IF($A192&lt;ValveBox!$A$143,VLOOKUP($A192,ValveBox!$A$10:$O$142,4,FALSE),
IF($A192&lt;'ValveBox Components'!$A$165,VLOOKUP($A192,'ValveBox Components'!$A$10:$O$164,4,FALSE),
IF($A192&lt;Drainage!$A$92,VLOOKUP($A192,Drainage!$A$8:$M$91,4,FALSE),
IF($A192&lt;Nipples!$A$82,VLOOKUP($A192,Nipples!$A$9:$Q$81,4,FALSE),
IF($A192&lt;Manifold!$A$33,VLOOKUP($A192,Manifold!$A$9:$M$32,4,FALSE),
IF($A192&lt;FlexibleRepairCouplings!$A$13,VLOOKUP($A192,FlexibleRepairCouplings!$A$10:$M$12,4,FALSE),
IF($A192&lt;DuraFix!$A$15,VLOOKUP($A192,DuraFix!$A$9:$M$14,4,FALSE),
IF($A192&lt;'Compression Fittings'!$A$16,VLOOKUP($A192,'Compression Fittings'!$A$8:$M$15,4,FALSE),
IF($A192&lt;'Hose Fittings'!$A$30,VLOOKUP($A192,'Hose Fittings'!$A$8:$M$29,4,FALSE),
IF($A192&lt;'Swing Joints'!$A$496,VLOOKUP($A192,'Swing Joints'!$A$9:$M$495,4,FALSE),
IF($A192&lt;'Swing Joints Components'!$A$135,VLOOKUP($A192,'Swing Joints Components'!$A$9:$M$134,4,FALSE),
IF($A192&lt;Nonstandard!$A$42,VLOOKUP($A192,Nonstandard!$A$31:$J$41,5,FALSE),"")))))))))))))))))))))))))))),"")</f>
        <v/>
      </c>
      <c r="C192" s="420" t="str">
        <f>IFERROR(IF($A192&lt;'DWV PVC'!$A$285,VLOOKUP($A192,'DWV PVC'!$A$8:$M$284,5,FALSE),
IF($A192&lt;'DWV ABS'!$A$117,VLOOKUP($A192,'DWV ABS'!$A$8:$M$116,5,FALSE),
IF($A192&lt;'PVC SCH40'!$A$376,VLOOKUP($A192,'PVC SCH40'!$A$8:$M$375,5,FALSE),
IF($A192&lt;'PVC SCH40 LD'!$A$22,VLOOKUP($A192,'PVC SCH40 LD'!$A$8:$M$21,5,FALSE),
IF($A192&lt;'Pool &amp; SPA Sweep Elbows'!$A$12,VLOOKUP($A192,'Pool &amp; SPA Sweep Elbows'!$A$8:$M$11,5,FALSE),
IF($A192&lt;'Pool &amp; SPA Pipe Extender'!$A$11,VLOOKUP($A192,'Pool &amp; SPA Pipe Extender'!$A$8:$M$10,5,FALSE),
IF($A192&lt;'PVC SCH80'!$A$250,VLOOKUP($A192,'PVC SCH80'!$A$8:$M$249,5,FALSE),
IF($A192&lt;'PVC SCH80 Flange'!$A$49,VLOOKUP($A192,'PVC SCH80 Flange'!$A$8:$M$48,5,FALSE),
IF($A192&lt;'PVC SCH80 LD Flange'!$A$17,VLOOKUP($A192,'PVC SCH80 LD Flange'!$A$8:$M$16,5,FALSE),
IF($A192&lt;CPVC!$A$100,VLOOKUP($A192,CPVC!$A$8:$M$99,5,FALSE),
IF($A192&lt;InsertFittings!$A$237,VLOOKUP($A192,InsertFittings!$A$11:$M$236,5,FALSE),
IF($A192&lt;Valves!$A$132,VLOOKUP($A192,Valves!$A$8:$M$131,5,FALSE),
IF($A192&lt;SDR35SW!$A$124,VLOOKUP($A192,SDR35SW!$A$8:$M$123,5,FALSE),
IF($A192&lt;SDR35G!$A$143,VLOOKUP($A192, SDR35G!$A$8:$M$142,5,FALSE),
IF($A192&lt;SDR26G!$A$61,VLOOKUP($A192,SDR26G!$A$8:$N$60,5,FALSE),
IF($A192&lt;Cements!$A$100,VLOOKUP($A192,Cements!$A$8:$Q$99,5,FALSE),
IF($A192&lt;ValveBox!$A$143,VLOOKUP($A192,ValveBox!$A$10:$O$142,5,FALSE),
IF($A192&lt;'ValveBox Components'!$A$165,VLOOKUP($A192,'ValveBox Components'!$A$10:$O$164,5,FALSE),
IF($A192&lt;Drainage!$A$92,VLOOKUP($A192,Drainage!$A$8:$M$91,5,FALSE),
IF($A192&lt;Nipples!$A$82,VLOOKUP($A192,Nipples!$A$9:$Q$81,5,FALSE),
IF($A192&lt;Manifold!$A$33,VLOOKUP($A192,Manifold!$A$9:$M$32,5,FALSE),
IF($A192&lt;FlexibleRepairCouplings!$A$13,VLOOKUP($A192,FlexibleRepairCouplings!$A$10:$M$12,5,FALSE),
IF($A192&lt;DuraFix!$A$15,VLOOKUP($A192,DuraFix!$A$9:$M$14,5,FALSE),
IF($A192&lt;'Compression Fittings'!$A$16,VLOOKUP($A192,'Compression Fittings'!$A$8:$M$15,5,FALSE),
IF($A192&lt;'Hose Fittings'!$A$30,VLOOKUP($A192,'Hose Fittings'!$A$8:$M$29,5,FALSE),
IF($A192&lt;'Swing Joints'!$A$496,VLOOKUP($A192,'Swing Joints'!$A$9:$M$495,5,FALSE),
IF($A192&lt;'Swing Joints Components'!$A$135,VLOOKUP($A192,'Swing Joints Components'!$A$9:$M$134,5,FALSE),
IF($A192&lt;Nonstandard!$A$42,VLOOKUP($A192,Nonstandard!$A$31:$J$41,6,FALSE),"")))))))))))))))))))))))))))),"")</f>
        <v/>
      </c>
      <c r="D192" s="428" t="str">
        <f>IFERROR(IF($A192&lt;'DWV PVC'!$A$285,VLOOKUP($A192,'DWV PVC'!$A$8:$M$284,6,FALSE),
IF($A192&lt;'DWV ABS'!$A$117,VLOOKUP($A192,'DWV ABS'!$A$8:$M$116,6,FALSE),
IF($A192&lt;'PVC SCH40'!$A$376,VLOOKUP($A192,'PVC SCH40'!$A$8:$M$375,6,FALSE),
IF($A192&lt;'PVC SCH40 LD'!$A$22,VLOOKUP($A192,'PVC SCH40 LD'!$A$8:$M$21,6,FALSE),
IF($A192&lt;'Pool &amp; SPA Sweep Elbows'!$A$12,VLOOKUP($A192,'Pool &amp; SPA Sweep Elbows'!$A$8:$M$11,6,FALSE),
IF($A192&lt;'Pool &amp; SPA Pipe Extender'!$A$11,VLOOKUP($A192,'Pool &amp; SPA Pipe Extender'!$A$8:$M$10,6,FALSE),
IF($A192&lt;'PVC SCH80'!$A$250,VLOOKUP($A192,'PVC SCH80'!$A$8:$M$249,6,FALSE),
IF($A192&lt;'PVC SCH80 Flange'!$A$49,VLOOKUP($A192,'PVC SCH80 Flange'!$A$8:$M$48,6,FALSE),
IF($A192&lt;'PVC SCH80 LD Flange'!$A$17,VLOOKUP($A192,'PVC SCH80 LD Flange'!$A$8:$M$16,6,FALSE),
IF($A192&lt;CPVC!$A$100,VLOOKUP($A192,CPVC!$A$8:$M$99,6,FALSE),
IF($A192&lt;InsertFittings!$A$237,VLOOKUP($A192,InsertFittings!$A$11:$M$236,6,FALSE),
IF($A192&lt;Valves!$A$132,VLOOKUP($A192,Valves!$A$8:$M$131,6,FALSE),
IF($A192&lt;SDR35SW!$A$124,VLOOKUP($A192,SDR35SW!$A$8:$M$123,6,FALSE),
IF($A192&lt;SDR35G!$A$143,VLOOKUP($A192, SDR35G!$A$8:$M$142,6,FALSE),
IF($A192&lt;SDR26G!$A$61,VLOOKUP($A192,SDR26G!$A$8:$N$60,6,FALSE),
IF($A192&lt;Cements!$A$100,VLOOKUP($A192,Cements!$A$8:$Q$99,6,FALSE),
IF($A192&lt;ValveBox!$A$143,VLOOKUP($A192,ValveBox!$A$10:$O$142,6,FALSE),
IF($A192&lt;'ValveBox Components'!$A$165,VLOOKUP($A192,'ValveBox Components'!$A$10:$O$164,6,FALSE),
IF($A192&lt;Drainage!$A$92,VLOOKUP($A192,Drainage!$A$8:$M$91,6,FALSE),
IF($A192&lt;Nipples!$A$82,VLOOKUP($A192,Nipples!$A$9:$Q$81,6,FALSE),
IF($A192&lt;Manifold!$A$33,VLOOKUP($A192,Manifold!$A$9:$M$32,6,FALSE),
IF($A192&lt;FlexibleRepairCouplings!$A$13,VLOOKUP($A192,FlexibleRepairCouplings!$A$10:$M$12,6,FALSE),
IF($A192&lt;DuraFix!$A$15,VLOOKUP($A192,DuraFix!$A$9:$M$14,6,FALSE),
IF($A192&lt;'Compression Fittings'!$A$16,VLOOKUP($A192,'Compression Fittings'!$A$8:$M$15,6,FALSE),
IF($A192&lt;'Hose Fittings'!$A$30,VLOOKUP($A192,'Hose Fittings'!$A$8:$M$29,6,FALSE),
IF($A192&lt;'Swing Joints'!$A$496,VLOOKUP($A192,'Swing Joints'!$A$9:$M$495,6,FALSE),
IF($A192&lt;'Swing Joints Components'!$A$135,VLOOKUP($A192,'Swing Joints Components'!$A$9:$M$134,6,FALSE),
IF($A192&lt;Nonstandard!$A$42,VLOOKUP($A192,Nonstandard!$A$31:$J$41,7,FALSE),"")))))))))))))))))))))))))))),"")</f>
        <v/>
      </c>
      <c r="E192" s="429"/>
      <c r="F192" s="421" t="str">
        <f>IFERROR(IF($A192&lt;'DWV PVC'!$A$285,VLOOKUP($A192,'DWV PVC'!$A$8:$M$284,9,FALSE),
IF($A192&lt;'DWV ABS'!$A$117,VLOOKUP($A192,'DWV ABS'!$A$8:$M$116,9,FALSE),
IF($A192&lt;'PVC SCH40'!$A$376,VLOOKUP($A192,'PVC SCH40'!$A$8:$M$375,9,FALSE),
IF($A192&lt;'PVC SCH40 LD'!$A$22,VLOOKUP($A192,'PVC SCH40 LD'!$A$8:$M$21,9,FALSE),
IF($A192&lt;'Pool &amp; SPA Sweep Elbows'!$A$12,VLOOKUP($A192,'Pool &amp; SPA Sweep Elbows'!$A$8:$M$11,9,FALSE),
IF($A192&lt;'Pool &amp; SPA Pipe Extender'!$A$11,VLOOKUP($A192,'Pool &amp; SPA Pipe Extender'!$A$8:$M$10,9,FALSE),
IF($A192&lt;'PVC SCH80'!$A$250,VLOOKUP($A192,'PVC SCH80'!$A$8:$M$249,9,FALSE),
IF($A192&lt;'PVC SCH80 Flange'!$A$49,VLOOKUP($A192,'PVC SCH80 Flange'!$A$8:$M$48,9,FALSE),
IF($A192&lt;'PVC SCH80 LD Flange'!$A$17,VLOOKUP($A192,'PVC SCH80 LD Flange'!$A$8:$M$16,9,FALSE),
IF($A192&lt;CPVC!$A$100,VLOOKUP($A192,CPVC!$A$8:$M$99,9,FALSE),
IF($A192&lt;InsertFittings!$A$237,VLOOKUP($A192,InsertFittings!$A$11:$M$236,9,FALSE),
IF($A192&lt;Valves!$A$132,VLOOKUP($A192,Valves!$A$8:$M$131,9,FALSE),
IF($A192&lt;SDR35SW!$A$124,VLOOKUP($A192,SDR35SW!$A$8:$M$123,9,FALSE),
IF($A192&lt;SDR35G!$A$143,VLOOKUP($A192, SDR35G!$A$8:$M$142,9,FALSE),
IF($A192&lt;SDR26G!$A$61,VLOOKUP($A192,SDR26G!$A$8:$N$60,10,FALSE),
IF($A192&lt;Cements!$A$100,VLOOKUP($A192,Cements!$A$8:$Q$99,13,FALSE),
IF($A192&lt;ValveBox!$A$143,VLOOKUP($A192,ValveBox!$A$10:$O$142,11,FALSE),
IF($A192&lt;'ValveBox Components'!$A$165,VLOOKUP($A192,'ValveBox Components'!$A$10:$O$164,11,FALSE),
IF($A192&lt;Drainage!$A$92,VLOOKUP($A192,Drainage!$A$8:$M$91,9,FALSE),
IF($A192&lt;Nipples!$A$82,VLOOKUP($A192,Nipples!$A$9:$Q$81,13,FALSE),
IF($A192&lt;Manifold!$A$33,VLOOKUP($A192,Manifold!$A$9:$M$32,9,FALSE),
IF($A192&lt;FlexibleRepairCouplings!$A$13,VLOOKUP($A192,FlexibleRepairCouplings!$A$10:$M$12,9,FALSE),
IF($A192&lt;DuraFix!$A$15,VLOOKUP($A192,DuraFix!$A$9:$M$14,9,FALSE),
IF($A192&lt;'Compression Fittings'!$A$16,VLOOKUP($A192,'Compression Fittings'!$A$8:$M$15,9,FALSE),
IF($A192&lt;'Hose Fittings'!$A$30,VLOOKUP($A192,'Hose Fittings'!$A$8:$M$29,9,FALSE),
IF($A192&lt;'Swing Joints'!$A$496,VLOOKUP($A192,'Swing Joints'!$A$9:$M$495,9,FALSE),
IF($A192&lt;'Swing Joints Components'!$A$135,VLOOKUP($A192,'Swing Joints Components'!$A$9:$M$134,9,FALSE),
IF($A192&lt;Nonstandard!$A$42,VLOOKUP($A192,Nonstandard!$A$31:$J$41,8,FALSE),"")))))))))))))))))))))))))))),"")</f>
        <v/>
      </c>
      <c r="G192" s="422" t="str">
        <f>IFERROR(IF($A192&lt;'DWV PVC'!$A$285,VLOOKUP($A192,'DWV PVC'!$A$8:$M$284,11,FALSE),
IF($A192&lt;'DWV ABS'!$A$117,VLOOKUP($A192,'DWV ABS'!$A$8:$M$116,11,FALSE),
IF($A192&lt;'PVC SCH40'!$A$376,VLOOKUP($A192,'PVC SCH40'!$A$8:$M$375,11,FALSE),
IF($A192&lt;'PVC SCH40 LD'!$A$22,VLOOKUP($A192,'PVC SCH40 LD'!$A$8:$M$21,11,FALSE),
IF($A192&lt;'Pool &amp; SPA Sweep Elbows'!$A$12,VLOOKUP($A192,'Pool &amp; SPA Sweep Elbows'!$A$8:$M$11,11,FALSE),
IF($A192&lt;'Pool &amp; SPA Pipe Extender'!$A$11,VLOOKUP($A192,'Pool &amp; SPA Pipe Extender'!$A$8:$M$10,11,FALSE),
IF($A192&lt;'PVC SCH80'!$A$250,VLOOKUP($A192,'PVC SCH80'!$A$8:$M$249,11,FALSE),
IF($A192&lt;'PVC SCH80 Flange'!$A$49,VLOOKUP($A192,'PVC SCH80 Flange'!$A$8:$M$48,11,FALSE),
IF($A192&lt;'PVC SCH80 LD Flange'!$A$17,VLOOKUP($A192,'PVC SCH80 LD Flange'!$A$8:$M$16,11,FALSE),
IF($A192&lt;CPVC!$A$100,VLOOKUP($A192,CPVC!$A$8:$M$99,11,FALSE),
IF($A192&lt;InsertFittings!$A$237,VLOOKUP($A192,InsertFittings!$A$11:$M$236,11,FALSE),
IF($A192&lt;Valves!$A$132,VLOOKUP($A192,Valves!$A$8:$M$131,11,FALSE),
IF($A192&lt;SDR35SW!$A$124,VLOOKUP($A192,SDR35SW!$A$8:$M$123,11,FALSE),
IF($A192&lt;SDR35G!$A$143,VLOOKUP($A192, SDR35G!$A$8:$M$142,11,FALSE),
IF($A192&lt;SDR26G!$A$61,VLOOKUP($A192,SDR26G!$A$8:$N$60,12,FALSE),
IF($A192&lt;Cements!$A$100,VLOOKUP($A192,Cements!$A$8:$Q$99,15,FALSE),
IF($A192&lt;ValveBox!$A$143,VLOOKUP($A192,ValveBox!$A$10:$O$142,13,FALSE),
IF($A192&lt;'ValveBox Components'!$A$165,VLOOKUP($A192,'ValveBox Components'!$A$10:$O$164,13,FALSE),
IF($A192&lt;Drainage!$A$92,VLOOKUP($A192,Drainage!$A$8:$M$91,11,FALSE),
IF($A192&lt;Nipples!$A$82,VLOOKUP($A192,Nipples!$A$9:$Q$81,15,FALSE),
IF($A192&lt;Manifold!$A$33,VLOOKUP($A192,Manifold!$A$9:$M$32,11,FALSE),
IF($A192&lt;FlexibleRepairCouplings!$A$13,VLOOKUP($A192,FlexibleRepairCouplings!$A$10:$M$12,11,FALSE),
IF($A192&lt;DuraFix!$A$15,VLOOKUP($A192,DuraFix!$A$9:$M$14,11,FALSE),
IF($A192&lt;'Compression Fittings'!$A$16,VLOOKUP($A192,'Compression Fittings'!$A$8:$M$15,11,FALSE),
IF($A192&lt;'Hose Fittings'!$A$30,VLOOKUP($A192,'Hose Fittings'!$A$8:$M$29,11,FALSE),
IF($A192&lt;'Swing Joints'!$A$496,VLOOKUP($A192,'Swing Joints'!$A$9:$M$495,11,FALSE),
IF($A192&lt;'Swing Joints Components'!$A$135,VLOOKUP($A192,'Swing Joints Components'!$A$9:$M$134,11,FALSE),
IF($A192&lt;Nonstandard!$A$42,VLOOKUP($A192,Nonstandard!$A$31:$J$41,3,FALSE),"")))))))))))))))))))))))))))),"")</f>
        <v/>
      </c>
      <c r="H192" s="588" t="str">
        <f>IFERROR(IF($A192&lt;'DWV PVC'!$A$285,VLOOKUP($A192,'DWV PVC'!$A$8:$M$284,7,FALSE),
IF($A192&lt;'DWV ABS'!$A$117,VLOOKUP($A192,'DWV ABS'!$A$8:$M$116,7,FALSE),
IF($A192&lt;'PVC SCH40'!$A$376,VLOOKUP($A192,'PVC SCH40'!$A$8:$M$375,7,FALSE),
IF($A192&lt;'PVC SCH40 LD'!$A$22,VLOOKUP($A192,'PVC SCH40 LD'!$A$8:$M$21,7,FALSE),
IF($A192&lt;'Pool &amp; SPA Sweep Elbows'!$A$12,VLOOKUP($A192,'Pool &amp; SPA Sweep Elbows'!$A$8:$M$11,7,FALSE),
IF($A192&lt;'Pool &amp; SPA Pipe Extender'!$A$11,VLOOKUP($A192,'Pool &amp; SPA Pipe Extender'!$A$8:$M$10,7,FALSE),
IF($A192&lt;'PVC SCH80'!$A$250,VLOOKUP($A192,'PVC SCH80'!$A$8:$M$249,7,FALSE),
IF($A192&lt;'PVC SCH80 Flange'!$A$49,VLOOKUP($A192,'PVC SCH80 Flange'!$A$8:$M$48,7,FALSE),
IF($A192&lt;'PVC SCH80 LD Flange'!$A$17,VLOOKUP($A192,'PVC SCH80 LD Flange'!$A$8:$M$16,7,FALSE),
IF($A192&lt;CPVC!$A$100,VLOOKUP($A192,CPVC!$A$8:$M$99,7,FALSE),
IF($A192&lt;InsertFittings!$A$237,VLOOKUP($A192,InsertFittings!$A$11:$M$236,7,FALSE),
IF($A192&lt;Valves!$A$132,VLOOKUP($A192,Valves!$A$8:$M$131,7,FALSE),
IF($A192&lt;SDR35SW!$A$124,VLOOKUP($A192,SDR35SW!$A$8:$M$123,7,FALSE),
IF($A192&lt;SDR35G!$A$143,VLOOKUP($A192, SDR35G!$A$8:$M$142,7,FALSE),
IF($A192&lt;SDR26G!$A$61,VLOOKUP($A192,SDR26G!$A$8:$N$60,10,FALSE),
IF($A192&lt;Cements!$A$100,VLOOKUP($A192,Cements!$A$8:$Q$99,13,FALSE),
IF($A192&lt;ValveBox!$A$143,VLOOKUP($A192,ValveBox!$A$10:$O$142,11,FALSE),
IF($A192&lt;'ValveBox Components'!$A$165,VLOOKUP($A192,'ValveBox Components'!$A$10:$O$164,11,FALSE),
IF($A192&lt;Drainage!$A$92,VLOOKUP($A192,Drainage!$A$8:$M$91,7,FALSE),
IF($A192&lt;Nipples!$A$82,VLOOKUP($A192,Nipples!$A$9:$Q$81,13,FALSE),
IF($A192&lt;Manifold!$A$33,VLOOKUP($A192,Manifold!$A$9:$M$32,7,FALSE),
IF($A192&lt;FlexibleRepairCouplings!$A$13,VLOOKUP($A192,FlexibleRepairCouplings!$A$10:$M$12,7,FALSE),
IF($A192&lt;DuraFix!$A$15,VLOOKUP($A192,DuraFix!$A$9:$M$14,7,FALSE),
IF($A192&lt;'Compression Fittings'!$A$16,VLOOKUP($A192,'Compression Fittings'!$A$8:$M$15,7,FALSE),
IF($A192&lt;'Hose Fittings'!$A$30,VLOOKUP($A192,'Hose Fittings'!$A$8:$M$29,7,FALSE),
IF($A192&lt;'Swing Joints'!$A$496,VLOOKUP($A192,'Swing Joints'!$A$9:$M$495,7,FALSE),
IF($A192&lt;'Swing Joints Components'!$A$135,VLOOKUP($A192,'Swing Joints Components'!$A$9:$M$134,7,FALSE),
IF($A192&lt;Nonstandard!$A$42,VLOOKUP($A192,Nonstandard!$A$31:$J$41,3,FALSE),"")))))))))))))))))))))))))))),"")</f>
        <v/>
      </c>
      <c r="I192" s="589"/>
      <c r="J192" s="423" t="str">
        <f t="shared" si="5"/>
        <v/>
      </c>
      <c r="K192" s="424" t="str">
        <f>IFERROR(IF($A192&lt;'DWV PVC'!$A$285,VLOOKUP($A192,'DWV PVC'!$A$8:$M$284,10,FALSE),
IF($A192&lt;'DWV ABS'!$A$117,VLOOKUP($A192,'DWV ABS'!$A$8:$M$116,10,FALSE),
IF($A192&lt;'PVC SCH40'!$A$376,VLOOKUP($A192,'PVC SCH40'!$A$8:$M$375,10,FALSE),
IF($A192&lt;'PVC SCH40 LD'!$A$22,VLOOKUP($A192,'PVC SCH40 LD'!$A$8:$M$21,10,FALSE),
IF($A192&lt;'Pool &amp; SPA Sweep Elbows'!$A$12,VLOOKUP($A192,'Pool &amp; SPA Sweep Elbows'!$A$8:$M$11,10,FALSE),
IF($A192&lt;'Pool &amp; SPA Pipe Extender'!$A$11,VLOOKUP($A192,'Pool &amp; SPA Pipe Extender'!$A$8:$M$10,10,FALSE),
IF($A192&lt;'PVC SCH80'!$A$250,VLOOKUP($A192,'PVC SCH80'!$A$8:$M$249,10,FALSE),
IF($A192&lt;'PVC SCH80 Flange'!$A$49,VLOOKUP($A192,'PVC SCH80 Flange'!$A$8:$M$48,10,FALSE),
IF($A192&lt;'PVC SCH80 LD Flange'!$A$17,VLOOKUP($A192,'PVC SCH80 LD Flange'!$A$8:$M$16,10,FALSE),
IF($A192&lt;CPVC!$A$100,VLOOKUP($A192,CPVC!$A$8:$M$99,10,FALSE),
IF($A192&lt;InsertFittings!$A$237,VLOOKUP($A192,InsertFittings!$A$11:$M$236,10,FALSE),
IF($A192&lt;Valves!$A$132,VLOOKUP($A192,Valves!$A$8:$M$131,10,FALSE),
IF($A192&lt;SDR35SW!$A$124,VLOOKUP($A192,SDR35SW!$A$8:$M$123,10,FALSE),
IF($A192&lt;SDR35G!$A$143,VLOOKUP($A192, SDR35G!$A$8:$M$142,10,FALSE),
IF($A192&lt;SDR26G!$A$61,VLOOKUP($A192,SDR26G!$A$8:$N$60,11,FALSE),
IF($A192&lt;Cements!$A$100,VLOOKUP($A192,Cements!$A$8:$Q$99,14,FALSE),
IF($A192&lt;ValveBox!$A$143,VLOOKUP($A192,ValveBox!$A$10:$O$142,12,FALSE),
IF($A192&lt;'ValveBox Components'!$A$165,VLOOKUP($A192,'ValveBox Components'!$A$10:$O$164,12,FALSE),
IF($A192&lt;Drainage!$A$92,VLOOKUP($A192,Drainage!$A$8:$M$91,10,FALSE),
IF($A192&lt;Nipples!$A$82,VLOOKUP($A192,Nipples!$A$9:$Q$81,14,FALSE),
IF($A192&lt;Manifold!$A$33,VLOOKUP($A192,Manifold!$A$9:$M$32,10,FALSE),
IF($A192&lt;FlexibleRepairCouplings!$A$13,VLOOKUP($A192,FlexibleRepairCouplings!$A$10:$M$12,10,FALSE),
IF($A192&lt;DuraFix!$A$15,VLOOKUP($A192,DuraFix!$A$9:$M$14,10,FALSE),
IF($A192&lt;'Compression Fittings'!$A$16,VLOOKUP($A192,'Compression Fittings'!$A$8:$M$15,10,FALSE),
IF($A192&lt;'Hose Fittings'!$A$30,VLOOKUP($A192,'Hose Fittings'!$A$8:$M$29,10,FALSE),
IF($A192&lt;'Swing Joints'!$A$496,VLOOKUP($A192,'Swing Joints'!$A$9:$M$495,10,FALSE),
IF($A192&lt;'Swing Joints Components'!$A$135,VLOOKUP($A192,'Swing Joints Components'!$A$9:$M$134,10,FALSE),
IF($A192&lt;Nonstandard!$A$42,VLOOKUP($A192,Nonstandard!$A$31:$J$41,10,FALSE),"")))))))))))))))))))))))))))),"")</f>
        <v/>
      </c>
      <c r="L192" s="421" t="str">
        <f t="shared" si="4"/>
        <v>-</v>
      </c>
      <c r="M192" s="425"/>
    </row>
    <row r="193" spans="1:13" ht="15.75">
      <c r="A193" s="415">
        <v>161</v>
      </c>
      <c r="B193" s="415" t="str">
        <f>IFERROR(IF($A193&lt;'DWV PVC'!$A$285,VLOOKUP($A193,'DWV PVC'!$A$8:$M$284,4,FALSE),
IF($A193&lt;'DWV ABS'!$A$117,VLOOKUP($A193,'DWV ABS'!$A$8:$M$116,4,FALSE),
IF($A193&lt;'PVC SCH40'!$A$376,VLOOKUP($A193,'PVC SCH40'!$A$8:$M$375,4,FALSE),
IF($A193&lt;'PVC SCH40 LD'!$A$22,VLOOKUP($A193,'PVC SCH40 LD'!$A$8:$M$21,4,FALSE),
IF($A193&lt;'Pool &amp; SPA Sweep Elbows'!$A$12,VLOOKUP($A193,'Pool &amp; SPA Sweep Elbows'!$A$8:$M$11,4,FALSE),
IF($A193&lt;'Pool &amp; SPA Pipe Extender'!$A$11,VLOOKUP($A193,'Pool &amp; SPA Pipe Extender'!$A$8:$M$10,4,FALSE),
IF($A193&lt;'PVC SCH80'!$A$250,VLOOKUP($A193,'PVC SCH80'!$A$8:$M$249,4,FALSE),
IF($A193&lt;'PVC SCH80 Flange'!$A$49,VLOOKUP($A193,'PVC SCH80 Flange'!$A$8:$M$48,4,FALSE),
IF($A193&lt;'PVC SCH80 LD Flange'!$A$17,VLOOKUP($A193,'PVC SCH80 LD Flange'!$A$8:$M$16,4,FALSE),
IF($A193&lt;CPVC!$A$100,VLOOKUP($A193,CPVC!$A$8:$M$99,4,FALSE),
IF($A193&lt;InsertFittings!$A$237,VLOOKUP($A193,InsertFittings!$A$11:$M$236,4,FALSE),
IF($A193&lt;Valves!$A$132,VLOOKUP($A193,Valves!$A$8:$M$131,4,FALSE),
IF($A193&lt;SDR35SW!$A$124,VLOOKUP($A193,SDR35SW!$A$8:$M$123,4,FALSE),
IF($A193&lt;SDR35G!$A$143,VLOOKUP($A193, SDR35G!$A$8:$M$142,4,FALSE),
IF($A193&lt;SDR26G!$A$61,VLOOKUP($A193,SDR26G!$A$8:$N$60,4,FALSE),
IF($A193&lt;Cements!$A$100,VLOOKUP($A193,Cements!$A$8:$Q$99,4,FALSE),
IF($A193&lt;ValveBox!$A$143,VLOOKUP($A193,ValveBox!$A$10:$O$142,4,FALSE),
IF($A193&lt;'ValveBox Components'!$A$165,VLOOKUP($A193,'ValveBox Components'!$A$10:$O$164,4,FALSE),
IF($A193&lt;Drainage!$A$92,VLOOKUP($A193,Drainage!$A$8:$M$91,4,FALSE),
IF($A193&lt;Nipples!$A$82,VLOOKUP($A193,Nipples!$A$9:$Q$81,4,FALSE),
IF($A193&lt;Manifold!$A$33,VLOOKUP($A193,Manifold!$A$9:$M$32,4,FALSE),
IF($A193&lt;FlexibleRepairCouplings!$A$13,VLOOKUP($A193,FlexibleRepairCouplings!$A$10:$M$12,4,FALSE),
IF($A193&lt;DuraFix!$A$15,VLOOKUP($A193,DuraFix!$A$9:$M$14,4,FALSE),
IF($A193&lt;'Compression Fittings'!$A$16,VLOOKUP($A193,'Compression Fittings'!$A$8:$M$15,4,FALSE),
IF($A193&lt;'Hose Fittings'!$A$30,VLOOKUP($A193,'Hose Fittings'!$A$8:$M$29,4,FALSE),
IF($A193&lt;'Swing Joints'!$A$496,VLOOKUP($A193,'Swing Joints'!$A$9:$M$495,4,FALSE),
IF($A193&lt;'Swing Joints Components'!$A$135,VLOOKUP($A193,'Swing Joints Components'!$A$9:$M$134,4,FALSE),
IF($A193&lt;Nonstandard!$A$42,VLOOKUP($A193,Nonstandard!$A$31:$J$41,5,FALSE),"")))))))))))))))))))))))))))),"")</f>
        <v/>
      </c>
      <c r="C193" s="415" t="str">
        <f>IFERROR(IF($A193&lt;'DWV PVC'!$A$285,VLOOKUP($A193,'DWV PVC'!$A$8:$M$284,5,FALSE),
IF($A193&lt;'DWV ABS'!$A$117,VLOOKUP($A193,'DWV ABS'!$A$8:$M$116,5,FALSE),
IF($A193&lt;'PVC SCH40'!$A$376,VLOOKUP($A193,'PVC SCH40'!$A$8:$M$375,5,FALSE),
IF($A193&lt;'PVC SCH40 LD'!$A$22,VLOOKUP($A193,'PVC SCH40 LD'!$A$8:$M$21,5,FALSE),
IF($A193&lt;'Pool &amp; SPA Sweep Elbows'!$A$12,VLOOKUP($A193,'Pool &amp; SPA Sweep Elbows'!$A$8:$M$11,5,FALSE),
IF($A193&lt;'Pool &amp; SPA Pipe Extender'!$A$11,VLOOKUP($A193,'Pool &amp; SPA Pipe Extender'!$A$8:$M$10,5,FALSE),
IF($A193&lt;'PVC SCH80'!$A$250,VLOOKUP($A193,'PVC SCH80'!$A$8:$M$249,5,FALSE),
IF($A193&lt;'PVC SCH80 Flange'!$A$49,VLOOKUP($A193,'PVC SCH80 Flange'!$A$8:$M$48,5,FALSE),
IF($A193&lt;'PVC SCH80 LD Flange'!$A$17,VLOOKUP($A193,'PVC SCH80 LD Flange'!$A$8:$M$16,5,FALSE),
IF($A193&lt;CPVC!$A$100,VLOOKUP($A193,CPVC!$A$8:$M$99,5,FALSE),
IF($A193&lt;InsertFittings!$A$237,VLOOKUP($A193,InsertFittings!$A$11:$M$236,5,FALSE),
IF($A193&lt;Valves!$A$132,VLOOKUP($A193,Valves!$A$8:$M$131,5,FALSE),
IF($A193&lt;SDR35SW!$A$124,VLOOKUP($A193,SDR35SW!$A$8:$M$123,5,FALSE),
IF($A193&lt;SDR35G!$A$143,VLOOKUP($A193, SDR35G!$A$8:$M$142,5,FALSE),
IF($A193&lt;SDR26G!$A$61,VLOOKUP($A193,SDR26G!$A$8:$N$60,5,FALSE),
IF($A193&lt;Cements!$A$100,VLOOKUP($A193,Cements!$A$8:$Q$99,5,FALSE),
IF($A193&lt;ValveBox!$A$143,VLOOKUP($A193,ValveBox!$A$10:$O$142,5,FALSE),
IF($A193&lt;'ValveBox Components'!$A$165,VLOOKUP($A193,'ValveBox Components'!$A$10:$O$164,5,FALSE),
IF($A193&lt;Drainage!$A$92,VLOOKUP($A193,Drainage!$A$8:$M$91,5,FALSE),
IF($A193&lt;Nipples!$A$82,VLOOKUP($A193,Nipples!$A$9:$Q$81,5,FALSE),
IF($A193&lt;Manifold!$A$33,VLOOKUP($A193,Manifold!$A$9:$M$32,5,FALSE),
IF($A193&lt;FlexibleRepairCouplings!$A$13,VLOOKUP($A193,FlexibleRepairCouplings!$A$10:$M$12,5,FALSE),
IF($A193&lt;DuraFix!$A$15,VLOOKUP($A193,DuraFix!$A$9:$M$14,5,FALSE),
IF($A193&lt;'Compression Fittings'!$A$16,VLOOKUP($A193,'Compression Fittings'!$A$8:$M$15,5,FALSE),
IF($A193&lt;'Hose Fittings'!$A$30,VLOOKUP($A193,'Hose Fittings'!$A$8:$M$29,5,FALSE),
IF($A193&lt;'Swing Joints'!$A$496,VLOOKUP($A193,'Swing Joints'!$A$9:$M$495,5,FALSE),
IF($A193&lt;'Swing Joints Components'!$A$135,VLOOKUP($A193,'Swing Joints Components'!$A$9:$M$134,5,FALSE),
IF($A193&lt;Nonstandard!$A$42,VLOOKUP($A193,Nonstandard!$A$31:$J$41,6,FALSE),"")))))))))))))))))))))))))))),"")</f>
        <v/>
      </c>
      <c r="D193" s="426" t="str">
        <f>IFERROR(IF($A193&lt;'DWV PVC'!$A$285,VLOOKUP($A193,'DWV PVC'!$A$8:$M$284,6,FALSE),
IF($A193&lt;'DWV ABS'!$A$117,VLOOKUP($A193,'DWV ABS'!$A$8:$M$116,6,FALSE),
IF($A193&lt;'PVC SCH40'!$A$376,VLOOKUP($A193,'PVC SCH40'!$A$8:$M$375,6,FALSE),
IF($A193&lt;'PVC SCH40 LD'!$A$22,VLOOKUP($A193,'PVC SCH40 LD'!$A$8:$M$21,6,FALSE),
IF($A193&lt;'Pool &amp; SPA Sweep Elbows'!$A$12,VLOOKUP($A193,'Pool &amp; SPA Sweep Elbows'!$A$8:$M$11,6,FALSE),
IF($A193&lt;'Pool &amp; SPA Pipe Extender'!$A$11,VLOOKUP($A193,'Pool &amp; SPA Pipe Extender'!$A$8:$M$10,6,FALSE),
IF($A193&lt;'PVC SCH80'!$A$250,VLOOKUP($A193,'PVC SCH80'!$A$8:$M$249,6,FALSE),
IF($A193&lt;'PVC SCH80 Flange'!$A$49,VLOOKUP($A193,'PVC SCH80 Flange'!$A$8:$M$48,6,FALSE),
IF($A193&lt;'PVC SCH80 LD Flange'!$A$17,VLOOKUP($A193,'PVC SCH80 LD Flange'!$A$8:$M$16,6,FALSE),
IF($A193&lt;CPVC!$A$100,VLOOKUP($A193,CPVC!$A$8:$M$99,6,FALSE),
IF($A193&lt;InsertFittings!$A$237,VLOOKUP($A193,InsertFittings!$A$11:$M$236,6,FALSE),
IF($A193&lt;Valves!$A$132,VLOOKUP($A193,Valves!$A$8:$M$131,6,FALSE),
IF($A193&lt;SDR35SW!$A$124,VLOOKUP($A193,SDR35SW!$A$8:$M$123,6,FALSE),
IF($A193&lt;SDR35G!$A$143,VLOOKUP($A193, SDR35G!$A$8:$M$142,6,FALSE),
IF($A193&lt;SDR26G!$A$61,VLOOKUP($A193,SDR26G!$A$8:$N$60,6,FALSE),
IF($A193&lt;Cements!$A$100,VLOOKUP($A193,Cements!$A$8:$Q$99,6,FALSE),
IF($A193&lt;ValveBox!$A$143,VLOOKUP($A193,ValveBox!$A$10:$O$142,6,FALSE),
IF($A193&lt;'ValveBox Components'!$A$165,VLOOKUP($A193,'ValveBox Components'!$A$10:$O$164,6,FALSE),
IF($A193&lt;Drainage!$A$92,VLOOKUP($A193,Drainage!$A$8:$M$91,6,FALSE),
IF($A193&lt;Nipples!$A$82,VLOOKUP($A193,Nipples!$A$9:$Q$81,6,FALSE),
IF($A193&lt;Manifold!$A$33,VLOOKUP($A193,Manifold!$A$9:$M$32,6,FALSE),
IF($A193&lt;FlexibleRepairCouplings!$A$13,VLOOKUP($A193,FlexibleRepairCouplings!$A$10:$M$12,6,FALSE),
IF($A193&lt;DuraFix!$A$15,VLOOKUP($A193,DuraFix!$A$9:$M$14,6,FALSE),
IF($A193&lt;'Compression Fittings'!$A$16,VLOOKUP($A193,'Compression Fittings'!$A$8:$M$15,6,FALSE),
IF($A193&lt;'Hose Fittings'!$A$30,VLOOKUP($A193,'Hose Fittings'!$A$8:$M$29,6,FALSE),
IF($A193&lt;'Swing Joints'!$A$496,VLOOKUP($A193,'Swing Joints'!$A$9:$M$495,6,FALSE),
IF($A193&lt;'Swing Joints Components'!$A$135,VLOOKUP($A193,'Swing Joints Components'!$A$9:$M$134,6,FALSE),
IF($A193&lt;Nonstandard!$A$42,VLOOKUP($A193,Nonstandard!$A$31:$J$41,7,FALSE),"")))))))))))))))))))))))))))),"")</f>
        <v/>
      </c>
      <c r="E193" s="427"/>
      <c r="F193" s="418" t="str">
        <f>IFERROR(IF($A193&lt;'DWV PVC'!$A$285,VLOOKUP($A193,'DWV PVC'!$A$8:$M$284,9,FALSE),
IF($A193&lt;'DWV ABS'!$A$117,VLOOKUP($A193,'DWV ABS'!$A$8:$M$116,9,FALSE),
IF($A193&lt;'PVC SCH40'!$A$376,VLOOKUP($A193,'PVC SCH40'!$A$8:$M$375,9,FALSE),
IF($A193&lt;'PVC SCH40 LD'!$A$22,VLOOKUP($A193,'PVC SCH40 LD'!$A$8:$M$21,9,FALSE),
IF($A193&lt;'Pool &amp; SPA Sweep Elbows'!$A$12,VLOOKUP($A193,'Pool &amp; SPA Sweep Elbows'!$A$8:$M$11,9,FALSE),
IF($A193&lt;'Pool &amp; SPA Pipe Extender'!$A$11,VLOOKUP($A193,'Pool &amp; SPA Pipe Extender'!$A$8:$M$10,9,FALSE),
IF($A193&lt;'PVC SCH80'!$A$250,VLOOKUP($A193,'PVC SCH80'!$A$8:$M$249,9,FALSE),
IF($A193&lt;'PVC SCH80 Flange'!$A$49,VLOOKUP($A193,'PVC SCH80 Flange'!$A$8:$M$48,9,FALSE),
IF($A193&lt;'PVC SCH80 LD Flange'!$A$17,VLOOKUP($A193,'PVC SCH80 LD Flange'!$A$8:$M$16,9,FALSE),
IF($A193&lt;CPVC!$A$100,VLOOKUP($A193,CPVC!$A$8:$M$99,9,FALSE),
IF($A193&lt;InsertFittings!$A$237,VLOOKUP($A193,InsertFittings!$A$11:$M$236,9,FALSE),
IF($A193&lt;Valves!$A$132,VLOOKUP($A193,Valves!$A$8:$M$131,9,FALSE),
IF($A193&lt;SDR35SW!$A$124,VLOOKUP($A193,SDR35SW!$A$8:$M$123,9,FALSE),
IF($A193&lt;SDR35G!$A$143,VLOOKUP($A193, SDR35G!$A$8:$M$142,9,FALSE),
IF($A193&lt;SDR26G!$A$61,VLOOKUP($A193,SDR26G!$A$8:$N$60,10,FALSE),
IF($A193&lt;Cements!$A$100,VLOOKUP($A193,Cements!$A$8:$Q$99,13,FALSE),
IF($A193&lt;ValveBox!$A$143,VLOOKUP($A193,ValveBox!$A$10:$O$142,11,FALSE),
IF($A193&lt;'ValveBox Components'!$A$165,VLOOKUP($A193,'ValveBox Components'!$A$10:$O$164,11,FALSE),
IF($A193&lt;Drainage!$A$92,VLOOKUP($A193,Drainage!$A$8:$M$91,9,FALSE),
IF($A193&lt;Nipples!$A$82,VLOOKUP($A193,Nipples!$A$9:$Q$81,13,FALSE),
IF($A193&lt;Manifold!$A$33,VLOOKUP($A193,Manifold!$A$9:$M$32,9,FALSE),
IF($A193&lt;FlexibleRepairCouplings!$A$13,VLOOKUP($A193,FlexibleRepairCouplings!$A$10:$M$12,9,FALSE),
IF($A193&lt;DuraFix!$A$15,VLOOKUP($A193,DuraFix!$A$9:$M$14,9,FALSE),
IF($A193&lt;'Compression Fittings'!$A$16,VLOOKUP($A193,'Compression Fittings'!$A$8:$M$15,9,FALSE),
IF($A193&lt;'Hose Fittings'!$A$30,VLOOKUP($A193,'Hose Fittings'!$A$8:$M$29,9,FALSE),
IF($A193&lt;'Swing Joints'!$A$496,VLOOKUP($A193,'Swing Joints'!$A$9:$M$495,9,FALSE),
IF($A193&lt;'Swing Joints Components'!$A$135,VLOOKUP($A193,'Swing Joints Components'!$A$9:$M$134,9,FALSE),
IF($A193&lt;Nonstandard!$A$42,VLOOKUP($A193,Nonstandard!$A$31:$J$41,8,FALSE),"")))))))))))))))))))))))))))),"")</f>
        <v/>
      </c>
      <c r="G193" s="416" t="str">
        <f>IFERROR(IF($A193&lt;'DWV PVC'!$A$285,VLOOKUP($A193,'DWV PVC'!$A$8:$M$284,11,FALSE),
IF($A193&lt;'DWV ABS'!$A$117,VLOOKUP($A193,'DWV ABS'!$A$8:$M$116,11,FALSE),
IF($A193&lt;'PVC SCH40'!$A$376,VLOOKUP($A193,'PVC SCH40'!$A$8:$M$375,11,FALSE),
IF($A193&lt;'PVC SCH40 LD'!$A$22,VLOOKUP($A193,'PVC SCH40 LD'!$A$8:$M$21,11,FALSE),
IF($A193&lt;'Pool &amp; SPA Sweep Elbows'!$A$12,VLOOKUP($A193,'Pool &amp; SPA Sweep Elbows'!$A$8:$M$11,11,FALSE),
IF($A193&lt;'Pool &amp; SPA Pipe Extender'!$A$11,VLOOKUP($A193,'Pool &amp; SPA Pipe Extender'!$A$8:$M$10,11,FALSE),
IF($A193&lt;'PVC SCH80'!$A$250,VLOOKUP($A193,'PVC SCH80'!$A$8:$M$249,11,FALSE),
IF($A193&lt;'PVC SCH80 Flange'!$A$49,VLOOKUP($A193,'PVC SCH80 Flange'!$A$8:$M$48,11,FALSE),
IF($A193&lt;'PVC SCH80 LD Flange'!$A$17,VLOOKUP($A193,'PVC SCH80 LD Flange'!$A$8:$M$16,11,FALSE),
IF($A193&lt;CPVC!$A$100,VLOOKUP($A193,CPVC!$A$8:$M$99,11,FALSE),
IF($A193&lt;InsertFittings!$A$237,VLOOKUP($A193,InsertFittings!$A$11:$M$236,11,FALSE),
IF($A193&lt;Valves!$A$132,VLOOKUP($A193,Valves!$A$8:$M$131,11,FALSE),
IF($A193&lt;SDR35SW!$A$124,VLOOKUP($A193,SDR35SW!$A$8:$M$123,11,FALSE),
IF($A193&lt;SDR35G!$A$143,VLOOKUP($A193, SDR35G!$A$8:$M$142,11,FALSE),
IF($A193&lt;SDR26G!$A$61,VLOOKUP($A193,SDR26G!$A$8:$N$60,12,FALSE),
IF($A193&lt;Cements!$A$100,VLOOKUP($A193,Cements!$A$8:$Q$99,15,FALSE),
IF($A193&lt;ValveBox!$A$143,VLOOKUP($A193,ValveBox!$A$10:$O$142,13,FALSE),
IF($A193&lt;'ValveBox Components'!$A$165,VLOOKUP($A193,'ValveBox Components'!$A$10:$O$164,13,FALSE),
IF($A193&lt;Drainage!$A$92,VLOOKUP($A193,Drainage!$A$8:$M$91,11,FALSE),
IF($A193&lt;Nipples!$A$82,VLOOKUP($A193,Nipples!$A$9:$Q$81,15,FALSE),
IF($A193&lt;Manifold!$A$33,VLOOKUP($A193,Manifold!$A$9:$M$32,11,FALSE),
IF($A193&lt;FlexibleRepairCouplings!$A$13,VLOOKUP($A193,FlexibleRepairCouplings!$A$10:$M$12,11,FALSE),
IF($A193&lt;DuraFix!$A$15,VLOOKUP($A193,DuraFix!$A$9:$M$14,11,FALSE),
IF($A193&lt;'Compression Fittings'!$A$16,VLOOKUP($A193,'Compression Fittings'!$A$8:$M$15,11,FALSE),
IF($A193&lt;'Hose Fittings'!$A$30,VLOOKUP($A193,'Hose Fittings'!$A$8:$M$29,11,FALSE),
IF($A193&lt;'Swing Joints'!$A$496,VLOOKUP($A193,'Swing Joints'!$A$9:$M$495,11,FALSE),
IF($A193&lt;'Swing Joints Components'!$A$135,VLOOKUP($A193,'Swing Joints Components'!$A$9:$M$134,11,FALSE),
IF($A193&lt;Nonstandard!$A$42,VLOOKUP($A193,Nonstandard!$A$31:$J$41,3,FALSE),"")))))))))))))))))))))))))))),"")</f>
        <v/>
      </c>
      <c r="H193" s="586" t="str">
        <f>IFERROR(IF($A193&lt;'DWV PVC'!$A$285,VLOOKUP($A193,'DWV PVC'!$A$8:$M$284,7,FALSE),
IF($A193&lt;'DWV ABS'!$A$117,VLOOKUP($A193,'DWV ABS'!$A$8:$M$116,7,FALSE),
IF($A193&lt;'PVC SCH40'!$A$376,VLOOKUP($A193,'PVC SCH40'!$A$8:$M$375,7,FALSE),
IF($A193&lt;'PVC SCH40 LD'!$A$22,VLOOKUP($A193,'PVC SCH40 LD'!$A$8:$M$21,7,FALSE),
IF($A193&lt;'Pool &amp; SPA Sweep Elbows'!$A$12,VLOOKUP($A193,'Pool &amp; SPA Sweep Elbows'!$A$8:$M$11,7,FALSE),
IF($A193&lt;'Pool &amp; SPA Pipe Extender'!$A$11,VLOOKUP($A193,'Pool &amp; SPA Pipe Extender'!$A$8:$M$10,7,FALSE),
IF($A193&lt;'PVC SCH80'!$A$250,VLOOKUP($A193,'PVC SCH80'!$A$8:$M$249,7,FALSE),
IF($A193&lt;'PVC SCH80 Flange'!$A$49,VLOOKUP($A193,'PVC SCH80 Flange'!$A$8:$M$48,7,FALSE),
IF($A193&lt;'PVC SCH80 LD Flange'!$A$17,VLOOKUP($A193,'PVC SCH80 LD Flange'!$A$8:$M$16,7,FALSE),
IF($A193&lt;CPVC!$A$100,VLOOKUP($A193,CPVC!$A$8:$M$99,7,FALSE),
IF($A193&lt;InsertFittings!$A$237,VLOOKUP($A193,InsertFittings!$A$11:$M$236,7,FALSE),
IF($A193&lt;Valves!$A$132,VLOOKUP($A193,Valves!$A$8:$M$131,7,FALSE),
IF($A193&lt;SDR35SW!$A$124,VLOOKUP($A193,SDR35SW!$A$8:$M$123,7,FALSE),
IF($A193&lt;SDR35G!$A$143,VLOOKUP($A193, SDR35G!$A$8:$M$142,7,FALSE),
IF($A193&lt;SDR26G!$A$61,VLOOKUP($A193,SDR26G!$A$8:$N$60,10,FALSE),
IF($A193&lt;Cements!$A$100,VLOOKUP($A193,Cements!$A$8:$Q$99,13,FALSE),
IF($A193&lt;ValveBox!$A$143,VLOOKUP($A193,ValveBox!$A$10:$O$142,11,FALSE),
IF($A193&lt;'ValveBox Components'!$A$165,VLOOKUP($A193,'ValveBox Components'!$A$10:$O$164,11,FALSE),
IF($A193&lt;Drainage!$A$92,VLOOKUP($A193,Drainage!$A$8:$M$91,7,FALSE),
IF($A193&lt;Nipples!$A$82,VLOOKUP($A193,Nipples!$A$9:$Q$81,13,FALSE),
IF($A193&lt;Manifold!$A$33,VLOOKUP($A193,Manifold!$A$9:$M$32,7,FALSE),
IF($A193&lt;FlexibleRepairCouplings!$A$13,VLOOKUP($A193,FlexibleRepairCouplings!$A$10:$M$12,7,FALSE),
IF($A193&lt;DuraFix!$A$15,VLOOKUP($A193,DuraFix!$A$9:$M$14,7,FALSE),
IF($A193&lt;'Compression Fittings'!$A$16,VLOOKUP($A193,'Compression Fittings'!$A$8:$M$15,7,FALSE),
IF($A193&lt;'Hose Fittings'!$A$30,VLOOKUP($A193,'Hose Fittings'!$A$8:$M$29,7,FALSE),
IF($A193&lt;'Swing Joints'!$A$496,VLOOKUP($A193,'Swing Joints'!$A$9:$M$495,7,FALSE),
IF($A193&lt;'Swing Joints Components'!$A$135,VLOOKUP($A193,'Swing Joints Components'!$A$9:$M$134,7,FALSE),
IF($A193&lt;Nonstandard!$A$42,VLOOKUP($A193,Nonstandard!$A$31:$J$41,3,FALSE),"")))))))))))))))))))))))))))),"")</f>
        <v/>
      </c>
      <c r="I193" s="587"/>
      <c r="J193" s="383" t="str">
        <f t="shared" si="5"/>
        <v/>
      </c>
      <c r="K193" s="417" t="str">
        <f>IFERROR(IF($A193&lt;'DWV PVC'!$A$285,VLOOKUP($A193,'DWV PVC'!$A$8:$M$284,10,FALSE),
IF($A193&lt;'DWV ABS'!$A$117,VLOOKUP($A193,'DWV ABS'!$A$8:$M$116,10,FALSE),
IF($A193&lt;'PVC SCH40'!$A$376,VLOOKUP($A193,'PVC SCH40'!$A$8:$M$375,10,FALSE),
IF($A193&lt;'PVC SCH40 LD'!$A$22,VLOOKUP($A193,'PVC SCH40 LD'!$A$8:$M$21,10,FALSE),
IF($A193&lt;'Pool &amp; SPA Sweep Elbows'!$A$12,VLOOKUP($A193,'Pool &amp; SPA Sweep Elbows'!$A$8:$M$11,10,FALSE),
IF($A193&lt;'Pool &amp; SPA Pipe Extender'!$A$11,VLOOKUP($A193,'Pool &amp; SPA Pipe Extender'!$A$8:$M$10,10,FALSE),
IF($A193&lt;'PVC SCH80'!$A$250,VLOOKUP($A193,'PVC SCH80'!$A$8:$M$249,10,FALSE),
IF($A193&lt;'PVC SCH80 Flange'!$A$49,VLOOKUP($A193,'PVC SCH80 Flange'!$A$8:$M$48,10,FALSE),
IF($A193&lt;'PVC SCH80 LD Flange'!$A$17,VLOOKUP($A193,'PVC SCH80 LD Flange'!$A$8:$M$16,10,FALSE),
IF($A193&lt;CPVC!$A$100,VLOOKUP($A193,CPVC!$A$8:$M$99,10,FALSE),
IF($A193&lt;InsertFittings!$A$237,VLOOKUP($A193,InsertFittings!$A$11:$M$236,10,FALSE),
IF($A193&lt;Valves!$A$132,VLOOKUP($A193,Valves!$A$8:$M$131,10,FALSE),
IF($A193&lt;SDR35SW!$A$124,VLOOKUP($A193,SDR35SW!$A$8:$M$123,10,FALSE),
IF($A193&lt;SDR35G!$A$143,VLOOKUP($A193, SDR35G!$A$8:$M$142,10,FALSE),
IF($A193&lt;SDR26G!$A$61,VLOOKUP($A193,SDR26G!$A$8:$N$60,11,FALSE),
IF($A193&lt;Cements!$A$100,VLOOKUP($A193,Cements!$A$8:$Q$99,14,FALSE),
IF($A193&lt;ValveBox!$A$143,VLOOKUP($A193,ValveBox!$A$10:$O$142,12,FALSE),
IF($A193&lt;'ValveBox Components'!$A$165,VLOOKUP($A193,'ValveBox Components'!$A$10:$O$164,12,FALSE),
IF($A193&lt;Drainage!$A$92,VLOOKUP($A193,Drainage!$A$8:$M$91,10,FALSE),
IF($A193&lt;Nipples!$A$82,VLOOKUP($A193,Nipples!$A$9:$Q$81,14,FALSE),
IF($A193&lt;Manifold!$A$33,VLOOKUP($A193,Manifold!$A$9:$M$32,10,FALSE),
IF($A193&lt;FlexibleRepairCouplings!$A$13,VLOOKUP($A193,FlexibleRepairCouplings!$A$10:$M$12,10,FALSE),
IF($A193&lt;DuraFix!$A$15,VLOOKUP($A193,DuraFix!$A$9:$M$14,10,FALSE),
IF($A193&lt;'Compression Fittings'!$A$16,VLOOKUP($A193,'Compression Fittings'!$A$8:$M$15,10,FALSE),
IF($A193&lt;'Hose Fittings'!$A$30,VLOOKUP($A193,'Hose Fittings'!$A$8:$M$29,10,FALSE),
IF($A193&lt;'Swing Joints'!$A$496,VLOOKUP($A193,'Swing Joints'!$A$9:$M$495,10,FALSE),
IF($A193&lt;'Swing Joints Components'!$A$135,VLOOKUP($A193,'Swing Joints Components'!$A$9:$M$134,10,FALSE),
IF($A193&lt;Nonstandard!$A$42,VLOOKUP($A193,Nonstandard!$A$31:$J$41,10,FALSE),"")))))))))))))))))))))))))))),"")</f>
        <v/>
      </c>
      <c r="L193" s="418" t="str">
        <f t="shared" si="4"/>
        <v>-</v>
      </c>
      <c r="M193" s="419"/>
    </row>
    <row r="194" spans="1:13" ht="15.75">
      <c r="A194" s="420">
        <v>162</v>
      </c>
      <c r="B194" s="420" t="str">
        <f>IFERROR(IF($A194&lt;'DWV PVC'!$A$285,VLOOKUP($A194,'DWV PVC'!$A$8:$M$284,4,FALSE),
IF($A194&lt;'DWV ABS'!$A$117,VLOOKUP($A194,'DWV ABS'!$A$8:$M$116,4,FALSE),
IF($A194&lt;'PVC SCH40'!$A$376,VLOOKUP($A194,'PVC SCH40'!$A$8:$M$375,4,FALSE),
IF($A194&lt;'PVC SCH40 LD'!$A$22,VLOOKUP($A194,'PVC SCH40 LD'!$A$8:$M$21,4,FALSE),
IF($A194&lt;'Pool &amp; SPA Sweep Elbows'!$A$12,VLOOKUP($A194,'Pool &amp; SPA Sweep Elbows'!$A$8:$M$11,4,FALSE),
IF($A194&lt;'Pool &amp; SPA Pipe Extender'!$A$11,VLOOKUP($A194,'Pool &amp; SPA Pipe Extender'!$A$8:$M$10,4,FALSE),
IF($A194&lt;'PVC SCH80'!$A$250,VLOOKUP($A194,'PVC SCH80'!$A$8:$M$249,4,FALSE),
IF($A194&lt;'PVC SCH80 Flange'!$A$49,VLOOKUP($A194,'PVC SCH80 Flange'!$A$8:$M$48,4,FALSE),
IF($A194&lt;'PVC SCH80 LD Flange'!$A$17,VLOOKUP($A194,'PVC SCH80 LD Flange'!$A$8:$M$16,4,FALSE),
IF($A194&lt;CPVC!$A$100,VLOOKUP($A194,CPVC!$A$8:$M$99,4,FALSE),
IF($A194&lt;InsertFittings!$A$237,VLOOKUP($A194,InsertFittings!$A$11:$M$236,4,FALSE),
IF($A194&lt;Valves!$A$132,VLOOKUP($A194,Valves!$A$8:$M$131,4,FALSE),
IF($A194&lt;SDR35SW!$A$124,VLOOKUP($A194,SDR35SW!$A$8:$M$123,4,FALSE),
IF($A194&lt;SDR35G!$A$143,VLOOKUP($A194, SDR35G!$A$8:$M$142,4,FALSE),
IF($A194&lt;SDR26G!$A$61,VLOOKUP($A194,SDR26G!$A$8:$N$60,4,FALSE),
IF($A194&lt;Cements!$A$100,VLOOKUP($A194,Cements!$A$8:$Q$99,4,FALSE),
IF($A194&lt;ValveBox!$A$143,VLOOKUP($A194,ValveBox!$A$10:$O$142,4,FALSE),
IF($A194&lt;'ValveBox Components'!$A$165,VLOOKUP($A194,'ValveBox Components'!$A$10:$O$164,4,FALSE),
IF($A194&lt;Drainage!$A$92,VLOOKUP($A194,Drainage!$A$8:$M$91,4,FALSE),
IF($A194&lt;Nipples!$A$82,VLOOKUP($A194,Nipples!$A$9:$Q$81,4,FALSE),
IF($A194&lt;Manifold!$A$33,VLOOKUP($A194,Manifold!$A$9:$M$32,4,FALSE),
IF($A194&lt;FlexibleRepairCouplings!$A$13,VLOOKUP($A194,FlexibleRepairCouplings!$A$10:$M$12,4,FALSE),
IF($A194&lt;DuraFix!$A$15,VLOOKUP($A194,DuraFix!$A$9:$M$14,4,FALSE),
IF($A194&lt;'Compression Fittings'!$A$16,VLOOKUP($A194,'Compression Fittings'!$A$8:$M$15,4,FALSE),
IF($A194&lt;'Hose Fittings'!$A$30,VLOOKUP($A194,'Hose Fittings'!$A$8:$M$29,4,FALSE),
IF($A194&lt;'Swing Joints'!$A$496,VLOOKUP($A194,'Swing Joints'!$A$9:$M$495,4,FALSE),
IF($A194&lt;'Swing Joints Components'!$A$135,VLOOKUP($A194,'Swing Joints Components'!$A$9:$M$134,4,FALSE),
IF($A194&lt;Nonstandard!$A$42,VLOOKUP($A194,Nonstandard!$A$31:$J$41,5,FALSE),"")))))))))))))))))))))))))))),"")</f>
        <v/>
      </c>
      <c r="C194" s="420" t="str">
        <f>IFERROR(IF($A194&lt;'DWV PVC'!$A$285,VLOOKUP($A194,'DWV PVC'!$A$8:$M$284,5,FALSE),
IF($A194&lt;'DWV ABS'!$A$117,VLOOKUP($A194,'DWV ABS'!$A$8:$M$116,5,FALSE),
IF($A194&lt;'PVC SCH40'!$A$376,VLOOKUP($A194,'PVC SCH40'!$A$8:$M$375,5,FALSE),
IF($A194&lt;'PVC SCH40 LD'!$A$22,VLOOKUP($A194,'PVC SCH40 LD'!$A$8:$M$21,5,FALSE),
IF($A194&lt;'Pool &amp; SPA Sweep Elbows'!$A$12,VLOOKUP($A194,'Pool &amp; SPA Sweep Elbows'!$A$8:$M$11,5,FALSE),
IF($A194&lt;'Pool &amp; SPA Pipe Extender'!$A$11,VLOOKUP($A194,'Pool &amp; SPA Pipe Extender'!$A$8:$M$10,5,FALSE),
IF($A194&lt;'PVC SCH80'!$A$250,VLOOKUP($A194,'PVC SCH80'!$A$8:$M$249,5,FALSE),
IF($A194&lt;'PVC SCH80 Flange'!$A$49,VLOOKUP($A194,'PVC SCH80 Flange'!$A$8:$M$48,5,FALSE),
IF($A194&lt;'PVC SCH80 LD Flange'!$A$17,VLOOKUP($A194,'PVC SCH80 LD Flange'!$A$8:$M$16,5,FALSE),
IF($A194&lt;CPVC!$A$100,VLOOKUP($A194,CPVC!$A$8:$M$99,5,FALSE),
IF($A194&lt;InsertFittings!$A$237,VLOOKUP($A194,InsertFittings!$A$11:$M$236,5,FALSE),
IF($A194&lt;Valves!$A$132,VLOOKUP($A194,Valves!$A$8:$M$131,5,FALSE),
IF($A194&lt;SDR35SW!$A$124,VLOOKUP($A194,SDR35SW!$A$8:$M$123,5,FALSE),
IF($A194&lt;SDR35G!$A$143,VLOOKUP($A194, SDR35G!$A$8:$M$142,5,FALSE),
IF($A194&lt;SDR26G!$A$61,VLOOKUP($A194,SDR26G!$A$8:$N$60,5,FALSE),
IF($A194&lt;Cements!$A$100,VLOOKUP($A194,Cements!$A$8:$Q$99,5,FALSE),
IF($A194&lt;ValveBox!$A$143,VLOOKUP($A194,ValveBox!$A$10:$O$142,5,FALSE),
IF($A194&lt;'ValveBox Components'!$A$165,VLOOKUP($A194,'ValveBox Components'!$A$10:$O$164,5,FALSE),
IF($A194&lt;Drainage!$A$92,VLOOKUP($A194,Drainage!$A$8:$M$91,5,FALSE),
IF($A194&lt;Nipples!$A$82,VLOOKUP($A194,Nipples!$A$9:$Q$81,5,FALSE),
IF($A194&lt;Manifold!$A$33,VLOOKUP($A194,Manifold!$A$9:$M$32,5,FALSE),
IF($A194&lt;FlexibleRepairCouplings!$A$13,VLOOKUP($A194,FlexibleRepairCouplings!$A$10:$M$12,5,FALSE),
IF($A194&lt;DuraFix!$A$15,VLOOKUP($A194,DuraFix!$A$9:$M$14,5,FALSE),
IF($A194&lt;'Compression Fittings'!$A$16,VLOOKUP($A194,'Compression Fittings'!$A$8:$M$15,5,FALSE),
IF($A194&lt;'Hose Fittings'!$A$30,VLOOKUP($A194,'Hose Fittings'!$A$8:$M$29,5,FALSE),
IF($A194&lt;'Swing Joints'!$A$496,VLOOKUP($A194,'Swing Joints'!$A$9:$M$495,5,FALSE),
IF($A194&lt;'Swing Joints Components'!$A$135,VLOOKUP($A194,'Swing Joints Components'!$A$9:$M$134,5,FALSE),
IF($A194&lt;Nonstandard!$A$42,VLOOKUP($A194,Nonstandard!$A$31:$J$41,6,FALSE),"")))))))))))))))))))))))))))),"")</f>
        <v/>
      </c>
      <c r="D194" s="428" t="str">
        <f>IFERROR(IF($A194&lt;'DWV PVC'!$A$285,VLOOKUP($A194,'DWV PVC'!$A$8:$M$284,6,FALSE),
IF($A194&lt;'DWV ABS'!$A$117,VLOOKUP($A194,'DWV ABS'!$A$8:$M$116,6,FALSE),
IF($A194&lt;'PVC SCH40'!$A$376,VLOOKUP($A194,'PVC SCH40'!$A$8:$M$375,6,FALSE),
IF($A194&lt;'PVC SCH40 LD'!$A$22,VLOOKUP($A194,'PVC SCH40 LD'!$A$8:$M$21,6,FALSE),
IF($A194&lt;'Pool &amp; SPA Sweep Elbows'!$A$12,VLOOKUP($A194,'Pool &amp; SPA Sweep Elbows'!$A$8:$M$11,6,FALSE),
IF($A194&lt;'Pool &amp; SPA Pipe Extender'!$A$11,VLOOKUP($A194,'Pool &amp; SPA Pipe Extender'!$A$8:$M$10,6,FALSE),
IF($A194&lt;'PVC SCH80'!$A$250,VLOOKUP($A194,'PVC SCH80'!$A$8:$M$249,6,FALSE),
IF($A194&lt;'PVC SCH80 Flange'!$A$49,VLOOKUP($A194,'PVC SCH80 Flange'!$A$8:$M$48,6,FALSE),
IF($A194&lt;'PVC SCH80 LD Flange'!$A$17,VLOOKUP($A194,'PVC SCH80 LD Flange'!$A$8:$M$16,6,FALSE),
IF($A194&lt;CPVC!$A$100,VLOOKUP($A194,CPVC!$A$8:$M$99,6,FALSE),
IF($A194&lt;InsertFittings!$A$237,VLOOKUP($A194,InsertFittings!$A$11:$M$236,6,FALSE),
IF($A194&lt;Valves!$A$132,VLOOKUP($A194,Valves!$A$8:$M$131,6,FALSE),
IF($A194&lt;SDR35SW!$A$124,VLOOKUP($A194,SDR35SW!$A$8:$M$123,6,FALSE),
IF($A194&lt;SDR35G!$A$143,VLOOKUP($A194, SDR35G!$A$8:$M$142,6,FALSE),
IF($A194&lt;SDR26G!$A$61,VLOOKUP($A194,SDR26G!$A$8:$N$60,6,FALSE),
IF($A194&lt;Cements!$A$100,VLOOKUP($A194,Cements!$A$8:$Q$99,6,FALSE),
IF($A194&lt;ValveBox!$A$143,VLOOKUP($A194,ValveBox!$A$10:$O$142,6,FALSE),
IF($A194&lt;'ValveBox Components'!$A$165,VLOOKUP($A194,'ValveBox Components'!$A$10:$O$164,6,FALSE),
IF($A194&lt;Drainage!$A$92,VLOOKUP($A194,Drainage!$A$8:$M$91,6,FALSE),
IF($A194&lt;Nipples!$A$82,VLOOKUP($A194,Nipples!$A$9:$Q$81,6,FALSE),
IF($A194&lt;Manifold!$A$33,VLOOKUP($A194,Manifold!$A$9:$M$32,6,FALSE),
IF($A194&lt;FlexibleRepairCouplings!$A$13,VLOOKUP($A194,FlexibleRepairCouplings!$A$10:$M$12,6,FALSE),
IF($A194&lt;DuraFix!$A$15,VLOOKUP($A194,DuraFix!$A$9:$M$14,6,FALSE),
IF($A194&lt;'Compression Fittings'!$A$16,VLOOKUP($A194,'Compression Fittings'!$A$8:$M$15,6,FALSE),
IF($A194&lt;'Hose Fittings'!$A$30,VLOOKUP($A194,'Hose Fittings'!$A$8:$M$29,6,FALSE),
IF($A194&lt;'Swing Joints'!$A$496,VLOOKUP($A194,'Swing Joints'!$A$9:$M$495,6,FALSE),
IF($A194&lt;'Swing Joints Components'!$A$135,VLOOKUP($A194,'Swing Joints Components'!$A$9:$M$134,6,FALSE),
IF($A194&lt;Nonstandard!$A$42,VLOOKUP($A194,Nonstandard!$A$31:$J$41,7,FALSE),"")))))))))))))))))))))))))))),"")</f>
        <v/>
      </c>
      <c r="E194" s="429"/>
      <c r="F194" s="421" t="str">
        <f>IFERROR(IF($A194&lt;'DWV PVC'!$A$285,VLOOKUP($A194,'DWV PVC'!$A$8:$M$284,9,FALSE),
IF($A194&lt;'DWV ABS'!$A$117,VLOOKUP($A194,'DWV ABS'!$A$8:$M$116,9,FALSE),
IF($A194&lt;'PVC SCH40'!$A$376,VLOOKUP($A194,'PVC SCH40'!$A$8:$M$375,9,FALSE),
IF($A194&lt;'PVC SCH40 LD'!$A$22,VLOOKUP($A194,'PVC SCH40 LD'!$A$8:$M$21,9,FALSE),
IF($A194&lt;'Pool &amp; SPA Sweep Elbows'!$A$12,VLOOKUP($A194,'Pool &amp; SPA Sweep Elbows'!$A$8:$M$11,9,FALSE),
IF($A194&lt;'Pool &amp; SPA Pipe Extender'!$A$11,VLOOKUP($A194,'Pool &amp; SPA Pipe Extender'!$A$8:$M$10,9,FALSE),
IF($A194&lt;'PVC SCH80'!$A$250,VLOOKUP($A194,'PVC SCH80'!$A$8:$M$249,9,FALSE),
IF($A194&lt;'PVC SCH80 Flange'!$A$49,VLOOKUP($A194,'PVC SCH80 Flange'!$A$8:$M$48,9,FALSE),
IF($A194&lt;'PVC SCH80 LD Flange'!$A$17,VLOOKUP($A194,'PVC SCH80 LD Flange'!$A$8:$M$16,9,FALSE),
IF($A194&lt;CPVC!$A$100,VLOOKUP($A194,CPVC!$A$8:$M$99,9,FALSE),
IF($A194&lt;InsertFittings!$A$237,VLOOKUP($A194,InsertFittings!$A$11:$M$236,9,FALSE),
IF($A194&lt;Valves!$A$132,VLOOKUP($A194,Valves!$A$8:$M$131,9,FALSE),
IF($A194&lt;SDR35SW!$A$124,VLOOKUP($A194,SDR35SW!$A$8:$M$123,9,FALSE),
IF($A194&lt;SDR35G!$A$143,VLOOKUP($A194, SDR35G!$A$8:$M$142,9,FALSE),
IF($A194&lt;SDR26G!$A$61,VLOOKUP($A194,SDR26G!$A$8:$N$60,10,FALSE),
IF($A194&lt;Cements!$A$100,VLOOKUP($A194,Cements!$A$8:$Q$99,13,FALSE),
IF($A194&lt;ValveBox!$A$143,VLOOKUP($A194,ValveBox!$A$10:$O$142,11,FALSE),
IF($A194&lt;'ValveBox Components'!$A$165,VLOOKUP($A194,'ValveBox Components'!$A$10:$O$164,11,FALSE),
IF($A194&lt;Drainage!$A$92,VLOOKUP($A194,Drainage!$A$8:$M$91,9,FALSE),
IF($A194&lt;Nipples!$A$82,VLOOKUP($A194,Nipples!$A$9:$Q$81,13,FALSE),
IF($A194&lt;Manifold!$A$33,VLOOKUP($A194,Manifold!$A$9:$M$32,9,FALSE),
IF($A194&lt;FlexibleRepairCouplings!$A$13,VLOOKUP($A194,FlexibleRepairCouplings!$A$10:$M$12,9,FALSE),
IF($A194&lt;DuraFix!$A$15,VLOOKUP($A194,DuraFix!$A$9:$M$14,9,FALSE),
IF($A194&lt;'Compression Fittings'!$A$16,VLOOKUP($A194,'Compression Fittings'!$A$8:$M$15,9,FALSE),
IF($A194&lt;'Hose Fittings'!$A$30,VLOOKUP($A194,'Hose Fittings'!$A$8:$M$29,9,FALSE),
IF($A194&lt;'Swing Joints'!$A$496,VLOOKUP($A194,'Swing Joints'!$A$9:$M$495,9,FALSE),
IF($A194&lt;'Swing Joints Components'!$A$135,VLOOKUP($A194,'Swing Joints Components'!$A$9:$M$134,9,FALSE),
IF($A194&lt;Nonstandard!$A$42,VLOOKUP($A194,Nonstandard!$A$31:$J$41,8,FALSE),"")))))))))))))))))))))))))))),"")</f>
        <v/>
      </c>
      <c r="G194" s="422" t="str">
        <f>IFERROR(IF($A194&lt;'DWV PVC'!$A$285,VLOOKUP($A194,'DWV PVC'!$A$8:$M$284,11,FALSE),
IF($A194&lt;'DWV ABS'!$A$117,VLOOKUP($A194,'DWV ABS'!$A$8:$M$116,11,FALSE),
IF($A194&lt;'PVC SCH40'!$A$376,VLOOKUP($A194,'PVC SCH40'!$A$8:$M$375,11,FALSE),
IF($A194&lt;'PVC SCH40 LD'!$A$22,VLOOKUP($A194,'PVC SCH40 LD'!$A$8:$M$21,11,FALSE),
IF($A194&lt;'Pool &amp; SPA Sweep Elbows'!$A$12,VLOOKUP($A194,'Pool &amp; SPA Sweep Elbows'!$A$8:$M$11,11,FALSE),
IF($A194&lt;'Pool &amp; SPA Pipe Extender'!$A$11,VLOOKUP($A194,'Pool &amp; SPA Pipe Extender'!$A$8:$M$10,11,FALSE),
IF($A194&lt;'PVC SCH80'!$A$250,VLOOKUP($A194,'PVC SCH80'!$A$8:$M$249,11,FALSE),
IF($A194&lt;'PVC SCH80 Flange'!$A$49,VLOOKUP($A194,'PVC SCH80 Flange'!$A$8:$M$48,11,FALSE),
IF($A194&lt;'PVC SCH80 LD Flange'!$A$17,VLOOKUP($A194,'PVC SCH80 LD Flange'!$A$8:$M$16,11,FALSE),
IF($A194&lt;CPVC!$A$100,VLOOKUP($A194,CPVC!$A$8:$M$99,11,FALSE),
IF($A194&lt;InsertFittings!$A$237,VLOOKUP($A194,InsertFittings!$A$11:$M$236,11,FALSE),
IF($A194&lt;Valves!$A$132,VLOOKUP($A194,Valves!$A$8:$M$131,11,FALSE),
IF($A194&lt;SDR35SW!$A$124,VLOOKUP($A194,SDR35SW!$A$8:$M$123,11,FALSE),
IF($A194&lt;SDR35G!$A$143,VLOOKUP($A194, SDR35G!$A$8:$M$142,11,FALSE),
IF($A194&lt;SDR26G!$A$61,VLOOKUP($A194,SDR26G!$A$8:$N$60,12,FALSE),
IF($A194&lt;Cements!$A$100,VLOOKUP($A194,Cements!$A$8:$Q$99,15,FALSE),
IF($A194&lt;ValveBox!$A$143,VLOOKUP($A194,ValveBox!$A$10:$O$142,13,FALSE),
IF($A194&lt;'ValveBox Components'!$A$165,VLOOKUP($A194,'ValveBox Components'!$A$10:$O$164,13,FALSE),
IF($A194&lt;Drainage!$A$92,VLOOKUP($A194,Drainage!$A$8:$M$91,11,FALSE),
IF($A194&lt;Nipples!$A$82,VLOOKUP($A194,Nipples!$A$9:$Q$81,15,FALSE),
IF($A194&lt;Manifold!$A$33,VLOOKUP($A194,Manifold!$A$9:$M$32,11,FALSE),
IF($A194&lt;FlexibleRepairCouplings!$A$13,VLOOKUP($A194,FlexibleRepairCouplings!$A$10:$M$12,11,FALSE),
IF($A194&lt;DuraFix!$A$15,VLOOKUP($A194,DuraFix!$A$9:$M$14,11,FALSE),
IF($A194&lt;'Compression Fittings'!$A$16,VLOOKUP($A194,'Compression Fittings'!$A$8:$M$15,11,FALSE),
IF($A194&lt;'Hose Fittings'!$A$30,VLOOKUP($A194,'Hose Fittings'!$A$8:$M$29,11,FALSE),
IF($A194&lt;'Swing Joints'!$A$496,VLOOKUP($A194,'Swing Joints'!$A$9:$M$495,11,FALSE),
IF($A194&lt;'Swing Joints Components'!$A$135,VLOOKUP($A194,'Swing Joints Components'!$A$9:$M$134,11,FALSE),
IF($A194&lt;Nonstandard!$A$42,VLOOKUP($A194,Nonstandard!$A$31:$J$41,3,FALSE),"")))))))))))))))))))))))))))),"")</f>
        <v/>
      </c>
      <c r="H194" s="588" t="str">
        <f>IFERROR(IF($A194&lt;'DWV PVC'!$A$285,VLOOKUP($A194,'DWV PVC'!$A$8:$M$284,7,FALSE),
IF($A194&lt;'DWV ABS'!$A$117,VLOOKUP($A194,'DWV ABS'!$A$8:$M$116,7,FALSE),
IF($A194&lt;'PVC SCH40'!$A$376,VLOOKUP($A194,'PVC SCH40'!$A$8:$M$375,7,FALSE),
IF($A194&lt;'PVC SCH40 LD'!$A$22,VLOOKUP($A194,'PVC SCH40 LD'!$A$8:$M$21,7,FALSE),
IF($A194&lt;'Pool &amp; SPA Sweep Elbows'!$A$12,VLOOKUP($A194,'Pool &amp; SPA Sweep Elbows'!$A$8:$M$11,7,FALSE),
IF($A194&lt;'Pool &amp; SPA Pipe Extender'!$A$11,VLOOKUP($A194,'Pool &amp; SPA Pipe Extender'!$A$8:$M$10,7,FALSE),
IF($A194&lt;'PVC SCH80'!$A$250,VLOOKUP($A194,'PVC SCH80'!$A$8:$M$249,7,FALSE),
IF($A194&lt;'PVC SCH80 Flange'!$A$49,VLOOKUP($A194,'PVC SCH80 Flange'!$A$8:$M$48,7,FALSE),
IF($A194&lt;'PVC SCH80 LD Flange'!$A$17,VLOOKUP($A194,'PVC SCH80 LD Flange'!$A$8:$M$16,7,FALSE),
IF($A194&lt;CPVC!$A$100,VLOOKUP($A194,CPVC!$A$8:$M$99,7,FALSE),
IF($A194&lt;InsertFittings!$A$237,VLOOKUP($A194,InsertFittings!$A$11:$M$236,7,FALSE),
IF($A194&lt;Valves!$A$132,VLOOKUP($A194,Valves!$A$8:$M$131,7,FALSE),
IF($A194&lt;SDR35SW!$A$124,VLOOKUP($A194,SDR35SW!$A$8:$M$123,7,FALSE),
IF($A194&lt;SDR35G!$A$143,VLOOKUP($A194, SDR35G!$A$8:$M$142,7,FALSE),
IF($A194&lt;SDR26G!$A$61,VLOOKUP($A194,SDR26G!$A$8:$N$60,10,FALSE),
IF($A194&lt;Cements!$A$100,VLOOKUP($A194,Cements!$A$8:$Q$99,13,FALSE),
IF($A194&lt;ValveBox!$A$143,VLOOKUP($A194,ValveBox!$A$10:$O$142,11,FALSE),
IF($A194&lt;'ValveBox Components'!$A$165,VLOOKUP($A194,'ValveBox Components'!$A$10:$O$164,11,FALSE),
IF($A194&lt;Drainage!$A$92,VLOOKUP($A194,Drainage!$A$8:$M$91,7,FALSE),
IF($A194&lt;Nipples!$A$82,VLOOKUP($A194,Nipples!$A$9:$Q$81,13,FALSE),
IF($A194&lt;Manifold!$A$33,VLOOKUP($A194,Manifold!$A$9:$M$32,7,FALSE),
IF($A194&lt;FlexibleRepairCouplings!$A$13,VLOOKUP($A194,FlexibleRepairCouplings!$A$10:$M$12,7,FALSE),
IF($A194&lt;DuraFix!$A$15,VLOOKUP($A194,DuraFix!$A$9:$M$14,7,FALSE),
IF($A194&lt;'Compression Fittings'!$A$16,VLOOKUP($A194,'Compression Fittings'!$A$8:$M$15,7,FALSE),
IF($A194&lt;'Hose Fittings'!$A$30,VLOOKUP($A194,'Hose Fittings'!$A$8:$M$29,7,FALSE),
IF($A194&lt;'Swing Joints'!$A$496,VLOOKUP($A194,'Swing Joints'!$A$9:$M$495,7,FALSE),
IF($A194&lt;'Swing Joints Components'!$A$135,VLOOKUP($A194,'Swing Joints Components'!$A$9:$M$134,7,FALSE),
IF($A194&lt;Nonstandard!$A$42,VLOOKUP($A194,Nonstandard!$A$31:$J$41,3,FALSE),"")))))))))))))))))))))))))))),"")</f>
        <v/>
      </c>
      <c r="I194" s="589"/>
      <c r="J194" s="423" t="str">
        <f t="shared" si="5"/>
        <v/>
      </c>
      <c r="K194" s="424" t="str">
        <f>IFERROR(IF($A194&lt;'DWV PVC'!$A$285,VLOOKUP($A194,'DWV PVC'!$A$8:$M$284,10,FALSE),
IF($A194&lt;'DWV ABS'!$A$117,VLOOKUP($A194,'DWV ABS'!$A$8:$M$116,10,FALSE),
IF($A194&lt;'PVC SCH40'!$A$376,VLOOKUP($A194,'PVC SCH40'!$A$8:$M$375,10,FALSE),
IF($A194&lt;'PVC SCH40 LD'!$A$22,VLOOKUP($A194,'PVC SCH40 LD'!$A$8:$M$21,10,FALSE),
IF($A194&lt;'Pool &amp; SPA Sweep Elbows'!$A$12,VLOOKUP($A194,'Pool &amp; SPA Sweep Elbows'!$A$8:$M$11,10,FALSE),
IF($A194&lt;'Pool &amp; SPA Pipe Extender'!$A$11,VLOOKUP($A194,'Pool &amp; SPA Pipe Extender'!$A$8:$M$10,10,FALSE),
IF($A194&lt;'PVC SCH80'!$A$250,VLOOKUP($A194,'PVC SCH80'!$A$8:$M$249,10,FALSE),
IF($A194&lt;'PVC SCH80 Flange'!$A$49,VLOOKUP($A194,'PVC SCH80 Flange'!$A$8:$M$48,10,FALSE),
IF($A194&lt;'PVC SCH80 LD Flange'!$A$17,VLOOKUP($A194,'PVC SCH80 LD Flange'!$A$8:$M$16,10,FALSE),
IF($A194&lt;CPVC!$A$100,VLOOKUP($A194,CPVC!$A$8:$M$99,10,FALSE),
IF($A194&lt;InsertFittings!$A$237,VLOOKUP($A194,InsertFittings!$A$11:$M$236,10,FALSE),
IF($A194&lt;Valves!$A$132,VLOOKUP($A194,Valves!$A$8:$M$131,10,FALSE),
IF($A194&lt;SDR35SW!$A$124,VLOOKUP($A194,SDR35SW!$A$8:$M$123,10,FALSE),
IF($A194&lt;SDR35G!$A$143,VLOOKUP($A194, SDR35G!$A$8:$M$142,10,FALSE),
IF($A194&lt;SDR26G!$A$61,VLOOKUP($A194,SDR26G!$A$8:$N$60,11,FALSE),
IF($A194&lt;Cements!$A$100,VLOOKUP($A194,Cements!$A$8:$Q$99,14,FALSE),
IF($A194&lt;ValveBox!$A$143,VLOOKUP($A194,ValveBox!$A$10:$O$142,12,FALSE),
IF($A194&lt;'ValveBox Components'!$A$165,VLOOKUP($A194,'ValveBox Components'!$A$10:$O$164,12,FALSE),
IF($A194&lt;Drainage!$A$92,VLOOKUP($A194,Drainage!$A$8:$M$91,10,FALSE),
IF($A194&lt;Nipples!$A$82,VLOOKUP($A194,Nipples!$A$9:$Q$81,14,FALSE),
IF($A194&lt;Manifold!$A$33,VLOOKUP($A194,Manifold!$A$9:$M$32,10,FALSE),
IF($A194&lt;FlexibleRepairCouplings!$A$13,VLOOKUP($A194,FlexibleRepairCouplings!$A$10:$M$12,10,FALSE),
IF($A194&lt;DuraFix!$A$15,VLOOKUP($A194,DuraFix!$A$9:$M$14,10,FALSE),
IF($A194&lt;'Compression Fittings'!$A$16,VLOOKUP($A194,'Compression Fittings'!$A$8:$M$15,10,FALSE),
IF($A194&lt;'Hose Fittings'!$A$30,VLOOKUP($A194,'Hose Fittings'!$A$8:$M$29,10,FALSE),
IF($A194&lt;'Swing Joints'!$A$496,VLOOKUP($A194,'Swing Joints'!$A$9:$M$495,10,FALSE),
IF($A194&lt;'Swing Joints Components'!$A$135,VLOOKUP($A194,'Swing Joints Components'!$A$9:$M$134,10,FALSE),
IF($A194&lt;Nonstandard!$A$42,VLOOKUP($A194,Nonstandard!$A$31:$J$41,10,FALSE),"")))))))))))))))))))))))))))),"")</f>
        <v/>
      </c>
      <c r="L194" s="421" t="str">
        <f t="shared" si="4"/>
        <v>-</v>
      </c>
      <c r="M194" s="425"/>
    </row>
    <row r="195" spans="1:13" ht="15.75">
      <c r="A195" s="415">
        <v>163</v>
      </c>
      <c r="B195" s="415" t="str">
        <f>IFERROR(IF($A195&lt;'DWV PVC'!$A$285,VLOOKUP($A195,'DWV PVC'!$A$8:$M$284,4,FALSE),
IF($A195&lt;'DWV ABS'!$A$117,VLOOKUP($A195,'DWV ABS'!$A$8:$M$116,4,FALSE),
IF($A195&lt;'PVC SCH40'!$A$376,VLOOKUP($A195,'PVC SCH40'!$A$8:$M$375,4,FALSE),
IF($A195&lt;'PVC SCH40 LD'!$A$22,VLOOKUP($A195,'PVC SCH40 LD'!$A$8:$M$21,4,FALSE),
IF($A195&lt;'Pool &amp; SPA Sweep Elbows'!$A$12,VLOOKUP($A195,'Pool &amp; SPA Sweep Elbows'!$A$8:$M$11,4,FALSE),
IF($A195&lt;'Pool &amp; SPA Pipe Extender'!$A$11,VLOOKUP($A195,'Pool &amp; SPA Pipe Extender'!$A$8:$M$10,4,FALSE),
IF($A195&lt;'PVC SCH80'!$A$250,VLOOKUP($A195,'PVC SCH80'!$A$8:$M$249,4,FALSE),
IF($A195&lt;'PVC SCH80 Flange'!$A$49,VLOOKUP($A195,'PVC SCH80 Flange'!$A$8:$M$48,4,FALSE),
IF($A195&lt;'PVC SCH80 LD Flange'!$A$17,VLOOKUP($A195,'PVC SCH80 LD Flange'!$A$8:$M$16,4,FALSE),
IF($A195&lt;CPVC!$A$100,VLOOKUP($A195,CPVC!$A$8:$M$99,4,FALSE),
IF($A195&lt;InsertFittings!$A$237,VLOOKUP($A195,InsertFittings!$A$11:$M$236,4,FALSE),
IF($A195&lt;Valves!$A$132,VLOOKUP($A195,Valves!$A$8:$M$131,4,FALSE),
IF($A195&lt;SDR35SW!$A$124,VLOOKUP($A195,SDR35SW!$A$8:$M$123,4,FALSE),
IF($A195&lt;SDR35G!$A$143,VLOOKUP($A195, SDR35G!$A$8:$M$142,4,FALSE),
IF($A195&lt;SDR26G!$A$61,VLOOKUP($A195,SDR26G!$A$8:$N$60,4,FALSE),
IF($A195&lt;Cements!$A$100,VLOOKUP($A195,Cements!$A$8:$Q$99,4,FALSE),
IF($A195&lt;ValveBox!$A$143,VLOOKUP($A195,ValveBox!$A$10:$O$142,4,FALSE),
IF($A195&lt;'ValveBox Components'!$A$165,VLOOKUP($A195,'ValveBox Components'!$A$10:$O$164,4,FALSE),
IF($A195&lt;Drainage!$A$92,VLOOKUP($A195,Drainage!$A$8:$M$91,4,FALSE),
IF($A195&lt;Nipples!$A$82,VLOOKUP($A195,Nipples!$A$9:$Q$81,4,FALSE),
IF($A195&lt;Manifold!$A$33,VLOOKUP($A195,Manifold!$A$9:$M$32,4,FALSE),
IF($A195&lt;FlexibleRepairCouplings!$A$13,VLOOKUP($A195,FlexibleRepairCouplings!$A$10:$M$12,4,FALSE),
IF($A195&lt;DuraFix!$A$15,VLOOKUP($A195,DuraFix!$A$9:$M$14,4,FALSE),
IF($A195&lt;'Compression Fittings'!$A$16,VLOOKUP($A195,'Compression Fittings'!$A$8:$M$15,4,FALSE),
IF($A195&lt;'Hose Fittings'!$A$30,VLOOKUP($A195,'Hose Fittings'!$A$8:$M$29,4,FALSE),
IF($A195&lt;'Swing Joints'!$A$496,VLOOKUP($A195,'Swing Joints'!$A$9:$M$495,4,FALSE),
IF($A195&lt;'Swing Joints Components'!$A$135,VLOOKUP($A195,'Swing Joints Components'!$A$9:$M$134,4,FALSE),
IF($A195&lt;Nonstandard!$A$42,VLOOKUP($A195,Nonstandard!$A$31:$J$41,5,FALSE),"")))))))))))))))))))))))))))),"")</f>
        <v/>
      </c>
      <c r="C195" s="415" t="str">
        <f>IFERROR(IF($A195&lt;'DWV PVC'!$A$285,VLOOKUP($A195,'DWV PVC'!$A$8:$M$284,5,FALSE),
IF($A195&lt;'DWV ABS'!$A$117,VLOOKUP($A195,'DWV ABS'!$A$8:$M$116,5,FALSE),
IF($A195&lt;'PVC SCH40'!$A$376,VLOOKUP($A195,'PVC SCH40'!$A$8:$M$375,5,FALSE),
IF($A195&lt;'PVC SCH40 LD'!$A$22,VLOOKUP($A195,'PVC SCH40 LD'!$A$8:$M$21,5,FALSE),
IF($A195&lt;'Pool &amp; SPA Sweep Elbows'!$A$12,VLOOKUP($A195,'Pool &amp; SPA Sweep Elbows'!$A$8:$M$11,5,FALSE),
IF($A195&lt;'Pool &amp; SPA Pipe Extender'!$A$11,VLOOKUP($A195,'Pool &amp; SPA Pipe Extender'!$A$8:$M$10,5,FALSE),
IF($A195&lt;'PVC SCH80'!$A$250,VLOOKUP($A195,'PVC SCH80'!$A$8:$M$249,5,FALSE),
IF($A195&lt;'PVC SCH80 Flange'!$A$49,VLOOKUP($A195,'PVC SCH80 Flange'!$A$8:$M$48,5,FALSE),
IF($A195&lt;'PVC SCH80 LD Flange'!$A$17,VLOOKUP($A195,'PVC SCH80 LD Flange'!$A$8:$M$16,5,FALSE),
IF($A195&lt;CPVC!$A$100,VLOOKUP($A195,CPVC!$A$8:$M$99,5,FALSE),
IF($A195&lt;InsertFittings!$A$237,VLOOKUP($A195,InsertFittings!$A$11:$M$236,5,FALSE),
IF($A195&lt;Valves!$A$132,VLOOKUP($A195,Valves!$A$8:$M$131,5,FALSE),
IF($A195&lt;SDR35SW!$A$124,VLOOKUP($A195,SDR35SW!$A$8:$M$123,5,FALSE),
IF($A195&lt;SDR35G!$A$143,VLOOKUP($A195, SDR35G!$A$8:$M$142,5,FALSE),
IF($A195&lt;SDR26G!$A$61,VLOOKUP($A195,SDR26G!$A$8:$N$60,5,FALSE),
IF($A195&lt;Cements!$A$100,VLOOKUP($A195,Cements!$A$8:$Q$99,5,FALSE),
IF($A195&lt;ValveBox!$A$143,VLOOKUP($A195,ValveBox!$A$10:$O$142,5,FALSE),
IF($A195&lt;'ValveBox Components'!$A$165,VLOOKUP($A195,'ValveBox Components'!$A$10:$O$164,5,FALSE),
IF($A195&lt;Drainage!$A$92,VLOOKUP($A195,Drainage!$A$8:$M$91,5,FALSE),
IF($A195&lt;Nipples!$A$82,VLOOKUP($A195,Nipples!$A$9:$Q$81,5,FALSE),
IF($A195&lt;Manifold!$A$33,VLOOKUP($A195,Manifold!$A$9:$M$32,5,FALSE),
IF($A195&lt;FlexibleRepairCouplings!$A$13,VLOOKUP($A195,FlexibleRepairCouplings!$A$10:$M$12,5,FALSE),
IF($A195&lt;DuraFix!$A$15,VLOOKUP($A195,DuraFix!$A$9:$M$14,5,FALSE),
IF($A195&lt;'Compression Fittings'!$A$16,VLOOKUP($A195,'Compression Fittings'!$A$8:$M$15,5,FALSE),
IF($A195&lt;'Hose Fittings'!$A$30,VLOOKUP($A195,'Hose Fittings'!$A$8:$M$29,5,FALSE),
IF($A195&lt;'Swing Joints'!$A$496,VLOOKUP($A195,'Swing Joints'!$A$9:$M$495,5,FALSE),
IF($A195&lt;'Swing Joints Components'!$A$135,VLOOKUP($A195,'Swing Joints Components'!$A$9:$M$134,5,FALSE),
IF($A195&lt;Nonstandard!$A$42,VLOOKUP($A195,Nonstandard!$A$31:$J$41,6,FALSE),"")))))))))))))))))))))))))))),"")</f>
        <v/>
      </c>
      <c r="D195" s="426" t="str">
        <f>IFERROR(IF($A195&lt;'DWV PVC'!$A$285,VLOOKUP($A195,'DWV PVC'!$A$8:$M$284,6,FALSE),
IF($A195&lt;'DWV ABS'!$A$117,VLOOKUP($A195,'DWV ABS'!$A$8:$M$116,6,FALSE),
IF($A195&lt;'PVC SCH40'!$A$376,VLOOKUP($A195,'PVC SCH40'!$A$8:$M$375,6,FALSE),
IF($A195&lt;'PVC SCH40 LD'!$A$22,VLOOKUP($A195,'PVC SCH40 LD'!$A$8:$M$21,6,FALSE),
IF($A195&lt;'Pool &amp; SPA Sweep Elbows'!$A$12,VLOOKUP($A195,'Pool &amp; SPA Sweep Elbows'!$A$8:$M$11,6,FALSE),
IF($A195&lt;'Pool &amp; SPA Pipe Extender'!$A$11,VLOOKUP($A195,'Pool &amp; SPA Pipe Extender'!$A$8:$M$10,6,FALSE),
IF($A195&lt;'PVC SCH80'!$A$250,VLOOKUP($A195,'PVC SCH80'!$A$8:$M$249,6,FALSE),
IF($A195&lt;'PVC SCH80 Flange'!$A$49,VLOOKUP($A195,'PVC SCH80 Flange'!$A$8:$M$48,6,FALSE),
IF($A195&lt;'PVC SCH80 LD Flange'!$A$17,VLOOKUP($A195,'PVC SCH80 LD Flange'!$A$8:$M$16,6,FALSE),
IF($A195&lt;CPVC!$A$100,VLOOKUP($A195,CPVC!$A$8:$M$99,6,FALSE),
IF($A195&lt;InsertFittings!$A$237,VLOOKUP($A195,InsertFittings!$A$11:$M$236,6,FALSE),
IF($A195&lt;Valves!$A$132,VLOOKUP($A195,Valves!$A$8:$M$131,6,FALSE),
IF($A195&lt;SDR35SW!$A$124,VLOOKUP($A195,SDR35SW!$A$8:$M$123,6,FALSE),
IF($A195&lt;SDR35G!$A$143,VLOOKUP($A195, SDR35G!$A$8:$M$142,6,FALSE),
IF($A195&lt;SDR26G!$A$61,VLOOKUP($A195,SDR26G!$A$8:$N$60,6,FALSE),
IF($A195&lt;Cements!$A$100,VLOOKUP($A195,Cements!$A$8:$Q$99,6,FALSE),
IF($A195&lt;ValveBox!$A$143,VLOOKUP($A195,ValveBox!$A$10:$O$142,6,FALSE),
IF($A195&lt;'ValveBox Components'!$A$165,VLOOKUP($A195,'ValveBox Components'!$A$10:$O$164,6,FALSE),
IF($A195&lt;Drainage!$A$92,VLOOKUP($A195,Drainage!$A$8:$M$91,6,FALSE),
IF($A195&lt;Nipples!$A$82,VLOOKUP($A195,Nipples!$A$9:$Q$81,6,FALSE),
IF($A195&lt;Manifold!$A$33,VLOOKUP($A195,Manifold!$A$9:$M$32,6,FALSE),
IF($A195&lt;FlexibleRepairCouplings!$A$13,VLOOKUP($A195,FlexibleRepairCouplings!$A$10:$M$12,6,FALSE),
IF($A195&lt;DuraFix!$A$15,VLOOKUP($A195,DuraFix!$A$9:$M$14,6,FALSE),
IF($A195&lt;'Compression Fittings'!$A$16,VLOOKUP($A195,'Compression Fittings'!$A$8:$M$15,6,FALSE),
IF($A195&lt;'Hose Fittings'!$A$30,VLOOKUP($A195,'Hose Fittings'!$A$8:$M$29,6,FALSE),
IF($A195&lt;'Swing Joints'!$A$496,VLOOKUP($A195,'Swing Joints'!$A$9:$M$495,6,FALSE),
IF($A195&lt;'Swing Joints Components'!$A$135,VLOOKUP($A195,'Swing Joints Components'!$A$9:$M$134,6,FALSE),
IF($A195&lt;Nonstandard!$A$42,VLOOKUP($A195,Nonstandard!$A$31:$J$41,7,FALSE),"")))))))))))))))))))))))))))),"")</f>
        <v/>
      </c>
      <c r="E195" s="427"/>
      <c r="F195" s="418" t="str">
        <f>IFERROR(IF($A195&lt;'DWV PVC'!$A$285,VLOOKUP($A195,'DWV PVC'!$A$8:$M$284,9,FALSE),
IF($A195&lt;'DWV ABS'!$A$117,VLOOKUP($A195,'DWV ABS'!$A$8:$M$116,9,FALSE),
IF($A195&lt;'PVC SCH40'!$A$376,VLOOKUP($A195,'PVC SCH40'!$A$8:$M$375,9,FALSE),
IF($A195&lt;'PVC SCH40 LD'!$A$22,VLOOKUP($A195,'PVC SCH40 LD'!$A$8:$M$21,9,FALSE),
IF($A195&lt;'Pool &amp; SPA Sweep Elbows'!$A$12,VLOOKUP($A195,'Pool &amp; SPA Sweep Elbows'!$A$8:$M$11,9,FALSE),
IF($A195&lt;'Pool &amp; SPA Pipe Extender'!$A$11,VLOOKUP($A195,'Pool &amp; SPA Pipe Extender'!$A$8:$M$10,9,FALSE),
IF($A195&lt;'PVC SCH80'!$A$250,VLOOKUP($A195,'PVC SCH80'!$A$8:$M$249,9,FALSE),
IF($A195&lt;'PVC SCH80 Flange'!$A$49,VLOOKUP($A195,'PVC SCH80 Flange'!$A$8:$M$48,9,FALSE),
IF($A195&lt;'PVC SCH80 LD Flange'!$A$17,VLOOKUP($A195,'PVC SCH80 LD Flange'!$A$8:$M$16,9,FALSE),
IF($A195&lt;CPVC!$A$100,VLOOKUP($A195,CPVC!$A$8:$M$99,9,FALSE),
IF($A195&lt;InsertFittings!$A$237,VLOOKUP($A195,InsertFittings!$A$11:$M$236,9,FALSE),
IF($A195&lt;Valves!$A$132,VLOOKUP($A195,Valves!$A$8:$M$131,9,FALSE),
IF($A195&lt;SDR35SW!$A$124,VLOOKUP($A195,SDR35SW!$A$8:$M$123,9,FALSE),
IF($A195&lt;SDR35G!$A$143,VLOOKUP($A195, SDR35G!$A$8:$M$142,9,FALSE),
IF($A195&lt;SDR26G!$A$61,VLOOKUP($A195,SDR26G!$A$8:$N$60,10,FALSE),
IF($A195&lt;Cements!$A$100,VLOOKUP($A195,Cements!$A$8:$Q$99,13,FALSE),
IF($A195&lt;ValveBox!$A$143,VLOOKUP($A195,ValveBox!$A$10:$O$142,11,FALSE),
IF($A195&lt;'ValveBox Components'!$A$165,VLOOKUP($A195,'ValveBox Components'!$A$10:$O$164,11,FALSE),
IF($A195&lt;Drainage!$A$92,VLOOKUP($A195,Drainage!$A$8:$M$91,9,FALSE),
IF($A195&lt;Nipples!$A$82,VLOOKUP($A195,Nipples!$A$9:$Q$81,13,FALSE),
IF($A195&lt;Manifold!$A$33,VLOOKUP($A195,Manifold!$A$9:$M$32,9,FALSE),
IF($A195&lt;FlexibleRepairCouplings!$A$13,VLOOKUP($A195,FlexibleRepairCouplings!$A$10:$M$12,9,FALSE),
IF($A195&lt;DuraFix!$A$15,VLOOKUP($A195,DuraFix!$A$9:$M$14,9,FALSE),
IF($A195&lt;'Compression Fittings'!$A$16,VLOOKUP($A195,'Compression Fittings'!$A$8:$M$15,9,FALSE),
IF($A195&lt;'Hose Fittings'!$A$30,VLOOKUP($A195,'Hose Fittings'!$A$8:$M$29,9,FALSE),
IF($A195&lt;'Swing Joints'!$A$496,VLOOKUP($A195,'Swing Joints'!$A$9:$M$495,9,FALSE),
IF($A195&lt;'Swing Joints Components'!$A$135,VLOOKUP($A195,'Swing Joints Components'!$A$9:$M$134,9,FALSE),
IF($A195&lt;Nonstandard!$A$42,VLOOKUP($A195,Nonstandard!$A$31:$J$41,8,FALSE),"")))))))))))))))))))))))))))),"")</f>
        <v/>
      </c>
      <c r="G195" s="416" t="str">
        <f>IFERROR(IF($A195&lt;'DWV PVC'!$A$285,VLOOKUP($A195,'DWV PVC'!$A$8:$M$284,11,FALSE),
IF($A195&lt;'DWV ABS'!$A$117,VLOOKUP($A195,'DWV ABS'!$A$8:$M$116,11,FALSE),
IF($A195&lt;'PVC SCH40'!$A$376,VLOOKUP($A195,'PVC SCH40'!$A$8:$M$375,11,FALSE),
IF($A195&lt;'PVC SCH40 LD'!$A$22,VLOOKUP($A195,'PVC SCH40 LD'!$A$8:$M$21,11,FALSE),
IF($A195&lt;'Pool &amp; SPA Sweep Elbows'!$A$12,VLOOKUP($A195,'Pool &amp; SPA Sweep Elbows'!$A$8:$M$11,11,FALSE),
IF($A195&lt;'Pool &amp; SPA Pipe Extender'!$A$11,VLOOKUP($A195,'Pool &amp; SPA Pipe Extender'!$A$8:$M$10,11,FALSE),
IF($A195&lt;'PVC SCH80'!$A$250,VLOOKUP($A195,'PVC SCH80'!$A$8:$M$249,11,FALSE),
IF($A195&lt;'PVC SCH80 Flange'!$A$49,VLOOKUP($A195,'PVC SCH80 Flange'!$A$8:$M$48,11,FALSE),
IF($A195&lt;'PVC SCH80 LD Flange'!$A$17,VLOOKUP($A195,'PVC SCH80 LD Flange'!$A$8:$M$16,11,FALSE),
IF($A195&lt;CPVC!$A$100,VLOOKUP($A195,CPVC!$A$8:$M$99,11,FALSE),
IF($A195&lt;InsertFittings!$A$237,VLOOKUP($A195,InsertFittings!$A$11:$M$236,11,FALSE),
IF($A195&lt;Valves!$A$132,VLOOKUP($A195,Valves!$A$8:$M$131,11,FALSE),
IF($A195&lt;SDR35SW!$A$124,VLOOKUP($A195,SDR35SW!$A$8:$M$123,11,FALSE),
IF($A195&lt;SDR35G!$A$143,VLOOKUP($A195, SDR35G!$A$8:$M$142,11,FALSE),
IF($A195&lt;SDR26G!$A$61,VLOOKUP($A195,SDR26G!$A$8:$N$60,12,FALSE),
IF($A195&lt;Cements!$A$100,VLOOKUP($A195,Cements!$A$8:$Q$99,15,FALSE),
IF($A195&lt;ValveBox!$A$143,VLOOKUP($A195,ValveBox!$A$10:$O$142,13,FALSE),
IF($A195&lt;'ValveBox Components'!$A$165,VLOOKUP($A195,'ValveBox Components'!$A$10:$O$164,13,FALSE),
IF($A195&lt;Drainage!$A$92,VLOOKUP($A195,Drainage!$A$8:$M$91,11,FALSE),
IF($A195&lt;Nipples!$A$82,VLOOKUP($A195,Nipples!$A$9:$Q$81,15,FALSE),
IF($A195&lt;Manifold!$A$33,VLOOKUP($A195,Manifold!$A$9:$M$32,11,FALSE),
IF($A195&lt;FlexibleRepairCouplings!$A$13,VLOOKUP($A195,FlexibleRepairCouplings!$A$10:$M$12,11,FALSE),
IF($A195&lt;DuraFix!$A$15,VLOOKUP($A195,DuraFix!$A$9:$M$14,11,FALSE),
IF($A195&lt;'Compression Fittings'!$A$16,VLOOKUP($A195,'Compression Fittings'!$A$8:$M$15,11,FALSE),
IF($A195&lt;'Hose Fittings'!$A$30,VLOOKUP($A195,'Hose Fittings'!$A$8:$M$29,11,FALSE),
IF($A195&lt;'Swing Joints'!$A$496,VLOOKUP($A195,'Swing Joints'!$A$9:$M$495,11,FALSE),
IF($A195&lt;'Swing Joints Components'!$A$135,VLOOKUP($A195,'Swing Joints Components'!$A$9:$M$134,11,FALSE),
IF($A195&lt;Nonstandard!$A$42,VLOOKUP($A195,Nonstandard!$A$31:$J$41,3,FALSE),"")))))))))))))))))))))))))))),"")</f>
        <v/>
      </c>
      <c r="H195" s="586" t="str">
        <f>IFERROR(IF($A195&lt;'DWV PVC'!$A$285,VLOOKUP($A195,'DWV PVC'!$A$8:$M$284,7,FALSE),
IF($A195&lt;'DWV ABS'!$A$117,VLOOKUP($A195,'DWV ABS'!$A$8:$M$116,7,FALSE),
IF($A195&lt;'PVC SCH40'!$A$376,VLOOKUP($A195,'PVC SCH40'!$A$8:$M$375,7,FALSE),
IF($A195&lt;'PVC SCH40 LD'!$A$22,VLOOKUP($A195,'PVC SCH40 LD'!$A$8:$M$21,7,FALSE),
IF($A195&lt;'Pool &amp; SPA Sweep Elbows'!$A$12,VLOOKUP($A195,'Pool &amp; SPA Sweep Elbows'!$A$8:$M$11,7,FALSE),
IF($A195&lt;'Pool &amp; SPA Pipe Extender'!$A$11,VLOOKUP($A195,'Pool &amp; SPA Pipe Extender'!$A$8:$M$10,7,FALSE),
IF($A195&lt;'PVC SCH80'!$A$250,VLOOKUP($A195,'PVC SCH80'!$A$8:$M$249,7,FALSE),
IF($A195&lt;'PVC SCH80 Flange'!$A$49,VLOOKUP($A195,'PVC SCH80 Flange'!$A$8:$M$48,7,FALSE),
IF($A195&lt;'PVC SCH80 LD Flange'!$A$17,VLOOKUP($A195,'PVC SCH80 LD Flange'!$A$8:$M$16,7,FALSE),
IF($A195&lt;CPVC!$A$100,VLOOKUP($A195,CPVC!$A$8:$M$99,7,FALSE),
IF($A195&lt;InsertFittings!$A$237,VLOOKUP($A195,InsertFittings!$A$11:$M$236,7,FALSE),
IF($A195&lt;Valves!$A$132,VLOOKUP($A195,Valves!$A$8:$M$131,7,FALSE),
IF($A195&lt;SDR35SW!$A$124,VLOOKUP($A195,SDR35SW!$A$8:$M$123,7,FALSE),
IF($A195&lt;SDR35G!$A$143,VLOOKUP($A195, SDR35G!$A$8:$M$142,7,FALSE),
IF($A195&lt;SDR26G!$A$61,VLOOKUP($A195,SDR26G!$A$8:$N$60,10,FALSE),
IF($A195&lt;Cements!$A$100,VLOOKUP($A195,Cements!$A$8:$Q$99,13,FALSE),
IF($A195&lt;ValveBox!$A$143,VLOOKUP($A195,ValveBox!$A$10:$O$142,11,FALSE),
IF($A195&lt;'ValveBox Components'!$A$165,VLOOKUP($A195,'ValveBox Components'!$A$10:$O$164,11,FALSE),
IF($A195&lt;Drainage!$A$92,VLOOKUP($A195,Drainage!$A$8:$M$91,7,FALSE),
IF($A195&lt;Nipples!$A$82,VLOOKUP($A195,Nipples!$A$9:$Q$81,13,FALSE),
IF($A195&lt;Manifold!$A$33,VLOOKUP($A195,Manifold!$A$9:$M$32,7,FALSE),
IF($A195&lt;FlexibleRepairCouplings!$A$13,VLOOKUP($A195,FlexibleRepairCouplings!$A$10:$M$12,7,FALSE),
IF($A195&lt;DuraFix!$A$15,VLOOKUP($A195,DuraFix!$A$9:$M$14,7,FALSE),
IF($A195&lt;'Compression Fittings'!$A$16,VLOOKUP($A195,'Compression Fittings'!$A$8:$M$15,7,FALSE),
IF($A195&lt;'Hose Fittings'!$A$30,VLOOKUP($A195,'Hose Fittings'!$A$8:$M$29,7,FALSE),
IF($A195&lt;'Swing Joints'!$A$496,VLOOKUP($A195,'Swing Joints'!$A$9:$M$495,7,FALSE),
IF($A195&lt;'Swing Joints Components'!$A$135,VLOOKUP($A195,'Swing Joints Components'!$A$9:$M$134,7,FALSE),
IF($A195&lt;Nonstandard!$A$42,VLOOKUP($A195,Nonstandard!$A$31:$J$41,3,FALSE),"")))))))))))))))))))))))))))),"")</f>
        <v/>
      </c>
      <c r="I195" s="587"/>
      <c r="J195" s="383" t="str">
        <f t="shared" si="5"/>
        <v/>
      </c>
      <c r="K195" s="417" t="str">
        <f>IFERROR(IF($A195&lt;'DWV PVC'!$A$285,VLOOKUP($A195,'DWV PVC'!$A$8:$M$284,10,FALSE),
IF($A195&lt;'DWV ABS'!$A$117,VLOOKUP($A195,'DWV ABS'!$A$8:$M$116,10,FALSE),
IF($A195&lt;'PVC SCH40'!$A$376,VLOOKUP($A195,'PVC SCH40'!$A$8:$M$375,10,FALSE),
IF($A195&lt;'PVC SCH40 LD'!$A$22,VLOOKUP($A195,'PVC SCH40 LD'!$A$8:$M$21,10,FALSE),
IF($A195&lt;'Pool &amp; SPA Sweep Elbows'!$A$12,VLOOKUP($A195,'Pool &amp; SPA Sweep Elbows'!$A$8:$M$11,10,FALSE),
IF($A195&lt;'Pool &amp; SPA Pipe Extender'!$A$11,VLOOKUP($A195,'Pool &amp; SPA Pipe Extender'!$A$8:$M$10,10,FALSE),
IF($A195&lt;'PVC SCH80'!$A$250,VLOOKUP($A195,'PVC SCH80'!$A$8:$M$249,10,FALSE),
IF($A195&lt;'PVC SCH80 Flange'!$A$49,VLOOKUP($A195,'PVC SCH80 Flange'!$A$8:$M$48,10,FALSE),
IF($A195&lt;'PVC SCH80 LD Flange'!$A$17,VLOOKUP($A195,'PVC SCH80 LD Flange'!$A$8:$M$16,10,FALSE),
IF($A195&lt;CPVC!$A$100,VLOOKUP($A195,CPVC!$A$8:$M$99,10,FALSE),
IF($A195&lt;InsertFittings!$A$237,VLOOKUP($A195,InsertFittings!$A$11:$M$236,10,FALSE),
IF($A195&lt;Valves!$A$132,VLOOKUP($A195,Valves!$A$8:$M$131,10,FALSE),
IF($A195&lt;SDR35SW!$A$124,VLOOKUP($A195,SDR35SW!$A$8:$M$123,10,FALSE),
IF($A195&lt;SDR35G!$A$143,VLOOKUP($A195, SDR35G!$A$8:$M$142,10,FALSE),
IF($A195&lt;SDR26G!$A$61,VLOOKUP($A195,SDR26G!$A$8:$N$60,11,FALSE),
IF($A195&lt;Cements!$A$100,VLOOKUP($A195,Cements!$A$8:$Q$99,14,FALSE),
IF($A195&lt;ValveBox!$A$143,VLOOKUP($A195,ValveBox!$A$10:$O$142,12,FALSE),
IF($A195&lt;'ValveBox Components'!$A$165,VLOOKUP($A195,'ValveBox Components'!$A$10:$O$164,12,FALSE),
IF($A195&lt;Drainage!$A$92,VLOOKUP($A195,Drainage!$A$8:$M$91,10,FALSE),
IF($A195&lt;Nipples!$A$82,VLOOKUP($A195,Nipples!$A$9:$Q$81,14,FALSE),
IF($A195&lt;Manifold!$A$33,VLOOKUP($A195,Manifold!$A$9:$M$32,10,FALSE),
IF($A195&lt;FlexibleRepairCouplings!$A$13,VLOOKUP($A195,FlexibleRepairCouplings!$A$10:$M$12,10,FALSE),
IF($A195&lt;DuraFix!$A$15,VLOOKUP($A195,DuraFix!$A$9:$M$14,10,FALSE),
IF($A195&lt;'Compression Fittings'!$A$16,VLOOKUP($A195,'Compression Fittings'!$A$8:$M$15,10,FALSE),
IF($A195&lt;'Hose Fittings'!$A$30,VLOOKUP($A195,'Hose Fittings'!$A$8:$M$29,10,FALSE),
IF($A195&lt;'Swing Joints'!$A$496,VLOOKUP($A195,'Swing Joints'!$A$9:$M$495,10,FALSE),
IF($A195&lt;'Swing Joints Components'!$A$135,VLOOKUP($A195,'Swing Joints Components'!$A$9:$M$134,10,FALSE),
IF($A195&lt;Nonstandard!$A$42,VLOOKUP($A195,Nonstandard!$A$31:$J$41,10,FALSE),"")))))))))))))))))))))))))))),"")</f>
        <v/>
      </c>
      <c r="L195" s="418" t="str">
        <f t="shared" si="4"/>
        <v>-</v>
      </c>
      <c r="M195" s="419"/>
    </row>
    <row r="196" spans="1:13" ht="15.75">
      <c r="A196" s="420">
        <v>164</v>
      </c>
      <c r="B196" s="420" t="str">
        <f>IFERROR(IF($A196&lt;'DWV PVC'!$A$285,VLOOKUP($A196,'DWV PVC'!$A$8:$M$284,4,FALSE),
IF($A196&lt;'DWV ABS'!$A$117,VLOOKUP($A196,'DWV ABS'!$A$8:$M$116,4,FALSE),
IF($A196&lt;'PVC SCH40'!$A$376,VLOOKUP($A196,'PVC SCH40'!$A$8:$M$375,4,FALSE),
IF($A196&lt;'PVC SCH40 LD'!$A$22,VLOOKUP($A196,'PVC SCH40 LD'!$A$8:$M$21,4,FALSE),
IF($A196&lt;'Pool &amp; SPA Sweep Elbows'!$A$12,VLOOKUP($A196,'Pool &amp; SPA Sweep Elbows'!$A$8:$M$11,4,FALSE),
IF($A196&lt;'Pool &amp; SPA Pipe Extender'!$A$11,VLOOKUP($A196,'Pool &amp; SPA Pipe Extender'!$A$8:$M$10,4,FALSE),
IF($A196&lt;'PVC SCH80'!$A$250,VLOOKUP($A196,'PVC SCH80'!$A$8:$M$249,4,FALSE),
IF($A196&lt;'PVC SCH80 Flange'!$A$49,VLOOKUP($A196,'PVC SCH80 Flange'!$A$8:$M$48,4,FALSE),
IF($A196&lt;'PVC SCH80 LD Flange'!$A$17,VLOOKUP($A196,'PVC SCH80 LD Flange'!$A$8:$M$16,4,FALSE),
IF($A196&lt;CPVC!$A$100,VLOOKUP($A196,CPVC!$A$8:$M$99,4,FALSE),
IF($A196&lt;InsertFittings!$A$237,VLOOKUP($A196,InsertFittings!$A$11:$M$236,4,FALSE),
IF($A196&lt;Valves!$A$132,VLOOKUP($A196,Valves!$A$8:$M$131,4,FALSE),
IF($A196&lt;SDR35SW!$A$124,VLOOKUP($A196,SDR35SW!$A$8:$M$123,4,FALSE),
IF($A196&lt;SDR35G!$A$143,VLOOKUP($A196, SDR35G!$A$8:$M$142,4,FALSE),
IF($A196&lt;SDR26G!$A$61,VLOOKUP($A196,SDR26G!$A$8:$N$60,4,FALSE),
IF($A196&lt;Cements!$A$100,VLOOKUP($A196,Cements!$A$8:$Q$99,4,FALSE),
IF($A196&lt;ValveBox!$A$143,VLOOKUP($A196,ValveBox!$A$10:$O$142,4,FALSE),
IF($A196&lt;'ValveBox Components'!$A$165,VLOOKUP($A196,'ValveBox Components'!$A$10:$O$164,4,FALSE),
IF($A196&lt;Drainage!$A$92,VLOOKUP($A196,Drainage!$A$8:$M$91,4,FALSE),
IF($A196&lt;Nipples!$A$82,VLOOKUP($A196,Nipples!$A$9:$Q$81,4,FALSE),
IF($A196&lt;Manifold!$A$33,VLOOKUP($A196,Manifold!$A$9:$M$32,4,FALSE),
IF($A196&lt;FlexibleRepairCouplings!$A$13,VLOOKUP($A196,FlexibleRepairCouplings!$A$10:$M$12,4,FALSE),
IF($A196&lt;DuraFix!$A$15,VLOOKUP($A196,DuraFix!$A$9:$M$14,4,FALSE),
IF($A196&lt;'Compression Fittings'!$A$16,VLOOKUP($A196,'Compression Fittings'!$A$8:$M$15,4,FALSE),
IF($A196&lt;'Hose Fittings'!$A$30,VLOOKUP($A196,'Hose Fittings'!$A$8:$M$29,4,FALSE),
IF($A196&lt;'Swing Joints'!$A$496,VLOOKUP($A196,'Swing Joints'!$A$9:$M$495,4,FALSE),
IF($A196&lt;'Swing Joints Components'!$A$135,VLOOKUP($A196,'Swing Joints Components'!$A$9:$M$134,4,FALSE),
IF($A196&lt;Nonstandard!$A$42,VLOOKUP($A196,Nonstandard!$A$31:$J$41,5,FALSE),"")))))))))))))))))))))))))))),"")</f>
        <v/>
      </c>
      <c r="C196" s="420" t="str">
        <f>IFERROR(IF($A196&lt;'DWV PVC'!$A$285,VLOOKUP($A196,'DWV PVC'!$A$8:$M$284,5,FALSE),
IF($A196&lt;'DWV ABS'!$A$117,VLOOKUP($A196,'DWV ABS'!$A$8:$M$116,5,FALSE),
IF($A196&lt;'PVC SCH40'!$A$376,VLOOKUP($A196,'PVC SCH40'!$A$8:$M$375,5,FALSE),
IF($A196&lt;'PVC SCH40 LD'!$A$22,VLOOKUP($A196,'PVC SCH40 LD'!$A$8:$M$21,5,FALSE),
IF($A196&lt;'Pool &amp; SPA Sweep Elbows'!$A$12,VLOOKUP($A196,'Pool &amp; SPA Sweep Elbows'!$A$8:$M$11,5,FALSE),
IF($A196&lt;'Pool &amp; SPA Pipe Extender'!$A$11,VLOOKUP($A196,'Pool &amp; SPA Pipe Extender'!$A$8:$M$10,5,FALSE),
IF($A196&lt;'PVC SCH80'!$A$250,VLOOKUP($A196,'PVC SCH80'!$A$8:$M$249,5,FALSE),
IF($A196&lt;'PVC SCH80 Flange'!$A$49,VLOOKUP($A196,'PVC SCH80 Flange'!$A$8:$M$48,5,FALSE),
IF($A196&lt;'PVC SCH80 LD Flange'!$A$17,VLOOKUP($A196,'PVC SCH80 LD Flange'!$A$8:$M$16,5,FALSE),
IF($A196&lt;CPVC!$A$100,VLOOKUP($A196,CPVC!$A$8:$M$99,5,FALSE),
IF($A196&lt;InsertFittings!$A$237,VLOOKUP($A196,InsertFittings!$A$11:$M$236,5,FALSE),
IF($A196&lt;Valves!$A$132,VLOOKUP($A196,Valves!$A$8:$M$131,5,FALSE),
IF($A196&lt;SDR35SW!$A$124,VLOOKUP($A196,SDR35SW!$A$8:$M$123,5,FALSE),
IF($A196&lt;SDR35G!$A$143,VLOOKUP($A196, SDR35G!$A$8:$M$142,5,FALSE),
IF($A196&lt;SDR26G!$A$61,VLOOKUP($A196,SDR26G!$A$8:$N$60,5,FALSE),
IF($A196&lt;Cements!$A$100,VLOOKUP($A196,Cements!$A$8:$Q$99,5,FALSE),
IF($A196&lt;ValveBox!$A$143,VLOOKUP($A196,ValveBox!$A$10:$O$142,5,FALSE),
IF($A196&lt;'ValveBox Components'!$A$165,VLOOKUP($A196,'ValveBox Components'!$A$10:$O$164,5,FALSE),
IF($A196&lt;Drainage!$A$92,VLOOKUP($A196,Drainage!$A$8:$M$91,5,FALSE),
IF($A196&lt;Nipples!$A$82,VLOOKUP($A196,Nipples!$A$9:$Q$81,5,FALSE),
IF($A196&lt;Manifold!$A$33,VLOOKUP($A196,Manifold!$A$9:$M$32,5,FALSE),
IF($A196&lt;FlexibleRepairCouplings!$A$13,VLOOKUP($A196,FlexibleRepairCouplings!$A$10:$M$12,5,FALSE),
IF($A196&lt;DuraFix!$A$15,VLOOKUP($A196,DuraFix!$A$9:$M$14,5,FALSE),
IF($A196&lt;'Compression Fittings'!$A$16,VLOOKUP($A196,'Compression Fittings'!$A$8:$M$15,5,FALSE),
IF($A196&lt;'Hose Fittings'!$A$30,VLOOKUP($A196,'Hose Fittings'!$A$8:$M$29,5,FALSE),
IF($A196&lt;'Swing Joints'!$A$496,VLOOKUP($A196,'Swing Joints'!$A$9:$M$495,5,FALSE),
IF($A196&lt;'Swing Joints Components'!$A$135,VLOOKUP($A196,'Swing Joints Components'!$A$9:$M$134,5,FALSE),
IF($A196&lt;Nonstandard!$A$42,VLOOKUP($A196,Nonstandard!$A$31:$J$41,6,FALSE),"")))))))))))))))))))))))))))),"")</f>
        <v/>
      </c>
      <c r="D196" s="428" t="str">
        <f>IFERROR(IF($A196&lt;'DWV PVC'!$A$285,VLOOKUP($A196,'DWV PVC'!$A$8:$M$284,6,FALSE),
IF($A196&lt;'DWV ABS'!$A$117,VLOOKUP($A196,'DWV ABS'!$A$8:$M$116,6,FALSE),
IF($A196&lt;'PVC SCH40'!$A$376,VLOOKUP($A196,'PVC SCH40'!$A$8:$M$375,6,FALSE),
IF($A196&lt;'PVC SCH40 LD'!$A$22,VLOOKUP($A196,'PVC SCH40 LD'!$A$8:$M$21,6,FALSE),
IF($A196&lt;'Pool &amp; SPA Sweep Elbows'!$A$12,VLOOKUP($A196,'Pool &amp; SPA Sweep Elbows'!$A$8:$M$11,6,FALSE),
IF($A196&lt;'Pool &amp; SPA Pipe Extender'!$A$11,VLOOKUP($A196,'Pool &amp; SPA Pipe Extender'!$A$8:$M$10,6,FALSE),
IF($A196&lt;'PVC SCH80'!$A$250,VLOOKUP($A196,'PVC SCH80'!$A$8:$M$249,6,FALSE),
IF($A196&lt;'PVC SCH80 Flange'!$A$49,VLOOKUP($A196,'PVC SCH80 Flange'!$A$8:$M$48,6,FALSE),
IF($A196&lt;'PVC SCH80 LD Flange'!$A$17,VLOOKUP($A196,'PVC SCH80 LD Flange'!$A$8:$M$16,6,FALSE),
IF($A196&lt;CPVC!$A$100,VLOOKUP($A196,CPVC!$A$8:$M$99,6,FALSE),
IF($A196&lt;InsertFittings!$A$237,VLOOKUP($A196,InsertFittings!$A$11:$M$236,6,FALSE),
IF($A196&lt;Valves!$A$132,VLOOKUP($A196,Valves!$A$8:$M$131,6,FALSE),
IF($A196&lt;SDR35SW!$A$124,VLOOKUP($A196,SDR35SW!$A$8:$M$123,6,FALSE),
IF($A196&lt;SDR35G!$A$143,VLOOKUP($A196, SDR35G!$A$8:$M$142,6,FALSE),
IF($A196&lt;SDR26G!$A$61,VLOOKUP($A196,SDR26G!$A$8:$N$60,6,FALSE),
IF($A196&lt;Cements!$A$100,VLOOKUP($A196,Cements!$A$8:$Q$99,6,FALSE),
IF($A196&lt;ValveBox!$A$143,VLOOKUP($A196,ValveBox!$A$10:$O$142,6,FALSE),
IF($A196&lt;'ValveBox Components'!$A$165,VLOOKUP($A196,'ValveBox Components'!$A$10:$O$164,6,FALSE),
IF($A196&lt;Drainage!$A$92,VLOOKUP($A196,Drainage!$A$8:$M$91,6,FALSE),
IF($A196&lt;Nipples!$A$82,VLOOKUP($A196,Nipples!$A$9:$Q$81,6,FALSE),
IF($A196&lt;Manifold!$A$33,VLOOKUP($A196,Manifold!$A$9:$M$32,6,FALSE),
IF($A196&lt;FlexibleRepairCouplings!$A$13,VLOOKUP($A196,FlexibleRepairCouplings!$A$10:$M$12,6,FALSE),
IF($A196&lt;DuraFix!$A$15,VLOOKUP($A196,DuraFix!$A$9:$M$14,6,FALSE),
IF($A196&lt;'Compression Fittings'!$A$16,VLOOKUP($A196,'Compression Fittings'!$A$8:$M$15,6,FALSE),
IF($A196&lt;'Hose Fittings'!$A$30,VLOOKUP($A196,'Hose Fittings'!$A$8:$M$29,6,FALSE),
IF($A196&lt;'Swing Joints'!$A$496,VLOOKUP($A196,'Swing Joints'!$A$9:$M$495,6,FALSE),
IF($A196&lt;'Swing Joints Components'!$A$135,VLOOKUP($A196,'Swing Joints Components'!$A$9:$M$134,6,FALSE),
IF($A196&lt;Nonstandard!$A$42,VLOOKUP($A196,Nonstandard!$A$31:$J$41,7,FALSE),"")))))))))))))))))))))))))))),"")</f>
        <v/>
      </c>
      <c r="E196" s="429"/>
      <c r="F196" s="421" t="str">
        <f>IFERROR(IF($A196&lt;'DWV PVC'!$A$285,VLOOKUP($A196,'DWV PVC'!$A$8:$M$284,9,FALSE),
IF($A196&lt;'DWV ABS'!$A$117,VLOOKUP($A196,'DWV ABS'!$A$8:$M$116,9,FALSE),
IF($A196&lt;'PVC SCH40'!$A$376,VLOOKUP($A196,'PVC SCH40'!$A$8:$M$375,9,FALSE),
IF($A196&lt;'PVC SCH40 LD'!$A$22,VLOOKUP($A196,'PVC SCH40 LD'!$A$8:$M$21,9,FALSE),
IF($A196&lt;'Pool &amp; SPA Sweep Elbows'!$A$12,VLOOKUP($A196,'Pool &amp; SPA Sweep Elbows'!$A$8:$M$11,9,FALSE),
IF($A196&lt;'Pool &amp; SPA Pipe Extender'!$A$11,VLOOKUP($A196,'Pool &amp; SPA Pipe Extender'!$A$8:$M$10,9,FALSE),
IF($A196&lt;'PVC SCH80'!$A$250,VLOOKUP($A196,'PVC SCH80'!$A$8:$M$249,9,FALSE),
IF($A196&lt;'PVC SCH80 Flange'!$A$49,VLOOKUP($A196,'PVC SCH80 Flange'!$A$8:$M$48,9,FALSE),
IF($A196&lt;'PVC SCH80 LD Flange'!$A$17,VLOOKUP($A196,'PVC SCH80 LD Flange'!$A$8:$M$16,9,FALSE),
IF($A196&lt;CPVC!$A$100,VLOOKUP($A196,CPVC!$A$8:$M$99,9,FALSE),
IF($A196&lt;InsertFittings!$A$237,VLOOKUP($A196,InsertFittings!$A$11:$M$236,9,FALSE),
IF($A196&lt;Valves!$A$132,VLOOKUP($A196,Valves!$A$8:$M$131,9,FALSE),
IF($A196&lt;SDR35SW!$A$124,VLOOKUP($A196,SDR35SW!$A$8:$M$123,9,FALSE),
IF($A196&lt;SDR35G!$A$143,VLOOKUP($A196, SDR35G!$A$8:$M$142,9,FALSE),
IF($A196&lt;SDR26G!$A$61,VLOOKUP($A196,SDR26G!$A$8:$N$60,10,FALSE),
IF($A196&lt;Cements!$A$100,VLOOKUP($A196,Cements!$A$8:$Q$99,13,FALSE),
IF($A196&lt;ValveBox!$A$143,VLOOKUP($A196,ValveBox!$A$10:$O$142,11,FALSE),
IF($A196&lt;'ValveBox Components'!$A$165,VLOOKUP($A196,'ValveBox Components'!$A$10:$O$164,11,FALSE),
IF($A196&lt;Drainage!$A$92,VLOOKUP($A196,Drainage!$A$8:$M$91,9,FALSE),
IF($A196&lt;Nipples!$A$82,VLOOKUP($A196,Nipples!$A$9:$Q$81,13,FALSE),
IF($A196&lt;Manifold!$A$33,VLOOKUP($A196,Manifold!$A$9:$M$32,9,FALSE),
IF($A196&lt;FlexibleRepairCouplings!$A$13,VLOOKUP($A196,FlexibleRepairCouplings!$A$10:$M$12,9,FALSE),
IF($A196&lt;DuraFix!$A$15,VLOOKUP($A196,DuraFix!$A$9:$M$14,9,FALSE),
IF($A196&lt;'Compression Fittings'!$A$16,VLOOKUP($A196,'Compression Fittings'!$A$8:$M$15,9,FALSE),
IF($A196&lt;'Hose Fittings'!$A$30,VLOOKUP($A196,'Hose Fittings'!$A$8:$M$29,9,FALSE),
IF($A196&lt;'Swing Joints'!$A$496,VLOOKUP($A196,'Swing Joints'!$A$9:$M$495,9,FALSE),
IF($A196&lt;'Swing Joints Components'!$A$135,VLOOKUP($A196,'Swing Joints Components'!$A$9:$M$134,9,FALSE),
IF($A196&lt;Nonstandard!$A$42,VLOOKUP($A196,Nonstandard!$A$31:$J$41,8,FALSE),"")))))))))))))))))))))))))))),"")</f>
        <v/>
      </c>
      <c r="G196" s="422" t="str">
        <f>IFERROR(IF($A196&lt;'DWV PVC'!$A$285,VLOOKUP($A196,'DWV PVC'!$A$8:$M$284,11,FALSE),
IF($A196&lt;'DWV ABS'!$A$117,VLOOKUP($A196,'DWV ABS'!$A$8:$M$116,11,FALSE),
IF($A196&lt;'PVC SCH40'!$A$376,VLOOKUP($A196,'PVC SCH40'!$A$8:$M$375,11,FALSE),
IF($A196&lt;'PVC SCH40 LD'!$A$22,VLOOKUP($A196,'PVC SCH40 LD'!$A$8:$M$21,11,FALSE),
IF($A196&lt;'Pool &amp; SPA Sweep Elbows'!$A$12,VLOOKUP($A196,'Pool &amp; SPA Sweep Elbows'!$A$8:$M$11,11,FALSE),
IF($A196&lt;'Pool &amp; SPA Pipe Extender'!$A$11,VLOOKUP($A196,'Pool &amp; SPA Pipe Extender'!$A$8:$M$10,11,FALSE),
IF($A196&lt;'PVC SCH80'!$A$250,VLOOKUP($A196,'PVC SCH80'!$A$8:$M$249,11,FALSE),
IF($A196&lt;'PVC SCH80 Flange'!$A$49,VLOOKUP($A196,'PVC SCH80 Flange'!$A$8:$M$48,11,FALSE),
IF($A196&lt;'PVC SCH80 LD Flange'!$A$17,VLOOKUP($A196,'PVC SCH80 LD Flange'!$A$8:$M$16,11,FALSE),
IF($A196&lt;CPVC!$A$100,VLOOKUP($A196,CPVC!$A$8:$M$99,11,FALSE),
IF($A196&lt;InsertFittings!$A$237,VLOOKUP($A196,InsertFittings!$A$11:$M$236,11,FALSE),
IF($A196&lt;Valves!$A$132,VLOOKUP($A196,Valves!$A$8:$M$131,11,FALSE),
IF($A196&lt;SDR35SW!$A$124,VLOOKUP($A196,SDR35SW!$A$8:$M$123,11,FALSE),
IF($A196&lt;SDR35G!$A$143,VLOOKUP($A196, SDR35G!$A$8:$M$142,11,FALSE),
IF($A196&lt;SDR26G!$A$61,VLOOKUP($A196,SDR26G!$A$8:$N$60,12,FALSE),
IF($A196&lt;Cements!$A$100,VLOOKUP($A196,Cements!$A$8:$Q$99,15,FALSE),
IF($A196&lt;ValveBox!$A$143,VLOOKUP($A196,ValveBox!$A$10:$O$142,13,FALSE),
IF($A196&lt;'ValveBox Components'!$A$165,VLOOKUP($A196,'ValveBox Components'!$A$10:$O$164,13,FALSE),
IF($A196&lt;Drainage!$A$92,VLOOKUP($A196,Drainage!$A$8:$M$91,11,FALSE),
IF($A196&lt;Nipples!$A$82,VLOOKUP($A196,Nipples!$A$9:$Q$81,15,FALSE),
IF($A196&lt;Manifold!$A$33,VLOOKUP($A196,Manifold!$A$9:$M$32,11,FALSE),
IF($A196&lt;FlexibleRepairCouplings!$A$13,VLOOKUP($A196,FlexibleRepairCouplings!$A$10:$M$12,11,FALSE),
IF($A196&lt;DuraFix!$A$15,VLOOKUP($A196,DuraFix!$A$9:$M$14,11,FALSE),
IF($A196&lt;'Compression Fittings'!$A$16,VLOOKUP($A196,'Compression Fittings'!$A$8:$M$15,11,FALSE),
IF($A196&lt;'Hose Fittings'!$A$30,VLOOKUP($A196,'Hose Fittings'!$A$8:$M$29,11,FALSE),
IF($A196&lt;'Swing Joints'!$A$496,VLOOKUP($A196,'Swing Joints'!$A$9:$M$495,11,FALSE),
IF($A196&lt;'Swing Joints Components'!$A$135,VLOOKUP($A196,'Swing Joints Components'!$A$9:$M$134,11,FALSE),
IF($A196&lt;Nonstandard!$A$42,VLOOKUP($A196,Nonstandard!$A$31:$J$41,3,FALSE),"")))))))))))))))))))))))))))),"")</f>
        <v/>
      </c>
      <c r="H196" s="588" t="str">
        <f>IFERROR(IF($A196&lt;'DWV PVC'!$A$285,VLOOKUP($A196,'DWV PVC'!$A$8:$M$284,7,FALSE),
IF($A196&lt;'DWV ABS'!$A$117,VLOOKUP($A196,'DWV ABS'!$A$8:$M$116,7,FALSE),
IF($A196&lt;'PVC SCH40'!$A$376,VLOOKUP($A196,'PVC SCH40'!$A$8:$M$375,7,FALSE),
IF($A196&lt;'PVC SCH40 LD'!$A$22,VLOOKUP($A196,'PVC SCH40 LD'!$A$8:$M$21,7,FALSE),
IF($A196&lt;'Pool &amp; SPA Sweep Elbows'!$A$12,VLOOKUP($A196,'Pool &amp; SPA Sweep Elbows'!$A$8:$M$11,7,FALSE),
IF($A196&lt;'Pool &amp; SPA Pipe Extender'!$A$11,VLOOKUP($A196,'Pool &amp; SPA Pipe Extender'!$A$8:$M$10,7,FALSE),
IF($A196&lt;'PVC SCH80'!$A$250,VLOOKUP($A196,'PVC SCH80'!$A$8:$M$249,7,FALSE),
IF($A196&lt;'PVC SCH80 Flange'!$A$49,VLOOKUP($A196,'PVC SCH80 Flange'!$A$8:$M$48,7,FALSE),
IF($A196&lt;'PVC SCH80 LD Flange'!$A$17,VLOOKUP($A196,'PVC SCH80 LD Flange'!$A$8:$M$16,7,FALSE),
IF($A196&lt;CPVC!$A$100,VLOOKUP($A196,CPVC!$A$8:$M$99,7,FALSE),
IF($A196&lt;InsertFittings!$A$237,VLOOKUP($A196,InsertFittings!$A$11:$M$236,7,FALSE),
IF($A196&lt;Valves!$A$132,VLOOKUP($A196,Valves!$A$8:$M$131,7,FALSE),
IF($A196&lt;SDR35SW!$A$124,VLOOKUP($A196,SDR35SW!$A$8:$M$123,7,FALSE),
IF($A196&lt;SDR35G!$A$143,VLOOKUP($A196, SDR35G!$A$8:$M$142,7,FALSE),
IF($A196&lt;SDR26G!$A$61,VLOOKUP($A196,SDR26G!$A$8:$N$60,10,FALSE),
IF($A196&lt;Cements!$A$100,VLOOKUP($A196,Cements!$A$8:$Q$99,13,FALSE),
IF($A196&lt;ValveBox!$A$143,VLOOKUP($A196,ValveBox!$A$10:$O$142,11,FALSE),
IF($A196&lt;'ValveBox Components'!$A$165,VLOOKUP($A196,'ValveBox Components'!$A$10:$O$164,11,FALSE),
IF($A196&lt;Drainage!$A$92,VLOOKUP($A196,Drainage!$A$8:$M$91,7,FALSE),
IF($A196&lt;Nipples!$A$82,VLOOKUP($A196,Nipples!$A$9:$Q$81,13,FALSE),
IF($A196&lt;Manifold!$A$33,VLOOKUP($A196,Manifold!$A$9:$M$32,7,FALSE),
IF($A196&lt;FlexibleRepairCouplings!$A$13,VLOOKUP($A196,FlexibleRepairCouplings!$A$10:$M$12,7,FALSE),
IF($A196&lt;DuraFix!$A$15,VLOOKUP($A196,DuraFix!$A$9:$M$14,7,FALSE),
IF($A196&lt;'Compression Fittings'!$A$16,VLOOKUP($A196,'Compression Fittings'!$A$8:$M$15,7,FALSE),
IF($A196&lt;'Hose Fittings'!$A$30,VLOOKUP($A196,'Hose Fittings'!$A$8:$M$29,7,FALSE),
IF($A196&lt;'Swing Joints'!$A$496,VLOOKUP($A196,'Swing Joints'!$A$9:$M$495,7,FALSE),
IF($A196&lt;'Swing Joints Components'!$A$135,VLOOKUP($A196,'Swing Joints Components'!$A$9:$M$134,7,FALSE),
IF($A196&lt;Nonstandard!$A$42,VLOOKUP($A196,Nonstandard!$A$31:$J$41,3,FALSE),"")))))))))))))))))))))))))))),"")</f>
        <v/>
      </c>
      <c r="I196" s="589"/>
      <c r="J196" s="423" t="str">
        <f t="shared" si="5"/>
        <v/>
      </c>
      <c r="K196" s="424" t="str">
        <f>IFERROR(IF($A196&lt;'DWV PVC'!$A$285,VLOOKUP($A196,'DWV PVC'!$A$8:$M$284,10,FALSE),
IF($A196&lt;'DWV ABS'!$A$117,VLOOKUP($A196,'DWV ABS'!$A$8:$M$116,10,FALSE),
IF($A196&lt;'PVC SCH40'!$A$376,VLOOKUP($A196,'PVC SCH40'!$A$8:$M$375,10,FALSE),
IF($A196&lt;'PVC SCH40 LD'!$A$22,VLOOKUP($A196,'PVC SCH40 LD'!$A$8:$M$21,10,FALSE),
IF($A196&lt;'Pool &amp; SPA Sweep Elbows'!$A$12,VLOOKUP($A196,'Pool &amp; SPA Sweep Elbows'!$A$8:$M$11,10,FALSE),
IF($A196&lt;'Pool &amp; SPA Pipe Extender'!$A$11,VLOOKUP($A196,'Pool &amp; SPA Pipe Extender'!$A$8:$M$10,10,FALSE),
IF($A196&lt;'PVC SCH80'!$A$250,VLOOKUP($A196,'PVC SCH80'!$A$8:$M$249,10,FALSE),
IF($A196&lt;'PVC SCH80 Flange'!$A$49,VLOOKUP($A196,'PVC SCH80 Flange'!$A$8:$M$48,10,FALSE),
IF($A196&lt;'PVC SCH80 LD Flange'!$A$17,VLOOKUP($A196,'PVC SCH80 LD Flange'!$A$8:$M$16,10,FALSE),
IF($A196&lt;CPVC!$A$100,VLOOKUP($A196,CPVC!$A$8:$M$99,10,FALSE),
IF($A196&lt;InsertFittings!$A$237,VLOOKUP($A196,InsertFittings!$A$11:$M$236,10,FALSE),
IF($A196&lt;Valves!$A$132,VLOOKUP($A196,Valves!$A$8:$M$131,10,FALSE),
IF($A196&lt;SDR35SW!$A$124,VLOOKUP($A196,SDR35SW!$A$8:$M$123,10,FALSE),
IF($A196&lt;SDR35G!$A$143,VLOOKUP($A196, SDR35G!$A$8:$M$142,10,FALSE),
IF($A196&lt;SDR26G!$A$61,VLOOKUP($A196,SDR26G!$A$8:$N$60,11,FALSE),
IF($A196&lt;Cements!$A$100,VLOOKUP($A196,Cements!$A$8:$Q$99,14,FALSE),
IF($A196&lt;ValveBox!$A$143,VLOOKUP($A196,ValveBox!$A$10:$O$142,12,FALSE),
IF($A196&lt;'ValveBox Components'!$A$165,VLOOKUP($A196,'ValveBox Components'!$A$10:$O$164,12,FALSE),
IF($A196&lt;Drainage!$A$92,VLOOKUP($A196,Drainage!$A$8:$M$91,10,FALSE),
IF($A196&lt;Nipples!$A$82,VLOOKUP($A196,Nipples!$A$9:$Q$81,14,FALSE),
IF($A196&lt;Manifold!$A$33,VLOOKUP($A196,Manifold!$A$9:$M$32,10,FALSE),
IF($A196&lt;FlexibleRepairCouplings!$A$13,VLOOKUP($A196,FlexibleRepairCouplings!$A$10:$M$12,10,FALSE),
IF($A196&lt;DuraFix!$A$15,VLOOKUP($A196,DuraFix!$A$9:$M$14,10,FALSE),
IF($A196&lt;'Compression Fittings'!$A$16,VLOOKUP($A196,'Compression Fittings'!$A$8:$M$15,10,FALSE),
IF($A196&lt;'Hose Fittings'!$A$30,VLOOKUP($A196,'Hose Fittings'!$A$8:$M$29,10,FALSE),
IF($A196&lt;'Swing Joints'!$A$496,VLOOKUP($A196,'Swing Joints'!$A$9:$M$495,10,FALSE),
IF($A196&lt;'Swing Joints Components'!$A$135,VLOOKUP($A196,'Swing Joints Components'!$A$9:$M$134,10,FALSE),
IF($A196&lt;Nonstandard!$A$42,VLOOKUP($A196,Nonstandard!$A$31:$J$41,10,FALSE),"")))))))))))))))))))))))))))),"")</f>
        <v/>
      </c>
      <c r="L196" s="421" t="str">
        <f t="shared" si="4"/>
        <v>-</v>
      </c>
      <c r="M196" s="425"/>
    </row>
    <row r="197" spans="1:13" ht="15.75">
      <c r="A197" s="415">
        <v>165</v>
      </c>
      <c r="B197" s="415" t="str">
        <f>IFERROR(IF($A197&lt;'DWV PVC'!$A$285,VLOOKUP($A197,'DWV PVC'!$A$8:$M$284,4,FALSE),
IF($A197&lt;'DWV ABS'!$A$117,VLOOKUP($A197,'DWV ABS'!$A$8:$M$116,4,FALSE),
IF($A197&lt;'PVC SCH40'!$A$376,VLOOKUP($A197,'PVC SCH40'!$A$8:$M$375,4,FALSE),
IF($A197&lt;'PVC SCH40 LD'!$A$22,VLOOKUP($A197,'PVC SCH40 LD'!$A$8:$M$21,4,FALSE),
IF($A197&lt;'Pool &amp; SPA Sweep Elbows'!$A$12,VLOOKUP($A197,'Pool &amp; SPA Sweep Elbows'!$A$8:$M$11,4,FALSE),
IF($A197&lt;'Pool &amp; SPA Pipe Extender'!$A$11,VLOOKUP($A197,'Pool &amp; SPA Pipe Extender'!$A$8:$M$10,4,FALSE),
IF($A197&lt;'PVC SCH80'!$A$250,VLOOKUP($A197,'PVC SCH80'!$A$8:$M$249,4,FALSE),
IF($A197&lt;'PVC SCH80 Flange'!$A$49,VLOOKUP($A197,'PVC SCH80 Flange'!$A$8:$M$48,4,FALSE),
IF($A197&lt;'PVC SCH80 LD Flange'!$A$17,VLOOKUP($A197,'PVC SCH80 LD Flange'!$A$8:$M$16,4,FALSE),
IF($A197&lt;CPVC!$A$100,VLOOKUP($A197,CPVC!$A$8:$M$99,4,FALSE),
IF($A197&lt;InsertFittings!$A$237,VLOOKUP($A197,InsertFittings!$A$11:$M$236,4,FALSE),
IF($A197&lt;Valves!$A$132,VLOOKUP($A197,Valves!$A$8:$M$131,4,FALSE),
IF($A197&lt;SDR35SW!$A$124,VLOOKUP($A197,SDR35SW!$A$8:$M$123,4,FALSE),
IF($A197&lt;SDR35G!$A$143,VLOOKUP($A197, SDR35G!$A$8:$M$142,4,FALSE),
IF($A197&lt;SDR26G!$A$61,VLOOKUP($A197,SDR26G!$A$8:$N$60,4,FALSE),
IF($A197&lt;Cements!$A$100,VLOOKUP($A197,Cements!$A$8:$Q$99,4,FALSE),
IF($A197&lt;ValveBox!$A$143,VLOOKUP($A197,ValveBox!$A$10:$O$142,4,FALSE),
IF($A197&lt;'ValveBox Components'!$A$165,VLOOKUP($A197,'ValveBox Components'!$A$10:$O$164,4,FALSE),
IF($A197&lt;Drainage!$A$92,VLOOKUP($A197,Drainage!$A$8:$M$91,4,FALSE),
IF($A197&lt;Nipples!$A$82,VLOOKUP($A197,Nipples!$A$9:$Q$81,4,FALSE),
IF($A197&lt;Manifold!$A$33,VLOOKUP($A197,Manifold!$A$9:$M$32,4,FALSE),
IF($A197&lt;FlexibleRepairCouplings!$A$13,VLOOKUP($A197,FlexibleRepairCouplings!$A$10:$M$12,4,FALSE),
IF($A197&lt;DuraFix!$A$15,VLOOKUP($A197,DuraFix!$A$9:$M$14,4,FALSE),
IF($A197&lt;'Compression Fittings'!$A$16,VLOOKUP($A197,'Compression Fittings'!$A$8:$M$15,4,FALSE),
IF($A197&lt;'Hose Fittings'!$A$30,VLOOKUP($A197,'Hose Fittings'!$A$8:$M$29,4,FALSE),
IF($A197&lt;'Swing Joints'!$A$496,VLOOKUP($A197,'Swing Joints'!$A$9:$M$495,4,FALSE),
IF($A197&lt;'Swing Joints Components'!$A$135,VLOOKUP($A197,'Swing Joints Components'!$A$9:$M$134,4,FALSE),
IF($A197&lt;Nonstandard!$A$42,VLOOKUP($A197,Nonstandard!$A$31:$J$41,5,FALSE),"")))))))))))))))))))))))))))),"")</f>
        <v/>
      </c>
      <c r="C197" s="415" t="str">
        <f>IFERROR(IF($A197&lt;'DWV PVC'!$A$285,VLOOKUP($A197,'DWV PVC'!$A$8:$M$284,5,FALSE),
IF($A197&lt;'DWV ABS'!$A$117,VLOOKUP($A197,'DWV ABS'!$A$8:$M$116,5,FALSE),
IF($A197&lt;'PVC SCH40'!$A$376,VLOOKUP($A197,'PVC SCH40'!$A$8:$M$375,5,FALSE),
IF($A197&lt;'PVC SCH40 LD'!$A$22,VLOOKUP($A197,'PVC SCH40 LD'!$A$8:$M$21,5,FALSE),
IF($A197&lt;'Pool &amp; SPA Sweep Elbows'!$A$12,VLOOKUP($A197,'Pool &amp; SPA Sweep Elbows'!$A$8:$M$11,5,FALSE),
IF($A197&lt;'Pool &amp; SPA Pipe Extender'!$A$11,VLOOKUP($A197,'Pool &amp; SPA Pipe Extender'!$A$8:$M$10,5,FALSE),
IF($A197&lt;'PVC SCH80'!$A$250,VLOOKUP($A197,'PVC SCH80'!$A$8:$M$249,5,FALSE),
IF($A197&lt;'PVC SCH80 Flange'!$A$49,VLOOKUP($A197,'PVC SCH80 Flange'!$A$8:$M$48,5,FALSE),
IF($A197&lt;'PVC SCH80 LD Flange'!$A$17,VLOOKUP($A197,'PVC SCH80 LD Flange'!$A$8:$M$16,5,FALSE),
IF($A197&lt;CPVC!$A$100,VLOOKUP($A197,CPVC!$A$8:$M$99,5,FALSE),
IF($A197&lt;InsertFittings!$A$237,VLOOKUP($A197,InsertFittings!$A$11:$M$236,5,FALSE),
IF($A197&lt;Valves!$A$132,VLOOKUP($A197,Valves!$A$8:$M$131,5,FALSE),
IF($A197&lt;SDR35SW!$A$124,VLOOKUP($A197,SDR35SW!$A$8:$M$123,5,FALSE),
IF($A197&lt;SDR35G!$A$143,VLOOKUP($A197, SDR35G!$A$8:$M$142,5,FALSE),
IF($A197&lt;SDR26G!$A$61,VLOOKUP($A197,SDR26G!$A$8:$N$60,5,FALSE),
IF($A197&lt;Cements!$A$100,VLOOKUP($A197,Cements!$A$8:$Q$99,5,FALSE),
IF($A197&lt;ValveBox!$A$143,VLOOKUP($A197,ValveBox!$A$10:$O$142,5,FALSE),
IF($A197&lt;'ValveBox Components'!$A$165,VLOOKUP($A197,'ValveBox Components'!$A$10:$O$164,5,FALSE),
IF($A197&lt;Drainage!$A$92,VLOOKUP($A197,Drainage!$A$8:$M$91,5,FALSE),
IF($A197&lt;Nipples!$A$82,VLOOKUP($A197,Nipples!$A$9:$Q$81,5,FALSE),
IF($A197&lt;Manifold!$A$33,VLOOKUP($A197,Manifold!$A$9:$M$32,5,FALSE),
IF($A197&lt;FlexibleRepairCouplings!$A$13,VLOOKUP($A197,FlexibleRepairCouplings!$A$10:$M$12,5,FALSE),
IF($A197&lt;DuraFix!$A$15,VLOOKUP($A197,DuraFix!$A$9:$M$14,5,FALSE),
IF($A197&lt;'Compression Fittings'!$A$16,VLOOKUP($A197,'Compression Fittings'!$A$8:$M$15,5,FALSE),
IF($A197&lt;'Hose Fittings'!$A$30,VLOOKUP($A197,'Hose Fittings'!$A$8:$M$29,5,FALSE),
IF($A197&lt;'Swing Joints'!$A$496,VLOOKUP($A197,'Swing Joints'!$A$9:$M$495,5,FALSE),
IF($A197&lt;'Swing Joints Components'!$A$135,VLOOKUP($A197,'Swing Joints Components'!$A$9:$M$134,5,FALSE),
IF($A197&lt;Nonstandard!$A$42,VLOOKUP($A197,Nonstandard!$A$31:$J$41,6,FALSE),"")))))))))))))))))))))))))))),"")</f>
        <v/>
      </c>
      <c r="D197" s="426" t="str">
        <f>IFERROR(IF($A197&lt;'DWV PVC'!$A$285,VLOOKUP($A197,'DWV PVC'!$A$8:$M$284,6,FALSE),
IF($A197&lt;'DWV ABS'!$A$117,VLOOKUP($A197,'DWV ABS'!$A$8:$M$116,6,FALSE),
IF($A197&lt;'PVC SCH40'!$A$376,VLOOKUP($A197,'PVC SCH40'!$A$8:$M$375,6,FALSE),
IF($A197&lt;'PVC SCH40 LD'!$A$22,VLOOKUP($A197,'PVC SCH40 LD'!$A$8:$M$21,6,FALSE),
IF($A197&lt;'Pool &amp; SPA Sweep Elbows'!$A$12,VLOOKUP($A197,'Pool &amp; SPA Sweep Elbows'!$A$8:$M$11,6,FALSE),
IF($A197&lt;'Pool &amp; SPA Pipe Extender'!$A$11,VLOOKUP($A197,'Pool &amp; SPA Pipe Extender'!$A$8:$M$10,6,FALSE),
IF($A197&lt;'PVC SCH80'!$A$250,VLOOKUP($A197,'PVC SCH80'!$A$8:$M$249,6,FALSE),
IF($A197&lt;'PVC SCH80 Flange'!$A$49,VLOOKUP($A197,'PVC SCH80 Flange'!$A$8:$M$48,6,FALSE),
IF($A197&lt;'PVC SCH80 LD Flange'!$A$17,VLOOKUP($A197,'PVC SCH80 LD Flange'!$A$8:$M$16,6,FALSE),
IF($A197&lt;CPVC!$A$100,VLOOKUP($A197,CPVC!$A$8:$M$99,6,FALSE),
IF($A197&lt;InsertFittings!$A$237,VLOOKUP($A197,InsertFittings!$A$11:$M$236,6,FALSE),
IF($A197&lt;Valves!$A$132,VLOOKUP($A197,Valves!$A$8:$M$131,6,FALSE),
IF($A197&lt;SDR35SW!$A$124,VLOOKUP($A197,SDR35SW!$A$8:$M$123,6,FALSE),
IF($A197&lt;SDR35G!$A$143,VLOOKUP($A197, SDR35G!$A$8:$M$142,6,FALSE),
IF($A197&lt;SDR26G!$A$61,VLOOKUP($A197,SDR26G!$A$8:$N$60,6,FALSE),
IF($A197&lt;Cements!$A$100,VLOOKUP($A197,Cements!$A$8:$Q$99,6,FALSE),
IF($A197&lt;ValveBox!$A$143,VLOOKUP($A197,ValveBox!$A$10:$O$142,6,FALSE),
IF($A197&lt;'ValveBox Components'!$A$165,VLOOKUP($A197,'ValveBox Components'!$A$10:$O$164,6,FALSE),
IF($A197&lt;Drainage!$A$92,VLOOKUP($A197,Drainage!$A$8:$M$91,6,FALSE),
IF($A197&lt;Nipples!$A$82,VLOOKUP($A197,Nipples!$A$9:$Q$81,6,FALSE),
IF($A197&lt;Manifold!$A$33,VLOOKUP($A197,Manifold!$A$9:$M$32,6,FALSE),
IF($A197&lt;FlexibleRepairCouplings!$A$13,VLOOKUP($A197,FlexibleRepairCouplings!$A$10:$M$12,6,FALSE),
IF($A197&lt;DuraFix!$A$15,VLOOKUP($A197,DuraFix!$A$9:$M$14,6,FALSE),
IF($A197&lt;'Compression Fittings'!$A$16,VLOOKUP($A197,'Compression Fittings'!$A$8:$M$15,6,FALSE),
IF($A197&lt;'Hose Fittings'!$A$30,VLOOKUP($A197,'Hose Fittings'!$A$8:$M$29,6,FALSE),
IF($A197&lt;'Swing Joints'!$A$496,VLOOKUP($A197,'Swing Joints'!$A$9:$M$495,6,FALSE),
IF($A197&lt;'Swing Joints Components'!$A$135,VLOOKUP($A197,'Swing Joints Components'!$A$9:$M$134,6,FALSE),
IF($A197&lt;Nonstandard!$A$42,VLOOKUP($A197,Nonstandard!$A$31:$J$41,7,FALSE),"")))))))))))))))))))))))))))),"")</f>
        <v/>
      </c>
      <c r="E197" s="427"/>
      <c r="F197" s="418" t="str">
        <f>IFERROR(IF($A197&lt;'DWV PVC'!$A$285,VLOOKUP($A197,'DWV PVC'!$A$8:$M$284,9,FALSE),
IF($A197&lt;'DWV ABS'!$A$117,VLOOKUP($A197,'DWV ABS'!$A$8:$M$116,9,FALSE),
IF($A197&lt;'PVC SCH40'!$A$376,VLOOKUP($A197,'PVC SCH40'!$A$8:$M$375,9,FALSE),
IF($A197&lt;'PVC SCH40 LD'!$A$22,VLOOKUP($A197,'PVC SCH40 LD'!$A$8:$M$21,9,FALSE),
IF($A197&lt;'Pool &amp; SPA Sweep Elbows'!$A$12,VLOOKUP($A197,'Pool &amp; SPA Sweep Elbows'!$A$8:$M$11,9,FALSE),
IF($A197&lt;'Pool &amp; SPA Pipe Extender'!$A$11,VLOOKUP($A197,'Pool &amp; SPA Pipe Extender'!$A$8:$M$10,9,FALSE),
IF($A197&lt;'PVC SCH80'!$A$250,VLOOKUP($A197,'PVC SCH80'!$A$8:$M$249,9,FALSE),
IF($A197&lt;'PVC SCH80 Flange'!$A$49,VLOOKUP($A197,'PVC SCH80 Flange'!$A$8:$M$48,9,FALSE),
IF($A197&lt;'PVC SCH80 LD Flange'!$A$17,VLOOKUP($A197,'PVC SCH80 LD Flange'!$A$8:$M$16,9,FALSE),
IF($A197&lt;CPVC!$A$100,VLOOKUP($A197,CPVC!$A$8:$M$99,9,FALSE),
IF($A197&lt;InsertFittings!$A$237,VLOOKUP($A197,InsertFittings!$A$11:$M$236,9,FALSE),
IF($A197&lt;Valves!$A$132,VLOOKUP($A197,Valves!$A$8:$M$131,9,FALSE),
IF($A197&lt;SDR35SW!$A$124,VLOOKUP($A197,SDR35SW!$A$8:$M$123,9,FALSE),
IF($A197&lt;SDR35G!$A$143,VLOOKUP($A197, SDR35G!$A$8:$M$142,9,FALSE),
IF($A197&lt;SDR26G!$A$61,VLOOKUP($A197,SDR26G!$A$8:$N$60,10,FALSE),
IF($A197&lt;Cements!$A$100,VLOOKUP($A197,Cements!$A$8:$Q$99,13,FALSE),
IF($A197&lt;ValveBox!$A$143,VLOOKUP($A197,ValveBox!$A$10:$O$142,11,FALSE),
IF($A197&lt;'ValveBox Components'!$A$165,VLOOKUP($A197,'ValveBox Components'!$A$10:$O$164,11,FALSE),
IF($A197&lt;Drainage!$A$92,VLOOKUP($A197,Drainage!$A$8:$M$91,9,FALSE),
IF($A197&lt;Nipples!$A$82,VLOOKUP($A197,Nipples!$A$9:$Q$81,13,FALSE),
IF($A197&lt;Manifold!$A$33,VLOOKUP($A197,Manifold!$A$9:$M$32,9,FALSE),
IF($A197&lt;FlexibleRepairCouplings!$A$13,VLOOKUP($A197,FlexibleRepairCouplings!$A$10:$M$12,9,FALSE),
IF($A197&lt;DuraFix!$A$15,VLOOKUP($A197,DuraFix!$A$9:$M$14,9,FALSE),
IF($A197&lt;'Compression Fittings'!$A$16,VLOOKUP($A197,'Compression Fittings'!$A$8:$M$15,9,FALSE),
IF($A197&lt;'Hose Fittings'!$A$30,VLOOKUP($A197,'Hose Fittings'!$A$8:$M$29,9,FALSE),
IF($A197&lt;'Swing Joints'!$A$496,VLOOKUP($A197,'Swing Joints'!$A$9:$M$495,9,FALSE),
IF($A197&lt;'Swing Joints Components'!$A$135,VLOOKUP($A197,'Swing Joints Components'!$A$9:$M$134,9,FALSE),
IF($A197&lt;Nonstandard!$A$42,VLOOKUP($A197,Nonstandard!$A$31:$J$41,8,FALSE),"")))))))))))))))))))))))))))),"")</f>
        <v/>
      </c>
      <c r="G197" s="416" t="str">
        <f>IFERROR(IF($A197&lt;'DWV PVC'!$A$285,VLOOKUP($A197,'DWV PVC'!$A$8:$M$284,11,FALSE),
IF($A197&lt;'DWV ABS'!$A$117,VLOOKUP($A197,'DWV ABS'!$A$8:$M$116,11,FALSE),
IF($A197&lt;'PVC SCH40'!$A$376,VLOOKUP($A197,'PVC SCH40'!$A$8:$M$375,11,FALSE),
IF($A197&lt;'PVC SCH40 LD'!$A$22,VLOOKUP($A197,'PVC SCH40 LD'!$A$8:$M$21,11,FALSE),
IF($A197&lt;'Pool &amp; SPA Sweep Elbows'!$A$12,VLOOKUP($A197,'Pool &amp; SPA Sweep Elbows'!$A$8:$M$11,11,FALSE),
IF($A197&lt;'Pool &amp; SPA Pipe Extender'!$A$11,VLOOKUP($A197,'Pool &amp; SPA Pipe Extender'!$A$8:$M$10,11,FALSE),
IF($A197&lt;'PVC SCH80'!$A$250,VLOOKUP($A197,'PVC SCH80'!$A$8:$M$249,11,FALSE),
IF($A197&lt;'PVC SCH80 Flange'!$A$49,VLOOKUP($A197,'PVC SCH80 Flange'!$A$8:$M$48,11,FALSE),
IF($A197&lt;'PVC SCH80 LD Flange'!$A$17,VLOOKUP($A197,'PVC SCH80 LD Flange'!$A$8:$M$16,11,FALSE),
IF($A197&lt;CPVC!$A$100,VLOOKUP($A197,CPVC!$A$8:$M$99,11,FALSE),
IF($A197&lt;InsertFittings!$A$237,VLOOKUP($A197,InsertFittings!$A$11:$M$236,11,FALSE),
IF($A197&lt;Valves!$A$132,VLOOKUP($A197,Valves!$A$8:$M$131,11,FALSE),
IF($A197&lt;SDR35SW!$A$124,VLOOKUP($A197,SDR35SW!$A$8:$M$123,11,FALSE),
IF($A197&lt;SDR35G!$A$143,VLOOKUP($A197, SDR35G!$A$8:$M$142,11,FALSE),
IF($A197&lt;SDR26G!$A$61,VLOOKUP($A197,SDR26G!$A$8:$N$60,12,FALSE),
IF($A197&lt;Cements!$A$100,VLOOKUP($A197,Cements!$A$8:$Q$99,15,FALSE),
IF($A197&lt;ValveBox!$A$143,VLOOKUP($A197,ValveBox!$A$10:$O$142,13,FALSE),
IF($A197&lt;'ValveBox Components'!$A$165,VLOOKUP($A197,'ValveBox Components'!$A$10:$O$164,13,FALSE),
IF($A197&lt;Drainage!$A$92,VLOOKUP($A197,Drainage!$A$8:$M$91,11,FALSE),
IF($A197&lt;Nipples!$A$82,VLOOKUP($A197,Nipples!$A$9:$Q$81,15,FALSE),
IF($A197&lt;Manifold!$A$33,VLOOKUP($A197,Manifold!$A$9:$M$32,11,FALSE),
IF($A197&lt;FlexibleRepairCouplings!$A$13,VLOOKUP($A197,FlexibleRepairCouplings!$A$10:$M$12,11,FALSE),
IF($A197&lt;DuraFix!$A$15,VLOOKUP($A197,DuraFix!$A$9:$M$14,11,FALSE),
IF($A197&lt;'Compression Fittings'!$A$16,VLOOKUP($A197,'Compression Fittings'!$A$8:$M$15,11,FALSE),
IF($A197&lt;'Hose Fittings'!$A$30,VLOOKUP($A197,'Hose Fittings'!$A$8:$M$29,11,FALSE),
IF($A197&lt;'Swing Joints'!$A$496,VLOOKUP($A197,'Swing Joints'!$A$9:$M$495,11,FALSE),
IF($A197&lt;'Swing Joints Components'!$A$135,VLOOKUP($A197,'Swing Joints Components'!$A$9:$M$134,11,FALSE),
IF($A197&lt;Nonstandard!$A$42,VLOOKUP($A197,Nonstandard!$A$31:$J$41,3,FALSE),"")))))))))))))))))))))))))))),"")</f>
        <v/>
      </c>
      <c r="H197" s="586" t="str">
        <f>IFERROR(IF($A197&lt;'DWV PVC'!$A$285,VLOOKUP($A197,'DWV PVC'!$A$8:$M$284,7,FALSE),
IF($A197&lt;'DWV ABS'!$A$117,VLOOKUP($A197,'DWV ABS'!$A$8:$M$116,7,FALSE),
IF($A197&lt;'PVC SCH40'!$A$376,VLOOKUP($A197,'PVC SCH40'!$A$8:$M$375,7,FALSE),
IF($A197&lt;'PVC SCH40 LD'!$A$22,VLOOKUP($A197,'PVC SCH40 LD'!$A$8:$M$21,7,FALSE),
IF($A197&lt;'Pool &amp; SPA Sweep Elbows'!$A$12,VLOOKUP($A197,'Pool &amp; SPA Sweep Elbows'!$A$8:$M$11,7,FALSE),
IF($A197&lt;'Pool &amp; SPA Pipe Extender'!$A$11,VLOOKUP($A197,'Pool &amp; SPA Pipe Extender'!$A$8:$M$10,7,FALSE),
IF($A197&lt;'PVC SCH80'!$A$250,VLOOKUP($A197,'PVC SCH80'!$A$8:$M$249,7,FALSE),
IF($A197&lt;'PVC SCH80 Flange'!$A$49,VLOOKUP($A197,'PVC SCH80 Flange'!$A$8:$M$48,7,FALSE),
IF($A197&lt;'PVC SCH80 LD Flange'!$A$17,VLOOKUP($A197,'PVC SCH80 LD Flange'!$A$8:$M$16,7,FALSE),
IF($A197&lt;CPVC!$A$100,VLOOKUP($A197,CPVC!$A$8:$M$99,7,FALSE),
IF($A197&lt;InsertFittings!$A$237,VLOOKUP($A197,InsertFittings!$A$11:$M$236,7,FALSE),
IF($A197&lt;Valves!$A$132,VLOOKUP($A197,Valves!$A$8:$M$131,7,FALSE),
IF($A197&lt;SDR35SW!$A$124,VLOOKUP($A197,SDR35SW!$A$8:$M$123,7,FALSE),
IF($A197&lt;SDR35G!$A$143,VLOOKUP($A197, SDR35G!$A$8:$M$142,7,FALSE),
IF($A197&lt;SDR26G!$A$61,VLOOKUP($A197,SDR26G!$A$8:$N$60,10,FALSE),
IF($A197&lt;Cements!$A$100,VLOOKUP($A197,Cements!$A$8:$Q$99,13,FALSE),
IF($A197&lt;ValveBox!$A$143,VLOOKUP($A197,ValveBox!$A$10:$O$142,11,FALSE),
IF($A197&lt;'ValveBox Components'!$A$165,VLOOKUP($A197,'ValveBox Components'!$A$10:$O$164,11,FALSE),
IF($A197&lt;Drainage!$A$92,VLOOKUP($A197,Drainage!$A$8:$M$91,7,FALSE),
IF($A197&lt;Nipples!$A$82,VLOOKUP($A197,Nipples!$A$9:$Q$81,13,FALSE),
IF($A197&lt;Manifold!$A$33,VLOOKUP($A197,Manifold!$A$9:$M$32,7,FALSE),
IF($A197&lt;FlexibleRepairCouplings!$A$13,VLOOKUP($A197,FlexibleRepairCouplings!$A$10:$M$12,7,FALSE),
IF($A197&lt;DuraFix!$A$15,VLOOKUP($A197,DuraFix!$A$9:$M$14,7,FALSE),
IF($A197&lt;'Compression Fittings'!$A$16,VLOOKUP($A197,'Compression Fittings'!$A$8:$M$15,7,FALSE),
IF($A197&lt;'Hose Fittings'!$A$30,VLOOKUP($A197,'Hose Fittings'!$A$8:$M$29,7,FALSE),
IF($A197&lt;'Swing Joints'!$A$496,VLOOKUP($A197,'Swing Joints'!$A$9:$M$495,7,FALSE),
IF($A197&lt;'Swing Joints Components'!$A$135,VLOOKUP($A197,'Swing Joints Components'!$A$9:$M$134,7,FALSE),
IF($A197&lt;Nonstandard!$A$42,VLOOKUP($A197,Nonstandard!$A$31:$J$41,3,FALSE),"")))))))))))))))))))))))))))),"")</f>
        <v/>
      </c>
      <c r="I197" s="587"/>
      <c r="J197" s="383" t="str">
        <f t="shared" si="5"/>
        <v/>
      </c>
      <c r="K197" s="417" t="str">
        <f>IFERROR(IF($A197&lt;'DWV PVC'!$A$285,VLOOKUP($A197,'DWV PVC'!$A$8:$M$284,10,FALSE),
IF($A197&lt;'DWV ABS'!$A$117,VLOOKUP($A197,'DWV ABS'!$A$8:$M$116,10,FALSE),
IF($A197&lt;'PVC SCH40'!$A$376,VLOOKUP($A197,'PVC SCH40'!$A$8:$M$375,10,FALSE),
IF($A197&lt;'PVC SCH40 LD'!$A$22,VLOOKUP($A197,'PVC SCH40 LD'!$A$8:$M$21,10,FALSE),
IF($A197&lt;'Pool &amp; SPA Sweep Elbows'!$A$12,VLOOKUP($A197,'Pool &amp; SPA Sweep Elbows'!$A$8:$M$11,10,FALSE),
IF($A197&lt;'Pool &amp; SPA Pipe Extender'!$A$11,VLOOKUP($A197,'Pool &amp; SPA Pipe Extender'!$A$8:$M$10,10,FALSE),
IF($A197&lt;'PVC SCH80'!$A$250,VLOOKUP($A197,'PVC SCH80'!$A$8:$M$249,10,FALSE),
IF($A197&lt;'PVC SCH80 Flange'!$A$49,VLOOKUP($A197,'PVC SCH80 Flange'!$A$8:$M$48,10,FALSE),
IF($A197&lt;'PVC SCH80 LD Flange'!$A$17,VLOOKUP($A197,'PVC SCH80 LD Flange'!$A$8:$M$16,10,FALSE),
IF($A197&lt;CPVC!$A$100,VLOOKUP($A197,CPVC!$A$8:$M$99,10,FALSE),
IF($A197&lt;InsertFittings!$A$237,VLOOKUP($A197,InsertFittings!$A$11:$M$236,10,FALSE),
IF($A197&lt;Valves!$A$132,VLOOKUP($A197,Valves!$A$8:$M$131,10,FALSE),
IF($A197&lt;SDR35SW!$A$124,VLOOKUP($A197,SDR35SW!$A$8:$M$123,10,FALSE),
IF($A197&lt;SDR35G!$A$143,VLOOKUP($A197, SDR35G!$A$8:$M$142,10,FALSE),
IF($A197&lt;SDR26G!$A$61,VLOOKUP($A197,SDR26G!$A$8:$N$60,11,FALSE),
IF($A197&lt;Cements!$A$100,VLOOKUP($A197,Cements!$A$8:$Q$99,14,FALSE),
IF($A197&lt;ValveBox!$A$143,VLOOKUP($A197,ValveBox!$A$10:$O$142,12,FALSE),
IF($A197&lt;'ValveBox Components'!$A$165,VLOOKUP($A197,'ValveBox Components'!$A$10:$O$164,12,FALSE),
IF($A197&lt;Drainage!$A$92,VLOOKUP($A197,Drainage!$A$8:$M$91,10,FALSE),
IF($A197&lt;Nipples!$A$82,VLOOKUP($A197,Nipples!$A$9:$Q$81,14,FALSE),
IF($A197&lt;Manifold!$A$33,VLOOKUP($A197,Manifold!$A$9:$M$32,10,FALSE),
IF($A197&lt;FlexibleRepairCouplings!$A$13,VLOOKUP($A197,FlexibleRepairCouplings!$A$10:$M$12,10,FALSE),
IF($A197&lt;DuraFix!$A$15,VLOOKUP($A197,DuraFix!$A$9:$M$14,10,FALSE),
IF($A197&lt;'Compression Fittings'!$A$16,VLOOKUP($A197,'Compression Fittings'!$A$8:$M$15,10,FALSE),
IF($A197&lt;'Hose Fittings'!$A$30,VLOOKUP($A197,'Hose Fittings'!$A$8:$M$29,10,FALSE),
IF($A197&lt;'Swing Joints'!$A$496,VLOOKUP($A197,'Swing Joints'!$A$9:$M$495,10,FALSE),
IF($A197&lt;'Swing Joints Components'!$A$135,VLOOKUP($A197,'Swing Joints Components'!$A$9:$M$134,10,FALSE),
IF($A197&lt;Nonstandard!$A$42,VLOOKUP($A197,Nonstandard!$A$31:$J$41,10,FALSE),"")))))))))))))))))))))))))))),"")</f>
        <v/>
      </c>
      <c r="L197" s="418" t="str">
        <f t="shared" si="4"/>
        <v>-</v>
      </c>
      <c r="M197" s="419"/>
    </row>
    <row r="198" spans="1:13" ht="15.75">
      <c r="A198" s="420">
        <v>166</v>
      </c>
      <c r="B198" s="420" t="str">
        <f>IFERROR(IF($A198&lt;'DWV PVC'!$A$285,VLOOKUP($A198,'DWV PVC'!$A$8:$M$284,4,FALSE),
IF($A198&lt;'DWV ABS'!$A$117,VLOOKUP($A198,'DWV ABS'!$A$8:$M$116,4,FALSE),
IF($A198&lt;'PVC SCH40'!$A$376,VLOOKUP($A198,'PVC SCH40'!$A$8:$M$375,4,FALSE),
IF($A198&lt;'PVC SCH40 LD'!$A$22,VLOOKUP($A198,'PVC SCH40 LD'!$A$8:$M$21,4,FALSE),
IF($A198&lt;'Pool &amp; SPA Sweep Elbows'!$A$12,VLOOKUP($A198,'Pool &amp; SPA Sweep Elbows'!$A$8:$M$11,4,FALSE),
IF($A198&lt;'Pool &amp; SPA Pipe Extender'!$A$11,VLOOKUP($A198,'Pool &amp; SPA Pipe Extender'!$A$8:$M$10,4,FALSE),
IF($A198&lt;'PVC SCH80'!$A$250,VLOOKUP($A198,'PVC SCH80'!$A$8:$M$249,4,FALSE),
IF($A198&lt;'PVC SCH80 Flange'!$A$49,VLOOKUP($A198,'PVC SCH80 Flange'!$A$8:$M$48,4,FALSE),
IF($A198&lt;'PVC SCH80 LD Flange'!$A$17,VLOOKUP($A198,'PVC SCH80 LD Flange'!$A$8:$M$16,4,FALSE),
IF($A198&lt;CPVC!$A$100,VLOOKUP($A198,CPVC!$A$8:$M$99,4,FALSE),
IF($A198&lt;InsertFittings!$A$237,VLOOKUP($A198,InsertFittings!$A$11:$M$236,4,FALSE),
IF($A198&lt;Valves!$A$132,VLOOKUP($A198,Valves!$A$8:$M$131,4,FALSE),
IF($A198&lt;SDR35SW!$A$124,VLOOKUP($A198,SDR35SW!$A$8:$M$123,4,FALSE),
IF($A198&lt;SDR35G!$A$143,VLOOKUP($A198, SDR35G!$A$8:$M$142,4,FALSE),
IF($A198&lt;SDR26G!$A$61,VLOOKUP($A198,SDR26G!$A$8:$N$60,4,FALSE),
IF($A198&lt;Cements!$A$100,VLOOKUP($A198,Cements!$A$8:$Q$99,4,FALSE),
IF($A198&lt;ValveBox!$A$143,VLOOKUP($A198,ValveBox!$A$10:$O$142,4,FALSE),
IF($A198&lt;'ValveBox Components'!$A$165,VLOOKUP($A198,'ValveBox Components'!$A$10:$O$164,4,FALSE),
IF($A198&lt;Drainage!$A$92,VLOOKUP($A198,Drainage!$A$8:$M$91,4,FALSE),
IF($A198&lt;Nipples!$A$82,VLOOKUP($A198,Nipples!$A$9:$Q$81,4,FALSE),
IF($A198&lt;Manifold!$A$33,VLOOKUP($A198,Manifold!$A$9:$M$32,4,FALSE),
IF($A198&lt;FlexibleRepairCouplings!$A$13,VLOOKUP($A198,FlexibleRepairCouplings!$A$10:$M$12,4,FALSE),
IF($A198&lt;DuraFix!$A$15,VLOOKUP($A198,DuraFix!$A$9:$M$14,4,FALSE),
IF($A198&lt;'Compression Fittings'!$A$16,VLOOKUP($A198,'Compression Fittings'!$A$8:$M$15,4,FALSE),
IF($A198&lt;'Hose Fittings'!$A$30,VLOOKUP($A198,'Hose Fittings'!$A$8:$M$29,4,FALSE),
IF($A198&lt;'Swing Joints'!$A$496,VLOOKUP($A198,'Swing Joints'!$A$9:$M$495,4,FALSE),
IF($A198&lt;'Swing Joints Components'!$A$135,VLOOKUP($A198,'Swing Joints Components'!$A$9:$M$134,4,FALSE),
IF($A198&lt;Nonstandard!$A$42,VLOOKUP($A198,Nonstandard!$A$31:$J$41,5,FALSE),"")))))))))))))))))))))))))))),"")</f>
        <v/>
      </c>
      <c r="C198" s="420" t="str">
        <f>IFERROR(IF($A198&lt;'DWV PVC'!$A$285,VLOOKUP($A198,'DWV PVC'!$A$8:$M$284,5,FALSE),
IF($A198&lt;'DWV ABS'!$A$117,VLOOKUP($A198,'DWV ABS'!$A$8:$M$116,5,FALSE),
IF($A198&lt;'PVC SCH40'!$A$376,VLOOKUP($A198,'PVC SCH40'!$A$8:$M$375,5,FALSE),
IF($A198&lt;'PVC SCH40 LD'!$A$22,VLOOKUP($A198,'PVC SCH40 LD'!$A$8:$M$21,5,FALSE),
IF($A198&lt;'Pool &amp; SPA Sweep Elbows'!$A$12,VLOOKUP($A198,'Pool &amp; SPA Sweep Elbows'!$A$8:$M$11,5,FALSE),
IF($A198&lt;'Pool &amp; SPA Pipe Extender'!$A$11,VLOOKUP($A198,'Pool &amp; SPA Pipe Extender'!$A$8:$M$10,5,FALSE),
IF($A198&lt;'PVC SCH80'!$A$250,VLOOKUP($A198,'PVC SCH80'!$A$8:$M$249,5,FALSE),
IF($A198&lt;'PVC SCH80 Flange'!$A$49,VLOOKUP($A198,'PVC SCH80 Flange'!$A$8:$M$48,5,FALSE),
IF($A198&lt;'PVC SCH80 LD Flange'!$A$17,VLOOKUP($A198,'PVC SCH80 LD Flange'!$A$8:$M$16,5,FALSE),
IF($A198&lt;CPVC!$A$100,VLOOKUP($A198,CPVC!$A$8:$M$99,5,FALSE),
IF($A198&lt;InsertFittings!$A$237,VLOOKUP($A198,InsertFittings!$A$11:$M$236,5,FALSE),
IF($A198&lt;Valves!$A$132,VLOOKUP($A198,Valves!$A$8:$M$131,5,FALSE),
IF($A198&lt;SDR35SW!$A$124,VLOOKUP($A198,SDR35SW!$A$8:$M$123,5,FALSE),
IF($A198&lt;SDR35G!$A$143,VLOOKUP($A198, SDR35G!$A$8:$M$142,5,FALSE),
IF($A198&lt;SDR26G!$A$61,VLOOKUP($A198,SDR26G!$A$8:$N$60,5,FALSE),
IF($A198&lt;Cements!$A$100,VLOOKUP($A198,Cements!$A$8:$Q$99,5,FALSE),
IF($A198&lt;ValveBox!$A$143,VLOOKUP($A198,ValveBox!$A$10:$O$142,5,FALSE),
IF($A198&lt;'ValveBox Components'!$A$165,VLOOKUP($A198,'ValveBox Components'!$A$10:$O$164,5,FALSE),
IF($A198&lt;Drainage!$A$92,VLOOKUP($A198,Drainage!$A$8:$M$91,5,FALSE),
IF($A198&lt;Nipples!$A$82,VLOOKUP($A198,Nipples!$A$9:$Q$81,5,FALSE),
IF($A198&lt;Manifold!$A$33,VLOOKUP($A198,Manifold!$A$9:$M$32,5,FALSE),
IF($A198&lt;FlexibleRepairCouplings!$A$13,VLOOKUP($A198,FlexibleRepairCouplings!$A$10:$M$12,5,FALSE),
IF($A198&lt;DuraFix!$A$15,VLOOKUP($A198,DuraFix!$A$9:$M$14,5,FALSE),
IF($A198&lt;'Compression Fittings'!$A$16,VLOOKUP($A198,'Compression Fittings'!$A$8:$M$15,5,FALSE),
IF($A198&lt;'Hose Fittings'!$A$30,VLOOKUP($A198,'Hose Fittings'!$A$8:$M$29,5,FALSE),
IF($A198&lt;'Swing Joints'!$A$496,VLOOKUP($A198,'Swing Joints'!$A$9:$M$495,5,FALSE),
IF($A198&lt;'Swing Joints Components'!$A$135,VLOOKUP($A198,'Swing Joints Components'!$A$9:$M$134,5,FALSE),
IF($A198&lt;Nonstandard!$A$42,VLOOKUP($A198,Nonstandard!$A$31:$J$41,6,FALSE),"")))))))))))))))))))))))))))),"")</f>
        <v/>
      </c>
      <c r="D198" s="428" t="str">
        <f>IFERROR(IF($A198&lt;'DWV PVC'!$A$285,VLOOKUP($A198,'DWV PVC'!$A$8:$M$284,6,FALSE),
IF($A198&lt;'DWV ABS'!$A$117,VLOOKUP($A198,'DWV ABS'!$A$8:$M$116,6,FALSE),
IF($A198&lt;'PVC SCH40'!$A$376,VLOOKUP($A198,'PVC SCH40'!$A$8:$M$375,6,FALSE),
IF($A198&lt;'PVC SCH40 LD'!$A$22,VLOOKUP($A198,'PVC SCH40 LD'!$A$8:$M$21,6,FALSE),
IF($A198&lt;'Pool &amp; SPA Sweep Elbows'!$A$12,VLOOKUP($A198,'Pool &amp; SPA Sweep Elbows'!$A$8:$M$11,6,FALSE),
IF($A198&lt;'Pool &amp; SPA Pipe Extender'!$A$11,VLOOKUP($A198,'Pool &amp; SPA Pipe Extender'!$A$8:$M$10,6,FALSE),
IF($A198&lt;'PVC SCH80'!$A$250,VLOOKUP($A198,'PVC SCH80'!$A$8:$M$249,6,FALSE),
IF($A198&lt;'PVC SCH80 Flange'!$A$49,VLOOKUP($A198,'PVC SCH80 Flange'!$A$8:$M$48,6,FALSE),
IF($A198&lt;'PVC SCH80 LD Flange'!$A$17,VLOOKUP($A198,'PVC SCH80 LD Flange'!$A$8:$M$16,6,FALSE),
IF($A198&lt;CPVC!$A$100,VLOOKUP($A198,CPVC!$A$8:$M$99,6,FALSE),
IF($A198&lt;InsertFittings!$A$237,VLOOKUP($A198,InsertFittings!$A$11:$M$236,6,FALSE),
IF($A198&lt;Valves!$A$132,VLOOKUP($A198,Valves!$A$8:$M$131,6,FALSE),
IF($A198&lt;SDR35SW!$A$124,VLOOKUP($A198,SDR35SW!$A$8:$M$123,6,FALSE),
IF($A198&lt;SDR35G!$A$143,VLOOKUP($A198, SDR35G!$A$8:$M$142,6,FALSE),
IF($A198&lt;SDR26G!$A$61,VLOOKUP($A198,SDR26G!$A$8:$N$60,6,FALSE),
IF($A198&lt;Cements!$A$100,VLOOKUP($A198,Cements!$A$8:$Q$99,6,FALSE),
IF($A198&lt;ValveBox!$A$143,VLOOKUP($A198,ValveBox!$A$10:$O$142,6,FALSE),
IF($A198&lt;'ValveBox Components'!$A$165,VLOOKUP($A198,'ValveBox Components'!$A$10:$O$164,6,FALSE),
IF($A198&lt;Drainage!$A$92,VLOOKUP($A198,Drainage!$A$8:$M$91,6,FALSE),
IF($A198&lt;Nipples!$A$82,VLOOKUP($A198,Nipples!$A$9:$Q$81,6,FALSE),
IF($A198&lt;Manifold!$A$33,VLOOKUP($A198,Manifold!$A$9:$M$32,6,FALSE),
IF($A198&lt;FlexibleRepairCouplings!$A$13,VLOOKUP($A198,FlexibleRepairCouplings!$A$10:$M$12,6,FALSE),
IF($A198&lt;DuraFix!$A$15,VLOOKUP($A198,DuraFix!$A$9:$M$14,6,FALSE),
IF($A198&lt;'Compression Fittings'!$A$16,VLOOKUP($A198,'Compression Fittings'!$A$8:$M$15,6,FALSE),
IF($A198&lt;'Hose Fittings'!$A$30,VLOOKUP($A198,'Hose Fittings'!$A$8:$M$29,6,FALSE),
IF($A198&lt;'Swing Joints'!$A$496,VLOOKUP($A198,'Swing Joints'!$A$9:$M$495,6,FALSE),
IF($A198&lt;'Swing Joints Components'!$A$135,VLOOKUP($A198,'Swing Joints Components'!$A$9:$M$134,6,FALSE),
IF($A198&lt;Nonstandard!$A$42,VLOOKUP($A198,Nonstandard!$A$31:$J$41,7,FALSE),"")))))))))))))))))))))))))))),"")</f>
        <v/>
      </c>
      <c r="E198" s="429"/>
      <c r="F198" s="421" t="str">
        <f>IFERROR(IF($A198&lt;'DWV PVC'!$A$285,VLOOKUP($A198,'DWV PVC'!$A$8:$M$284,9,FALSE),
IF($A198&lt;'DWV ABS'!$A$117,VLOOKUP($A198,'DWV ABS'!$A$8:$M$116,9,FALSE),
IF($A198&lt;'PVC SCH40'!$A$376,VLOOKUP($A198,'PVC SCH40'!$A$8:$M$375,9,FALSE),
IF($A198&lt;'PVC SCH40 LD'!$A$22,VLOOKUP($A198,'PVC SCH40 LD'!$A$8:$M$21,9,FALSE),
IF($A198&lt;'Pool &amp; SPA Sweep Elbows'!$A$12,VLOOKUP($A198,'Pool &amp; SPA Sweep Elbows'!$A$8:$M$11,9,FALSE),
IF($A198&lt;'Pool &amp; SPA Pipe Extender'!$A$11,VLOOKUP($A198,'Pool &amp; SPA Pipe Extender'!$A$8:$M$10,9,FALSE),
IF($A198&lt;'PVC SCH80'!$A$250,VLOOKUP($A198,'PVC SCH80'!$A$8:$M$249,9,FALSE),
IF($A198&lt;'PVC SCH80 Flange'!$A$49,VLOOKUP($A198,'PVC SCH80 Flange'!$A$8:$M$48,9,FALSE),
IF($A198&lt;'PVC SCH80 LD Flange'!$A$17,VLOOKUP($A198,'PVC SCH80 LD Flange'!$A$8:$M$16,9,FALSE),
IF($A198&lt;CPVC!$A$100,VLOOKUP($A198,CPVC!$A$8:$M$99,9,FALSE),
IF($A198&lt;InsertFittings!$A$237,VLOOKUP($A198,InsertFittings!$A$11:$M$236,9,FALSE),
IF($A198&lt;Valves!$A$132,VLOOKUP($A198,Valves!$A$8:$M$131,9,FALSE),
IF($A198&lt;SDR35SW!$A$124,VLOOKUP($A198,SDR35SW!$A$8:$M$123,9,FALSE),
IF($A198&lt;SDR35G!$A$143,VLOOKUP($A198, SDR35G!$A$8:$M$142,9,FALSE),
IF($A198&lt;SDR26G!$A$61,VLOOKUP($A198,SDR26G!$A$8:$N$60,10,FALSE),
IF($A198&lt;Cements!$A$100,VLOOKUP($A198,Cements!$A$8:$Q$99,13,FALSE),
IF($A198&lt;ValveBox!$A$143,VLOOKUP($A198,ValveBox!$A$10:$O$142,11,FALSE),
IF($A198&lt;'ValveBox Components'!$A$165,VLOOKUP($A198,'ValveBox Components'!$A$10:$O$164,11,FALSE),
IF($A198&lt;Drainage!$A$92,VLOOKUP($A198,Drainage!$A$8:$M$91,9,FALSE),
IF($A198&lt;Nipples!$A$82,VLOOKUP($A198,Nipples!$A$9:$Q$81,13,FALSE),
IF($A198&lt;Manifold!$A$33,VLOOKUP($A198,Manifold!$A$9:$M$32,9,FALSE),
IF($A198&lt;FlexibleRepairCouplings!$A$13,VLOOKUP($A198,FlexibleRepairCouplings!$A$10:$M$12,9,FALSE),
IF($A198&lt;DuraFix!$A$15,VLOOKUP($A198,DuraFix!$A$9:$M$14,9,FALSE),
IF($A198&lt;'Compression Fittings'!$A$16,VLOOKUP($A198,'Compression Fittings'!$A$8:$M$15,9,FALSE),
IF($A198&lt;'Hose Fittings'!$A$30,VLOOKUP($A198,'Hose Fittings'!$A$8:$M$29,9,FALSE),
IF($A198&lt;'Swing Joints'!$A$496,VLOOKUP($A198,'Swing Joints'!$A$9:$M$495,9,FALSE),
IF($A198&lt;'Swing Joints Components'!$A$135,VLOOKUP($A198,'Swing Joints Components'!$A$9:$M$134,9,FALSE),
IF($A198&lt;Nonstandard!$A$42,VLOOKUP($A198,Nonstandard!$A$31:$J$41,8,FALSE),"")))))))))))))))))))))))))))),"")</f>
        <v/>
      </c>
      <c r="G198" s="422" t="str">
        <f>IFERROR(IF($A198&lt;'DWV PVC'!$A$285,VLOOKUP($A198,'DWV PVC'!$A$8:$M$284,11,FALSE),
IF($A198&lt;'DWV ABS'!$A$117,VLOOKUP($A198,'DWV ABS'!$A$8:$M$116,11,FALSE),
IF($A198&lt;'PVC SCH40'!$A$376,VLOOKUP($A198,'PVC SCH40'!$A$8:$M$375,11,FALSE),
IF($A198&lt;'PVC SCH40 LD'!$A$22,VLOOKUP($A198,'PVC SCH40 LD'!$A$8:$M$21,11,FALSE),
IF($A198&lt;'Pool &amp; SPA Sweep Elbows'!$A$12,VLOOKUP($A198,'Pool &amp; SPA Sweep Elbows'!$A$8:$M$11,11,FALSE),
IF($A198&lt;'Pool &amp; SPA Pipe Extender'!$A$11,VLOOKUP($A198,'Pool &amp; SPA Pipe Extender'!$A$8:$M$10,11,FALSE),
IF($A198&lt;'PVC SCH80'!$A$250,VLOOKUP($A198,'PVC SCH80'!$A$8:$M$249,11,FALSE),
IF($A198&lt;'PVC SCH80 Flange'!$A$49,VLOOKUP($A198,'PVC SCH80 Flange'!$A$8:$M$48,11,FALSE),
IF($A198&lt;'PVC SCH80 LD Flange'!$A$17,VLOOKUP($A198,'PVC SCH80 LD Flange'!$A$8:$M$16,11,FALSE),
IF($A198&lt;CPVC!$A$100,VLOOKUP($A198,CPVC!$A$8:$M$99,11,FALSE),
IF($A198&lt;InsertFittings!$A$237,VLOOKUP($A198,InsertFittings!$A$11:$M$236,11,FALSE),
IF($A198&lt;Valves!$A$132,VLOOKUP($A198,Valves!$A$8:$M$131,11,FALSE),
IF($A198&lt;SDR35SW!$A$124,VLOOKUP($A198,SDR35SW!$A$8:$M$123,11,FALSE),
IF($A198&lt;SDR35G!$A$143,VLOOKUP($A198, SDR35G!$A$8:$M$142,11,FALSE),
IF($A198&lt;SDR26G!$A$61,VLOOKUP($A198,SDR26G!$A$8:$N$60,12,FALSE),
IF($A198&lt;Cements!$A$100,VLOOKUP($A198,Cements!$A$8:$Q$99,15,FALSE),
IF($A198&lt;ValveBox!$A$143,VLOOKUP($A198,ValveBox!$A$10:$O$142,13,FALSE),
IF($A198&lt;'ValveBox Components'!$A$165,VLOOKUP($A198,'ValveBox Components'!$A$10:$O$164,13,FALSE),
IF($A198&lt;Drainage!$A$92,VLOOKUP($A198,Drainage!$A$8:$M$91,11,FALSE),
IF($A198&lt;Nipples!$A$82,VLOOKUP($A198,Nipples!$A$9:$Q$81,15,FALSE),
IF($A198&lt;Manifold!$A$33,VLOOKUP($A198,Manifold!$A$9:$M$32,11,FALSE),
IF($A198&lt;FlexibleRepairCouplings!$A$13,VLOOKUP($A198,FlexibleRepairCouplings!$A$10:$M$12,11,FALSE),
IF($A198&lt;DuraFix!$A$15,VLOOKUP($A198,DuraFix!$A$9:$M$14,11,FALSE),
IF($A198&lt;'Compression Fittings'!$A$16,VLOOKUP($A198,'Compression Fittings'!$A$8:$M$15,11,FALSE),
IF($A198&lt;'Hose Fittings'!$A$30,VLOOKUP($A198,'Hose Fittings'!$A$8:$M$29,11,FALSE),
IF($A198&lt;'Swing Joints'!$A$496,VLOOKUP($A198,'Swing Joints'!$A$9:$M$495,11,FALSE),
IF($A198&lt;'Swing Joints Components'!$A$135,VLOOKUP($A198,'Swing Joints Components'!$A$9:$M$134,11,FALSE),
IF($A198&lt;Nonstandard!$A$42,VLOOKUP($A198,Nonstandard!$A$31:$J$41,3,FALSE),"")))))))))))))))))))))))))))),"")</f>
        <v/>
      </c>
      <c r="H198" s="588" t="str">
        <f>IFERROR(IF($A198&lt;'DWV PVC'!$A$285,VLOOKUP($A198,'DWV PVC'!$A$8:$M$284,7,FALSE),
IF($A198&lt;'DWV ABS'!$A$117,VLOOKUP($A198,'DWV ABS'!$A$8:$M$116,7,FALSE),
IF($A198&lt;'PVC SCH40'!$A$376,VLOOKUP($A198,'PVC SCH40'!$A$8:$M$375,7,FALSE),
IF($A198&lt;'PVC SCH40 LD'!$A$22,VLOOKUP($A198,'PVC SCH40 LD'!$A$8:$M$21,7,FALSE),
IF($A198&lt;'Pool &amp; SPA Sweep Elbows'!$A$12,VLOOKUP($A198,'Pool &amp; SPA Sweep Elbows'!$A$8:$M$11,7,FALSE),
IF($A198&lt;'Pool &amp; SPA Pipe Extender'!$A$11,VLOOKUP($A198,'Pool &amp; SPA Pipe Extender'!$A$8:$M$10,7,FALSE),
IF($A198&lt;'PVC SCH80'!$A$250,VLOOKUP($A198,'PVC SCH80'!$A$8:$M$249,7,FALSE),
IF($A198&lt;'PVC SCH80 Flange'!$A$49,VLOOKUP($A198,'PVC SCH80 Flange'!$A$8:$M$48,7,FALSE),
IF($A198&lt;'PVC SCH80 LD Flange'!$A$17,VLOOKUP($A198,'PVC SCH80 LD Flange'!$A$8:$M$16,7,FALSE),
IF($A198&lt;CPVC!$A$100,VLOOKUP($A198,CPVC!$A$8:$M$99,7,FALSE),
IF($A198&lt;InsertFittings!$A$237,VLOOKUP($A198,InsertFittings!$A$11:$M$236,7,FALSE),
IF($A198&lt;Valves!$A$132,VLOOKUP($A198,Valves!$A$8:$M$131,7,FALSE),
IF($A198&lt;SDR35SW!$A$124,VLOOKUP($A198,SDR35SW!$A$8:$M$123,7,FALSE),
IF($A198&lt;SDR35G!$A$143,VLOOKUP($A198, SDR35G!$A$8:$M$142,7,FALSE),
IF($A198&lt;SDR26G!$A$61,VLOOKUP($A198,SDR26G!$A$8:$N$60,10,FALSE),
IF($A198&lt;Cements!$A$100,VLOOKUP($A198,Cements!$A$8:$Q$99,13,FALSE),
IF($A198&lt;ValveBox!$A$143,VLOOKUP($A198,ValveBox!$A$10:$O$142,11,FALSE),
IF($A198&lt;'ValveBox Components'!$A$165,VLOOKUP($A198,'ValveBox Components'!$A$10:$O$164,11,FALSE),
IF($A198&lt;Drainage!$A$92,VLOOKUP($A198,Drainage!$A$8:$M$91,7,FALSE),
IF($A198&lt;Nipples!$A$82,VLOOKUP($A198,Nipples!$A$9:$Q$81,13,FALSE),
IF($A198&lt;Manifold!$A$33,VLOOKUP($A198,Manifold!$A$9:$M$32,7,FALSE),
IF($A198&lt;FlexibleRepairCouplings!$A$13,VLOOKUP($A198,FlexibleRepairCouplings!$A$10:$M$12,7,FALSE),
IF($A198&lt;DuraFix!$A$15,VLOOKUP($A198,DuraFix!$A$9:$M$14,7,FALSE),
IF($A198&lt;'Compression Fittings'!$A$16,VLOOKUP($A198,'Compression Fittings'!$A$8:$M$15,7,FALSE),
IF($A198&lt;'Hose Fittings'!$A$30,VLOOKUP($A198,'Hose Fittings'!$A$8:$M$29,7,FALSE),
IF($A198&lt;'Swing Joints'!$A$496,VLOOKUP($A198,'Swing Joints'!$A$9:$M$495,7,FALSE),
IF($A198&lt;'Swing Joints Components'!$A$135,VLOOKUP($A198,'Swing Joints Components'!$A$9:$M$134,7,FALSE),
IF($A198&lt;Nonstandard!$A$42,VLOOKUP($A198,Nonstandard!$A$31:$J$41,3,FALSE),"")))))))))))))))))))))))))))),"")</f>
        <v/>
      </c>
      <c r="I198" s="589"/>
      <c r="J198" s="423" t="str">
        <f t="shared" si="5"/>
        <v/>
      </c>
      <c r="K198" s="424" t="str">
        <f>IFERROR(IF($A198&lt;'DWV PVC'!$A$285,VLOOKUP($A198,'DWV PVC'!$A$8:$M$284,10,FALSE),
IF($A198&lt;'DWV ABS'!$A$117,VLOOKUP($A198,'DWV ABS'!$A$8:$M$116,10,FALSE),
IF($A198&lt;'PVC SCH40'!$A$376,VLOOKUP($A198,'PVC SCH40'!$A$8:$M$375,10,FALSE),
IF($A198&lt;'PVC SCH40 LD'!$A$22,VLOOKUP($A198,'PVC SCH40 LD'!$A$8:$M$21,10,FALSE),
IF($A198&lt;'Pool &amp; SPA Sweep Elbows'!$A$12,VLOOKUP($A198,'Pool &amp; SPA Sweep Elbows'!$A$8:$M$11,10,FALSE),
IF($A198&lt;'Pool &amp; SPA Pipe Extender'!$A$11,VLOOKUP($A198,'Pool &amp; SPA Pipe Extender'!$A$8:$M$10,10,FALSE),
IF($A198&lt;'PVC SCH80'!$A$250,VLOOKUP($A198,'PVC SCH80'!$A$8:$M$249,10,FALSE),
IF($A198&lt;'PVC SCH80 Flange'!$A$49,VLOOKUP($A198,'PVC SCH80 Flange'!$A$8:$M$48,10,FALSE),
IF($A198&lt;'PVC SCH80 LD Flange'!$A$17,VLOOKUP($A198,'PVC SCH80 LD Flange'!$A$8:$M$16,10,FALSE),
IF($A198&lt;CPVC!$A$100,VLOOKUP($A198,CPVC!$A$8:$M$99,10,FALSE),
IF($A198&lt;InsertFittings!$A$237,VLOOKUP($A198,InsertFittings!$A$11:$M$236,10,FALSE),
IF($A198&lt;Valves!$A$132,VLOOKUP($A198,Valves!$A$8:$M$131,10,FALSE),
IF($A198&lt;SDR35SW!$A$124,VLOOKUP($A198,SDR35SW!$A$8:$M$123,10,FALSE),
IF($A198&lt;SDR35G!$A$143,VLOOKUP($A198, SDR35G!$A$8:$M$142,10,FALSE),
IF($A198&lt;SDR26G!$A$61,VLOOKUP($A198,SDR26G!$A$8:$N$60,11,FALSE),
IF($A198&lt;Cements!$A$100,VLOOKUP($A198,Cements!$A$8:$Q$99,14,FALSE),
IF($A198&lt;ValveBox!$A$143,VLOOKUP($A198,ValveBox!$A$10:$O$142,12,FALSE),
IF($A198&lt;'ValveBox Components'!$A$165,VLOOKUP($A198,'ValveBox Components'!$A$10:$O$164,12,FALSE),
IF($A198&lt;Drainage!$A$92,VLOOKUP($A198,Drainage!$A$8:$M$91,10,FALSE),
IF($A198&lt;Nipples!$A$82,VLOOKUP($A198,Nipples!$A$9:$Q$81,14,FALSE),
IF($A198&lt;Manifold!$A$33,VLOOKUP($A198,Manifold!$A$9:$M$32,10,FALSE),
IF($A198&lt;FlexibleRepairCouplings!$A$13,VLOOKUP($A198,FlexibleRepairCouplings!$A$10:$M$12,10,FALSE),
IF($A198&lt;DuraFix!$A$15,VLOOKUP($A198,DuraFix!$A$9:$M$14,10,FALSE),
IF($A198&lt;'Compression Fittings'!$A$16,VLOOKUP($A198,'Compression Fittings'!$A$8:$M$15,10,FALSE),
IF($A198&lt;'Hose Fittings'!$A$30,VLOOKUP($A198,'Hose Fittings'!$A$8:$M$29,10,FALSE),
IF($A198&lt;'Swing Joints'!$A$496,VLOOKUP($A198,'Swing Joints'!$A$9:$M$495,10,FALSE),
IF($A198&lt;'Swing Joints Components'!$A$135,VLOOKUP($A198,'Swing Joints Components'!$A$9:$M$134,10,FALSE),
IF($A198&lt;Nonstandard!$A$42,VLOOKUP($A198,Nonstandard!$A$31:$J$41,10,FALSE),"")))))))))))))))))))))))))))),"")</f>
        <v/>
      </c>
      <c r="L198" s="421" t="str">
        <f t="shared" si="4"/>
        <v>-</v>
      </c>
      <c r="M198" s="425"/>
    </row>
    <row r="199" spans="1:13" ht="15.75">
      <c r="A199" s="415">
        <v>167</v>
      </c>
      <c r="B199" s="415" t="str">
        <f>IFERROR(IF($A199&lt;'DWV PVC'!$A$285,VLOOKUP($A199,'DWV PVC'!$A$8:$M$284,4,FALSE),
IF($A199&lt;'DWV ABS'!$A$117,VLOOKUP($A199,'DWV ABS'!$A$8:$M$116,4,FALSE),
IF($A199&lt;'PVC SCH40'!$A$376,VLOOKUP($A199,'PVC SCH40'!$A$8:$M$375,4,FALSE),
IF($A199&lt;'PVC SCH40 LD'!$A$22,VLOOKUP($A199,'PVC SCH40 LD'!$A$8:$M$21,4,FALSE),
IF($A199&lt;'Pool &amp; SPA Sweep Elbows'!$A$12,VLOOKUP($A199,'Pool &amp; SPA Sweep Elbows'!$A$8:$M$11,4,FALSE),
IF($A199&lt;'Pool &amp; SPA Pipe Extender'!$A$11,VLOOKUP($A199,'Pool &amp; SPA Pipe Extender'!$A$8:$M$10,4,FALSE),
IF($A199&lt;'PVC SCH80'!$A$250,VLOOKUP($A199,'PVC SCH80'!$A$8:$M$249,4,FALSE),
IF($A199&lt;'PVC SCH80 Flange'!$A$49,VLOOKUP($A199,'PVC SCH80 Flange'!$A$8:$M$48,4,FALSE),
IF($A199&lt;'PVC SCH80 LD Flange'!$A$17,VLOOKUP($A199,'PVC SCH80 LD Flange'!$A$8:$M$16,4,FALSE),
IF($A199&lt;CPVC!$A$100,VLOOKUP($A199,CPVC!$A$8:$M$99,4,FALSE),
IF($A199&lt;InsertFittings!$A$237,VLOOKUP($A199,InsertFittings!$A$11:$M$236,4,FALSE),
IF($A199&lt;Valves!$A$132,VLOOKUP($A199,Valves!$A$8:$M$131,4,FALSE),
IF($A199&lt;SDR35SW!$A$124,VLOOKUP($A199,SDR35SW!$A$8:$M$123,4,FALSE),
IF($A199&lt;SDR35G!$A$143,VLOOKUP($A199, SDR35G!$A$8:$M$142,4,FALSE),
IF($A199&lt;SDR26G!$A$61,VLOOKUP($A199,SDR26G!$A$8:$N$60,4,FALSE),
IF($A199&lt;Cements!$A$100,VLOOKUP($A199,Cements!$A$8:$Q$99,4,FALSE),
IF($A199&lt;ValveBox!$A$143,VLOOKUP($A199,ValveBox!$A$10:$O$142,4,FALSE),
IF($A199&lt;'ValveBox Components'!$A$165,VLOOKUP($A199,'ValveBox Components'!$A$10:$O$164,4,FALSE),
IF($A199&lt;Drainage!$A$92,VLOOKUP($A199,Drainage!$A$8:$M$91,4,FALSE),
IF($A199&lt;Nipples!$A$82,VLOOKUP($A199,Nipples!$A$9:$Q$81,4,FALSE),
IF($A199&lt;Manifold!$A$33,VLOOKUP($A199,Manifold!$A$9:$M$32,4,FALSE),
IF($A199&lt;FlexibleRepairCouplings!$A$13,VLOOKUP($A199,FlexibleRepairCouplings!$A$10:$M$12,4,FALSE),
IF($A199&lt;DuraFix!$A$15,VLOOKUP($A199,DuraFix!$A$9:$M$14,4,FALSE),
IF($A199&lt;'Compression Fittings'!$A$16,VLOOKUP($A199,'Compression Fittings'!$A$8:$M$15,4,FALSE),
IF($A199&lt;'Hose Fittings'!$A$30,VLOOKUP($A199,'Hose Fittings'!$A$8:$M$29,4,FALSE),
IF($A199&lt;'Swing Joints'!$A$496,VLOOKUP($A199,'Swing Joints'!$A$9:$M$495,4,FALSE),
IF($A199&lt;'Swing Joints Components'!$A$135,VLOOKUP($A199,'Swing Joints Components'!$A$9:$M$134,4,FALSE),
IF($A199&lt;Nonstandard!$A$42,VLOOKUP($A199,Nonstandard!$A$31:$J$41,5,FALSE),"")))))))))))))))))))))))))))),"")</f>
        <v/>
      </c>
      <c r="C199" s="415" t="str">
        <f>IFERROR(IF($A199&lt;'DWV PVC'!$A$285,VLOOKUP($A199,'DWV PVC'!$A$8:$M$284,5,FALSE),
IF($A199&lt;'DWV ABS'!$A$117,VLOOKUP($A199,'DWV ABS'!$A$8:$M$116,5,FALSE),
IF($A199&lt;'PVC SCH40'!$A$376,VLOOKUP($A199,'PVC SCH40'!$A$8:$M$375,5,FALSE),
IF($A199&lt;'PVC SCH40 LD'!$A$22,VLOOKUP($A199,'PVC SCH40 LD'!$A$8:$M$21,5,FALSE),
IF($A199&lt;'Pool &amp; SPA Sweep Elbows'!$A$12,VLOOKUP($A199,'Pool &amp; SPA Sweep Elbows'!$A$8:$M$11,5,FALSE),
IF($A199&lt;'Pool &amp; SPA Pipe Extender'!$A$11,VLOOKUP($A199,'Pool &amp; SPA Pipe Extender'!$A$8:$M$10,5,FALSE),
IF($A199&lt;'PVC SCH80'!$A$250,VLOOKUP($A199,'PVC SCH80'!$A$8:$M$249,5,FALSE),
IF($A199&lt;'PVC SCH80 Flange'!$A$49,VLOOKUP($A199,'PVC SCH80 Flange'!$A$8:$M$48,5,FALSE),
IF($A199&lt;'PVC SCH80 LD Flange'!$A$17,VLOOKUP($A199,'PVC SCH80 LD Flange'!$A$8:$M$16,5,FALSE),
IF($A199&lt;CPVC!$A$100,VLOOKUP($A199,CPVC!$A$8:$M$99,5,FALSE),
IF($A199&lt;InsertFittings!$A$237,VLOOKUP($A199,InsertFittings!$A$11:$M$236,5,FALSE),
IF($A199&lt;Valves!$A$132,VLOOKUP($A199,Valves!$A$8:$M$131,5,FALSE),
IF($A199&lt;SDR35SW!$A$124,VLOOKUP($A199,SDR35SW!$A$8:$M$123,5,FALSE),
IF($A199&lt;SDR35G!$A$143,VLOOKUP($A199, SDR35G!$A$8:$M$142,5,FALSE),
IF($A199&lt;SDR26G!$A$61,VLOOKUP($A199,SDR26G!$A$8:$N$60,5,FALSE),
IF($A199&lt;Cements!$A$100,VLOOKUP($A199,Cements!$A$8:$Q$99,5,FALSE),
IF($A199&lt;ValveBox!$A$143,VLOOKUP($A199,ValveBox!$A$10:$O$142,5,FALSE),
IF($A199&lt;'ValveBox Components'!$A$165,VLOOKUP($A199,'ValveBox Components'!$A$10:$O$164,5,FALSE),
IF($A199&lt;Drainage!$A$92,VLOOKUP($A199,Drainage!$A$8:$M$91,5,FALSE),
IF($A199&lt;Nipples!$A$82,VLOOKUP($A199,Nipples!$A$9:$Q$81,5,FALSE),
IF($A199&lt;Manifold!$A$33,VLOOKUP($A199,Manifold!$A$9:$M$32,5,FALSE),
IF($A199&lt;FlexibleRepairCouplings!$A$13,VLOOKUP($A199,FlexibleRepairCouplings!$A$10:$M$12,5,FALSE),
IF($A199&lt;DuraFix!$A$15,VLOOKUP($A199,DuraFix!$A$9:$M$14,5,FALSE),
IF($A199&lt;'Compression Fittings'!$A$16,VLOOKUP($A199,'Compression Fittings'!$A$8:$M$15,5,FALSE),
IF($A199&lt;'Hose Fittings'!$A$30,VLOOKUP($A199,'Hose Fittings'!$A$8:$M$29,5,FALSE),
IF($A199&lt;'Swing Joints'!$A$496,VLOOKUP($A199,'Swing Joints'!$A$9:$M$495,5,FALSE),
IF($A199&lt;'Swing Joints Components'!$A$135,VLOOKUP($A199,'Swing Joints Components'!$A$9:$M$134,5,FALSE),
IF($A199&lt;Nonstandard!$A$42,VLOOKUP($A199,Nonstandard!$A$31:$J$41,6,FALSE),"")))))))))))))))))))))))))))),"")</f>
        <v/>
      </c>
      <c r="D199" s="426" t="str">
        <f>IFERROR(IF($A199&lt;'DWV PVC'!$A$285,VLOOKUP($A199,'DWV PVC'!$A$8:$M$284,6,FALSE),
IF($A199&lt;'DWV ABS'!$A$117,VLOOKUP($A199,'DWV ABS'!$A$8:$M$116,6,FALSE),
IF($A199&lt;'PVC SCH40'!$A$376,VLOOKUP($A199,'PVC SCH40'!$A$8:$M$375,6,FALSE),
IF($A199&lt;'PVC SCH40 LD'!$A$22,VLOOKUP($A199,'PVC SCH40 LD'!$A$8:$M$21,6,FALSE),
IF($A199&lt;'Pool &amp; SPA Sweep Elbows'!$A$12,VLOOKUP($A199,'Pool &amp; SPA Sweep Elbows'!$A$8:$M$11,6,FALSE),
IF($A199&lt;'Pool &amp; SPA Pipe Extender'!$A$11,VLOOKUP($A199,'Pool &amp; SPA Pipe Extender'!$A$8:$M$10,6,FALSE),
IF($A199&lt;'PVC SCH80'!$A$250,VLOOKUP($A199,'PVC SCH80'!$A$8:$M$249,6,FALSE),
IF($A199&lt;'PVC SCH80 Flange'!$A$49,VLOOKUP($A199,'PVC SCH80 Flange'!$A$8:$M$48,6,FALSE),
IF($A199&lt;'PVC SCH80 LD Flange'!$A$17,VLOOKUP($A199,'PVC SCH80 LD Flange'!$A$8:$M$16,6,FALSE),
IF($A199&lt;CPVC!$A$100,VLOOKUP($A199,CPVC!$A$8:$M$99,6,FALSE),
IF($A199&lt;InsertFittings!$A$237,VLOOKUP($A199,InsertFittings!$A$11:$M$236,6,FALSE),
IF($A199&lt;Valves!$A$132,VLOOKUP($A199,Valves!$A$8:$M$131,6,FALSE),
IF($A199&lt;SDR35SW!$A$124,VLOOKUP($A199,SDR35SW!$A$8:$M$123,6,FALSE),
IF($A199&lt;SDR35G!$A$143,VLOOKUP($A199, SDR35G!$A$8:$M$142,6,FALSE),
IF($A199&lt;SDR26G!$A$61,VLOOKUP($A199,SDR26G!$A$8:$N$60,6,FALSE),
IF($A199&lt;Cements!$A$100,VLOOKUP($A199,Cements!$A$8:$Q$99,6,FALSE),
IF($A199&lt;ValveBox!$A$143,VLOOKUP($A199,ValveBox!$A$10:$O$142,6,FALSE),
IF($A199&lt;'ValveBox Components'!$A$165,VLOOKUP($A199,'ValveBox Components'!$A$10:$O$164,6,FALSE),
IF($A199&lt;Drainage!$A$92,VLOOKUP($A199,Drainage!$A$8:$M$91,6,FALSE),
IF($A199&lt;Nipples!$A$82,VLOOKUP($A199,Nipples!$A$9:$Q$81,6,FALSE),
IF($A199&lt;Manifold!$A$33,VLOOKUP($A199,Manifold!$A$9:$M$32,6,FALSE),
IF($A199&lt;FlexibleRepairCouplings!$A$13,VLOOKUP($A199,FlexibleRepairCouplings!$A$10:$M$12,6,FALSE),
IF($A199&lt;DuraFix!$A$15,VLOOKUP($A199,DuraFix!$A$9:$M$14,6,FALSE),
IF($A199&lt;'Compression Fittings'!$A$16,VLOOKUP($A199,'Compression Fittings'!$A$8:$M$15,6,FALSE),
IF($A199&lt;'Hose Fittings'!$A$30,VLOOKUP($A199,'Hose Fittings'!$A$8:$M$29,6,FALSE),
IF($A199&lt;'Swing Joints'!$A$496,VLOOKUP($A199,'Swing Joints'!$A$9:$M$495,6,FALSE),
IF($A199&lt;'Swing Joints Components'!$A$135,VLOOKUP($A199,'Swing Joints Components'!$A$9:$M$134,6,FALSE),
IF($A199&lt;Nonstandard!$A$42,VLOOKUP($A199,Nonstandard!$A$31:$J$41,7,FALSE),"")))))))))))))))))))))))))))),"")</f>
        <v/>
      </c>
      <c r="E199" s="427"/>
      <c r="F199" s="418" t="str">
        <f>IFERROR(IF($A199&lt;'DWV PVC'!$A$285,VLOOKUP($A199,'DWV PVC'!$A$8:$M$284,9,FALSE),
IF($A199&lt;'DWV ABS'!$A$117,VLOOKUP($A199,'DWV ABS'!$A$8:$M$116,9,FALSE),
IF($A199&lt;'PVC SCH40'!$A$376,VLOOKUP($A199,'PVC SCH40'!$A$8:$M$375,9,FALSE),
IF($A199&lt;'PVC SCH40 LD'!$A$22,VLOOKUP($A199,'PVC SCH40 LD'!$A$8:$M$21,9,FALSE),
IF($A199&lt;'Pool &amp; SPA Sweep Elbows'!$A$12,VLOOKUP($A199,'Pool &amp; SPA Sweep Elbows'!$A$8:$M$11,9,FALSE),
IF($A199&lt;'Pool &amp; SPA Pipe Extender'!$A$11,VLOOKUP($A199,'Pool &amp; SPA Pipe Extender'!$A$8:$M$10,9,FALSE),
IF($A199&lt;'PVC SCH80'!$A$250,VLOOKUP($A199,'PVC SCH80'!$A$8:$M$249,9,FALSE),
IF($A199&lt;'PVC SCH80 Flange'!$A$49,VLOOKUP($A199,'PVC SCH80 Flange'!$A$8:$M$48,9,FALSE),
IF($A199&lt;'PVC SCH80 LD Flange'!$A$17,VLOOKUP($A199,'PVC SCH80 LD Flange'!$A$8:$M$16,9,FALSE),
IF($A199&lt;CPVC!$A$100,VLOOKUP($A199,CPVC!$A$8:$M$99,9,FALSE),
IF($A199&lt;InsertFittings!$A$237,VLOOKUP($A199,InsertFittings!$A$11:$M$236,9,FALSE),
IF($A199&lt;Valves!$A$132,VLOOKUP($A199,Valves!$A$8:$M$131,9,FALSE),
IF($A199&lt;SDR35SW!$A$124,VLOOKUP($A199,SDR35SW!$A$8:$M$123,9,FALSE),
IF($A199&lt;SDR35G!$A$143,VLOOKUP($A199, SDR35G!$A$8:$M$142,9,FALSE),
IF($A199&lt;SDR26G!$A$61,VLOOKUP($A199,SDR26G!$A$8:$N$60,10,FALSE),
IF($A199&lt;Cements!$A$100,VLOOKUP($A199,Cements!$A$8:$Q$99,13,FALSE),
IF($A199&lt;ValveBox!$A$143,VLOOKUP($A199,ValveBox!$A$10:$O$142,11,FALSE),
IF($A199&lt;'ValveBox Components'!$A$165,VLOOKUP($A199,'ValveBox Components'!$A$10:$O$164,11,FALSE),
IF($A199&lt;Drainage!$A$92,VLOOKUP($A199,Drainage!$A$8:$M$91,9,FALSE),
IF($A199&lt;Nipples!$A$82,VLOOKUP($A199,Nipples!$A$9:$Q$81,13,FALSE),
IF($A199&lt;Manifold!$A$33,VLOOKUP($A199,Manifold!$A$9:$M$32,9,FALSE),
IF($A199&lt;FlexibleRepairCouplings!$A$13,VLOOKUP($A199,FlexibleRepairCouplings!$A$10:$M$12,9,FALSE),
IF($A199&lt;DuraFix!$A$15,VLOOKUP($A199,DuraFix!$A$9:$M$14,9,FALSE),
IF($A199&lt;'Compression Fittings'!$A$16,VLOOKUP($A199,'Compression Fittings'!$A$8:$M$15,9,FALSE),
IF($A199&lt;'Hose Fittings'!$A$30,VLOOKUP($A199,'Hose Fittings'!$A$8:$M$29,9,FALSE),
IF($A199&lt;'Swing Joints'!$A$496,VLOOKUP($A199,'Swing Joints'!$A$9:$M$495,9,FALSE),
IF($A199&lt;'Swing Joints Components'!$A$135,VLOOKUP($A199,'Swing Joints Components'!$A$9:$M$134,9,FALSE),
IF($A199&lt;Nonstandard!$A$42,VLOOKUP($A199,Nonstandard!$A$31:$J$41,8,FALSE),"")))))))))))))))))))))))))))),"")</f>
        <v/>
      </c>
      <c r="G199" s="416" t="str">
        <f>IFERROR(IF($A199&lt;'DWV PVC'!$A$285,VLOOKUP($A199,'DWV PVC'!$A$8:$M$284,11,FALSE),
IF($A199&lt;'DWV ABS'!$A$117,VLOOKUP($A199,'DWV ABS'!$A$8:$M$116,11,FALSE),
IF($A199&lt;'PVC SCH40'!$A$376,VLOOKUP($A199,'PVC SCH40'!$A$8:$M$375,11,FALSE),
IF($A199&lt;'PVC SCH40 LD'!$A$22,VLOOKUP($A199,'PVC SCH40 LD'!$A$8:$M$21,11,FALSE),
IF($A199&lt;'Pool &amp; SPA Sweep Elbows'!$A$12,VLOOKUP($A199,'Pool &amp; SPA Sweep Elbows'!$A$8:$M$11,11,FALSE),
IF($A199&lt;'Pool &amp; SPA Pipe Extender'!$A$11,VLOOKUP($A199,'Pool &amp; SPA Pipe Extender'!$A$8:$M$10,11,FALSE),
IF($A199&lt;'PVC SCH80'!$A$250,VLOOKUP($A199,'PVC SCH80'!$A$8:$M$249,11,FALSE),
IF($A199&lt;'PVC SCH80 Flange'!$A$49,VLOOKUP($A199,'PVC SCH80 Flange'!$A$8:$M$48,11,FALSE),
IF($A199&lt;'PVC SCH80 LD Flange'!$A$17,VLOOKUP($A199,'PVC SCH80 LD Flange'!$A$8:$M$16,11,FALSE),
IF($A199&lt;CPVC!$A$100,VLOOKUP($A199,CPVC!$A$8:$M$99,11,FALSE),
IF($A199&lt;InsertFittings!$A$237,VLOOKUP($A199,InsertFittings!$A$11:$M$236,11,FALSE),
IF($A199&lt;Valves!$A$132,VLOOKUP($A199,Valves!$A$8:$M$131,11,FALSE),
IF($A199&lt;SDR35SW!$A$124,VLOOKUP($A199,SDR35SW!$A$8:$M$123,11,FALSE),
IF($A199&lt;SDR35G!$A$143,VLOOKUP($A199, SDR35G!$A$8:$M$142,11,FALSE),
IF($A199&lt;SDR26G!$A$61,VLOOKUP($A199,SDR26G!$A$8:$N$60,12,FALSE),
IF($A199&lt;Cements!$A$100,VLOOKUP($A199,Cements!$A$8:$Q$99,15,FALSE),
IF($A199&lt;ValveBox!$A$143,VLOOKUP($A199,ValveBox!$A$10:$O$142,13,FALSE),
IF($A199&lt;'ValveBox Components'!$A$165,VLOOKUP($A199,'ValveBox Components'!$A$10:$O$164,13,FALSE),
IF($A199&lt;Drainage!$A$92,VLOOKUP($A199,Drainage!$A$8:$M$91,11,FALSE),
IF($A199&lt;Nipples!$A$82,VLOOKUP($A199,Nipples!$A$9:$Q$81,15,FALSE),
IF($A199&lt;Manifold!$A$33,VLOOKUP($A199,Manifold!$A$9:$M$32,11,FALSE),
IF($A199&lt;FlexibleRepairCouplings!$A$13,VLOOKUP($A199,FlexibleRepairCouplings!$A$10:$M$12,11,FALSE),
IF($A199&lt;DuraFix!$A$15,VLOOKUP($A199,DuraFix!$A$9:$M$14,11,FALSE),
IF($A199&lt;'Compression Fittings'!$A$16,VLOOKUP($A199,'Compression Fittings'!$A$8:$M$15,11,FALSE),
IF($A199&lt;'Hose Fittings'!$A$30,VLOOKUP($A199,'Hose Fittings'!$A$8:$M$29,11,FALSE),
IF($A199&lt;'Swing Joints'!$A$496,VLOOKUP($A199,'Swing Joints'!$A$9:$M$495,11,FALSE),
IF($A199&lt;'Swing Joints Components'!$A$135,VLOOKUP($A199,'Swing Joints Components'!$A$9:$M$134,11,FALSE),
IF($A199&lt;Nonstandard!$A$42,VLOOKUP($A199,Nonstandard!$A$31:$J$41,3,FALSE),"")))))))))))))))))))))))))))),"")</f>
        <v/>
      </c>
      <c r="H199" s="586" t="str">
        <f>IFERROR(IF($A199&lt;'DWV PVC'!$A$285,VLOOKUP($A199,'DWV PVC'!$A$8:$M$284,7,FALSE),
IF($A199&lt;'DWV ABS'!$A$117,VLOOKUP($A199,'DWV ABS'!$A$8:$M$116,7,FALSE),
IF($A199&lt;'PVC SCH40'!$A$376,VLOOKUP($A199,'PVC SCH40'!$A$8:$M$375,7,FALSE),
IF($A199&lt;'PVC SCH40 LD'!$A$22,VLOOKUP($A199,'PVC SCH40 LD'!$A$8:$M$21,7,FALSE),
IF($A199&lt;'Pool &amp; SPA Sweep Elbows'!$A$12,VLOOKUP($A199,'Pool &amp; SPA Sweep Elbows'!$A$8:$M$11,7,FALSE),
IF($A199&lt;'Pool &amp; SPA Pipe Extender'!$A$11,VLOOKUP($A199,'Pool &amp; SPA Pipe Extender'!$A$8:$M$10,7,FALSE),
IF($A199&lt;'PVC SCH80'!$A$250,VLOOKUP($A199,'PVC SCH80'!$A$8:$M$249,7,FALSE),
IF($A199&lt;'PVC SCH80 Flange'!$A$49,VLOOKUP($A199,'PVC SCH80 Flange'!$A$8:$M$48,7,FALSE),
IF($A199&lt;'PVC SCH80 LD Flange'!$A$17,VLOOKUP($A199,'PVC SCH80 LD Flange'!$A$8:$M$16,7,FALSE),
IF($A199&lt;CPVC!$A$100,VLOOKUP($A199,CPVC!$A$8:$M$99,7,FALSE),
IF($A199&lt;InsertFittings!$A$237,VLOOKUP($A199,InsertFittings!$A$11:$M$236,7,FALSE),
IF($A199&lt;Valves!$A$132,VLOOKUP($A199,Valves!$A$8:$M$131,7,FALSE),
IF($A199&lt;SDR35SW!$A$124,VLOOKUP($A199,SDR35SW!$A$8:$M$123,7,FALSE),
IF($A199&lt;SDR35G!$A$143,VLOOKUP($A199, SDR35G!$A$8:$M$142,7,FALSE),
IF($A199&lt;SDR26G!$A$61,VLOOKUP($A199,SDR26G!$A$8:$N$60,10,FALSE),
IF($A199&lt;Cements!$A$100,VLOOKUP($A199,Cements!$A$8:$Q$99,13,FALSE),
IF($A199&lt;ValveBox!$A$143,VLOOKUP($A199,ValveBox!$A$10:$O$142,11,FALSE),
IF($A199&lt;'ValveBox Components'!$A$165,VLOOKUP($A199,'ValveBox Components'!$A$10:$O$164,11,FALSE),
IF($A199&lt;Drainage!$A$92,VLOOKUP($A199,Drainage!$A$8:$M$91,7,FALSE),
IF($A199&lt;Nipples!$A$82,VLOOKUP($A199,Nipples!$A$9:$Q$81,13,FALSE),
IF($A199&lt;Manifold!$A$33,VLOOKUP($A199,Manifold!$A$9:$M$32,7,FALSE),
IF($A199&lt;FlexibleRepairCouplings!$A$13,VLOOKUP($A199,FlexibleRepairCouplings!$A$10:$M$12,7,FALSE),
IF($A199&lt;DuraFix!$A$15,VLOOKUP($A199,DuraFix!$A$9:$M$14,7,FALSE),
IF($A199&lt;'Compression Fittings'!$A$16,VLOOKUP($A199,'Compression Fittings'!$A$8:$M$15,7,FALSE),
IF($A199&lt;'Hose Fittings'!$A$30,VLOOKUP($A199,'Hose Fittings'!$A$8:$M$29,7,FALSE),
IF($A199&lt;'Swing Joints'!$A$496,VLOOKUP($A199,'Swing Joints'!$A$9:$M$495,7,FALSE),
IF($A199&lt;'Swing Joints Components'!$A$135,VLOOKUP($A199,'Swing Joints Components'!$A$9:$M$134,7,FALSE),
IF($A199&lt;Nonstandard!$A$42,VLOOKUP($A199,Nonstandard!$A$31:$J$41,3,FALSE),"")))))))))))))))))))))))))))),"")</f>
        <v/>
      </c>
      <c r="I199" s="587"/>
      <c r="J199" s="383" t="str">
        <f t="shared" si="5"/>
        <v/>
      </c>
      <c r="K199" s="417" t="str">
        <f>IFERROR(IF($A199&lt;'DWV PVC'!$A$285,VLOOKUP($A199,'DWV PVC'!$A$8:$M$284,10,FALSE),
IF($A199&lt;'DWV ABS'!$A$117,VLOOKUP($A199,'DWV ABS'!$A$8:$M$116,10,FALSE),
IF($A199&lt;'PVC SCH40'!$A$376,VLOOKUP($A199,'PVC SCH40'!$A$8:$M$375,10,FALSE),
IF($A199&lt;'PVC SCH40 LD'!$A$22,VLOOKUP($A199,'PVC SCH40 LD'!$A$8:$M$21,10,FALSE),
IF($A199&lt;'Pool &amp; SPA Sweep Elbows'!$A$12,VLOOKUP($A199,'Pool &amp; SPA Sweep Elbows'!$A$8:$M$11,10,FALSE),
IF($A199&lt;'Pool &amp; SPA Pipe Extender'!$A$11,VLOOKUP($A199,'Pool &amp; SPA Pipe Extender'!$A$8:$M$10,10,FALSE),
IF($A199&lt;'PVC SCH80'!$A$250,VLOOKUP($A199,'PVC SCH80'!$A$8:$M$249,10,FALSE),
IF($A199&lt;'PVC SCH80 Flange'!$A$49,VLOOKUP($A199,'PVC SCH80 Flange'!$A$8:$M$48,10,FALSE),
IF($A199&lt;'PVC SCH80 LD Flange'!$A$17,VLOOKUP($A199,'PVC SCH80 LD Flange'!$A$8:$M$16,10,FALSE),
IF($A199&lt;CPVC!$A$100,VLOOKUP($A199,CPVC!$A$8:$M$99,10,FALSE),
IF($A199&lt;InsertFittings!$A$237,VLOOKUP($A199,InsertFittings!$A$11:$M$236,10,FALSE),
IF($A199&lt;Valves!$A$132,VLOOKUP($A199,Valves!$A$8:$M$131,10,FALSE),
IF($A199&lt;SDR35SW!$A$124,VLOOKUP($A199,SDR35SW!$A$8:$M$123,10,FALSE),
IF($A199&lt;SDR35G!$A$143,VLOOKUP($A199, SDR35G!$A$8:$M$142,10,FALSE),
IF($A199&lt;SDR26G!$A$61,VLOOKUP($A199,SDR26G!$A$8:$N$60,11,FALSE),
IF($A199&lt;Cements!$A$100,VLOOKUP($A199,Cements!$A$8:$Q$99,14,FALSE),
IF($A199&lt;ValveBox!$A$143,VLOOKUP($A199,ValveBox!$A$10:$O$142,12,FALSE),
IF($A199&lt;'ValveBox Components'!$A$165,VLOOKUP($A199,'ValveBox Components'!$A$10:$O$164,12,FALSE),
IF($A199&lt;Drainage!$A$92,VLOOKUP($A199,Drainage!$A$8:$M$91,10,FALSE),
IF($A199&lt;Nipples!$A$82,VLOOKUP($A199,Nipples!$A$9:$Q$81,14,FALSE),
IF($A199&lt;Manifold!$A$33,VLOOKUP($A199,Manifold!$A$9:$M$32,10,FALSE),
IF($A199&lt;FlexibleRepairCouplings!$A$13,VLOOKUP($A199,FlexibleRepairCouplings!$A$10:$M$12,10,FALSE),
IF($A199&lt;DuraFix!$A$15,VLOOKUP($A199,DuraFix!$A$9:$M$14,10,FALSE),
IF($A199&lt;'Compression Fittings'!$A$16,VLOOKUP($A199,'Compression Fittings'!$A$8:$M$15,10,FALSE),
IF($A199&lt;'Hose Fittings'!$A$30,VLOOKUP($A199,'Hose Fittings'!$A$8:$M$29,10,FALSE),
IF($A199&lt;'Swing Joints'!$A$496,VLOOKUP($A199,'Swing Joints'!$A$9:$M$495,10,FALSE),
IF($A199&lt;'Swing Joints Components'!$A$135,VLOOKUP($A199,'Swing Joints Components'!$A$9:$M$134,10,FALSE),
IF($A199&lt;Nonstandard!$A$42,VLOOKUP($A199,Nonstandard!$A$31:$J$41,10,FALSE),"")))))))))))))))))))))))))))),"")</f>
        <v/>
      </c>
      <c r="L199" s="418" t="str">
        <f t="shared" si="4"/>
        <v>-</v>
      </c>
      <c r="M199" s="419"/>
    </row>
    <row r="200" spans="1:13" ht="15.75">
      <c r="A200" s="420">
        <v>168</v>
      </c>
      <c r="B200" s="420" t="str">
        <f>IFERROR(IF($A200&lt;'DWV PVC'!$A$285,VLOOKUP($A200,'DWV PVC'!$A$8:$M$284,4,FALSE),
IF($A200&lt;'DWV ABS'!$A$117,VLOOKUP($A200,'DWV ABS'!$A$8:$M$116,4,FALSE),
IF($A200&lt;'PVC SCH40'!$A$376,VLOOKUP($A200,'PVC SCH40'!$A$8:$M$375,4,FALSE),
IF($A200&lt;'PVC SCH40 LD'!$A$22,VLOOKUP($A200,'PVC SCH40 LD'!$A$8:$M$21,4,FALSE),
IF($A200&lt;'Pool &amp; SPA Sweep Elbows'!$A$12,VLOOKUP($A200,'Pool &amp; SPA Sweep Elbows'!$A$8:$M$11,4,FALSE),
IF($A200&lt;'Pool &amp; SPA Pipe Extender'!$A$11,VLOOKUP($A200,'Pool &amp; SPA Pipe Extender'!$A$8:$M$10,4,FALSE),
IF($A200&lt;'PVC SCH80'!$A$250,VLOOKUP($A200,'PVC SCH80'!$A$8:$M$249,4,FALSE),
IF($A200&lt;'PVC SCH80 Flange'!$A$49,VLOOKUP($A200,'PVC SCH80 Flange'!$A$8:$M$48,4,FALSE),
IF($A200&lt;'PVC SCH80 LD Flange'!$A$17,VLOOKUP($A200,'PVC SCH80 LD Flange'!$A$8:$M$16,4,FALSE),
IF($A200&lt;CPVC!$A$100,VLOOKUP($A200,CPVC!$A$8:$M$99,4,FALSE),
IF($A200&lt;InsertFittings!$A$237,VLOOKUP($A200,InsertFittings!$A$11:$M$236,4,FALSE),
IF($A200&lt;Valves!$A$132,VLOOKUP($A200,Valves!$A$8:$M$131,4,FALSE),
IF($A200&lt;SDR35SW!$A$124,VLOOKUP($A200,SDR35SW!$A$8:$M$123,4,FALSE),
IF($A200&lt;SDR35G!$A$143,VLOOKUP($A200, SDR35G!$A$8:$M$142,4,FALSE),
IF($A200&lt;SDR26G!$A$61,VLOOKUP($A200,SDR26G!$A$8:$N$60,4,FALSE),
IF($A200&lt;Cements!$A$100,VLOOKUP($A200,Cements!$A$8:$Q$99,4,FALSE),
IF($A200&lt;ValveBox!$A$143,VLOOKUP($A200,ValveBox!$A$10:$O$142,4,FALSE),
IF($A200&lt;'ValveBox Components'!$A$165,VLOOKUP($A200,'ValveBox Components'!$A$10:$O$164,4,FALSE),
IF($A200&lt;Drainage!$A$92,VLOOKUP($A200,Drainage!$A$8:$M$91,4,FALSE),
IF($A200&lt;Nipples!$A$82,VLOOKUP($A200,Nipples!$A$9:$Q$81,4,FALSE),
IF($A200&lt;Manifold!$A$33,VLOOKUP($A200,Manifold!$A$9:$M$32,4,FALSE),
IF($A200&lt;FlexibleRepairCouplings!$A$13,VLOOKUP($A200,FlexibleRepairCouplings!$A$10:$M$12,4,FALSE),
IF($A200&lt;DuraFix!$A$15,VLOOKUP($A200,DuraFix!$A$9:$M$14,4,FALSE),
IF($A200&lt;'Compression Fittings'!$A$16,VLOOKUP($A200,'Compression Fittings'!$A$8:$M$15,4,FALSE),
IF($A200&lt;'Hose Fittings'!$A$30,VLOOKUP($A200,'Hose Fittings'!$A$8:$M$29,4,FALSE),
IF($A200&lt;'Swing Joints'!$A$496,VLOOKUP($A200,'Swing Joints'!$A$9:$M$495,4,FALSE),
IF($A200&lt;'Swing Joints Components'!$A$135,VLOOKUP($A200,'Swing Joints Components'!$A$9:$M$134,4,FALSE),
IF($A200&lt;Nonstandard!$A$42,VLOOKUP($A200,Nonstandard!$A$31:$J$41,5,FALSE),"")))))))))))))))))))))))))))),"")</f>
        <v/>
      </c>
      <c r="C200" s="420" t="str">
        <f>IFERROR(IF($A200&lt;'DWV PVC'!$A$285,VLOOKUP($A200,'DWV PVC'!$A$8:$M$284,5,FALSE),
IF($A200&lt;'DWV ABS'!$A$117,VLOOKUP($A200,'DWV ABS'!$A$8:$M$116,5,FALSE),
IF($A200&lt;'PVC SCH40'!$A$376,VLOOKUP($A200,'PVC SCH40'!$A$8:$M$375,5,FALSE),
IF($A200&lt;'PVC SCH40 LD'!$A$22,VLOOKUP($A200,'PVC SCH40 LD'!$A$8:$M$21,5,FALSE),
IF($A200&lt;'Pool &amp; SPA Sweep Elbows'!$A$12,VLOOKUP($A200,'Pool &amp; SPA Sweep Elbows'!$A$8:$M$11,5,FALSE),
IF($A200&lt;'Pool &amp; SPA Pipe Extender'!$A$11,VLOOKUP($A200,'Pool &amp; SPA Pipe Extender'!$A$8:$M$10,5,FALSE),
IF($A200&lt;'PVC SCH80'!$A$250,VLOOKUP($A200,'PVC SCH80'!$A$8:$M$249,5,FALSE),
IF($A200&lt;'PVC SCH80 Flange'!$A$49,VLOOKUP($A200,'PVC SCH80 Flange'!$A$8:$M$48,5,FALSE),
IF($A200&lt;'PVC SCH80 LD Flange'!$A$17,VLOOKUP($A200,'PVC SCH80 LD Flange'!$A$8:$M$16,5,FALSE),
IF($A200&lt;CPVC!$A$100,VLOOKUP($A200,CPVC!$A$8:$M$99,5,FALSE),
IF($A200&lt;InsertFittings!$A$237,VLOOKUP($A200,InsertFittings!$A$11:$M$236,5,FALSE),
IF($A200&lt;Valves!$A$132,VLOOKUP($A200,Valves!$A$8:$M$131,5,FALSE),
IF($A200&lt;SDR35SW!$A$124,VLOOKUP($A200,SDR35SW!$A$8:$M$123,5,FALSE),
IF($A200&lt;SDR35G!$A$143,VLOOKUP($A200, SDR35G!$A$8:$M$142,5,FALSE),
IF($A200&lt;SDR26G!$A$61,VLOOKUP($A200,SDR26G!$A$8:$N$60,5,FALSE),
IF($A200&lt;Cements!$A$100,VLOOKUP($A200,Cements!$A$8:$Q$99,5,FALSE),
IF($A200&lt;ValveBox!$A$143,VLOOKUP($A200,ValveBox!$A$10:$O$142,5,FALSE),
IF($A200&lt;'ValveBox Components'!$A$165,VLOOKUP($A200,'ValveBox Components'!$A$10:$O$164,5,FALSE),
IF($A200&lt;Drainage!$A$92,VLOOKUP($A200,Drainage!$A$8:$M$91,5,FALSE),
IF($A200&lt;Nipples!$A$82,VLOOKUP($A200,Nipples!$A$9:$Q$81,5,FALSE),
IF($A200&lt;Manifold!$A$33,VLOOKUP($A200,Manifold!$A$9:$M$32,5,FALSE),
IF($A200&lt;FlexibleRepairCouplings!$A$13,VLOOKUP($A200,FlexibleRepairCouplings!$A$10:$M$12,5,FALSE),
IF($A200&lt;DuraFix!$A$15,VLOOKUP($A200,DuraFix!$A$9:$M$14,5,FALSE),
IF($A200&lt;'Compression Fittings'!$A$16,VLOOKUP($A200,'Compression Fittings'!$A$8:$M$15,5,FALSE),
IF($A200&lt;'Hose Fittings'!$A$30,VLOOKUP($A200,'Hose Fittings'!$A$8:$M$29,5,FALSE),
IF($A200&lt;'Swing Joints'!$A$496,VLOOKUP($A200,'Swing Joints'!$A$9:$M$495,5,FALSE),
IF($A200&lt;'Swing Joints Components'!$A$135,VLOOKUP($A200,'Swing Joints Components'!$A$9:$M$134,5,FALSE),
IF($A200&lt;Nonstandard!$A$42,VLOOKUP($A200,Nonstandard!$A$31:$J$41,6,FALSE),"")))))))))))))))))))))))))))),"")</f>
        <v/>
      </c>
      <c r="D200" s="428" t="str">
        <f>IFERROR(IF($A200&lt;'DWV PVC'!$A$285,VLOOKUP($A200,'DWV PVC'!$A$8:$M$284,6,FALSE),
IF($A200&lt;'DWV ABS'!$A$117,VLOOKUP($A200,'DWV ABS'!$A$8:$M$116,6,FALSE),
IF($A200&lt;'PVC SCH40'!$A$376,VLOOKUP($A200,'PVC SCH40'!$A$8:$M$375,6,FALSE),
IF($A200&lt;'PVC SCH40 LD'!$A$22,VLOOKUP($A200,'PVC SCH40 LD'!$A$8:$M$21,6,FALSE),
IF($A200&lt;'Pool &amp; SPA Sweep Elbows'!$A$12,VLOOKUP($A200,'Pool &amp; SPA Sweep Elbows'!$A$8:$M$11,6,FALSE),
IF($A200&lt;'Pool &amp; SPA Pipe Extender'!$A$11,VLOOKUP($A200,'Pool &amp; SPA Pipe Extender'!$A$8:$M$10,6,FALSE),
IF($A200&lt;'PVC SCH80'!$A$250,VLOOKUP($A200,'PVC SCH80'!$A$8:$M$249,6,FALSE),
IF($A200&lt;'PVC SCH80 Flange'!$A$49,VLOOKUP($A200,'PVC SCH80 Flange'!$A$8:$M$48,6,FALSE),
IF($A200&lt;'PVC SCH80 LD Flange'!$A$17,VLOOKUP($A200,'PVC SCH80 LD Flange'!$A$8:$M$16,6,FALSE),
IF($A200&lt;CPVC!$A$100,VLOOKUP($A200,CPVC!$A$8:$M$99,6,FALSE),
IF($A200&lt;InsertFittings!$A$237,VLOOKUP($A200,InsertFittings!$A$11:$M$236,6,FALSE),
IF($A200&lt;Valves!$A$132,VLOOKUP($A200,Valves!$A$8:$M$131,6,FALSE),
IF($A200&lt;SDR35SW!$A$124,VLOOKUP($A200,SDR35SW!$A$8:$M$123,6,FALSE),
IF($A200&lt;SDR35G!$A$143,VLOOKUP($A200, SDR35G!$A$8:$M$142,6,FALSE),
IF($A200&lt;SDR26G!$A$61,VLOOKUP($A200,SDR26G!$A$8:$N$60,6,FALSE),
IF($A200&lt;Cements!$A$100,VLOOKUP($A200,Cements!$A$8:$Q$99,6,FALSE),
IF($A200&lt;ValveBox!$A$143,VLOOKUP($A200,ValveBox!$A$10:$O$142,6,FALSE),
IF($A200&lt;'ValveBox Components'!$A$165,VLOOKUP($A200,'ValveBox Components'!$A$10:$O$164,6,FALSE),
IF($A200&lt;Drainage!$A$92,VLOOKUP($A200,Drainage!$A$8:$M$91,6,FALSE),
IF($A200&lt;Nipples!$A$82,VLOOKUP($A200,Nipples!$A$9:$Q$81,6,FALSE),
IF($A200&lt;Manifold!$A$33,VLOOKUP($A200,Manifold!$A$9:$M$32,6,FALSE),
IF($A200&lt;FlexibleRepairCouplings!$A$13,VLOOKUP($A200,FlexibleRepairCouplings!$A$10:$M$12,6,FALSE),
IF($A200&lt;DuraFix!$A$15,VLOOKUP($A200,DuraFix!$A$9:$M$14,6,FALSE),
IF($A200&lt;'Compression Fittings'!$A$16,VLOOKUP($A200,'Compression Fittings'!$A$8:$M$15,6,FALSE),
IF($A200&lt;'Hose Fittings'!$A$30,VLOOKUP($A200,'Hose Fittings'!$A$8:$M$29,6,FALSE),
IF($A200&lt;'Swing Joints'!$A$496,VLOOKUP($A200,'Swing Joints'!$A$9:$M$495,6,FALSE),
IF($A200&lt;'Swing Joints Components'!$A$135,VLOOKUP($A200,'Swing Joints Components'!$A$9:$M$134,6,FALSE),
IF($A200&lt;Nonstandard!$A$42,VLOOKUP($A200,Nonstandard!$A$31:$J$41,7,FALSE),"")))))))))))))))))))))))))))),"")</f>
        <v/>
      </c>
      <c r="E200" s="429"/>
      <c r="F200" s="421" t="str">
        <f>IFERROR(IF($A200&lt;'DWV PVC'!$A$285,VLOOKUP($A200,'DWV PVC'!$A$8:$M$284,9,FALSE),
IF($A200&lt;'DWV ABS'!$A$117,VLOOKUP($A200,'DWV ABS'!$A$8:$M$116,9,FALSE),
IF($A200&lt;'PVC SCH40'!$A$376,VLOOKUP($A200,'PVC SCH40'!$A$8:$M$375,9,FALSE),
IF($A200&lt;'PVC SCH40 LD'!$A$22,VLOOKUP($A200,'PVC SCH40 LD'!$A$8:$M$21,9,FALSE),
IF($A200&lt;'Pool &amp; SPA Sweep Elbows'!$A$12,VLOOKUP($A200,'Pool &amp; SPA Sweep Elbows'!$A$8:$M$11,9,FALSE),
IF($A200&lt;'Pool &amp; SPA Pipe Extender'!$A$11,VLOOKUP($A200,'Pool &amp; SPA Pipe Extender'!$A$8:$M$10,9,FALSE),
IF($A200&lt;'PVC SCH80'!$A$250,VLOOKUP($A200,'PVC SCH80'!$A$8:$M$249,9,FALSE),
IF($A200&lt;'PVC SCH80 Flange'!$A$49,VLOOKUP($A200,'PVC SCH80 Flange'!$A$8:$M$48,9,FALSE),
IF($A200&lt;'PVC SCH80 LD Flange'!$A$17,VLOOKUP($A200,'PVC SCH80 LD Flange'!$A$8:$M$16,9,FALSE),
IF($A200&lt;CPVC!$A$100,VLOOKUP($A200,CPVC!$A$8:$M$99,9,FALSE),
IF($A200&lt;InsertFittings!$A$237,VLOOKUP($A200,InsertFittings!$A$11:$M$236,9,FALSE),
IF($A200&lt;Valves!$A$132,VLOOKUP($A200,Valves!$A$8:$M$131,9,FALSE),
IF($A200&lt;SDR35SW!$A$124,VLOOKUP($A200,SDR35SW!$A$8:$M$123,9,FALSE),
IF($A200&lt;SDR35G!$A$143,VLOOKUP($A200, SDR35G!$A$8:$M$142,9,FALSE),
IF($A200&lt;SDR26G!$A$61,VLOOKUP($A200,SDR26G!$A$8:$N$60,10,FALSE),
IF($A200&lt;Cements!$A$100,VLOOKUP($A200,Cements!$A$8:$Q$99,13,FALSE),
IF($A200&lt;ValveBox!$A$143,VLOOKUP($A200,ValveBox!$A$10:$O$142,11,FALSE),
IF($A200&lt;'ValveBox Components'!$A$165,VLOOKUP($A200,'ValveBox Components'!$A$10:$O$164,11,FALSE),
IF($A200&lt;Drainage!$A$92,VLOOKUP($A200,Drainage!$A$8:$M$91,9,FALSE),
IF($A200&lt;Nipples!$A$82,VLOOKUP($A200,Nipples!$A$9:$Q$81,13,FALSE),
IF($A200&lt;Manifold!$A$33,VLOOKUP($A200,Manifold!$A$9:$M$32,9,FALSE),
IF($A200&lt;FlexibleRepairCouplings!$A$13,VLOOKUP($A200,FlexibleRepairCouplings!$A$10:$M$12,9,FALSE),
IF($A200&lt;DuraFix!$A$15,VLOOKUP($A200,DuraFix!$A$9:$M$14,9,FALSE),
IF($A200&lt;'Compression Fittings'!$A$16,VLOOKUP($A200,'Compression Fittings'!$A$8:$M$15,9,FALSE),
IF($A200&lt;'Hose Fittings'!$A$30,VLOOKUP($A200,'Hose Fittings'!$A$8:$M$29,9,FALSE),
IF($A200&lt;'Swing Joints'!$A$496,VLOOKUP($A200,'Swing Joints'!$A$9:$M$495,9,FALSE),
IF($A200&lt;'Swing Joints Components'!$A$135,VLOOKUP($A200,'Swing Joints Components'!$A$9:$M$134,9,FALSE),
IF($A200&lt;Nonstandard!$A$42,VLOOKUP($A200,Nonstandard!$A$31:$J$41,8,FALSE),"")))))))))))))))))))))))))))),"")</f>
        <v/>
      </c>
      <c r="G200" s="422" t="str">
        <f>IFERROR(IF($A200&lt;'DWV PVC'!$A$285,VLOOKUP($A200,'DWV PVC'!$A$8:$M$284,11,FALSE),
IF($A200&lt;'DWV ABS'!$A$117,VLOOKUP($A200,'DWV ABS'!$A$8:$M$116,11,FALSE),
IF($A200&lt;'PVC SCH40'!$A$376,VLOOKUP($A200,'PVC SCH40'!$A$8:$M$375,11,FALSE),
IF($A200&lt;'PVC SCH40 LD'!$A$22,VLOOKUP($A200,'PVC SCH40 LD'!$A$8:$M$21,11,FALSE),
IF($A200&lt;'Pool &amp; SPA Sweep Elbows'!$A$12,VLOOKUP($A200,'Pool &amp; SPA Sweep Elbows'!$A$8:$M$11,11,FALSE),
IF($A200&lt;'Pool &amp; SPA Pipe Extender'!$A$11,VLOOKUP($A200,'Pool &amp; SPA Pipe Extender'!$A$8:$M$10,11,FALSE),
IF($A200&lt;'PVC SCH80'!$A$250,VLOOKUP($A200,'PVC SCH80'!$A$8:$M$249,11,FALSE),
IF($A200&lt;'PVC SCH80 Flange'!$A$49,VLOOKUP($A200,'PVC SCH80 Flange'!$A$8:$M$48,11,FALSE),
IF($A200&lt;'PVC SCH80 LD Flange'!$A$17,VLOOKUP($A200,'PVC SCH80 LD Flange'!$A$8:$M$16,11,FALSE),
IF($A200&lt;CPVC!$A$100,VLOOKUP($A200,CPVC!$A$8:$M$99,11,FALSE),
IF($A200&lt;InsertFittings!$A$237,VLOOKUP($A200,InsertFittings!$A$11:$M$236,11,FALSE),
IF($A200&lt;Valves!$A$132,VLOOKUP($A200,Valves!$A$8:$M$131,11,FALSE),
IF($A200&lt;SDR35SW!$A$124,VLOOKUP($A200,SDR35SW!$A$8:$M$123,11,FALSE),
IF($A200&lt;SDR35G!$A$143,VLOOKUP($A200, SDR35G!$A$8:$M$142,11,FALSE),
IF($A200&lt;SDR26G!$A$61,VLOOKUP($A200,SDR26G!$A$8:$N$60,12,FALSE),
IF($A200&lt;Cements!$A$100,VLOOKUP($A200,Cements!$A$8:$Q$99,15,FALSE),
IF($A200&lt;ValveBox!$A$143,VLOOKUP($A200,ValveBox!$A$10:$O$142,13,FALSE),
IF($A200&lt;'ValveBox Components'!$A$165,VLOOKUP($A200,'ValveBox Components'!$A$10:$O$164,13,FALSE),
IF($A200&lt;Drainage!$A$92,VLOOKUP($A200,Drainage!$A$8:$M$91,11,FALSE),
IF($A200&lt;Nipples!$A$82,VLOOKUP($A200,Nipples!$A$9:$Q$81,15,FALSE),
IF($A200&lt;Manifold!$A$33,VLOOKUP($A200,Manifold!$A$9:$M$32,11,FALSE),
IF($A200&lt;FlexibleRepairCouplings!$A$13,VLOOKUP($A200,FlexibleRepairCouplings!$A$10:$M$12,11,FALSE),
IF($A200&lt;DuraFix!$A$15,VLOOKUP($A200,DuraFix!$A$9:$M$14,11,FALSE),
IF($A200&lt;'Compression Fittings'!$A$16,VLOOKUP($A200,'Compression Fittings'!$A$8:$M$15,11,FALSE),
IF($A200&lt;'Hose Fittings'!$A$30,VLOOKUP($A200,'Hose Fittings'!$A$8:$M$29,11,FALSE),
IF($A200&lt;'Swing Joints'!$A$496,VLOOKUP($A200,'Swing Joints'!$A$9:$M$495,11,FALSE),
IF($A200&lt;'Swing Joints Components'!$A$135,VLOOKUP($A200,'Swing Joints Components'!$A$9:$M$134,11,FALSE),
IF($A200&lt;Nonstandard!$A$42,VLOOKUP($A200,Nonstandard!$A$31:$J$41,3,FALSE),"")))))))))))))))))))))))))))),"")</f>
        <v/>
      </c>
      <c r="H200" s="588" t="str">
        <f>IFERROR(IF($A200&lt;'DWV PVC'!$A$285,VLOOKUP($A200,'DWV PVC'!$A$8:$M$284,7,FALSE),
IF($A200&lt;'DWV ABS'!$A$117,VLOOKUP($A200,'DWV ABS'!$A$8:$M$116,7,FALSE),
IF($A200&lt;'PVC SCH40'!$A$376,VLOOKUP($A200,'PVC SCH40'!$A$8:$M$375,7,FALSE),
IF($A200&lt;'PVC SCH40 LD'!$A$22,VLOOKUP($A200,'PVC SCH40 LD'!$A$8:$M$21,7,FALSE),
IF($A200&lt;'Pool &amp; SPA Sweep Elbows'!$A$12,VLOOKUP($A200,'Pool &amp; SPA Sweep Elbows'!$A$8:$M$11,7,FALSE),
IF($A200&lt;'Pool &amp; SPA Pipe Extender'!$A$11,VLOOKUP($A200,'Pool &amp; SPA Pipe Extender'!$A$8:$M$10,7,FALSE),
IF($A200&lt;'PVC SCH80'!$A$250,VLOOKUP($A200,'PVC SCH80'!$A$8:$M$249,7,FALSE),
IF($A200&lt;'PVC SCH80 Flange'!$A$49,VLOOKUP($A200,'PVC SCH80 Flange'!$A$8:$M$48,7,FALSE),
IF($A200&lt;'PVC SCH80 LD Flange'!$A$17,VLOOKUP($A200,'PVC SCH80 LD Flange'!$A$8:$M$16,7,FALSE),
IF($A200&lt;CPVC!$A$100,VLOOKUP($A200,CPVC!$A$8:$M$99,7,FALSE),
IF($A200&lt;InsertFittings!$A$237,VLOOKUP($A200,InsertFittings!$A$11:$M$236,7,FALSE),
IF($A200&lt;Valves!$A$132,VLOOKUP($A200,Valves!$A$8:$M$131,7,FALSE),
IF($A200&lt;SDR35SW!$A$124,VLOOKUP($A200,SDR35SW!$A$8:$M$123,7,FALSE),
IF($A200&lt;SDR35G!$A$143,VLOOKUP($A200, SDR35G!$A$8:$M$142,7,FALSE),
IF($A200&lt;SDR26G!$A$61,VLOOKUP($A200,SDR26G!$A$8:$N$60,10,FALSE),
IF($A200&lt;Cements!$A$100,VLOOKUP($A200,Cements!$A$8:$Q$99,13,FALSE),
IF($A200&lt;ValveBox!$A$143,VLOOKUP($A200,ValveBox!$A$10:$O$142,11,FALSE),
IF($A200&lt;'ValveBox Components'!$A$165,VLOOKUP($A200,'ValveBox Components'!$A$10:$O$164,11,FALSE),
IF($A200&lt;Drainage!$A$92,VLOOKUP($A200,Drainage!$A$8:$M$91,7,FALSE),
IF($A200&lt;Nipples!$A$82,VLOOKUP($A200,Nipples!$A$9:$Q$81,13,FALSE),
IF($A200&lt;Manifold!$A$33,VLOOKUP($A200,Manifold!$A$9:$M$32,7,FALSE),
IF($A200&lt;FlexibleRepairCouplings!$A$13,VLOOKUP($A200,FlexibleRepairCouplings!$A$10:$M$12,7,FALSE),
IF($A200&lt;DuraFix!$A$15,VLOOKUP($A200,DuraFix!$A$9:$M$14,7,FALSE),
IF($A200&lt;'Compression Fittings'!$A$16,VLOOKUP($A200,'Compression Fittings'!$A$8:$M$15,7,FALSE),
IF($A200&lt;'Hose Fittings'!$A$30,VLOOKUP($A200,'Hose Fittings'!$A$8:$M$29,7,FALSE),
IF($A200&lt;'Swing Joints'!$A$496,VLOOKUP($A200,'Swing Joints'!$A$9:$M$495,7,FALSE),
IF($A200&lt;'Swing Joints Components'!$A$135,VLOOKUP($A200,'Swing Joints Components'!$A$9:$M$134,7,FALSE),
IF($A200&lt;Nonstandard!$A$42,VLOOKUP($A200,Nonstandard!$A$31:$J$41,3,FALSE),"")))))))))))))))))))))))))))),"")</f>
        <v/>
      </c>
      <c r="I200" s="589"/>
      <c r="J200" s="423" t="str">
        <f t="shared" si="5"/>
        <v/>
      </c>
      <c r="K200" s="424" t="str">
        <f>IFERROR(IF($A200&lt;'DWV PVC'!$A$285,VLOOKUP($A200,'DWV PVC'!$A$8:$M$284,10,FALSE),
IF($A200&lt;'DWV ABS'!$A$117,VLOOKUP($A200,'DWV ABS'!$A$8:$M$116,10,FALSE),
IF($A200&lt;'PVC SCH40'!$A$376,VLOOKUP($A200,'PVC SCH40'!$A$8:$M$375,10,FALSE),
IF($A200&lt;'PVC SCH40 LD'!$A$22,VLOOKUP($A200,'PVC SCH40 LD'!$A$8:$M$21,10,FALSE),
IF($A200&lt;'Pool &amp; SPA Sweep Elbows'!$A$12,VLOOKUP($A200,'Pool &amp; SPA Sweep Elbows'!$A$8:$M$11,10,FALSE),
IF($A200&lt;'Pool &amp; SPA Pipe Extender'!$A$11,VLOOKUP($A200,'Pool &amp; SPA Pipe Extender'!$A$8:$M$10,10,FALSE),
IF($A200&lt;'PVC SCH80'!$A$250,VLOOKUP($A200,'PVC SCH80'!$A$8:$M$249,10,FALSE),
IF($A200&lt;'PVC SCH80 Flange'!$A$49,VLOOKUP($A200,'PVC SCH80 Flange'!$A$8:$M$48,10,FALSE),
IF($A200&lt;'PVC SCH80 LD Flange'!$A$17,VLOOKUP($A200,'PVC SCH80 LD Flange'!$A$8:$M$16,10,FALSE),
IF($A200&lt;CPVC!$A$100,VLOOKUP($A200,CPVC!$A$8:$M$99,10,FALSE),
IF($A200&lt;InsertFittings!$A$237,VLOOKUP($A200,InsertFittings!$A$11:$M$236,10,FALSE),
IF($A200&lt;Valves!$A$132,VLOOKUP($A200,Valves!$A$8:$M$131,10,FALSE),
IF($A200&lt;SDR35SW!$A$124,VLOOKUP($A200,SDR35SW!$A$8:$M$123,10,FALSE),
IF($A200&lt;SDR35G!$A$143,VLOOKUP($A200, SDR35G!$A$8:$M$142,10,FALSE),
IF($A200&lt;SDR26G!$A$61,VLOOKUP($A200,SDR26G!$A$8:$N$60,11,FALSE),
IF($A200&lt;Cements!$A$100,VLOOKUP($A200,Cements!$A$8:$Q$99,14,FALSE),
IF($A200&lt;ValveBox!$A$143,VLOOKUP($A200,ValveBox!$A$10:$O$142,12,FALSE),
IF($A200&lt;'ValveBox Components'!$A$165,VLOOKUP($A200,'ValveBox Components'!$A$10:$O$164,12,FALSE),
IF($A200&lt;Drainage!$A$92,VLOOKUP($A200,Drainage!$A$8:$M$91,10,FALSE),
IF($A200&lt;Nipples!$A$82,VLOOKUP($A200,Nipples!$A$9:$Q$81,14,FALSE),
IF($A200&lt;Manifold!$A$33,VLOOKUP($A200,Manifold!$A$9:$M$32,10,FALSE),
IF($A200&lt;FlexibleRepairCouplings!$A$13,VLOOKUP($A200,FlexibleRepairCouplings!$A$10:$M$12,10,FALSE),
IF($A200&lt;DuraFix!$A$15,VLOOKUP($A200,DuraFix!$A$9:$M$14,10,FALSE),
IF($A200&lt;'Compression Fittings'!$A$16,VLOOKUP($A200,'Compression Fittings'!$A$8:$M$15,10,FALSE),
IF($A200&lt;'Hose Fittings'!$A$30,VLOOKUP($A200,'Hose Fittings'!$A$8:$M$29,10,FALSE),
IF($A200&lt;'Swing Joints'!$A$496,VLOOKUP($A200,'Swing Joints'!$A$9:$M$495,10,FALSE),
IF($A200&lt;'Swing Joints Components'!$A$135,VLOOKUP($A200,'Swing Joints Components'!$A$9:$M$134,10,FALSE),
IF($A200&lt;Nonstandard!$A$42,VLOOKUP($A200,Nonstandard!$A$31:$J$41,10,FALSE),"")))))))))))))))))))))))))))),"")</f>
        <v/>
      </c>
      <c r="L200" s="421" t="str">
        <f t="shared" si="4"/>
        <v>-</v>
      </c>
      <c r="M200" s="425"/>
    </row>
    <row r="201" spans="1:13" ht="15.75">
      <c r="A201" s="415">
        <v>169</v>
      </c>
      <c r="B201" s="415" t="str">
        <f>IFERROR(IF($A201&lt;'DWV PVC'!$A$285,VLOOKUP($A201,'DWV PVC'!$A$8:$M$284,4,FALSE),
IF($A201&lt;'DWV ABS'!$A$117,VLOOKUP($A201,'DWV ABS'!$A$8:$M$116,4,FALSE),
IF($A201&lt;'PVC SCH40'!$A$376,VLOOKUP($A201,'PVC SCH40'!$A$8:$M$375,4,FALSE),
IF($A201&lt;'PVC SCH40 LD'!$A$22,VLOOKUP($A201,'PVC SCH40 LD'!$A$8:$M$21,4,FALSE),
IF($A201&lt;'Pool &amp; SPA Sweep Elbows'!$A$12,VLOOKUP($A201,'Pool &amp; SPA Sweep Elbows'!$A$8:$M$11,4,FALSE),
IF($A201&lt;'Pool &amp; SPA Pipe Extender'!$A$11,VLOOKUP($A201,'Pool &amp; SPA Pipe Extender'!$A$8:$M$10,4,FALSE),
IF($A201&lt;'PVC SCH80'!$A$250,VLOOKUP($A201,'PVC SCH80'!$A$8:$M$249,4,FALSE),
IF($A201&lt;'PVC SCH80 Flange'!$A$49,VLOOKUP($A201,'PVC SCH80 Flange'!$A$8:$M$48,4,FALSE),
IF($A201&lt;'PVC SCH80 LD Flange'!$A$17,VLOOKUP($A201,'PVC SCH80 LD Flange'!$A$8:$M$16,4,FALSE),
IF($A201&lt;CPVC!$A$100,VLOOKUP($A201,CPVC!$A$8:$M$99,4,FALSE),
IF($A201&lt;InsertFittings!$A$237,VLOOKUP($A201,InsertFittings!$A$11:$M$236,4,FALSE),
IF($A201&lt;Valves!$A$132,VLOOKUP($A201,Valves!$A$8:$M$131,4,FALSE),
IF($A201&lt;SDR35SW!$A$124,VLOOKUP($A201,SDR35SW!$A$8:$M$123,4,FALSE),
IF($A201&lt;SDR35G!$A$143,VLOOKUP($A201, SDR35G!$A$8:$M$142,4,FALSE),
IF($A201&lt;SDR26G!$A$61,VLOOKUP($A201,SDR26G!$A$8:$N$60,4,FALSE),
IF($A201&lt;Cements!$A$100,VLOOKUP($A201,Cements!$A$8:$Q$99,4,FALSE),
IF($A201&lt;ValveBox!$A$143,VLOOKUP($A201,ValveBox!$A$10:$O$142,4,FALSE),
IF($A201&lt;'ValveBox Components'!$A$165,VLOOKUP($A201,'ValveBox Components'!$A$10:$O$164,4,FALSE),
IF($A201&lt;Drainage!$A$92,VLOOKUP($A201,Drainage!$A$8:$M$91,4,FALSE),
IF($A201&lt;Nipples!$A$82,VLOOKUP($A201,Nipples!$A$9:$Q$81,4,FALSE),
IF($A201&lt;Manifold!$A$33,VLOOKUP($A201,Manifold!$A$9:$M$32,4,FALSE),
IF($A201&lt;FlexibleRepairCouplings!$A$13,VLOOKUP($A201,FlexibleRepairCouplings!$A$10:$M$12,4,FALSE),
IF($A201&lt;DuraFix!$A$15,VLOOKUP($A201,DuraFix!$A$9:$M$14,4,FALSE),
IF($A201&lt;'Compression Fittings'!$A$16,VLOOKUP($A201,'Compression Fittings'!$A$8:$M$15,4,FALSE),
IF($A201&lt;'Hose Fittings'!$A$30,VLOOKUP($A201,'Hose Fittings'!$A$8:$M$29,4,FALSE),
IF($A201&lt;'Swing Joints'!$A$496,VLOOKUP($A201,'Swing Joints'!$A$9:$M$495,4,FALSE),
IF($A201&lt;'Swing Joints Components'!$A$135,VLOOKUP($A201,'Swing Joints Components'!$A$9:$M$134,4,FALSE),
IF($A201&lt;Nonstandard!$A$42,VLOOKUP($A201,Nonstandard!$A$31:$J$41,5,FALSE),"")))))))))))))))))))))))))))),"")</f>
        <v/>
      </c>
      <c r="C201" s="415" t="str">
        <f>IFERROR(IF($A201&lt;'DWV PVC'!$A$285,VLOOKUP($A201,'DWV PVC'!$A$8:$M$284,5,FALSE),
IF($A201&lt;'DWV ABS'!$A$117,VLOOKUP($A201,'DWV ABS'!$A$8:$M$116,5,FALSE),
IF($A201&lt;'PVC SCH40'!$A$376,VLOOKUP($A201,'PVC SCH40'!$A$8:$M$375,5,FALSE),
IF($A201&lt;'PVC SCH40 LD'!$A$22,VLOOKUP($A201,'PVC SCH40 LD'!$A$8:$M$21,5,FALSE),
IF($A201&lt;'Pool &amp; SPA Sweep Elbows'!$A$12,VLOOKUP($A201,'Pool &amp; SPA Sweep Elbows'!$A$8:$M$11,5,FALSE),
IF($A201&lt;'Pool &amp; SPA Pipe Extender'!$A$11,VLOOKUP($A201,'Pool &amp; SPA Pipe Extender'!$A$8:$M$10,5,FALSE),
IF($A201&lt;'PVC SCH80'!$A$250,VLOOKUP($A201,'PVC SCH80'!$A$8:$M$249,5,FALSE),
IF($A201&lt;'PVC SCH80 Flange'!$A$49,VLOOKUP($A201,'PVC SCH80 Flange'!$A$8:$M$48,5,FALSE),
IF($A201&lt;'PVC SCH80 LD Flange'!$A$17,VLOOKUP($A201,'PVC SCH80 LD Flange'!$A$8:$M$16,5,FALSE),
IF($A201&lt;CPVC!$A$100,VLOOKUP($A201,CPVC!$A$8:$M$99,5,FALSE),
IF($A201&lt;InsertFittings!$A$237,VLOOKUP($A201,InsertFittings!$A$11:$M$236,5,FALSE),
IF($A201&lt;Valves!$A$132,VLOOKUP($A201,Valves!$A$8:$M$131,5,FALSE),
IF($A201&lt;SDR35SW!$A$124,VLOOKUP($A201,SDR35SW!$A$8:$M$123,5,FALSE),
IF($A201&lt;SDR35G!$A$143,VLOOKUP($A201, SDR35G!$A$8:$M$142,5,FALSE),
IF($A201&lt;SDR26G!$A$61,VLOOKUP($A201,SDR26G!$A$8:$N$60,5,FALSE),
IF($A201&lt;Cements!$A$100,VLOOKUP($A201,Cements!$A$8:$Q$99,5,FALSE),
IF($A201&lt;ValveBox!$A$143,VLOOKUP($A201,ValveBox!$A$10:$O$142,5,FALSE),
IF($A201&lt;'ValveBox Components'!$A$165,VLOOKUP($A201,'ValveBox Components'!$A$10:$O$164,5,FALSE),
IF($A201&lt;Drainage!$A$92,VLOOKUP($A201,Drainage!$A$8:$M$91,5,FALSE),
IF($A201&lt;Nipples!$A$82,VLOOKUP($A201,Nipples!$A$9:$Q$81,5,FALSE),
IF($A201&lt;Manifold!$A$33,VLOOKUP($A201,Manifold!$A$9:$M$32,5,FALSE),
IF($A201&lt;FlexibleRepairCouplings!$A$13,VLOOKUP($A201,FlexibleRepairCouplings!$A$10:$M$12,5,FALSE),
IF($A201&lt;DuraFix!$A$15,VLOOKUP($A201,DuraFix!$A$9:$M$14,5,FALSE),
IF($A201&lt;'Compression Fittings'!$A$16,VLOOKUP($A201,'Compression Fittings'!$A$8:$M$15,5,FALSE),
IF($A201&lt;'Hose Fittings'!$A$30,VLOOKUP($A201,'Hose Fittings'!$A$8:$M$29,5,FALSE),
IF($A201&lt;'Swing Joints'!$A$496,VLOOKUP($A201,'Swing Joints'!$A$9:$M$495,5,FALSE),
IF($A201&lt;'Swing Joints Components'!$A$135,VLOOKUP($A201,'Swing Joints Components'!$A$9:$M$134,5,FALSE),
IF($A201&lt;Nonstandard!$A$42,VLOOKUP($A201,Nonstandard!$A$31:$J$41,6,FALSE),"")))))))))))))))))))))))))))),"")</f>
        <v/>
      </c>
      <c r="D201" s="426" t="str">
        <f>IFERROR(IF($A201&lt;'DWV PVC'!$A$285,VLOOKUP($A201,'DWV PVC'!$A$8:$M$284,6,FALSE),
IF($A201&lt;'DWV ABS'!$A$117,VLOOKUP($A201,'DWV ABS'!$A$8:$M$116,6,FALSE),
IF($A201&lt;'PVC SCH40'!$A$376,VLOOKUP($A201,'PVC SCH40'!$A$8:$M$375,6,FALSE),
IF($A201&lt;'PVC SCH40 LD'!$A$22,VLOOKUP($A201,'PVC SCH40 LD'!$A$8:$M$21,6,FALSE),
IF($A201&lt;'Pool &amp; SPA Sweep Elbows'!$A$12,VLOOKUP($A201,'Pool &amp; SPA Sweep Elbows'!$A$8:$M$11,6,FALSE),
IF($A201&lt;'Pool &amp; SPA Pipe Extender'!$A$11,VLOOKUP($A201,'Pool &amp; SPA Pipe Extender'!$A$8:$M$10,6,FALSE),
IF($A201&lt;'PVC SCH80'!$A$250,VLOOKUP($A201,'PVC SCH80'!$A$8:$M$249,6,FALSE),
IF($A201&lt;'PVC SCH80 Flange'!$A$49,VLOOKUP($A201,'PVC SCH80 Flange'!$A$8:$M$48,6,FALSE),
IF($A201&lt;'PVC SCH80 LD Flange'!$A$17,VLOOKUP($A201,'PVC SCH80 LD Flange'!$A$8:$M$16,6,FALSE),
IF($A201&lt;CPVC!$A$100,VLOOKUP($A201,CPVC!$A$8:$M$99,6,FALSE),
IF($A201&lt;InsertFittings!$A$237,VLOOKUP($A201,InsertFittings!$A$11:$M$236,6,FALSE),
IF($A201&lt;Valves!$A$132,VLOOKUP($A201,Valves!$A$8:$M$131,6,FALSE),
IF($A201&lt;SDR35SW!$A$124,VLOOKUP($A201,SDR35SW!$A$8:$M$123,6,FALSE),
IF($A201&lt;SDR35G!$A$143,VLOOKUP($A201, SDR35G!$A$8:$M$142,6,FALSE),
IF($A201&lt;SDR26G!$A$61,VLOOKUP($A201,SDR26G!$A$8:$N$60,6,FALSE),
IF($A201&lt;Cements!$A$100,VLOOKUP($A201,Cements!$A$8:$Q$99,6,FALSE),
IF($A201&lt;ValveBox!$A$143,VLOOKUP($A201,ValveBox!$A$10:$O$142,6,FALSE),
IF($A201&lt;'ValveBox Components'!$A$165,VLOOKUP($A201,'ValveBox Components'!$A$10:$O$164,6,FALSE),
IF($A201&lt;Drainage!$A$92,VLOOKUP($A201,Drainage!$A$8:$M$91,6,FALSE),
IF($A201&lt;Nipples!$A$82,VLOOKUP($A201,Nipples!$A$9:$Q$81,6,FALSE),
IF($A201&lt;Manifold!$A$33,VLOOKUP($A201,Manifold!$A$9:$M$32,6,FALSE),
IF($A201&lt;FlexibleRepairCouplings!$A$13,VLOOKUP($A201,FlexibleRepairCouplings!$A$10:$M$12,6,FALSE),
IF($A201&lt;DuraFix!$A$15,VLOOKUP($A201,DuraFix!$A$9:$M$14,6,FALSE),
IF($A201&lt;'Compression Fittings'!$A$16,VLOOKUP($A201,'Compression Fittings'!$A$8:$M$15,6,FALSE),
IF($A201&lt;'Hose Fittings'!$A$30,VLOOKUP($A201,'Hose Fittings'!$A$8:$M$29,6,FALSE),
IF($A201&lt;'Swing Joints'!$A$496,VLOOKUP($A201,'Swing Joints'!$A$9:$M$495,6,FALSE),
IF($A201&lt;'Swing Joints Components'!$A$135,VLOOKUP($A201,'Swing Joints Components'!$A$9:$M$134,6,FALSE),
IF($A201&lt;Nonstandard!$A$42,VLOOKUP($A201,Nonstandard!$A$31:$J$41,7,FALSE),"")))))))))))))))))))))))))))),"")</f>
        <v/>
      </c>
      <c r="E201" s="427"/>
      <c r="F201" s="418" t="str">
        <f>IFERROR(IF($A201&lt;'DWV PVC'!$A$285,VLOOKUP($A201,'DWV PVC'!$A$8:$M$284,9,FALSE),
IF($A201&lt;'DWV ABS'!$A$117,VLOOKUP($A201,'DWV ABS'!$A$8:$M$116,9,FALSE),
IF($A201&lt;'PVC SCH40'!$A$376,VLOOKUP($A201,'PVC SCH40'!$A$8:$M$375,9,FALSE),
IF($A201&lt;'PVC SCH40 LD'!$A$22,VLOOKUP($A201,'PVC SCH40 LD'!$A$8:$M$21,9,FALSE),
IF($A201&lt;'Pool &amp; SPA Sweep Elbows'!$A$12,VLOOKUP($A201,'Pool &amp; SPA Sweep Elbows'!$A$8:$M$11,9,FALSE),
IF($A201&lt;'Pool &amp; SPA Pipe Extender'!$A$11,VLOOKUP($A201,'Pool &amp; SPA Pipe Extender'!$A$8:$M$10,9,FALSE),
IF($A201&lt;'PVC SCH80'!$A$250,VLOOKUP($A201,'PVC SCH80'!$A$8:$M$249,9,FALSE),
IF($A201&lt;'PVC SCH80 Flange'!$A$49,VLOOKUP($A201,'PVC SCH80 Flange'!$A$8:$M$48,9,FALSE),
IF($A201&lt;'PVC SCH80 LD Flange'!$A$17,VLOOKUP($A201,'PVC SCH80 LD Flange'!$A$8:$M$16,9,FALSE),
IF($A201&lt;CPVC!$A$100,VLOOKUP($A201,CPVC!$A$8:$M$99,9,FALSE),
IF($A201&lt;InsertFittings!$A$237,VLOOKUP($A201,InsertFittings!$A$11:$M$236,9,FALSE),
IF($A201&lt;Valves!$A$132,VLOOKUP($A201,Valves!$A$8:$M$131,9,FALSE),
IF($A201&lt;SDR35SW!$A$124,VLOOKUP($A201,SDR35SW!$A$8:$M$123,9,FALSE),
IF($A201&lt;SDR35G!$A$143,VLOOKUP($A201, SDR35G!$A$8:$M$142,9,FALSE),
IF($A201&lt;SDR26G!$A$61,VLOOKUP($A201,SDR26G!$A$8:$N$60,10,FALSE),
IF($A201&lt;Cements!$A$100,VLOOKUP($A201,Cements!$A$8:$Q$99,13,FALSE),
IF($A201&lt;ValveBox!$A$143,VLOOKUP($A201,ValveBox!$A$10:$O$142,11,FALSE),
IF($A201&lt;'ValveBox Components'!$A$165,VLOOKUP($A201,'ValveBox Components'!$A$10:$O$164,11,FALSE),
IF($A201&lt;Drainage!$A$92,VLOOKUP($A201,Drainage!$A$8:$M$91,9,FALSE),
IF($A201&lt;Nipples!$A$82,VLOOKUP($A201,Nipples!$A$9:$Q$81,13,FALSE),
IF($A201&lt;Manifold!$A$33,VLOOKUP($A201,Manifold!$A$9:$M$32,9,FALSE),
IF($A201&lt;FlexibleRepairCouplings!$A$13,VLOOKUP($A201,FlexibleRepairCouplings!$A$10:$M$12,9,FALSE),
IF($A201&lt;DuraFix!$A$15,VLOOKUP($A201,DuraFix!$A$9:$M$14,9,FALSE),
IF($A201&lt;'Compression Fittings'!$A$16,VLOOKUP($A201,'Compression Fittings'!$A$8:$M$15,9,FALSE),
IF($A201&lt;'Hose Fittings'!$A$30,VLOOKUP($A201,'Hose Fittings'!$A$8:$M$29,9,FALSE),
IF($A201&lt;'Swing Joints'!$A$496,VLOOKUP($A201,'Swing Joints'!$A$9:$M$495,9,FALSE),
IF($A201&lt;'Swing Joints Components'!$A$135,VLOOKUP($A201,'Swing Joints Components'!$A$9:$M$134,9,FALSE),
IF($A201&lt;Nonstandard!$A$42,VLOOKUP($A201,Nonstandard!$A$31:$J$41,8,FALSE),"")))))))))))))))))))))))))))),"")</f>
        <v/>
      </c>
      <c r="G201" s="416" t="str">
        <f>IFERROR(IF($A201&lt;'DWV PVC'!$A$285,VLOOKUP($A201,'DWV PVC'!$A$8:$M$284,11,FALSE),
IF($A201&lt;'DWV ABS'!$A$117,VLOOKUP($A201,'DWV ABS'!$A$8:$M$116,11,FALSE),
IF($A201&lt;'PVC SCH40'!$A$376,VLOOKUP($A201,'PVC SCH40'!$A$8:$M$375,11,FALSE),
IF($A201&lt;'PVC SCH40 LD'!$A$22,VLOOKUP($A201,'PVC SCH40 LD'!$A$8:$M$21,11,FALSE),
IF($A201&lt;'Pool &amp; SPA Sweep Elbows'!$A$12,VLOOKUP($A201,'Pool &amp; SPA Sweep Elbows'!$A$8:$M$11,11,FALSE),
IF($A201&lt;'Pool &amp; SPA Pipe Extender'!$A$11,VLOOKUP($A201,'Pool &amp; SPA Pipe Extender'!$A$8:$M$10,11,FALSE),
IF($A201&lt;'PVC SCH80'!$A$250,VLOOKUP($A201,'PVC SCH80'!$A$8:$M$249,11,FALSE),
IF($A201&lt;'PVC SCH80 Flange'!$A$49,VLOOKUP($A201,'PVC SCH80 Flange'!$A$8:$M$48,11,FALSE),
IF($A201&lt;'PVC SCH80 LD Flange'!$A$17,VLOOKUP($A201,'PVC SCH80 LD Flange'!$A$8:$M$16,11,FALSE),
IF($A201&lt;CPVC!$A$100,VLOOKUP($A201,CPVC!$A$8:$M$99,11,FALSE),
IF($A201&lt;InsertFittings!$A$237,VLOOKUP($A201,InsertFittings!$A$11:$M$236,11,FALSE),
IF($A201&lt;Valves!$A$132,VLOOKUP($A201,Valves!$A$8:$M$131,11,FALSE),
IF($A201&lt;SDR35SW!$A$124,VLOOKUP($A201,SDR35SW!$A$8:$M$123,11,FALSE),
IF($A201&lt;SDR35G!$A$143,VLOOKUP($A201, SDR35G!$A$8:$M$142,11,FALSE),
IF($A201&lt;SDR26G!$A$61,VLOOKUP($A201,SDR26G!$A$8:$N$60,12,FALSE),
IF($A201&lt;Cements!$A$100,VLOOKUP($A201,Cements!$A$8:$Q$99,15,FALSE),
IF($A201&lt;ValveBox!$A$143,VLOOKUP($A201,ValveBox!$A$10:$O$142,13,FALSE),
IF($A201&lt;'ValveBox Components'!$A$165,VLOOKUP($A201,'ValveBox Components'!$A$10:$O$164,13,FALSE),
IF($A201&lt;Drainage!$A$92,VLOOKUP($A201,Drainage!$A$8:$M$91,11,FALSE),
IF($A201&lt;Nipples!$A$82,VLOOKUP($A201,Nipples!$A$9:$Q$81,15,FALSE),
IF($A201&lt;Manifold!$A$33,VLOOKUP($A201,Manifold!$A$9:$M$32,11,FALSE),
IF($A201&lt;FlexibleRepairCouplings!$A$13,VLOOKUP($A201,FlexibleRepairCouplings!$A$10:$M$12,11,FALSE),
IF($A201&lt;DuraFix!$A$15,VLOOKUP($A201,DuraFix!$A$9:$M$14,11,FALSE),
IF($A201&lt;'Compression Fittings'!$A$16,VLOOKUP($A201,'Compression Fittings'!$A$8:$M$15,11,FALSE),
IF($A201&lt;'Hose Fittings'!$A$30,VLOOKUP($A201,'Hose Fittings'!$A$8:$M$29,11,FALSE),
IF($A201&lt;'Swing Joints'!$A$496,VLOOKUP($A201,'Swing Joints'!$A$9:$M$495,11,FALSE),
IF($A201&lt;'Swing Joints Components'!$A$135,VLOOKUP($A201,'Swing Joints Components'!$A$9:$M$134,11,FALSE),
IF($A201&lt;Nonstandard!$A$42,VLOOKUP($A201,Nonstandard!$A$31:$J$41,3,FALSE),"")))))))))))))))))))))))))))),"")</f>
        <v/>
      </c>
      <c r="H201" s="586" t="str">
        <f>IFERROR(IF($A201&lt;'DWV PVC'!$A$285,VLOOKUP($A201,'DWV PVC'!$A$8:$M$284,7,FALSE),
IF($A201&lt;'DWV ABS'!$A$117,VLOOKUP($A201,'DWV ABS'!$A$8:$M$116,7,FALSE),
IF($A201&lt;'PVC SCH40'!$A$376,VLOOKUP($A201,'PVC SCH40'!$A$8:$M$375,7,FALSE),
IF($A201&lt;'PVC SCH40 LD'!$A$22,VLOOKUP($A201,'PVC SCH40 LD'!$A$8:$M$21,7,FALSE),
IF($A201&lt;'Pool &amp; SPA Sweep Elbows'!$A$12,VLOOKUP($A201,'Pool &amp; SPA Sweep Elbows'!$A$8:$M$11,7,FALSE),
IF($A201&lt;'Pool &amp; SPA Pipe Extender'!$A$11,VLOOKUP($A201,'Pool &amp; SPA Pipe Extender'!$A$8:$M$10,7,FALSE),
IF($A201&lt;'PVC SCH80'!$A$250,VLOOKUP($A201,'PVC SCH80'!$A$8:$M$249,7,FALSE),
IF($A201&lt;'PVC SCH80 Flange'!$A$49,VLOOKUP($A201,'PVC SCH80 Flange'!$A$8:$M$48,7,FALSE),
IF($A201&lt;'PVC SCH80 LD Flange'!$A$17,VLOOKUP($A201,'PVC SCH80 LD Flange'!$A$8:$M$16,7,FALSE),
IF($A201&lt;CPVC!$A$100,VLOOKUP($A201,CPVC!$A$8:$M$99,7,FALSE),
IF($A201&lt;InsertFittings!$A$237,VLOOKUP($A201,InsertFittings!$A$11:$M$236,7,FALSE),
IF($A201&lt;Valves!$A$132,VLOOKUP($A201,Valves!$A$8:$M$131,7,FALSE),
IF($A201&lt;SDR35SW!$A$124,VLOOKUP($A201,SDR35SW!$A$8:$M$123,7,FALSE),
IF($A201&lt;SDR35G!$A$143,VLOOKUP($A201, SDR35G!$A$8:$M$142,7,FALSE),
IF($A201&lt;SDR26G!$A$61,VLOOKUP($A201,SDR26G!$A$8:$N$60,10,FALSE),
IF($A201&lt;Cements!$A$100,VLOOKUP($A201,Cements!$A$8:$Q$99,13,FALSE),
IF($A201&lt;ValveBox!$A$143,VLOOKUP($A201,ValveBox!$A$10:$O$142,11,FALSE),
IF($A201&lt;'ValveBox Components'!$A$165,VLOOKUP($A201,'ValveBox Components'!$A$10:$O$164,11,FALSE),
IF($A201&lt;Drainage!$A$92,VLOOKUP($A201,Drainage!$A$8:$M$91,7,FALSE),
IF($A201&lt;Nipples!$A$82,VLOOKUP($A201,Nipples!$A$9:$Q$81,13,FALSE),
IF($A201&lt;Manifold!$A$33,VLOOKUP($A201,Manifold!$A$9:$M$32,7,FALSE),
IF($A201&lt;FlexibleRepairCouplings!$A$13,VLOOKUP($A201,FlexibleRepairCouplings!$A$10:$M$12,7,FALSE),
IF($A201&lt;DuraFix!$A$15,VLOOKUP($A201,DuraFix!$A$9:$M$14,7,FALSE),
IF($A201&lt;'Compression Fittings'!$A$16,VLOOKUP($A201,'Compression Fittings'!$A$8:$M$15,7,FALSE),
IF($A201&lt;'Hose Fittings'!$A$30,VLOOKUP($A201,'Hose Fittings'!$A$8:$M$29,7,FALSE),
IF($A201&lt;'Swing Joints'!$A$496,VLOOKUP($A201,'Swing Joints'!$A$9:$M$495,7,FALSE),
IF($A201&lt;'Swing Joints Components'!$A$135,VLOOKUP($A201,'Swing Joints Components'!$A$9:$M$134,7,FALSE),
IF($A201&lt;Nonstandard!$A$42,VLOOKUP($A201,Nonstandard!$A$31:$J$41,3,FALSE),"")))))))))))))))))))))))))))),"")</f>
        <v/>
      </c>
      <c r="I201" s="587"/>
      <c r="J201" s="383" t="str">
        <f t="shared" si="5"/>
        <v/>
      </c>
      <c r="K201" s="417" t="str">
        <f>IFERROR(IF($A201&lt;'DWV PVC'!$A$285,VLOOKUP($A201,'DWV PVC'!$A$8:$M$284,10,FALSE),
IF($A201&lt;'DWV ABS'!$A$117,VLOOKUP($A201,'DWV ABS'!$A$8:$M$116,10,FALSE),
IF($A201&lt;'PVC SCH40'!$A$376,VLOOKUP($A201,'PVC SCH40'!$A$8:$M$375,10,FALSE),
IF($A201&lt;'PVC SCH40 LD'!$A$22,VLOOKUP($A201,'PVC SCH40 LD'!$A$8:$M$21,10,FALSE),
IF($A201&lt;'Pool &amp; SPA Sweep Elbows'!$A$12,VLOOKUP($A201,'Pool &amp; SPA Sweep Elbows'!$A$8:$M$11,10,FALSE),
IF($A201&lt;'Pool &amp; SPA Pipe Extender'!$A$11,VLOOKUP($A201,'Pool &amp; SPA Pipe Extender'!$A$8:$M$10,10,FALSE),
IF($A201&lt;'PVC SCH80'!$A$250,VLOOKUP($A201,'PVC SCH80'!$A$8:$M$249,10,FALSE),
IF($A201&lt;'PVC SCH80 Flange'!$A$49,VLOOKUP($A201,'PVC SCH80 Flange'!$A$8:$M$48,10,FALSE),
IF($A201&lt;'PVC SCH80 LD Flange'!$A$17,VLOOKUP($A201,'PVC SCH80 LD Flange'!$A$8:$M$16,10,FALSE),
IF($A201&lt;CPVC!$A$100,VLOOKUP($A201,CPVC!$A$8:$M$99,10,FALSE),
IF($A201&lt;InsertFittings!$A$237,VLOOKUP($A201,InsertFittings!$A$11:$M$236,10,FALSE),
IF($A201&lt;Valves!$A$132,VLOOKUP($A201,Valves!$A$8:$M$131,10,FALSE),
IF($A201&lt;SDR35SW!$A$124,VLOOKUP($A201,SDR35SW!$A$8:$M$123,10,FALSE),
IF($A201&lt;SDR35G!$A$143,VLOOKUP($A201, SDR35G!$A$8:$M$142,10,FALSE),
IF($A201&lt;SDR26G!$A$61,VLOOKUP($A201,SDR26G!$A$8:$N$60,11,FALSE),
IF($A201&lt;Cements!$A$100,VLOOKUP($A201,Cements!$A$8:$Q$99,14,FALSE),
IF($A201&lt;ValveBox!$A$143,VLOOKUP($A201,ValveBox!$A$10:$O$142,12,FALSE),
IF($A201&lt;'ValveBox Components'!$A$165,VLOOKUP($A201,'ValveBox Components'!$A$10:$O$164,12,FALSE),
IF($A201&lt;Drainage!$A$92,VLOOKUP($A201,Drainage!$A$8:$M$91,10,FALSE),
IF($A201&lt;Nipples!$A$82,VLOOKUP($A201,Nipples!$A$9:$Q$81,14,FALSE),
IF($A201&lt;Manifold!$A$33,VLOOKUP($A201,Manifold!$A$9:$M$32,10,FALSE),
IF($A201&lt;FlexibleRepairCouplings!$A$13,VLOOKUP($A201,FlexibleRepairCouplings!$A$10:$M$12,10,FALSE),
IF($A201&lt;DuraFix!$A$15,VLOOKUP($A201,DuraFix!$A$9:$M$14,10,FALSE),
IF($A201&lt;'Compression Fittings'!$A$16,VLOOKUP($A201,'Compression Fittings'!$A$8:$M$15,10,FALSE),
IF($A201&lt;'Hose Fittings'!$A$30,VLOOKUP($A201,'Hose Fittings'!$A$8:$M$29,10,FALSE),
IF($A201&lt;'Swing Joints'!$A$496,VLOOKUP($A201,'Swing Joints'!$A$9:$M$495,10,FALSE),
IF($A201&lt;'Swing Joints Components'!$A$135,VLOOKUP($A201,'Swing Joints Components'!$A$9:$M$134,10,FALSE),
IF($A201&lt;Nonstandard!$A$42,VLOOKUP($A201,Nonstandard!$A$31:$J$41,10,FALSE),"")))))))))))))))))))))))))))),"")</f>
        <v/>
      </c>
      <c r="L201" s="418" t="str">
        <f t="shared" si="4"/>
        <v>-</v>
      </c>
      <c r="M201" s="419"/>
    </row>
    <row r="202" spans="1:13" ht="15.75">
      <c r="A202" s="420">
        <v>170</v>
      </c>
      <c r="B202" s="420" t="str">
        <f>IFERROR(IF($A202&lt;'DWV PVC'!$A$285,VLOOKUP($A202,'DWV PVC'!$A$8:$M$284,4,FALSE),
IF($A202&lt;'DWV ABS'!$A$117,VLOOKUP($A202,'DWV ABS'!$A$8:$M$116,4,FALSE),
IF($A202&lt;'PVC SCH40'!$A$376,VLOOKUP($A202,'PVC SCH40'!$A$8:$M$375,4,FALSE),
IF($A202&lt;'PVC SCH40 LD'!$A$22,VLOOKUP($A202,'PVC SCH40 LD'!$A$8:$M$21,4,FALSE),
IF($A202&lt;'Pool &amp; SPA Sweep Elbows'!$A$12,VLOOKUP($A202,'Pool &amp; SPA Sweep Elbows'!$A$8:$M$11,4,FALSE),
IF($A202&lt;'Pool &amp; SPA Pipe Extender'!$A$11,VLOOKUP($A202,'Pool &amp; SPA Pipe Extender'!$A$8:$M$10,4,FALSE),
IF($A202&lt;'PVC SCH80'!$A$250,VLOOKUP($A202,'PVC SCH80'!$A$8:$M$249,4,FALSE),
IF($A202&lt;'PVC SCH80 Flange'!$A$49,VLOOKUP($A202,'PVC SCH80 Flange'!$A$8:$M$48,4,FALSE),
IF($A202&lt;'PVC SCH80 LD Flange'!$A$17,VLOOKUP($A202,'PVC SCH80 LD Flange'!$A$8:$M$16,4,FALSE),
IF($A202&lt;CPVC!$A$100,VLOOKUP($A202,CPVC!$A$8:$M$99,4,FALSE),
IF($A202&lt;InsertFittings!$A$237,VLOOKUP($A202,InsertFittings!$A$11:$M$236,4,FALSE),
IF($A202&lt;Valves!$A$132,VLOOKUP($A202,Valves!$A$8:$M$131,4,FALSE),
IF($A202&lt;SDR35SW!$A$124,VLOOKUP($A202,SDR35SW!$A$8:$M$123,4,FALSE),
IF($A202&lt;SDR35G!$A$143,VLOOKUP($A202, SDR35G!$A$8:$M$142,4,FALSE),
IF($A202&lt;SDR26G!$A$61,VLOOKUP($A202,SDR26G!$A$8:$N$60,4,FALSE),
IF($A202&lt;Cements!$A$100,VLOOKUP($A202,Cements!$A$8:$Q$99,4,FALSE),
IF($A202&lt;ValveBox!$A$143,VLOOKUP($A202,ValveBox!$A$10:$O$142,4,FALSE),
IF($A202&lt;'ValveBox Components'!$A$165,VLOOKUP($A202,'ValveBox Components'!$A$10:$O$164,4,FALSE),
IF($A202&lt;Drainage!$A$92,VLOOKUP($A202,Drainage!$A$8:$M$91,4,FALSE),
IF($A202&lt;Nipples!$A$82,VLOOKUP($A202,Nipples!$A$9:$Q$81,4,FALSE),
IF($A202&lt;Manifold!$A$33,VLOOKUP($A202,Manifold!$A$9:$M$32,4,FALSE),
IF($A202&lt;FlexibleRepairCouplings!$A$13,VLOOKUP($A202,FlexibleRepairCouplings!$A$10:$M$12,4,FALSE),
IF($A202&lt;DuraFix!$A$15,VLOOKUP($A202,DuraFix!$A$9:$M$14,4,FALSE),
IF($A202&lt;'Compression Fittings'!$A$16,VLOOKUP($A202,'Compression Fittings'!$A$8:$M$15,4,FALSE),
IF($A202&lt;'Hose Fittings'!$A$30,VLOOKUP($A202,'Hose Fittings'!$A$8:$M$29,4,FALSE),
IF($A202&lt;'Swing Joints'!$A$496,VLOOKUP($A202,'Swing Joints'!$A$9:$M$495,4,FALSE),
IF($A202&lt;'Swing Joints Components'!$A$135,VLOOKUP($A202,'Swing Joints Components'!$A$9:$M$134,4,FALSE),
IF($A202&lt;Nonstandard!$A$42,VLOOKUP($A202,Nonstandard!$A$31:$J$41,5,FALSE),"")))))))))))))))))))))))))))),"")</f>
        <v/>
      </c>
      <c r="C202" s="420" t="str">
        <f>IFERROR(IF($A202&lt;'DWV PVC'!$A$285,VLOOKUP($A202,'DWV PVC'!$A$8:$M$284,5,FALSE),
IF($A202&lt;'DWV ABS'!$A$117,VLOOKUP($A202,'DWV ABS'!$A$8:$M$116,5,FALSE),
IF($A202&lt;'PVC SCH40'!$A$376,VLOOKUP($A202,'PVC SCH40'!$A$8:$M$375,5,FALSE),
IF($A202&lt;'PVC SCH40 LD'!$A$22,VLOOKUP($A202,'PVC SCH40 LD'!$A$8:$M$21,5,FALSE),
IF($A202&lt;'Pool &amp; SPA Sweep Elbows'!$A$12,VLOOKUP($A202,'Pool &amp; SPA Sweep Elbows'!$A$8:$M$11,5,FALSE),
IF($A202&lt;'Pool &amp; SPA Pipe Extender'!$A$11,VLOOKUP($A202,'Pool &amp; SPA Pipe Extender'!$A$8:$M$10,5,FALSE),
IF($A202&lt;'PVC SCH80'!$A$250,VLOOKUP($A202,'PVC SCH80'!$A$8:$M$249,5,FALSE),
IF($A202&lt;'PVC SCH80 Flange'!$A$49,VLOOKUP($A202,'PVC SCH80 Flange'!$A$8:$M$48,5,FALSE),
IF($A202&lt;'PVC SCH80 LD Flange'!$A$17,VLOOKUP($A202,'PVC SCH80 LD Flange'!$A$8:$M$16,5,FALSE),
IF($A202&lt;CPVC!$A$100,VLOOKUP($A202,CPVC!$A$8:$M$99,5,FALSE),
IF($A202&lt;InsertFittings!$A$237,VLOOKUP($A202,InsertFittings!$A$11:$M$236,5,FALSE),
IF($A202&lt;Valves!$A$132,VLOOKUP($A202,Valves!$A$8:$M$131,5,FALSE),
IF($A202&lt;SDR35SW!$A$124,VLOOKUP($A202,SDR35SW!$A$8:$M$123,5,FALSE),
IF($A202&lt;SDR35G!$A$143,VLOOKUP($A202, SDR35G!$A$8:$M$142,5,FALSE),
IF($A202&lt;SDR26G!$A$61,VLOOKUP($A202,SDR26G!$A$8:$N$60,5,FALSE),
IF($A202&lt;Cements!$A$100,VLOOKUP($A202,Cements!$A$8:$Q$99,5,FALSE),
IF($A202&lt;ValveBox!$A$143,VLOOKUP($A202,ValveBox!$A$10:$O$142,5,FALSE),
IF($A202&lt;'ValveBox Components'!$A$165,VLOOKUP($A202,'ValveBox Components'!$A$10:$O$164,5,FALSE),
IF($A202&lt;Drainage!$A$92,VLOOKUP($A202,Drainage!$A$8:$M$91,5,FALSE),
IF($A202&lt;Nipples!$A$82,VLOOKUP($A202,Nipples!$A$9:$Q$81,5,FALSE),
IF($A202&lt;Manifold!$A$33,VLOOKUP($A202,Manifold!$A$9:$M$32,5,FALSE),
IF($A202&lt;FlexibleRepairCouplings!$A$13,VLOOKUP($A202,FlexibleRepairCouplings!$A$10:$M$12,5,FALSE),
IF($A202&lt;DuraFix!$A$15,VLOOKUP($A202,DuraFix!$A$9:$M$14,5,FALSE),
IF($A202&lt;'Compression Fittings'!$A$16,VLOOKUP($A202,'Compression Fittings'!$A$8:$M$15,5,FALSE),
IF($A202&lt;'Hose Fittings'!$A$30,VLOOKUP($A202,'Hose Fittings'!$A$8:$M$29,5,FALSE),
IF($A202&lt;'Swing Joints'!$A$496,VLOOKUP($A202,'Swing Joints'!$A$9:$M$495,5,FALSE),
IF($A202&lt;'Swing Joints Components'!$A$135,VLOOKUP($A202,'Swing Joints Components'!$A$9:$M$134,5,FALSE),
IF($A202&lt;Nonstandard!$A$42,VLOOKUP($A202,Nonstandard!$A$31:$J$41,6,FALSE),"")))))))))))))))))))))))))))),"")</f>
        <v/>
      </c>
      <c r="D202" s="428" t="str">
        <f>IFERROR(IF($A202&lt;'DWV PVC'!$A$285,VLOOKUP($A202,'DWV PVC'!$A$8:$M$284,6,FALSE),
IF($A202&lt;'DWV ABS'!$A$117,VLOOKUP($A202,'DWV ABS'!$A$8:$M$116,6,FALSE),
IF($A202&lt;'PVC SCH40'!$A$376,VLOOKUP($A202,'PVC SCH40'!$A$8:$M$375,6,FALSE),
IF($A202&lt;'PVC SCH40 LD'!$A$22,VLOOKUP($A202,'PVC SCH40 LD'!$A$8:$M$21,6,FALSE),
IF($A202&lt;'Pool &amp; SPA Sweep Elbows'!$A$12,VLOOKUP($A202,'Pool &amp; SPA Sweep Elbows'!$A$8:$M$11,6,FALSE),
IF($A202&lt;'Pool &amp; SPA Pipe Extender'!$A$11,VLOOKUP($A202,'Pool &amp; SPA Pipe Extender'!$A$8:$M$10,6,FALSE),
IF($A202&lt;'PVC SCH80'!$A$250,VLOOKUP($A202,'PVC SCH80'!$A$8:$M$249,6,FALSE),
IF($A202&lt;'PVC SCH80 Flange'!$A$49,VLOOKUP($A202,'PVC SCH80 Flange'!$A$8:$M$48,6,FALSE),
IF($A202&lt;'PVC SCH80 LD Flange'!$A$17,VLOOKUP($A202,'PVC SCH80 LD Flange'!$A$8:$M$16,6,FALSE),
IF($A202&lt;CPVC!$A$100,VLOOKUP($A202,CPVC!$A$8:$M$99,6,FALSE),
IF($A202&lt;InsertFittings!$A$237,VLOOKUP($A202,InsertFittings!$A$11:$M$236,6,FALSE),
IF($A202&lt;Valves!$A$132,VLOOKUP($A202,Valves!$A$8:$M$131,6,FALSE),
IF($A202&lt;SDR35SW!$A$124,VLOOKUP($A202,SDR35SW!$A$8:$M$123,6,FALSE),
IF($A202&lt;SDR35G!$A$143,VLOOKUP($A202, SDR35G!$A$8:$M$142,6,FALSE),
IF($A202&lt;SDR26G!$A$61,VLOOKUP($A202,SDR26G!$A$8:$N$60,6,FALSE),
IF($A202&lt;Cements!$A$100,VLOOKUP($A202,Cements!$A$8:$Q$99,6,FALSE),
IF($A202&lt;ValveBox!$A$143,VLOOKUP($A202,ValveBox!$A$10:$O$142,6,FALSE),
IF($A202&lt;'ValveBox Components'!$A$165,VLOOKUP($A202,'ValveBox Components'!$A$10:$O$164,6,FALSE),
IF($A202&lt;Drainage!$A$92,VLOOKUP($A202,Drainage!$A$8:$M$91,6,FALSE),
IF($A202&lt;Nipples!$A$82,VLOOKUP($A202,Nipples!$A$9:$Q$81,6,FALSE),
IF($A202&lt;Manifold!$A$33,VLOOKUP($A202,Manifold!$A$9:$M$32,6,FALSE),
IF($A202&lt;FlexibleRepairCouplings!$A$13,VLOOKUP($A202,FlexibleRepairCouplings!$A$10:$M$12,6,FALSE),
IF($A202&lt;DuraFix!$A$15,VLOOKUP($A202,DuraFix!$A$9:$M$14,6,FALSE),
IF($A202&lt;'Compression Fittings'!$A$16,VLOOKUP($A202,'Compression Fittings'!$A$8:$M$15,6,FALSE),
IF($A202&lt;'Hose Fittings'!$A$30,VLOOKUP($A202,'Hose Fittings'!$A$8:$M$29,6,FALSE),
IF($A202&lt;'Swing Joints'!$A$496,VLOOKUP($A202,'Swing Joints'!$A$9:$M$495,6,FALSE),
IF($A202&lt;'Swing Joints Components'!$A$135,VLOOKUP($A202,'Swing Joints Components'!$A$9:$M$134,6,FALSE),
IF($A202&lt;Nonstandard!$A$42,VLOOKUP($A202,Nonstandard!$A$31:$J$41,7,FALSE),"")))))))))))))))))))))))))))),"")</f>
        <v/>
      </c>
      <c r="E202" s="429"/>
      <c r="F202" s="421" t="str">
        <f>IFERROR(IF($A202&lt;'DWV PVC'!$A$285,VLOOKUP($A202,'DWV PVC'!$A$8:$M$284,9,FALSE),
IF($A202&lt;'DWV ABS'!$A$117,VLOOKUP($A202,'DWV ABS'!$A$8:$M$116,9,FALSE),
IF($A202&lt;'PVC SCH40'!$A$376,VLOOKUP($A202,'PVC SCH40'!$A$8:$M$375,9,FALSE),
IF($A202&lt;'PVC SCH40 LD'!$A$22,VLOOKUP($A202,'PVC SCH40 LD'!$A$8:$M$21,9,FALSE),
IF($A202&lt;'Pool &amp; SPA Sweep Elbows'!$A$12,VLOOKUP($A202,'Pool &amp; SPA Sweep Elbows'!$A$8:$M$11,9,FALSE),
IF($A202&lt;'Pool &amp; SPA Pipe Extender'!$A$11,VLOOKUP($A202,'Pool &amp; SPA Pipe Extender'!$A$8:$M$10,9,FALSE),
IF($A202&lt;'PVC SCH80'!$A$250,VLOOKUP($A202,'PVC SCH80'!$A$8:$M$249,9,FALSE),
IF($A202&lt;'PVC SCH80 Flange'!$A$49,VLOOKUP($A202,'PVC SCH80 Flange'!$A$8:$M$48,9,FALSE),
IF($A202&lt;'PVC SCH80 LD Flange'!$A$17,VLOOKUP($A202,'PVC SCH80 LD Flange'!$A$8:$M$16,9,FALSE),
IF($A202&lt;CPVC!$A$100,VLOOKUP($A202,CPVC!$A$8:$M$99,9,FALSE),
IF($A202&lt;InsertFittings!$A$237,VLOOKUP($A202,InsertFittings!$A$11:$M$236,9,FALSE),
IF($A202&lt;Valves!$A$132,VLOOKUP($A202,Valves!$A$8:$M$131,9,FALSE),
IF($A202&lt;SDR35SW!$A$124,VLOOKUP($A202,SDR35SW!$A$8:$M$123,9,FALSE),
IF($A202&lt;SDR35G!$A$143,VLOOKUP($A202, SDR35G!$A$8:$M$142,9,FALSE),
IF($A202&lt;SDR26G!$A$61,VLOOKUP($A202,SDR26G!$A$8:$N$60,10,FALSE),
IF($A202&lt;Cements!$A$100,VLOOKUP($A202,Cements!$A$8:$Q$99,13,FALSE),
IF($A202&lt;ValveBox!$A$143,VLOOKUP($A202,ValveBox!$A$10:$O$142,11,FALSE),
IF($A202&lt;'ValveBox Components'!$A$165,VLOOKUP($A202,'ValveBox Components'!$A$10:$O$164,11,FALSE),
IF($A202&lt;Drainage!$A$92,VLOOKUP($A202,Drainage!$A$8:$M$91,9,FALSE),
IF($A202&lt;Nipples!$A$82,VLOOKUP($A202,Nipples!$A$9:$Q$81,13,FALSE),
IF($A202&lt;Manifold!$A$33,VLOOKUP($A202,Manifold!$A$9:$M$32,9,FALSE),
IF($A202&lt;FlexibleRepairCouplings!$A$13,VLOOKUP($A202,FlexibleRepairCouplings!$A$10:$M$12,9,FALSE),
IF($A202&lt;DuraFix!$A$15,VLOOKUP($A202,DuraFix!$A$9:$M$14,9,FALSE),
IF($A202&lt;'Compression Fittings'!$A$16,VLOOKUP($A202,'Compression Fittings'!$A$8:$M$15,9,FALSE),
IF($A202&lt;'Hose Fittings'!$A$30,VLOOKUP($A202,'Hose Fittings'!$A$8:$M$29,9,FALSE),
IF($A202&lt;'Swing Joints'!$A$496,VLOOKUP($A202,'Swing Joints'!$A$9:$M$495,9,FALSE),
IF($A202&lt;'Swing Joints Components'!$A$135,VLOOKUP($A202,'Swing Joints Components'!$A$9:$M$134,9,FALSE),
IF($A202&lt;Nonstandard!$A$42,VLOOKUP($A202,Nonstandard!$A$31:$J$41,8,FALSE),"")))))))))))))))))))))))))))),"")</f>
        <v/>
      </c>
      <c r="G202" s="422" t="str">
        <f>IFERROR(IF($A202&lt;'DWV PVC'!$A$285,VLOOKUP($A202,'DWV PVC'!$A$8:$M$284,11,FALSE),
IF($A202&lt;'DWV ABS'!$A$117,VLOOKUP($A202,'DWV ABS'!$A$8:$M$116,11,FALSE),
IF($A202&lt;'PVC SCH40'!$A$376,VLOOKUP($A202,'PVC SCH40'!$A$8:$M$375,11,FALSE),
IF($A202&lt;'PVC SCH40 LD'!$A$22,VLOOKUP($A202,'PVC SCH40 LD'!$A$8:$M$21,11,FALSE),
IF($A202&lt;'Pool &amp; SPA Sweep Elbows'!$A$12,VLOOKUP($A202,'Pool &amp; SPA Sweep Elbows'!$A$8:$M$11,11,FALSE),
IF($A202&lt;'Pool &amp; SPA Pipe Extender'!$A$11,VLOOKUP($A202,'Pool &amp; SPA Pipe Extender'!$A$8:$M$10,11,FALSE),
IF($A202&lt;'PVC SCH80'!$A$250,VLOOKUP($A202,'PVC SCH80'!$A$8:$M$249,11,FALSE),
IF($A202&lt;'PVC SCH80 Flange'!$A$49,VLOOKUP($A202,'PVC SCH80 Flange'!$A$8:$M$48,11,FALSE),
IF($A202&lt;'PVC SCH80 LD Flange'!$A$17,VLOOKUP($A202,'PVC SCH80 LD Flange'!$A$8:$M$16,11,FALSE),
IF($A202&lt;CPVC!$A$100,VLOOKUP($A202,CPVC!$A$8:$M$99,11,FALSE),
IF($A202&lt;InsertFittings!$A$237,VLOOKUP($A202,InsertFittings!$A$11:$M$236,11,FALSE),
IF($A202&lt;Valves!$A$132,VLOOKUP($A202,Valves!$A$8:$M$131,11,FALSE),
IF($A202&lt;SDR35SW!$A$124,VLOOKUP($A202,SDR35SW!$A$8:$M$123,11,FALSE),
IF($A202&lt;SDR35G!$A$143,VLOOKUP($A202, SDR35G!$A$8:$M$142,11,FALSE),
IF($A202&lt;SDR26G!$A$61,VLOOKUP($A202,SDR26G!$A$8:$N$60,12,FALSE),
IF($A202&lt;Cements!$A$100,VLOOKUP($A202,Cements!$A$8:$Q$99,15,FALSE),
IF($A202&lt;ValveBox!$A$143,VLOOKUP($A202,ValveBox!$A$10:$O$142,13,FALSE),
IF($A202&lt;'ValveBox Components'!$A$165,VLOOKUP($A202,'ValveBox Components'!$A$10:$O$164,13,FALSE),
IF($A202&lt;Drainage!$A$92,VLOOKUP($A202,Drainage!$A$8:$M$91,11,FALSE),
IF($A202&lt;Nipples!$A$82,VLOOKUP($A202,Nipples!$A$9:$Q$81,15,FALSE),
IF($A202&lt;Manifold!$A$33,VLOOKUP($A202,Manifold!$A$9:$M$32,11,FALSE),
IF($A202&lt;FlexibleRepairCouplings!$A$13,VLOOKUP($A202,FlexibleRepairCouplings!$A$10:$M$12,11,FALSE),
IF($A202&lt;DuraFix!$A$15,VLOOKUP($A202,DuraFix!$A$9:$M$14,11,FALSE),
IF($A202&lt;'Compression Fittings'!$A$16,VLOOKUP($A202,'Compression Fittings'!$A$8:$M$15,11,FALSE),
IF($A202&lt;'Hose Fittings'!$A$30,VLOOKUP($A202,'Hose Fittings'!$A$8:$M$29,11,FALSE),
IF($A202&lt;'Swing Joints'!$A$496,VLOOKUP($A202,'Swing Joints'!$A$9:$M$495,11,FALSE),
IF($A202&lt;'Swing Joints Components'!$A$135,VLOOKUP($A202,'Swing Joints Components'!$A$9:$M$134,11,FALSE),
IF($A202&lt;Nonstandard!$A$42,VLOOKUP($A202,Nonstandard!$A$31:$J$41,3,FALSE),"")))))))))))))))))))))))))))),"")</f>
        <v/>
      </c>
      <c r="H202" s="588" t="str">
        <f>IFERROR(IF($A202&lt;'DWV PVC'!$A$285,VLOOKUP($A202,'DWV PVC'!$A$8:$M$284,7,FALSE),
IF($A202&lt;'DWV ABS'!$A$117,VLOOKUP($A202,'DWV ABS'!$A$8:$M$116,7,FALSE),
IF($A202&lt;'PVC SCH40'!$A$376,VLOOKUP($A202,'PVC SCH40'!$A$8:$M$375,7,FALSE),
IF($A202&lt;'PVC SCH40 LD'!$A$22,VLOOKUP($A202,'PVC SCH40 LD'!$A$8:$M$21,7,FALSE),
IF($A202&lt;'Pool &amp; SPA Sweep Elbows'!$A$12,VLOOKUP($A202,'Pool &amp; SPA Sweep Elbows'!$A$8:$M$11,7,FALSE),
IF($A202&lt;'Pool &amp; SPA Pipe Extender'!$A$11,VLOOKUP($A202,'Pool &amp; SPA Pipe Extender'!$A$8:$M$10,7,FALSE),
IF($A202&lt;'PVC SCH80'!$A$250,VLOOKUP($A202,'PVC SCH80'!$A$8:$M$249,7,FALSE),
IF($A202&lt;'PVC SCH80 Flange'!$A$49,VLOOKUP($A202,'PVC SCH80 Flange'!$A$8:$M$48,7,FALSE),
IF($A202&lt;'PVC SCH80 LD Flange'!$A$17,VLOOKUP($A202,'PVC SCH80 LD Flange'!$A$8:$M$16,7,FALSE),
IF($A202&lt;CPVC!$A$100,VLOOKUP($A202,CPVC!$A$8:$M$99,7,FALSE),
IF($A202&lt;InsertFittings!$A$237,VLOOKUP($A202,InsertFittings!$A$11:$M$236,7,FALSE),
IF($A202&lt;Valves!$A$132,VLOOKUP($A202,Valves!$A$8:$M$131,7,FALSE),
IF($A202&lt;SDR35SW!$A$124,VLOOKUP($A202,SDR35SW!$A$8:$M$123,7,FALSE),
IF($A202&lt;SDR35G!$A$143,VLOOKUP($A202, SDR35G!$A$8:$M$142,7,FALSE),
IF($A202&lt;SDR26G!$A$61,VLOOKUP($A202,SDR26G!$A$8:$N$60,10,FALSE),
IF($A202&lt;Cements!$A$100,VLOOKUP($A202,Cements!$A$8:$Q$99,13,FALSE),
IF($A202&lt;ValveBox!$A$143,VLOOKUP($A202,ValveBox!$A$10:$O$142,11,FALSE),
IF($A202&lt;'ValveBox Components'!$A$165,VLOOKUP($A202,'ValveBox Components'!$A$10:$O$164,11,FALSE),
IF($A202&lt;Drainage!$A$92,VLOOKUP($A202,Drainage!$A$8:$M$91,7,FALSE),
IF($A202&lt;Nipples!$A$82,VLOOKUP($A202,Nipples!$A$9:$Q$81,13,FALSE),
IF($A202&lt;Manifold!$A$33,VLOOKUP($A202,Manifold!$A$9:$M$32,7,FALSE),
IF($A202&lt;FlexibleRepairCouplings!$A$13,VLOOKUP($A202,FlexibleRepairCouplings!$A$10:$M$12,7,FALSE),
IF($A202&lt;DuraFix!$A$15,VLOOKUP($A202,DuraFix!$A$9:$M$14,7,FALSE),
IF($A202&lt;'Compression Fittings'!$A$16,VLOOKUP($A202,'Compression Fittings'!$A$8:$M$15,7,FALSE),
IF($A202&lt;'Hose Fittings'!$A$30,VLOOKUP($A202,'Hose Fittings'!$A$8:$M$29,7,FALSE),
IF($A202&lt;'Swing Joints'!$A$496,VLOOKUP($A202,'Swing Joints'!$A$9:$M$495,7,FALSE),
IF($A202&lt;'Swing Joints Components'!$A$135,VLOOKUP($A202,'Swing Joints Components'!$A$9:$M$134,7,FALSE),
IF($A202&lt;Nonstandard!$A$42,VLOOKUP($A202,Nonstandard!$A$31:$J$41,3,FALSE),"")))))))))))))))))))))))))))),"")</f>
        <v/>
      </c>
      <c r="I202" s="589"/>
      <c r="J202" s="423" t="str">
        <f t="shared" si="5"/>
        <v/>
      </c>
      <c r="K202" s="424" t="str">
        <f>IFERROR(IF($A202&lt;'DWV PVC'!$A$285,VLOOKUP($A202,'DWV PVC'!$A$8:$M$284,10,FALSE),
IF($A202&lt;'DWV ABS'!$A$117,VLOOKUP($A202,'DWV ABS'!$A$8:$M$116,10,FALSE),
IF($A202&lt;'PVC SCH40'!$A$376,VLOOKUP($A202,'PVC SCH40'!$A$8:$M$375,10,FALSE),
IF($A202&lt;'PVC SCH40 LD'!$A$22,VLOOKUP($A202,'PVC SCH40 LD'!$A$8:$M$21,10,FALSE),
IF($A202&lt;'Pool &amp; SPA Sweep Elbows'!$A$12,VLOOKUP($A202,'Pool &amp; SPA Sweep Elbows'!$A$8:$M$11,10,FALSE),
IF($A202&lt;'Pool &amp; SPA Pipe Extender'!$A$11,VLOOKUP($A202,'Pool &amp; SPA Pipe Extender'!$A$8:$M$10,10,FALSE),
IF($A202&lt;'PVC SCH80'!$A$250,VLOOKUP($A202,'PVC SCH80'!$A$8:$M$249,10,FALSE),
IF($A202&lt;'PVC SCH80 Flange'!$A$49,VLOOKUP($A202,'PVC SCH80 Flange'!$A$8:$M$48,10,FALSE),
IF($A202&lt;'PVC SCH80 LD Flange'!$A$17,VLOOKUP($A202,'PVC SCH80 LD Flange'!$A$8:$M$16,10,FALSE),
IF($A202&lt;CPVC!$A$100,VLOOKUP($A202,CPVC!$A$8:$M$99,10,FALSE),
IF($A202&lt;InsertFittings!$A$237,VLOOKUP($A202,InsertFittings!$A$11:$M$236,10,FALSE),
IF($A202&lt;Valves!$A$132,VLOOKUP($A202,Valves!$A$8:$M$131,10,FALSE),
IF($A202&lt;SDR35SW!$A$124,VLOOKUP($A202,SDR35SW!$A$8:$M$123,10,FALSE),
IF($A202&lt;SDR35G!$A$143,VLOOKUP($A202, SDR35G!$A$8:$M$142,10,FALSE),
IF($A202&lt;SDR26G!$A$61,VLOOKUP($A202,SDR26G!$A$8:$N$60,11,FALSE),
IF($A202&lt;Cements!$A$100,VLOOKUP($A202,Cements!$A$8:$Q$99,14,FALSE),
IF($A202&lt;ValveBox!$A$143,VLOOKUP($A202,ValveBox!$A$10:$O$142,12,FALSE),
IF($A202&lt;'ValveBox Components'!$A$165,VLOOKUP($A202,'ValveBox Components'!$A$10:$O$164,12,FALSE),
IF($A202&lt;Drainage!$A$92,VLOOKUP($A202,Drainage!$A$8:$M$91,10,FALSE),
IF($A202&lt;Nipples!$A$82,VLOOKUP($A202,Nipples!$A$9:$Q$81,14,FALSE),
IF($A202&lt;Manifold!$A$33,VLOOKUP($A202,Manifold!$A$9:$M$32,10,FALSE),
IF($A202&lt;FlexibleRepairCouplings!$A$13,VLOOKUP($A202,FlexibleRepairCouplings!$A$10:$M$12,10,FALSE),
IF($A202&lt;DuraFix!$A$15,VLOOKUP($A202,DuraFix!$A$9:$M$14,10,FALSE),
IF($A202&lt;'Compression Fittings'!$A$16,VLOOKUP($A202,'Compression Fittings'!$A$8:$M$15,10,FALSE),
IF($A202&lt;'Hose Fittings'!$A$30,VLOOKUP($A202,'Hose Fittings'!$A$8:$M$29,10,FALSE),
IF($A202&lt;'Swing Joints'!$A$496,VLOOKUP($A202,'Swing Joints'!$A$9:$M$495,10,FALSE),
IF($A202&lt;'Swing Joints Components'!$A$135,VLOOKUP($A202,'Swing Joints Components'!$A$9:$M$134,10,FALSE),
IF($A202&lt;Nonstandard!$A$42,VLOOKUP($A202,Nonstandard!$A$31:$J$41,10,FALSE),"")))))))))))))))))))))))))))),"")</f>
        <v/>
      </c>
      <c r="L202" s="421" t="str">
        <f t="shared" si="4"/>
        <v>-</v>
      </c>
      <c r="M202" s="425"/>
    </row>
    <row r="203" spans="1:13" ht="15.75">
      <c r="A203" s="415">
        <v>171</v>
      </c>
      <c r="B203" s="415" t="str">
        <f>IFERROR(IF($A203&lt;'DWV PVC'!$A$285,VLOOKUP($A203,'DWV PVC'!$A$8:$M$284,4,FALSE),
IF($A203&lt;'DWV ABS'!$A$117,VLOOKUP($A203,'DWV ABS'!$A$8:$M$116,4,FALSE),
IF($A203&lt;'PVC SCH40'!$A$376,VLOOKUP($A203,'PVC SCH40'!$A$8:$M$375,4,FALSE),
IF($A203&lt;'PVC SCH40 LD'!$A$22,VLOOKUP($A203,'PVC SCH40 LD'!$A$8:$M$21,4,FALSE),
IF($A203&lt;'Pool &amp; SPA Sweep Elbows'!$A$12,VLOOKUP($A203,'Pool &amp; SPA Sweep Elbows'!$A$8:$M$11,4,FALSE),
IF($A203&lt;'Pool &amp; SPA Pipe Extender'!$A$11,VLOOKUP($A203,'Pool &amp; SPA Pipe Extender'!$A$8:$M$10,4,FALSE),
IF($A203&lt;'PVC SCH80'!$A$250,VLOOKUP($A203,'PVC SCH80'!$A$8:$M$249,4,FALSE),
IF($A203&lt;'PVC SCH80 Flange'!$A$49,VLOOKUP($A203,'PVC SCH80 Flange'!$A$8:$M$48,4,FALSE),
IF($A203&lt;'PVC SCH80 LD Flange'!$A$17,VLOOKUP($A203,'PVC SCH80 LD Flange'!$A$8:$M$16,4,FALSE),
IF($A203&lt;CPVC!$A$100,VLOOKUP($A203,CPVC!$A$8:$M$99,4,FALSE),
IF($A203&lt;InsertFittings!$A$237,VLOOKUP($A203,InsertFittings!$A$11:$M$236,4,FALSE),
IF($A203&lt;Valves!$A$132,VLOOKUP($A203,Valves!$A$8:$M$131,4,FALSE),
IF($A203&lt;SDR35SW!$A$124,VLOOKUP($A203,SDR35SW!$A$8:$M$123,4,FALSE),
IF($A203&lt;SDR35G!$A$143,VLOOKUP($A203, SDR35G!$A$8:$M$142,4,FALSE),
IF($A203&lt;SDR26G!$A$61,VLOOKUP($A203,SDR26G!$A$8:$N$60,4,FALSE),
IF($A203&lt;Cements!$A$100,VLOOKUP($A203,Cements!$A$8:$Q$99,4,FALSE),
IF($A203&lt;ValveBox!$A$143,VLOOKUP($A203,ValveBox!$A$10:$O$142,4,FALSE),
IF($A203&lt;'ValveBox Components'!$A$165,VLOOKUP($A203,'ValveBox Components'!$A$10:$O$164,4,FALSE),
IF($A203&lt;Drainage!$A$92,VLOOKUP($A203,Drainage!$A$8:$M$91,4,FALSE),
IF($A203&lt;Nipples!$A$82,VLOOKUP($A203,Nipples!$A$9:$Q$81,4,FALSE),
IF($A203&lt;Manifold!$A$33,VLOOKUP($A203,Manifold!$A$9:$M$32,4,FALSE),
IF($A203&lt;FlexibleRepairCouplings!$A$13,VLOOKUP($A203,FlexibleRepairCouplings!$A$10:$M$12,4,FALSE),
IF($A203&lt;DuraFix!$A$15,VLOOKUP($A203,DuraFix!$A$9:$M$14,4,FALSE),
IF($A203&lt;'Compression Fittings'!$A$16,VLOOKUP($A203,'Compression Fittings'!$A$8:$M$15,4,FALSE),
IF($A203&lt;'Hose Fittings'!$A$30,VLOOKUP($A203,'Hose Fittings'!$A$8:$M$29,4,FALSE),
IF($A203&lt;'Swing Joints'!$A$496,VLOOKUP($A203,'Swing Joints'!$A$9:$M$495,4,FALSE),
IF($A203&lt;'Swing Joints Components'!$A$135,VLOOKUP($A203,'Swing Joints Components'!$A$9:$M$134,4,FALSE),
IF($A203&lt;Nonstandard!$A$42,VLOOKUP($A203,Nonstandard!$A$31:$J$41,5,FALSE),"")))))))))))))))))))))))))))),"")</f>
        <v/>
      </c>
      <c r="C203" s="415" t="str">
        <f>IFERROR(IF($A203&lt;'DWV PVC'!$A$285,VLOOKUP($A203,'DWV PVC'!$A$8:$M$284,5,FALSE),
IF($A203&lt;'DWV ABS'!$A$117,VLOOKUP($A203,'DWV ABS'!$A$8:$M$116,5,FALSE),
IF($A203&lt;'PVC SCH40'!$A$376,VLOOKUP($A203,'PVC SCH40'!$A$8:$M$375,5,FALSE),
IF($A203&lt;'PVC SCH40 LD'!$A$22,VLOOKUP($A203,'PVC SCH40 LD'!$A$8:$M$21,5,FALSE),
IF($A203&lt;'Pool &amp; SPA Sweep Elbows'!$A$12,VLOOKUP($A203,'Pool &amp; SPA Sweep Elbows'!$A$8:$M$11,5,FALSE),
IF($A203&lt;'Pool &amp; SPA Pipe Extender'!$A$11,VLOOKUP($A203,'Pool &amp; SPA Pipe Extender'!$A$8:$M$10,5,FALSE),
IF($A203&lt;'PVC SCH80'!$A$250,VLOOKUP($A203,'PVC SCH80'!$A$8:$M$249,5,FALSE),
IF($A203&lt;'PVC SCH80 Flange'!$A$49,VLOOKUP($A203,'PVC SCH80 Flange'!$A$8:$M$48,5,FALSE),
IF($A203&lt;'PVC SCH80 LD Flange'!$A$17,VLOOKUP($A203,'PVC SCH80 LD Flange'!$A$8:$M$16,5,FALSE),
IF($A203&lt;CPVC!$A$100,VLOOKUP($A203,CPVC!$A$8:$M$99,5,FALSE),
IF($A203&lt;InsertFittings!$A$237,VLOOKUP($A203,InsertFittings!$A$11:$M$236,5,FALSE),
IF($A203&lt;Valves!$A$132,VLOOKUP($A203,Valves!$A$8:$M$131,5,FALSE),
IF($A203&lt;SDR35SW!$A$124,VLOOKUP($A203,SDR35SW!$A$8:$M$123,5,FALSE),
IF($A203&lt;SDR35G!$A$143,VLOOKUP($A203, SDR35G!$A$8:$M$142,5,FALSE),
IF($A203&lt;SDR26G!$A$61,VLOOKUP($A203,SDR26G!$A$8:$N$60,5,FALSE),
IF($A203&lt;Cements!$A$100,VLOOKUP($A203,Cements!$A$8:$Q$99,5,FALSE),
IF($A203&lt;ValveBox!$A$143,VLOOKUP($A203,ValveBox!$A$10:$O$142,5,FALSE),
IF($A203&lt;'ValveBox Components'!$A$165,VLOOKUP($A203,'ValveBox Components'!$A$10:$O$164,5,FALSE),
IF($A203&lt;Drainage!$A$92,VLOOKUP($A203,Drainage!$A$8:$M$91,5,FALSE),
IF($A203&lt;Nipples!$A$82,VLOOKUP($A203,Nipples!$A$9:$Q$81,5,FALSE),
IF($A203&lt;Manifold!$A$33,VLOOKUP($A203,Manifold!$A$9:$M$32,5,FALSE),
IF($A203&lt;FlexibleRepairCouplings!$A$13,VLOOKUP($A203,FlexibleRepairCouplings!$A$10:$M$12,5,FALSE),
IF($A203&lt;DuraFix!$A$15,VLOOKUP($A203,DuraFix!$A$9:$M$14,5,FALSE),
IF($A203&lt;'Compression Fittings'!$A$16,VLOOKUP($A203,'Compression Fittings'!$A$8:$M$15,5,FALSE),
IF($A203&lt;'Hose Fittings'!$A$30,VLOOKUP($A203,'Hose Fittings'!$A$8:$M$29,5,FALSE),
IF($A203&lt;'Swing Joints'!$A$496,VLOOKUP($A203,'Swing Joints'!$A$9:$M$495,5,FALSE),
IF($A203&lt;'Swing Joints Components'!$A$135,VLOOKUP($A203,'Swing Joints Components'!$A$9:$M$134,5,FALSE),
IF($A203&lt;Nonstandard!$A$42,VLOOKUP($A203,Nonstandard!$A$31:$J$41,6,FALSE),"")))))))))))))))))))))))))))),"")</f>
        <v/>
      </c>
      <c r="D203" s="426" t="str">
        <f>IFERROR(IF($A203&lt;'DWV PVC'!$A$285,VLOOKUP($A203,'DWV PVC'!$A$8:$M$284,6,FALSE),
IF($A203&lt;'DWV ABS'!$A$117,VLOOKUP($A203,'DWV ABS'!$A$8:$M$116,6,FALSE),
IF($A203&lt;'PVC SCH40'!$A$376,VLOOKUP($A203,'PVC SCH40'!$A$8:$M$375,6,FALSE),
IF($A203&lt;'PVC SCH40 LD'!$A$22,VLOOKUP($A203,'PVC SCH40 LD'!$A$8:$M$21,6,FALSE),
IF($A203&lt;'Pool &amp; SPA Sweep Elbows'!$A$12,VLOOKUP($A203,'Pool &amp; SPA Sweep Elbows'!$A$8:$M$11,6,FALSE),
IF($A203&lt;'Pool &amp; SPA Pipe Extender'!$A$11,VLOOKUP($A203,'Pool &amp; SPA Pipe Extender'!$A$8:$M$10,6,FALSE),
IF($A203&lt;'PVC SCH80'!$A$250,VLOOKUP($A203,'PVC SCH80'!$A$8:$M$249,6,FALSE),
IF($A203&lt;'PVC SCH80 Flange'!$A$49,VLOOKUP($A203,'PVC SCH80 Flange'!$A$8:$M$48,6,FALSE),
IF($A203&lt;'PVC SCH80 LD Flange'!$A$17,VLOOKUP($A203,'PVC SCH80 LD Flange'!$A$8:$M$16,6,FALSE),
IF($A203&lt;CPVC!$A$100,VLOOKUP($A203,CPVC!$A$8:$M$99,6,FALSE),
IF($A203&lt;InsertFittings!$A$237,VLOOKUP($A203,InsertFittings!$A$11:$M$236,6,FALSE),
IF($A203&lt;Valves!$A$132,VLOOKUP($A203,Valves!$A$8:$M$131,6,FALSE),
IF($A203&lt;SDR35SW!$A$124,VLOOKUP($A203,SDR35SW!$A$8:$M$123,6,FALSE),
IF($A203&lt;SDR35G!$A$143,VLOOKUP($A203, SDR35G!$A$8:$M$142,6,FALSE),
IF($A203&lt;SDR26G!$A$61,VLOOKUP($A203,SDR26G!$A$8:$N$60,6,FALSE),
IF($A203&lt;Cements!$A$100,VLOOKUP($A203,Cements!$A$8:$Q$99,6,FALSE),
IF($A203&lt;ValveBox!$A$143,VLOOKUP($A203,ValveBox!$A$10:$O$142,6,FALSE),
IF($A203&lt;'ValveBox Components'!$A$165,VLOOKUP($A203,'ValveBox Components'!$A$10:$O$164,6,FALSE),
IF($A203&lt;Drainage!$A$92,VLOOKUP($A203,Drainage!$A$8:$M$91,6,FALSE),
IF($A203&lt;Nipples!$A$82,VLOOKUP($A203,Nipples!$A$9:$Q$81,6,FALSE),
IF($A203&lt;Manifold!$A$33,VLOOKUP($A203,Manifold!$A$9:$M$32,6,FALSE),
IF($A203&lt;FlexibleRepairCouplings!$A$13,VLOOKUP($A203,FlexibleRepairCouplings!$A$10:$M$12,6,FALSE),
IF($A203&lt;DuraFix!$A$15,VLOOKUP($A203,DuraFix!$A$9:$M$14,6,FALSE),
IF($A203&lt;'Compression Fittings'!$A$16,VLOOKUP($A203,'Compression Fittings'!$A$8:$M$15,6,FALSE),
IF($A203&lt;'Hose Fittings'!$A$30,VLOOKUP($A203,'Hose Fittings'!$A$8:$M$29,6,FALSE),
IF($A203&lt;'Swing Joints'!$A$496,VLOOKUP($A203,'Swing Joints'!$A$9:$M$495,6,FALSE),
IF($A203&lt;'Swing Joints Components'!$A$135,VLOOKUP($A203,'Swing Joints Components'!$A$9:$M$134,6,FALSE),
IF($A203&lt;Nonstandard!$A$42,VLOOKUP($A203,Nonstandard!$A$31:$J$41,7,FALSE),"")))))))))))))))))))))))))))),"")</f>
        <v/>
      </c>
      <c r="E203" s="427"/>
      <c r="F203" s="418" t="str">
        <f>IFERROR(IF($A203&lt;'DWV PVC'!$A$285,VLOOKUP($A203,'DWV PVC'!$A$8:$M$284,9,FALSE),
IF($A203&lt;'DWV ABS'!$A$117,VLOOKUP($A203,'DWV ABS'!$A$8:$M$116,9,FALSE),
IF($A203&lt;'PVC SCH40'!$A$376,VLOOKUP($A203,'PVC SCH40'!$A$8:$M$375,9,FALSE),
IF($A203&lt;'PVC SCH40 LD'!$A$22,VLOOKUP($A203,'PVC SCH40 LD'!$A$8:$M$21,9,FALSE),
IF($A203&lt;'Pool &amp; SPA Sweep Elbows'!$A$12,VLOOKUP($A203,'Pool &amp; SPA Sweep Elbows'!$A$8:$M$11,9,FALSE),
IF($A203&lt;'Pool &amp; SPA Pipe Extender'!$A$11,VLOOKUP($A203,'Pool &amp; SPA Pipe Extender'!$A$8:$M$10,9,FALSE),
IF($A203&lt;'PVC SCH80'!$A$250,VLOOKUP($A203,'PVC SCH80'!$A$8:$M$249,9,FALSE),
IF($A203&lt;'PVC SCH80 Flange'!$A$49,VLOOKUP($A203,'PVC SCH80 Flange'!$A$8:$M$48,9,FALSE),
IF($A203&lt;'PVC SCH80 LD Flange'!$A$17,VLOOKUP($A203,'PVC SCH80 LD Flange'!$A$8:$M$16,9,FALSE),
IF($A203&lt;CPVC!$A$100,VLOOKUP($A203,CPVC!$A$8:$M$99,9,FALSE),
IF($A203&lt;InsertFittings!$A$237,VLOOKUP($A203,InsertFittings!$A$11:$M$236,9,FALSE),
IF($A203&lt;Valves!$A$132,VLOOKUP($A203,Valves!$A$8:$M$131,9,FALSE),
IF($A203&lt;SDR35SW!$A$124,VLOOKUP($A203,SDR35SW!$A$8:$M$123,9,FALSE),
IF($A203&lt;SDR35G!$A$143,VLOOKUP($A203, SDR35G!$A$8:$M$142,9,FALSE),
IF($A203&lt;SDR26G!$A$61,VLOOKUP($A203,SDR26G!$A$8:$N$60,10,FALSE),
IF($A203&lt;Cements!$A$100,VLOOKUP($A203,Cements!$A$8:$Q$99,13,FALSE),
IF($A203&lt;ValveBox!$A$143,VLOOKUP($A203,ValveBox!$A$10:$O$142,11,FALSE),
IF($A203&lt;'ValveBox Components'!$A$165,VLOOKUP($A203,'ValveBox Components'!$A$10:$O$164,11,FALSE),
IF($A203&lt;Drainage!$A$92,VLOOKUP($A203,Drainage!$A$8:$M$91,9,FALSE),
IF($A203&lt;Nipples!$A$82,VLOOKUP($A203,Nipples!$A$9:$Q$81,13,FALSE),
IF($A203&lt;Manifold!$A$33,VLOOKUP($A203,Manifold!$A$9:$M$32,9,FALSE),
IF($A203&lt;FlexibleRepairCouplings!$A$13,VLOOKUP($A203,FlexibleRepairCouplings!$A$10:$M$12,9,FALSE),
IF($A203&lt;DuraFix!$A$15,VLOOKUP($A203,DuraFix!$A$9:$M$14,9,FALSE),
IF($A203&lt;'Compression Fittings'!$A$16,VLOOKUP($A203,'Compression Fittings'!$A$8:$M$15,9,FALSE),
IF($A203&lt;'Hose Fittings'!$A$30,VLOOKUP($A203,'Hose Fittings'!$A$8:$M$29,9,FALSE),
IF($A203&lt;'Swing Joints'!$A$496,VLOOKUP($A203,'Swing Joints'!$A$9:$M$495,9,FALSE),
IF($A203&lt;'Swing Joints Components'!$A$135,VLOOKUP($A203,'Swing Joints Components'!$A$9:$M$134,9,FALSE),
IF($A203&lt;Nonstandard!$A$42,VLOOKUP($A203,Nonstandard!$A$31:$J$41,8,FALSE),"")))))))))))))))))))))))))))),"")</f>
        <v/>
      </c>
      <c r="G203" s="416" t="str">
        <f>IFERROR(IF($A203&lt;'DWV PVC'!$A$285,VLOOKUP($A203,'DWV PVC'!$A$8:$M$284,11,FALSE),
IF($A203&lt;'DWV ABS'!$A$117,VLOOKUP($A203,'DWV ABS'!$A$8:$M$116,11,FALSE),
IF($A203&lt;'PVC SCH40'!$A$376,VLOOKUP($A203,'PVC SCH40'!$A$8:$M$375,11,FALSE),
IF($A203&lt;'PVC SCH40 LD'!$A$22,VLOOKUP($A203,'PVC SCH40 LD'!$A$8:$M$21,11,FALSE),
IF($A203&lt;'Pool &amp; SPA Sweep Elbows'!$A$12,VLOOKUP($A203,'Pool &amp; SPA Sweep Elbows'!$A$8:$M$11,11,FALSE),
IF($A203&lt;'Pool &amp; SPA Pipe Extender'!$A$11,VLOOKUP($A203,'Pool &amp; SPA Pipe Extender'!$A$8:$M$10,11,FALSE),
IF($A203&lt;'PVC SCH80'!$A$250,VLOOKUP($A203,'PVC SCH80'!$A$8:$M$249,11,FALSE),
IF($A203&lt;'PVC SCH80 Flange'!$A$49,VLOOKUP($A203,'PVC SCH80 Flange'!$A$8:$M$48,11,FALSE),
IF($A203&lt;'PVC SCH80 LD Flange'!$A$17,VLOOKUP($A203,'PVC SCH80 LD Flange'!$A$8:$M$16,11,FALSE),
IF($A203&lt;CPVC!$A$100,VLOOKUP($A203,CPVC!$A$8:$M$99,11,FALSE),
IF($A203&lt;InsertFittings!$A$237,VLOOKUP($A203,InsertFittings!$A$11:$M$236,11,FALSE),
IF($A203&lt;Valves!$A$132,VLOOKUP($A203,Valves!$A$8:$M$131,11,FALSE),
IF($A203&lt;SDR35SW!$A$124,VLOOKUP($A203,SDR35SW!$A$8:$M$123,11,FALSE),
IF($A203&lt;SDR35G!$A$143,VLOOKUP($A203, SDR35G!$A$8:$M$142,11,FALSE),
IF($A203&lt;SDR26G!$A$61,VLOOKUP($A203,SDR26G!$A$8:$N$60,12,FALSE),
IF($A203&lt;Cements!$A$100,VLOOKUP($A203,Cements!$A$8:$Q$99,15,FALSE),
IF($A203&lt;ValveBox!$A$143,VLOOKUP($A203,ValveBox!$A$10:$O$142,13,FALSE),
IF($A203&lt;'ValveBox Components'!$A$165,VLOOKUP($A203,'ValveBox Components'!$A$10:$O$164,13,FALSE),
IF($A203&lt;Drainage!$A$92,VLOOKUP($A203,Drainage!$A$8:$M$91,11,FALSE),
IF($A203&lt;Nipples!$A$82,VLOOKUP($A203,Nipples!$A$9:$Q$81,15,FALSE),
IF($A203&lt;Manifold!$A$33,VLOOKUP($A203,Manifold!$A$9:$M$32,11,FALSE),
IF($A203&lt;FlexibleRepairCouplings!$A$13,VLOOKUP($A203,FlexibleRepairCouplings!$A$10:$M$12,11,FALSE),
IF($A203&lt;DuraFix!$A$15,VLOOKUP($A203,DuraFix!$A$9:$M$14,11,FALSE),
IF($A203&lt;'Compression Fittings'!$A$16,VLOOKUP($A203,'Compression Fittings'!$A$8:$M$15,11,FALSE),
IF($A203&lt;'Hose Fittings'!$A$30,VLOOKUP($A203,'Hose Fittings'!$A$8:$M$29,11,FALSE),
IF($A203&lt;'Swing Joints'!$A$496,VLOOKUP($A203,'Swing Joints'!$A$9:$M$495,11,FALSE),
IF($A203&lt;'Swing Joints Components'!$A$135,VLOOKUP($A203,'Swing Joints Components'!$A$9:$M$134,11,FALSE),
IF($A203&lt;Nonstandard!$A$42,VLOOKUP($A203,Nonstandard!$A$31:$J$41,3,FALSE),"")))))))))))))))))))))))))))),"")</f>
        <v/>
      </c>
      <c r="H203" s="586" t="str">
        <f>IFERROR(IF($A203&lt;'DWV PVC'!$A$285,VLOOKUP($A203,'DWV PVC'!$A$8:$M$284,7,FALSE),
IF($A203&lt;'DWV ABS'!$A$117,VLOOKUP($A203,'DWV ABS'!$A$8:$M$116,7,FALSE),
IF($A203&lt;'PVC SCH40'!$A$376,VLOOKUP($A203,'PVC SCH40'!$A$8:$M$375,7,FALSE),
IF($A203&lt;'PVC SCH40 LD'!$A$22,VLOOKUP($A203,'PVC SCH40 LD'!$A$8:$M$21,7,FALSE),
IF($A203&lt;'Pool &amp; SPA Sweep Elbows'!$A$12,VLOOKUP($A203,'Pool &amp; SPA Sweep Elbows'!$A$8:$M$11,7,FALSE),
IF($A203&lt;'Pool &amp; SPA Pipe Extender'!$A$11,VLOOKUP($A203,'Pool &amp; SPA Pipe Extender'!$A$8:$M$10,7,FALSE),
IF($A203&lt;'PVC SCH80'!$A$250,VLOOKUP($A203,'PVC SCH80'!$A$8:$M$249,7,FALSE),
IF($A203&lt;'PVC SCH80 Flange'!$A$49,VLOOKUP($A203,'PVC SCH80 Flange'!$A$8:$M$48,7,FALSE),
IF($A203&lt;'PVC SCH80 LD Flange'!$A$17,VLOOKUP($A203,'PVC SCH80 LD Flange'!$A$8:$M$16,7,FALSE),
IF($A203&lt;CPVC!$A$100,VLOOKUP($A203,CPVC!$A$8:$M$99,7,FALSE),
IF($A203&lt;InsertFittings!$A$237,VLOOKUP($A203,InsertFittings!$A$11:$M$236,7,FALSE),
IF($A203&lt;Valves!$A$132,VLOOKUP($A203,Valves!$A$8:$M$131,7,FALSE),
IF($A203&lt;SDR35SW!$A$124,VLOOKUP($A203,SDR35SW!$A$8:$M$123,7,FALSE),
IF($A203&lt;SDR35G!$A$143,VLOOKUP($A203, SDR35G!$A$8:$M$142,7,FALSE),
IF($A203&lt;SDR26G!$A$61,VLOOKUP($A203,SDR26G!$A$8:$N$60,10,FALSE),
IF($A203&lt;Cements!$A$100,VLOOKUP($A203,Cements!$A$8:$Q$99,13,FALSE),
IF($A203&lt;ValveBox!$A$143,VLOOKUP($A203,ValveBox!$A$10:$O$142,11,FALSE),
IF($A203&lt;'ValveBox Components'!$A$165,VLOOKUP($A203,'ValveBox Components'!$A$10:$O$164,11,FALSE),
IF($A203&lt;Drainage!$A$92,VLOOKUP($A203,Drainage!$A$8:$M$91,7,FALSE),
IF($A203&lt;Nipples!$A$82,VLOOKUP($A203,Nipples!$A$9:$Q$81,13,FALSE),
IF($A203&lt;Manifold!$A$33,VLOOKUP($A203,Manifold!$A$9:$M$32,7,FALSE),
IF($A203&lt;FlexibleRepairCouplings!$A$13,VLOOKUP($A203,FlexibleRepairCouplings!$A$10:$M$12,7,FALSE),
IF($A203&lt;DuraFix!$A$15,VLOOKUP($A203,DuraFix!$A$9:$M$14,7,FALSE),
IF($A203&lt;'Compression Fittings'!$A$16,VLOOKUP($A203,'Compression Fittings'!$A$8:$M$15,7,FALSE),
IF($A203&lt;'Hose Fittings'!$A$30,VLOOKUP($A203,'Hose Fittings'!$A$8:$M$29,7,FALSE),
IF($A203&lt;'Swing Joints'!$A$496,VLOOKUP($A203,'Swing Joints'!$A$9:$M$495,7,FALSE),
IF($A203&lt;'Swing Joints Components'!$A$135,VLOOKUP($A203,'Swing Joints Components'!$A$9:$M$134,7,FALSE),
IF($A203&lt;Nonstandard!$A$42,VLOOKUP($A203,Nonstandard!$A$31:$J$41,3,FALSE),"")))))))))))))))))))))))))))),"")</f>
        <v/>
      </c>
      <c r="I203" s="587"/>
      <c r="J203" s="383" t="str">
        <f t="shared" si="5"/>
        <v/>
      </c>
      <c r="K203" s="417" t="str">
        <f>IFERROR(IF($A203&lt;'DWV PVC'!$A$285,VLOOKUP($A203,'DWV PVC'!$A$8:$M$284,10,FALSE),
IF($A203&lt;'DWV ABS'!$A$117,VLOOKUP($A203,'DWV ABS'!$A$8:$M$116,10,FALSE),
IF($A203&lt;'PVC SCH40'!$A$376,VLOOKUP($A203,'PVC SCH40'!$A$8:$M$375,10,FALSE),
IF($A203&lt;'PVC SCH40 LD'!$A$22,VLOOKUP($A203,'PVC SCH40 LD'!$A$8:$M$21,10,FALSE),
IF($A203&lt;'Pool &amp; SPA Sweep Elbows'!$A$12,VLOOKUP($A203,'Pool &amp; SPA Sweep Elbows'!$A$8:$M$11,10,FALSE),
IF($A203&lt;'Pool &amp; SPA Pipe Extender'!$A$11,VLOOKUP($A203,'Pool &amp; SPA Pipe Extender'!$A$8:$M$10,10,FALSE),
IF($A203&lt;'PVC SCH80'!$A$250,VLOOKUP($A203,'PVC SCH80'!$A$8:$M$249,10,FALSE),
IF($A203&lt;'PVC SCH80 Flange'!$A$49,VLOOKUP($A203,'PVC SCH80 Flange'!$A$8:$M$48,10,FALSE),
IF($A203&lt;'PVC SCH80 LD Flange'!$A$17,VLOOKUP($A203,'PVC SCH80 LD Flange'!$A$8:$M$16,10,FALSE),
IF($A203&lt;CPVC!$A$100,VLOOKUP($A203,CPVC!$A$8:$M$99,10,FALSE),
IF($A203&lt;InsertFittings!$A$237,VLOOKUP($A203,InsertFittings!$A$11:$M$236,10,FALSE),
IF($A203&lt;Valves!$A$132,VLOOKUP($A203,Valves!$A$8:$M$131,10,FALSE),
IF($A203&lt;SDR35SW!$A$124,VLOOKUP($A203,SDR35SW!$A$8:$M$123,10,FALSE),
IF($A203&lt;SDR35G!$A$143,VLOOKUP($A203, SDR35G!$A$8:$M$142,10,FALSE),
IF($A203&lt;SDR26G!$A$61,VLOOKUP($A203,SDR26G!$A$8:$N$60,11,FALSE),
IF($A203&lt;Cements!$A$100,VLOOKUP($A203,Cements!$A$8:$Q$99,14,FALSE),
IF($A203&lt;ValveBox!$A$143,VLOOKUP($A203,ValveBox!$A$10:$O$142,12,FALSE),
IF($A203&lt;'ValveBox Components'!$A$165,VLOOKUP($A203,'ValveBox Components'!$A$10:$O$164,12,FALSE),
IF($A203&lt;Drainage!$A$92,VLOOKUP($A203,Drainage!$A$8:$M$91,10,FALSE),
IF($A203&lt;Nipples!$A$82,VLOOKUP($A203,Nipples!$A$9:$Q$81,14,FALSE),
IF($A203&lt;Manifold!$A$33,VLOOKUP($A203,Manifold!$A$9:$M$32,10,FALSE),
IF($A203&lt;FlexibleRepairCouplings!$A$13,VLOOKUP($A203,FlexibleRepairCouplings!$A$10:$M$12,10,FALSE),
IF($A203&lt;DuraFix!$A$15,VLOOKUP($A203,DuraFix!$A$9:$M$14,10,FALSE),
IF($A203&lt;'Compression Fittings'!$A$16,VLOOKUP($A203,'Compression Fittings'!$A$8:$M$15,10,FALSE),
IF($A203&lt;'Hose Fittings'!$A$30,VLOOKUP($A203,'Hose Fittings'!$A$8:$M$29,10,FALSE),
IF($A203&lt;'Swing Joints'!$A$496,VLOOKUP($A203,'Swing Joints'!$A$9:$M$495,10,FALSE),
IF($A203&lt;'Swing Joints Components'!$A$135,VLOOKUP($A203,'Swing Joints Components'!$A$9:$M$134,10,FALSE),
IF($A203&lt;Nonstandard!$A$42,VLOOKUP($A203,Nonstandard!$A$31:$J$41,10,FALSE),"")))))))))))))))))))))))))))),"")</f>
        <v/>
      </c>
      <c r="L203" s="418" t="str">
        <f t="shared" si="4"/>
        <v>-</v>
      </c>
      <c r="M203" s="419"/>
    </row>
    <row r="204" spans="1:13" ht="15.75">
      <c r="A204" s="420">
        <v>172</v>
      </c>
      <c r="B204" s="420" t="str">
        <f>IFERROR(IF($A204&lt;'DWV PVC'!$A$285,VLOOKUP($A204,'DWV PVC'!$A$8:$M$284,4,FALSE),
IF($A204&lt;'DWV ABS'!$A$117,VLOOKUP($A204,'DWV ABS'!$A$8:$M$116,4,FALSE),
IF($A204&lt;'PVC SCH40'!$A$376,VLOOKUP($A204,'PVC SCH40'!$A$8:$M$375,4,FALSE),
IF($A204&lt;'PVC SCH40 LD'!$A$22,VLOOKUP($A204,'PVC SCH40 LD'!$A$8:$M$21,4,FALSE),
IF($A204&lt;'Pool &amp; SPA Sweep Elbows'!$A$12,VLOOKUP($A204,'Pool &amp; SPA Sweep Elbows'!$A$8:$M$11,4,FALSE),
IF($A204&lt;'Pool &amp; SPA Pipe Extender'!$A$11,VLOOKUP($A204,'Pool &amp; SPA Pipe Extender'!$A$8:$M$10,4,FALSE),
IF($A204&lt;'PVC SCH80'!$A$250,VLOOKUP($A204,'PVC SCH80'!$A$8:$M$249,4,FALSE),
IF($A204&lt;'PVC SCH80 Flange'!$A$49,VLOOKUP($A204,'PVC SCH80 Flange'!$A$8:$M$48,4,FALSE),
IF($A204&lt;'PVC SCH80 LD Flange'!$A$17,VLOOKUP($A204,'PVC SCH80 LD Flange'!$A$8:$M$16,4,FALSE),
IF($A204&lt;CPVC!$A$100,VLOOKUP($A204,CPVC!$A$8:$M$99,4,FALSE),
IF($A204&lt;InsertFittings!$A$237,VLOOKUP($A204,InsertFittings!$A$11:$M$236,4,FALSE),
IF($A204&lt;Valves!$A$132,VLOOKUP($A204,Valves!$A$8:$M$131,4,FALSE),
IF($A204&lt;SDR35SW!$A$124,VLOOKUP($A204,SDR35SW!$A$8:$M$123,4,FALSE),
IF($A204&lt;SDR35G!$A$143,VLOOKUP($A204, SDR35G!$A$8:$M$142,4,FALSE),
IF($A204&lt;SDR26G!$A$61,VLOOKUP($A204,SDR26G!$A$8:$N$60,4,FALSE),
IF($A204&lt;Cements!$A$100,VLOOKUP($A204,Cements!$A$8:$Q$99,4,FALSE),
IF($A204&lt;ValveBox!$A$143,VLOOKUP($A204,ValveBox!$A$10:$O$142,4,FALSE),
IF($A204&lt;'ValveBox Components'!$A$165,VLOOKUP($A204,'ValveBox Components'!$A$10:$O$164,4,FALSE),
IF($A204&lt;Drainage!$A$92,VLOOKUP($A204,Drainage!$A$8:$M$91,4,FALSE),
IF($A204&lt;Nipples!$A$82,VLOOKUP($A204,Nipples!$A$9:$Q$81,4,FALSE),
IF($A204&lt;Manifold!$A$33,VLOOKUP($A204,Manifold!$A$9:$M$32,4,FALSE),
IF($A204&lt;FlexibleRepairCouplings!$A$13,VLOOKUP($A204,FlexibleRepairCouplings!$A$10:$M$12,4,FALSE),
IF($A204&lt;DuraFix!$A$15,VLOOKUP($A204,DuraFix!$A$9:$M$14,4,FALSE),
IF($A204&lt;'Compression Fittings'!$A$16,VLOOKUP($A204,'Compression Fittings'!$A$8:$M$15,4,FALSE),
IF($A204&lt;'Hose Fittings'!$A$30,VLOOKUP($A204,'Hose Fittings'!$A$8:$M$29,4,FALSE),
IF($A204&lt;'Swing Joints'!$A$496,VLOOKUP($A204,'Swing Joints'!$A$9:$M$495,4,FALSE),
IF($A204&lt;'Swing Joints Components'!$A$135,VLOOKUP($A204,'Swing Joints Components'!$A$9:$M$134,4,FALSE),
IF($A204&lt;Nonstandard!$A$42,VLOOKUP($A204,Nonstandard!$A$31:$J$41,5,FALSE),"")))))))))))))))))))))))))))),"")</f>
        <v/>
      </c>
      <c r="C204" s="420" t="str">
        <f>IFERROR(IF($A204&lt;'DWV PVC'!$A$285,VLOOKUP($A204,'DWV PVC'!$A$8:$M$284,5,FALSE),
IF($A204&lt;'DWV ABS'!$A$117,VLOOKUP($A204,'DWV ABS'!$A$8:$M$116,5,FALSE),
IF($A204&lt;'PVC SCH40'!$A$376,VLOOKUP($A204,'PVC SCH40'!$A$8:$M$375,5,FALSE),
IF($A204&lt;'PVC SCH40 LD'!$A$22,VLOOKUP($A204,'PVC SCH40 LD'!$A$8:$M$21,5,FALSE),
IF($A204&lt;'Pool &amp; SPA Sweep Elbows'!$A$12,VLOOKUP($A204,'Pool &amp; SPA Sweep Elbows'!$A$8:$M$11,5,FALSE),
IF($A204&lt;'Pool &amp; SPA Pipe Extender'!$A$11,VLOOKUP($A204,'Pool &amp; SPA Pipe Extender'!$A$8:$M$10,5,FALSE),
IF($A204&lt;'PVC SCH80'!$A$250,VLOOKUP($A204,'PVC SCH80'!$A$8:$M$249,5,FALSE),
IF($A204&lt;'PVC SCH80 Flange'!$A$49,VLOOKUP($A204,'PVC SCH80 Flange'!$A$8:$M$48,5,FALSE),
IF($A204&lt;'PVC SCH80 LD Flange'!$A$17,VLOOKUP($A204,'PVC SCH80 LD Flange'!$A$8:$M$16,5,FALSE),
IF($A204&lt;CPVC!$A$100,VLOOKUP($A204,CPVC!$A$8:$M$99,5,FALSE),
IF($A204&lt;InsertFittings!$A$237,VLOOKUP($A204,InsertFittings!$A$11:$M$236,5,FALSE),
IF($A204&lt;Valves!$A$132,VLOOKUP($A204,Valves!$A$8:$M$131,5,FALSE),
IF($A204&lt;SDR35SW!$A$124,VLOOKUP($A204,SDR35SW!$A$8:$M$123,5,FALSE),
IF($A204&lt;SDR35G!$A$143,VLOOKUP($A204, SDR35G!$A$8:$M$142,5,FALSE),
IF($A204&lt;SDR26G!$A$61,VLOOKUP($A204,SDR26G!$A$8:$N$60,5,FALSE),
IF($A204&lt;Cements!$A$100,VLOOKUP($A204,Cements!$A$8:$Q$99,5,FALSE),
IF($A204&lt;ValveBox!$A$143,VLOOKUP($A204,ValveBox!$A$10:$O$142,5,FALSE),
IF($A204&lt;'ValveBox Components'!$A$165,VLOOKUP($A204,'ValveBox Components'!$A$10:$O$164,5,FALSE),
IF($A204&lt;Drainage!$A$92,VLOOKUP($A204,Drainage!$A$8:$M$91,5,FALSE),
IF($A204&lt;Nipples!$A$82,VLOOKUP($A204,Nipples!$A$9:$Q$81,5,FALSE),
IF($A204&lt;Manifold!$A$33,VLOOKUP($A204,Manifold!$A$9:$M$32,5,FALSE),
IF($A204&lt;FlexibleRepairCouplings!$A$13,VLOOKUP($A204,FlexibleRepairCouplings!$A$10:$M$12,5,FALSE),
IF($A204&lt;DuraFix!$A$15,VLOOKUP($A204,DuraFix!$A$9:$M$14,5,FALSE),
IF($A204&lt;'Compression Fittings'!$A$16,VLOOKUP($A204,'Compression Fittings'!$A$8:$M$15,5,FALSE),
IF($A204&lt;'Hose Fittings'!$A$30,VLOOKUP($A204,'Hose Fittings'!$A$8:$M$29,5,FALSE),
IF($A204&lt;'Swing Joints'!$A$496,VLOOKUP($A204,'Swing Joints'!$A$9:$M$495,5,FALSE),
IF($A204&lt;'Swing Joints Components'!$A$135,VLOOKUP($A204,'Swing Joints Components'!$A$9:$M$134,5,FALSE),
IF($A204&lt;Nonstandard!$A$42,VLOOKUP($A204,Nonstandard!$A$31:$J$41,6,FALSE),"")))))))))))))))))))))))))))),"")</f>
        <v/>
      </c>
      <c r="D204" s="428" t="str">
        <f>IFERROR(IF($A204&lt;'DWV PVC'!$A$285,VLOOKUP($A204,'DWV PVC'!$A$8:$M$284,6,FALSE),
IF($A204&lt;'DWV ABS'!$A$117,VLOOKUP($A204,'DWV ABS'!$A$8:$M$116,6,FALSE),
IF($A204&lt;'PVC SCH40'!$A$376,VLOOKUP($A204,'PVC SCH40'!$A$8:$M$375,6,FALSE),
IF($A204&lt;'PVC SCH40 LD'!$A$22,VLOOKUP($A204,'PVC SCH40 LD'!$A$8:$M$21,6,FALSE),
IF($A204&lt;'Pool &amp; SPA Sweep Elbows'!$A$12,VLOOKUP($A204,'Pool &amp; SPA Sweep Elbows'!$A$8:$M$11,6,FALSE),
IF($A204&lt;'Pool &amp; SPA Pipe Extender'!$A$11,VLOOKUP($A204,'Pool &amp; SPA Pipe Extender'!$A$8:$M$10,6,FALSE),
IF($A204&lt;'PVC SCH80'!$A$250,VLOOKUP($A204,'PVC SCH80'!$A$8:$M$249,6,FALSE),
IF($A204&lt;'PVC SCH80 Flange'!$A$49,VLOOKUP($A204,'PVC SCH80 Flange'!$A$8:$M$48,6,FALSE),
IF($A204&lt;'PVC SCH80 LD Flange'!$A$17,VLOOKUP($A204,'PVC SCH80 LD Flange'!$A$8:$M$16,6,FALSE),
IF($A204&lt;CPVC!$A$100,VLOOKUP($A204,CPVC!$A$8:$M$99,6,FALSE),
IF($A204&lt;InsertFittings!$A$237,VLOOKUP($A204,InsertFittings!$A$11:$M$236,6,FALSE),
IF($A204&lt;Valves!$A$132,VLOOKUP($A204,Valves!$A$8:$M$131,6,FALSE),
IF($A204&lt;SDR35SW!$A$124,VLOOKUP($A204,SDR35SW!$A$8:$M$123,6,FALSE),
IF($A204&lt;SDR35G!$A$143,VLOOKUP($A204, SDR35G!$A$8:$M$142,6,FALSE),
IF($A204&lt;SDR26G!$A$61,VLOOKUP($A204,SDR26G!$A$8:$N$60,6,FALSE),
IF($A204&lt;Cements!$A$100,VLOOKUP($A204,Cements!$A$8:$Q$99,6,FALSE),
IF($A204&lt;ValveBox!$A$143,VLOOKUP($A204,ValveBox!$A$10:$O$142,6,FALSE),
IF($A204&lt;'ValveBox Components'!$A$165,VLOOKUP($A204,'ValveBox Components'!$A$10:$O$164,6,FALSE),
IF($A204&lt;Drainage!$A$92,VLOOKUP($A204,Drainage!$A$8:$M$91,6,FALSE),
IF($A204&lt;Nipples!$A$82,VLOOKUP($A204,Nipples!$A$9:$Q$81,6,FALSE),
IF($A204&lt;Manifold!$A$33,VLOOKUP($A204,Manifold!$A$9:$M$32,6,FALSE),
IF($A204&lt;FlexibleRepairCouplings!$A$13,VLOOKUP($A204,FlexibleRepairCouplings!$A$10:$M$12,6,FALSE),
IF($A204&lt;DuraFix!$A$15,VLOOKUP($A204,DuraFix!$A$9:$M$14,6,FALSE),
IF($A204&lt;'Compression Fittings'!$A$16,VLOOKUP($A204,'Compression Fittings'!$A$8:$M$15,6,FALSE),
IF($A204&lt;'Hose Fittings'!$A$30,VLOOKUP($A204,'Hose Fittings'!$A$8:$M$29,6,FALSE),
IF($A204&lt;'Swing Joints'!$A$496,VLOOKUP($A204,'Swing Joints'!$A$9:$M$495,6,FALSE),
IF($A204&lt;'Swing Joints Components'!$A$135,VLOOKUP($A204,'Swing Joints Components'!$A$9:$M$134,6,FALSE),
IF($A204&lt;Nonstandard!$A$42,VLOOKUP($A204,Nonstandard!$A$31:$J$41,7,FALSE),"")))))))))))))))))))))))))))),"")</f>
        <v/>
      </c>
      <c r="E204" s="429"/>
      <c r="F204" s="421" t="str">
        <f>IFERROR(IF($A204&lt;'DWV PVC'!$A$285,VLOOKUP($A204,'DWV PVC'!$A$8:$M$284,9,FALSE),
IF($A204&lt;'DWV ABS'!$A$117,VLOOKUP($A204,'DWV ABS'!$A$8:$M$116,9,FALSE),
IF($A204&lt;'PVC SCH40'!$A$376,VLOOKUP($A204,'PVC SCH40'!$A$8:$M$375,9,FALSE),
IF($A204&lt;'PVC SCH40 LD'!$A$22,VLOOKUP($A204,'PVC SCH40 LD'!$A$8:$M$21,9,FALSE),
IF($A204&lt;'Pool &amp; SPA Sweep Elbows'!$A$12,VLOOKUP($A204,'Pool &amp; SPA Sweep Elbows'!$A$8:$M$11,9,FALSE),
IF($A204&lt;'Pool &amp; SPA Pipe Extender'!$A$11,VLOOKUP($A204,'Pool &amp; SPA Pipe Extender'!$A$8:$M$10,9,FALSE),
IF($A204&lt;'PVC SCH80'!$A$250,VLOOKUP($A204,'PVC SCH80'!$A$8:$M$249,9,FALSE),
IF($A204&lt;'PVC SCH80 Flange'!$A$49,VLOOKUP($A204,'PVC SCH80 Flange'!$A$8:$M$48,9,FALSE),
IF($A204&lt;'PVC SCH80 LD Flange'!$A$17,VLOOKUP($A204,'PVC SCH80 LD Flange'!$A$8:$M$16,9,FALSE),
IF($A204&lt;CPVC!$A$100,VLOOKUP($A204,CPVC!$A$8:$M$99,9,FALSE),
IF($A204&lt;InsertFittings!$A$237,VLOOKUP($A204,InsertFittings!$A$11:$M$236,9,FALSE),
IF($A204&lt;Valves!$A$132,VLOOKUP($A204,Valves!$A$8:$M$131,9,FALSE),
IF($A204&lt;SDR35SW!$A$124,VLOOKUP($A204,SDR35SW!$A$8:$M$123,9,FALSE),
IF($A204&lt;SDR35G!$A$143,VLOOKUP($A204, SDR35G!$A$8:$M$142,9,FALSE),
IF($A204&lt;SDR26G!$A$61,VLOOKUP($A204,SDR26G!$A$8:$N$60,10,FALSE),
IF($A204&lt;Cements!$A$100,VLOOKUP($A204,Cements!$A$8:$Q$99,13,FALSE),
IF($A204&lt;ValveBox!$A$143,VLOOKUP($A204,ValveBox!$A$10:$O$142,11,FALSE),
IF($A204&lt;'ValveBox Components'!$A$165,VLOOKUP($A204,'ValveBox Components'!$A$10:$O$164,11,FALSE),
IF($A204&lt;Drainage!$A$92,VLOOKUP($A204,Drainage!$A$8:$M$91,9,FALSE),
IF($A204&lt;Nipples!$A$82,VLOOKUP($A204,Nipples!$A$9:$Q$81,13,FALSE),
IF($A204&lt;Manifold!$A$33,VLOOKUP($A204,Manifold!$A$9:$M$32,9,FALSE),
IF($A204&lt;FlexibleRepairCouplings!$A$13,VLOOKUP($A204,FlexibleRepairCouplings!$A$10:$M$12,9,FALSE),
IF($A204&lt;DuraFix!$A$15,VLOOKUP($A204,DuraFix!$A$9:$M$14,9,FALSE),
IF($A204&lt;'Compression Fittings'!$A$16,VLOOKUP($A204,'Compression Fittings'!$A$8:$M$15,9,FALSE),
IF($A204&lt;'Hose Fittings'!$A$30,VLOOKUP($A204,'Hose Fittings'!$A$8:$M$29,9,FALSE),
IF($A204&lt;'Swing Joints'!$A$496,VLOOKUP($A204,'Swing Joints'!$A$9:$M$495,9,FALSE),
IF($A204&lt;'Swing Joints Components'!$A$135,VLOOKUP($A204,'Swing Joints Components'!$A$9:$M$134,9,FALSE),
IF($A204&lt;Nonstandard!$A$42,VLOOKUP($A204,Nonstandard!$A$31:$J$41,8,FALSE),"")))))))))))))))))))))))))))),"")</f>
        <v/>
      </c>
      <c r="G204" s="422" t="str">
        <f>IFERROR(IF($A204&lt;'DWV PVC'!$A$285,VLOOKUP($A204,'DWV PVC'!$A$8:$M$284,11,FALSE),
IF($A204&lt;'DWV ABS'!$A$117,VLOOKUP($A204,'DWV ABS'!$A$8:$M$116,11,FALSE),
IF($A204&lt;'PVC SCH40'!$A$376,VLOOKUP($A204,'PVC SCH40'!$A$8:$M$375,11,FALSE),
IF($A204&lt;'PVC SCH40 LD'!$A$22,VLOOKUP($A204,'PVC SCH40 LD'!$A$8:$M$21,11,FALSE),
IF($A204&lt;'Pool &amp; SPA Sweep Elbows'!$A$12,VLOOKUP($A204,'Pool &amp; SPA Sweep Elbows'!$A$8:$M$11,11,FALSE),
IF($A204&lt;'Pool &amp; SPA Pipe Extender'!$A$11,VLOOKUP($A204,'Pool &amp; SPA Pipe Extender'!$A$8:$M$10,11,FALSE),
IF($A204&lt;'PVC SCH80'!$A$250,VLOOKUP($A204,'PVC SCH80'!$A$8:$M$249,11,FALSE),
IF($A204&lt;'PVC SCH80 Flange'!$A$49,VLOOKUP($A204,'PVC SCH80 Flange'!$A$8:$M$48,11,FALSE),
IF($A204&lt;'PVC SCH80 LD Flange'!$A$17,VLOOKUP($A204,'PVC SCH80 LD Flange'!$A$8:$M$16,11,FALSE),
IF($A204&lt;CPVC!$A$100,VLOOKUP($A204,CPVC!$A$8:$M$99,11,FALSE),
IF($A204&lt;InsertFittings!$A$237,VLOOKUP($A204,InsertFittings!$A$11:$M$236,11,FALSE),
IF($A204&lt;Valves!$A$132,VLOOKUP($A204,Valves!$A$8:$M$131,11,FALSE),
IF($A204&lt;SDR35SW!$A$124,VLOOKUP($A204,SDR35SW!$A$8:$M$123,11,FALSE),
IF($A204&lt;SDR35G!$A$143,VLOOKUP($A204, SDR35G!$A$8:$M$142,11,FALSE),
IF($A204&lt;SDR26G!$A$61,VLOOKUP($A204,SDR26G!$A$8:$N$60,12,FALSE),
IF($A204&lt;Cements!$A$100,VLOOKUP($A204,Cements!$A$8:$Q$99,15,FALSE),
IF($A204&lt;ValveBox!$A$143,VLOOKUP($A204,ValveBox!$A$10:$O$142,13,FALSE),
IF($A204&lt;'ValveBox Components'!$A$165,VLOOKUP($A204,'ValveBox Components'!$A$10:$O$164,13,FALSE),
IF($A204&lt;Drainage!$A$92,VLOOKUP($A204,Drainage!$A$8:$M$91,11,FALSE),
IF($A204&lt;Nipples!$A$82,VLOOKUP($A204,Nipples!$A$9:$Q$81,15,FALSE),
IF($A204&lt;Manifold!$A$33,VLOOKUP($A204,Manifold!$A$9:$M$32,11,FALSE),
IF($A204&lt;FlexibleRepairCouplings!$A$13,VLOOKUP($A204,FlexibleRepairCouplings!$A$10:$M$12,11,FALSE),
IF($A204&lt;DuraFix!$A$15,VLOOKUP($A204,DuraFix!$A$9:$M$14,11,FALSE),
IF($A204&lt;'Compression Fittings'!$A$16,VLOOKUP($A204,'Compression Fittings'!$A$8:$M$15,11,FALSE),
IF($A204&lt;'Hose Fittings'!$A$30,VLOOKUP($A204,'Hose Fittings'!$A$8:$M$29,11,FALSE),
IF($A204&lt;'Swing Joints'!$A$496,VLOOKUP($A204,'Swing Joints'!$A$9:$M$495,11,FALSE),
IF($A204&lt;'Swing Joints Components'!$A$135,VLOOKUP($A204,'Swing Joints Components'!$A$9:$M$134,11,FALSE),
IF($A204&lt;Nonstandard!$A$42,VLOOKUP($A204,Nonstandard!$A$31:$J$41,3,FALSE),"")))))))))))))))))))))))))))),"")</f>
        <v/>
      </c>
      <c r="H204" s="588" t="str">
        <f>IFERROR(IF($A204&lt;'DWV PVC'!$A$285,VLOOKUP($A204,'DWV PVC'!$A$8:$M$284,7,FALSE),
IF($A204&lt;'DWV ABS'!$A$117,VLOOKUP($A204,'DWV ABS'!$A$8:$M$116,7,FALSE),
IF($A204&lt;'PVC SCH40'!$A$376,VLOOKUP($A204,'PVC SCH40'!$A$8:$M$375,7,FALSE),
IF($A204&lt;'PVC SCH40 LD'!$A$22,VLOOKUP($A204,'PVC SCH40 LD'!$A$8:$M$21,7,FALSE),
IF($A204&lt;'Pool &amp; SPA Sweep Elbows'!$A$12,VLOOKUP($A204,'Pool &amp; SPA Sweep Elbows'!$A$8:$M$11,7,FALSE),
IF($A204&lt;'Pool &amp; SPA Pipe Extender'!$A$11,VLOOKUP($A204,'Pool &amp; SPA Pipe Extender'!$A$8:$M$10,7,FALSE),
IF($A204&lt;'PVC SCH80'!$A$250,VLOOKUP($A204,'PVC SCH80'!$A$8:$M$249,7,FALSE),
IF($A204&lt;'PVC SCH80 Flange'!$A$49,VLOOKUP($A204,'PVC SCH80 Flange'!$A$8:$M$48,7,FALSE),
IF($A204&lt;'PVC SCH80 LD Flange'!$A$17,VLOOKUP($A204,'PVC SCH80 LD Flange'!$A$8:$M$16,7,FALSE),
IF($A204&lt;CPVC!$A$100,VLOOKUP($A204,CPVC!$A$8:$M$99,7,FALSE),
IF($A204&lt;InsertFittings!$A$237,VLOOKUP($A204,InsertFittings!$A$11:$M$236,7,FALSE),
IF($A204&lt;Valves!$A$132,VLOOKUP($A204,Valves!$A$8:$M$131,7,FALSE),
IF($A204&lt;SDR35SW!$A$124,VLOOKUP($A204,SDR35SW!$A$8:$M$123,7,FALSE),
IF($A204&lt;SDR35G!$A$143,VLOOKUP($A204, SDR35G!$A$8:$M$142,7,FALSE),
IF($A204&lt;SDR26G!$A$61,VLOOKUP($A204,SDR26G!$A$8:$N$60,10,FALSE),
IF($A204&lt;Cements!$A$100,VLOOKUP($A204,Cements!$A$8:$Q$99,13,FALSE),
IF($A204&lt;ValveBox!$A$143,VLOOKUP($A204,ValveBox!$A$10:$O$142,11,FALSE),
IF($A204&lt;'ValveBox Components'!$A$165,VLOOKUP($A204,'ValveBox Components'!$A$10:$O$164,11,FALSE),
IF($A204&lt;Drainage!$A$92,VLOOKUP($A204,Drainage!$A$8:$M$91,7,FALSE),
IF($A204&lt;Nipples!$A$82,VLOOKUP($A204,Nipples!$A$9:$Q$81,13,FALSE),
IF($A204&lt;Manifold!$A$33,VLOOKUP($A204,Manifold!$A$9:$M$32,7,FALSE),
IF($A204&lt;FlexibleRepairCouplings!$A$13,VLOOKUP($A204,FlexibleRepairCouplings!$A$10:$M$12,7,FALSE),
IF($A204&lt;DuraFix!$A$15,VLOOKUP($A204,DuraFix!$A$9:$M$14,7,FALSE),
IF($A204&lt;'Compression Fittings'!$A$16,VLOOKUP($A204,'Compression Fittings'!$A$8:$M$15,7,FALSE),
IF($A204&lt;'Hose Fittings'!$A$30,VLOOKUP($A204,'Hose Fittings'!$A$8:$M$29,7,FALSE),
IF($A204&lt;'Swing Joints'!$A$496,VLOOKUP($A204,'Swing Joints'!$A$9:$M$495,7,FALSE),
IF($A204&lt;'Swing Joints Components'!$A$135,VLOOKUP($A204,'Swing Joints Components'!$A$9:$M$134,7,FALSE),
IF($A204&lt;Nonstandard!$A$42,VLOOKUP($A204,Nonstandard!$A$31:$J$41,3,FALSE),"")))))))))))))))))))))))))))),"")</f>
        <v/>
      </c>
      <c r="I204" s="589"/>
      <c r="J204" s="423" t="str">
        <f t="shared" si="5"/>
        <v/>
      </c>
      <c r="K204" s="424" t="str">
        <f>IFERROR(IF($A204&lt;'DWV PVC'!$A$285,VLOOKUP($A204,'DWV PVC'!$A$8:$M$284,10,FALSE),
IF($A204&lt;'DWV ABS'!$A$117,VLOOKUP($A204,'DWV ABS'!$A$8:$M$116,10,FALSE),
IF($A204&lt;'PVC SCH40'!$A$376,VLOOKUP($A204,'PVC SCH40'!$A$8:$M$375,10,FALSE),
IF($A204&lt;'PVC SCH40 LD'!$A$22,VLOOKUP($A204,'PVC SCH40 LD'!$A$8:$M$21,10,FALSE),
IF($A204&lt;'Pool &amp; SPA Sweep Elbows'!$A$12,VLOOKUP($A204,'Pool &amp; SPA Sweep Elbows'!$A$8:$M$11,10,FALSE),
IF($A204&lt;'Pool &amp; SPA Pipe Extender'!$A$11,VLOOKUP($A204,'Pool &amp; SPA Pipe Extender'!$A$8:$M$10,10,FALSE),
IF($A204&lt;'PVC SCH80'!$A$250,VLOOKUP($A204,'PVC SCH80'!$A$8:$M$249,10,FALSE),
IF($A204&lt;'PVC SCH80 Flange'!$A$49,VLOOKUP($A204,'PVC SCH80 Flange'!$A$8:$M$48,10,FALSE),
IF($A204&lt;'PVC SCH80 LD Flange'!$A$17,VLOOKUP($A204,'PVC SCH80 LD Flange'!$A$8:$M$16,10,FALSE),
IF($A204&lt;CPVC!$A$100,VLOOKUP($A204,CPVC!$A$8:$M$99,10,FALSE),
IF($A204&lt;InsertFittings!$A$237,VLOOKUP($A204,InsertFittings!$A$11:$M$236,10,FALSE),
IF($A204&lt;Valves!$A$132,VLOOKUP($A204,Valves!$A$8:$M$131,10,FALSE),
IF($A204&lt;SDR35SW!$A$124,VLOOKUP($A204,SDR35SW!$A$8:$M$123,10,FALSE),
IF($A204&lt;SDR35G!$A$143,VLOOKUP($A204, SDR35G!$A$8:$M$142,10,FALSE),
IF($A204&lt;SDR26G!$A$61,VLOOKUP($A204,SDR26G!$A$8:$N$60,11,FALSE),
IF($A204&lt;Cements!$A$100,VLOOKUP($A204,Cements!$A$8:$Q$99,14,FALSE),
IF($A204&lt;ValveBox!$A$143,VLOOKUP($A204,ValveBox!$A$10:$O$142,12,FALSE),
IF($A204&lt;'ValveBox Components'!$A$165,VLOOKUP($A204,'ValveBox Components'!$A$10:$O$164,12,FALSE),
IF($A204&lt;Drainage!$A$92,VLOOKUP($A204,Drainage!$A$8:$M$91,10,FALSE),
IF($A204&lt;Nipples!$A$82,VLOOKUP($A204,Nipples!$A$9:$Q$81,14,FALSE),
IF($A204&lt;Manifold!$A$33,VLOOKUP($A204,Manifold!$A$9:$M$32,10,FALSE),
IF($A204&lt;FlexibleRepairCouplings!$A$13,VLOOKUP($A204,FlexibleRepairCouplings!$A$10:$M$12,10,FALSE),
IF($A204&lt;DuraFix!$A$15,VLOOKUP($A204,DuraFix!$A$9:$M$14,10,FALSE),
IF($A204&lt;'Compression Fittings'!$A$16,VLOOKUP($A204,'Compression Fittings'!$A$8:$M$15,10,FALSE),
IF($A204&lt;'Hose Fittings'!$A$30,VLOOKUP($A204,'Hose Fittings'!$A$8:$M$29,10,FALSE),
IF($A204&lt;'Swing Joints'!$A$496,VLOOKUP($A204,'Swing Joints'!$A$9:$M$495,10,FALSE),
IF($A204&lt;'Swing Joints Components'!$A$135,VLOOKUP($A204,'Swing Joints Components'!$A$9:$M$134,10,FALSE),
IF($A204&lt;Nonstandard!$A$42,VLOOKUP($A204,Nonstandard!$A$31:$J$41,10,FALSE),"")))))))))))))))))))))))))))),"")</f>
        <v/>
      </c>
      <c r="L204" s="421" t="str">
        <f t="shared" si="4"/>
        <v>-</v>
      </c>
      <c r="M204" s="425"/>
    </row>
    <row r="205" spans="1:13" ht="15.75">
      <c r="A205" s="415">
        <v>173</v>
      </c>
      <c r="B205" s="415" t="str">
        <f>IFERROR(IF($A205&lt;'DWV PVC'!$A$285,VLOOKUP($A205,'DWV PVC'!$A$8:$M$284,4,FALSE),
IF($A205&lt;'DWV ABS'!$A$117,VLOOKUP($A205,'DWV ABS'!$A$8:$M$116,4,FALSE),
IF($A205&lt;'PVC SCH40'!$A$376,VLOOKUP($A205,'PVC SCH40'!$A$8:$M$375,4,FALSE),
IF($A205&lt;'PVC SCH40 LD'!$A$22,VLOOKUP($A205,'PVC SCH40 LD'!$A$8:$M$21,4,FALSE),
IF($A205&lt;'Pool &amp; SPA Sweep Elbows'!$A$12,VLOOKUP($A205,'Pool &amp; SPA Sweep Elbows'!$A$8:$M$11,4,FALSE),
IF($A205&lt;'Pool &amp; SPA Pipe Extender'!$A$11,VLOOKUP($A205,'Pool &amp; SPA Pipe Extender'!$A$8:$M$10,4,FALSE),
IF($A205&lt;'PVC SCH80'!$A$250,VLOOKUP($A205,'PVC SCH80'!$A$8:$M$249,4,FALSE),
IF($A205&lt;'PVC SCH80 Flange'!$A$49,VLOOKUP($A205,'PVC SCH80 Flange'!$A$8:$M$48,4,FALSE),
IF($A205&lt;'PVC SCH80 LD Flange'!$A$17,VLOOKUP($A205,'PVC SCH80 LD Flange'!$A$8:$M$16,4,FALSE),
IF($A205&lt;CPVC!$A$100,VLOOKUP($A205,CPVC!$A$8:$M$99,4,FALSE),
IF($A205&lt;InsertFittings!$A$237,VLOOKUP($A205,InsertFittings!$A$11:$M$236,4,FALSE),
IF($A205&lt;Valves!$A$132,VLOOKUP($A205,Valves!$A$8:$M$131,4,FALSE),
IF($A205&lt;SDR35SW!$A$124,VLOOKUP($A205,SDR35SW!$A$8:$M$123,4,FALSE),
IF($A205&lt;SDR35G!$A$143,VLOOKUP($A205, SDR35G!$A$8:$M$142,4,FALSE),
IF($A205&lt;SDR26G!$A$61,VLOOKUP($A205,SDR26G!$A$8:$N$60,4,FALSE),
IF($A205&lt;Cements!$A$100,VLOOKUP($A205,Cements!$A$8:$Q$99,4,FALSE),
IF($A205&lt;ValveBox!$A$143,VLOOKUP($A205,ValveBox!$A$10:$O$142,4,FALSE),
IF($A205&lt;'ValveBox Components'!$A$165,VLOOKUP($A205,'ValveBox Components'!$A$10:$O$164,4,FALSE),
IF($A205&lt;Drainage!$A$92,VLOOKUP($A205,Drainage!$A$8:$M$91,4,FALSE),
IF($A205&lt;Nipples!$A$82,VLOOKUP($A205,Nipples!$A$9:$Q$81,4,FALSE),
IF($A205&lt;Manifold!$A$33,VLOOKUP($A205,Manifold!$A$9:$M$32,4,FALSE),
IF($A205&lt;FlexibleRepairCouplings!$A$13,VLOOKUP($A205,FlexibleRepairCouplings!$A$10:$M$12,4,FALSE),
IF($A205&lt;DuraFix!$A$15,VLOOKUP($A205,DuraFix!$A$9:$M$14,4,FALSE),
IF($A205&lt;'Compression Fittings'!$A$16,VLOOKUP($A205,'Compression Fittings'!$A$8:$M$15,4,FALSE),
IF($A205&lt;'Hose Fittings'!$A$30,VLOOKUP($A205,'Hose Fittings'!$A$8:$M$29,4,FALSE),
IF($A205&lt;'Swing Joints'!$A$496,VLOOKUP($A205,'Swing Joints'!$A$9:$M$495,4,FALSE),
IF($A205&lt;'Swing Joints Components'!$A$135,VLOOKUP($A205,'Swing Joints Components'!$A$9:$M$134,4,FALSE),
IF($A205&lt;Nonstandard!$A$42,VLOOKUP($A205,Nonstandard!$A$31:$J$41,5,FALSE),"")))))))))))))))))))))))))))),"")</f>
        <v/>
      </c>
      <c r="C205" s="415" t="str">
        <f>IFERROR(IF($A205&lt;'DWV PVC'!$A$285,VLOOKUP($A205,'DWV PVC'!$A$8:$M$284,5,FALSE),
IF($A205&lt;'DWV ABS'!$A$117,VLOOKUP($A205,'DWV ABS'!$A$8:$M$116,5,FALSE),
IF($A205&lt;'PVC SCH40'!$A$376,VLOOKUP($A205,'PVC SCH40'!$A$8:$M$375,5,FALSE),
IF($A205&lt;'PVC SCH40 LD'!$A$22,VLOOKUP($A205,'PVC SCH40 LD'!$A$8:$M$21,5,FALSE),
IF($A205&lt;'Pool &amp; SPA Sweep Elbows'!$A$12,VLOOKUP($A205,'Pool &amp; SPA Sweep Elbows'!$A$8:$M$11,5,FALSE),
IF($A205&lt;'Pool &amp; SPA Pipe Extender'!$A$11,VLOOKUP($A205,'Pool &amp; SPA Pipe Extender'!$A$8:$M$10,5,FALSE),
IF($A205&lt;'PVC SCH80'!$A$250,VLOOKUP($A205,'PVC SCH80'!$A$8:$M$249,5,FALSE),
IF($A205&lt;'PVC SCH80 Flange'!$A$49,VLOOKUP($A205,'PVC SCH80 Flange'!$A$8:$M$48,5,FALSE),
IF($A205&lt;'PVC SCH80 LD Flange'!$A$17,VLOOKUP($A205,'PVC SCH80 LD Flange'!$A$8:$M$16,5,FALSE),
IF($A205&lt;CPVC!$A$100,VLOOKUP($A205,CPVC!$A$8:$M$99,5,FALSE),
IF($A205&lt;InsertFittings!$A$237,VLOOKUP($A205,InsertFittings!$A$11:$M$236,5,FALSE),
IF($A205&lt;Valves!$A$132,VLOOKUP($A205,Valves!$A$8:$M$131,5,FALSE),
IF($A205&lt;SDR35SW!$A$124,VLOOKUP($A205,SDR35SW!$A$8:$M$123,5,FALSE),
IF($A205&lt;SDR35G!$A$143,VLOOKUP($A205, SDR35G!$A$8:$M$142,5,FALSE),
IF($A205&lt;SDR26G!$A$61,VLOOKUP($A205,SDR26G!$A$8:$N$60,5,FALSE),
IF($A205&lt;Cements!$A$100,VLOOKUP($A205,Cements!$A$8:$Q$99,5,FALSE),
IF($A205&lt;ValveBox!$A$143,VLOOKUP($A205,ValveBox!$A$10:$O$142,5,FALSE),
IF($A205&lt;'ValveBox Components'!$A$165,VLOOKUP($A205,'ValveBox Components'!$A$10:$O$164,5,FALSE),
IF($A205&lt;Drainage!$A$92,VLOOKUP($A205,Drainage!$A$8:$M$91,5,FALSE),
IF($A205&lt;Nipples!$A$82,VLOOKUP($A205,Nipples!$A$9:$Q$81,5,FALSE),
IF($A205&lt;Manifold!$A$33,VLOOKUP($A205,Manifold!$A$9:$M$32,5,FALSE),
IF($A205&lt;FlexibleRepairCouplings!$A$13,VLOOKUP($A205,FlexibleRepairCouplings!$A$10:$M$12,5,FALSE),
IF($A205&lt;DuraFix!$A$15,VLOOKUP($A205,DuraFix!$A$9:$M$14,5,FALSE),
IF($A205&lt;'Compression Fittings'!$A$16,VLOOKUP($A205,'Compression Fittings'!$A$8:$M$15,5,FALSE),
IF($A205&lt;'Hose Fittings'!$A$30,VLOOKUP($A205,'Hose Fittings'!$A$8:$M$29,5,FALSE),
IF($A205&lt;'Swing Joints'!$A$496,VLOOKUP($A205,'Swing Joints'!$A$9:$M$495,5,FALSE),
IF($A205&lt;'Swing Joints Components'!$A$135,VLOOKUP($A205,'Swing Joints Components'!$A$9:$M$134,5,FALSE),
IF($A205&lt;Nonstandard!$A$42,VLOOKUP($A205,Nonstandard!$A$31:$J$41,6,FALSE),"")))))))))))))))))))))))))))),"")</f>
        <v/>
      </c>
      <c r="D205" s="426" t="str">
        <f>IFERROR(IF($A205&lt;'DWV PVC'!$A$285,VLOOKUP($A205,'DWV PVC'!$A$8:$M$284,6,FALSE),
IF($A205&lt;'DWV ABS'!$A$117,VLOOKUP($A205,'DWV ABS'!$A$8:$M$116,6,FALSE),
IF($A205&lt;'PVC SCH40'!$A$376,VLOOKUP($A205,'PVC SCH40'!$A$8:$M$375,6,FALSE),
IF($A205&lt;'PVC SCH40 LD'!$A$22,VLOOKUP($A205,'PVC SCH40 LD'!$A$8:$M$21,6,FALSE),
IF($A205&lt;'Pool &amp; SPA Sweep Elbows'!$A$12,VLOOKUP($A205,'Pool &amp; SPA Sweep Elbows'!$A$8:$M$11,6,FALSE),
IF($A205&lt;'Pool &amp; SPA Pipe Extender'!$A$11,VLOOKUP($A205,'Pool &amp; SPA Pipe Extender'!$A$8:$M$10,6,FALSE),
IF($A205&lt;'PVC SCH80'!$A$250,VLOOKUP($A205,'PVC SCH80'!$A$8:$M$249,6,FALSE),
IF($A205&lt;'PVC SCH80 Flange'!$A$49,VLOOKUP($A205,'PVC SCH80 Flange'!$A$8:$M$48,6,FALSE),
IF($A205&lt;'PVC SCH80 LD Flange'!$A$17,VLOOKUP($A205,'PVC SCH80 LD Flange'!$A$8:$M$16,6,FALSE),
IF($A205&lt;CPVC!$A$100,VLOOKUP($A205,CPVC!$A$8:$M$99,6,FALSE),
IF($A205&lt;InsertFittings!$A$237,VLOOKUP($A205,InsertFittings!$A$11:$M$236,6,FALSE),
IF($A205&lt;Valves!$A$132,VLOOKUP($A205,Valves!$A$8:$M$131,6,FALSE),
IF($A205&lt;SDR35SW!$A$124,VLOOKUP($A205,SDR35SW!$A$8:$M$123,6,FALSE),
IF($A205&lt;SDR35G!$A$143,VLOOKUP($A205, SDR35G!$A$8:$M$142,6,FALSE),
IF($A205&lt;SDR26G!$A$61,VLOOKUP($A205,SDR26G!$A$8:$N$60,6,FALSE),
IF($A205&lt;Cements!$A$100,VLOOKUP($A205,Cements!$A$8:$Q$99,6,FALSE),
IF($A205&lt;ValveBox!$A$143,VLOOKUP($A205,ValveBox!$A$10:$O$142,6,FALSE),
IF($A205&lt;'ValveBox Components'!$A$165,VLOOKUP($A205,'ValveBox Components'!$A$10:$O$164,6,FALSE),
IF($A205&lt;Drainage!$A$92,VLOOKUP($A205,Drainage!$A$8:$M$91,6,FALSE),
IF($A205&lt;Nipples!$A$82,VLOOKUP($A205,Nipples!$A$9:$Q$81,6,FALSE),
IF($A205&lt;Manifold!$A$33,VLOOKUP($A205,Manifold!$A$9:$M$32,6,FALSE),
IF($A205&lt;FlexibleRepairCouplings!$A$13,VLOOKUP($A205,FlexibleRepairCouplings!$A$10:$M$12,6,FALSE),
IF($A205&lt;DuraFix!$A$15,VLOOKUP($A205,DuraFix!$A$9:$M$14,6,FALSE),
IF($A205&lt;'Compression Fittings'!$A$16,VLOOKUP($A205,'Compression Fittings'!$A$8:$M$15,6,FALSE),
IF($A205&lt;'Hose Fittings'!$A$30,VLOOKUP($A205,'Hose Fittings'!$A$8:$M$29,6,FALSE),
IF($A205&lt;'Swing Joints'!$A$496,VLOOKUP($A205,'Swing Joints'!$A$9:$M$495,6,FALSE),
IF($A205&lt;'Swing Joints Components'!$A$135,VLOOKUP($A205,'Swing Joints Components'!$A$9:$M$134,6,FALSE),
IF($A205&lt;Nonstandard!$A$42,VLOOKUP($A205,Nonstandard!$A$31:$J$41,7,FALSE),"")))))))))))))))))))))))))))),"")</f>
        <v/>
      </c>
      <c r="E205" s="427"/>
      <c r="F205" s="418" t="str">
        <f>IFERROR(IF($A205&lt;'DWV PVC'!$A$285,VLOOKUP($A205,'DWV PVC'!$A$8:$M$284,9,FALSE),
IF($A205&lt;'DWV ABS'!$A$117,VLOOKUP($A205,'DWV ABS'!$A$8:$M$116,9,FALSE),
IF($A205&lt;'PVC SCH40'!$A$376,VLOOKUP($A205,'PVC SCH40'!$A$8:$M$375,9,FALSE),
IF($A205&lt;'PVC SCH40 LD'!$A$22,VLOOKUP($A205,'PVC SCH40 LD'!$A$8:$M$21,9,FALSE),
IF($A205&lt;'Pool &amp; SPA Sweep Elbows'!$A$12,VLOOKUP($A205,'Pool &amp; SPA Sweep Elbows'!$A$8:$M$11,9,FALSE),
IF($A205&lt;'Pool &amp; SPA Pipe Extender'!$A$11,VLOOKUP($A205,'Pool &amp; SPA Pipe Extender'!$A$8:$M$10,9,FALSE),
IF($A205&lt;'PVC SCH80'!$A$250,VLOOKUP($A205,'PVC SCH80'!$A$8:$M$249,9,FALSE),
IF($A205&lt;'PVC SCH80 Flange'!$A$49,VLOOKUP($A205,'PVC SCH80 Flange'!$A$8:$M$48,9,FALSE),
IF($A205&lt;'PVC SCH80 LD Flange'!$A$17,VLOOKUP($A205,'PVC SCH80 LD Flange'!$A$8:$M$16,9,FALSE),
IF($A205&lt;CPVC!$A$100,VLOOKUP($A205,CPVC!$A$8:$M$99,9,FALSE),
IF($A205&lt;InsertFittings!$A$237,VLOOKUP($A205,InsertFittings!$A$11:$M$236,9,FALSE),
IF($A205&lt;Valves!$A$132,VLOOKUP($A205,Valves!$A$8:$M$131,9,FALSE),
IF($A205&lt;SDR35SW!$A$124,VLOOKUP($A205,SDR35SW!$A$8:$M$123,9,FALSE),
IF($A205&lt;SDR35G!$A$143,VLOOKUP($A205, SDR35G!$A$8:$M$142,9,FALSE),
IF($A205&lt;SDR26G!$A$61,VLOOKUP($A205,SDR26G!$A$8:$N$60,10,FALSE),
IF($A205&lt;Cements!$A$100,VLOOKUP($A205,Cements!$A$8:$Q$99,13,FALSE),
IF($A205&lt;ValveBox!$A$143,VLOOKUP($A205,ValveBox!$A$10:$O$142,11,FALSE),
IF($A205&lt;'ValveBox Components'!$A$165,VLOOKUP($A205,'ValveBox Components'!$A$10:$O$164,11,FALSE),
IF($A205&lt;Drainage!$A$92,VLOOKUP($A205,Drainage!$A$8:$M$91,9,FALSE),
IF($A205&lt;Nipples!$A$82,VLOOKUP($A205,Nipples!$A$9:$Q$81,13,FALSE),
IF($A205&lt;Manifold!$A$33,VLOOKUP($A205,Manifold!$A$9:$M$32,9,FALSE),
IF($A205&lt;FlexibleRepairCouplings!$A$13,VLOOKUP($A205,FlexibleRepairCouplings!$A$10:$M$12,9,FALSE),
IF($A205&lt;DuraFix!$A$15,VLOOKUP($A205,DuraFix!$A$9:$M$14,9,FALSE),
IF($A205&lt;'Compression Fittings'!$A$16,VLOOKUP($A205,'Compression Fittings'!$A$8:$M$15,9,FALSE),
IF($A205&lt;'Hose Fittings'!$A$30,VLOOKUP($A205,'Hose Fittings'!$A$8:$M$29,9,FALSE),
IF($A205&lt;'Swing Joints'!$A$496,VLOOKUP($A205,'Swing Joints'!$A$9:$M$495,9,FALSE),
IF($A205&lt;'Swing Joints Components'!$A$135,VLOOKUP($A205,'Swing Joints Components'!$A$9:$M$134,9,FALSE),
IF($A205&lt;Nonstandard!$A$42,VLOOKUP($A205,Nonstandard!$A$31:$J$41,8,FALSE),"")))))))))))))))))))))))))))),"")</f>
        <v/>
      </c>
      <c r="G205" s="416" t="str">
        <f>IFERROR(IF($A205&lt;'DWV PVC'!$A$285,VLOOKUP($A205,'DWV PVC'!$A$8:$M$284,11,FALSE),
IF($A205&lt;'DWV ABS'!$A$117,VLOOKUP($A205,'DWV ABS'!$A$8:$M$116,11,FALSE),
IF($A205&lt;'PVC SCH40'!$A$376,VLOOKUP($A205,'PVC SCH40'!$A$8:$M$375,11,FALSE),
IF($A205&lt;'PVC SCH40 LD'!$A$22,VLOOKUP($A205,'PVC SCH40 LD'!$A$8:$M$21,11,FALSE),
IF($A205&lt;'Pool &amp; SPA Sweep Elbows'!$A$12,VLOOKUP($A205,'Pool &amp; SPA Sweep Elbows'!$A$8:$M$11,11,FALSE),
IF($A205&lt;'Pool &amp; SPA Pipe Extender'!$A$11,VLOOKUP($A205,'Pool &amp; SPA Pipe Extender'!$A$8:$M$10,11,FALSE),
IF($A205&lt;'PVC SCH80'!$A$250,VLOOKUP($A205,'PVC SCH80'!$A$8:$M$249,11,FALSE),
IF($A205&lt;'PVC SCH80 Flange'!$A$49,VLOOKUP($A205,'PVC SCH80 Flange'!$A$8:$M$48,11,FALSE),
IF($A205&lt;'PVC SCH80 LD Flange'!$A$17,VLOOKUP($A205,'PVC SCH80 LD Flange'!$A$8:$M$16,11,FALSE),
IF($A205&lt;CPVC!$A$100,VLOOKUP($A205,CPVC!$A$8:$M$99,11,FALSE),
IF($A205&lt;InsertFittings!$A$237,VLOOKUP($A205,InsertFittings!$A$11:$M$236,11,FALSE),
IF($A205&lt;Valves!$A$132,VLOOKUP($A205,Valves!$A$8:$M$131,11,FALSE),
IF($A205&lt;SDR35SW!$A$124,VLOOKUP($A205,SDR35SW!$A$8:$M$123,11,FALSE),
IF($A205&lt;SDR35G!$A$143,VLOOKUP($A205, SDR35G!$A$8:$M$142,11,FALSE),
IF($A205&lt;SDR26G!$A$61,VLOOKUP($A205,SDR26G!$A$8:$N$60,12,FALSE),
IF($A205&lt;Cements!$A$100,VLOOKUP($A205,Cements!$A$8:$Q$99,15,FALSE),
IF($A205&lt;ValveBox!$A$143,VLOOKUP($A205,ValveBox!$A$10:$O$142,13,FALSE),
IF($A205&lt;'ValveBox Components'!$A$165,VLOOKUP($A205,'ValveBox Components'!$A$10:$O$164,13,FALSE),
IF($A205&lt;Drainage!$A$92,VLOOKUP($A205,Drainage!$A$8:$M$91,11,FALSE),
IF($A205&lt;Nipples!$A$82,VLOOKUP($A205,Nipples!$A$9:$Q$81,15,FALSE),
IF($A205&lt;Manifold!$A$33,VLOOKUP($A205,Manifold!$A$9:$M$32,11,FALSE),
IF($A205&lt;FlexibleRepairCouplings!$A$13,VLOOKUP($A205,FlexibleRepairCouplings!$A$10:$M$12,11,FALSE),
IF($A205&lt;DuraFix!$A$15,VLOOKUP($A205,DuraFix!$A$9:$M$14,11,FALSE),
IF($A205&lt;'Compression Fittings'!$A$16,VLOOKUP($A205,'Compression Fittings'!$A$8:$M$15,11,FALSE),
IF($A205&lt;'Hose Fittings'!$A$30,VLOOKUP($A205,'Hose Fittings'!$A$8:$M$29,11,FALSE),
IF($A205&lt;'Swing Joints'!$A$496,VLOOKUP($A205,'Swing Joints'!$A$9:$M$495,11,FALSE),
IF($A205&lt;'Swing Joints Components'!$A$135,VLOOKUP($A205,'Swing Joints Components'!$A$9:$M$134,11,FALSE),
IF($A205&lt;Nonstandard!$A$42,VLOOKUP($A205,Nonstandard!$A$31:$J$41,3,FALSE),"")))))))))))))))))))))))))))),"")</f>
        <v/>
      </c>
      <c r="H205" s="586" t="str">
        <f>IFERROR(IF($A205&lt;'DWV PVC'!$A$285,VLOOKUP($A205,'DWV PVC'!$A$8:$M$284,7,FALSE),
IF($A205&lt;'DWV ABS'!$A$117,VLOOKUP($A205,'DWV ABS'!$A$8:$M$116,7,FALSE),
IF($A205&lt;'PVC SCH40'!$A$376,VLOOKUP($A205,'PVC SCH40'!$A$8:$M$375,7,FALSE),
IF($A205&lt;'PVC SCH40 LD'!$A$22,VLOOKUP($A205,'PVC SCH40 LD'!$A$8:$M$21,7,FALSE),
IF($A205&lt;'Pool &amp; SPA Sweep Elbows'!$A$12,VLOOKUP($A205,'Pool &amp; SPA Sweep Elbows'!$A$8:$M$11,7,FALSE),
IF($A205&lt;'Pool &amp; SPA Pipe Extender'!$A$11,VLOOKUP($A205,'Pool &amp; SPA Pipe Extender'!$A$8:$M$10,7,FALSE),
IF($A205&lt;'PVC SCH80'!$A$250,VLOOKUP($A205,'PVC SCH80'!$A$8:$M$249,7,FALSE),
IF($A205&lt;'PVC SCH80 Flange'!$A$49,VLOOKUP($A205,'PVC SCH80 Flange'!$A$8:$M$48,7,FALSE),
IF($A205&lt;'PVC SCH80 LD Flange'!$A$17,VLOOKUP($A205,'PVC SCH80 LD Flange'!$A$8:$M$16,7,FALSE),
IF($A205&lt;CPVC!$A$100,VLOOKUP($A205,CPVC!$A$8:$M$99,7,FALSE),
IF($A205&lt;InsertFittings!$A$237,VLOOKUP($A205,InsertFittings!$A$11:$M$236,7,FALSE),
IF($A205&lt;Valves!$A$132,VLOOKUP($A205,Valves!$A$8:$M$131,7,FALSE),
IF($A205&lt;SDR35SW!$A$124,VLOOKUP($A205,SDR35SW!$A$8:$M$123,7,FALSE),
IF($A205&lt;SDR35G!$A$143,VLOOKUP($A205, SDR35G!$A$8:$M$142,7,FALSE),
IF($A205&lt;SDR26G!$A$61,VLOOKUP($A205,SDR26G!$A$8:$N$60,10,FALSE),
IF($A205&lt;Cements!$A$100,VLOOKUP($A205,Cements!$A$8:$Q$99,13,FALSE),
IF($A205&lt;ValveBox!$A$143,VLOOKUP($A205,ValveBox!$A$10:$O$142,11,FALSE),
IF($A205&lt;'ValveBox Components'!$A$165,VLOOKUP($A205,'ValveBox Components'!$A$10:$O$164,11,FALSE),
IF($A205&lt;Drainage!$A$92,VLOOKUP($A205,Drainage!$A$8:$M$91,7,FALSE),
IF($A205&lt;Nipples!$A$82,VLOOKUP($A205,Nipples!$A$9:$Q$81,13,FALSE),
IF($A205&lt;Manifold!$A$33,VLOOKUP($A205,Manifold!$A$9:$M$32,7,FALSE),
IF($A205&lt;FlexibleRepairCouplings!$A$13,VLOOKUP($A205,FlexibleRepairCouplings!$A$10:$M$12,7,FALSE),
IF($A205&lt;DuraFix!$A$15,VLOOKUP($A205,DuraFix!$A$9:$M$14,7,FALSE),
IF($A205&lt;'Compression Fittings'!$A$16,VLOOKUP($A205,'Compression Fittings'!$A$8:$M$15,7,FALSE),
IF($A205&lt;'Hose Fittings'!$A$30,VLOOKUP($A205,'Hose Fittings'!$A$8:$M$29,7,FALSE),
IF($A205&lt;'Swing Joints'!$A$496,VLOOKUP($A205,'Swing Joints'!$A$9:$M$495,7,FALSE),
IF($A205&lt;'Swing Joints Components'!$A$135,VLOOKUP($A205,'Swing Joints Components'!$A$9:$M$134,7,FALSE),
IF($A205&lt;Nonstandard!$A$42,VLOOKUP($A205,Nonstandard!$A$31:$J$41,3,FALSE),"")))))))))))))))))))))))))))),"")</f>
        <v/>
      </c>
      <c r="I205" s="587"/>
      <c r="J205" s="383" t="str">
        <f t="shared" si="5"/>
        <v/>
      </c>
      <c r="K205" s="417" t="str">
        <f>IFERROR(IF($A205&lt;'DWV PVC'!$A$285,VLOOKUP($A205,'DWV PVC'!$A$8:$M$284,10,FALSE),
IF($A205&lt;'DWV ABS'!$A$117,VLOOKUP($A205,'DWV ABS'!$A$8:$M$116,10,FALSE),
IF($A205&lt;'PVC SCH40'!$A$376,VLOOKUP($A205,'PVC SCH40'!$A$8:$M$375,10,FALSE),
IF($A205&lt;'PVC SCH40 LD'!$A$22,VLOOKUP($A205,'PVC SCH40 LD'!$A$8:$M$21,10,FALSE),
IF($A205&lt;'Pool &amp; SPA Sweep Elbows'!$A$12,VLOOKUP($A205,'Pool &amp; SPA Sweep Elbows'!$A$8:$M$11,10,FALSE),
IF($A205&lt;'Pool &amp; SPA Pipe Extender'!$A$11,VLOOKUP($A205,'Pool &amp; SPA Pipe Extender'!$A$8:$M$10,10,FALSE),
IF($A205&lt;'PVC SCH80'!$A$250,VLOOKUP($A205,'PVC SCH80'!$A$8:$M$249,10,FALSE),
IF($A205&lt;'PVC SCH80 Flange'!$A$49,VLOOKUP($A205,'PVC SCH80 Flange'!$A$8:$M$48,10,FALSE),
IF($A205&lt;'PVC SCH80 LD Flange'!$A$17,VLOOKUP($A205,'PVC SCH80 LD Flange'!$A$8:$M$16,10,FALSE),
IF($A205&lt;CPVC!$A$100,VLOOKUP($A205,CPVC!$A$8:$M$99,10,FALSE),
IF($A205&lt;InsertFittings!$A$237,VLOOKUP($A205,InsertFittings!$A$11:$M$236,10,FALSE),
IF($A205&lt;Valves!$A$132,VLOOKUP($A205,Valves!$A$8:$M$131,10,FALSE),
IF($A205&lt;SDR35SW!$A$124,VLOOKUP($A205,SDR35SW!$A$8:$M$123,10,FALSE),
IF($A205&lt;SDR35G!$A$143,VLOOKUP($A205, SDR35G!$A$8:$M$142,10,FALSE),
IF($A205&lt;SDR26G!$A$61,VLOOKUP($A205,SDR26G!$A$8:$N$60,11,FALSE),
IF($A205&lt;Cements!$A$100,VLOOKUP($A205,Cements!$A$8:$Q$99,14,FALSE),
IF($A205&lt;ValveBox!$A$143,VLOOKUP($A205,ValveBox!$A$10:$O$142,12,FALSE),
IF($A205&lt;'ValveBox Components'!$A$165,VLOOKUP($A205,'ValveBox Components'!$A$10:$O$164,12,FALSE),
IF($A205&lt;Drainage!$A$92,VLOOKUP($A205,Drainage!$A$8:$M$91,10,FALSE),
IF($A205&lt;Nipples!$A$82,VLOOKUP($A205,Nipples!$A$9:$Q$81,14,FALSE),
IF($A205&lt;Manifold!$A$33,VLOOKUP($A205,Manifold!$A$9:$M$32,10,FALSE),
IF($A205&lt;FlexibleRepairCouplings!$A$13,VLOOKUP($A205,FlexibleRepairCouplings!$A$10:$M$12,10,FALSE),
IF($A205&lt;DuraFix!$A$15,VLOOKUP($A205,DuraFix!$A$9:$M$14,10,FALSE),
IF($A205&lt;'Compression Fittings'!$A$16,VLOOKUP($A205,'Compression Fittings'!$A$8:$M$15,10,FALSE),
IF($A205&lt;'Hose Fittings'!$A$30,VLOOKUP($A205,'Hose Fittings'!$A$8:$M$29,10,FALSE),
IF($A205&lt;'Swing Joints'!$A$496,VLOOKUP($A205,'Swing Joints'!$A$9:$M$495,10,FALSE),
IF($A205&lt;'Swing Joints Components'!$A$135,VLOOKUP($A205,'Swing Joints Components'!$A$9:$M$134,10,FALSE),
IF($A205&lt;Nonstandard!$A$42,VLOOKUP($A205,Nonstandard!$A$31:$J$41,10,FALSE),"")))))))))))))))))))))))))))),"")</f>
        <v/>
      </c>
      <c r="L205" s="418" t="str">
        <f t="shared" si="4"/>
        <v>-</v>
      </c>
      <c r="M205" s="419"/>
    </row>
    <row r="206" spans="1:13" ht="15.75">
      <c r="A206" s="420">
        <v>174</v>
      </c>
      <c r="B206" s="420" t="str">
        <f>IFERROR(IF($A206&lt;'DWV PVC'!$A$285,VLOOKUP($A206,'DWV PVC'!$A$8:$M$284,4,FALSE),
IF($A206&lt;'DWV ABS'!$A$117,VLOOKUP($A206,'DWV ABS'!$A$8:$M$116,4,FALSE),
IF($A206&lt;'PVC SCH40'!$A$376,VLOOKUP($A206,'PVC SCH40'!$A$8:$M$375,4,FALSE),
IF($A206&lt;'PVC SCH40 LD'!$A$22,VLOOKUP($A206,'PVC SCH40 LD'!$A$8:$M$21,4,FALSE),
IF($A206&lt;'Pool &amp; SPA Sweep Elbows'!$A$12,VLOOKUP($A206,'Pool &amp; SPA Sweep Elbows'!$A$8:$M$11,4,FALSE),
IF($A206&lt;'Pool &amp; SPA Pipe Extender'!$A$11,VLOOKUP($A206,'Pool &amp; SPA Pipe Extender'!$A$8:$M$10,4,FALSE),
IF($A206&lt;'PVC SCH80'!$A$250,VLOOKUP($A206,'PVC SCH80'!$A$8:$M$249,4,FALSE),
IF($A206&lt;'PVC SCH80 Flange'!$A$49,VLOOKUP($A206,'PVC SCH80 Flange'!$A$8:$M$48,4,FALSE),
IF($A206&lt;'PVC SCH80 LD Flange'!$A$17,VLOOKUP($A206,'PVC SCH80 LD Flange'!$A$8:$M$16,4,FALSE),
IF($A206&lt;CPVC!$A$100,VLOOKUP($A206,CPVC!$A$8:$M$99,4,FALSE),
IF($A206&lt;InsertFittings!$A$237,VLOOKUP($A206,InsertFittings!$A$11:$M$236,4,FALSE),
IF($A206&lt;Valves!$A$132,VLOOKUP($A206,Valves!$A$8:$M$131,4,FALSE),
IF($A206&lt;SDR35SW!$A$124,VLOOKUP($A206,SDR35SW!$A$8:$M$123,4,FALSE),
IF($A206&lt;SDR35G!$A$143,VLOOKUP($A206, SDR35G!$A$8:$M$142,4,FALSE),
IF($A206&lt;SDR26G!$A$61,VLOOKUP($A206,SDR26G!$A$8:$N$60,4,FALSE),
IF($A206&lt;Cements!$A$100,VLOOKUP($A206,Cements!$A$8:$Q$99,4,FALSE),
IF($A206&lt;ValveBox!$A$143,VLOOKUP($A206,ValveBox!$A$10:$O$142,4,FALSE),
IF($A206&lt;'ValveBox Components'!$A$165,VLOOKUP($A206,'ValveBox Components'!$A$10:$O$164,4,FALSE),
IF($A206&lt;Drainage!$A$92,VLOOKUP($A206,Drainage!$A$8:$M$91,4,FALSE),
IF($A206&lt;Nipples!$A$82,VLOOKUP($A206,Nipples!$A$9:$Q$81,4,FALSE),
IF($A206&lt;Manifold!$A$33,VLOOKUP($A206,Manifold!$A$9:$M$32,4,FALSE),
IF($A206&lt;FlexibleRepairCouplings!$A$13,VLOOKUP($A206,FlexibleRepairCouplings!$A$10:$M$12,4,FALSE),
IF($A206&lt;DuraFix!$A$15,VLOOKUP($A206,DuraFix!$A$9:$M$14,4,FALSE),
IF($A206&lt;'Compression Fittings'!$A$16,VLOOKUP($A206,'Compression Fittings'!$A$8:$M$15,4,FALSE),
IF($A206&lt;'Hose Fittings'!$A$30,VLOOKUP($A206,'Hose Fittings'!$A$8:$M$29,4,FALSE),
IF($A206&lt;'Swing Joints'!$A$496,VLOOKUP($A206,'Swing Joints'!$A$9:$M$495,4,FALSE),
IF($A206&lt;'Swing Joints Components'!$A$135,VLOOKUP($A206,'Swing Joints Components'!$A$9:$M$134,4,FALSE),
IF($A206&lt;Nonstandard!$A$42,VLOOKUP($A206,Nonstandard!$A$31:$J$41,5,FALSE),"")))))))))))))))))))))))))))),"")</f>
        <v/>
      </c>
      <c r="C206" s="420" t="str">
        <f>IFERROR(IF($A206&lt;'DWV PVC'!$A$285,VLOOKUP($A206,'DWV PVC'!$A$8:$M$284,5,FALSE),
IF($A206&lt;'DWV ABS'!$A$117,VLOOKUP($A206,'DWV ABS'!$A$8:$M$116,5,FALSE),
IF($A206&lt;'PVC SCH40'!$A$376,VLOOKUP($A206,'PVC SCH40'!$A$8:$M$375,5,FALSE),
IF($A206&lt;'PVC SCH40 LD'!$A$22,VLOOKUP($A206,'PVC SCH40 LD'!$A$8:$M$21,5,FALSE),
IF($A206&lt;'Pool &amp; SPA Sweep Elbows'!$A$12,VLOOKUP($A206,'Pool &amp; SPA Sweep Elbows'!$A$8:$M$11,5,FALSE),
IF($A206&lt;'Pool &amp; SPA Pipe Extender'!$A$11,VLOOKUP($A206,'Pool &amp; SPA Pipe Extender'!$A$8:$M$10,5,FALSE),
IF($A206&lt;'PVC SCH80'!$A$250,VLOOKUP($A206,'PVC SCH80'!$A$8:$M$249,5,FALSE),
IF($A206&lt;'PVC SCH80 Flange'!$A$49,VLOOKUP($A206,'PVC SCH80 Flange'!$A$8:$M$48,5,FALSE),
IF($A206&lt;'PVC SCH80 LD Flange'!$A$17,VLOOKUP($A206,'PVC SCH80 LD Flange'!$A$8:$M$16,5,FALSE),
IF($A206&lt;CPVC!$A$100,VLOOKUP($A206,CPVC!$A$8:$M$99,5,FALSE),
IF($A206&lt;InsertFittings!$A$237,VLOOKUP($A206,InsertFittings!$A$11:$M$236,5,FALSE),
IF($A206&lt;Valves!$A$132,VLOOKUP($A206,Valves!$A$8:$M$131,5,FALSE),
IF($A206&lt;SDR35SW!$A$124,VLOOKUP($A206,SDR35SW!$A$8:$M$123,5,FALSE),
IF($A206&lt;SDR35G!$A$143,VLOOKUP($A206, SDR35G!$A$8:$M$142,5,FALSE),
IF($A206&lt;SDR26G!$A$61,VLOOKUP($A206,SDR26G!$A$8:$N$60,5,FALSE),
IF($A206&lt;Cements!$A$100,VLOOKUP($A206,Cements!$A$8:$Q$99,5,FALSE),
IF($A206&lt;ValveBox!$A$143,VLOOKUP($A206,ValveBox!$A$10:$O$142,5,FALSE),
IF($A206&lt;'ValveBox Components'!$A$165,VLOOKUP($A206,'ValveBox Components'!$A$10:$O$164,5,FALSE),
IF($A206&lt;Drainage!$A$92,VLOOKUP($A206,Drainage!$A$8:$M$91,5,FALSE),
IF($A206&lt;Nipples!$A$82,VLOOKUP($A206,Nipples!$A$9:$Q$81,5,FALSE),
IF($A206&lt;Manifold!$A$33,VLOOKUP($A206,Manifold!$A$9:$M$32,5,FALSE),
IF($A206&lt;FlexibleRepairCouplings!$A$13,VLOOKUP($A206,FlexibleRepairCouplings!$A$10:$M$12,5,FALSE),
IF($A206&lt;DuraFix!$A$15,VLOOKUP($A206,DuraFix!$A$9:$M$14,5,FALSE),
IF($A206&lt;'Compression Fittings'!$A$16,VLOOKUP($A206,'Compression Fittings'!$A$8:$M$15,5,FALSE),
IF($A206&lt;'Hose Fittings'!$A$30,VLOOKUP($A206,'Hose Fittings'!$A$8:$M$29,5,FALSE),
IF($A206&lt;'Swing Joints'!$A$496,VLOOKUP($A206,'Swing Joints'!$A$9:$M$495,5,FALSE),
IF($A206&lt;'Swing Joints Components'!$A$135,VLOOKUP($A206,'Swing Joints Components'!$A$9:$M$134,5,FALSE),
IF($A206&lt;Nonstandard!$A$42,VLOOKUP($A206,Nonstandard!$A$31:$J$41,6,FALSE),"")))))))))))))))))))))))))))),"")</f>
        <v/>
      </c>
      <c r="D206" s="428" t="str">
        <f>IFERROR(IF($A206&lt;'DWV PVC'!$A$285,VLOOKUP($A206,'DWV PVC'!$A$8:$M$284,6,FALSE),
IF($A206&lt;'DWV ABS'!$A$117,VLOOKUP($A206,'DWV ABS'!$A$8:$M$116,6,FALSE),
IF($A206&lt;'PVC SCH40'!$A$376,VLOOKUP($A206,'PVC SCH40'!$A$8:$M$375,6,FALSE),
IF($A206&lt;'PVC SCH40 LD'!$A$22,VLOOKUP($A206,'PVC SCH40 LD'!$A$8:$M$21,6,FALSE),
IF($A206&lt;'Pool &amp; SPA Sweep Elbows'!$A$12,VLOOKUP($A206,'Pool &amp; SPA Sweep Elbows'!$A$8:$M$11,6,FALSE),
IF($A206&lt;'Pool &amp; SPA Pipe Extender'!$A$11,VLOOKUP($A206,'Pool &amp; SPA Pipe Extender'!$A$8:$M$10,6,FALSE),
IF($A206&lt;'PVC SCH80'!$A$250,VLOOKUP($A206,'PVC SCH80'!$A$8:$M$249,6,FALSE),
IF($A206&lt;'PVC SCH80 Flange'!$A$49,VLOOKUP($A206,'PVC SCH80 Flange'!$A$8:$M$48,6,FALSE),
IF($A206&lt;'PVC SCH80 LD Flange'!$A$17,VLOOKUP($A206,'PVC SCH80 LD Flange'!$A$8:$M$16,6,FALSE),
IF($A206&lt;CPVC!$A$100,VLOOKUP($A206,CPVC!$A$8:$M$99,6,FALSE),
IF($A206&lt;InsertFittings!$A$237,VLOOKUP($A206,InsertFittings!$A$11:$M$236,6,FALSE),
IF($A206&lt;Valves!$A$132,VLOOKUP($A206,Valves!$A$8:$M$131,6,FALSE),
IF($A206&lt;SDR35SW!$A$124,VLOOKUP($A206,SDR35SW!$A$8:$M$123,6,FALSE),
IF($A206&lt;SDR35G!$A$143,VLOOKUP($A206, SDR35G!$A$8:$M$142,6,FALSE),
IF($A206&lt;SDR26G!$A$61,VLOOKUP($A206,SDR26G!$A$8:$N$60,6,FALSE),
IF($A206&lt;Cements!$A$100,VLOOKUP($A206,Cements!$A$8:$Q$99,6,FALSE),
IF($A206&lt;ValveBox!$A$143,VLOOKUP($A206,ValveBox!$A$10:$O$142,6,FALSE),
IF($A206&lt;'ValveBox Components'!$A$165,VLOOKUP($A206,'ValveBox Components'!$A$10:$O$164,6,FALSE),
IF($A206&lt;Drainage!$A$92,VLOOKUP($A206,Drainage!$A$8:$M$91,6,FALSE),
IF($A206&lt;Nipples!$A$82,VLOOKUP($A206,Nipples!$A$9:$Q$81,6,FALSE),
IF($A206&lt;Manifold!$A$33,VLOOKUP($A206,Manifold!$A$9:$M$32,6,FALSE),
IF($A206&lt;FlexibleRepairCouplings!$A$13,VLOOKUP($A206,FlexibleRepairCouplings!$A$10:$M$12,6,FALSE),
IF($A206&lt;DuraFix!$A$15,VLOOKUP($A206,DuraFix!$A$9:$M$14,6,FALSE),
IF($A206&lt;'Compression Fittings'!$A$16,VLOOKUP($A206,'Compression Fittings'!$A$8:$M$15,6,FALSE),
IF($A206&lt;'Hose Fittings'!$A$30,VLOOKUP($A206,'Hose Fittings'!$A$8:$M$29,6,FALSE),
IF($A206&lt;'Swing Joints'!$A$496,VLOOKUP($A206,'Swing Joints'!$A$9:$M$495,6,FALSE),
IF($A206&lt;'Swing Joints Components'!$A$135,VLOOKUP($A206,'Swing Joints Components'!$A$9:$M$134,6,FALSE),
IF($A206&lt;Nonstandard!$A$42,VLOOKUP($A206,Nonstandard!$A$31:$J$41,7,FALSE),"")))))))))))))))))))))))))))),"")</f>
        <v/>
      </c>
      <c r="E206" s="429"/>
      <c r="F206" s="421" t="str">
        <f>IFERROR(IF($A206&lt;'DWV PVC'!$A$285,VLOOKUP($A206,'DWV PVC'!$A$8:$M$284,9,FALSE),
IF($A206&lt;'DWV ABS'!$A$117,VLOOKUP($A206,'DWV ABS'!$A$8:$M$116,9,FALSE),
IF($A206&lt;'PVC SCH40'!$A$376,VLOOKUP($A206,'PVC SCH40'!$A$8:$M$375,9,FALSE),
IF($A206&lt;'PVC SCH40 LD'!$A$22,VLOOKUP($A206,'PVC SCH40 LD'!$A$8:$M$21,9,FALSE),
IF($A206&lt;'Pool &amp; SPA Sweep Elbows'!$A$12,VLOOKUP($A206,'Pool &amp; SPA Sweep Elbows'!$A$8:$M$11,9,FALSE),
IF($A206&lt;'Pool &amp; SPA Pipe Extender'!$A$11,VLOOKUP($A206,'Pool &amp; SPA Pipe Extender'!$A$8:$M$10,9,FALSE),
IF($A206&lt;'PVC SCH80'!$A$250,VLOOKUP($A206,'PVC SCH80'!$A$8:$M$249,9,FALSE),
IF($A206&lt;'PVC SCH80 Flange'!$A$49,VLOOKUP($A206,'PVC SCH80 Flange'!$A$8:$M$48,9,FALSE),
IF($A206&lt;'PVC SCH80 LD Flange'!$A$17,VLOOKUP($A206,'PVC SCH80 LD Flange'!$A$8:$M$16,9,FALSE),
IF($A206&lt;CPVC!$A$100,VLOOKUP($A206,CPVC!$A$8:$M$99,9,FALSE),
IF($A206&lt;InsertFittings!$A$237,VLOOKUP($A206,InsertFittings!$A$11:$M$236,9,FALSE),
IF($A206&lt;Valves!$A$132,VLOOKUP($A206,Valves!$A$8:$M$131,9,FALSE),
IF($A206&lt;SDR35SW!$A$124,VLOOKUP($A206,SDR35SW!$A$8:$M$123,9,FALSE),
IF($A206&lt;SDR35G!$A$143,VLOOKUP($A206, SDR35G!$A$8:$M$142,9,FALSE),
IF($A206&lt;SDR26G!$A$61,VLOOKUP($A206,SDR26G!$A$8:$N$60,10,FALSE),
IF($A206&lt;Cements!$A$100,VLOOKUP($A206,Cements!$A$8:$Q$99,13,FALSE),
IF($A206&lt;ValveBox!$A$143,VLOOKUP($A206,ValveBox!$A$10:$O$142,11,FALSE),
IF($A206&lt;'ValveBox Components'!$A$165,VLOOKUP($A206,'ValveBox Components'!$A$10:$O$164,11,FALSE),
IF($A206&lt;Drainage!$A$92,VLOOKUP($A206,Drainage!$A$8:$M$91,9,FALSE),
IF($A206&lt;Nipples!$A$82,VLOOKUP($A206,Nipples!$A$9:$Q$81,13,FALSE),
IF($A206&lt;Manifold!$A$33,VLOOKUP($A206,Manifold!$A$9:$M$32,9,FALSE),
IF($A206&lt;FlexibleRepairCouplings!$A$13,VLOOKUP($A206,FlexibleRepairCouplings!$A$10:$M$12,9,FALSE),
IF($A206&lt;DuraFix!$A$15,VLOOKUP($A206,DuraFix!$A$9:$M$14,9,FALSE),
IF($A206&lt;'Compression Fittings'!$A$16,VLOOKUP($A206,'Compression Fittings'!$A$8:$M$15,9,FALSE),
IF($A206&lt;'Hose Fittings'!$A$30,VLOOKUP($A206,'Hose Fittings'!$A$8:$M$29,9,FALSE),
IF($A206&lt;'Swing Joints'!$A$496,VLOOKUP($A206,'Swing Joints'!$A$9:$M$495,9,FALSE),
IF($A206&lt;'Swing Joints Components'!$A$135,VLOOKUP($A206,'Swing Joints Components'!$A$9:$M$134,9,FALSE),
IF($A206&lt;Nonstandard!$A$42,VLOOKUP($A206,Nonstandard!$A$31:$J$41,8,FALSE),"")))))))))))))))))))))))))))),"")</f>
        <v/>
      </c>
      <c r="G206" s="422" t="str">
        <f>IFERROR(IF($A206&lt;'DWV PVC'!$A$285,VLOOKUP($A206,'DWV PVC'!$A$8:$M$284,11,FALSE),
IF($A206&lt;'DWV ABS'!$A$117,VLOOKUP($A206,'DWV ABS'!$A$8:$M$116,11,FALSE),
IF($A206&lt;'PVC SCH40'!$A$376,VLOOKUP($A206,'PVC SCH40'!$A$8:$M$375,11,FALSE),
IF($A206&lt;'PVC SCH40 LD'!$A$22,VLOOKUP($A206,'PVC SCH40 LD'!$A$8:$M$21,11,FALSE),
IF($A206&lt;'Pool &amp; SPA Sweep Elbows'!$A$12,VLOOKUP($A206,'Pool &amp; SPA Sweep Elbows'!$A$8:$M$11,11,FALSE),
IF($A206&lt;'Pool &amp; SPA Pipe Extender'!$A$11,VLOOKUP($A206,'Pool &amp; SPA Pipe Extender'!$A$8:$M$10,11,FALSE),
IF($A206&lt;'PVC SCH80'!$A$250,VLOOKUP($A206,'PVC SCH80'!$A$8:$M$249,11,FALSE),
IF($A206&lt;'PVC SCH80 Flange'!$A$49,VLOOKUP($A206,'PVC SCH80 Flange'!$A$8:$M$48,11,FALSE),
IF($A206&lt;'PVC SCH80 LD Flange'!$A$17,VLOOKUP($A206,'PVC SCH80 LD Flange'!$A$8:$M$16,11,FALSE),
IF($A206&lt;CPVC!$A$100,VLOOKUP($A206,CPVC!$A$8:$M$99,11,FALSE),
IF($A206&lt;InsertFittings!$A$237,VLOOKUP($A206,InsertFittings!$A$11:$M$236,11,FALSE),
IF($A206&lt;Valves!$A$132,VLOOKUP($A206,Valves!$A$8:$M$131,11,FALSE),
IF($A206&lt;SDR35SW!$A$124,VLOOKUP($A206,SDR35SW!$A$8:$M$123,11,FALSE),
IF($A206&lt;SDR35G!$A$143,VLOOKUP($A206, SDR35G!$A$8:$M$142,11,FALSE),
IF($A206&lt;SDR26G!$A$61,VLOOKUP($A206,SDR26G!$A$8:$N$60,12,FALSE),
IF($A206&lt;Cements!$A$100,VLOOKUP($A206,Cements!$A$8:$Q$99,15,FALSE),
IF($A206&lt;ValveBox!$A$143,VLOOKUP($A206,ValveBox!$A$10:$O$142,13,FALSE),
IF($A206&lt;'ValveBox Components'!$A$165,VLOOKUP($A206,'ValveBox Components'!$A$10:$O$164,13,FALSE),
IF($A206&lt;Drainage!$A$92,VLOOKUP($A206,Drainage!$A$8:$M$91,11,FALSE),
IF($A206&lt;Nipples!$A$82,VLOOKUP($A206,Nipples!$A$9:$Q$81,15,FALSE),
IF($A206&lt;Manifold!$A$33,VLOOKUP($A206,Manifold!$A$9:$M$32,11,FALSE),
IF($A206&lt;FlexibleRepairCouplings!$A$13,VLOOKUP($A206,FlexibleRepairCouplings!$A$10:$M$12,11,FALSE),
IF($A206&lt;DuraFix!$A$15,VLOOKUP($A206,DuraFix!$A$9:$M$14,11,FALSE),
IF($A206&lt;'Compression Fittings'!$A$16,VLOOKUP($A206,'Compression Fittings'!$A$8:$M$15,11,FALSE),
IF($A206&lt;'Hose Fittings'!$A$30,VLOOKUP($A206,'Hose Fittings'!$A$8:$M$29,11,FALSE),
IF($A206&lt;'Swing Joints'!$A$496,VLOOKUP($A206,'Swing Joints'!$A$9:$M$495,11,FALSE),
IF($A206&lt;'Swing Joints Components'!$A$135,VLOOKUP($A206,'Swing Joints Components'!$A$9:$M$134,11,FALSE),
IF($A206&lt;Nonstandard!$A$42,VLOOKUP($A206,Nonstandard!$A$31:$J$41,3,FALSE),"")))))))))))))))))))))))))))),"")</f>
        <v/>
      </c>
      <c r="H206" s="588" t="str">
        <f>IFERROR(IF($A206&lt;'DWV PVC'!$A$285,VLOOKUP($A206,'DWV PVC'!$A$8:$M$284,7,FALSE),
IF($A206&lt;'DWV ABS'!$A$117,VLOOKUP($A206,'DWV ABS'!$A$8:$M$116,7,FALSE),
IF($A206&lt;'PVC SCH40'!$A$376,VLOOKUP($A206,'PVC SCH40'!$A$8:$M$375,7,FALSE),
IF($A206&lt;'PVC SCH40 LD'!$A$22,VLOOKUP($A206,'PVC SCH40 LD'!$A$8:$M$21,7,FALSE),
IF($A206&lt;'Pool &amp; SPA Sweep Elbows'!$A$12,VLOOKUP($A206,'Pool &amp; SPA Sweep Elbows'!$A$8:$M$11,7,FALSE),
IF($A206&lt;'Pool &amp; SPA Pipe Extender'!$A$11,VLOOKUP($A206,'Pool &amp; SPA Pipe Extender'!$A$8:$M$10,7,FALSE),
IF($A206&lt;'PVC SCH80'!$A$250,VLOOKUP($A206,'PVC SCH80'!$A$8:$M$249,7,FALSE),
IF($A206&lt;'PVC SCH80 Flange'!$A$49,VLOOKUP($A206,'PVC SCH80 Flange'!$A$8:$M$48,7,FALSE),
IF($A206&lt;'PVC SCH80 LD Flange'!$A$17,VLOOKUP($A206,'PVC SCH80 LD Flange'!$A$8:$M$16,7,FALSE),
IF($A206&lt;CPVC!$A$100,VLOOKUP($A206,CPVC!$A$8:$M$99,7,FALSE),
IF($A206&lt;InsertFittings!$A$237,VLOOKUP($A206,InsertFittings!$A$11:$M$236,7,FALSE),
IF($A206&lt;Valves!$A$132,VLOOKUP($A206,Valves!$A$8:$M$131,7,FALSE),
IF($A206&lt;SDR35SW!$A$124,VLOOKUP($A206,SDR35SW!$A$8:$M$123,7,FALSE),
IF($A206&lt;SDR35G!$A$143,VLOOKUP($A206, SDR35G!$A$8:$M$142,7,FALSE),
IF($A206&lt;SDR26G!$A$61,VLOOKUP($A206,SDR26G!$A$8:$N$60,10,FALSE),
IF($A206&lt;Cements!$A$100,VLOOKUP($A206,Cements!$A$8:$Q$99,13,FALSE),
IF($A206&lt;ValveBox!$A$143,VLOOKUP($A206,ValveBox!$A$10:$O$142,11,FALSE),
IF($A206&lt;'ValveBox Components'!$A$165,VLOOKUP($A206,'ValveBox Components'!$A$10:$O$164,11,FALSE),
IF($A206&lt;Drainage!$A$92,VLOOKUP($A206,Drainage!$A$8:$M$91,7,FALSE),
IF($A206&lt;Nipples!$A$82,VLOOKUP($A206,Nipples!$A$9:$Q$81,13,FALSE),
IF($A206&lt;Manifold!$A$33,VLOOKUP($A206,Manifold!$A$9:$M$32,7,FALSE),
IF($A206&lt;FlexibleRepairCouplings!$A$13,VLOOKUP($A206,FlexibleRepairCouplings!$A$10:$M$12,7,FALSE),
IF($A206&lt;DuraFix!$A$15,VLOOKUP($A206,DuraFix!$A$9:$M$14,7,FALSE),
IF($A206&lt;'Compression Fittings'!$A$16,VLOOKUP($A206,'Compression Fittings'!$A$8:$M$15,7,FALSE),
IF($A206&lt;'Hose Fittings'!$A$30,VLOOKUP($A206,'Hose Fittings'!$A$8:$M$29,7,FALSE),
IF($A206&lt;'Swing Joints'!$A$496,VLOOKUP($A206,'Swing Joints'!$A$9:$M$495,7,FALSE),
IF($A206&lt;'Swing Joints Components'!$A$135,VLOOKUP($A206,'Swing Joints Components'!$A$9:$M$134,7,FALSE),
IF($A206&lt;Nonstandard!$A$42,VLOOKUP($A206,Nonstandard!$A$31:$J$41,3,FALSE),"")))))))))))))))))))))))))))),"")</f>
        <v/>
      </c>
      <c r="I206" s="589"/>
      <c r="J206" s="423" t="str">
        <f t="shared" si="5"/>
        <v/>
      </c>
      <c r="K206" s="424" t="str">
        <f>IFERROR(IF($A206&lt;'DWV PVC'!$A$285,VLOOKUP($A206,'DWV PVC'!$A$8:$M$284,10,FALSE),
IF($A206&lt;'DWV ABS'!$A$117,VLOOKUP($A206,'DWV ABS'!$A$8:$M$116,10,FALSE),
IF($A206&lt;'PVC SCH40'!$A$376,VLOOKUP($A206,'PVC SCH40'!$A$8:$M$375,10,FALSE),
IF($A206&lt;'PVC SCH40 LD'!$A$22,VLOOKUP($A206,'PVC SCH40 LD'!$A$8:$M$21,10,FALSE),
IF($A206&lt;'Pool &amp; SPA Sweep Elbows'!$A$12,VLOOKUP($A206,'Pool &amp; SPA Sweep Elbows'!$A$8:$M$11,10,FALSE),
IF($A206&lt;'Pool &amp; SPA Pipe Extender'!$A$11,VLOOKUP($A206,'Pool &amp; SPA Pipe Extender'!$A$8:$M$10,10,FALSE),
IF($A206&lt;'PVC SCH80'!$A$250,VLOOKUP($A206,'PVC SCH80'!$A$8:$M$249,10,FALSE),
IF($A206&lt;'PVC SCH80 Flange'!$A$49,VLOOKUP($A206,'PVC SCH80 Flange'!$A$8:$M$48,10,FALSE),
IF($A206&lt;'PVC SCH80 LD Flange'!$A$17,VLOOKUP($A206,'PVC SCH80 LD Flange'!$A$8:$M$16,10,FALSE),
IF($A206&lt;CPVC!$A$100,VLOOKUP($A206,CPVC!$A$8:$M$99,10,FALSE),
IF($A206&lt;InsertFittings!$A$237,VLOOKUP($A206,InsertFittings!$A$11:$M$236,10,FALSE),
IF($A206&lt;Valves!$A$132,VLOOKUP($A206,Valves!$A$8:$M$131,10,FALSE),
IF($A206&lt;SDR35SW!$A$124,VLOOKUP($A206,SDR35SW!$A$8:$M$123,10,FALSE),
IF($A206&lt;SDR35G!$A$143,VLOOKUP($A206, SDR35G!$A$8:$M$142,10,FALSE),
IF($A206&lt;SDR26G!$A$61,VLOOKUP($A206,SDR26G!$A$8:$N$60,11,FALSE),
IF($A206&lt;Cements!$A$100,VLOOKUP($A206,Cements!$A$8:$Q$99,14,FALSE),
IF($A206&lt;ValveBox!$A$143,VLOOKUP($A206,ValveBox!$A$10:$O$142,12,FALSE),
IF($A206&lt;'ValveBox Components'!$A$165,VLOOKUP($A206,'ValveBox Components'!$A$10:$O$164,12,FALSE),
IF($A206&lt;Drainage!$A$92,VLOOKUP($A206,Drainage!$A$8:$M$91,10,FALSE),
IF($A206&lt;Nipples!$A$82,VLOOKUP($A206,Nipples!$A$9:$Q$81,14,FALSE),
IF($A206&lt;Manifold!$A$33,VLOOKUP($A206,Manifold!$A$9:$M$32,10,FALSE),
IF($A206&lt;FlexibleRepairCouplings!$A$13,VLOOKUP($A206,FlexibleRepairCouplings!$A$10:$M$12,10,FALSE),
IF($A206&lt;DuraFix!$A$15,VLOOKUP($A206,DuraFix!$A$9:$M$14,10,FALSE),
IF($A206&lt;'Compression Fittings'!$A$16,VLOOKUP($A206,'Compression Fittings'!$A$8:$M$15,10,FALSE),
IF($A206&lt;'Hose Fittings'!$A$30,VLOOKUP($A206,'Hose Fittings'!$A$8:$M$29,10,FALSE),
IF($A206&lt;'Swing Joints'!$A$496,VLOOKUP($A206,'Swing Joints'!$A$9:$M$495,10,FALSE),
IF($A206&lt;'Swing Joints Components'!$A$135,VLOOKUP($A206,'Swing Joints Components'!$A$9:$M$134,10,FALSE),
IF($A206&lt;Nonstandard!$A$42,VLOOKUP($A206,Nonstandard!$A$31:$J$41,10,FALSE),"")))))))))))))))))))))))))))),"")</f>
        <v/>
      </c>
      <c r="L206" s="421" t="str">
        <f t="shared" si="4"/>
        <v>-</v>
      </c>
      <c r="M206" s="425"/>
    </row>
    <row r="207" spans="1:13" ht="15.75">
      <c r="A207" s="415">
        <v>175</v>
      </c>
      <c r="B207" s="415" t="str">
        <f>IFERROR(IF($A207&lt;'DWV PVC'!$A$285,VLOOKUP($A207,'DWV PVC'!$A$8:$M$284,4,FALSE),
IF($A207&lt;'DWV ABS'!$A$117,VLOOKUP($A207,'DWV ABS'!$A$8:$M$116,4,FALSE),
IF($A207&lt;'PVC SCH40'!$A$376,VLOOKUP($A207,'PVC SCH40'!$A$8:$M$375,4,FALSE),
IF($A207&lt;'PVC SCH40 LD'!$A$22,VLOOKUP($A207,'PVC SCH40 LD'!$A$8:$M$21,4,FALSE),
IF($A207&lt;'Pool &amp; SPA Sweep Elbows'!$A$12,VLOOKUP($A207,'Pool &amp; SPA Sweep Elbows'!$A$8:$M$11,4,FALSE),
IF($A207&lt;'Pool &amp; SPA Pipe Extender'!$A$11,VLOOKUP($A207,'Pool &amp; SPA Pipe Extender'!$A$8:$M$10,4,FALSE),
IF($A207&lt;'PVC SCH80'!$A$250,VLOOKUP($A207,'PVC SCH80'!$A$8:$M$249,4,FALSE),
IF($A207&lt;'PVC SCH80 Flange'!$A$49,VLOOKUP($A207,'PVC SCH80 Flange'!$A$8:$M$48,4,FALSE),
IF($A207&lt;'PVC SCH80 LD Flange'!$A$17,VLOOKUP($A207,'PVC SCH80 LD Flange'!$A$8:$M$16,4,FALSE),
IF($A207&lt;CPVC!$A$100,VLOOKUP($A207,CPVC!$A$8:$M$99,4,FALSE),
IF($A207&lt;InsertFittings!$A$237,VLOOKUP($A207,InsertFittings!$A$11:$M$236,4,FALSE),
IF($A207&lt;Valves!$A$132,VLOOKUP($A207,Valves!$A$8:$M$131,4,FALSE),
IF($A207&lt;SDR35SW!$A$124,VLOOKUP($A207,SDR35SW!$A$8:$M$123,4,FALSE),
IF($A207&lt;SDR35G!$A$143,VLOOKUP($A207, SDR35G!$A$8:$M$142,4,FALSE),
IF($A207&lt;SDR26G!$A$61,VLOOKUP($A207,SDR26G!$A$8:$N$60,4,FALSE),
IF($A207&lt;Cements!$A$100,VLOOKUP($A207,Cements!$A$8:$Q$99,4,FALSE),
IF($A207&lt;ValveBox!$A$143,VLOOKUP($A207,ValveBox!$A$10:$O$142,4,FALSE),
IF($A207&lt;'ValveBox Components'!$A$165,VLOOKUP($A207,'ValveBox Components'!$A$10:$O$164,4,FALSE),
IF($A207&lt;Drainage!$A$92,VLOOKUP($A207,Drainage!$A$8:$M$91,4,FALSE),
IF($A207&lt;Nipples!$A$82,VLOOKUP($A207,Nipples!$A$9:$Q$81,4,FALSE),
IF($A207&lt;Manifold!$A$33,VLOOKUP($A207,Manifold!$A$9:$M$32,4,FALSE),
IF($A207&lt;FlexibleRepairCouplings!$A$13,VLOOKUP($A207,FlexibleRepairCouplings!$A$10:$M$12,4,FALSE),
IF($A207&lt;DuraFix!$A$15,VLOOKUP($A207,DuraFix!$A$9:$M$14,4,FALSE),
IF($A207&lt;'Compression Fittings'!$A$16,VLOOKUP($A207,'Compression Fittings'!$A$8:$M$15,4,FALSE),
IF($A207&lt;'Hose Fittings'!$A$30,VLOOKUP($A207,'Hose Fittings'!$A$8:$M$29,4,FALSE),
IF($A207&lt;'Swing Joints'!$A$496,VLOOKUP($A207,'Swing Joints'!$A$9:$M$495,4,FALSE),
IF($A207&lt;'Swing Joints Components'!$A$135,VLOOKUP($A207,'Swing Joints Components'!$A$9:$M$134,4,FALSE),
IF($A207&lt;Nonstandard!$A$42,VLOOKUP($A207,Nonstandard!$A$31:$J$41,5,FALSE),"")))))))))))))))))))))))))))),"")</f>
        <v/>
      </c>
      <c r="C207" s="415" t="str">
        <f>IFERROR(IF($A207&lt;'DWV PVC'!$A$285,VLOOKUP($A207,'DWV PVC'!$A$8:$M$284,5,FALSE),
IF($A207&lt;'DWV ABS'!$A$117,VLOOKUP($A207,'DWV ABS'!$A$8:$M$116,5,FALSE),
IF($A207&lt;'PVC SCH40'!$A$376,VLOOKUP($A207,'PVC SCH40'!$A$8:$M$375,5,FALSE),
IF($A207&lt;'PVC SCH40 LD'!$A$22,VLOOKUP($A207,'PVC SCH40 LD'!$A$8:$M$21,5,FALSE),
IF($A207&lt;'Pool &amp; SPA Sweep Elbows'!$A$12,VLOOKUP($A207,'Pool &amp; SPA Sweep Elbows'!$A$8:$M$11,5,FALSE),
IF($A207&lt;'Pool &amp; SPA Pipe Extender'!$A$11,VLOOKUP($A207,'Pool &amp; SPA Pipe Extender'!$A$8:$M$10,5,FALSE),
IF($A207&lt;'PVC SCH80'!$A$250,VLOOKUP($A207,'PVC SCH80'!$A$8:$M$249,5,FALSE),
IF($A207&lt;'PVC SCH80 Flange'!$A$49,VLOOKUP($A207,'PVC SCH80 Flange'!$A$8:$M$48,5,FALSE),
IF($A207&lt;'PVC SCH80 LD Flange'!$A$17,VLOOKUP($A207,'PVC SCH80 LD Flange'!$A$8:$M$16,5,FALSE),
IF($A207&lt;CPVC!$A$100,VLOOKUP($A207,CPVC!$A$8:$M$99,5,FALSE),
IF($A207&lt;InsertFittings!$A$237,VLOOKUP($A207,InsertFittings!$A$11:$M$236,5,FALSE),
IF($A207&lt;Valves!$A$132,VLOOKUP($A207,Valves!$A$8:$M$131,5,FALSE),
IF($A207&lt;SDR35SW!$A$124,VLOOKUP($A207,SDR35SW!$A$8:$M$123,5,FALSE),
IF($A207&lt;SDR35G!$A$143,VLOOKUP($A207, SDR35G!$A$8:$M$142,5,FALSE),
IF($A207&lt;SDR26G!$A$61,VLOOKUP($A207,SDR26G!$A$8:$N$60,5,FALSE),
IF($A207&lt;Cements!$A$100,VLOOKUP($A207,Cements!$A$8:$Q$99,5,FALSE),
IF($A207&lt;ValveBox!$A$143,VLOOKUP($A207,ValveBox!$A$10:$O$142,5,FALSE),
IF($A207&lt;'ValveBox Components'!$A$165,VLOOKUP($A207,'ValveBox Components'!$A$10:$O$164,5,FALSE),
IF($A207&lt;Drainage!$A$92,VLOOKUP($A207,Drainage!$A$8:$M$91,5,FALSE),
IF($A207&lt;Nipples!$A$82,VLOOKUP($A207,Nipples!$A$9:$Q$81,5,FALSE),
IF($A207&lt;Manifold!$A$33,VLOOKUP($A207,Manifold!$A$9:$M$32,5,FALSE),
IF($A207&lt;FlexibleRepairCouplings!$A$13,VLOOKUP($A207,FlexibleRepairCouplings!$A$10:$M$12,5,FALSE),
IF($A207&lt;DuraFix!$A$15,VLOOKUP($A207,DuraFix!$A$9:$M$14,5,FALSE),
IF($A207&lt;'Compression Fittings'!$A$16,VLOOKUP($A207,'Compression Fittings'!$A$8:$M$15,5,FALSE),
IF($A207&lt;'Hose Fittings'!$A$30,VLOOKUP($A207,'Hose Fittings'!$A$8:$M$29,5,FALSE),
IF($A207&lt;'Swing Joints'!$A$496,VLOOKUP($A207,'Swing Joints'!$A$9:$M$495,5,FALSE),
IF($A207&lt;'Swing Joints Components'!$A$135,VLOOKUP($A207,'Swing Joints Components'!$A$9:$M$134,5,FALSE),
IF($A207&lt;Nonstandard!$A$42,VLOOKUP($A207,Nonstandard!$A$31:$J$41,6,FALSE),"")))))))))))))))))))))))))))),"")</f>
        <v/>
      </c>
      <c r="D207" s="426" t="str">
        <f>IFERROR(IF($A207&lt;'DWV PVC'!$A$285,VLOOKUP($A207,'DWV PVC'!$A$8:$M$284,6,FALSE),
IF($A207&lt;'DWV ABS'!$A$117,VLOOKUP($A207,'DWV ABS'!$A$8:$M$116,6,FALSE),
IF($A207&lt;'PVC SCH40'!$A$376,VLOOKUP($A207,'PVC SCH40'!$A$8:$M$375,6,FALSE),
IF($A207&lt;'PVC SCH40 LD'!$A$22,VLOOKUP($A207,'PVC SCH40 LD'!$A$8:$M$21,6,FALSE),
IF($A207&lt;'Pool &amp; SPA Sweep Elbows'!$A$12,VLOOKUP($A207,'Pool &amp; SPA Sweep Elbows'!$A$8:$M$11,6,FALSE),
IF($A207&lt;'Pool &amp; SPA Pipe Extender'!$A$11,VLOOKUP($A207,'Pool &amp; SPA Pipe Extender'!$A$8:$M$10,6,FALSE),
IF($A207&lt;'PVC SCH80'!$A$250,VLOOKUP($A207,'PVC SCH80'!$A$8:$M$249,6,FALSE),
IF($A207&lt;'PVC SCH80 Flange'!$A$49,VLOOKUP($A207,'PVC SCH80 Flange'!$A$8:$M$48,6,FALSE),
IF($A207&lt;'PVC SCH80 LD Flange'!$A$17,VLOOKUP($A207,'PVC SCH80 LD Flange'!$A$8:$M$16,6,FALSE),
IF($A207&lt;CPVC!$A$100,VLOOKUP($A207,CPVC!$A$8:$M$99,6,FALSE),
IF($A207&lt;InsertFittings!$A$237,VLOOKUP($A207,InsertFittings!$A$11:$M$236,6,FALSE),
IF($A207&lt;Valves!$A$132,VLOOKUP($A207,Valves!$A$8:$M$131,6,FALSE),
IF($A207&lt;SDR35SW!$A$124,VLOOKUP($A207,SDR35SW!$A$8:$M$123,6,FALSE),
IF($A207&lt;SDR35G!$A$143,VLOOKUP($A207, SDR35G!$A$8:$M$142,6,FALSE),
IF($A207&lt;SDR26G!$A$61,VLOOKUP($A207,SDR26G!$A$8:$N$60,6,FALSE),
IF($A207&lt;Cements!$A$100,VLOOKUP($A207,Cements!$A$8:$Q$99,6,FALSE),
IF($A207&lt;ValveBox!$A$143,VLOOKUP($A207,ValveBox!$A$10:$O$142,6,FALSE),
IF($A207&lt;'ValveBox Components'!$A$165,VLOOKUP($A207,'ValveBox Components'!$A$10:$O$164,6,FALSE),
IF($A207&lt;Drainage!$A$92,VLOOKUP($A207,Drainage!$A$8:$M$91,6,FALSE),
IF($A207&lt;Nipples!$A$82,VLOOKUP($A207,Nipples!$A$9:$Q$81,6,FALSE),
IF($A207&lt;Manifold!$A$33,VLOOKUP($A207,Manifold!$A$9:$M$32,6,FALSE),
IF($A207&lt;FlexibleRepairCouplings!$A$13,VLOOKUP($A207,FlexibleRepairCouplings!$A$10:$M$12,6,FALSE),
IF($A207&lt;DuraFix!$A$15,VLOOKUP($A207,DuraFix!$A$9:$M$14,6,FALSE),
IF($A207&lt;'Compression Fittings'!$A$16,VLOOKUP($A207,'Compression Fittings'!$A$8:$M$15,6,FALSE),
IF($A207&lt;'Hose Fittings'!$A$30,VLOOKUP($A207,'Hose Fittings'!$A$8:$M$29,6,FALSE),
IF($A207&lt;'Swing Joints'!$A$496,VLOOKUP($A207,'Swing Joints'!$A$9:$M$495,6,FALSE),
IF($A207&lt;'Swing Joints Components'!$A$135,VLOOKUP($A207,'Swing Joints Components'!$A$9:$M$134,6,FALSE),
IF($A207&lt;Nonstandard!$A$42,VLOOKUP($A207,Nonstandard!$A$31:$J$41,7,FALSE),"")))))))))))))))))))))))))))),"")</f>
        <v/>
      </c>
      <c r="E207" s="427"/>
      <c r="F207" s="418" t="str">
        <f>IFERROR(IF($A207&lt;'DWV PVC'!$A$285,VLOOKUP($A207,'DWV PVC'!$A$8:$M$284,9,FALSE),
IF($A207&lt;'DWV ABS'!$A$117,VLOOKUP($A207,'DWV ABS'!$A$8:$M$116,9,FALSE),
IF($A207&lt;'PVC SCH40'!$A$376,VLOOKUP($A207,'PVC SCH40'!$A$8:$M$375,9,FALSE),
IF($A207&lt;'PVC SCH40 LD'!$A$22,VLOOKUP($A207,'PVC SCH40 LD'!$A$8:$M$21,9,FALSE),
IF($A207&lt;'Pool &amp; SPA Sweep Elbows'!$A$12,VLOOKUP($A207,'Pool &amp; SPA Sweep Elbows'!$A$8:$M$11,9,FALSE),
IF($A207&lt;'Pool &amp; SPA Pipe Extender'!$A$11,VLOOKUP($A207,'Pool &amp; SPA Pipe Extender'!$A$8:$M$10,9,FALSE),
IF($A207&lt;'PVC SCH80'!$A$250,VLOOKUP($A207,'PVC SCH80'!$A$8:$M$249,9,FALSE),
IF($A207&lt;'PVC SCH80 Flange'!$A$49,VLOOKUP($A207,'PVC SCH80 Flange'!$A$8:$M$48,9,FALSE),
IF($A207&lt;'PVC SCH80 LD Flange'!$A$17,VLOOKUP($A207,'PVC SCH80 LD Flange'!$A$8:$M$16,9,FALSE),
IF($A207&lt;CPVC!$A$100,VLOOKUP($A207,CPVC!$A$8:$M$99,9,FALSE),
IF($A207&lt;InsertFittings!$A$237,VLOOKUP($A207,InsertFittings!$A$11:$M$236,9,FALSE),
IF($A207&lt;Valves!$A$132,VLOOKUP($A207,Valves!$A$8:$M$131,9,FALSE),
IF($A207&lt;SDR35SW!$A$124,VLOOKUP($A207,SDR35SW!$A$8:$M$123,9,FALSE),
IF($A207&lt;SDR35G!$A$143,VLOOKUP($A207, SDR35G!$A$8:$M$142,9,FALSE),
IF($A207&lt;SDR26G!$A$61,VLOOKUP($A207,SDR26G!$A$8:$N$60,10,FALSE),
IF($A207&lt;Cements!$A$100,VLOOKUP($A207,Cements!$A$8:$Q$99,13,FALSE),
IF($A207&lt;ValveBox!$A$143,VLOOKUP($A207,ValveBox!$A$10:$O$142,11,FALSE),
IF($A207&lt;'ValveBox Components'!$A$165,VLOOKUP($A207,'ValveBox Components'!$A$10:$O$164,11,FALSE),
IF($A207&lt;Drainage!$A$92,VLOOKUP($A207,Drainage!$A$8:$M$91,9,FALSE),
IF($A207&lt;Nipples!$A$82,VLOOKUP($A207,Nipples!$A$9:$Q$81,13,FALSE),
IF($A207&lt;Manifold!$A$33,VLOOKUP($A207,Manifold!$A$9:$M$32,9,FALSE),
IF($A207&lt;FlexibleRepairCouplings!$A$13,VLOOKUP($A207,FlexibleRepairCouplings!$A$10:$M$12,9,FALSE),
IF($A207&lt;DuraFix!$A$15,VLOOKUP($A207,DuraFix!$A$9:$M$14,9,FALSE),
IF($A207&lt;'Compression Fittings'!$A$16,VLOOKUP($A207,'Compression Fittings'!$A$8:$M$15,9,FALSE),
IF($A207&lt;'Hose Fittings'!$A$30,VLOOKUP($A207,'Hose Fittings'!$A$8:$M$29,9,FALSE),
IF($A207&lt;'Swing Joints'!$A$496,VLOOKUP($A207,'Swing Joints'!$A$9:$M$495,9,FALSE),
IF($A207&lt;'Swing Joints Components'!$A$135,VLOOKUP($A207,'Swing Joints Components'!$A$9:$M$134,9,FALSE),
IF($A207&lt;Nonstandard!$A$42,VLOOKUP($A207,Nonstandard!$A$31:$J$41,8,FALSE),"")))))))))))))))))))))))))))),"")</f>
        <v/>
      </c>
      <c r="G207" s="416" t="str">
        <f>IFERROR(IF($A207&lt;'DWV PVC'!$A$285,VLOOKUP($A207,'DWV PVC'!$A$8:$M$284,11,FALSE),
IF($A207&lt;'DWV ABS'!$A$117,VLOOKUP($A207,'DWV ABS'!$A$8:$M$116,11,FALSE),
IF($A207&lt;'PVC SCH40'!$A$376,VLOOKUP($A207,'PVC SCH40'!$A$8:$M$375,11,FALSE),
IF($A207&lt;'PVC SCH40 LD'!$A$22,VLOOKUP($A207,'PVC SCH40 LD'!$A$8:$M$21,11,FALSE),
IF($A207&lt;'Pool &amp; SPA Sweep Elbows'!$A$12,VLOOKUP($A207,'Pool &amp; SPA Sweep Elbows'!$A$8:$M$11,11,FALSE),
IF($A207&lt;'Pool &amp; SPA Pipe Extender'!$A$11,VLOOKUP($A207,'Pool &amp; SPA Pipe Extender'!$A$8:$M$10,11,FALSE),
IF($A207&lt;'PVC SCH80'!$A$250,VLOOKUP($A207,'PVC SCH80'!$A$8:$M$249,11,FALSE),
IF($A207&lt;'PVC SCH80 Flange'!$A$49,VLOOKUP($A207,'PVC SCH80 Flange'!$A$8:$M$48,11,FALSE),
IF($A207&lt;'PVC SCH80 LD Flange'!$A$17,VLOOKUP($A207,'PVC SCH80 LD Flange'!$A$8:$M$16,11,FALSE),
IF($A207&lt;CPVC!$A$100,VLOOKUP($A207,CPVC!$A$8:$M$99,11,FALSE),
IF($A207&lt;InsertFittings!$A$237,VLOOKUP($A207,InsertFittings!$A$11:$M$236,11,FALSE),
IF($A207&lt;Valves!$A$132,VLOOKUP($A207,Valves!$A$8:$M$131,11,FALSE),
IF($A207&lt;SDR35SW!$A$124,VLOOKUP($A207,SDR35SW!$A$8:$M$123,11,FALSE),
IF($A207&lt;SDR35G!$A$143,VLOOKUP($A207, SDR35G!$A$8:$M$142,11,FALSE),
IF($A207&lt;SDR26G!$A$61,VLOOKUP($A207,SDR26G!$A$8:$N$60,12,FALSE),
IF($A207&lt;Cements!$A$100,VLOOKUP($A207,Cements!$A$8:$Q$99,15,FALSE),
IF($A207&lt;ValveBox!$A$143,VLOOKUP($A207,ValveBox!$A$10:$O$142,13,FALSE),
IF($A207&lt;'ValveBox Components'!$A$165,VLOOKUP($A207,'ValveBox Components'!$A$10:$O$164,13,FALSE),
IF($A207&lt;Drainage!$A$92,VLOOKUP($A207,Drainage!$A$8:$M$91,11,FALSE),
IF($A207&lt;Nipples!$A$82,VLOOKUP($A207,Nipples!$A$9:$Q$81,15,FALSE),
IF($A207&lt;Manifold!$A$33,VLOOKUP($A207,Manifold!$A$9:$M$32,11,FALSE),
IF($A207&lt;FlexibleRepairCouplings!$A$13,VLOOKUP($A207,FlexibleRepairCouplings!$A$10:$M$12,11,FALSE),
IF($A207&lt;DuraFix!$A$15,VLOOKUP($A207,DuraFix!$A$9:$M$14,11,FALSE),
IF($A207&lt;'Compression Fittings'!$A$16,VLOOKUP($A207,'Compression Fittings'!$A$8:$M$15,11,FALSE),
IF($A207&lt;'Hose Fittings'!$A$30,VLOOKUP($A207,'Hose Fittings'!$A$8:$M$29,11,FALSE),
IF($A207&lt;'Swing Joints'!$A$496,VLOOKUP($A207,'Swing Joints'!$A$9:$M$495,11,FALSE),
IF($A207&lt;'Swing Joints Components'!$A$135,VLOOKUP($A207,'Swing Joints Components'!$A$9:$M$134,11,FALSE),
IF($A207&lt;Nonstandard!$A$42,VLOOKUP($A207,Nonstandard!$A$31:$J$41,3,FALSE),"")))))))))))))))))))))))))))),"")</f>
        <v/>
      </c>
      <c r="H207" s="586" t="str">
        <f>IFERROR(IF($A207&lt;'DWV PVC'!$A$285,VLOOKUP($A207,'DWV PVC'!$A$8:$M$284,7,FALSE),
IF($A207&lt;'DWV ABS'!$A$117,VLOOKUP($A207,'DWV ABS'!$A$8:$M$116,7,FALSE),
IF($A207&lt;'PVC SCH40'!$A$376,VLOOKUP($A207,'PVC SCH40'!$A$8:$M$375,7,FALSE),
IF($A207&lt;'PVC SCH40 LD'!$A$22,VLOOKUP($A207,'PVC SCH40 LD'!$A$8:$M$21,7,FALSE),
IF($A207&lt;'Pool &amp; SPA Sweep Elbows'!$A$12,VLOOKUP($A207,'Pool &amp; SPA Sweep Elbows'!$A$8:$M$11,7,FALSE),
IF($A207&lt;'Pool &amp; SPA Pipe Extender'!$A$11,VLOOKUP($A207,'Pool &amp; SPA Pipe Extender'!$A$8:$M$10,7,FALSE),
IF($A207&lt;'PVC SCH80'!$A$250,VLOOKUP($A207,'PVC SCH80'!$A$8:$M$249,7,FALSE),
IF($A207&lt;'PVC SCH80 Flange'!$A$49,VLOOKUP($A207,'PVC SCH80 Flange'!$A$8:$M$48,7,FALSE),
IF($A207&lt;'PVC SCH80 LD Flange'!$A$17,VLOOKUP($A207,'PVC SCH80 LD Flange'!$A$8:$M$16,7,FALSE),
IF($A207&lt;CPVC!$A$100,VLOOKUP($A207,CPVC!$A$8:$M$99,7,FALSE),
IF($A207&lt;InsertFittings!$A$237,VLOOKUP($A207,InsertFittings!$A$11:$M$236,7,FALSE),
IF($A207&lt;Valves!$A$132,VLOOKUP($A207,Valves!$A$8:$M$131,7,FALSE),
IF($A207&lt;SDR35SW!$A$124,VLOOKUP($A207,SDR35SW!$A$8:$M$123,7,FALSE),
IF($A207&lt;SDR35G!$A$143,VLOOKUP($A207, SDR35G!$A$8:$M$142,7,FALSE),
IF($A207&lt;SDR26G!$A$61,VLOOKUP($A207,SDR26G!$A$8:$N$60,10,FALSE),
IF($A207&lt;Cements!$A$100,VLOOKUP($A207,Cements!$A$8:$Q$99,13,FALSE),
IF($A207&lt;ValveBox!$A$143,VLOOKUP($A207,ValveBox!$A$10:$O$142,11,FALSE),
IF($A207&lt;'ValveBox Components'!$A$165,VLOOKUP($A207,'ValveBox Components'!$A$10:$O$164,11,FALSE),
IF($A207&lt;Drainage!$A$92,VLOOKUP($A207,Drainage!$A$8:$M$91,7,FALSE),
IF($A207&lt;Nipples!$A$82,VLOOKUP($A207,Nipples!$A$9:$Q$81,13,FALSE),
IF($A207&lt;Manifold!$A$33,VLOOKUP($A207,Manifold!$A$9:$M$32,7,FALSE),
IF($A207&lt;FlexibleRepairCouplings!$A$13,VLOOKUP($A207,FlexibleRepairCouplings!$A$10:$M$12,7,FALSE),
IF($A207&lt;DuraFix!$A$15,VLOOKUP($A207,DuraFix!$A$9:$M$14,7,FALSE),
IF($A207&lt;'Compression Fittings'!$A$16,VLOOKUP($A207,'Compression Fittings'!$A$8:$M$15,7,FALSE),
IF($A207&lt;'Hose Fittings'!$A$30,VLOOKUP($A207,'Hose Fittings'!$A$8:$M$29,7,FALSE),
IF($A207&lt;'Swing Joints'!$A$496,VLOOKUP($A207,'Swing Joints'!$A$9:$M$495,7,FALSE),
IF($A207&lt;'Swing Joints Components'!$A$135,VLOOKUP($A207,'Swing Joints Components'!$A$9:$M$134,7,FALSE),
IF($A207&lt;Nonstandard!$A$42,VLOOKUP($A207,Nonstandard!$A$31:$J$41,3,FALSE),"")))))))))))))))))))))))))))),"")</f>
        <v/>
      </c>
      <c r="I207" s="587"/>
      <c r="J207" s="383" t="str">
        <f t="shared" si="5"/>
        <v/>
      </c>
      <c r="K207" s="417" t="str">
        <f>IFERROR(IF($A207&lt;'DWV PVC'!$A$285,VLOOKUP($A207,'DWV PVC'!$A$8:$M$284,10,FALSE),
IF($A207&lt;'DWV ABS'!$A$117,VLOOKUP($A207,'DWV ABS'!$A$8:$M$116,10,FALSE),
IF($A207&lt;'PVC SCH40'!$A$376,VLOOKUP($A207,'PVC SCH40'!$A$8:$M$375,10,FALSE),
IF($A207&lt;'PVC SCH40 LD'!$A$22,VLOOKUP($A207,'PVC SCH40 LD'!$A$8:$M$21,10,FALSE),
IF($A207&lt;'Pool &amp; SPA Sweep Elbows'!$A$12,VLOOKUP($A207,'Pool &amp; SPA Sweep Elbows'!$A$8:$M$11,10,FALSE),
IF($A207&lt;'Pool &amp; SPA Pipe Extender'!$A$11,VLOOKUP($A207,'Pool &amp; SPA Pipe Extender'!$A$8:$M$10,10,FALSE),
IF($A207&lt;'PVC SCH80'!$A$250,VLOOKUP($A207,'PVC SCH80'!$A$8:$M$249,10,FALSE),
IF($A207&lt;'PVC SCH80 Flange'!$A$49,VLOOKUP($A207,'PVC SCH80 Flange'!$A$8:$M$48,10,FALSE),
IF($A207&lt;'PVC SCH80 LD Flange'!$A$17,VLOOKUP($A207,'PVC SCH80 LD Flange'!$A$8:$M$16,10,FALSE),
IF($A207&lt;CPVC!$A$100,VLOOKUP($A207,CPVC!$A$8:$M$99,10,FALSE),
IF($A207&lt;InsertFittings!$A$237,VLOOKUP($A207,InsertFittings!$A$11:$M$236,10,FALSE),
IF($A207&lt;Valves!$A$132,VLOOKUP($A207,Valves!$A$8:$M$131,10,FALSE),
IF($A207&lt;SDR35SW!$A$124,VLOOKUP($A207,SDR35SW!$A$8:$M$123,10,FALSE),
IF($A207&lt;SDR35G!$A$143,VLOOKUP($A207, SDR35G!$A$8:$M$142,10,FALSE),
IF($A207&lt;SDR26G!$A$61,VLOOKUP($A207,SDR26G!$A$8:$N$60,11,FALSE),
IF($A207&lt;Cements!$A$100,VLOOKUP($A207,Cements!$A$8:$Q$99,14,FALSE),
IF($A207&lt;ValveBox!$A$143,VLOOKUP($A207,ValveBox!$A$10:$O$142,12,FALSE),
IF($A207&lt;'ValveBox Components'!$A$165,VLOOKUP($A207,'ValveBox Components'!$A$10:$O$164,12,FALSE),
IF($A207&lt;Drainage!$A$92,VLOOKUP($A207,Drainage!$A$8:$M$91,10,FALSE),
IF($A207&lt;Nipples!$A$82,VLOOKUP($A207,Nipples!$A$9:$Q$81,14,FALSE),
IF($A207&lt;Manifold!$A$33,VLOOKUP($A207,Manifold!$A$9:$M$32,10,FALSE),
IF($A207&lt;FlexibleRepairCouplings!$A$13,VLOOKUP($A207,FlexibleRepairCouplings!$A$10:$M$12,10,FALSE),
IF($A207&lt;DuraFix!$A$15,VLOOKUP($A207,DuraFix!$A$9:$M$14,10,FALSE),
IF($A207&lt;'Compression Fittings'!$A$16,VLOOKUP($A207,'Compression Fittings'!$A$8:$M$15,10,FALSE),
IF($A207&lt;'Hose Fittings'!$A$30,VLOOKUP($A207,'Hose Fittings'!$A$8:$M$29,10,FALSE),
IF($A207&lt;'Swing Joints'!$A$496,VLOOKUP($A207,'Swing Joints'!$A$9:$M$495,10,FALSE),
IF($A207&lt;'Swing Joints Components'!$A$135,VLOOKUP($A207,'Swing Joints Components'!$A$9:$M$134,10,FALSE),
IF($A207&lt;Nonstandard!$A$42,VLOOKUP($A207,Nonstandard!$A$31:$J$41,10,FALSE),"")))))))))))))))))))))))))))),"")</f>
        <v/>
      </c>
      <c r="L207" s="418" t="str">
        <f t="shared" si="4"/>
        <v>-</v>
      </c>
      <c r="M207" s="419"/>
    </row>
    <row r="208" spans="1:13" ht="15.75">
      <c r="A208" s="420">
        <v>176</v>
      </c>
      <c r="B208" s="420" t="str">
        <f>IFERROR(IF($A208&lt;'DWV PVC'!$A$285,VLOOKUP($A208,'DWV PVC'!$A$8:$M$284,4,FALSE),
IF($A208&lt;'DWV ABS'!$A$117,VLOOKUP($A208,'DWV ABS'!$A$8:$M$116,4,FALSE),
IF($A208&lt;'PVC SCH40'!$A$376,VLOOKUP($A208,'PVC SCH40'!$A$8:$M$375,4,FALSE),
IF($A208&lt;'PVC SCH40 LD'!$A$22,VLOOKUP($A208,'PVC SCH40 LD'!$A$8:$M$21,4,FALSE),
IF($A208&lt;'Pool &amp; SPA Sweep Elbows'!$A$12,VLOOKUP($A208,'Pool &amp; SPA Sweep Elbows'!$A$8:$M$11,4,FALSE),
IF($A208&lt;'Pool &amp; SPA Pipe Extender'!$A$11,VLOOKUP($A208,'Pool &amp; SPA Pipe Extender'!$A$8:$M$10,4,FALSE),
IF($A208&lt;'PVC SCH80'!$A$250,VLOOKUP($A208,'PVC SCH80'!$A$8:$M$249,4,FALSE),
IF($A208&lt;'PVC SCH80 Flange'!$A$49,VLOOKUP($A208,'PVC SCH80 Flange'!$A$8:$M$48,4,FALSE),
IF($A208&lt;'PVC SCH80 LD Flange'!$A$17,VLOOKUP($A208,'PVC SCH80 LD Flange'!$A$8:$M$16,4,FALSE),
IF($A208&lt;CPVC!$A$100,VLOOKUP($A208,CPVC!$A$8:$M$99,4,FALSE),
IF($A208&lt;InsertFittings!$A$237,VLOOKUP($A208,InsertFittings!$A$11:$M$236,4,FALSE),
IF($A208&lt;Valves!$A$132,VLOOKUP($A208,Valves!$A$8:$M$131,4,FALSE),
IF($A208&lt;SDR35SW!$A$124,VLOOKUP($A208,SDR35SW!$A$8:$M$123,4,FALSE),
IF($A208&lt;SDR35G!$A$143,VLOOKUP($A208, SDR35G!$A$8:$M$142,4,FALSE),
IF($A208&lt;SDR26G!$A$61,VLOOKUP($A208,SDR26G!$A$8:$N$60,4,FALSE),
IF($A208&lt;Cements!$A$100,VLOOKUP($A208,Cements!$A$8:$Q$99,4,FALSE),
IF($A208&lt;ValveBox!$A$143,VLOOKUP($A208,ValveBox!$A$10:$O$142,4,FALSE),
IF($A208&lt;'ValveBox Components'!$A$165,VLOOKUP($A208,'ValveBox Components'!$A$10:$O$164,4,FALSE),
IF($A208&lt;Drainage!$A$92,VLOOKUP($A208,Drainage!$A$8:$M$91,4,FALSE),
IF($A208&lt;Nipples!$A$82,VLOOKUP($A208,Nipples!$A$9:$Q$81,4,FALSE),
IF($A208&lt;Manifold!$A$33,VLOOKUP($A208,Manifold!$A$9:$M$32,4,FALSE),
IF($A208&lt;FlexibleRepairCouplings!$A$13,VLOOKUP($A208,FlexibleRepairCouplings!$A$10:$M$12,4,FALSE),
IF($A208&lt;DuraFix!$A$15,VLOOKUP($A208,DuraFix!$A$9:$M$14,4,FALSE),
IF($A208&lt;'Compression Fittings'!$A$16,VLOOKUP($A208,'Compression Fittings'!$A$8:$M$15,4,FALSE),
IF($A208&lt;'Hose Fittings'!$A$30,VLOOKUP($A208,'Hose Fittings'!$A$8:$M$29,4,FALSE),
IF($A208&lt;'Swing Joints'!$A$496,VLOOKUP($A208,'Swing Joints'!$A$9:$M$495,4,FALSE),
IF($A208&lt;'Swing Joints Components'!$A$135,VLOOKUP($A208,'Swing Joints Components'!$A$9:$M$134,4,FALSE),
IF($A208&lt;Nonstandard!$A$42,VLOOKUP($A208,Nonstandard!$A$31:$J$41,5,FALSE),"")))))))))))))))))))))))))))),"")</f>
        <v/>
      </c>
      <c r="C208" s="420" t="str">
        <f>IFERROR(IF($A208&lt;'DWV PVC'!$A$285,VLOOKUP($A208,'DWV PVC'!$A$8:$M$284,5,FALSE),
IF($A208&lt;'DWV ABS'!$A$117,VLOOKUP($A208,'DWV ABS'!$A$8:$M$116,5,FALSE),
IF($A208&lt;'PVC SCH40'!$A$376,VLOOKUP($A208,'PVC SCH40'!$A$8:$M$375,5,FALSE),
IF($A208&lt;'PVC SCH40 LD'!$A$22,VLOOKUP($A208,'PVC SCH40 LD'!$A$8:$M$21,5,FALSE),
IF($A208&lt;'Pool &amp; SPA Sweep Elbows'!$A$12,VLOOKUP($A208,'Pool &amp; SPA Sweep Elbows'!$A$8:$M$11,5,FALSE),
IF($A208&lt;'Pool &amp; SPA Pipe Extender'!$A$11,VLOOKUP($A208,'Pool &amp; SPA Pipe Extender'!$A$8:$M$10,5,FALSE),
IF($A208&lt;'PVC SCH80'!$A$250,VLOOKUP($A208,'PVC SCH80'!$A$8:$M$249,5,FALSE),
IF($A208&lt;'PVC SCH80 Flange'!$A$49,VLOOKUP($A208,'PVC SCH80 Flange'!$A$8:$M$48,5,FALSE),
IF($A208&lt;'PVC SCH80 LD Flange'!$A$17,VLOOKUP($A208,'PVC SCH80 LD Flange'!$A$8:$M$16,5,FALSE),
IF($A208&lt;CPVC!$A$100,VLOOKUP($A208,CPVC!$A$8:$M$99,5,FALSE),
IF($A208&lt;InsertFittings!$A$237,VLOOKUP($A208,InsertFittings!$A$11:$M$236,5,FALSE),
IF($A208&lt;Valves!$A$132,VLOOKUP($A208,Valves!$A$8:$M$131,5,FALSE),
IF($A208&lt;SDR35SW!$A$124,VLOOKUP($A208,SDR35SW!$A$8:$M$123,5,FALSE),
IF($A208&lt;SDR35G!$A$143,VLOOKUP($A208, SDR35G!$A$8:$M$142,5,FALSE),
IF($A208&lt;SDR26G!$A$61,VLOOKUP($A208,SDR26G!$A$8:$N$60,5,FALSE),
IF($A208&lt;Cements!$A$100,VLOOKUP($A208,Cements!$A$8:$Q$99,5,FALSE),
IF($A208&lt;ValveBox!$A$143,VLOOKUP($A208,ValveBox!$A$10:$O$142,5,FALSE),
IF($A208&lt;'ValveBox Components'!$A$165,VLOOKUP($A208,'ValveBox Components'!$A$10:$O$164,5,FALSE),
IF($A208&lt;Drainage!$A$92,VLOOKUP($A208,Drainage!$A$8:$M$91,5,FALSE),
IF($A208&lt;Nipples!$A$82,VLOOKUP($A208,Nipples!$A$9:$Q$81,5,FALSE),
IF($A208&lt;Manifold!$A$33,VLOOKUP($A208,Manifold!$A$9:$M$32,5,FALSE),
IF($A208&lt;FlexibleRepairCouplings!$A$13,VLOOKUP($A208,FlexibleRepairCouplings!$A$10:$M$12,5,FALSE),
IF($A208&lt;DuraFix!$A$15,VLOOKUP($A208,DuraFix!$A$9:$M$14,5,FALSE),
IF($A208&lt;'Compression Fittings'!$A$16,VLOOKUP($A208,'Compression Fittings'!$A$8:$M$15,5,FALSE),
IF($A208&lt;'Hose Fittings'!$A$30,VLOOKUP($A208,'Hose Fittings'!$A$8:$M$29,5,FALSE),
IF($A208&lt;'Swing Joints'!$A$496,VLOOKUP($A208,'Swing Joints'!$A$9:$M$495,5,FALSE),
IF($A208&lt;'Swing Joints Components'!$A$135,VLOOKUP($A208,'Swing Joints Components'!$A$9:$M$134,5,FALSE),
IF($A208&lt;Nonstandard!$A$42,VLOOKUP($A208,Nonstandard!$A$31:$J$41,6,FALSE),"")))))))))))))))))))))))))))),"")</f>
        <v/>
      </c>
      <c r="D208" s="428" t="str">
        <f>IFERROR(IF($A208&lt;'DWV PVC'!$A$285,VLOOKUP($A208,'DWV PVC'!$A$8:$M$284,6,FALSE),
IF($A208&lt;'DWV ABS'!$A$117,VLOOKUP($A208,'DWV ABS'!$A$8:$M$116,6,FALSE),
IF($A208&lt;'PVC SCH40'!$A$376,VLOOKUP($A208,'PVC SCH40'!$A$8:$M$375,6,FALSE),
IF($A208&lt;'PVC SCH40 LD'!$A$22,VLOOKUP($A208,'PVC SCH40 LD'!$A$8:$M$21,6,FALSE),
IF($A208&lt;'Pool &amp; SPA Sweep Elbows'!$A$12,VLOOKUP($A208,'Pool &amp; SPA Sweep Elbows'!$A$8:$M$11,6,FALSE),
IF($A208&lt;'Pool &amp; SPA Pipe Extender'!$A$11,VLOOKUP($A208,'Pool &amp; SPA Pipe Extender'!$A$8:$M$10,6,FALSE),
IF($A208&lt;'PVC SCH80'!$A$250,VLOOKUP($A208,'PVC SCH80'!$A$8:$M$249,6,FALSE),
IF($A208&lt;'PVC SCH80 Flange'!$A$49,VLOOKUP($A208,'PVC SCH80 Flange'!$A$8:$M$48,6,FALSE),
IF($A208&lt;'PVC SCH80 LD Flange'!$A$17,VLOOKUP($A208,'PVC SCH80 LD Flange'!$A$8:$M$16,6,FALSE),
IF($A208&lt;CPVC!$A$100,VLOOKUP($A208,CPVC!$A$8:$M$99,6,FALSE),
IF($A208&lt;InsertFittings!$A$237,VLOOKUP($A208,InsertFittings!$A$11:$M$236,6,FALSE),
IF($A208&lt;Valves!$A$132,VLOOKUP($A208,Valves!$A$8:$M$131,6,FALSE),
IF($A208&lt;SDR35SW!$A$124,VLOOKUP($A208,SDR35SW!$A$8:$M$123,6,FALSE),
IF($A208&lt;SDR35G!$A$143,VLOOKUP($A208, SDR35G!$A$8:$M$142,6,FALSE),
IF($A208&lt;SDR26G!$A$61,VLOOKUP($A208,SDR26G!$A$8:$N$60,6,FALSE),
IF($A208&lt;Cements!$A$100,VLOOKUP($A208,Cements!$A$8:$Q$99,6,FALSE),
IF($A208&lt;ValveBox!$A$143,VLOOKUP($A208,ValveBox!$A$10:$O$142,6,FALSE),
IF($A208&lt;'ValveBox Components'!$A$165,VLOOKUP($A208,'ValveBox Components'!$A$10:$O$164,6,FALSE),
IF($A208&lt;Drainage!$A$92,VLOOKUP($A208,Drainage!$A$8:$M$91,6,FALSE),
IF($A208&lt;Nipples!$A$82,VLOOKUP($A208,Nipples!$A$9:$Q$81,6,FALSE),
IF($A208&lt;Manifold!$A$33,VLOOKUP($A208,Manifold!$A$9:$M$32,6,FALSE),
IF($A208&lt;FlexibleRepairCouplings!$A$13,VLOOKUP($A208,FlexibleRepairCouplings!$A$10:$M$12,6,FALSE),
IF($A208&lt;DuraFix!$A$15,VLOOKUP($A208,DuraFix!$A$9:$M$14,6,FALSE),
IF($A208&lt;'Compression Fittings'!$A$16,VLOOKUP($A208,'Compression Fittings'!$A$8:$M$15,6,FALSE),
IF($A208&lt;'Hose Fittings'!$A$30,VLOOKUP($A208,'Hose Fittings'!$A$8:$M$29,6,FALSE),
IF($A208&lt;'Swing Joints'!$A$496,VLOOKUP($A208,'Swing Joints'!$A$9:$M$495,6,FALSE),
IF($A208&lt;'Swing Joints Components'!$A$135,VLOOKUP($A208,'Swing Joints Components'!$A$9:$M$134,6,FALSE),
IF($A208&lt;Nonstandard!$A$42,VLOOKUP($A208,Nonstandard!$A$31:$J$41,7,FALSE),"")))))))))))))))))))))))))))),"")</f>
        <v/>
      </c>
      <c r="E208" s="429"/>
      <c r="F208" s="421" t="str">
        <f>IFERROR(IF($A208&lt;'DWV PVC'!$A$285,VLOOKUP($A208,'DWV PVC'!$A$8:$M$284,9,FALSE),
IF($A208&lt;'DWV ABS'!$A$117,VLOOKUP($A208,'DWV ABS'!$A$8:$M$116,9,FALSE),
IF($A208&lt;'PVC SCH40'!$A$376,VLOOKUP($A208,'PVC SCH40'!$A$8:$M$375,9,FALSE),
IF($A208&lt;'PVC SCH40 LD'!$A$22,VLOOKUP($A208,'PVC SCH40 LD'!$A$8:$M$21,9,FALSE),
IF($A208&lt;'Pool &amp; SPA Sweep Elbows'!$A$12,VLOOKUP($A208,'Pool &amp; SPA Sweep Elbows'!$A$8:$M$11,9,FALSE),
IF($A208&lt;'Pool &amp; SPA Pipe Extender'!$A$11,VLOOKUP($A208,'Pool &amp; SPA Pipe Extender'!$A$8:$M$10,9,FALSE),
IF($A208&lt;'PVC SCH80'!$A$250,VLOOKUP($A208,'PVC SCH80'!$A$8:$M$249,9,FALSE),
IF($A208&lt;'PVC SCH80 Flange'!$A$49,VLOOKUP($A208,'PVC SCH80 Flange'!$A$8:$M$48,9,FALSE),
IF($A208&lt;'PVC SCH80 LD Flange'!$A$17,VLOOKUP($A208,'PVC SCH80 LD Flange'!$A$8:$M$16,9,FALSE),
IF($A208&lt;CPVC!$A$100,VLOOKUP($A208,CPVC!$A$8:$M$99,9,FALSE),
IF($A208&lt;InsertFittings!$A$237,VLOOKUP($A208,InsertFittings!$A$11:$M$236,9,FALSE),
IF($A208&lt;Valves!$A$132,VLOOKUP($A208,Valves!$A$8:$M$131,9,FALSE),
IF($A208&lt;SDR35SW!$A$124,VLOOKUP($A208,SDR35SW!$A$8:$M$123,9,FALSE),
IF($A208&lt;SDR35G!$A$143,VLOOKUP($A208, SDR35G!$A$8:$M$142,9,FALSE),
IF($A208&lt;SDR26G!$A$61,VLOOKUP($A208,SDR26G!$A$8:$N$60,10,FALSE),
IF($A208&lt;Cements!$A$100,VLOOKUP($A208,Cements!$A$8:$Q$99,13,FALSE),
IF($A208&lt;ValveBox!$A$143,VLOOKUP($A208,ValveBox!$A$10:$O$142,11,FALSE),
IF($A208&lt;'ValveBox Components'!$A$165,VLOOKUP($A208,'ValveBox Components'!$A$10:$O$164,11,FALSE),
IF($A208&lt;Drainage!$A$92,VLOOKUP($A208,Drainage!$A$8:$M$91,9,FALSE),
IF($A208&lt;Nipples!$A$82,VLOOKUP($A208,Nipples!$A$9:$Q$81,13,FALSE),
IF($A208&lt;Manifold!$A$33,VLOOKUP($A208,Manifold!$A$9:$M$32,9,FALSE),
IF($A208&lt;FlexibleRepairCouplings!$A$13,VLOOKUP($A208,FlexibleRepairCouplings!$A$10:$M$12,9,FALSE),
IF($A208&lt;DuraFix!$A$15,VLOOKUP($A208,DuraFix!$A$9:$M$14,9,FALSE),
IF($A208&lt;'Compression Fittings'!$A$16,VLOOKUP($A208,'Compression Fittings'!$A$8:$M$15,9,FALSE),
IF($A208&lt;'Hose Fittings'!$A$30,VLOOKUP($A208,'Hose Fittings'!$A$8:$M$29,9,FALSE),
IF($A208&lt;'Swing Joints'!$A$496,VLOOKUP($A208,'Swing Joints'!$A$9:$M$495,9,FALSE),
IF($A208&lt;'Swing Joints Components'!$A$135,VLOOKUP($A208,'Swing Joints Components'!$A$9:$M$134,9,FALSE),
IF($A208&lt;Nonstandard!$A$42,VLOOKUP($A208,Nonstandard!$A$31:$J$41,8,FALSE),"")))))))))))))))))))))))))))),"")</f>
        <v/>
      </c>
      <c r="G208" s="422" t="str">
        <f>IFERROR(IF($A208&lt;'DWV PVC'!$A$285,VLOOKUP($A208,'DWV PVC'!$A$8:$M$284,11,FALSE),
IF($A208&lt;'DWV ABS'!$A$117,VLOOKUP($A208,'DWV ABS'!$A$8:$M$116,11,FALSE),
IF($A208&lt;'PVC SCH40'!$A$376,VLOOKUP($A208,'PVC SCH40'!$A$8:$M$375,11,FALSE),
IF($A208&lt;'PVC SCH40 LD'!$A$22,VLOOKUP($A208,'PVC SCH40 LD'!$A$8:$M$21,11,FALSE),
IF($A208&lt;'Pool &amp; SPA Sweep Elbows'!$A$12,VLOOKUP($A208,'Pool &amp; SPA Sweep Elbows'!$A$8:$M$11,11,FALSE),
IF($A208&lt;'Pool &amp; SPA Pipe Extender'!$A$11,VLOOKUP($A208,'Pool &amp; SPA Pipe Extender'!$A$8:$M$10,11,FALSE),
IF($A208&lt;'PVC SCH80'!$A$250,VLOOKUP($A208,'PVC SCH80'!$A$8:$M$249,11,FALSE),
IF($A208&lt;'PVC SCH80 Flange'!$A$49,VLOOKUP($A208,'PVC SCH80 Flange'!$A$8:$M$48,11,FALSE),
IF($A208&lt;'PVC SCH80 LD Flange'!$A$17,VLOOKUP($A208,'PVC SCH80 LD Flange'!$A$8:$M$16,11,FALSE),
IF($A208&lt;CPVC!$A$100,VLOOKUP($A208,CPVC!$A$8:$M$99,11,FALSE),
IF($A208&lt;InsertFittings!$A$237,VLOOKUP($A208,InsertFittings!$A$11:$M$236,11,FALSE),
IF($A208&lt;Valves!$A$132,VLOOKUP($A208,Valves!$A$8:$M$131,11,FALSE),
IF($A208&lt;SDR35SW!$A$124,VLOOKUP($A208,SDR35SW!$A$8:$M$123,11,FALSE),
IF($A208&lt;SDR35G!$A$143,VLOOKUP($A208, SDR35G!$A$8:$M$142,11,FALSE),
IF($A208&lt;SDR26G!$A$61,VLOOKUP($A208,SDR26G!$A$8:$N$60,12,FALSE),
IF($A208&lt;Cements!$A$100,VLOOKUP($A208,Cements!$A$8:$Q$99,15,FALSE),
IF($A208&lt;ValveBox!$A$143,VLOOKUP($A208,ValveBox!$A$10:$O$142,13,FALSE),
IF($A208&lt;'ValveBox Components'!$A$165,VLOOKUP($A208,'ValveBox Components'!$A$10:$O$164,13,FALSE),
IF($A208&lt;Drainage!$A$92,VLOOKUP($A208,Drainage!$A$8:$M$91,11,FALSE),
IF($A208&lt;Nipples!$A$82,VLOOKUP($A208,Nipples!$A$9:$Q$81,15,FALSE),
IF($A208&lt;Manifold!$A$33,VLOOKUP($A208,Manifold!$A$9:$M$32,11,FALSE),
IF($A208&lt;FlexibleRepairCouplings!$A$13,VLOOKUP($A208,FlexibleRepairCouplings!$A$10:$M$12,11,FALSE),
IF($A208&lt;DuraFix!$A$15,VLOOKUP($A208,DuraFix!$A$9:$M$14,11,FALSE),
IF($A208&lt;'Compression Fittings'!$A$16,VLOOKUP($A208,'Compression Fittings'!$A$8:$M$15,11,FALSE),
IF($A208&lt;'Hose Fittings'!$A$30,VLOOKUP($A208,'Hose Fittings'!$A$8:$M$29,11,FALSE),
IF($A208&lt;'Swing Joints'!$A$496,VLOOKUP($A208,'Swing Joints'!$A$9:$M$495,11,FALSE),
IF($A208&lt;'Swing Joints Components'!$A$135,VLOOKUP($A208,'Swing Joints Components'!$A$9:$M$134,11,FALSE),
IF($A208&lt;Nonstandard!$A$42,VLOOKUP($A208,Nonstandard!$A$31:$J$41,3,FALSE),"")))))))))))))))))))))))))))),"")</f>
        <v/>
      </c>
      <c r="H208" s="588" t="str">
        <f>IFERROR(IF($A208&lt;'DWV PVC'!$A$285,VLOOKUP($A208,'DWV PVC'!$A$8:$M$284,7,FALSE),
IF($A208&lt;'DWV ABS'!$A$117,VLOOKUP($A208,'DWV ABS'!$A$8:$M$116,7,FALSE),
IF($A208&lt;'PVC SCH40'!$A$376,VLOOKUP($A208,'PVC SCH40'!$A$8:$M$375,7,FALSE),
IF($A208&lt;'PVC SCH40 LD'!$A$22,VLOOKUP($A208,'PVC SCH40 LD'!$A$8:$M$21,7,FALSE),
IF($A208&lt;'Pool &amp; SPA Sweep Elbows'!$A$12,VLOOKUP($A208,'Pool &amp; SPA Sweep Elbows'!$A$8:$M$11,7,FALSE),
IF($A208&lt;'Pool &amp; SPA Pipe Extender'!$A$11,VLOOKUP($A208,'Pool &amp; SPA Pipe Extender'!$A$8:$M$10,7,FALSE),
IF($A208&lt;'PVC SCH80'!$A$250,VLOOKUP($A208,'PVC SCH80'!$A$8:$M$249,7,FALSE),
IF($A208&lt;'PVC SCH80 Flange'!$A$49,VLOOKUP($A208,'PVC SCH80 Flange'!$A$8:$M$48,7,FALSE),
IF($A208&lt;'PVC SCH80 LD Flange'!$A$17,VLOOKUP($A208,'PVC SCH80 LD Flange'!$A$8:$M$16,7,FALSE),
IF($A208&lt;CPVC!$A$100,VLOOKUP($A208,CPVC!$A$8:$M$99,7,FALSE),
IF($A208&lt;InsertFittings!$A$237,VLOOKUP($A208,InsertFittings!$A$11:$M$236,7,FALSE),
IF($A208&lt;Valves!$A$132,VLOOKUP($A208,Valves!$A$8:$M$131,7,FALSE),
IF($A208&lt;SDR35SW!$A$124,VLOOKUP($A208,SDR35SW!$A$8:$M$123,7,FALSE),
IF($A208&lt;SDR35G!$A$143,VLOOKUP($A208, SDR35G!$A$8:$M$142,7,FALSE),
IF($A208&lt;SDR26G!$A$61,VLOOKUP($A208,SDR26G!$A$8:$N$60,10,FALSE),
IF($A208&lt;Cements!$A$100,VLOOKUP($A208,Cements!$A$8:$Q$99,13,FALSE),
IF($A208&lt;ValveBox!$A$143,VLOOKUP($A208,ValveBox!$A$10:$O$142,11,FALSE),
IF($A208&lt;'ValveBox Components'!$A$165,VLOOKUP($A208,'ValveBox Components'!$A$10:$O$164,11,FALSE),
IF($A208&lt;Drainage!$A$92,VLOOKUP($A208,Drainage!$A$8:$M$91,7,FALSE),
IF($A208&lt;Nipples!$A$82,VLOOKUP($A208,Nipples!$A$9:$Q$81,13,FALSE),
IF($A208&lt;Manifold!$A$33,VLOOKUP($A208,Manifold!$A$9:$M$32,7,FALSE),
IF($A208&lt;FlexibleRepairCouplings!$A$13,VLOOKUP($A208,FlexibleRepairCouplings!$A$10:$M$12,7,FALSE),
IF($A208&lt;DuraFix!$A$15,VLOOKUP($A208,DuraFix!$A$9:$M$14,7,FALSE),
IF($A208&lt;'Compression Fittings'!$A$16,VLOOKUP($A208,'Compression Fittings'!$A$8:$M$15,7,FALSE),
IF($A208&lt;'Hose Fittings'!$A$30,VLOOKUP($A208,'Hose Fittings'!$A$8:$M$29,7,FALSE),
IF($A208&lt;'Swing Joints'!$A$496,VLOOKUP($A208,'Swing Joints'!$A$9:$M$495,7,FALSE),
IF($A208&lt;'Swing Joints Components'!$A$135,VLOOKUP($A208,'Swing Joints Components'!$A$9:$M$134,7,FALSE),
IF($A208&lt;Nonstandard!$A$42,VLOOKUP($A208,Nonstandard!$A$31:$J$41,3,FALSE),"")))))))))))))))))))))))))))),"")</f>
        <v/>
      </c>
      <c r="I208" s="589"/>
      <c r="J208" s="423" t="str">
        <f t="shared" si="5"/>
        <v/>
      </c>
      <c r="K208" s="424" t="str">
        <f>IFERROR(IF($A208&lt;'DWV PVC'!$A$285,VLOOKUP($A208,'DWV PVC'!$A$8:$M$284,10,FALSE),
IF($A208&lt;'DWV ABS'!$A$117,VLOOKUP($A208,'DWV ABS'!$A$8:$M$116,10,FALSE),
IF($A208&lt;'PVC SCH40'!$A$376,VLOOKUP($A208,'PVC SCH40'!$A$8:$M$375,10,FALSE),
IF($A208&lt;'PVC SCH40 LD'!$A$22,VLOOKUP($A208,'PVC SCH40 LD'!$A$8:$M$21,10,FALSE),
IF($A208&lt;'Pool &amp; SPA Sweep Elbows'!$A$12,VLOOKUP($A208,'Pool &amp; SPA Sweep Elbows'!$A$8:$M$11,10,FALSE),
IF($A208&lt;'Pool &amp; SPA Pipe Extender'!$A$11,VLOOKUP($A208,'Pool &amp; SPA Pipe Extender'!$A$8:$M$10,10,FALSE),
IF($A208&lt;'PVC SCH80'!$A$250,VLOOKUP($A208,'PVC SCH80'!$A$8:$M$249,10,FALSE),
IF($A208&lt;'PVC SCH80 Flange'!$A$49,VLOOKUP($A208,'PVC SCH80 Flange'!$A$8:$M$48,10,FALSE),
IF($A208&lt;'PVC SCH80 LD Flange'!$A$17,VLOOKUP($A208,'PVC SCH80 LD Flange'!$A$8:$M$16,10,FALSE),
IF($A208&lt;CPVC!$A$100,VLOOKUP($A208,CPVC!$A$8:$M$99,10,FALSE),
IF($A208&lt;InsertFittings!$A$237,VLOOKUP($A208,InsertFittings!$A$11:$M$236,10,FALSE),
IF($A208&lt;Valves!$A$132,VLOOKUP($A208,Valves!$A$8:$M$131,10,FALSE),
IF($A208&lt;SDR35SW!$A$124,VLOOKUP($A208,SDR35SW!$A$8:$M$123,10,FALSE),
IF($A208&lt;SDR35G!$A$143,VLOOKUP($A208, SDR35G!$A$8:$M$142,10,FALSE),
IF($A208&lt;SDR26G!$A$61,VLOOKUP($A208,SDR26G!$A$8:$N$60,11,FALSE),
IF($A208&lt;Cements!$A$100,VLOOKUP($A208,Cements!$A$8:$Q$99,14,FALSE),
IF($A208&lt;ValveBox!$A$143,VLOOKUP($A208,ValveBox!$A$10:$O$142,12,FALSE),
IF($A208&lt;'ValveBox Components'!$A$165,VLOOKUP($A208,'ValveBox Components'!$A$10:$O$164,12,FALSE),
IF($A208&lt;Drainage!$A$92,VLOOKUP($A208,Drainage!$A$8:$M$91,10,FALSE),
IF($A208&lt;Nipples!$A$82,VLOOKUP($A208,Nipples!$A$9:$Q$81,14,FALSE),
IF($A208&lt;Manifold!$A$33,VLOOKUP($A208,Manifold!$A$9:$M$32,10,FALSE),
IF($A208&lt;FlexibleRepairCouplings!$A$13,VLOOKUP($A208,FlexibleRepairCouplings!$A$10:$M$12,10,FALSE),
IF($A208&lt;DuraFix!$A$15,VLOOKUP($A208,DuraFix!$A$9:$M$14,10,FALSE),
IF($A208&lt;'Compression Fittings'!$A$16,VLOOKUP($A208,'Compression Fittings'!$A$8:$M$15,10,FALSE),
IF($A208&lt;'Hose Fittings'!$A$30,VLOOKUP($A208,'Hose Fittings'!$A$8:$M$29,10,FALSE),
IF($A208&lt;'Swing Joints'!$A$496,VLOOKUP($A208,'Swing Joints'!$A$9:$M$495,10,FALSE),
IF($A208&lt;'Swing Joints Components'!$A$135,VLOOKUP($A208,'Swing Joints Components'!$A$9:$M$134,10,FALSE),
IF($A208&lt;Nonstandard!$A$42,VLOOKUP($A208,Nonstandard!$A$31:$J$41,10,FALSE),"")))))))))))))))))))))))))))),"")</f>
        <v/>
      </c>
      <c r="L208" s="421" t="str">
        <f t="shared" si="4"/>
        <v>-</v>
      </c>
      <c r="M208" s="425"/>
    </row>
    <row r="209" spans="1:13" ht="15.75">
      <c r="A209" s="415">
        <v>177</v>
      </c>
      <c r="B209" s="415" t="str">
        <f>IFERROR(IF($A209&lt;'DWV PVC'!$A$285,VLOOKUP($A209,'DWV PVC'!$A$8:$M$284,4,FALSE),
IF($A209&lt;'DWV ABS'!$A$117,VLOOKUP($A209,'DWV ABS'!$A$8:$M$116,4,FALSE),
IF($A209&lt;'PVC SCH40'!$A$376,VLOOKUP($A209,'PVC SCH40'!$A$8:$M$375,4,FALSE),
IF($A209&lt;'PVC SCH40 LD'!$A$22,VLOOKUP($A209,'PVC SCH40 LD'!$A$8:$M$21,4,FALSE),
IF($A209&lt;'Pool &amp; SPA Sweep Elbows'!$A$12,VLOOKUP($A209,'Pool &amp; SPA Sweep Elbows'!$A$8:$M$11,4,FALSE),
IF($A209&lt;'Pool &amp; SPA Pipe Extender'!$A$11,VLOOKUP($A209,'Pool &amp; SPA Pipe Extender'!$A$8:$M$10,4,FALSE),
IF($A209&lt;'PVC SCH80'!$A$250,VLOOKUP($A209,'PVC SCH80'!$A$8:$M$249,4,FALSE),
IF($A209&lt;'PVC SCH80 Flange'!$A$49,VLOOKUP($A209,'PVC SCH80 Flange'!$A$8:$M$48,4,FALSE),
IF($A209&lt;'PVC SCH80 LD Flange'!$A$17,VLOOKUP($A209,'PVC SCH80 LD Flange'!$A$8:$M$16,4,FALSE),
IF($A209&lt;CPVC!$A$100,VLOOKUP($A209,CPVC!$A$8:$M$99,4,FALSE),
IF($A209&lt;InsertFittings!$A$237,VLOOKUP($A209,InsertFittings!$A$11:$M$236,4,FALSE),
IF($A209&lt;Valves!$A$132,VLOOKUP($A209,Valves!$A$8:$M$131,4,FALSE),
IF($A209&lt;SDR35SW!$A$124,VLOOKUP($A209,SDR35SW!$A$8:$M$123,4,FALSE),
IF($A209&lt;SDR35G!$A$143,VLOOKUP($A209, SDR35G!$A$8:$M$142,4,FALSE),
IF($A209&lt;SDR26G!$A$61,VLOOKUP($A209,SDR26G!$A$8:$N$60,4,FALSE),
IF($A209&lt;Cements!$A$100,VLOOKUP($A209,Cements!$A$8:$Q$99,4,FALSE),
IF($A209&lt;ValveBox!$A$143,VLOOKUP($A209,ValveBox!$A$10:$O$142,4,FALSE),
IF($A209&lt;'ValveBox Components'!$A$165,VLOOKUP($A209,'ValveBox Components'!$A$10:$O$164,4,FALSE),
IF($A209&lt;Drainage!$A$92,VLOOKUP($A209,Drainage!$A$8:$M$91,4,FALSE),
IF($A209&lt;Nipples!$A$82,VLOOKUP($A209,Nipples!$A$9:$Q$81,4,FALSE),
IF($A209&lt;Manifold!$A$33,VLOOKUP($A209,Manifold!$A$9:$M$32,4,FALSE),
IF($A209&lt;FlexibleRepairCouplings!$A$13,VLOOKUP($A209,FlexibleRepairCouplings!$A$10:$M$12,4,FALSE),
IF($A209&lt;DuraFix!$A$15,VLOOKUP($A209,DuraFix!$A$9:$M$14,4,FALSE),
IF($A209&lt;'Compression Fittings'!$A$16,VLOOKUP($A209,'Compression Fittings'!$A$8:$M$15,4,FALSE),
IF($A209&lt;'Hose Fittings'!$A$30,VLOOKUP($A209,'Hose Fittings'!$A$8:$M$29,4,FALSE),
IF($A209&lt;'Swing Joints'!$A$496,VLOOKUP($A209,'Swing Joints'!$A$9:$M$495,4,FALSE),
IF($A209&lt;'Swing Joints Components'!$A$135,VLOOKUP($A209,'Swing Joints Components'!$A$9:$M$134,4,FALSE),
IF($A209&lt;Nonstandard!$A$42,VLOOKUP($A209,Nonstandard!$A$31:$J$41,5,FALSE),"")))))))))))))))))))))))))))),"")</f>
        <v/>
      </c>
      <c r="C209" s="415" t="str">
        <f>IFERROR(IF($A209&lt;'DWV PVC'!$A$285,VLOOKUP($A209,'DWV PVC'!$A$8:$M$284,5,FALSE),
IF($A209&lt;'DWV ABS'!$A$117,VLOOKUP($A209,'DWV ABS'!$A$8:$M$116,5,FALSE),
IF($A209&lt;'PVC SCH40'!$A$376,VLOOKUP($A209,'PVC SCH40'!$A$8:$M$375,5,FALSE),
IF($A209&lt;'PVC SCH40 LD'!$A$22,VLOOKUP($A209,'PVC SCH40 LD'!$A$8:$M$21,5,FALSE),
IF($A209&lt;'Pool &amp; SPA Sweep Elbows'!$A$12,VLOOKUP($A209,'Pool &amp; SPA Sweep Elbows'!$A$8:$M$11,5,FALSE),
IF($A209&lt;'Pool &amp; SPA Pipe Extender'!$A$11,VLOOKUP($A209,'Pool &amp; SPA Pipe Extender'!$A$8:$M$10,5,FALSE),
IF($A209&lt;'PVC SCH80'!$A$250,VLOOKUP($A209,'PVC SCH80'!$A$8:$M$249,5,FALSE),
IF($A209&lt;'PVC SCH80 Flange'!$A$49,VLOOKUP($A209,'PVC SCH80 Flange'!$A$8:$M$48,5,FALSE),
IF($A209&lt;'PVC SCH80 LD Flange'!$A$17,VLOOKUP($A209,'PVC SCH80 LD Flange'!$A$8:$M$16,5,FALSE),
IF($A209&lt;CPVC!$A$100,VLOOKUP($A209,CPVC!$A$8:$M$99,5,FALSE),
IF($A209&lt;InsertFittings!$A$237,VLOOKUP($A209,InsertFittings!$A$11:$M$236,5,FALSE),
IF($A209&lt;Valves!$A$132,VLOOKUP($A209,Valves!$A$8:$M$131,5,FALSE),
IF($A209&lt;SDR35SW!$A$124,VLOOKUP($A209,SDR35SW!$A$8:$M$123,5,FALSE),
IF($A209&lt;SDR35G!$A$143,VLOOKUP($A209, SDR35G!$A$8:$M$142,5,FALSE),
IF($A209&lt;SDR26G!$A$61,VLOOKUP($A209,SDR26G!$A$8:$N$60,5,FALSE),
IF($A209&lt;Cements!$A$100,VLOOKUP($A209,Cements!$A$8:$Q$99,5,FALSE),
IF($A209&lt;ValveBox!$A$143,VLOOKUP($A209,ValveBox!$A$10:$O$142,5,FALSE),
IF($A209&lt;'ValveBox Components'!$A$165,VLOOKUP($A209,'ValveBox Components'!$A$10:$O$164,5,FALSE),
IF($A209&lt;Drainage!$A$92,VLOOKUP($A209,Drainage!$A$8:$M$91,5,FALSE),
IF($A209&lt;Nipples!$A$82,VLOOKUP($A209,Nipples!$A$9:$Q$81,5,FALSE),
IF($A209&lt;Manifold!$A$33,VLOOKUP($A209,Manifold!$A$9:$M$32,5,FALSE),
IF($A209&lt;FlexibleRepairCouplings!$A$13,VLOOKUP($A209,FlexibleRepairCouplings!$A$10:$M$12,5,FALSE),
IF($A209&lt;DuraFix!$A$15,VLOOKUP($A209,DuraFix!$A$9:$M$14,5,FALSE),
IF($A209&lt;'Compression Fittings'!$A$16,VLOOKUP($A209,'Compression Fittings'!$A$8:$M$15,5,FALSE),
IF($A209&lt;'Hose Fittings'!$A$30,VLOOKUP($A209,'Hose Fittings'!$A$8:$M$29,5,FALSE),
IF($A209&lt;'Swing Joints'!$A$496,VLOOKUP($A209,'Swing Joints'!$A$9:$M$495,5,FALSE),
IF($A209&lt;'Swing Joints Components'!$A$135,VLOOKUP($A209,'Swing Joints Components'!$A$9:$M$134,5,FALSE),
IF($A209&lt;Nonstandard!$A$42,VLOOKUP($A209,Nonstandard!$A$31:$J$41,6,FALSE),"")))))))))))))))))))))))))))),"")</f>
        <v/>
      </c>
      <c r="D209" s="426" t="str">
        <f>IFERROR(IF($A209&lt;'DWV PVC'!$A$285,VLOOKUP($A209,'DWV PVC'!$A$8:$M$284,6,FALSE),
IF($A209&lt;'DWV ABS'!$A$117,VLOOKUP($A209,'DWV ABS'!$A$8:$M$116,6,FALSE),
IF($A209&lt;'PVC SCH40'!$A$376,VLOOKUP($A209,'PVC SCH40'!$A$8:$M$375,6,FALSE),
IF($A209&lt;'PVC SCH40 LD'!$A$22,VLOOKUP($A209,'PVC SCH40 LD'!$A$8:$M$21,6,FALSE),
IF($A209&lt;'Pool &amp; SPA Sweep Elbows'!$A$12,VLOOKUP($A209,'Pool &amp; SPA Sweep Elbows'!$A$8:$M$11,6,FALSE),
IF($A209&lt;'Pool &amp; SPA Pipe Extender'!$A$11,VLOOKUP($A209,'Pool &amp; SPA Pipe Extender'!$A$8:$M$10,6,FALSE),
IF($A209&lt;'PVC SCH80'!$A$250,VLOOKUP($A209,'PVC SCH80'!$A$8:$M$249,6,FALSE),
IF($A209&lt;'PVC SCH80 Flange'!$A$49,VLOOKUP($A209,'PVC SCH80 Flange'!$A$8:$M$48,6,FALSE),
IF($A209&lt;'PVC SCH80 LD Flange'!$A$17,VLOOKUP($A209,'PVC SCH80 LD Flange'!$A$8:$M$16,6,FALSE),
IF($A209&lt;CPVC!$A$100,VLOOKUP($A209,CPVC!$A$8:$M$99,6,FALSE),
IF($A209&lt;InsertFittings!$A$237,VLOOKUP($A209,InsertFittings!$A$11:$M$236,6,FALSE),
IF($A209&lt;Valves!$A$132,VLOOKUP($A209,Valves!$A$8:$M$131,6,FALSE),
IF($A209&lt;SDR35SW!$A$124,VLOOKUP($A209,SDR35SW!$A$8:$M$123,6,FALSE),
IF($A209&lt;SDR35G!$A$143,VLOOKUP($A209, SDR35G!$A$8:$M$142,6,FALSE),
IF($A209&lt;SDR26G!$A$61,VLOOKUP($A209,SDR26G!$A$8:$N$60,6,FALSE),
IF($A209&lt;Cements!$A$100,VLOOKUP($A209,Cements!$A$8:$Q$99,6,FALSE),
IF($A209&lt;ValveBox!$A$143,VLOOKUP($A209,ValveBox!$A$10:$O$142,6,FALSE),
IF($A209&lt;'ValveBox Components'!$A$165,VLOOKUP($A209,'ValveBox Components'!$A$10:$O$164,6,FALSE),
IF($A209&lt;Drainage!$A$92,VLOOKUP($A209,Drainage!$A$8:$M$91,6,FALSE),
IF($A209&lt;Nipples!$A$82,VLOOKUP($A209,Nipples!$A$9:$Q$81,6,FALSE),
IF($A209&lt;Manifold!$A$33,VLOOKUP($A209,Manifold!$A$9:$M$32,6,FALSE),
IF($A209&lt;FlexibleRepairCouplings!$A$13,VLOOKUP($A209,FlexibleRepairCouplings!$A$10:$M$12,6,FALSE),
IF($A209&lt;DuraFix!$A$15,VLOOKUP($A209,DuraFix!$A$9:$M$14,6,FALSE),
IF($A209&lt;'Compression Fittings'!$A$16,VLOOKUP($A209,'Compression Fittings'!$A$8:$M$15,6,FALSE),
IF($A209&lt;'Hose Fittings'!$A$30,VLOOKUP($A209,'Hose Fittings'!$A$8:$M$29,6,FALSE),
IF($A209&lt;'Swing Joints'!$A$496,VLOOKUP($A209,'Swing Joints'!$A$9:$M$495,6,FALSE),
IF($A209&lt;'Swing Joints Components'!$A$135,VLOOKUP($A209,'Swing Joints Components'!$A$9:$M$134,6,FALSE),
IF($A209&lt;Nonstandard!$A$42,VLOOKUP($A209,Nonstandard!$A$31:$J$41,7,FALSE),"")))))))))))))))))))))))))))),"")</f>
        <v/>
      </c>
      <c r="E209" s="427"/>
      <c r="F209" s="418" t="str">
        <f>IFERROR(IF($A209&lt;'DWV PVC'!$A$285,VLOOKUP($A209,'DWV PVC'!$A$8:$M$284,9,FALSE),
IF($A209&lt;'DWV ABS'!$A$117,VLOOKUP($A209,'DWV ABS'!$A$8:$M$116,9,FALSE),
IF($A209&lt;'PVC SCH40'!$A$376,VLOOKUP($A209,'PVC SCH40'!$A$8:$M$375,9,FALSE),
IF($A209&lt;'PVC SCH40 LD'!$A$22,VLOOKUP($A209,'PVC SCH40 LD'!$A$8:$M$21,9,FALSE),
IF($A209&lt;'Pool &amp; SPA Sweep Elbows'!$A$12,VLOOKUP($A209,'Pool &amp; SPA Sweep Elbows'!$A$8:$M$11,9,FALSE),
IF($A209&lt;'Pool &amp; SPA Pipe Extender'!$A$11,VLOOKUP($A209,'Pool &amp; SPA Pipe Extender'!$A$8:$M$10,9,FALSE),
IF($A209&lt;'PVC SCH80'!$A$250,VLOOKUP($A209,'PVC SCH80'!$A$8:$M$249,9,FALSE),
IF($A209&lt;'PVC SCH80 Flange'!$A$49,VLOOKUP($A209,'PVC SCH80 Flange'!$A$8:$M$48,9,FALSE),
IF($A209&lt;'PVC SCH80 LD Flange'!$A$17,VLOOKUP($A209,'PVC SCH80 LD Flange'!$A$8:$M$16,9,FALSE),
IF($A209&lt;CPVC!$A$100,VLOOKUP($A209,CPVC!$A$8:$M$99,9,FALSE),
IF($A209&lt;InsertFittings!$A$237,VLOOKUP($A209,InsertFittings!$A$11:$M$236,9,FALSE),
IF($A209&lt;Valves!$A$132,VLOOKUP($A209,Valves!$A$8:$M$131,9,FALSE),
IF($A209&lt;SDR35SW!$A$124,VLOOKUP($A209,SDR35SW!$A$8:$M$123,9,FALSE),
IF($A209&lt;SDR35G!$A$143,VLOOKUP($A209, SDR35G!$A$8:$M$142,9,FALSE),
IF($A209&lt;SDR26G!$A$61,VLOOKUP($A209,SDR26G!$A$8:$N$60,10,FALSE),
IF($A209&lt;Cements!$A$100,VLOOKUP($A209,Cements!$A$8:$Q$99,13,FALSE),
IF($A209&lt;ValveBox!$A$143,VLOOKUP($A209,ValveBox!$A$10:$O$142,11,FALSE),
IF($A209&lt;'ValveBox Components'!$A$165,VLOOKUP($A209,'ValveBox Components'!$A$10:$O$164,11,FALSE),
IF($A209&lt;Drainage!$A$92,VLOOKUP($A209,Drainage!$A$8:$M$91,9,FALSE),
IF($A209&lt;Nipples!$A$82,VLOOKUP($A209,Nipples!$A$9:$Q$81,13,FALSE),
IF($A209&lt;Manifold!$A$33,VLOOKUP($A209,Manifold!$A$9:$M$32,9,FALSE),
IF($A209&lt;FlexibleRepairCouplings!$A$13,VLOOKUP($A209,FlexibleRepairCouplings!$A$10:$M$12,9,FALSE),
IF($A209&lt;DuraFix!$A$15,VLOOKUP($A209,DuraFix!$A$9:$M$14,9,FALSE),
IF($A209&lt;'Compression Fittings'!$A$16,VLOOKUP($A209,'Compression Fittings'!$A$8:$M$15,9,FALSE),
IF($A209&lt;'Hose Fittings'!$A$30,VLOOKUP($A209,'Hose Fittings'!$A$8:$M$29,9,FALSE),
IF($A209&lt;'Swing Joints'!$A$496,VLOOKUP($A209,'Swing Joints'!$A$9:$M$495,9,FALSE),
IF($A209&lt;'Swing Joints Components'!$A$135,VLOOKUP($A209,'Swing Joints Components'!$A$9:$M$134,9,FALSE),
IF($A209&lt;Nonstandard!$A$42,VLOOKUP($A209,Nonstandard!$A$31:$J$41,8,FALSE),"")))))))))))))))))))))))))))),"")</f>
        <v/>
      </c>
      <c r="G209" s="416" t="str">
        <f>IFERROR(IF($A209&lt;'DWV PVC'!$A$285,VLOOKUP($A209,'DWV PVC'!$A$8:$M$284,11,FALSE),
IF($A209&lt;'DWV ABS'!$A$117,VLOOKUP($A209,'DWV ABS'!$A$8:$M$116,11,FALSE),
IF($A209&lt;'PVC SCH40'!$A$376,VLOOKUP($A209,'PVC SCH40'!$A$8:$M$375,11,FALSE),
IF($A209&lt;'PVC SCH40 LD'!$A$22,VLOOKUP($A209,'PVC SCH40 LD'!$A$8:$M$21,11,FALSE),
IF($A209&lt;'Pool &amp; SPA Sweep Elbows'!$A$12,VLOOKUP($A209,'Pool &amp; SPA Sweep Elbows'!$A$8:$M$11,11,FALSE),
IF($A209&lt;'Pool &amp; SPA Pipe Extender'!$A$11,VLOOKUP($A209,'Pool &amp; SPA Pipe Extender'!$A$8:$M$10,11,FALSE),
IF($A209&lt;'PVC SCH80'!$A$250,VLOOKUP($A209,'PVC SCH80'!$A$8:$M$249,11,FALSE),
IF($A209&lt;'PVC SCH80 Flange'!$A$49,VLOOKUP($A209,'PVC SCH80 Flange'!$A$8:$M$48,11,FALSE),
IF($A209&lt;'PVC SCH80 LD Flange'!$A$17,VLOOKUP($A209,'PVC SCH80 LD Flange'!$A$8:$M$16,11,FALSE),
IF($A209&lt;CPVC!$A$100,VLOOKUP($A209,CPVC!$A$8:$M$99,11,FALSE),
IF($A209&lt;InsertFittings!$A$237,VLOOKUP($A209,InsertFittings!$A$11:$M$236,11,FALSE),
IF($A209&lt;Valves!$A$132,VLOOKUP($A209,Valves!$A$8:$M$131,11,FALSE),
IF($A209&lt;SDR35SW!$A$124,VLOOKUP($A209,SDR35SW!$A$8:$M$123,11,FALSE),
IF($A209&lt;SDR35G!$A$143,VLOOKUP($A209, SDR35G!$A$8:$M$142,11,FALSE),
IF($A209&lt;SDR26G!$A$61,VLOOKUP($A209,SDR26G!$A$8:$N$60,12,FALSE),
IF($A209&lt;Cements!$A$100,VLOOKUP($A209,Cements!$A$8:$Q$99,15,FALSE),
IF($A209&lt;ValveBox!$A$143,VLOOKUP($A209,ValveBox!$A$10:$O$142,13,FALSE),
IF($A209&lt;'ValveBox Components'!$A$165,VLOOKUP($A209,'ValveBox Components'!$A$10:$O$164,13,FALSE),
IF($A209&lt;Drainage!$A$92,VLOOKUP($A209,Drainage!$A$8:$M$91,11,FALSE),
IF($A209&lt;Nipples!$A$82,VLOOKUP($A209,Nipples!$A$9:$Q$81,15,FALSE),
IF($A209&lt;Manifold!$A$33,VLOOKUP($A209,Manifold!$A$9:$M$32,11,FALSE),
IF($A209&lt;FlexibleRepairCouplings!$A$13,VLOOKUP($A209,FlexibleRepairCouplings!$A$10:$M$12,11,FALSE),
IF($A209&lt;DuraFix!$A$15,VLOOKUP($A209,DuraFix!$A$9:$M$14,11,FALSE),
IF($A209&lt;'Compression Fittings'!$A$16,VLOOKUP($A209,'Compression Fittings'!$A$8:$M$15,11,FALSE),
IF($A209&lt;'Hose Fittings'!$A$30,VLOOKUP($A209,'Hose Fittings'!$A$8:$M$29,11,FALSE),
IF($A209&lt;'Swing Joints'!$A$496,VLOOKUP($A209,'Swing Joints'!$A$9:$M$495,11,FALSE),
IF($A209&lt;'Swing Joints Components'!$A$135,VLOOKUP($A209,'Swing Joints Components'!$A$9:$M$134,11,FALSE),
IF($A209&lt;Nonstandard!$A$42,VLOOKUP($A209,Nonstandard!$A$31:$J$41,3,FALSE),"")))))))))))))))))))))))))))),"")</f>
        <v/>
      </c>
      <c r="H209" s="586" t="str">
        <f>IFERROR(IF($A209&lt;'DWV PVC'!$A$285,VLOOKUP($A209,'DWV PVC'!$A$8:$M$284,7,FALSE),
IF($A209&lt;'DWV ABS'!$A$117,VLOOKUP($A209,'DWV ABS'!$A$8:$M$116,7,FALSE),
IF($A209&lt;'PVC SCH40'!$A$376,VLOOKUP($A209,'PVC SCH40'!$A$8:$M$375,7,FALSE),
IF($A209&lt;'PVC SCH40 LD'!$A$22,VLOOKUP($A209,'PVC SCH40 LD'!$A$8:$M$21,7,FALSE),
IF($A209&lt;'Pool &amp; SPA Sweep Elbows'!$A$12,VLOOKUP($A209,'Pool &amp; SPA Sweep Elbows'!$A$8:$M$11,7,FALSE),
IF($A209&lt;'Pool &amp; SPA Pipe Extender'!$A$11,VLOOKUP($A209,'Pool &amp; SPA Pipe Extender'!$A$8:$M$10,7,FALSE),
IF($A209&lt;'PVC SCH80'!$A$250,VLOOKUP($A209,'PVC SCH80'!$A$8:$M$249,7,FALSE),
IF($A209&lt;'PVC SCH80 Flange'!$A$49,VLOOKUP($A209,'PVC SCH80 Flange'!$A$8:$M$48,7,FALSE),
IF($A209&lt;'PVC SCH80 LD Flange'!$A$17,VLOOKUP($A209,'PVC SCH80 LD Flange'!$A$8:$M$16,7,FALSE),
IF($A209&lt;CPVC!$A$100,VLOOKUP($A209,CPVC!$A$8:$M$99,7,FALSE),
IF($A209&lt;InsertFittings!$A$237,VLOOKUP($A209,InsertFittings!$A$11:$M$236,7,FALSE),
IF($A209&lt;Valves!$A$132,VLOOKUP($A209,Valves!$A$8:$M$131,7,FALSE),
IF($A209&lt;SDR35SW!$A$124,VLOOKUP($A209,SDR35SW!$A$8:$M$123,7,FALSE),
IF($A209&lt;SDR35G!$A$143,VLOOKUP($A209, SDR35G!$A$8:$M$142,7,FALSE),
IF($A209&lt;SDR26G!$A$61,VLOOKUP($A209,SDR26G!$A$8:$N$60,10,FALSE),
IF($A209&lt;Cements!$A$100,VLOOKUP($A209,Cements!$A$8:$Q$99,13,FALSE),
IF($A209&lt;ValveBox!$A$143,VLOOKUP($A209,ValveBox!$A$10:$O$142,11,FALSE),
IF($A209&lt;'ValveBox Components'!$A$165,VLOOKUP($A209,'ValveBox Components'!$A$10:$O$164,11,FALSE),
IF($A209&lt;Drainage!$A$92,VLOOKUP($A209,Drainage!$A$8:$M$91,7,FALSE),
IF($A209&lt;Nipples!$A$82,VLOOKUP($A209,Nipples!$A$9:$Q$81,13,FALSE),
IF($A209&lt;Manifold!$A$33,VLOOKUP($A209,Manifold!$A$9:$M$32,7,FALSE),
IF($A209&lt;FlexibleRepairCouplings!$A$13,VLOOKUP($A209,FlexibleRepairCouplings!$A$10:$M$12,7,FALSE),
IF($A209&lt;DuraFix!$A$15,VLOOKUP($A209,DuraFix!$A$9:$M$14,7,FALSE),
IF($A209&lt;'Compression Fittings'!$A$16,VLOOKUP($A209,'Compression Fittings'!$A$8:$M$15,7,FALSE),
IF($A209&lt;'Hose Fittings'!$A$30,VLOOKUP($A209,'Hose Fittings'!$A$8:$M$29,7,FALSE),
IF($A209&lt;'Swing Joints'!$A$496,VLOOKUP($A209,'Swing Joints'!$A$9:$M$495,7,FALSE),
IF($A209&lt;'Swing Joints Components'!$A$135,VLOOKUP($A209,'Swing Joints Components'!$A$9:$M$134,7,FALSE),
IF($A209&lt;Nonstandard!$A$42,VLOOKUP($A209,Nonstandard!$A$31:$J$41,3,FALSE),"")))))))))))))))))))))))))))),"")</f>
        <v/>
      </c>
      <c r="I209" s="587"/>
      <c r="J209" s="383" t="str">
        <f t="shared" si="5"/>
        <v/>
      </c>
      <c r="K209" s="417" t="str">
        <f>IFERROR(IF($A209&lt;'DWV PVC'!$A$285,VLOOKUP($A209,'DWV PVC'!$A$8:$M$284,10,FALSE),
IF($A209&lt;'DWV ABS'!$A$117,VLOOKUP($A209,'DWV ABS'!$A$8:$M$116,10,FALSE),
IF($A209&lt;'PVC SCH40'!$A$376,VLOOKUP($A209,'PVC SCH40'!$A$8:$M$375,10,FALSE),
IF($A209&lt;'PVC SCH40 LD'!$A$22,VLOOKUP($A209,'PVC SCH40 LD'!$A$8:$M$21,10,FALSE),
IF($A209&lt;'Pool &amp; SPA Sweep Elbows'!$A$12,VLOOKUP($A209,'Pool &amp; SPA Sweep Elbows'!$A$8:$M$11,10,FALSE),
IF($A209&lt;'Pool &amp; SPA Pipe Extender'!$A$11,VLOOKUP($A209,'Pool &amp; SPA Pipe Extender'!$A$8:$M$10,10,FALSE),
IF($A209&lt;'PVC SCH80'!$A$250,VLOOKUP($A209,'PVC SCH80'!$A$8:$M$249,10,FALSE),
IF($A209&lt;'PVC SCH80 Flange'!$A$49,VLOOKUP($A209,'PVC SCH80 Flange'!$A$8:$M$48,10,FALSE),
IF($A209&lt;'PVC SCH80 LD Flange'!$A$17,VLOOKUP($A209,'PVC SCH80 LD Flange'!$A$8:$M$16,10,FALSE),
IF($A209&lt;CPVC!$A$100,VLOOKUP($A209,CPVC!$A$8:$M$99,10,FALSE),
IF($A209&lt;InsertFittings!$A$237,VLOOKUP($A209,InsertFittings!$A$11:$M$236,10,FALSE),
IF($A209&lt;Valves!$A$132,VLOOKUP($A209,Valves!$A$8:$M$131,10,FALSE),
IF($A209&lt;SDR35SW!$A$124,VLOOKUP($A209,SDR35SW!$A$8:$M$123,10,FALSE),
IF($A209&lt;SDR35G!$A$143,VLOOKUP($A209, SDR35G!$A$8:$M$142,10,FALSE),
IF($A209&lt;SDR26G!$A$61,VLOOKUP($A209,SDR26G!$A$8:$N$60,11,FALSE),
IF($A209&lt;Cements!$A$100,VLOOKUP($A209,Cements!$A$8:$Q$99,14,FALSE),
IF($A209&lt;ValveBox!$A$143,VLOOKUP($A209,ValveBox!$A$10:$O$142,12,FALSE),
IF($A209&lt;'ValveBox Components'!$A$165,VLOOKUP($A209,'ValveBox Components'!$A$10:$O$164,12,FALSE),
IF($A209&lt;Drainage!$A$92,VLOOKUP($A209,Drainage!$A$8:$M$91,10,FALSE),
IF($A209&lt;Nipples!$A$82,VLOOKUP($A209,Nipples!$A$9:$Q$81,14,FALSE),
IF($A209&lt;Manifold!$A$33,VLOOKUP($A209,Manifold!$A$9:$M$32,10,FALSE),
IF($A209&lt;FlexibleRepairCouplings!$A$13,VLOOKUP($A209,FlexibleRepairCouplings!$A$10:$M$12,10,FALSE),
IF($A209&lt;DuraFix!$A$15,VLOOKUP($A209,DuraFix!$A$9:$M$14,10,FALSE),
IF($A209&lt;'Compression Fittings'!$A$16,VLOOKUP($A209,'Compression Fittings'!$A$8:$M$15,10,FALSE),
IF($A209&lt;'Hose Fittings'!$A$30,VLOOKUP($A209,'Hose Fittings'!$A$8:$M$29,10,FALSE),
IF($A209&lt;'Swing Joints'!$A$496,VLOOKUP($A209,'Swing Joints'!$A$9:$M$495,10,FALSE),
IF($A209&lt;'Swing Joints Components'!$A$135,VLOOKUP($A209,'Swing Joints Components'!$A$9:$M$134,10,FALSE),
IF($A209&lt;Nonstandard!$A$42,VLOOKUP($A209,Nonstandard!$A$31:$J$41,10,FALSE),"")))))))))))))))))))))))))))),"")</f>
        <v/>
      </c>
      <c r="L209" s="418" t="str">
        <f t="shared" si="4"/>
        <v>-</v>
      </c>
      <c r="M209" s="419"/>
    </row>
    <row r="210" spans="1:13" ht="15.75">
      <c r="A210" s="420">
        <v>178</v>
      </c>
      <c r="B210" s="420" t="str">
        <f>IFERROR(IF($A210&lt;'DWV PVC'!$A$285,VLOOKUP($A210,'DWV PVC'!$A$8:$M$284,4,FALSE),
IF($A210&lt;'DWV ABS'!$A$117,VLOOKUP($A210,'DWV ABS'!$A$8:$M$116,4,FALSE),
IF($A210&lt;'PVC SCH40'!$A$376,VLOOKUP($A210,'PVC SCH40'!$A$8:$M$375,4,FALSE),
IF($A210&lt;'PVC SCH40 LD'!$A$22,VLOOKUP($A210,'PVC SCH40 LD'!$A$8:$M$21,4,FALSE),
IF($A210&lt;'Pool &amp; SPA Sweep Elbows'!$A$12,VLOOKUP($A210,'Pool &amp; SPA Sweep Elbows'!$A$8:$M$11,4,FALSE),
IF($A210&lt;'Pool &amp; SPA Pipe Extender'!$A$11,VLOOKUP($A210,'Pool &amp; SPA Pipe Extender'!$A$8:$M$10,4,FALSE),
IF($A210&lt;'PVC SCH80'!$A$250,VLOOKUP($A210,'PVC SCH80'!$A$8:$M$249,4,FALSE),
IF($A210&lt;'PVC SCH80 Flange'!$A$49,VLOOKUP($A210,'PVC SCH80 Flange'!$A$8:$M$48,4,FALSE),
IF($A210&lt;'PVC SCH80 LD Flange'!$A$17,VLOOKUP($A210,'PVC SCH80 LD Flange'!$A$8:$M$16,4,FALSE),
IF($A210&lt;CPVC!$A$100,VLOOKUP($A210,CPVC!$A$8:$M$99,4,FALSE),
IF($A210&lt;InsertFittings!$A$237,VLOOKUP($A210,InsertFittings!$A$11:$M$236,4,FALSE),
IF($A210&lt;Valves!$A$132,VLOOKUP($A210,Valves!$A$8:$M$131,4,FALSE),
IF($A210&lt;SDR35SW!$A$124,VLOOKUP($A210,SDR35SW!$A$8:$M$123,4,FALSE),
IF($A210&lt;SDR35G!$A$143,VLOOKUP($A210, SDR35G!$A$8:$M$142,4,FALSE),
IF($A210&lt;SDR26G!$A$61,VLOOKUP($A210,SDR26G!$A$8:$N$60,4,FALSE),
IF($A210&lt;Cements!$A$100,VLOOKUP($A210,Cements!$A$8:$Q$99,4,FALSE),
IF($A210&lt;ValveBox!$A$143,VLOOKUP($A210,ValveBox!$A$10:$O$142,4,FALSE),
IF($A210&lt;'ValveBox Components'!$A$165,VLOOKUP($A210,'ValveBox Components'!$A$10:$O$164,4,FALSE),
IF($A210&lt;Drainage!$A$92,VLOOKUP($A210,Drainage!$A$8:$M$91,4,FALSE),
IF($A210&lt;Nipples!$A$82,VLOOKUP($A210,Nipples!$A$9:$Q$81,4,FALSE),
IF($A210&lt;Manifold!$A$33,VLOOKUP($A210,Manifold!$A$9:$M$32,4,FALSE),
IF($A210&lt;FlexibleRepairCouplings!$A$13,VLOOKUP($A210,FlexibleRepairCouplings!$A$10:$M$12,4,FALSE),
IF($A210&lt;DuraFix!$A$15,VLOOKUP($A210,DuraFix!$A$9:$M$14,4,FALSE),
IF($A210&lt;'Compression Fittings'!$A$16,VLOOKUP($A210,'Compression Fittings'!$A$8:$M$15,4,FALSE),
IF($A210&lt;'Hose Fittings'!$A$30,VLOOKUP($A210,'Hose Fittings'!$A$8:$M$29,4,FALSE),
IF($A210&lt;'Swing Joints'!$A$496,VLOOKUP($A210,'Swing Joints'!$A$9:$M$495,4,FALSE),
IF($A210&lt;'Swing Joints Components'!$A$135,VLOOKUP($A210,'Swing Joints Components'!$A$9:$M$134,4,FALSE),
IF($A210&lt;Nonstandard!$A$42,VLOOKUP($A210,Nonstandard!$A$31:$J$41,5,FALSE),"")))))))))))))))))))))))))))),"")</f>
        <v/>
      </c>
      <c r="C210" s="420" t="str">
        <f>IFERROR(IF($A210&lt;'DWV PVC'!$A$285,VLOOKUP($A210,'DWV PVC'!$A$8:$M$284,5,FALSE),
IF($A210&lt;'DWV ABS'!$A$117,VLOOKUP($A210,'DWV ABS'!$A$8:$M$116,5,FALSE),
IF($A210&lt;'PVC SCH40'!$A$376,VLOOKUP($A210,'PVC SCH40'!$A$8:$M$375,5,FALSE),
IF($A210&lt;'PVC SCH40 LD'!$A$22,VLOOKUP($A210,'PVC SCH40 LD'!$A$8:$M$21,5,FALSE),
IF($A210&lt;'Pool &amp; SPA Sweep Elbows'!$A$12,VLOOKUP($A210,'Pool &amp; SPA Sweep Elbows'!$A$8:$M$11,5,FALSE),
IF($A210&lt;'Pool &amp; SPA Pipe Extender'!$A$11,VLOOKUP($A210,'Pool &amp; SPA Pipe Extender'!$A$8:$M$10,5,FALSE),
IF($A210&lt;'PVC SCH80'!$A$250,VLOOKUP($A210,'PVC SCH80'!$A$8:$M$249,5,FALSE),
IF($A210&lt;'PVC SCH80 Flange'!$A$49,VLOOKUP($A210,'PVC SCH80 Flange'!$A$8:$M$48,5,FALSE),
IF($A210&lt;'PVC SCH80 LD Flange'!$A$17,VLOOKUP($A210,'PVC SCH80 LD Flange'!$A$8:$M$16,5,FALSE),
IF($A210&lt;CPVC!$A$100,VLOOKUP($A210,CPVC!$A$8:$M$99,5,FALSE),
IF($A210&lt;InsertFittings!$A$237,VLOOKUP($A210,InsertFittings!$A$11:$M$236,5,FALSE),
IF($A210&lt;Valves!$A$132,VLOOKUP($A210,Valves!$A$8:$M$131,5,FALSE),
IF($A210&lt;SDR35SW!$A$124,VLOOKUP($A210,SDR35SW!$A$8:$M$123,5,FALSE),
IF($A210&lt;SDR35G!$A$143,VLOOKUP($A210, SDR35G!$A$8:$M$142,5,FALSE),
IF($A210&lt;SDR26G!$A$61,VLOOKUP($A210,SDR26G!$A$8:$N$60,5,FALSE),
IF($A210&lt;Cements!$A$100,VLOOKUP($A210,Cements!$A$8:$Q$99,5,FALSE),
IF($A210&lt;ValveBox!$A$143,VLOOKUP($A210,ValveBox!$A$10:$O$142,5,FALSE),
IF($A210&lt;'ValveBox Components'!$A$165,VLOOKUP($A210,'ValveBox Components'!$A$10:$O$164,5,FALSE),
IF($A210&lt;Drainage!$A$92,VLOOKUP($A210,Drainage!$A$8:$M$91,5,FALSE),
IF($A210&lt;Nipples!$A$82,VLOOKUP($A210,Nipples!$A$9:$Q$81,5,FALSE),
IF($A210&lt;Manifold!$A$33,VLOOKUP($A210,Manifold!$A$9:$M$32,5,FALSE),
IF($A210&lt;FlexibleRepairCouplings!$A$13,VLOOKUP($A210,FlexibleRepairCouplings!$A$10:$M$12,5,FALSE),
IF($A210&lt;DuraFix!$A$15,VLOOKUP($A210,DuraFix!$A$9:$M$14,5,FALSE),
IF($A210&lt;'Compression Fittings'!$A$16,VLOOKUP($A210,'Compression Fittings'!$A$8:$M$15,5,FALSE),
IF($A210&lt;'Hose Fittings'!$A$30,VLOOKUP($A210,'Hose Fittings'!$A$8:$M$29,5,FALSE),
IF($A210&lt;'Swing Joints'!$A$496,VLOOKUP($A210,'Swing Joints'!$A$9:$M$495,5,FALSE),
IF($A210&lt;'Swing Joints Components'!$A$135,VLOOKUP($A210,'Swing Joints Components'!$A$9:$M$134,5,FALSE),
IF($A210&lt;Nonstandard!$A$42,VLOOKUP($A210,Nonstandard!$A$31:$J$41,6,FALSE),"")))))))))))))))))))))))))))),"")</f>
        <v/>
      </c>
      <c r="D210" s="428" t="str">
        <f>IFERROR(IF($A210&lt;'DWV PVC'!$A$285,VLOOKUP($A210,'DWV PVC'!$A$8:$M$284,6,FALSE),
IF($A210&lt;'DWV ABS'!$A$117,VLOOKUP($A210,'DWV ABS'!$A$8:$M$116,6,FALSE),
IF($A210&lt;'PVC SCH40'!$A$376,VLOOKUP($A210,'PVC SCH40'!$A$8:$M$375,6,FALSE),
IF($A210&lt;'PVC SCH40 LD'!$A$22,VLOOKUP($A210,'PVC SCH40 LD'!$A$8:$M$21,6,FALSE),
IF($A210&lt;'Pool &amp; SPA Sweep Elbows'!$A$12,VLOOKUP($A210,'Pool &amp; SPA Sweep Elbows'!$A$8:$M$11,6,FALSE),
IF($A210&lt;'Pool &amp; SPA Pipe Extender'!$A$11,VLOOKUP($A210,'Pool &amp; SPA Pipe Extender'!$A$8:$M$10,6,FALSE),
IF($A210&lt;'PVC SCH80'!$A$250,VLOOKUP($A210,'PVC SCH80'!$A$8:$M$249,6,FALSE),
IF($A210&lt;'PVC SCH80 Flange'!$A$49,VLOOKUP($A210,'PVC SCH80 Flange'!$A$8:$M$48,6,FALSE),
IF($A210&lt;'PVC SCH80 LD Flange'!$A$17,VLOOKUP($A210,'PVC SCH80 LD Flange'!$A$8:$M$16,6,FALSE),
IF($A210&lt;CPVC!$A$100,VLOOKUP($A210,CPVC!$A$8:$M$99,6,FALSE),
IF($A210&lt;InsertFittings!$A$237,VLOOKUP($A210,InsertFittings!$A$11:$M$236,6,FALSE),
IF($A210&lt;Valves!$A$132,VLOOKUP($A210,Valves!$A$8:$M$131,6,FALSE),
IF($A210&lt;SDR35SW!$A$124,VLOOKUP($A210,SDR35SW!$A$8:$M$123,6,FALSE),
IF($A210&lt;SDR35G!$A$143,VLOOKUP($A210, SDR35G!$A$8:$M$142,6,FALSE),
IF($A210&lt;SDR26G!$A$61,VLOOKUP($A210,SDR26G!$A$8:$N$60,6,FALSE),
IF($A210&lt;Cements!$A$100,VLOOKUP($A210,Cements!$A$8:$Q$99,6,FALSE),
IF($A210&lt;ValveBox!$A$143,VLOOKUP($A210,ValveBox!$A$10:$O$142,6,FALSE),
IF($A210&lt;'ValveBox Components'!$A$165,VLOOKUP($A210,'ValveBox Components'!$A$10:$O$164,6,FALSE),
IF($A210&lt;Drainage!$A$92,VLOOKUP($A210,Drainage!$A$8:$M$91,6,FALSE),
IF($A210&lt;Nipples!$A$82,VLOOKUP($A210,Nipples!$A$9:$Q$81,6,FALSE),
IF($A210&lt;Manifold!$A$33,VLOOKUP($A210,Manifold!$A$9:$M$32,6,FALSE),
IF($A210&lt;FlexibleRepairCouplings!$A$13,VLOOKUP($A210,FlexibleRepairCouplings!$A$10:$M$12,6,FALSE),
IF($A210&lt;DuraFix!$A$15,VLOOKUP($A210,DuraFix!$A$9:$M$14,6,FALSE),
IF($A210&lt;'Compression Fittings'!$A$16,VLOOKUP($A210,'Compression Fittings'!$A$8:$M$15,6,FALSE),
IF($A210&lt;'Hose Fittings'!$A$30,VLOOKUP($A210,'Hose Fittings'!$A$8:$M$29,6,FALSE),
IF($A210&lt;'Swing Joints'!$A$496,VLOOKUP($A210,'Swing Joints'!$A$9:$M$495,6,FALSE),
IF($A210&lt;'Swing Joints Components'!$A$135,VLOOKUP($A210,'Swing Joints Components'!$A$9:$M$134,6,FALSE),
IF($A210&lt;Nonstandard!$A$42,VLOOKUP($A210,Nonstandard!$A$31:$J$41,7,FALSE),"")))))))))))))))))))))))))))),"")</f>
        <v/>
      </c>
      <c r="E210" s="429"/>
      <c r="F210" s="421" t="str">
        <f>IFERROR(IF($A210&lt;'DWV PVC'!$A$285,VLOOKUP($A210,'DWV PVC'!$A$8:$M$284,9,FALSE),
IF($A210&lt;'DWV ABS'!$A$117,VLOOKUP($A210,'DWV ABS'!$A$8:$M$116,9,FALSE),
IF($A210&lt;'PVC SCH40'!$A$376,VLOOKUP($A210,'PVC SCH40'!$A$8:$M$375,9,FALSE),
IF($A210&lt;'PVC SCH40 LD'!$A$22,VLOOKUP($A210,'PVC SCH40 LD'!$A$8:$M$21,9,FALSE),
IF($A210&lt;'Pool &amp; SPA Sweep Elbows'!$A$12,VLOOKUP($A210,'Pool &amp; SPA Sweep Elbows'!$A$8:$M$11,9,FALSE),
IF($A210&lt;'Pool &amp; SPA Pipe Extender'!$A$11,VLOOKUP($A210,'Pool &amp; SPA Pipe Extender'!$A$8:$M$10,9,FALSE),
IF($A210&lt;'PVC SCH80'!$A$250,VLOOKUP($A210,'PVC SCH80'!$A$8:$M$249,9,FALSE),
IF($A210&lt;'PVC SCH80 Flange'!$A$49,VLOOKUP($A210,'PVC SCH80 Flange'!$A$8:$M$48,9,FALSE),
IF($A210&lt;'PVC SCH80 LD Flange'!$A$17,VLOOKUP($A210,'PVC SCH80 LD Flange'!$A$8:$M$16,9,FALSE),
IF($A210&lt;CPVC!$A$100,VLOOKUP($A210,CPVC!$A$8:$M$99,9,FALSE),
IF($A210&lt;InsertFittings!$A$237,VLOOKUP($A210,InsertFittings!$A$11:$M$236,9,FALSE),
IF($A210&lt;Valves!$A$132,VLOOKUP($A210,Valves!$A$8:$M$131,9,FALSE),
IF($A210&lt;SDR35SW!$A$124,VLOOKUP($A210,SDR35SW!$A$8:$M$123,9,FALSE),
IF($A210&lt;SDR35G!$A$143,VLOOKUP($A210, SDR35G!$A$8:$M$142,9,FALSE),
IF($A210&lt;SDR26G!$A$61,VLOOKUP($A210,SDR26G!$A$8:$N$60,10,FALSE),
IF($A210&lt;Cements!$A$100,VLOOKUP($A210,Cements!$A$8:$Q$99,13,FALSE),
IF($A210&lt;ValveBox!$A$143,VLOOKUP($A210,ValveBox!$A$10:$O$142,11,FALSE),
IF($A210&lt;'ValveBox Components'!$A$165,VLOOKUP($A210,'ValveBox Components'!$A$10:$O$164,11,FALSE),
IF($A210&lt;Drainage!$A$92,VLOOKUP($A210,Drainage!$A$8:$M$91,9,FALSE),
IF($A210&lt;Nipples!$A$82,VLOOKUP($A210,Nipples!$A$9:$Q$81,13,FALSE),
IF($A210&lt;Manifold!$A$33,VLOOKUP($A210,Manifold!$A$9:$M$32,9,FALSE),
IF($A210&lt;FlexibleRepairCouplings!$A$13,VLOOKUP($A210,FlexibleRepairCouplings!$A$10:$M$12,9,FALSE),
IF($A210&lt;DuraFix!$A$15,VLOOKUP($A210,DuraFix!$A$9:$M$14,9,FALSE),
IF($A210&lt;'Compression Fittings'!$A$16,VLOOKUP($A210,'Compression Fittings'!$A$8:$M$15,9,FALSE),
IF($A210&lt;'Hose Fittings'!$A$30,VLOOKUP($A210,'Hose Fittings'!$A$8:$M$29,9,FALSE),
IF($A210&lt;'Swing Joints'!$A$496,VLOOKUP($A210,'Swing Joints'!$A$9:$M$495,9,FALSE),
IF($A210&lt;'Swing Joints Components'!$A$135,VLOOKUP($A210,'Swing Joints Components'!$A$9:$M$134,9,FALSE),
IF($A210&lt;Nonstandard!$A$42,VLOOKUP($A210,Nonstandard!$A$31:$J$41,8,FALSE),"")))))))))))))))))))))))))))),"")</f>
        <v/>
      </c>
      <c r="G210" s="422" t="str">
        <f>IFERROR(IF($A210&lt;'DWV PVC'!$A$285,VLOOKUP($A210,'DWV PVC'!$A$8:$M$284,11,FALSE),
IF($A210&lt;'DWV ABS'!$A$117,VLOOKUP($A210,'DWV ABS'!$A$8:$M$116,11,FALSE),
IF($A210&lt;'PVC SCH40'!$A$376,VLOOKUP($A210,'PVC SCH40'!$A$8:$M$375,11,FALSE),
IF($A210&lt;'PVC SCH40 LD'!$A$22,VLOOKUP($A210,'PVC SCH40 LD'!$A$8:$M$21,11,FALSE),
IF($A210&lt;'Pool &amp; SPA Sweep Elbows'!$A$12,VLOOKUP($A210,'Pool &amp; SPA Sweep Elbows'!$A$8:$M$11,11,FALSE),
IF($A210&lt;'Pool &amp; SPA Pipe Extender'!$A$11,VLOOKUP($A210,'Pool &amp; SPA Pipe Extender'!$A$8:$M$10,11,FALSE),
IF($A210&lt;'PVC SCH80'!$A$250,VLOOKUP($A210,'PVC SCH80'!$A$8:$M$249,11,FALSE),
IF($A210&lt;'PVC SCH80 Flange'!$A$49,VLOOKUP($A210,'PVC SCH80 Flange'!$A$8:$M$48,11,FALSE),
IF($A210&lt;'PVC SCH80 LD Flange'!$A$17,VLOOKUP($A210,'PVC SCH80 LD Flange'!$A$8:$M$16,11,FALSE),
IF($A210&lt;CPVC!$A$100,VLOOKUP($A210,CPVC!$A$8:$M$99,11,FALSE),
IF($A210&lt;InsertFittings!$A$237,VLOOKUP($A210,InsertFittings!$A$11:$M$236,11,FALSE),
IF($A210&lt;Valves!$A$132,VLOOKUP($A210,Valves!$A$8:$M$131,11,FALSE),
IF($A210&lt;SDR35SW!$A$124,VLOOKUP($A210,SDR35SW!$A$8:$M$123,11,FALSE),
IF($A210&lt;SDR35G!$A$143,VLOOKUP($A210, SDR35G!$A$8:$M$142,11,FALSE),
IF($A210&lt;SDR26G!$A$61,VLOOKUP($A210,SDR26G!$A$8:$N$60,12,FALSE),
IF($A210&lt;Cements!$A$100,VLOOKUP($A210,Cements!$A$8:$Q$99,15,FALSE),
IF($A210&lt;ValveBox!$A$143,VLOOKUP($A210,ValveBox!$A$10:$O$142,13,FALSE),
IF($A210&lt;'ValveBox Components'!$A$165,VLOOKUP($A210,'ValveBox Components'!$A$10:$O$164,13,FALSE),
IF($A210&lt;Drainage!$A$92,VLOOKUP($A210,Drainage!$A$8:$M$91,11,FALSE),
IF($A210&lt;Nipples!$A$82,VLOOKUP($A210,Nipples!$A$9:$Q$81,15,FALSE),
IF($A210&lt;Manifold!$A$33,VLOOKUP($A210,Manifold!$A$9:$M$32,11,FALSE),
IF($A210&lt;FlexibleRepairCouplings!$A$13,VLOOKUP($A210,FlexibleRepairCouplings!$A$10:$M$12,11,FALSE),
IF($A210&lt;DuraFix!$A$15,VLOOKUP($A210,DuraFix!$A$9:$M$14,11,FALSE),
IF($A210&lt;'Compression Fittings'!$A$16,VLOOKUP($A210,'Compression Fittings'!$A$8:$M$15,11,FALSE),
IF($A210&lt;'Hose Fittings'!$A$30,VLOOKUP($A210,'Hose Fittings'!$A$8:$M$29,11,FALSE),
IF($A210&lt;'Swing Joints'!$A$496,VLOOKUP($A210,'Swing Joints'!$A$9:$M$495,11,FALSE),
IF($A210&lt;'Swing Joints Components'!$A$135,VLOOKUP($A210,'Swing Joints Components'!$A$9:$M$134,11,FALSE),
IF($A210&lt;Nonstandard!$A$42,VLOOKUP($A210,Nonstandard!$A$31:$J$41,3,FALSE),"")))))))))))))))))))))))))))),"")</f>
        <v/>
      </c>
      <c r="H210" s="588" t="str">
        <f>IFERROR(IF($A210&lt;'DWV PVC'!$A$285,VLOOKUP($A210,'DWV PVC'!$A$8:$M$284,7,FALSE),
IF($A210&lt;'DWV ABS'!$A$117,VLOOKUP($A210,'DWV ABS'!$A$8:$M$116,7,FALSE),
IF($A210&lt;'PVC SCH40'!$A$376,VLOOKUP($A210,'PVC SCH40'!$A$8:$M$375,7,FALSE),
IF($A210&lt;'PVC SCH40 LD'!$A$22,VLOOKUP($A210,'PVC SCH40 LD'!$A$8:$M$21,7,FALSE),
IF($A210&lt;'Pool &amp; SPA Sweep Elbows'!$A$12,VLOOKUP($A210,'Pool &amp; SPA Sweep Elbows'!$A$8:$M$11,7,FALSE),
IF($A210&lt;'Pool &amp; SPA Pipe Extender'!$A$11,VLOOKUP($A210,'Pool &amp; SPA Pipe Extender'!$A$8:$M$10,7,FALSE),
IF($A210&lt;'PVC SCH80'!$A$250,VLOOKUP($A210,'PVC SCH80'!$A$8:$M$249,7,FALSE),
IF($A210&lt;'PVC SCH80 Flange'!$A$49,VLOOKUP($A210,'PVC SCH80 Flange'!$A$8:$M$48,7,FALSE),
IF($A210&lt;'PVC SCH80 LD Flange'!$A$17,VLOOKUP($A210,'PVC SCH80 LD Flange'!$A$8:$M$16,7,FALSE),
IF($A210&lt;CPVC!$A$100,VLOOKUP($A210,CPVC!$A$8:$M$99,7,FALSE),
IF($A210&lt;InsertFittings!$A$237,VLOOKUP($A210,InsertFittings!$A$11:$M$236,7,FALSE),
IF($A210&lt;Valves!$A$132,VLOOKUP($A210,Valves!$A$8:$M$131,7,FALSE),
IF($A210&lt;SDR35SW!$A$124,VLOOKUP($A210,SDR35SW!$A$8:$M$123,7,FALSE),
IF($A210&lt;SDR35G!$A$143,VLOOKUP($A210, SDR35G!$A$8:$M$142,7,FALSE),
IF($A210&lt;SDR26G!$A$61,VLOOKUP($A210,SDR26G!$A$8:$N$60,10,FALSE),
IF($A210&lt;Cements!$A$100,VLOOKUP($A210,Cements!$A$8:$Q$99,13,FALSE),
IF($A210&lt;ValveBox!$A$143,VLOOKUP($A210,ValveBox!$A$10:$O$142,11,FALSE),
IF($A210&lt;'ValveBox Components'!$A$165,VLOOKUP($A210,'ValveBox Components'!$A$10:$O$164,11,FALSE),
IF($A210&lt;Drainage!$A$92,VLOOKUP($A210,Drainage!$A$8:$M$91,7,FALSE),
IF($A210&lt;Nipples!$A$82,VLOOKUP($A210,Nipples!$A$9:$Q$81,13,FALSE),
IF($A210&lt;Manifold!$A$33,VLOOKUP($A210,Manifold!$A$9:$M$32,7,FALSE),
IF($A210&lt;FlexibleRepairCouplings!$A$13,VLOOKUP($A210,FlexibleRepairCouplings!$A$10:$M$12,7,FALSE),
IF($A210&lt;DuraFix!$A$15,VLOOKUP($A210,DuraFix!$A$9:$M$14,7,FALSE),
IF($A210&lt;'Compression Fittings'!$A$16,VLOOKUP($A210,'Compression Fittings'!$A$8:$M$15,7,FALSE),
IF($A210&lt;'Hose Fittings'!$A$30,VLOOKUP($A210,'Hose Fittings'!$A$8:$M$29,7,FALSE),
IF($A210&lt;'Swing Joints'!$A$496,VLOOKUP($A210,'Swing Joints'!$A$9:$M$495,7,FALSE),
IF($A210&lt;'Swing Joints Components'!$A$135,VLOOKUP($A210,'Swing Joints Components'!$A$9:$M$134,7,FALSE),
IF($A210&lt;Nonstandard!$A$42,VLOOKUP($A210,Nonstandard!$A$31:$J$41,3,FALSE),"")))))))))))))))))))))))))))),"")</f>
        <v/>
      </c>
      <c r="I210" s="589"/>
      <c r="J210" s="423" t="str">
        <f t="shared" si="5"/>
        <v/>
      </c>
      <c r="K210" s="424" t="str">
        <f>IFERROR(IF($A210&lt;'DWV PVC'!$A$285,VLOOKUP($A210,'DWV PVC'!$A$8:$M$284,10,FALSE),
IF($A210&lt;'DWV ABS'!$A$117,VLOOKUP($A210,'DWV ABS'!$A$8:$M$116,10,FALSE),
IF($A210&lt;'PVC SCH40'!$A$376,VLOOKUP($A210,'PVC SCH40'!$A$8:$M$375,10,FALSE),
IF($A210&lt;'PVC SCH40 LD'!$A$22,VLOOKUP($A210,'PVC SCH40 LD'!$A$8:$M$21,10,FALSE),
IF($A210&lt;'Pool &amp; SPA Sweep Elbows'!$A$12,VLOOKUP($A210,'Pool &amp; SPA Sweep Elbows'!$A$8:$M$11,10,FALSE),
IF($A210&lt;'Pool &amp; SPA Pipe Extender'!$A$11,VLOOKUP($A210,'Pool &amp; SPA Pipe Extender'!$A$8:$M$10,10,FALSE),
IF($A210&lt;'PVC SCH80'!$A$250,VLOOKUP($A210,'PVC SCH80'!$A$8:$M$249,10,FALSE),
IF($A210&lt;'PVC SCH80 Flange'!$A$49,VLOOKUP($A210,'PVC SCH80 Flange'!$A$8:$M$48,10,FALSE),
IF($A210&lt;'PVC SCH80 LD Flange'!$A$17,VLOOKUP($A210,'PVC SCH80 LD Flange'!$A$8:$M$16,10,FALSE),
IF($A210&lt;CPVC!$A$100,VLOOKUP($A210,CPVC!$A$8:$M$99,10,FALSE),
IF($A210&lt;InsertFittings!$A$237,VLOOKUP($A210,InsertFittings!$A$11:$M$236,10,FALSE),
IF($A210&lt;Valves!$A$132,VLOOKUP($A210,Valves!$A$8:$M$131,10,FALSE),
IF($A210&lt;SDR35SW!$A$124,VLOOKUP($A210,SDR35SW!$A$8:$M$123,10,FALSE),
IF($A210&lt;SDR35G!$A$143,VLOOKUP($A210, SDR35G!$A$8:$M$142,10,FALSE),
IF($A210&lt;SDR26G!$A$61,VLOOKUP($A210,SDR26G!$A$8:$N$60,11,FALSE),
IF($A210&lt;Cements!$A$100,VLOOKUP($A210,Cements!$A$8:$Q$99,14,FALSE),
IF($A210&lt;ValveBox!$A$143,VLOOKUP($A210,ValveBox!$A$10:$O$142,12,FALSE),
IF($A210&lt;'ValveBox Components'!$A$165,VLOOKUP($A210,'ValveBox Components'!$A$10:$O$164,12,FALSE),
IF($A210&lt;Drainage!$A$92,VLOOKUP($A210,Drainage!$A$8:$M$91,10,FALSE),
IF($A210&lt;Nipples!$A$82,VLOOKUP($A210,Nipples!$A$9:$Q$81,14,FALSE),
IF($A210&lt;Manifold!$A$33,VLOOKUP($A210,Manifold!$A$9:$M$32,10,FALSE),
IF($A210&lt;FlexibleRepairCouplings!$A$13,VLOOKUP($A210,FlexibleRepairCouplings!$A$10:$M$12,10,FALSE),
IF($A210&lt;DuraFix!$A$15,VLOOKUP($A210,DuraFix!$A$9:$M$14,10,FALSE),
IF($A210&lt;'Compression Fittings'!$A$16,VLOOKUP($A210,'Compression Fittings'!$A$8:$M$15,10,FALSE),
IF($A210&lt;'Hose Fittings'!$A$30,VLOOKUP($A210,'Hose Fittings'!$A$8:$M$29,10,FALSE),
IF($A210&lt;'Swing Joints'!$A$496,VLOOKUP($A210,'Swing Joints'!$A$9:$M$495,10,FALSE),
IF($A210&lt;'Swing Joints Components'!$A$135,VLOOKUP($A210,'Swing Joints Components'!$A$9:$M$134,10,FALSE),
IF($A210&lt;Nonstandard!$A$42,VLOOKUP($A210,Nonstandard!$A$31:$J$41,10,FALSE),"")))))))))))))))))))))))))))),"")</f>
        <v/>
      </c>
      <c r="L210" s="421" t="str">
        <f t="shared" si="4"/>
        <v>-</v>
      </c>
      <c r="M210" s="425"/>
    </row>
    <row r="211" spans="1:13" ht="15.75">
      <c r="A211" s="415">
        <v>179</v>
      </c>
      <c r="B211" s="415" t="str">
        <f>IFERROR(IF($A211&lt;'DWV PVC'!$A$285,VLOOKUP($A211,'DWV PVC'!$A$8:$M$284,4,FALSE),
IF($A211&lt;'DWV ABS'!$A$117,VLOOKUP($A211,'DWV ABS'!$A$8:$M$116,4,FALSE),
IF($A211&lt;'PVC SCH40'!$A$376,VLOOKUP($A211,'PVC SCH40'!$A$8:$M$375,4,FALSE),
IF($A211&lt;'PVC SCH40 LD'!$A$22,VLOOKUP($A211,'PVC SCH40 LD'!$A$8:$M$21,4,FALSE),
IF($A211&lt;'Pool &amp; SPA Sweep Elbows'!$A$12,VLOOKUP($A211,'Pool &amp; SPA Sweep Elbows'!$A$8:$M$11,4,FALSE),
IF($A211&lt;'Pool &amp; SPA Pipe Extender'!$A$11,VLOOKUP($A211,'Pool &amp; SPA Pipe Extender'!$A$8:$M$10,4,FALSE),
IF($A211&lt;'PVC SCH80'!$A$250,VLOOKUP($A211,'PVC SCH80'!$A$8:$M$249,4,FALSE),
IF($A211&lt;'PVC SCH80 Flange'!$A$49,VLOOKUP($A211,'PVC SCH80 Flange'!$A$8:$M$48,4,FALSE),
IF($A211&lt;'PVC SCH80 LD Flange'!$A$17,VLOOKUP($A211,'PVC SCH80 LD Flange'!$A$8:$M$16,4,FALSE),
IF($A211&lt;CPVC!$A$100,VLOOKUP($A211,CPVC!$A$8:$M$99,4,FALSE),
IF($A211&lt;InsertFittings!$A$237,VLOOKUP($A211,InsertFittings!$A$11:$M$236,4,FALSE),
IF($A211&lt;Valves!$A$132,VLOOKUP($A211,Valves!$A$8:$M$131,4,FALSE),
IF($A211&lt;SDR35SW!$A$124,VLOOKUP($A211,SDR35SW!$A$8:$M$123,4,FALSE),
IF($A211&lt;SDR35G!$A$143,VLOOKUP($A211, SDR35G!$A$8:$M$142,4,FALSE),
IF($A211&lt;SDR26G!$A$61,VLOOKUP($A211,SDR26G!$A$8:$N$60,4,FALSE),
IF($A211&lt;Cements!$A$100,VLOOKUP($A211,Cements!$A$8:$Q$99,4,FALSE),
IF($A211&lt;ValveBox!$A$143,VLOOKUP($A211,ValveBox!$A$10:$O$142,4,FALSE),
IF($A211&lt;'ValveBox Components'!$A$165,VLOOKUP($A211,'ValveBox Components'!$A$10:$O$164,4,FALSE),
IF($A211&lt;Drainage!$A$92,VLOOKUP($A211,Drainage!$A$8:$M$91,4,FALSE),
IF($A211&lt;Nipples!$A$82,VLOOKUP($A211,Nipples!$A$9:$Q$81,4,FALSE),
IF($A211&lt;Manifold!$A$33,VLOOKUP($A211,Manifold!$A$9:$M$32,4,FALSE),
IF($A211&lt;FlexibleRepairCouplings!$A$13,VLOOKUP($A211,FlexibleRepairCouplings!$A$10:$M$12,4,FALSE),
IF($A211&lt;DuraFix!$A$15,VLOOKUP($A211,DuraFix!$A$9:$M$14,4,FALSE),
IF($A211&lt;'Compression Fittings'!$A$16,VLOOKUP($A211,'Compression Fittings'!$A$8:$M$15,4,FALSE),
IF($A211&lt;'Hose Fittings'!$A$30,VLOOKUP($A211,'Hose Fittings'!$A$8:$M$29,4,FALSE),
IF($A211&lt;'Swing Joints'!$A$496,VLOOKUP($A211,'Swing Joints'!$A$9:$M$495,4,FALSE),
IF($A211&lt;'Swing Joints Components'!$A$135,VLOOKUP($A211,'Swing Joints Components'!$A$9:$M$134,4,FALSE),
IF($A211&lt;Nonstandard!$A$42,VLOOKUP($A211,Nonstandard!$A$31:$J$41,5,FALSE),"")))))))))))))))))))))))))))),"")</f>
        <v/>
      </c>
      <c r="C211" s="415" t="str">
        <f>IFERROR(IF($A211&lt;'DWV PVC'!$A$285,VLOOKUP($A211,'DWV PVC'!$A$8:$M$284,5,FALSE),
IF($A211&lt;'DWV ABS'!$A$117,VLOOKUP($A211,'DWV ABS'!$A$8:$M$116,5,FALSE),
IF($A211&lt;'PVC SCH40'!$A$376,VLOOKUP($A211,'PVC SCH40'!$A$8:$M$375,5,FALSE),
IF($A211&lt;'PVC SCH40 LD'!$A$22,VLOOKUP($A211,'PVC SCH40 LD'!$A$8:$M$21,5,FALSE),
IF($A211&lt;'Pool &amp; SPA Sweep Elbows'!$A$12,VLOOKUP($A211,'Pool &amp; SPA Sweep Elbows'!$A$8:$M$11,5,FALSE),
IF($A211&lt;'Pool &amp; SPA Pipe Extender'!$A$11,VLOOKUP($A211,'Pool &amp; SPA Pipe Extender'!$A$8:$M$10,5,FALSE),
IF($A211&lt;'PVC SCH80'!$A$250,VLOOKUP($A211,'PVC SCH80'!$A$8:$M$249,5,FALSE),
IF($A211&lt;'PVC SCH80 Flange'!$A$49,VLOOKUP($A211,'PVC SCH80 Flange'!$A$8:$M$48,5,FALSE),
IF($A211&lt;'PVC SCH80 LD Flange'!$A$17,VLOOKUP($A211,'PVC SCH80 LD Flange'!$A$8:$M$16,5,FALSE),
IF($A211&lt;CPVC!$A$100,VLOOKUP($A211,CPVC!$A$8:$M$99,5,FALSE),
IF($A211&lt;InsertFittings!$A$237,VLOOKUP($A211,InsertFittings!$A$11:$M$236,5,FALSE),
IF($A211&lt;Valves!$A$132,VLOOKUP($A211,Valves!$A$8:$M$131,5,FALSE),
IF($A211&lt;SDR35SW!$A$124,VLOOKUP($A211,SDR35SW!$A$8:$M$123,5,FALSE),
IF($A211&lt;SDR35G!$A$143,VLOOKUP($A211, SDR35G!$A$8:$M$142,5,FALSE),
IF($A211&lt;SDR26G!$A$61,VLOOKUP($A211,SDR26G!$A$8:$N$60,5,FALSE),
IF($A211&lt;Cements!$A$100,VLOOKUP($A211,Cements!$A$8:$Q$99,5,FALSE),
IF($A211&lt;ValveBox!$A$143,VLOOKUP($A211,ValveBox!$A$10:$O$142,5,FALSE),
IF($A211&lt;'ValveBox Components'!$A$165,VLOOKUP($A211,'ValveBox Components'!$A$10:$O$164,5,FALSE),
IF($A211&lt;Drainage!$A$92,VLOOKUP($A211,Drainage!$A$8:$M$91,5,FALSE),
IF($A211&lt;Nipples!$A$82,VLOOKUP($A211,Nipples!$A$9:$Q$81,5,FALSE),
IF($A211&lt;Manifold!$A$33,VLOOKUP($A211,Manifold!$A$9:$M$32,5,FALSE),
IF($A211&lt;FlexibleRepairCouplings!$A$13,VLOOKUP($A211,FlexibleRepairCouplings!$A$10:$M$12,5,FALSE),
IF($A211&lt;DuraFix!$A$15,VLOOKUP($A211,DuraFix!$A$9:$M$14,5,FALSE),
IF($A211&lt;'Compression Fittings'!$A$16,VLOOKUP($A211,'Compression Fittings'!$A$8:$M$15,5,FALSE),
IF($A211&lt;'Hose Fittings'!$A$30,VLOOKUP($A211,'Hose Fittings'!$A$8:$M$29,5,FALSE),
IF($A211&lt;'Swing Joints'!$A$496,VLOOKUP($A211,'Swing Joints'!$A$9:$M$495,5,FALSE),
IF($A211&lt;'Swing Joints Components'!$A$135,VLOOKUP($A211,'Swing Joints Components'!$A$9:$M$134,5,FALSE),
IF($A211&lt;Nonstandard!$A$42,VLOOKUP($A211,Nonstandard!$A$31:$J$41,6,FALSE),"")))))))))))))))))))))))))))),"")</f>
        <v/>
      </c>
      <c r="D211" s="426" t="str">
        <f>IFERROR(IF($A211&lt;'DWV PVC'!$A$285,VLOOKUP($A211,'DWV PVC'!$A$8:$M$284,6,FALSE),
IF($A211&lt;'DWV ABS'!$A$117,VLOOKUP($A211,'DWV ABS'!$A$8:$M$116,6,FALSE),
IF($A211&lt;'PVC SCH40'!$A$376,VLOOKUP($A211,'PVC SCH40'!$A$8:$M$375,6,FALSE),
IF($A211&lt;'PVC SCH40 LD'!$A$22,VLOOKUP($A211,'PVC SCH40 LD'!$A$8:$M$21,6,FALSE),
IF($A211&lt;'Pool &amp; SPA Sweep Elbows'!$A$12,VLOOKUP($A211,'Pool &amp; SPA Sweep Elbows'!$A$8:$M$11,6,FALSE),
IF($A211&lt;'Pool &amp; SPA Pipe Extender'!$A$11,VLOOKUP($A211,'Pool &amp; SPA Pipe Extender'!$A$8:$M$10,6,FALSE),
IF($A211&lt;'PVC SCH80'!$A$250,VLOOKUP($A211,'PVC SCH80'!$A$8:$M$249,6,FALSE),
IF($A211&lt;'PVC SCH80 Flange'!$A$49,VLOOKUP($A211,'PVC SCH80 Flange'!$A$8:$M$48,6,FALSE),
IF($A211&lt;'PVC SCH80 LD Flange'!$A$17,VLOOKUP($A211,'PVC SCH80 LD Flange'!$A$8:$M$16,6,FALSE),
IF($A211&lt;CPVC!$A$100,VLOOKUP($A211,CPVC!$A$8:$M$99,6,FALSE),
IF($A211&lt;InsertFittings!$A$237,VLOOKUP($A211,InsertFittings!$A$11:$M$236,6,FALSE),
IF($A211&lt;Valves!$A$132,VLOOKUP($A211,Valves!$A$8:$M$131,6,FALSE),
IF($A211&lt;SDR35SW!$A$124,VLOOKUP($A211,SDR35SW!$A$8:$M$123,6,FALSE),
IF($A211&lt;SDR35G!$A$143,VLOOKUP($A211, SDR35G!$A$8:$M$142,6,FALSE),
IF($A211&lt;SDR26G!$A$61,VLOOKUP($A211,SDR26G!$A$8:$N$60,6,FALSE),
IF($A211&lt;Cements!$A$100,VLOOKUP($A211,Cements!$A$8:$Q$99,6,FALSE),
IF($A211&lt;ValveBox!$A$143,VLOOKUP($A211,ValveBox!$A$10:$O$142,6,FALSE),
IF($A211&lt;'ValveBox Components'!$A$165,VLOOKUP($A211,'ValveBox Components'!$A$10:$O$164,6,FALSE),
IF($A211&lt;Drainage!$A$92,VLOOKUP($A211,Drainage!$A$8:$M$91,6,FALSE),
IF($A211&lt;Nipples!$A$82,VLOOKUP($A211,Nipples!$A$9:$Q$81,6,FALSE),
IF($A211&lt;Manifold!$A$33,VLOOKUP($A211,Manifold!$A$9:$M$32,6,FALSE),
IF($A211&lt;FlexibleRepairCouplings!$A$13,VLOOKUP($A211,FlexibleRepairCouplings!$A$10:$M$12,6,FALSE),
IF($A211&lt;DuraFix!$A$15,VLOOKUP($A211,DuraFix!$A$9:$M$14,6,FALSE),
IF($A211&lt;'Compression Fittings'!$A$16,VLOOKUP($A211,'Compression Fittings'!$A$8:$M$15,6,FALSE),
IF($A211&lt;'Hose Fittings'!$A$30,VLOOKUP($A211,'Hose Fittings'!$A$8:$M$29,6,FALSE),
IF($A211&lt;'Swing Joints'!$A$496,VLOOKUP($A211,'Swing Joints'!$A$9:$M$495,6,FALSE),
IF($A211&lt;'Swing Joints Components'!$A$135,VLOOKUP($A211,'Swing Joints Components'!$A$9:$M$134,6,FALSE),
IF($A211&lt;Nonstandard!$A$42,VLOOKUP($A211,Nonstandard!$A$31:$J$41,7,FALSE),"")))))))))))))))))))))))))))),"")</f>
        <v/>
      </c>
      <c r="E211" s="427"/>
      <c r="F211" s="418" t="str">
        <f>IFERROR(IF($A211&lt;'DWV PVC'!$A$285,VLOOKUP($A211,'DWV PVC'!$A$8:$M$284,9,FALSE),
IF($A211&lt;'DWV ABS'!$A$117,VLOOKUP($A211,'DWV ABS'!$A$8:$M$116,9,FALSE),
IF($A211&lt;'PVC SCH40'!$A$376,VLOOKUP($A211,'PVC SCH40'!$A$8:$M$375,9,FALSE),
IF($A211&lt;'PVC SCH40 LD'!$A$22,VLOOKUP($A211,'PVC SCH40 LD'!$A$8:$M$21,9,FALSE),
IF($A211&lt;'Pool &amp; SPA Sweep Elbows'!$A$12,VLOOKUP($A211,'Pool &amp; SPA Sweep Elbows'!$A$8:$M$11,9,FALSE),
IF($A211&lt;'Pool &amp; SPA Pipe Extender'!$A$11,VLOOKUP($A211,'Pool &amp; SPA Pipe Extender'!$A$8:$M$10,9,FALSE),
IF($A211&lt;'PVC SCH80'!$A$250,VLOOKUP($A211,'PVC SCH80'!$A$8:$M$249,9,FALSE),
IF($A211&lt;'PVC SCH80 Flange'!$A$49,VLOOKUP($A211,'PVC SCH80 Flange'!$A$8:$M$48,9,FALSE),
IF($A211&lt;'PVC SCH80 LD Flange'!$A$17,VLOOKUP($A211,'PVC SCH80 LD Flange'!$A$8:$M$16,9,FALSE),
IF($A211&lt;CPVC!$A$100,VLOOKUP($A211,CPVC!$A$8:$M$99,9,FALSE),
IF($A211&lt;InsertFittings!$A$237,VLOOKUP($A211,InsertFittings!$A$11:$M$236,9,FALSE),
IF($A211&lt;Valves!$A$132,VLOOKUP($A211,Valves!$A$8:$M$131,9,FALSE),
IF($A211&lt;SDR35SW!$A$124,VLOOKUP($A211,SDR35SW!$A$8:$M$123,9,FALSE),
IF($A211&lt;SDR35G!$A$143,VLOOKUP($A211, SDR35G!$A$8:$M$142,9,FALSE),
IF($A211&lt;SDR26G!$A$61,VLOOKUP($A211,SDR26G!$A$8:$N$60,10,FALSE),
IF($A211&lt;Cements!$A$100,VLOOKUP($A211,Cements!$A$8:$Q$99,13,FALSE),
IF($A211&lt;ValveBox!$A$143,VLOOKUP($A211,ValveBox!$A$10:$O$142,11,FALSE),
IF($A211&lt;'ValveBox Components'!$A$165,VLOOKUP($A211,'ValveBox Components'!$A$10:$O$164,11,FALSE),
IF($A211&lt;Drainage!$A$92,VLOOKUP($A211,Drainage!$A$8:$M$91,9,FALSE),
IF($A211&lt;Nipples!$A$82,VLOOKUP($A211,Nipples!$A$9:$Q$81,13,FALSE),
IF($A211&lt;Manifold!$A$33,VLOOKUP($A211,Manifold!$A$9:$M$32,9,FALSE),
IF($A211&lt;FlexibleRepairCouplings!$A$13,VLOOKUP($A211,FlexibleRepairCouplings!$A$10:$M$12,9,FALSE),
IF($A211&lt;DuraFix!$A$15,VLOOKUP($A211,DuraFix!$A$9:$M$14,9,FALSE),
IF($A211&lt;'Compression Fittings'!$A$16,VLOOKUP($A211,'Compression Fittings'!$A$8:$M$15,9,FALSE),
IF($A211&lt;'Hose Fittings'!$A$30,VLOOKUP($A211,'Hose Fittings'!$A$8:$M$29,9,FALSE),
IF($A211&lt;'Swing Joints'!$A$496,VLOOKUP($A211,'Swing Joints'!$A$9:$M$495,9,FALSE),
IF($A211&lt;'Swing Joints Components'!$A$135,VLOOKUP($A211,'Swing Joints Components'!$A$9:$M$134,9,FALSE),
IF($A211&lt;Nonstandard!$A$42,VLOOKUP($A211,Nonstandard!$A$31:$J$41,8,FALSE),"")))))))))))))))))))))))))))),"")</f>
        <v/>
      </c>
      <c r="G211" s="416" t="str">
        <f>IFERROR(IF($A211&lt;'DWV PVC'!$A$285,VLOOKUP($A211,'DWV PVC'!$A$8:$M$284,11,FALSE),
IF($A211&lt;'DWV ABS'!$A$117,VLOOKUP($A211,'DWV ABS'!$A$8:$M$116,11,FALSE),
IF($A211&lt;'PVC SCH40'!$A$376,VLOOKUP($A211,'PVC SCH40'!$A$8:$M$375,11,FALSE),
IF($A211&lt;'PVC SCH40 LD'!$A$22,VLOOKUP($A211,'PVC SCH40 LD'!$A$8:$M$21,11,FALSE),
IF($A211&lt;'Pool &amp; SPA Sweep Elbows'!$A$12,VLOOKUP($A211,'Pool &amp; SPA Sweep Elbows'!$A$8:$M$11,11,FALSE),
IF($A211&lt;'Pool &amp; SPA Pipe Extender'!$A$11,VLOOKUP($A211,'Pool &amp; SPA Pipe Extender'!$A$8:$M$10,11,FALSE),
IF($A211&lt;'PVC SCH80'!$A$250,VLOOKUP($A211,'PVC SCH80'!$A$8:$M$249,11,FALSE),
IF($A211&lt;'PVC SCH80 Flange'!$A$49,VLOOKUP($A211,'PVC SCH80 Flange'!$A$8:$M$48,11,FALSE),
IF($A211&lt;'PVC SCH80 LD Flange'!$A$17,VLOOKUP($A211,'PVC SCH80 LD Flange'!$A$8:$M$16,11,FALSE),
IF($A211&lt;CPVC!$A$100,VLOOKUP($A211,CPVC!$A$8:$M$99,11,FALSE),
IF($A211&lt;InsertFittings!$A$237,VLOOKUP($A211,InsertFittings!$A$11:$M$236,11,FALSE),
IF($A211&lt;Valves!$A$132,VLOOKUP($A211,Valves!$A$8:$M$131,11,FALSE),
IF($A211&lt;SDR35SW!$A$124,VLOOKUP($A211,SDR35SW!$A$8:$M$123,11,FALSE),
IF($A211&lt;SDR35G!$A$143,VLOOKUP($A211, SDR35G!$A$8:$M$142,11,FALSE),
IF($A211&lt;SDR26G!$A$61,VLOOKUP($A211,SDR26G!$A$8:$N$60,12,FALSE),
IF($A211&lt;Cements!$A$100,VLOOKUP($A211,Cements!$A$8:$Q$99,15,FALSE),
IF($A211&lt;ValveBox!$A$143,VLOOKUP($A211,ValveBox!$A$10:$O$142,13,FALSE),
IF($A211&lt;'ValveBox Components'!$A$165,VLOOKUP($A211,'ValveBox Components'!$A$10:$O$164,13,FALSE),
IF($A211&lt;Drainage!$A$92,VLOOKUP($A211,Drainage!$A$8:$M$91,11,FALSE),
IF($A211&lt;Nipples!$A$82,VLOOKUP($A211,Nipples!$A$9:$Q$81,15,FALSE),
IF($A211&lt;Manifold!$A$33,VLOOKUP($A211,Manifold!$A$9:$M$32,11,FALSE),
IF($A211&lt;FlexibleRepairCouplings!$A$13,VLOOKUP($A211,FlexibleRepairCouplings!$A$10:$M$12,11,FALSE),
IF($A211&lt;DuraFix!$A$15,VLOOKUP($A211,DuraFix!$A$9:$M$14,11,FALSE),
IF($A211&lt;'Compression Fittings'!$A$16,VLOOKUP($A211,'Compression Fittings'!$A$8:$M$15,11,FALSE),
IF($A211&lt;'Hose Fittings'!$A$30,VLOOKUP($A211,'Hose Fittings'!$A$8:$M$29,11,FALSE),
IF($A211&lt;'Swing Joints'!$A$496,VLOOKUP($A211,'Swing Joints'!$A$9:$M$495,11,FALSE),
IF($A211&lt;'Swing Joints Components'!$A$135,VLOOKUP($A211,'Swing Joints Components'!$A$9:$M$134,11,FALSE),
IF($A211&lt;Nonstandard!$A$42,VLOOKUP($A211,Nonstandard!$A$31:$J$41,3,FALSE),"")))))))))))))))))))))))))))),"")</f>
        <v/>
      </c>
      <c r="H211" s="586" t="str">
        <f>IFERROR(IF($A211&lt;'DWV PVC'!$A$285,VLOOKUP($A211,'DWV PVC'!$A$8:$M$284,7,FALSE),
IF($A211&lt;'DWV ABS'!$A$117,VLOOKUP($A211,'DWV ABS'!$A$8:$M$116,7,FALSE),
IF($A211&lt;'PVC SCH40'!$A$376,VLOOKUP($A211,'PVC SCH40'!$A$8:$M$375,7,FALSE),
IF($A211&lt;'PVC SCH40 LD'!$A$22,VLOOKUP($A211,'PVC SCH40 LD'!$A$8:$M$21,7,FALSE),
IF($A211&lt;'Pool &amp; SPA Sweep Elbows'!$A$12,VLOOKUP($A211,'Pool &amp; SPA Sweep Elbows'!$A$8:$M$11,7,FALSE),
IF($A211&lt;'Pool &amp; SPA Pipe Extender'!$A$11,VLOOKUP($A211,'Pool &amp; SPA Pipe Extender'!$A$8:$M$10,7,FALSE),
IF($A211&lt;'PVC SCH80'!$A$250,VLOOKUP($A211,'PVC SCH80'!$A$8:$M$249,7,FALSE),
IF($A211&lt;'PVC SCH80 Flange'!$A$49,VLOOKUP($A211,'PVC SCH80 Flange'!$A$8:$M$48,7,FALSE),
IF($A211&lt;'PVC SCH80 LD Flange'!$A$17,VLOOKUP($A211,'PVC SCH80 LD Flange'!$A$8:$M$16,7,FALSE),
IF($A211&lt;CPVC!$A$100,VLOOKUP($A211,CPVC!$A$8:$M$99,7,FALSE),
IF($A211&lt;InsertFittings!$A$237,VLOOKUP($A211,InsertFittings!$A$11:$M$236,7,FALSE),
IF($A211&lt;Valves!$A$132,VLOOKUP($A211,Valves!$A$8:$M$131,7,FALSE),
IF($A211&lt;SDR35SW!$A$124,VLOOKUP($A211,SDR35SW!$A$8:$M$123,7,FALSE),
IF($A211&lt;SDR35G!$A$143,VLOOKUP($A211, SDR35G!$A$8:$M$142,7,FALSE),
IF($A211&lt;SDR26G!$A$61,VLOOKUP($A211,SDR26G!$A$8:$N$60,10,FALSE),
IF($A211&lt;Cements!$A$100,VLOOKUP($A211,Cements!$A$8:$Q$99,13,FALSE),
IF($A211&lt;ValveBox!$A$143,VLOOKUP($A211,ValveBox!$A$10:$O$142,11,FALSE),
IF($A211&lt;'ValveBox Components'!$A$165,VLOOKUP($A211,'ValveBox Components'!$A$10:$O$164,11,FALSE),
IF($A211&lt;Drainage!$A$92,VLOOKUP($A211,Drainage!$A$8:$M$91,7,FALSE),
IF($A211&lt;Nipples!$A$82,VLOOKUP($A211,Nipples!$A$9:$Q$81,13,FALSE),
IF($A211&lt;Manifold!$A$33,VLOOKUP($A211,Manifold!$A$9:$M$32,7,FALSE),
IF($A211&lt;FlexibleRepairCouplings!$A$13,VLOOKUP($A211,FlexibleRepairCouplings!$A$10:$M$12,7,FALSE),
IF($A211&lt;DuraFix!$A$15,VLOOKUP($A211,DuraFix!$A$9:$M$14,7,FALSE),
IF($A211&lt;'Compression Fittings'!$A$16,VLOOKUP($A211,'Compression Fittings'!$A$8:$M$15,7,FALSE),
IF($A211&lt;'Hose Fittings'!$A$30,VLOOKUP($A211,'Hose Fittings'!$A$8:$M$29,7,FALSE),
IF($A211&lt;'Swing Joints'!$A$496,VLOOKUP($A211,'Swing Joints'!$A$9:$M$495,7,FALSE),
IF($A211&lt;'Swing Joints Components'!$A$135,VLOOKUP($A211,'Swing Joints Components'!$A$9:$M$134,7,FALSE),
IF($A211&lt;Nonstandard!$A$42,VLOOKUP($A211,Nonstandard!$A$31:$J$41,3,FALSE),"")))))))))))))))))))))))))))),"")</f>
        <v/>
      </c>
      <c r="I211" s="587"/>
      <c r="J211" s="383" t="str">
        <f t="shared" si="5"/>
        <v/>
      </c>
      <c r="K211" s="417" t="str">
        <f>IFERROR(IF($A211&lt;'DWV PVC'!$A$285,VLOOKUP($A211,'DWV PVC'!$A$8:$M$284,10,FALSE),
IF($A211&lt;'DWV ABS'!$A$117,VLOOKUP($A211,'DWV ABS'!$A$8:$M$116,10,FALSE),
IF($A211&lt;'PVC SCH40'!$A$376,VLOOKUP($A211,'PVC SCH40'!$A$8:$M$375,10,FALSE),
IF($A211&lt;'PVC SCH40 LD'!$A$22,VLOOKUP($A211,'PVC SCH40 LD'!$A$8:$M$21,10,FALSE),
IF($A211&lt;'Pool &amp; SPA Sweep Elbows'!$A$12,VLOOKUP($A211,'Pool &amp; SPA Sweep Elbows'!$A$8:$M$11,10,FALSE),
IF($A211&lt;'Pool &amp; SPA Pipe Extender'!$A$11,VLOOKUP($A211,'Pool &amp; SPA Pipe Extender'!$A$8:$M$10,10,FALSE),
IF($A211&lt;'PVC SCH80'!$A$250,VLOOKUP($A211,'PVC SCH80'!$A$8:$M$249,10,FALSE),
IF($A211&lt;'PVC SCH80 Flange'!$A$49,VLOOKUP($A211,'PVC SCH80 Flange'!$A$8:$M$48,10,FALSE),
IF($A211&lt;'PVC SCH80 LD Flange'!$A$17,VLOOKUP($A211,'PVC SCH80 LD Flange'!$A$8:$M$16,10,FALSE),
IF($A211&lt;CPVC!$A$100,VLOOKUP($A211,CPVC!$A$8:$M$99,10,FALSE),
IF($A211&lt;InsertFittings!$A$237,VLOOKUP($A211,InsertFittings!$A$11:$M$236,10,FALSE),
IF($A211&lt;Valves!$A$132,VLOOKUP($A211,Valves!$A$8:$M$131,10,FALSE),
IF($A211&lt;SDR35SW!$A$124,VLOOKUP($A211,SDR35SW!$A$8:$M$123,10,FALSE),
IF($A211&lt;SDR35G!$A$143,VLOOKUP($A211, SDR35G!$A$8:$M$142,10,FALSE),
IF($A211&lt;SDR26G!$A$61,VLOOKUP($A211,SDR26G!$A$8:$N$60,11,FALSE),
IF($A211&lt;Cements!$A$100,VLOOKUP($A211,Cements!$A$8:$Q$99,14,FALSE),
IF($A211&lt;ValveBox!$A$143,VLOOKUP($A211,ValveBox!$A$10:$O$142,12,FALSE),
IF($A211&lt;'ValveBox Components'!$A$165,VLOOKUP($A211,'ValveBox Components'!$A$10:$O$164,12,FALSE),
IF($A211&lt;Drainage!$A$92,VLOOKUP($A211,Drainage!$A$8:$M$91,10,FALSE),
IF($A211&lt;Nipples!$A$82,VLOOKUP($A211,Nipples!$A$9:$Q$81,14,FALSE),
IF($A211&lt;Manifold!$A$33,VLOOKUP($A211,Manifold!$A$9:$M$32,10,FALSE),
IF($A211&lt;FlexibleRepairCouplings!$A$13,VLOOKUP($A211,FlexibleRepairCouplings!$A$10:$M$12,10,FALSE),
IF($A211&lt;DuraFix!$A$15,VLOOKUP($A211,DuraFix!$A$9:$M$14,10,FALSE),
IF($A211&lt;'Compression Fittings'!$A$16,VLOOKUP($A211,'Compression Fittings'!$A$8:$M$15,10,FALSE),
IF($A211&lt;'Hose Fittings'!$A$30,VLOOKUP($A211,'Hose Fittings'!$A$8:$M$29,10,FALSE),
IF($A211&lt;'Swing Joints'!$A$496,VLOOKUP($A211,'Swing Joints'!$A$9:$M$495,10,FALSE),
IF($A211&lt;'Swing Joints Components'!$A$135,VLOOKUP($A211,'Swing Joints Components'!$A$9:$M$134,10,FALSE),
IF($A211&lt;Nonstandard!$A$42,VLOOKUP($A211,Nonstandard!$A$31:$J$41,10,FALSE),"")))))))))))))))))))))))))))),"")</f>
        <v/>
      </c>
      <c r="L211" s="418" t="str">
        <f t="shared" si="4"/>
        <v>-</v>
      </c>
      <c r="M211" s="419"/>
    </row>
    <row r="212" spans="1:13" ht="15.75">
      <c r="A212" s="420">
        <v>180</v>
      </c>
      <c r="B212" s="420" t="str">
        <f>IFERROR(IF($A212&lt;'DWV PVC'!$A$285,VLOOKUP($A212,'DWV PVC'!$A$8:$M$284,4,FALSE),
IF($A212&lt;'DWV ABS'!$A$117,VLOOKUP($A212,'DWV ABS'!$A$8:$M$116,4,FALSE),
IF($A212&lt;'PVC SCH40'!$A$376,VLOOKUP($A212,'PVC SCH40'!$A$8:$M$375,4,FALSE),
IF($A212&lt;'PVC SCH40 LD'!$A$22,VLOOKUP($A212,'PVC SCH40 LD'!$A$8:$M$21,4,FALSE),
IF($A212&lt;'Pool &amp; SPA Sweep Elbows'!$A$12,VLOOKUP($A212,'Pool &amp; SPA Sweep Elbows'!$A$8:$M$11,4,FALSE),
IF($A212&lt;'Pool &amp; SPA Pipe Extender'!$A$11,VLOOKUP($A212,'Pool &amp; SPA Pipe Extender'!$A$8:$M$10,4,FALSE),
IF($A212&lt;'PVC SCH80'!$A$250,VLOOKUP($A212,'PVC SCH80'!$A$8:$M$249,4,FALSE),
IF($A212&lt;'PVC SCH80 Flange'!$A$49,VLOOKUP($A212,'PVC SCH80 Flange'!$A$8:$M$48,4,FALSE),
IF($A212&lt;'PVC SCH80 LD Flange'!$A$17,VLOOKUP($A212,'PVC SCH80 LD Flange'!$A$8:$M$16,4,FALSE),
IF($A212&lt;CPVC!$A$100,VLOOKUP($A212,CPVC!$A$8:$M$99,4,FALSE),
IF($A212&lt;InsertFittings!$A$237,VLOOKUP($A212,InsertFittings!$A$11:$M$236,4,FALSE),
IF($A212&lt;Valves!$A$132,VLOOKUP($A212,Valves!$A$8:$M$131,4,FALSE),
IF($A212&lt;SDR35SW!$A$124,VLOOKUP($A212,SDR35SW!$A$8:$M$123,4,FALSE),
IF($A212&lt;SDR35G!$A$143,VLOOKUP($A212, SDR35G!$A$8:$M$142,4,FALSE),
IF($A212&lt;SDR26G!$A$61,VLOOKUP($A212,SDR26G!$A$8:$N$60,4,FALSE),
IF($A212&lt;Cements!$A$100,VLOOKUP($A212,Cements!$A$8:$Q$99,4,FALSE),
IF($A212&lt;ValveBox!$A$143,VLOOKUP($A212,ValveBox!$A$10:$O$142,4,FALSE),
IF($A212&lt;'ValveBox Components'!$A$165,VLOOKUP($A212,'ValveBox Components'!$A$10:$O$164,4,FALSE),
IF($A212&lt;Drainage!$A$92,VLOOKUP($A212,Drainage!$A$8:$M$91,4,FALSE),
IF($A212&lt;Nipples!$A$82,VLOOKUP($A212,Nipples!$A$9:$Q$81,4,FALSE),
IF($A212&lt;Manifold!$A$33,VLOOKUP($A212,Manifold!$A$9:$M$32,4,FALSE),
IF($A212&lt;FlexibleRepairCouplings!$A$13,VLOOKUP($A212,FlexibleRepairCouplings!$A$10:$M$12,4,FALSE),
IF($A212&lt;DuraFix!$A$15,VLOOKUP($A212,DuraFix!$A$9:$M$14,4,FALSE),
IF($A212&lt;'Compression Fittings'!$A$16,VLOOKUP($A212,'Compression Fittings'!$A$8:$M$15,4,FALSE),
IF($A212&lt;'Hose Fittings'!$A$30,VLOOKUP($A212,'Hose Fittings'!$A$8:$M$29,4,FALSE),
IF($A212&lt;'Swing Joints'!$A$496,VLOOKUP($A212,'Swing Joints'!$A$9:$M$495,4,FALSE),
IF($A212&lt;'Swing Joints Components'!$A$135,VLOOKUP($A212,'Swing Joints Components'!$A$9:$M$134,4,FALSE),
IF($A212&lt;Nonstandard!$A$42,VLOOKUP($A212,Nonstandard!$A$31:$J$41,5,FALSE),"")))))))))))))))))))))))))))),"")</f>
        <v/>
      </c>
      <c r="C212" s="420" t="str">
        <f>IFERROR(IF($A212&lt;'DWV PVC'!$A$285,VLOOKUP($A212,'DWV PVC'!$A$8:$M$284,5,FALSE),
IF($A212&lt;'DWV ABS'!$A$117,VLOOKUP($A212,'DWV ABS'!$A$8:$M$116,5,FALSE),
IF($A212&lt;'PVC SCH40'!$A$376,VLOOKUP($A212,'PVC SCH40'!$A$8:$M$375,5,FALSE),
IF($A212&lt;'PVC SCH40 LD'!$A$22,VLOOKUP($A212,'PVC SCH40 LD'!$A$8:$M$21,5,FALSE),
IF($A212&lt;'Pool &amp; SPA Sweep Elbows'!$A$12,VLOOKUP($A212,'Pool &amp; SPA Sweep Elbows'!$A$8:$M$11,5,FALSE),
IF($A212&lt;'Pool &amp; SPA Pipe Extender'!$A$11,VLOOKUP($A212,'Pool &amp; SPA Pipe Extender'!$A$8:$M$10,5,FALSE),
IF($A212&lt;'PVC SCH80'!$A$250,VLOOKUP($A212,'PVC SCH80'!$A$8:$M$249,5,FALSE),
IF($A212&lt;'PVC SCH80 Flange'!$A$49,VLOOKUP($A212,'PVC SCH80 Flange'!$A$8:$M$48,5,FALSE),
IF($A212&lt;'PVC SCH80 LD Flange'!$A$17,VLOOKUP($A212,'PVC SCH80 LD Flange'!$A$8:$M$16,5,FALSE),
IF($A212&lt;CPVC!$A$100,VLOOKUP($A212,CPVC!$A$8:$M$99,5,FALSE),
IF($A212&lt;InsertFittings!$A$237,VLOOKUP($A212,InsertFittings!$A$11:$M$236,5,FALSE),
IF($A212&lt;Valves!$A$132,VLOOKUP($A212,Valves!$A$8:$M$131,5,FALSE),
IF($A212&lt;SDR35SW!$A$124,VLOOKUP($A212,SDR35SW!$A$8:$M$123,5,FALSE),
IF($A212&lt;SDR35G!$A$143,VLOOKUP($A212, SDR35G!$A$8:$M$142,5,FALSE),
IF($A212&lt;SDR26G!$A$61,VLOOKUP($A212,SDR26G!$A$8:$N$60,5,FALSE),
IF($A212&lt;Cements!$A$100,VLOOKUP($A212,Cements!$A$8:$Q$99,5,FALSE),
IF($A212&lt;ValveBox!$A$143,VLOOKUP($A212,ValveBox!$A$10:$O$142,5,FALSE),
IF($A212&lt;'ValveBox Components'!$A$165,VLOOKUP($A212,'ValveBox Components'!$A$10:$O$164,5,FALSE),
IF($A212&lt;Drainage!$A$92,VLOOKUP($A212,Drainage!$A$8:$M$91,5,FALSE),
IF($A212&lt;Nipples!$A$82,VLOOKUP($A212,Nipples!$A$9:$Q$81,5,FALSE),
IF($A212&lt;Manifold!$A$33,VLOOKUP($A212,Manifold!$A$9:$M$32,5,FALSE),
IF($A212&lt;FlexibleRepairCouplings!$A$13,VLOOKUP($A212,FlexibleRepairCouplings!$A$10:$M$12,5,FALSE),
IF($A212&lt;DuraFix!$A$15,VLOOKUP($A212,DuraFix!$A$9:$M$14,5,FALSE),
IF($A212&lt;'Compression Fittings'!$A$16,VLOOKUP($A212,'Compression Fittings'!$A$8:$M$15,5,FALSE),
IF($A212&lt;'Hose Fittings'!$A$30,VLOOKUP($A212,'Hose Fittings'!$A$8:$M$29,5,FALSE),
IF($A212&lt;'Swing Joints'!$A$496,VLOOKUP($A212,'Swing Joints'!$A$9:$M$495,5,FALSE),
IF($A212&lt;'Swing Joints Components'!$A$135,VLOOKUP($A212,'Swing Joints Components'!$A$9:$M$134,5,FALSE),
IF($A212&lt;Nonstandard!$A$42,VLOOKUP($A212,Nonstandard!$A$31:$J$41,6,FALSE),"")))))))))))))))))))))))))))),"")</f>
        <v/>
      </c>
      <c r="D212" s="428" t="str">
        <f>IFERROR(IF($A212&lt;'DWV PVC'!$A$285,VLOOKUP($A212,'DWV PVC'!$A$8:$M$284,6,FALSE),
IF($A212&lt;'DWV ABS'!$A$117,VLOOKUP($A212,'DWV ABS'!$A$8:$M$116,6,FALSE),
IF($A212&lt;'PVC SCH40'!$A$376,VLOOKUP($A212,'PVC SCH40'!$A$8:$M$375,6,FALSE),
IF($A212&lt;'PVC SCH40 LD'!$A$22,VLOOKUP($A212,'PVC SCH40 LD'!$A$8:$M$21,6,FALSE),
IF($A212&lt;'Pool &amp; SPA Sweep Elbows'!$A$12,VLOOKUP($A212,'Pool &amp; SPA Sweep Elbows'!$A$8:$M$11,6,FALSE),
IF($A212&lt;'Pool &amp; SPA Pipe Extender'!$A$11,VLOOKUP($A212,'Pool &amp; SPA Pipe Extender'!$A$8:$M$10,6,FALSE),
IF($A212&lt;'PVC SCH80'!$A$250,VLOOKUP($A212,'PVC SCH80'!$A$8:$M$249,6,FALSE),
IF($A212&lt;'PVC SCH80 Flange'!$A$49,VLOOKUP($A212,'PVC SCH80 Flange'!$A$8:$M$48,6,FALSE),
IF($A212&lt;'PVC SCH80 LD Flange'!$A$17,VLOOKUP($A212,'PVC SCH80 LD Flange'!$A$8:$M$16,6,FALSE),
IF($A212&lt;CPVC!$A$100,VLOOKUP($A212,CPVC!$A$8:$M$99,6,FALSE),
IF($A212&lt;InsertFittings!$A$237,VLOOKUP($A212,InsertFittings!$A$11:$M$236,6,FALSE),
IF($A212&lt;Valves!$A$132,VLOOKUP($A212,Valves!$A$8:$M$131,6,FALSE),
IF($A212&lt;SDR35SW!$A$124,VLOOKUP($A212,SDR35SW!$A$8:$M$123,6,FALSE),
IF($A212&lt;SDR35G!$A$143,VLOOKUP($A212, SDR35G!$A$8:$M$142,6,FALSE),
IF($A212&lt;SDR26G!$A$61,VLOOKUP($A212,SDR26G!$A$8:$N$60,6,FALSE),
IF($A212&lt;Cements!$A$100,VLOOKUP($A212,Cements!$A$8:$Q$99,6,FALSE),
IF($A212&lt;ValveBox!$A$143,VLOOKUP($A212,ValveBox!$A$10:$O$142,6,FALSE),
IF($A212&lt;'ValveBox Components'!$A$165,VLOOKUP($A212,'ValveBox Components'!$A$10:$O$164,6,FALSE),
IF($A212&lt;Drainage!$A$92,VLOOKUP($A212,Drainage!$A$8:$M$91,6,FALSE),
IF($A212&lt;Nipples!$A$82,VLOOKUP($A212,Nipples!$A$9:$Q$81,6,FALSE),
IF($A212&lt;Manifold!$A$33,VLOOKUP($A212,Manifold!$A$9:$M$32,6,FALSE),
IF($A212&lt;FlexibleRepairCouplings!$A$13,VLOOKUP($A212,FlexibleRepairCouplings!$A$10:$M$12,6,FALSE),
IF($A212&lt;DuraFix!$A$15,VLOOKUP($A212,DuraFix!$A$9:$M$14,6,FALSE),
IF($A212&lt;'Compression Fittings'!$A$16,VLOOKUP($A212,'Compression Fittings'!$A$8:$M$15,6,FALSE),
IF($A212&lt;'Hose Fittings'!$A$30,VLOOKUP($A212,'Hose Fittings'!$A$8:$M$29,6,FALSE),
IF($A212&lt;'Swing Joints'!$A$496,VLOOKUP($A212,'Swing Joints'!$A$9:$M$495,6,FALSE),
IF($A212&lt;'Swing Joints Components'!$A$135,VLOOKUP($A212,'Swing Joints Components'!$A$9:$M$134,6,FALSE),
IF($A212&lt;Nonstandard!$A$42,VLOOKUP($A212,Nonstandard!$A$31:$J$41,7,FALSE),"")))))))))))))))))))))))))))),"")</f>
        <v/>
      </c>
      <c r="E212" s="429"/>
      <c r="F212" s="421" t="str">
        <f>IFERROR(IF($A212&lt;'DWV PVC'!$A$285,VLOOKUP($A212,'DWV PVC'!$A$8:$M$284,9,FALSE),
IF($A212&lt;'DWV ABS'!$A$117,VLOOKUP($A212,'DWV ABS'!$A$8:$M$116,9,FALSE),
IF($A212&lt;'PVC SCH40'!$A$376,VLOOKUP($A212,'PVC SCH40'!$A$8:$M$375,9,FALSE),
IF($A212&lt;'PVC SCH40 LD'!$A$22,VLOOKUP($A212,'PVC SCH40 LD'!$A$8:$M$21,9,FALSE),
IF($A212&lt;'Pool &amp; SPA Sweep Elbows'!$A$12,VLOOKUP($A212,'Pool &amp; SPA Sweep Elbows'!$A$8:$M$11,9,FALSE),
IF($A212&lt;'Pool &amp; SPA Pipe Extender'!$A$11,VLOOKUP($A212,'Pool &amp; SPA Pipe Extender'!$A$8:$M$10,9,FALSE),
IF($A212&lt;'PVC SCH80'!$A$250,VLOOKUP($A212,'PVC SCH80'!$A$8:$M$249,9,FALSE),
IF($A212&lt;'PVC SCH80 Flange'!$A$49,VLOOKUP($A212,'PVC SCH80 Flange'!$A$8:$M$48,9,FALSE),
IF($A212&lt;'PVC SCH80 LD Flange'!$A$17,VLOOKUP($A212,'PVC SCH80 LD Flange'!$A$8:$M$16,9,FALSE),
IF($A212&lt;CPVC!$A$100,VLOOKUP($A212,CPVC!$A$8:$M$99,9,FALSE),
IF($A212&lt;InsertFittings!$A$237,VLOOKUP($A212,InsertFittings!$A$11:$M$236,9,FALSE),
IF($A212&lt;Valves!$A$132,VLOOKUP($A212,Valves!$A$8:$M$131,9,FALSE),
IF($A212&lt;SDR35SW!$A$124,VLOOKUP($A212,SDR35SW!$A$8:$M$123,9,FALSE),
IF($A212&lt;SDR35G!$A$143,VLOOKUP($A212, SDR35G!$A$8:$M$142,9,FALSE),
IF($A212&lt;SDR26G!$A$61,VLOOKUP($A212,SDR26G!$A$8:$N$60,10,FALSE),
IF($A212&lt;Cements!$A$100,VLOOKUP($A212,Cements!$A$8:$Q$99,13,FALSE),
IF($A212&lt;ValveBox!$A$143,VLOOKUP($A212,ValveBox!$A$10:$O$142,11,FALSE),
IF($A212&lt;'ValveBox Components'!$A$165,VLOOKUP($A212,'ValveBox Components'!$A$10:$O$164,11,FALSE),
IF($A212&lt;Drainage!$A$92,VLOOKUP($A212,Drainage!$A$8:$M$91,9,FALSE),
IF($A212&lt;Nipples!$A$82,VLOOKUP($A212,Nipples!$A$9:$Q$81,13,FALSE),
IF($A212&lt;Manifold!$A$33,VLOOKUP($A212,Manifold!$A$9:$M$32,9,FALSE),
IF($A212&lt;FlexibleRepairCouplings!$A$13,VLOOKUP($A212,FlexibleRepairCouplings!$A$10:$M$12,9,FALSE),
IF($A212&lt;DuraFix!$A$15,VLOOKUP($A212,DuraFix!$A$9:$M$14,9,FALSE),
IF($A212&lt;'Compression Fittings'!$A$16,VLOOKUP($A212,'Compression Fittings'!$A$8:$M$15,9,FALSE),
IF($A212&lt;'Hose Fittings'!$A$30,VLOOKUP($A212,'Hose Fittings'!$A$8:$M$29,9,FALSE),
IF($A212&lt;'Swing Joints'!$A$496,VLOOKUP($A212,'Swing Joints'!$A$9:$M$495,9,FALSE),
IF($A212&lt;'Swing Joints Components'!$A$135,VLOOKUP($A212,'Swing Joints Components'!$A$9:$M$134,9,FALSE),
IF($A212&lt;Nonstandard!$A$42,VLOOKUP($A212,Nonstandard!$A$31:$J$41,8,FALSE),"")))))))))))))))))))))))))))),"")</f>
        <v/>
      </c>
      <c r="G212" s="422" t="str">
        <f>IFERROR(IF($A212&lt;'DWV PVC'!$A$285,VLOOKUP($A212,'DWV PVC'!$A$8:$M$284,11,FALSE),
IF($A212&lt;'DWV ABS'!$A$117,VLOOKUP($A212,'DWV ABS'!$A$8:$M$116,11,FALSE),
IF($A212&lt;'PVC SCH40'!$A$376,VLOOKUP($A212,'PVC SCH40'!$A$8:$M$375,11,FALSE),
IF($A212&lt;'PVC SCH40 LD'!$A$22,VLOOKUP($A212,'PVC SCH40 LD'!$A$8:$M$21,11,FALSE),
IF($A212&lt;'Pool &amp; SPA Sweep Elbows'!$A$12,VLOOKUP($A212,'Pool &amp; SPA Sweep Elbows'!$A$8:$M$11,11,FALSE),
IF($A212&lt;'Pool &amp; SPA Pipe Extender'!$A$11,VLOOKUP($A212,'Pool &amp; SPA Pipe Extender'!$A$8:$M$10,11,FALSE),
IF($A212&lt;'PVC SCH80'!$A$250,VLOOKUP($A212,'PVC SCH80'!$A$8:$M$249,11,FALSE),
IF($A212&lt;'PVC SCH80 Flange'!$A$49,VLOOKUP($A212,'PVC SCH80 Flange'!$A$8:$M$48,11,FALSE),
IF($A212&lt;'PVC SCH80 LD Flange'!$A$17,VLOOKUP($A212,'PVC SCH80 LD Flange'!$A$8:$M$16,11,FALSE),
IF($A212&lt;CPVC!$A$100,VLOOKUP($A212,CPVC!$A$8:$M$99,11,FALSE),
IF($A212&lt;InsertFittings!$A$237,VLOOKUP($A212,InsertFittings!$A$11:$M$236,11,FALSE),
IF($A212&lt;Valves!$A$132,VLOOKUP($A212,Valves!$A$8:$M$131,11,FALSE),
IF($A212&lt;SDR35SW!$A$124,VLOOKUP($A212,SDR35SW!$A$8:$M$123,11,FALSE),
IF($A212&lt;SDR35G!$A$143,VLOOKUP($A212, SDR35G!$A$8:$M$142,11,FALSE),
IF($A212&lt;SDR26G!$A$61,VLOOKUP($A212,SDR26G!$A$8:$N$60,12,FALSE),
IF($A212&lt;Cements!$A$100,VLOOKUP($A212,Cements!$A$8:$Q$99,15,FALSE),
IF($A212&lt;ValveBox!$A$143,VLOOKUP($A212,ValveBox!$A$10:$O$142,13,FALSE),
IF($A212&lt;'ValveBox Components'!$A$165,VLOOKUP($A212,'ValveBox Components'!$A$10:$O$164,13,FALSE),
IF($A212&lt;Drainage!$A$92,VLOOKUP($A212,Drainage!$A$8:$M$91,11,FALSE),
IF($A212&lt;Nipples!$A$82,VLOOKUP($A212,Nipples!$A$9:$Q$81,15,FALSE),
IF($A212&lt;Manifold!$A$33,VLOOKUP($A212,Manifold!$A$9:$M$32,11,FALSE),
IF($A212&lt;FlexibleRepairCouplings!$A$13,VLOOKUP($A212,FlexibleRepairCouplings!$A$10:$M$12,11,FALSE),
IF($A212&lt;DuraFix!$A$15,VLOOKUP($A212,DuraFix!$A$9:$M$14,11,FALSE),
IF($A212&lt;'Compression Fittings'!$A$16,VLOOKUP($A212,'Compression Fittings'!$A$8:$M$15,11,FALSE),
IF($A212&lt;'Hose Fittings'!$A$30,VLOOKUP($A212,'Hose Fittings'!$A$8:$M$29,11,FALSE),
IF($A212&lt;'Swing Joints'!$A$496,VLOOKUP($A212,'Swing Joints'!$A$9:$M$495,11,FALSE),
IF($A212&lt;'Swing Joints Components'!$A$135,VLOOKUP($A212,'Swing Joints Components'!$A$9:$M$134,11,FALSE),
IF($A212&lt;Nonstandard!$A$42,VLOOKUP($A212,Nonstandard!$A$31:$J$41,3,FALSE),"")))))))))))))))))))))))))))),"")</f>
        <v/>
      </c>
      <c r="H212" s="588" t="str">
        <f>IFERROR(IF($A212&lt;'DWV PVC'!$A$285,VLOOKUP($A212,'DWV PVC'!$A$8:$M$284,7,FALSE),
IF($A212&lt;'DWV ABS'!$A$117,VLOOKUP($A212,'DWV ABS'!$A$8:$M$116,7,FALSE),
IF($A212&lt;'PVC SCH40'!$A$376,VLOOKUP($A212,'PVC SCH40'!$A$8:$M$375,7,FALSE),
IF($A212&lt;'PVC SCH40 LD'!$A$22,VLOOKUP($A212,'PVC SCH40 LD'!$A$8:$M$21,7,FALSE),
IF($A212&lt;'Pool &amp; SPA Sweep Elbows'!$A$12,VLOOKUP($A212,'Pool &amp; SPA Sweep Elbows'!$A$8:$M$11,7,FALSE),
IF($A212&lt;'Pool &amp; SPA Pipe Extender'!$A$11,VLOOKUP($A212,'Pool &amp; SPA Pipe Extender'!$A$8:$M$10,7,FALSE),
IF($A212&lt;'PVC SCH80'!$A$250,VLOOKUP($A212,'PVC SCH80'!$A$8:$M$249,7,FALSE),
IF($A212&lt;'PVC SCH80 Flange'!$A$49,VLOOKUP($A212,'PVC SCH80 Flange'!$A$8:$M$48,7,FALSE),
IF($A212&lt;'PVC SCH80 LD Flange'!$A$17,VLOOKUP($A212,'PVC SCH80 LD Flange'!$A$8:$M$16,7,FALSE),
IF($A212&lt;CPVC!$A$100,VLOOKUP($A212,CPVC!$A$8:$M$99,7,FALSE),
IF($A212&lt;InsertFittings!$A$237,VLOOKUP($A212,InsertFittings!$A$11:$M$236,7,FALSE),
IF($A212&lt;Valves!$A$132,VLOOKUP($A212,Valves!$A$8:$M$131,7,FALSE),
IF($A212&lt;SDR35SW!$A$124,VLOOKUP($A212,SDR35SW!$A$8:$M$123,7,FALSE),
IF($A212&lt;SDR35G!$A$143,VLOOKUP($A212, SDR35G!$A$8:$M$142,7,FALSE),
IF($A212&lt;SDR26G!$A$61,VLOOKUP($A212,SDR26G!$A$8:$N$60,10,FALSE),
IF($A212&lt;Cements!$A$100,VLOOKUP($A212,Cements!$A$8:$Q$99,13,FALSE),
IF($A212&lt;ValveBox!$A$143,VLOOKUP($A212,ValveBox!$A$10:$O$142,11,FALSE),
IF($A212&lt;'ValveBox Components'!$A$165,VLOOKUP($A212,'ValveBox Components'!$A$10:$O$164,11,FALSE),
IF($A212&lt;Drainage!$A$92,VLOOKUP($A212,Drainage!$A$8:$M$91,7,FALSE),
IF($A212&lt;Nipples!$A$82,VLOOKUP($A212,Nipples!$A$9:$Q$81,13,FALSE),
IF($A212&lt;Manifold!$A$33,VLOOKUP($A212,Manifold!$A$9:$M$32,7,FALSE),
IF($A212&lt;FlexibleRepairCouplings!$A$13,VLOOKUP($A212,FlexibleRepairCouplings!$A$10:$M$12,7,FALSE),
IF($A212&lt;DuraFix!$A$15,VLOOKUP($A212,DuraFix!$A$9:$M$14,7,FALSE),
IF($A212&lt;'Compression Fittings'!$A$16,VLOOKUP($A212,'Compression Fittings'!$A$8:$M$15,7,FALSE),
IF($A212&lt;'Hose Fittings'!$A$30,VLOOKUP($A212,'Hose Fittings'!$A$8:$M$29,7,FALSE),
IF($A212&lt;'Swing Joints'!$A$496,VLOOKUP($A212,'Swing Joints'!$A$9:$M$495,7,FALSE),
IF($A212&lt;'Swing Joints Components'!$A$135,VLOOKUP($A212,'Swing Joints Components'!$A$9:$M$134,7,FALSE),
IF($A212&lt;Nonstandard!$A$42,VLOOKUP($A212,Nonstandard!$A$31:$J$41,3,FALSE),"")))))))))))))))))))))))))))),"")</f>
        <v/>
      </c>
      <c r="I212" s="589"/>
      <c r="J212" s="423" t="str">
        <f t="shared" si="5"/>
        <v/>
      </c>
      <c r="K212" s="424" t="str">
        <f>IFERROR(IF($A212&lt;'DWV PVC'!$A$285,VLOOKUP($A212,'DWV PVC'!$A$8:$M$284,10,FALSE),
IF($A212&lt;'DWV ABS'!$A$117,VLOOKUP($A212,'DWV ABS'!$A$8:$M$116,10,FALSE),
IF($A212&lt;'PVC SCH40'!$A$376,VLOOKUP($A212,'PVC SCH40'!$A$8:$M$375,10,FALSE),
IF($A212&lt;'PVC SCH40 LD'!$A$22,VLOOKUP($A212,'PVC SCH40 LD'!$A$8:$M$21,10,FALSE),
IF($A212&lt;'Pool &amp; SPA Sweep Elbows'!$A$12,VLOOKUP($A212,'Pool &amp; SPA Sweep Elbows'!$A$8:$M$11,10,FALSE),
IF($A212&lt;'Pool &amp; SPA Pipe Extender'!$A$11,VLOOKUP($A212,'Pool &amp; SPA Pipe Extender'!$A$8:$M$10,10,FALSE),
IF($A212&lt;'PVC SCH80'!$A$250,VLOOKUP($A212,'PVC SCH80'!$A$8:$M$249,10,FALSE),
IF($A212&lt;'PVC SCH80 Flange'!$A$49,VLOOKUP($A212,'PVC SCH80 Flange'!$A$8:$M$48,10,FALSE),
IF($A212&lt;'PVC SCH80 LD Flange'!$A$17,VLOOKUP($A212,'PVC SCH80 LD Flange'!$A$8:$M$16,10,FALSE),
IF($A212&lt;CPVC!$A$100,VLOOKUP($A212,CPVC!$A$8:$M$99,10,FALSE),
IF($A212&lt;InsertFittings!$A$237,VLOOKUP($A212,InsertFittings!$A$11:$M$236,10,FALSE),
IF($A212&lt;Valves!$A$132,VLOOKUP($A212,Valves!$A$8:$M$131,10,FALSE),
IF($A212&lt;SDR35SW!$A$124,VLOOKUP($A212,SDR35SW!$A$8:$M$123,10,FALSE),
IF($A212&lt;SDR35G!$A$143,VLOOKUP($A212, SDR35G!$A$8:$M$142,10,FALSE),
IF($A212&lt;SDR26G!$A$61,VLOOKUP($A212,SDR26G!$A$8:$N$60,11,FALSE),
IF($A212&lt;Cements!$A$100,VLOOKUP($A212,Cements!$A$8:$Q$99,14,FALSE),
IF($A212&lt;ValveBox!$A$143,VLOOKUP($A212,ValveBox!$A$10:$O$142,12,FALSE),
IF($A212&lt;'ValveBox Components'!$A$165,VLOOKUP($A212,'ValveBox Components'!$A$10:$O$164,12,FALSE),
IF($A212&lt;Drainage!$A$92,VLOOKUP($A212,Drainage!$A$8:$M$91,10,FALSE),
IF($A212&lt;Nipples!$A$82,VLOOKUP($A212,Nipples!$A$9:$Q$81,14,FALSE),
IF($A212&lt;Manifold!$A$33,VLOOKUP($A212,Manifold!$A$9:$M$32,10,FALSE),
IF($A212&lt;FlexibleRepairCouplings!$A$13,VLOOKUP($A212,FlexibleRepairCouplings!$A$10:$M$12,10,FALSE),
IF($A212&lt;DuraFix!$A$15,VLOOKUP($A212,DuraFix!$A$9:$M$14,10,FALSE),
IF($A212&lt;'Compression Fittings'!$A$16,VLOOKUP($A212,'Compression Fittings'!$A$8:$M$15,10,FALSE),
IF($A212&lt;'Hose Fittings'!$A$30,VLOOKUP($A212,'Hose Fittings'!$A$8:$M$29,10,FALSE),
IF($A212&lt;'Swing Joints'!$A$496,VLOOKUP($A212,'Swing Joints'!$A$9:$M$495,10,FALSE),
IF($A212&lt;'Swing Joints Components'!$A$135,VLOOKUP($A212,'Swing Joints Components'!$A$9:$M$134,10,FALSE),
IF($A212&lt;Nonstandard!$A$42,VLOOKUP($A212,Nonstandard!$A$31:$J$41,10,FALSE),"")))))))))))))))))))))))))))),"")</f>
        <v/>
      </c>
      <c r="L212" s="421" t="str">
        <f t="shared" si="4"/>
        <v>-</v>
      </c>
      <c r="M212" s="425"/>
    </row>
    <row r="213" spans="1:13" ht="15.75">
      <c r="A213" s="415">
        <v>181</v>
      </c>
      <c r="B213" s="415" t="str">
        <f>IFERROR(IF($A213&lt;'DWV PVC'!$A$285,VLOOKUP($A213,'DWV PVC'!$A$8:$M$284,4,FALSE),
IF($A213&lt;'DWV ABS'!$A$117,VLOOKUP($A213,'DWV ABS'!$A$8:$M$116,4,FALSE),
IF($A213&lt;'PVC SCH40'!$A$376,VLOOKUP($A213,'PVC SCH40'!$A$8:$M$375,4,FALSE),
IF($A213&lt;'PVC SCH40 LD'!$A$22,VLOOKUP($A213,'PVC SCH40 LD'!$A$8:$M$21,4,FALSE),
IF($A213&lt;'Pool &amp; SPA Sweep Elbows'!$A$12,VLOOKUP($A213,'Pool &amp; SPA Sweep Elbows'!$A$8:$M$11,4,FALSE),
IF($A213&lt;'Pool &amp; SPA Pipe Extender'!$A$11,VLOOKUP($A213,'Pool &amp; SPA Pipe Extender'!$A$8:$M$10,4,FALSE),
IF($A213&lt;'PVC SCH80'!$A$250,VLOOKUP($A213,'PVC SCH80'!$A$8:$M$249,4,FALSE),
IF($A213&lt;'PVC SCH80 Flange'!$A$49,VLOOKUP($A213,'PVC SCH80 Flange'!$A$8:$M$48,4,FALSE),
IF($A213&lt;'PVC SCH80 LD Flange'!$A$17,VLOOKUP($A213,'PVC SCH80 LD Flange'!$A$8:$M$16,4,FALSE),
IF($A213&lt;CPVC!$A$100,VLOOKUP($A213,CPVC!$A$8:$M$99,4,FALSE),
IF($A213&lt;InsertFittings!$A$237,VLOOKUP($A213,InsertFittings!$A$11:$M$236,4,FALSE),
IF($A213&lt;Valves!$A$132,VLOOKUP($A213,Valves!$A$8:$M$131,4,FALSE),
IF($A213&lt;SDR35SW!$A$124,VLOOKUP($A213,SDR35SW!$A$8:$M$123,4,FALSE),
IF($A213&lt;SDR35G!$A$143,VLOOKUP($A213, SDR35G!$A$8:$M$142,4,FALSE),
IF($A213&lt;SDR26G!$A$61,VLOOKUP($A213,SDR26G!$A$8:$N$60,4,FALSE),
IF($A213&lt;Cements!$A$100,VLOOKUP($A213,Cements!$A$8:$Q$99,4,FALSE),
IF($A213&lt;ValveBox!$A$143,VLOOKUP($A213,ValveBox!$A$10:$O$142,4,FALSE),
IF($A213&lt;'ValveBox Components'!$A$165,VLOOKUP($A213,'ValveBox Components'!$A$10:$O$164,4,FALSE),
IF($A213&lt;Drainage!$A$92,VLOOKUP($A213,Drainage!$A$8:$M$91,4,FALSE),
IF($A213&lt;Nipples!$A$82,VLOOKUP($A213,Nipples!$A$9:$Q$81,4,FALSE),
IF($A213&lt;Manifold!$A$33,VLOOKUP($A213,Manifold!$A$9:$M$32,4,FALSE),
IF($A213&lt;FlexibleRepairCouplings!$A$13,VLOOKUP($A213,FlexibleRepairCouplings!$A$10:$M$12,4,FALSE),
IF($A213&lt;DuraFix!$A$15,VLOOKUP($A213,DuraFix!$A$9:$M$14,4,FALSE),
IF($A213&lt;'Compression Fittings'!$A$16,VLOOKUP($A213,'Compression Fittings'!$A$8:$M$15,4,FALSE),
IF($A213&lt;'Hose Fittings'!$A$30,VLOOKUP($A213,'Hose Fittings'!$A$8:$M$29,4,FALSE),
IF($A213&lt;'Swing Joints'!$A$496,VLOOKUP($A213,'Swing Joints'!$A$9:$M$495,4,FALSE),
IF($A213&lt;'Swing Joints Components'!$A$135,VLOOKUP($A213,'Swing Joints Components'!$A$9:$M$134,4,FALSE),
IF($A213&lt;Nonstandard!$A$42,VLOOKUP($A213,Nonstandard!$A$31:$J$41,5,FALSE),"")))))))))))))))))))))))))))),"")</f>
        <v/>
      </c>
      <c r="C213" s="415" t="str">
        <f>IFERROR(IF($A213&lt;'DWV PVC'!$A$285,VLOOKUP($A213,'DWV PVC'!$A$8:$M$284,5,FALSE),
IF($A213&lt;'DWV ABS'!$A$117,VLOOKUP($A213,'DWV ABS'!$A$8:$M$116,5,FALSE),
IF($A213&lt;'PVC SCH40'!$A$376,VLOOKUP($A213,'PVC SCH40'!$A$8:$M$375,5,FALSE),
IF($A213&lt;'PVC SCH40 LD'!$A$22,VLOOKUP($A213,'PVC SCH40 LD'!$A$8:$M$21,5,FALSE),
IF($A213&lt;'Pool &amp; SPA Sweep Elbows'!$A$12,VLOOKUP($A213,'Pool &amp; SPA Sweep Elbows'!$A$8:$M$11,5,FALSE),
IF($A213&lt;'Pool &amp; SPA Pipe Extender'!$A$11,VLOOKUP($A213,'Pool &amp; SPA Pipe Extender'!$A$8:$M$10,5,FALSE),
IF($A213&lt;'PVC SCH80'!$A$250,VLOOKUP($A213,'PVC SCH80'!$A$8:$M$249,5,FALSE),
IF($A213&lt;'PVC SCH80 Flange'!$A$49,VLOOKUP($A213,'PVC SCH80 Flange'!$A$8:$M$48,5,FALSE),
IF($A213&lt;'PVC SCH80 LD Flange'!$A$17,VLOOKUP($A213,'PVC SCH80 LD Flange'!$A$8:$M$16,5,FALSE),
IF($A213&lt;CPVC!$A$100,VLOOKUP($A213,CPVC!$A$8:$M$99,5,FALSE),
IF($A213&lt;InsertFittings!$A$237,VLOOKUP($A213,InsertFittings!$A$11:$M$236,5,FALSE),
IF($A213&lt;Valves!$A$132,VLOOKUP($A213,Valves!$A$8:$M$131,5,FALSE),
IF($A213&lt;SDR35SW!$A$124,VLOOKUP($A213,SDR35SW!$A$8:$M$123,5,FALSE),
IF($A213&lt;SDR35G!$A$143,VLOOKUP($A213, SDR35G!$A$8:$M$142,5,FALSE),
IF($A213&lt;SDR26G!$A$61,VLOOKUP($A213,SDR26G!$A$8:$N$60,5,FALSE),
IF($A213&lt;Cements!$A$100,VLOOKUP($A213,Cements!$A$8:$Q$99,5,FALSE),
IF($A213&lt;ValveBox!$A$143,VLOOKUP($A213,ValveBox!$A$10:$O$142,5,FALSE),
IF($A213&lt;'ValveBox Components'!$A$165,VLOOKUP($A213,'ValveBox Components'!$A$10:$O$164,5,FALSE),
IF($A213&lt;Drainage!$A$92,VLOOKUP($A213,Drainage!$A$8:$M$91,5,FALSE),
IF($A213&lt;Nipples!$A$82,VLOOKUP($A213,Nipples!$A$9:$Q$81,5,FALSE),
IF($A213&lt;Manifold!$A$33,VLOOKUP($A213,Manifold!$A$9:$M$32,5,FALSE),
IF($A213&lt;FlexibleRepairCouplings!$A$13,VLOOKUP($A213,FlexibleRepairCouplings!$A$10:$M$12,5,FALSE),
IF($A213&lt;DuraFix!$A$15,VLOOKUP($A213,DuraFix!$A$9:$M$14,5,FALSE),
IF($A213&lt;'Compression Fittings'!$A$16,VLOOKUP($A213,'Compression Fittings'!$A$8:$M$15,5,FALSE),
IF($A213&lt;'Hose Fittings'!$A$30,VLOOKUP($A213,'Hose Fittings'!$A$8:$M$29,5,FALSE),
IF($A213&lt;'Swing Joints'!$A$496,VLOOKUP($A213,'Swing Joints'!$A$9:$M$495,5,FALSE),
IF($A213&lt;'Swing Joints Components'!$A$135,VLOOKUP($A213,'Swing Joints Components'!$A$9:$M$134,5,FALSE),
IF($A213&lt;Nonstandard!$A$42,VLOOKUP($A213,Nonstandard!$A$31:$J$41,6,FALSE),"")))))))))))))))))))))))))))),"")</f>
        <v/>
      </c>
      <c r="D213" s="426" t="str">
        <f>IFERROR(IF($A213&lt;'DWV PVC'!$A$285,VLOOKUP($A213,'DWV PVC'!$A$8:$M$284,6,FALSE),
IF($A213&lt;'DWV ABS'!$A$117,VLOOKUP($A213,'DWV ABS'!$A$8:$M$116,6,FALSE),
IF($A213&lt;'PVC SCH40'!$A$376,VLOOKUP($A213,'PVC SCH40'!$A$8:$M$375,6,FALSE),
IF($A213&lt;'PVC SCH40 LD'!$A$22,VLOOKUP($A213,'PVC SCH40 LD'!$A$8:$M$21,6,FALSE),
IF($A213&lt;'Pool &amp; SPA Sweep Elbows'!$A$12,VLOOKUP($A213,'Pool &amp; SPA Sweep Elbows'!$A$8:$M$11,6,FALSE),
IF($A213&lt;'Pool &amp; SPA Pipe Extender'!$A$11,VLOOKUP($A213,'Pool &amp; SPA Pipe Extender'!$A$8:$M$10,6,FALSE),
IF($A213&lt;'PVC SCH80'!$A$250,VLOOKUP($A213,'PVC SCH80'!$A$8:$M$249,6,FALSE),
IF($A213&lt;'PVC SCH80 Flange'!$A$49,VLOOKUP($A213,'PVC SCH80 Flange'!$A$8:$M$48,6,FALSE),
IF($A213&lt;'PVC SCH80 LD Flange'!$A$17,VLOOKUP($A213,'PVC SCH80 LD Flange'!$A$8:$M$16,6,FALSE),
IF($A213&lt;CPVC!$A$100,VLOOKUP($A213,CPVC!$A$8:$M$99,6,FALSE),
IF($A213&lt;InsertFittings!$A$237,VLOOKUP($A213,InsertFittings!$A$11:$M$236,6,FALSE),
IF($A213&lt;Valves!$A$132,VLOOKUP($A213,Valves!$A$8:$M$131,6,FALSE),
IF($A213&lt;SDR35SW!$A$124,VLOOKUP($A213,SDR35SW!$A$8:$M$123,6,FALSE),
IF($A213&lt;SDR35G!$A$143,VLOOKUP($A213, SDR35G!$A$8:$M$142,6,FALSE),
IF($A213&lt;SDR26G!$A$61,VLOOKUP($A213,SDR26G!$A$8:$N$60,6,FALSE),
IF($A213&lt;Cements!$A$100,VLOOKUP($A213,Cements!$A$8:$Q$99,6,FALSE),
IF($A213&lt;ValveBox!$A$143,VLOOKUP($A213,ValveBox!$A$10:$O$142,6,FALSE),
IF($A213&lt;'ValveBox Components'!$A$165,VLOOKUP($A213,'ValveBox Components'!$A$10:$O$164,6,FALSE),
IF($A213&lt;Drainage!$A$92,VLOOKUP($A213,Drainage!$A$8:$M$91,6,FALSE),
IF($A213&lt;Nipples!$A$82,VLOOKUP($A213,Nipples!$A$9:$Q$81,6,FALSE),
IF($A213&lt;Manifold!$A$33,VLOOKUP($A213,Manifold!$A$9:$M$32,6,FALSE),
IF($A213&lt;FlexibleRepairCouplings!$A$13,VLOOKUP($A213,FlexibleRepairCouplings!$A$10:$M$12,6,FALSE),
IF($A213&lt;DuraFix!$A$15,VLOOKUP($A213,DuraFix!$A$9:$M$14,6,FALSE),
IF($A213&lt;'Compression Fittings'!$A$16,VLOOKUP($A213,'Compression Fittings'!$A$8:$M$15,6,FALSE),
IF($A213&lt;'Hose Fittings'!$A$30,VLOOKUP($A213,'Hose Fittings'!$A$8:$M$29,6,FALSE),
IF($A213&lt;'Swing Joints'!$A$496,VLOOKUP($A213,'Swing Joints'!$A$9:$M$495,6,FALSE),
IF($A213&lt;'Swing Joints Components'!$A$135,VLOOKUP($A213,'Swing Joints Components'!$A$9:$M$134,6,FALSE),
IF($A213&lt;Nonstandard!$A$42,VLOOKUP($A213,Nonstandard!$A$31:$J$41,7,FALSE),"")))))))))))))))))))))))))))),"")</f>
        <v/>
      </c>
      <c r="E213" s="427"/>
      <c r="F213" s="418" t="str">
        <f>IFERROR(IF($A213&lt;'DWV PVC'!$A$285,VLOOKUP($A213,'DWV PVC'!$A$8:$M$284,9,FALSE),
IF($A213&lt;'DWV ABS'!$A$117,VLOOKUP($A213,'DWV ABS'!$A$8:$M$116,9,FALSE),
IF($A213&lt;'PVC SCH40'!$A$376,VLOOKUP($A213,'PVC SCH40'!$A$8:$M$375,9,FALSE),
IF($A213&lt;'PVC SCH40 LD'!$A$22,VLOOKUP($A213,'PVC SCH40 LD'!$A$8:$M$21,9,FALSE),
IF($A213&lt;'Pool &amp; SPA Sweep Elbows'!$A$12,VLOOKUP($A213,'Pool &amp; SPA Sweep Elbows'!$A$8:$M$11,9,FALSE),
IF($A213&lt;'Pool &amp; SPA Pipe Extender'!$A$11,VLOOKUP($A213,'Pool &amp; SPA Pipe Extender'!$A$8:$M$10,9,FALSE),
IF($A213&lt;'PVC SCH80'!$A$250,VLOOKUP($A213,'PVC SCH80'!$A$8:$M$249,9,FALSE),
IF($A213&lt;'PVC SCH80 Flange'!$A$49,VLOOKUP($A213,'PVC SCH80 Flange'!$A$8:$M$48,9,FALSE),
IF($A213&lt;'PVC SCH80 LD Flange'!$A$17,VLOOKUP($A213,'PVC SCH80 LD Flange'!$A$8:$M$16,9,FALSE),
IF($A213&lt;CPVC!$A$100,VLOOKUP($A213,CPVC!$A$8:$M$99,9,FALSE),
IF($A213&lt;InsertFittings!$A$237,VLOOKUP($A213,InsertFittings!$A$11:$M$236,9,FALSE),
IF($A213&lt;Valves!$A$132,VLOOKUP($A213,Valves!$A$8:$M$131,9,FALSE),
IF($A213&lt;SDR35SW!$A$124,VLOOKUP($A213,SDR35SW!$A$8:$M$123,9,FALSE),
IF($A213&lt;SDR35G!$A$143,VLOOKUP($A213, SDR35G!$A$8:$M$142,9,FALSE),
IF($A213&lt;SDR26G!$A$61,VLOOKUP($A213,SDR26G!$A$8:$N$60,10,FALSE),
IF($A213&lt;Cements!$A$100,VLOOKUP($A213,Cements!$A$8:$Q$99,13,FALSE),
IF($A213&lt;ValveBox!$A$143,VLOOKUP($A213,ValveBox!$A$10:$O$142,11,FALSE),
IF($A213&lt;'ValveBox Components'!$A$165,VLOOKUP($A213,'ValveBox Components'!$A$10:$O$164,11,FALSE),
IF($A213&lt;Drainage!$A$92,VLOOKUP($A213,Drainage!$A$8:$M$91,9,FALSE),
IF($A213&lt;Nipples!$A$82,VLOOKUP($A213,Nipples!$A$9:$Q$81,13,FALSE),
IF($A213&lt;Manifold!$A$33,VLOOKUP($A213,Manifold!$A$9:$M$32,9,FALSE),
IF($A213&lt;FlexibleRepairCouplings!$A$13,VLOOKUP($A213,FlexibleRepairCouplings!$A$10:$M$12,9,FALSE),
IF($A213&lt;DuraFix!$A$15,VLOOKUP($A213,DuraFix!$A$9:$M$14,9,FALSE),
IF($A213&lt;'Compression Fittings'!$A$16,VLOOKUP($A213,'Compression Fittings'!$A$8:$M$15,9,FALSE),
IF($A213&lt;'Hose Fittings'!$A$30,VLOOKUP($A213,'Hose Fittings'!$A$8:$M$29,9,FALSE),
IF($A213&lt;'Swing Joints'!$A$496,VLOOKUP($A213,'Swing Joints'!$A$9:$M$495,9,FALSE),
IF($A213&lt;'Swing Joints Components'!$A$135,VLOOKUP($A213,'Swing Joints Components'!$A$9:$M$134,9,FALSE),
IF($A213&lt;Nonstandard!$A$42,VLOOKUP($A213,Nonstandard!$A$31:$J$41,8,FALSE),"")))))))))))))))))))))))))))),"")</f>
        <v/>
      </c>
      <c r="G213" s="416" t="str">
        <f>IFERROR(IF($A213&lt;'DWV PVC'!$A$285,VLOOKUP($A213,'DWV PVC'!$A$8:$M$284,11,FALSE),
IF($A213&lt;'DWV ABS'!$A$117,VLOOKUP($A213,'DWV ABS'!$A$8:$M$116,11,FALSE),
IF($A213&lt;'PVC SCH40'!$A$376,VLOOKUP($A213,'PVC SCH40'!$A$8:$M$375,11,FALSE),
IF($A213&lt;'PVC SCH40 LD'!$A$22,VLOOKUP($A213,'PVC SCH40 LD'!$A$8:$M$21,11,FALSE),
IF($A213&lt;'Pool &amp; SPA Sweep Elbows'!$A$12,VLOOKUP($A213,'Pool &amp; SPA Sweep Elbows'!$A$8:$M$11,11,FALSE),
IF($A213&lt;'Pool &amp; SPA Pipe Extender'!$A$11,VLOOKUP($A213,'Pool &amp; SPA Pipe Extender'!$A$8:$M$10,11,FALSE),
IF($A213&lt;'PVC SCH80'!$A$250,VLOOKUP($A213,'PVC SCH80'!$A$8:$M$249,11,FALSE),
IF($A213&lt;'PVC SCH80 Flange'!$A$49,VLOOKUP($A213,'PVC SCH80 Flange'!$A$8:$M$48,11,FALSE),
IF($A213&lt;'PVC SCH80 LD Flange'!$A$17,VLOOKUP($A213,'PVC SCH80 LD Flange'!$A$8:$M$16,11,FALSE),
IF($A213&lt;CPVC!$A$100,VLOOKUP($A213,CPVC!$A$8:$M$99,11,FALSE),
IF($A213&lt;InsertFittings!$A$237,VLOOKUP($A213,InsertFittings!$A$11:$M$236,11,FALSE),
IF($A213&lt;Valves!$A$132,VLOOKUP($A213,Valves!$A$8:$M$131,11,FALSE),
IF($A213&lt;SDR35SW!$A$124,VLOOKUP($A213,SDR35SW!$A$8:$M$123,11,FALSE),
IF($A213&lt;SDR35G!$A$143,VLOOKUP($A213, SDR35G!$A$8:$M$142,11,FALSE),
IF($A213&lt;SDR26G!$A$61,VLOOKUP($A213,SDR26G!$A$8:$N$60,12,FALSE),
IF($A213&lt;Cements!$A$100,VLOOKUP($A213,Cements!$A$8:$Q$99,15,FALSE),
IF($A213&lt;ValveBox!$A$143,VLOOKUP($A213,ValveBox!$A$10:$O$142,13,FALSE),
IF($A213&lt;'ValveBox Components'!$A$165,VLOOKUP($A213,'ValveBox Components'!$A$10:$O$164,13,FALSE),
IF($A213&lt;Drainage!$A$92,VLOOKUP($A213,Drainage!$A$8:$M$91,11,FALSE),
IF($A213&lt;Nipples!$A$82,VLOOKUP($A213,Nipples!$A$9:$Q$81,15,FALSE),
IF($A213&lt;Manifold!$A$33,VLOOKUP($A213,Manifold!$A$9:$M$32,11,FALSE),
IF($A213&lt;FlexibleRepairCouplings!$A$13,VLOOKUP($A213,FlexibleRepairCouplings!$A$10:$M$12,11,FALSE),
IF($A213&lt;DuraFix!$A$15,VLOOKUP($A213,DuraFix!$A$9:$M$14,11,FALSE),
IF($A213&lt;'Compression Fittings'!$A$16,VLOOKUP($A213,'Compression Fittings'!$A$8:$M$15,11,FALSE),
IF($A213&lt;'Hose Fittings'!$A$30,VLOOKUP($A213,'Hose Fittings'!$A$8:$M$29,11,FALSE),
IF($A213&lt;'Swing Joints'!$A$496,VLOOKUP($A213,'Swing Joints'!$A$9:$M$495,11,FALSE),
IF($A213&lt;'Swing Joints Components'!$A$135,VLOOKUP($A213,'Swing Joints Components'!$A$9:$M$134,11,FALSE),
IF($A213&lt;Nonstandard!$A$42,VLOOKUP($A213,Nonstandard!$A$31:$J$41,3,FALSE),"")))))))))))))))))))))))))))),"")</f>
        <v/>
      </c>
      <c r="H213" s="586" t="str">
        <f>IFERROR(IF($A213&lt;'DWV PVC'!$A$285,VLOOKUP($A213,'DWV PVC'!$A$8:$M$284,7,FALSE),
IF($A213&lt;'DWV ABS'!$A$117,VLOOKUP($A213,'DWV ABS'!$A$8:$M$116,7,FALSE),
IF($A213&lt;'PVC SCH40'!$A$376,VLOOKUP($A213,'PVC SCH40'!$A$8:$M$375,7,FALSE),
IF($A213&lt;'PVC SCH40 LD'!$A$22,VLOOKUP($A213,'PVC SCH40 LD'!$A$8:$M$21,7,FALSE),
IF($A213&lt;'Pool &amp; SPA Sweep Elbows'!$A$12,VLOOKUP($A213,'Pool &amp; SPA Sweep Elbows'!$A$8:$M$11,7,FALSE),
IF($A213&lt;'Pool &amp; SPA Pipe Extender'!$A$11,VLOOKUP($A213,'Pool &amp; SPA Pipe Extender'!$A$8:$M$10,7,FALSE),
IF($A213&lt;'PVC SCH80'!$A$250,VLOOKUP($A213,'PVC SCH80'!$A$8:$M$249,7,FALSE),
IF($A213&lt;'PVC SCH80 Flange'!$A$49,VLOOKUP($A213,'PVC SCH80 Flange'!$A$8:$M$48,7,FALSE),
IF($A213&lt;'PVC SCH80 LD Flange'!$A$17,VLOOKUP($A213,'PVC SCH80 LD Flange'!$A$8:$M$16,7,FALSE),
IF($A213&lt;CPVC!$A$100,VLOOKUP($A213,CPVC!$A$8:$M$99,7,FALSE),
IF($A213&lt;InsertFittings!$A$237,VLOOKUP($A213,InsertFittings!$A$11:$M$236,7,FALSE),
IF($A213&lt;Valves!$A$132,VLOOKUP($A213,Valves!$A$8:$M$131,7,FALSE),
IF($A213&lt;SDR35SW!$A$124,VLOOKUP($A213,SDR35SW!$A$8:$M$123,7,FALSE),
IF($A213&lt;SDR35G!$A$143,VLOOKUP($A213, SDR35G!$A$8:$M$142,7,FALSE),
IF($A213&lt;SDR26G!$A$61,VLOOKUP($A213,SDR26G!$A$8:$N$60,10,FALSE),
IF($A213&lt;Cements!$A$100,VLOOKUP($A213,Cements!$A$8:$Q$99,13,FALSE),
IF($A213&lt;ValveBox!$A$143,VLOOKUP($A213,ValveBox!$A$10:$O$142,11,FALSE),
IF($A213&lt;'ValveBox Components'!$A$165,VLOOKUP($A213,'ValveBox Components'!$A$10:$O$164,11,FALSE),
IF($A213&lt;Drainage!$A$92,VLOOKUP($A213,Drainage!$A$8:$M$91,7,FALSE),
IF($A213&lt;Nipples!$A$82,VLOOKUP($A213,Nipples!$A$9:$Q$81,13,FALSE),
IF($A213&lt;Manifold!$A$33,VLOOKUP($A213,Manifold!$A$9:$M$32,7,FALSE),
IF($A213&lt;FlexibleRepairCouplings!$A$13,VLOOKUP($A213,FlexibleRepairCouplings!$A$10:$M$12,7,FALSE),
IF($A213&lt;DuraFix!$A$15,VLOOKUP($A213,DuraFix!$A$9:$M$14,7,FALSE),
IF($A213&lt;'Compression Fittings'!$A$16,VLOOKUP($A213,'Compression Fittings'!$A$8:$M$15,7,FALSE),
IF($A213&lt;'Hose Fittings'!$A$30,VLOOKUP($A213,'Hose Fittings'!$A$8:$M$29,7,FALSE),
IF($A213&lt;'Swing Joints'!$A$496,VLOOKUP($A213,'Swing Joints'!$A$9:$M$495,7,FALSE),
IF($A213&lt;'Swing Joints Components'!$A$135,VLOOKUP($A213,'Swing Joints Components'!$A$9:$M$134,7,FALSE),
IF($A213&lt;Nonstandard!$A$42,VLOOKUP($A213,Nonstandard!$A$31:$J$41,3,FALSE),"")))))))))))))))))))))))))))),"")</f>
        <v/>
      </c>
      <c r="I213" s="587"/>
      <c r="J213" s="383" t="str">
        <f t="shared" si="5"/>
        <v/>
      </c>
      <c r="K213" s="417" t="str">
        <f>IFERROR(IF($A213&lt;'DWV PVC'!$A$285,VLOOKUP($A213,'DWV PVC'!$A$8:$M$284,10,FALSE),
IF($A213&lt;'DWV ABS'!$A$117,VLOOKUP($A213,'DWV ABS'!$A$8:$M$116,10,FALSE),
IF($A213&lt;'PVC SCH40'!$A$376,VLOOKUP($A213,'PVC SCH40'!$A$8:$M$375,10,FALSE),
IF($A213&lt;'PVC SCH40 LD'!$A$22,VLOOKUP($A213,'PVC SCH40 LD'!$A$8:$M$21,10,FALSE),
IF($A213&lt;'Pool &amp; SPA Sweep Elbows'!$A$12,VLOOKUP($A213,'Pool &amp; SPA Sweep Elbows'!$A$8:$M$11,10,FALSE),
IF($A213&lt;'Pool &amp; SPA Pipe Extender'!$A$11,VLOOKUP($A213,'Pool &amp; SPA Pipe Extender'!$A$8:$M$10,10,FALSE),
IF($A213&lt;'PVC SCH80'!$A$250,VLOOKUP($A213,'PVC SCH80'!$A$8:$M$249,10,FALSE),
IF($A213&lt;'PVC SCH80 Flange'!$A$49,VLOOKUP($A213,'PVC SCH80 Flange'!$A$8:$M$48,10,FALSE),
IF($A213&lt;'PVC SCH80 LD Flange'!$A$17,VLOOKUP($A213,'PVC SCH80 LD Flange'!$A$8:$M$16,10,FALSE),
IF($A213&lt;CPVC!$A$100,VLOOKUP($A213,CPVC!$A$8:$M$99,10,FALSE),
IF($A213&lt;InsertFittings!$A$237,VLOOKUP($A213,InsertFittings!$A$11:$M$236,10,FALSE),
IF($A213&lt;Valves!$A$132,VLOOKUP($A213,Valves!$A$8:$M$131,10,FALSE),
IF($A213&lt;SDR35SW!$A$124,VLOOKUP($A213,SDR35SW!$A$8:$M$123,10,FALSE),
IF($A213&lt;SDR35G!$A$143,VLOOKUP($A213, SDR35G!$A$8:$M$142,10,FALSE),
IF($A213&lt;SDR26G!$A$61,VLOOKUP($A213,SDR26G!$A$8:$N$60,11,FALSE),
IF($A213&lt;Cements!$A$100,VLOOKUP($A213,Cements!$A$8:$Q$99,14,FALSE),
IF($A213&lt;ValveBox!$A$143,VLOOKUP($A213,ValveBox!$A$10:$O$142,12,FALSE),
IF($A213&lt;'ValveBox Components'!$A$165,VLOOKUP($A213,'ValveBox Components'!$A$10:$O$164,12,FALSE),
IF($A213&lt;Drainage!$A$92,VLOOKUP($A213,Drainage!$A$8:$M$91,10,FALSE),
IF($A213&lt;Nipples!$A$82,VLOOKUP($A213,Nipples!$A$9:$Q$81,14,FALSE),
IF($A213&lt;Manifold!$A$33,VLOOKUP($A213,Manifold!$A$9:$M$32,10,FALSE),
IF($A213&lt;FlexibleRepairCouplings!$A$13,VLOOKUP($A213,FlexibleRepairCouplings!$A$10:$M$12,10,FALSE),
IF($A213&lt;DuraFix!$A$15,VLOOKUP($A213,DuraFix!$A$9:$M$14,10,FALSE),
IF($A213&lt;'Compression Fittings'!$A$16,VLOOKUP($A213,'Compression Fittings'!$A$8:$M$15,10,FALSE),
IF($A213&lt;'Hose Fittings'!$A$30,VLOOKUP($A213,'Hose Fittings'!$A$8:$M$29,10,FALSE),
IF($A213&lt;'Swing Joints'!$A$496,VLOOKUP($A213,'Swing Joints'!$A$9:$M$495,10,FALSE),
IF($A213&lt;'Swing Joints Components'!$A$135,VLOOKUP($A213,'Swing Joints Components'!$A$9:$M$134,10,FALSE),
IF($A213&lt;Nonstandard!$A$42,VLOOKUP($A213,Nonstandard!$A$31:$J$41,10,FALSE),"")))))))))))))))))))))))))))),"")</f>
        <v/>
      </c>
      <c r="L213" s="418" t="str">
        <f t="shared" si="4"/>
        <v>-</v>
      </c>
      <c r="M213" s="419"/>
    </row>
    <row r="214" spans="1:13" ht="15.75">
      <c r="A214" s="420">
        <v>182</v>
      </c>
      <c r="B214" s="420" t="str">
        <f>IFERROR(IF($A214&lt;'DWV PVC'!$A$285,VLOOKUP($A214,'DWV PVC'!$A$8:$M$284,4,FALSE),
IF($A214&lt;'DWV ABS'!$A$117,VLOOKUP($A214,'DWV ABS'!$A$8:$M$116,4,FALSE),
IF($A214&lt;'PVC SCH40'!$A$376,VLOOKUP($A214,'PVC SCH40'!$A$8:$M$375,4,FALSE),
IF($A214&lt;'PVC SCH40 LD'!$A$22,VLOOKUP($A214,'PVC SCH40 LD'!$A$8:$M$21,4,FALSE),
IF($A214&lt;'Pool &amp; SPA Sweep Elbows'!$A$12,VLOOKUP($A214,'Pool &amp; SPA Sweep Elbows'!$A$8:$M$11,4,FALSE),
IF($A214&lt;'Pool &amp; SPA Pipe Extender'!$A$11,VLOOKUP($A214,'Pool &amp; SPA Pipe Extender'!$A$8:$M$10,4,FALSE),
IF($A214&lt;'PVC SCH80'!$A$250,VLOOKUP($A214,'PVC SCH80'!$A$8:$M$249,4,FALSE),
IF($A214&lt;'PVC SCH80 Flange'!$A$49,VLOOKUP($A214,'PVC SCH80 Flange'!$A$8:$M$48,4,FALSE),
IF($A214&lt;'PVC SCH80 LD Flange'!$A$17,VLOOKUP($A214,'PVC SCH80 LD Flange'!$A$8:$M$16,4,FALSE),
IF($A214&lt;CPVC!$A$100,VLOOKUP($A214,CPVC!$A$8:$M$99,4,FALSE),
IF($A214&lt;InsertFittings!$A$237,VLOOKUP($A214,InsertFittings!$A$11:$M$236,4,FALSE),
IF($A214&lt;Valves!$A$132,VLOOKUP($A214,Valves!$A$8:$M$131,4,FALSE),
IF($A214&lt;SDR35SW!$A$124,VLOOKUP($A214,SDR35SW!$A$8:$M$123,4,FALSE),
IF($A214&lt;SDR35G!$A$143,VLOOKUP($A214, SDR35G!$A$8:$M$142,4,FALSE),
IF($A214&lt;SDR26G!$A$61,VLOOKUP($A214,SDR26G!$A$8:$N$60,4,FALSE),
IF($A214&lt;Cements!$A$100,VLOOKUP($A214,Cements!$A$8:$Q$99,4,FALSE),
IF($A214&lt;ValveBox!$A$143,VLOOKUP($A214,ValveBox!$A$10:$O$142,4,FALSE),
IF($A214&lt;'ValveBox Components'!$A$165,VLOOKUP($A214,'ValveBox Components'!$A$10:$O$164,4,FALSE),
IF($A214&lt;Drainage!$A$92,VLOOKUP($A214,Drainage!$A$8:$M$91,4,FALSE),
IF($A214&lt;Nipples!$A$82,VLOOKUP($A214,Nipples!$A$9:$Q$81,4,FALSE),
IF($A214&lt;Manifold!$A$33,VLOOKUP($A214,Manifold!$A$9:$M$32,4,FALSE),
IF($A214&lt;FlexibleRepairCouplings!$A$13,VLOOKUP($A214,FlexibleRepairCouplings!$A$10:$M$12,4,FALSE),
IF($A214&lt;DuraFix!$A$15,VLOOKUP($A214,DuraFix!$A$9:$M$14,4,FALSE),
IF($A214&lt;'Compression Fittings'!$A$16,VLOOKUP($A214,'Compression Fittings'!$A$8:$M$15,4,FALSE),
IF($A214&lt;'Hose Fittings'!$A$30,VLOOKUP($A214,'Hose Fittings'!$A$8:$M$29,4,FALSE),
IF($A214&lt;'Swing Joints'!$A$496,VLOOKUP($A214,'Swing Joints'!$A$9:$M$495,4,FALSE),
IF($A214&lt;'Swing Joints Components'!$A$135,VLOOKUP($A214,'Swing Joints Components'!$A$9:$M$134,4,FALSE),
IF($A214&lt;Nonstandard!$A$42,VLOOKUP($A214,Nonstandard!$A$31:$J$41,5,FALSE),"")))))))))))))))))))))))))))),"")</f>
        <v/>
      </c>
      <c r="C214" s="420" t="str">
        <f>IFERROR(IF($A214&lt;'DWV PVC'!$A$285,VLOOKUP($A214,'DWV PVC'!$A$8:$M$284,5,FALSE),
IF($A214&lt;'DWV ABS'!$A$117,VLOOKUP($A214,'DWV ABS'!$A$8:$M$116,5,FALSE),
IF($A214&lt;'PVC SCH40'!$A$376,VLOOKUP($A214,'PVC SCH40'!$A$8:$M$375,5,FALSE),
IF($A214&lt;'PVC SCH40 LD'!$A$22,VLOOKUP($A214,'PVC SCH40 LD'!$A$8:$M$21,5,FALSE),
IF($A214&lt;'Pool &amp; SPA Sweep Elbows'!$A$12,VLOOKUP($A214,'Pool &amp; SPA Sweep Elbows'!$A$8:$M$11,5,FALSE),
IF($A214&lt;'Pool &amp; SPA Pipe Extender'!$A$11,VLOOKUP($A214,'Pool &amp; SPA Pipe Extender'!$A$8:$M$10,5,FALSE),
IF($A214&lt;'PVC SCH80'!$A$250,VLOOKUP($A214,'PVC SCH80'!$A$8:$M$249,5,FALSE),
IF($A214&lt;'PVC SCH80 Flange'!$A$49,VLOOKUP($A214,'PVC SCH80 Flange'!$A$8:$M$48,5,FALSE),
IF($A214&lt;'PVC SCH80 LD Flange'!$A$17,VLOOKUP($A214,'PVC SCH80 LD Flange'!$A$8:$M$16,5,FALSE),
IF($A214&lt;CPVC!$A$100,VLOOKUP($A214,CPVC!$A$8:$M$99,5,FALSE),
IF($A214&lt;InsertFittings!$A$237,VLOOKUP($A214,InsertFittings!$A$11:$M$236,5,FALSE),
IF($A214&lt;Valves!$A$132,VLOOKUP($A214,Valves!$A$8:$M$131,5,FALSE),
IF($A214&lt;SDR35SW!$A$124,VLOOKUP($A214,SDR35SW!$A$8:$M$123,5,FALSE),
IF($A214&lt;SDR35G!$A$143,VLOOKUP($A214, SDR35G!$A$8:$M$142,5,FALSE),
IF($A214&lt;SDR26G!$A$61,VLOOKUP($A214,SDR26G!$A$8:$N$60,5,FALSE),
IF($A214&lt;Cements!$A$100,VLOOKUP($A214,Cements!$A$8:$Q$99,5,FALSE),
IF($A214&lt;ValveBox!$A$143,VLOOKUP($A214,ValveBox!$A$10:$O$142,5,FALSE),
IF($A214&lt;'ValveBox Components'!$A$165,VLOOKUP($A214,'ValveBox Components'!$A$10:$O$164,5,FALSE),
IF($A214&lt;Drainage!$A$92,VLOOKUP($A214,Drainage!$A$8:$M$91,5,FALSE),
IF($A214&lt;Nipples!$A$82,VLOOKUP($A214,Nipples!$A$9:$Q$81,5,FALSE),
IF($A214&lt;Manifold!$A$33,VLOOKUP($A214,Manifold!$A$9:$M$32,5,FALSE),
IF($A214&lt;FlexibleRepairCouplings!$A$13,VLOOKUP($A214,FlexibleRepairCouplings!$A$10:$M$12,5,FALSE),
IF($A214&lt;DuraFix!$A$15,VLOOKUP($A214,DuraFix!$A$9:$M$14,5,FALSE),
IF($A214&lt;'Compression Fittings'!$A$16,VLOOKUP($A214,'Compression Fittings'!$A$8:$M$15,5,FALSE),
IF($A214&lt;'Hose Fittings'!$A$30,VLOOKUP($A214,'Hose Fittings'!$A$8:$M$29,5,FALSE),
IF($A214&lt;'Swing Joints'!$A$496,VLOOKUP($A214,'Swing Joints'!$A$9:$M$495,5,FALSE),
IF($A214&lt;'Swing Joints Components'!$A$135,VLOOKUP($A214,'Swing Joints Components'!$A$9:$M$134,5,FALSE),
IF($A214&lt;Nonstandard!$A$42,VLOOKUP($A214,Nonstandard!$A$31:$J$41,6,FALSE),"")))))))))))))))))))))))))))),"")</f>
        <v/>
      </c>
      <c r="D214" s="428" t="str">
        <f>IFERROR(IF($A214&lt;'DWV PVC'!$A$285,VLOOKUP($A214,'DWV PVC'!$A$8:$M$284,6,FALSE),
IF($A214&lt;'DWV ABS'!$A$117,VLOOKUP($A214,'DWV ABS'!$A$8:$M$116,6,FALSE),
IF($A214&lt;'PVC SCH40'!$A$376,VLOOKUP($A214,'PVC SCH40'!$A$8:$M$375,6,FALSE),
IF($A214&lt;'PVC SCH40 LD'!$A$22,VLOOKUP($A214,'PVC SCH40 LD'!$A$8:$M$21,6,FALSE),
IF($A214&lt;'Pool &amp; SPA Sweep Elbows'!$A$12,VLOOKUP($A214,'Pool &amp; SPA Sweep Elbows'!$A$8:$M$11,6,FALSE),
IF($A214&lt;'Pool &amp; SPA Pipe Extender'!$A$11,VLOOKUP($A214,'Pool &amp; SPA Pipe Extender'!$A$8:$M$10,6,FALSE),
IF($A214&lt;'PVC SCH80'!$A$250,VLOOKUP($A214,'PVC SCH80'!$A$8:$M$249,6,FALSE),
IF($A214&lt;'PVC SCH80 Flange'!$A$49,VLOOKUP($A214,'PVC SCH80 Flange'!$A$8:$M$48,6,FALSE),
IF($A214&lt;'PVC SCH80 LD Flange'!$A$17,VLOOKUP($A214,'PVC SCH80 LD Flange'!$A$8:$M$16,6,FALSE),
IF($A214&lt;CPVC!$A$100,VLOOKUP($A214,CPVC!$A$8:$M$99,6,FALSE),
IF($A214&lt;InsertFittings!$A$237,VLOOKUP($A214,InsertFittings!$A$11:$M$236,6,FALSE),
IF($A214&lt;Valves!$A$132,VLOOKUP($A214,Valves!$A$8:$M$131,6,FALSE),
IF($A214&lt;SDR35SW!$A$124,VLOOKUP($A214,SDR35SW!$A$8:$M$123,6,FALSE),
IF($A214&lt;SDR35G!$A$143,VLOOKUP($A214, SDR35G!$A$8:$M$142,6,FALSE),
IF($A214&lt;SDR26G!$A$61,VLOOKUP($A214,SDR26G!$A$8:$N$60,6,FALSE),
IF($A214&lt;Cements!$A$100,VLOOKUP($A214,Cements!$A$8:$Q$99,6,FALSE),
IF($A214&lt;ValveBox!$A$143,VLOOKUP($A214,ValveBox!$A$10:$O$142,6,FALSE),
IF($A214&lt;'ValveBox Components'!$A$165,VLOOKUP($A214,'ValveBox Components'!$A$10:$O$164,6,FALSE),
IF($A214&lt;Drainage!$A$92,VLOOKUP($A214,Drainage!$A$8:$M$91,6,FALSE),
IF($A214&lt;Nipples!$A$82,VLOOKUP($A214,Nipples!$A$9:$Q$81,6,FALSE),
IF($A214&lt;Manifold!$A$33,VLOOKUP($A214,Manifold!$A$9:$M$32,6,FALSE),
IF($A214&lt;FlexibleRepairCouplings!$A$13,VLOOKUP($A214,FlexibleRepairCouplings!$A$10:$M$12,6,FALSE),
IF($A214&lt;DuraFix!$A$15,VLOOKUP($A214,DuraFix!$A$9:$M$14,6,FALSE),
IF($A214&lt;'Compression Fittings'!$A$16,VLOOKUP($A214,'Compression Fittings'!$A$8:$M$15,6,FALSE),
IF($A214&lt;'Hose Fittings'!$A$30,VLOOKUP($A214,'Hose Fittings'!$A$8:$M$29,6,FALSE),
IF($A214&lt;'Swing Joints'!$A$496,VLOOKUP($A214,'Swing Joints'!$A$9:$M$495,6,FALSE),
IF($A214&lt;'Swing Joints Components'!$A$135,VLOOKUP($A214,'Swing Joints Components'!$A$9:$M$134,6,FALSE),
IF($A214&lt;Nonstandard!$A$42,VLOOKUP($A214,Nonstandard!$A$31:$J$41,7,FALSE),"")))))))))))))))))))))))))))),"")</f>
        <v/>
      </c>
      <c r="E214" s="429"/>
      <c r="F214" s="421" t="str">
        <f>IFERROR(IF($A214&lt;'DWV PVC'!$A$285,VLOOKUP($A214,'DWV PVC'!$A$8:$M$284,9,FALSE),
IF($A214&lt;'DWV ABS'!$A$117,VLOOKUP($A214,'DWV ABS'!$A$8:$M$116,9,FALSE),
IF($A214&lt;'PVC SCH40'!$A$376,VLOOKUP($A214,'PVC SCH40'!$A$8:$M$375,9,FALSE),
IF($A214&lt;'PVC SCH40 LD'!$A$22,VLOOKUP($A214,'PVC SCH40 LD'!$A$8:$M$21,9,FALSE),
IF($A214&lt;'Pool &amp; SPA Sweep Elbows'!$A$12,VLOOKUP($A214,'Pool &amp; SPA Sweep Elbows'!$A$8:$M$11,9,FALSE),
IF($A214&lt;'Pool &amp; SPA Pipe Extender'!$A$11,VLOOKUP($A214,'Pool &amp; SPA Pipe Extender'!$A$8:$M$10,9,FALSE),
IF($A214&lt;'PVC SCH80'!$A$250,VLOOKUP($A214,'PVC SCH80'!$A$8:$M$249,9,FALSE),
IF($A214&lt;'PVC SCH80 Flange'!$A$49,VLOOKUP($A214,'PVC SCH80 Flange'!$A$8:$M$48,9,FALSE),
IF($A214&lt;'PVC SCH80 LD Flange'!$A$17,VLOOKUP($A214,'PVC SCH80 LD Flange'!$A$8:$M$16,9,FALSE),
IF($A214&lt;CPVC!$A$100,VLOOKUP($A214,CPVC!$A$8:$M$99,9,FALSE),
IF($A214&lt;InsertFittings!$A$237,VLOOKUP($A214,InsertFittings!$A$11:$M$236,9,FALSE),
IF($A214&lt;Valves!$A$132,VLOOKUP($A214,Valves!$A$8:$M$131,9,FALSE),
IF($A214&lt;SDR35SW!$A$124,VLOOKUP($A214,SDR35SW!$A$8:$M$123,9,FALSE),
IF($A214&lt;SDR35G!$A$143,VLOOKUP($A214, SDR35G!$A$8:$M$142,9,FALSE),
IF($A214&lt;SDR26G!$A$61,VLOOKUP($A214,SDR26G!$A$8:$N$60,10,FALSE),
IF($A214&lt;Cements!$A$100,VLOOKUP($A214,Cements!$A$8:$Q$99,13,FALSE),
IF($A214&lt;ValveBox!$A$143,VLOOKUP($A214,ValveBox!$A$10:$O$142,11,FALSE),
IF($A214&lt;'ValveBox Components'!$A$165,VLOOKUP($A214,'ValveBox Components'!$A$10:$O$164,11,FALSE),
IF($A214&lt;Drainage!$A$92,VLOOKUP($A214,Drainage!$A$8:$M$91,9,FALSE),
IF($A214&lt;Nipples!$A$82,VLOOKUP($A214,Nipples!$A$9:$Q$81,13,FALSE),
IF($A214&lt;Manifold!$A$33,VLOOKUP($A214,Manifold!$A$9:$M$32,9,FALSE),
IF($A214&lt;FlexibleRepairCouplings!$A$13,VLOOKUP($A214,FlexibleRepairCouplings!$A$10:$M$12,9,FALSE),
IF($A214&lt;DuraFix!$A$15,VLOOKUP($A214,DuraFix!$A$9:$M$14,9,FALSE),
IF($A214&lt;'Compression Fittings'!$A$16,VLOOKUP($A214,'Compression Fittings'!$A$8:$M$15,9,FALSE),
IF($A214&lt;'Hose Fittings'!$A$30,VLOOKUP($A214,'Hose Fittings'!$A$8:$M$29,9,FALSE),
IF($A214&lt;'Swing Joints'!$A$496,VLOOKUP($A214,'Swing Joints'!$A$9:$M$495,9,FALSE),
IF($A214&lt;'Swing Joints Components'!$A$135,VLOOKUP($A214,'Swing Joints Components'!$A$9:$M$134,9,FALSE),
IF($A214&lt;Nonstandard!$A$42,VLOOKUP($A214,Nonstandard!$A$31:$J$41,8,FALSE),"")))))))))))))))))))))))))))),"")</f>
        <v/>
      </c>
      <c r="G214" s="422" t="str">
        <f>IFERROR(IF($A214&lt;'DWV PVC'!$A$285,VLOOKUP($A214,'DWV PVC'!$A$8:$M$284,11,FALSE),
IF($A214&lt;'DWV ABS'!$A$117,VLOOKUP($A214,'DWV ABS'!$A$8:$M$116,11,FALSE),
IF($A214&lt;'PVC SCH40'!$A$376,VLOOKUP($A214,'PVC SCH40'!$A$8:$M$375,11,FALSE),
IF($A214&lt;'PVC SCH40 LD'!$A$22,VLOOKUP($A214,'PVC SCH40 LD'!$A$8:$M$21,11,FALSE),
IF($A214&lt;'Pool &amp; SPA Sweep Elbows'!$A$12,VLOOKUP($A214,'Pool &amp; SPA Sweep Elbows'!$A$8:$M$11,11,FALSE),
IF($A214&lt;'Pool &amp; SPA Pipe Extender'!$A$11,VLOOKUP($A214,'Pool &amp; SPA Pipe Extender'!$A$8:$M$10,11,FALSE),
IF($A214&lt;'PVC SCH80'!$A$250,VLOOKUP($A214,'PVC SCH80'!$A$8:$M$249,11,FALSE),
IF($A214&lt;'PVC SCH80 Flange'!$A$49,VLOOKUP($A214,'PVC SCH80 Flange'!$A$8:$M$48,11,FALSE),
IF($A214&lt;'PVC SCH80 LD Flange'!$A$17,VLOOKUP($A214,'PVC SCH80 LD Flange'!$A$8:$M$16,11,FALSE),
IF($A214&lt;CPVC!$A$100,VLOOKUP($A214,CPVC!$A$8:$M$99,11,FALSE),
IF($A214&lt;InsertFittings!$A$237,VLOOKUP($A214,InsertFittings!$A$11:$M$236,11,FALSE),
IF($A214&lt;Valves!$A$132,VLOOKUP($A214,Valves!$A$8:$M$131,11,FALSE),
IF($A214&lt;SDR35SW!$A$124,VLOOKUP($A214,SDR35SW!$A$8:$M$123,11,FALSE),
IF($A214&lt;SDR35G!$A$143,VLOOKUP($A214, SDR35G!$A$8:$M$142,11,FALSE),
IF($A214&lt;SDR26G!$A$61,VLOOKUP($A214,SDR26G!$A$8:$N$60,12,FALSE),
IF($A214&lt;Cements!$A$100,VLOOKUP($A214,Cements!$A$8:$Q$99,15,FALSE),
IF($A214&lt;ValveBox!$A$143,VLOOKUP($A214,ValveBox!$A$10:$O$142,13,FALSE),
IF($A214&lt;'ValveBox Components'!$A$165,VLOOKUP($A214,'ValveBox Components'!$A$10:$O$164,13,FALSE),
IF($A214&lt;Drainage!$A$92,VLOOKUP($A214,Drainage!$A$8:$M$91,11,FALSE),
IF($A214&lt;Nipples!$A$82,VLOOKUP($A214,Nipples!$A$9:$Q$81,15,FALSE),
IF($A214&lt;Manifold!$A$33,VLOOKUP($A214,Manifold!$A$9:$M$32,11,FALSE),
IF($A214&lt;FlexibleRepairCouplings!$A$13,VLOOKUP($A214,FlexibleRepairCouplings!$A$10:$M$12,11,FALSE),
IF($A214&lt;DuraFix!$A$15,VLOOKUP($A214,DuraFix!$A$9:$M$14,11,FALSE),
IF($A214&lt;'Compression Fittings'!$A$16,VLOOKUP($A214,'Compression Fittings'!$A$8:$M$15,11,FALSE),
IF($A214&lt;'Hose Fittings'!$A$30,VLOOKUP($A214,'Hose Fittings'!$A$8:$M$29,11,FALSE),
IF($A214&lt;'Swing Joints'!$A$496,VLOOKUP($A214,'Swing Joints'!$A$9:$M$495,11,FALSE),
IF($A214&lt;'Swing Joints Components'!$A$135,VLOOKUP($A214,'Swing Joints Components'!$A$9:$M$134,11,FALSE),
IF($A214&lt;Nonstandard!$A$42,VLOOKUP($A214,Nonstandard!$A$31:$J$41,3,FALSE),"")))))))))))))))))))))))))))),"")</f>
        <v/>
      </c>
      <c r="H214" s="588" t="str">
        <f>IFERROR(IF($A214&lt;'DWV PVC'!$A$285,VLOOKUP($A214,'DWV PVC'!$A$8:$M$284,7,FALSE),
IF($A214&lt;'DWV ABS'!$A$117,VLOOKUP($A214,'DWV ABS'!$A$8:$M$116,7,FALSE),
IF($A214&lt;'PVC SCH40'!$A$376,VLOOKUP($A214,'PVC SCH40'!$A$8:$M$375,7,FALSE),
IF($A214&lt;'PVC SCH40 LD'!$A$22,VLOOKUP($A214,'PVC SCH40 LD'!$A$8:$M$21,7,FALSE),
IF($A214&lt;'Pool &amp; SPA Sweep Elbows'!$A$12,VLOOKUP($A214,'Pool &amp; SPA Sweep Elbows'!$A$8:$M$11,7,FALSE),
IF($A214&lt;'Pool &amp; SPA Pipe Extender'!$A$11,VLOOKUP($A214,'Pool &amp; SPA Pipe Extender'!$A$8:$M$10,7,FALSE),
IF($A214&lt;'PVC SCH80'!$A$250,VLOOKUP($A214,'PVC SCH80'!$A$8:$M$249,7,FALSE),
IF($A214&lt;'PVC SCH80 Flange'!$A$49,VLOOKUP($A214,'PVC SCH80 Flange'!$A$8:$M$48,7,FALSE),
IF($A214&lt;'PVC SCH80 LD Flange'!$A$17,VLOOKUP($A214,'PVC SCH80 LD Flange'!$A$8:$M$16,7,FALSE),
IF($A214&lt;CPVC!$A$100,VLOOKUP($A214,CPVC!$A$8:$M$99,7,FALSE),
IF($A214&lt;InsertFittings!$A$237,VLOOKUP($A214,InsertFittings!$A$11:$M$236,7,FALSE),
IF($A214&lt;Valves!$A$132,VLOOKUP($A214,Valves!$A$8:$M$131,7,FALSE),
IF($A214&lt;SDR35SW!$A$124,VLOOKUP($A214,SDR35SW!$A$8:$M$123,7,FALSE),
IF($A214&lt;SDR35G!$A$143,VLOOKUP($A214, SDR35G!$A$8:$M$142,7,FALSE),
IF($A214&lt;SDR26G!$A$61,VLOOKUP($A214,SDR26G!$A$8:$N$60,10,FALSE),
IF($A214&lt;Cements!$A$100,VLOOKUP($A214,Cements!$A$8:$Q$99,13,FALSE),
IF($A214&lt;ValveBox!$A$143,VLOOKUP($A214,ValveBox!$A$10:$O$142,11,FALSE),
IF($A214&lt;'ValveBox Components'!$A$165,VLOOKUP($A214,'ValveBox Components'!$A$10:$O$164,11,FALSE),
IF($A214&lt;Drainage!$A$92,VLOOKUP($A214,Drainage!$A$8:$M$91,7,FALSE),
IF($A214&lt;Nipples!$A$82,VLOOKUP($A214,Nipples!$A$9:$Q$81,13,FALSE),
IF($A214&lt;Manifold!$A$33,VLOOKUP($A214,Manifold!$A$9:$M$32,7,FALSE),
IF($A214&lt;FlexibleRepairCouplings!$A$13,VLOOKUP($A214,FlexibleRepairCouplings!$A$10:$M$12,7,FALSE),
IF($A214&lt;DuraFix!$A$15,VLOOKUP($A214,DuraFix!$A$9:$M$14,7,FALSE),
IF($A214&lt;'Compression Fittings'!$A$16,VLOOKUP($A214,'Compression Fittings'!$A$8:$M$15,7,FALSE),
IF($A214&lt;'Hose Fittings'!$A$30,VLOOKUP($A214,'Hose Fittings'!$A$8:$M$29,7,FALSE),
IF($A214&lt;'Swing Joints'!$A$496,VLOOKUP($A214,'Swing Joints'!$A$9:$M$495,7,FALSE),
IF($A214&lt;'Swing Joints Components'!$A$135,VLOOKUP($A214,'Swing Joints Components'!$A$9:$M$134,7,FALSE),
IF($A214&lt;Nonstandard!$A$42,VLOOKUP($A214,Nonstandard!$A$31:$J$41,3,FALSE),"")))))))))))))))))))))))))))),"")</f>
        <v/>
      </c>
      <c r="I214" s="589"/>
      <c r="J214" s="423" t="str">
        <f t="shared" si="5"/>
        <v/>
      </c>
      <c r="K214" s="424" t="str">
        <f>IFERROR(IF($A214&lt;'DWV PVC'!$A$285,VLOOKUP($A214,'DWV PVC'!$A$8:$M$284,10,FALSE),
IF($A214&lt;'DWV ABS'!$A$117,VLOOKUP($A214,'DWV ABS'!$A$8:$M$116,10,FALSE),
IF($A214&lt;'PVC SCH40'!$A$376,VLOOKUP($A214,'PVC SCH40'!$A$8:$M$375,10,FALSE),
IF($A214&lt;'PVC SCH40 LD'!$A$22,VLOOKUP($A214,'PVC SCH40 LD'!$A$8:$M$21,10,FALSE),
IF($A214&lt;'Pool &amp; SPA Sweep Elbows'!$A$12,VLOOKUP($A214,'Pool &amp; SPA Sweep Elbows'!$A$8:$M$11,10,FALSE),
IF($A214&lt;'Pool &amp; SPA Pipe Extender'!$A$11,VLOOKUP($A214,'Pool &amp; SPA Pipe Extender'!$A$8:$M$10,10,FALSE),
IF($A214&lt;'PVC SCH80'!$A$250,VLOOKUP($A214,'PVC SCH80'!$A$8:$M$249,10,FALSE),
IF($A214&lt;'PVC SCH80 Flange'!$A$49,VLOOKUP($A214,'PVC SCH80 Flange'!$A$8:$M$48,10,FALSE),
IF($A214&lt;'PVC SCH80 LD Flange'!$A$17,VLOOKUP($A214,'PVC SCH80 LD Flange'!$A$8:$M$16,10,FALSE),
IF($A214&lt;CPVC!$A$100,VLOOKUP($A214,CPVC!$A$8:$M$99,10,FALSE),
IF($A214&lt;InsertFittings!$A$237,VLOOKUP($A214,InsertFittings!$A$11:$M$236,10,FALSE),
IF($A214&lt;Valves!$A$132,VLOOKUP($A214,Valves!$A$8:$M$131,10,FALSE),
IF($A214&lt;SDR35SW!$A$124,VLOOKUP($A214,SDR35SW!$A$8:$M$123,10,FALSE),
IF($A214&lt;SDR35G!$A$143,VLOOKUP($A214, SDR35G!$A$8:$M$142,10,FALSE),
IF($A214&lt;SDR26G!$A$61,VLOOKUP($A214,SDR26G!$A$8:$N$60,11,FALSE),
IF($A214&lt;Cements!$A$100,VLOOKUP($A214,Cements!$A$8:$Q$99,14,FALSE),
IF($A214&lt;ValveBox!$A$143,VLOOKUP($A214,ValveBox!$A$10:$O$142,12,FALSE),
IF($A214&lt;'ValveBox Components'!$A$165,VLOOKUP($A214,'ValveBox Components'!$A$10:$O$164,12,FALSE),
IF($A214&lt;Drainage!$A$92,VLOOKUP($A214,Drainage!$A$8:$M$91,10,FALSE),
IF($A214&lt;Nipples!$A$82,VLOOKUP($A214,Nipples!$A$9:$Q$81,14,FALSE),
IF($A214&lt;Manifold!$A$33,VLOOKUP($A214,Manifold!$A$9:$M$32,10,FALSE),
IF($A214&lt;FlexibleRepairCouplings!$A$13,VLOOKUP($A214,FlexibleRepairCouplings!$A$10:$M$12,10,FALSE),
IF($A214&lt;DuraFix!$A$15,VLOOKUP($A214,DuraFix!$A$9:$M$14,10,FALSE),
IF($A214&lt;'Compression Fittings'!$A$16,VLOOKUP($A214,'Compression Fittings'!$A$8:$M$15,10,FALSE),
IF($A214&lt;'Hose Fittings'!$A$30,VLOOKUP($A214,'Hose Fittings'!$A$8:$M$29,10,FALSE),
IF($A214&lt;'Swing Joints'!$A$496,VLOOKUP($A214,'Swing Joints'!$A$9:$M$495,10,FALSE),
IF($A214&lt;'Swing Joints Components'!$A$135,VLOOKUP($A214,'Swing Joints Components'!$A$9:$M$134,10,FALSE),
IF($A214&lt;Nonstandard!$A$42,VLOOKUP($A214,Nonstandard!$A$31:$J$41,10,FALSE),"")))))))))))))))))))))))))))),"")</f>
        <v/>
      </c>
      <c r="L214" s="421" t="str">
        <f t="shared" si="4"/>
        <v>-</v>
      </c>
      <c r="M214" s="425"/>
    </row>
    <row r="215" spans="1:13" ht="15.75">
      <c r="A215" s="415">
        <v>183</v>
      </c>
      <c r="B215" s="415" t="str">
        <f>IFERROR(IF($A215&lt;'DWV PVC'!$A$285,VLOOKUP($A215,'DWV PVC'!$A$8:$M$284,4,FALSE),
IF($A215&lt;'DWV ABS'!$A$117,VLOOKUP($A215,'DWV ABS'!$A$8:$M$116,4,FALSE),
IF($A215&lt;'PVC SCH40'!$A$376,VLOOKUP($A215,'PVC SCH40'!$A$8:$M$375,4,FALSE),
IF($A215&lt;'PVC SCH40 LD'!$A$22,VLOOKUP($A215,'PVC SCH40 LD'!$A$8:$M$21,4,FALSE),
IF($A215&lt;'Pool &amp; SPA Sweep Elbows'!$A$12,VLOOKUP($A215,'Pool &amp; SPA Sweep Elbows'!$A$8:$M$11,4,FALSE),
IF($A215&lt;'Pool &amp; SPA Pipe Extender'!$A$11,VLOOKUP($A215,'Pool &amp; SPA Pipe Extender'!$A$8:$M$10,4,FALSE),
IF($A215&lt;'PVC SCH80'!$A$250,VLOOKUP($A215,'PVC SCH80'!$A$8:$M$249,4,FALSE),
IF($A215&lt;'PVC SCH80 Flange'!$A$49,VLOOKUP($A215,'PVC SCH80 Flange'!$A$8:$M$48,4,FALSE),
IF($A215&lt;'PVC SCH80 LD Flange'!$A$17,VLOOKUP($A215,'PVC SCH80 LD Flange'!$A$8:$M$16,4,FALSE),
IF($A215&lt;CPVC!$A$100,VLOOKUP($A215,CPVC!$A$8:$M$99,4,FALSE),
IF($A215&lt;InsertFittings!$A$237,VLOOKUP($A215,InsertFittings!$A$11:$M$236,4,FALSE),
IF($A215&lt;Valves!$A$132,VLOOKUP($A215,Valves!$A$8:$M$131,4,FALSE),
IF($A215&lt;SDR35SW!$A$124,VLOOKUP($A215,SDR35SW!$A$8:$M$123,4,FALSE),
IF($A215&lt;SDR35G!$A$143,VLOOKUP($A215, SDR35G!$A$8:$M$142,4,FALSE),
IF($A215&lt;SDR26G!$A$61,VLOOKUP($A215,SDR26G!$A$8:$N$60,4,FALSE),
IF($A215&lt;Cements!$A$100,VLOOKUP($A215,Cements!$A$8:$Q$99,4,FALSE),
IF($A215&lt;ValveBox!$A$143,VLOOKUP($A215,ValveBox!$A$10:$O$142,4,FALSE),
IF($A215&lt;'ValveBox Components'!$A$165,VLOOKUP($A215,'ValveBox Components'!$A$10:$O$164,4,FALSE),
IF($A215&lt;Drainage!$A$92,VLOOKUP($A215,Drainage!$A$8:$M$91,4,FALSE),
IF($A215&lt;Nipples!$A$82,VLOOKUP($A215,Nipples!$A$9:$Q$81,4,FALSE),
IF($A215&lt;Manifold!$A$33,VLOOKUP($A215,Manifold!$A$9:$M$32,4,FALSE),
IF($A215&lt;FlexibleRepairCouplings!$A$13,VLOOKUP($A215,FlexibleRepairCouplings!$A$10:$M$12,4,FALSE),
IF($A215&lt;DuraFix!$A$15,VLOOKUP($A215,DuraFix!$A$9:$M$14,4,FALSE),
IF($A215&lt;'Compression Fittings'!$A$16,VLOOKUP($A215,'Compression Fittings'!$A$8:$M$15,4,FALSE),
IF($A215&lt;'Hose Fittings'!$A$30,VLOOKUP($A215,'Hose Fittings'!$A$8:$M$29,4,FALSE),
IF($A215&lt;'Swing Joints'!$A$496,VLOOKUP($A215,'Swing Joints'!$A$9:$M$495,4,FALSE),
IF($A215&lt;'Swing Joints Components'!$A$135,VLOOKUP($A215,'Swing Joints Components'!$A$9:$M$134,4,FALSE),
IF($A215&lt;Nonstandard!$A$42,VLOOKUP($A215,Nonstandard!$A$31:$J$41,5,FALSE),"")))))))))))))))))))))))))))),"")</f>
        <v/>
      </c>
      <c r="C215" s="415" t="str">
        <f>IFERROR(IF($A215&lt;'DWV PVC'!$A$285,VLOOKUP($A215,'DWV PVC'!$A$8:$M$284,5,FALSE),
IF($A215&lt;'DWV ABS'!$A$117,VLOOKUP($A215,'DWV ABS'!$A$8:$M$116,5,FALSE),
IF($A215&lt;'PVC SCH40'!$A$376,VLOOKUP($A215,'PVC SCH40'!$A$8:$M$375,5,FALSE),
IF($A215&lt;'PVC SCH40 LD'!$A$22,VLOOKUP($A215,'PVC SCH40 LD'!$A$8:$M$21,5,FALSE),
IF($A215&lt;'Pool &amp; SPA Sweep Elbows'!$A$12,VLOOKUP($A215,'Pool &amp; SPA Sweep Elbows'!$A$8:$M$11,5,FALSE),
IF($A215&lt;'Pool &amp; SPA Pipe Extender'!$A$11,VLOOKUP($A215,'Pool &amp; SPA Pipe Extender'!$A$8:$M$10,5,FALSE),
IF($A215&lt;'PVC SCH80'!$A$250,VLOOKUP($A215,'PVC SCH80'!$A$8:$M$249,5,FALSE),
IF($A215&lt;'PVC SCH80 Flange'!$A$49,VLOOKUP($A215,'PVC SCH80 Flange'!$A$8:$M$48,5,FALSE),
IF($A215&lt;'PVC SCH80 LD Flange'!$A$17,VLOOKUP($A215,'PVC SCH80 LD Flange'!$A$8:$M$16,5,FALSE),
IF($A215&lt;CPVC!$A$100,VLOOKUP($A215,CPVC!$A$8:$M$99,5,FALSE),
IF($A215&lt;InsertFittings!$A$237,VLOOKUP($A215,InsertFittings!$A$11:$M$236,5,FALSE),
IF($A215&lt;Valves!$A$132,VLOOKUP($A215,Valves!$A$8:$M$131,5,FALSE),
IF($A215&lt;SDR35SW!$A$124,VLOOKUP($A215,SDR35SW!$A$8:$M$123,5,FALSE),
IF($A215&lt;SDR35G!$A$143,VLOOKUP($A215, SDR35G!$A$8:$M$142,5,FALSE),
IF($A215&lt;SDR26G!$A$61,VLOOKUP($A215,SDR26G!$A$8:$N$60,5,FALSE),
IF($A215&lt;Cements!$A$100,VLOOKUP($A215,Cements!$A$8:$Q$99,5,FALSE),
IF($A215&lt;ValveBox!$A$143,VLOOKUP($A215,ValveBox!$A$10:$O$142,5,FALSE),
IF($A215&lt;'ValveBox Components'!$A$165,VLOOKUP($A215,'ValveBox Components'!$A$10:$O$164,5,FALSE),
IF($A215&lt;Drainage!$A$92,VLOOKUP($A215,Drainage!$A$8:$M$91,5,FALSE),
IF($A215&lt;Nipples!$A$82,VLOOKUP($A215,Nipples!$A$9:$Q$81,5,FALSE),
IF($A215&lt;Manifold!$A$33,VLOOKUP($A215,Manifold!$A$9:$M$32,5,FALSE),
IF($A215&lt;FlexibleRepairCouplings!$A$13,VLOOKUP($A215,FlexibleRepairCouplings!$A$10:$M$12,5,FALSE),
IF($A215&lt;DuraFix!$A$15,VLOOKUP($A215,DuraFix!$A$9:$M$14,5,FALSE),
IF($A215&lt;'Compression Fittings'!$A$16,VLOOKUP($A215,'Compression Fittings'!$A$8:$M$15,5,FALSE),
IF($A215&lt;'Hose Fittings'!$A$30,VLOOKUP($A215,'Hose Fittings'!$A$8:$M$29,5,FALSE),
IF($A215&lt;'Swing Joints'!$A$496,VLOOKUP($A215,'Swing Joints'!$A$9:$M$495,5,FALSE),
IF($A215&lt;'Swing Joints Components'!$A$135,VLOOKUP($A215,'Swing Joints Components'!$A$9:$M$134,5,FALSE),
IF($A215&lt;Nonstandard!$A$42,VLOOKUP($A215,Nonstandard!$A$31:$J$41,6,FALSE),"")))))))))))))))))))))))))))),"")</f>
        <v/>
      </c>
      <c r="D215" s="426" t="str">
        <f>IFERROR(IF($A215&lt;'DWV PVC'!$A$285,VLOOKUP($A215,'DWV PVC'!$A$8:$M$284,6,FALSE),
IF($A215&lt;'DWV ABS'!$A$117,VLOOKUP($A215,'DWV ABS'!$A$8:$M$116,6,FALSE),
IF($A215&lt;'PVC SCH40'!$A$376,VLOOKUP($A215,'PVC SCH40'!$A$8:$M$375,6,FALSE),
IF($A215&lt;'PVC SCH40 LD'!$A$22,VLOOKUP($A215,'PVC SCH40 LD'!$A$8:$M$21,6,FALSE),
IF($A215&lt;'Pool &amp; SPA Sweep Elbows'!$A$12,VLOOKUP($A215,'Pool &amp; SPA Sweep Elbows'!$A$8:$M$11,6,FALSE),
IF($A215&lt;'Pool &amp; SPA Pipe Extender'!$A$11,VLOOKUP($A215,'Pool &amp; SPA Pipe Extender'!$A$8:$M$10,6,FALSE),
IF($A215&lt;'PVC SCH80'!$A$250,VLOOKUP($A215,'PVC SCH80'!$A$8:$M$249,6,FALSE),
IF($A215&lt;'PVC SCH80 Flange'!$A$49,VLOOKUP($A215,'PVC SCH80 Flange'!$A$8:$M$48,6,FALSE),
IF($A215&lt;'PVC SCH80 LD Flange'!$A$17,VLOOKUP($A215,'PVC SCH80 LD Flange'!$A$8:$M$16,6,FALSE),
IF($A215&lt;CPVC!$A$100,VLOOKUP($A215,CPVC!$A$8:$M$99,6,FALSE),
IF($A215&lt;InsertFittings!$A$237,VLOOKUP($A215,InsertFittings!$A$11:$M$236,6,FALSE),
IF($A215&lt;Valves!$A$132,VLOOKUP($A215,Valves!$A$8:$M$131,6,FALSE),
IF($A215&lt;SDR35SW!$A$124,VLOOKUP($A215,SDR35SW!$A$8:$M$123,6,FALSE),
IF($A215&lt;SDR35G!$A$143,VLOOKUP($A215, SDR35G!$A$8:$M$142,6,FALSE),
IF($A215&lt;SDR26G!$A$61,VLOOKUP($A215,SDR26G!$A$8:$N$60,6,FALSE),
IF($A215&lt;Cements!$A$100,VLOOKUP($A215,Cements!$A$8:$Q$99,6,FALSE),
IF($A215&lt;ValveBox!$A$143,VLOOKUP($A215,ValveBox!$A$10:$O$142,6,FALSE),
IF($A215&lt;'ValveBox Components'!$A$165,VLOOKUP($A215,'ValveBox Components'!$A$10:$O$164,6,FALSE),
IF($A215&lt;Drainage!$A$92,VLOOKUP($A215,Drainage!$A$8:$M$91,6,FALSE),
IF($A215&lt;Nipples!$A$82,VLOOKUP($A215,Nipples!$A$9:$Q$81,6,FALSE),
IF($A215&lt;Manifold!$A$33,VLOOKUP($A215,Manifold!$A$9:$M$32,6,FALSE),
IF($A215&lt;FlexibleRepairCouplings!$A$13,VLOOKUP($A215,FlexibleRepairCouplings!$A$10:$M$12,6,FALSE),
IF($A215&lt;DuraFix!$A$15,VLOOKUP($A215,DuraFix!$A$9:$M$14,6,FALSE),
IF($A215&lt;'Compression Fittings'!$A$16,VLOOKUP($A215,'Compression Fittings'!$A$8:$M$15,6,FALSE),
IF($A215&lt;'Hose Fittings'!$A$30,VLOOKUP($A215,'Hose Fittings'!$A$8:$M$29,6,FALSE),
IF($A215&lt;'Swing Joints'!$A$496,VLOOKUP($A215,'Swing Joints'!$A$9:$M$495,6,FALSE),
IF($A215&lt;'Swing Joints Components'!$A$135,VLOOKUP($A215,'Swing Joints Components'!$A$9:$M$134,6,FALSE),
IF($A215&lt;Nonstandard!$A$42,VLOOKUP($A215,Nonstandard!$A$31:$J$41,7,FALSE),"")))))))))))))))))))))))))))),"")</f>
        <v/>
      </c>
      <c r="E215" s="427"/>
      <c r="F215" s="418" t="str">
        <f>IFERROR(IF($A215&lt;'DWV PVC'!$A$285,VLOOKUP($A215,'DWV PVC'!$A$8:$M$284,9,FALSE),
IF($A215&lt;'DWV ABS'!$A$117,VLOOKUP($A215,'DWV ABS'!$A$8:$M$116,9,FALSE),
IF($A215&lt;'PVC SCH40'!$A$376,VLOOKUP($A215,'PVC SCH40'!$A$8:$M$375,9,FALSE),
IF($A215&lt;'PVC SCH40 LD'!$A$22,VLOOKUP($A215,'PVC SCH40 LD'!$A$8:$M$21,9,FALSE),
IF($A215&lt;'Pool &amp; SPA Sweep Elbows'!$A$12,VLOOKUP($A215,'Pool &amp; SPA Sweep Elbows'!$A$8:$M$11,9,FALSE),
IF($A215&lt;'Pool &amp; SPA Pipe Extender'!$A$11,VLOOKUP($A215,'Pool &amp; SPA Pipe Extender'!$A$8:$M$10,9,FALSE),
IF($A215&lt;'PVC SCH80'!$A$250,VLOOKUP($A215,'PVC SCH80'!$A$8:$M$249,9,FALSE),
IF($A215&lt;'PVC SCH80 Flange'!$A$49,VLOOKUP($A215,'PVC SCH80 Flange'!$A$8:$M$48,9,FALSE),
IF($A215&lt;'PVC SCH80 LD Flange'!$A$17,VLOOKUP($A215,'PVC SCH80 LD Flange'!$A$8:$M$16,9,FALSE),
IF($A215&lt;CPVC!$A$100,VLOOKUP($A215,CPVC!$A$8:$M$99,9,FALSE),
IF($A215&lt;InsertFittings!$A$237,VLOOKUP($A215,InsertFittings!$A$11:$M$236,9,FALSE),
IF($A215&lt;Valves!$A$132,VLOOKUP($A215,Valves!$A$8:$M$131,9,FALSE),
IF($A215&lt;SDR35SW!$A$124,VLOOKUP($A215,SDR35SW!$A$8:$M$123,9,FALSE),
IF($A215&lt;SDR35G!$A$143,VLOOKUP($A215, SDR35G!$A$8:$M$142,9,FALSE),
IF($A215&lt;SDR26G!$A$61,VLOOKUP($A215,SDR26G!$A$8:$N$60,10,FALSE),
IF($A215&lt;Cements!$A$100,VLOOKUP($A215,Cements!$A$8:$Q$99,13,FALSE),
IF($A215&lt;ValveBox!$A$143,VLOOKUP($A215,ValveBox!$A$10:$O$142,11,FALSE),
IF($A215&lt;'ValveBox Components'!$A$165,VLOOKUP($A215,'ValveBox Components'!$A$10:$O$164,11,FALSE),
IF($A215&lt;Drainage!$A$92,VLOOKUP($A215,Drainage!$A$8:$M$91,9,FALSE),
IF($A215&lt;Nipples!$A$82,VLOOKUP($A215,Nipples!$A$9:$Q$81,13,FALSE),
IF($A215&lt;Manifold!$A$33,VLOOKUP($A215,Manifold!$A$9:$M$32,9,FALSE),
IF($A215&lt;FlexibleRepairCouplings!$A$13,VLOOKUP($A215,FlexibleRepairCouplings!$A$10:$M$12,9,FALSE),
IF($A215&lt;DuraFix!$A$15,VLOOKUP($A215,DuraFix!$A$9:$M$14,9,FALSE),
IF($A215&lt;'Compression Fittings'!$A$16,VLOOKUP($A215,'Compression Fittings'!$A$8:$M$15,9,FALSE),
IF($A215&lt;'Hose Fittings'!$A$30,VLOOKUP($A215,'Hose Fittings'!$A$8:$M$29,9,FALSE),
IF($A215&lt;'Swing Joints'!$A$496,VLOOKUP($A215,'Swing Joints'!$A$9:$M$495,9,FALSE),
IF($A215&lt;'Swing Joints Components'!$A$135,VLOOKUP($A215,'Swing Joints Components'!$A$9:$M$134,9,FALSE),
IF($A215&lt;Nonstandard!$A$42,VLOOKUP($A215,Nonstandard!$A$31:$J$41,8,FALSE),"")))))))))))))))))))))))))))),"")</f>
        <v/>
      </c>
      <c r="G215" s="416" t="str">
        <f>IFERROR(IF($A215&lt;'DWV PVC'!$A$285,VLOOKUP($A215,'DWV PVC'!$A$8:$M$284,11,FALSE),
IF($A215&lt;'DWV ABS'!$A$117,VLOOKUP($A215,'DWV ABS'!$A$8:$M$116,11,FALSE),
IF($A215&lt;'PVC SCH40'!$A$376,VLOOKUP($A215,'PVC SCH40'!$A$8:$M$375,11,FALSE),
IF($A215&lt;'PVC SCH40 LD'!$A$22,VLOOKUP($A215,'PVC SCH40 LD'!$A$8:$M$21,11,FALSE),
IF($A215&lt;'Pool &amp; SPA Sweep Elbows'!$A$12,VLOOKUP($A215,'Pool &amp; SPA Sweep Elbows'!$A$8:$M$11,11,FALSE),
IF($A215&lt;'Pool &amp; SPA Pipe Extender'!$A$11,VLOOKUP($A215,'Pool &amp; SPA Pipe Extender'!$A$8:$M$10,11,FALSE),
IF($A215&lt;'PVC SCH80'!$A$250,VLOOKUP($A215,'PVC SCH80'!$A$8:$M$249,11,FALSE),
IF($A215&lt;'PVC SCH80 Flange'!$A$49,VLOOKUP($A215,'PVC SCH80 Flange'!$A$8:$M$48,11,FALSE),
IF($A215&lt;'PVC SCH80 LD Flange'!$A$17,VLOOKUP($A215,'PVC SCH80 LD Flange'!$A$8:$M$16,11,FALSE),
IF($A215&lt;CPVC!$A$100,VLOOKUP($A215,CPVC!$A$8:$M$99,11,FALSE),
IF($A215&lt;InsertFittings!$A$237,VLOOKUP($A215,InsertFittings!$A$11:$M$236,11,FALSE),
IF($A215&lt;Valves!$A$132,VLOOKUP($A215,Valves!$A$8:$M$131,11,FALSE),
IF($A215&lt;SDR35SW!$A$124,VLOOKUP($A215,SDR35SW!$A$8:$M$123,11,FALSE),
IF($A215&lt;SDR35G!$A$143,VLOOKUP($A215, SDR35G!$A$8:$M$142,11,FALSE),
IF($A215&lt;SDR26G!$A$61,VLOOKUP($A215,SDR26G!$A$8:$N$60,12,FALSE),
IF($A215&lt;Cements!$A$100,VLOOKUP($A215,Cements!$A$8:$Q$99,15,FALSE),
IF($A215&lt;ValveBox!$A$143,VLOOKUP($A215,ValveBox!$A$10:$O$142,13,FALSE),
IF($A215&lt;'ValveBox Components'!$A$165,VLOOKUP($A215,'ValveBox Components'!$A$10:$O$164,13,FALSE),
IF($A215&lt;Drainage!$A$92,VLOOKUP($A215,Drainage!$A$8:$M$91,11,FALSE),
IF($A215&lt;Nipples!$A$82,VLOOKUP($A215,Nipples!$A$9:$Q$81,15,FALSE),
IF($A215&lt;Manifold!$A$33,VLOOKUP($A215,Manifold!$A$9:$M$32,11,FALSE),
IF($A215&lt;FlexibleRepairCouplings!$A$13,VLOOKUP($A215,FlexibleRepairCouplings!$A$10:$M$12,11,FALSE),
IF($A215&lt;DuraFix!$A$15,VLOOKUP($A215,DuraFix!$A$9:$M$14,11,FALSE),
IF($A215&lt;'Compression Fittings'!$A$16,VLOOKUP($A215,'Compression Fittings'!$A$8:$M$15,11,FALSE),
IF($A215&lt;'Hose Fittings'!$A$30,VLOOKUP($A215,'Hose Fittings'!$A$8:$M$29,11,FALSE),
IF($A215&lt;'Swing Joints'!$A$496,VLOOKUP($A215,'Swing Joints'!$A$9:$M$495,11,FALSE),
IF($A215&lt;'Swing Joints Components'!$A$135,VLOOKUP($A215,'Swing Joints Components'!$A$9:$M$134,11,FALSE),
IF($A215&lt;Nonstandard!$A$42,VLOOKUP($A215,Nonstandard!$A$31:$J$41,3,FALSE),"")))))))))))))))))))))))))))),"")</f>
        <v/>
      </c>
      <c r="H215" s="586" t="str">
        <f>IFERROR(IF($A215&lt;'DWV PVC'!$A$285,VLOOKUP($A215,'DWV PVC'!$A$8:$M$284,7,FALSE),
IF($A215&lt;'DWV ABS'!$A$117,VLOOKUP($A215,'DWV ABS'!$A$8:$M$116,7,FALSE),
IF($A215&lt;'PVC SCH40'!$A$376,VLOOKUP($A215,'PVC SCH40'!$A$8:$M$375,7,FALSE),
IF($A215&lt;'PVC SCH40 LD'!$A$22,VLOOKUP($A215,'PVC SCH40 LD'!$A$8:$M$21,7,FALSE),
IF($A215&lt;'Pool &amp; SPA Sweep Elbows'!$A$12,VLOOKUP($A215,'Pool &amp; SPA Sweep Elbows'!$A$8:$M$11,7,FALSE),
IF($A215&lt;'Pool &amp; SPA Pipe Extender'!$A$11,VLOOKUP($A215,'Pool &amp; SPA Pipe Extender'!$A$8:$M$10,7,FALSE),
IF($A215&lt;'PVC SCH80'!$A$250,VLOOKUP($A215,'PVC SCH80'!$A$8:$M$249,7,FALSE),
IF($A215&lt;'PVC SCH80 Flange'!$A$49,VLOOKUP($A215,'PVC SCH80 Flange'!$A$8:$M$48,7,FALSE),
IF($A215&lt;'PVC SCH80 LD Flange'!$A$17,VLOOKUP($A215,'PVC SCH80 LD Flange'!$A$8:$M$16,7,FALSE),
IF($A215&lt;CPVC!$A$100,VLOOKUP($A215,CPVC!$A$8:$M$99,7,FALSE),
IF($A215&lt;InsertFittings!$A$237,VLOOKUP($A215,InsertFittings!$A$11:$M$236,7,FALSE),
IF($A215&lt;Valves!$A$132,VLOOKUP($A215,Valves!$A$8:$M$131,7,FALSE),
IF($A215&lt;SDR35SW!$A$124,VLOOKUP($A215,SDR35SW!$A$8:$M$123,7,FALSE),
IF($A215&lt;SDR35G!$A$143,VLOOKUP($A215, SDR35G!$A$8:$M$142,7,FALSE),
IF($A215&lt;SDR26G!$A$61,VLOOKUP($A215,SDR26G!$A$8:$N$60,10,FALSE),
IF($A215&lt;Cements!$A$100,VLOOKUP($A215,Cements!$A$8:$Q$99,13,FALSE),
IF($A215&lt;ValveBox!$A$143,VLOOKUP($A215,ValveBox!$A$10:$O$142,11,FALSE),
IF($A215&lt;'ValveBox Components'!$A$165,VLOOKUP($A215,'ValveBox Components'!$A$10:$O$164,11,FALSE),
IF($A215&lt;Drainage!$A$92,VLOOKUP($A215,Drainage!$A$8:$M$91,7,FALSE),
IF($A215&lt;Nipples!$A$82,VLOOKUP($A215,Nipples!$A$9:$Q$81,13,FALSE),
IF($A215&lt;Manifold!$A$33,VLOOKUP($A215,Manifold!$A$9:$M$32,7,FALSE),
IF($A215&lt;FlexibleRepairCouplings!$A$13,VLOOKUP($A215,FlexibleRepairCouplings!$A$10:$M$12,7,FALSE),
IF($A215&lt;DuraFix!$A$15,VLOOKUP($A215,DuraFix!$A$9:$M$14,7,FALSE),
IF($A215&lt;'Compression Fittings'!$A$16,VLOOKUP($A215,'Compression Fittings'!$A$8:$M$15,7,FALSE),
IF($A215&lt;'Hose Fittings'!$A$30,VLOOKUP($A215,'Hose Fittings'!$A$8:$M$29,7,FALSE),
IF($A215&lt;'Swing Joints'!$A$496,VLOOKUP($A215,'Swing Joints'!$A$9:$M$495,7,FALSE),
IF($A215&lt;'Swing Joints Components'!$A$135,VLOOKUP($A215,'Swing Joints Components'!$A$9:$M$134,7,FALSE),
IF($A215&lt;Nonstandard!$A$42,VLOOKUP($A215,Nonstandard!$A$31:$J$41,3,FALSE),"")))))))))))))))))))))))))))),"")</f>
        <v/>
      </c>
      <c r="I215" s="587"/>
      <c r="J215" s="383" t="str">
        <f t="shared" si="5"/>
        <v/>
      </c>
      <c r="K215" s="417" t="str">
        <f>IFERROR(IF($A215&lt;'DWV PVC'!$A$285,VLOOKUP($A215,'DWV PVC'!$A$8:$M$284,10,FALSE),
IF($A215&lt;'DWV ABS'!$A$117,VLOOKUP($A215,'DWV ABS'!$A$8:$M$116,10,FALSE),
IF($A215&lt;'PVC SCH40'!$A$376,VLOOKUP($A215,'PVC SCH40'!$A$8:$M$375,10,FALSE),
IF($A215&lt;'PVC SCH40 LD'!$A$22,VLOOKUP($A215,'PVC SCH40 LD'!$A$8:$M$21,10,FALSE),
IF($A215&lt;'Pool &amp; SPA Sweep Elbows'!$A$12,VLOOKUP($A215,'Pool &amp; SPA Sweep Elbows'!$A$8:$M$11,10,FALSE),
IF($A215&lt;'Pool &amp; SPA Pipe Extender'!$A$11,VLOOKUP($A215,'Pool &amp; SPA Pipe Extender'!$A$8:$M$10,10,FALSE),
IF($A215&lt;'PVC SCH80'!$A$250,VLOOKUP($A215,'PVC SCH80'!$A$8:$M$249,10,FALSE),
IF($A215&lt;'PVC SCH80 Flange'!$A$49,VLOOKUP($A215,'PVC SCH80 Flange'!$A$8:$M$48,10,FALSE),
IF($A215&lt;'PVC SCH80 LD Flange'!$A$17,VLOOKUP($A215,'PVC SCH80 LD Flange'!$A$8:$M$16,10,FALSE),
IF($A215&lt;CPVC!$A$100,VLOOKUP($A215,CPVC!$A$8:$M$99,10,FALSE),
IF($A215&lt;InsertFittings!$A$237,VLOOKUP($A215,InsertFittings!$A$11:$M$236,10,FALSE),
IF($A215&lt;Valves!$A$132,VLOOKUP($A215,Valves!$A$8:$M$131,10,FALSE),
IF($A215&lt;SDR35SW!$A$124,VLOOKUP($A215,SDR35SW!$A$8:$M$123,10,FALSE),
IF($A215&lt;SDR35G!$A$143,VLOOKUP($A215, SDR35G!$A$8:$M$142,10,FALSE),
IF($A215&lt;SDR26G!$A$61,VLOOKUP($A215,SDR26G!$A$8:$N$60,11,FALSE),
IF($A215&lt;Cements!$A$100,VLOOKUP($A215,Cements!$A$8:$Q$99,14,FALSE),
IF($A215&lt;ValveBox!$A$143,VLOOKUP($A215,ValveBox!$A$10:$O$142,12,FALSE),
IF($A215&lt;'ValveBox Components'!$A$165,VLOOKUP($A215,'ValveBox Components'!$A$10:$O$164,12,FALSE),
IF($A215&lt;Drainage!$A$92,VLOOKUP($A215,Drainage!$A$8:$M$91,10,FALSE),
IF($A215&lt;Nipples!$A$82,VLOOKUP($A215,Nipples!$A$9:$Q$81,14,FALSE),
IF($A215&lt;Manifold!$A$33,VLOOKUP($A215,Manifold!$A$9:$M$32,10,FALSE),
IF($A215&lt;FlexibleRepairCouplings!$A$13,VLOOKUP($A215,FlexibleRepairCouplings!$A$10:$M$12,10,FALSE),
IF($A215&lt;DuraFix!$A$15,VLOOKUP($A215,DuraFix!$A$9:$M$14,10,FALSE),
IF($A215&lt;'Compression Fittings'!$A$16,VLOOKUP($A215,'Compression Fittings'!$A$8:$M$15,10,FALSE),
IF($A215&lt;'Hose Fittings'!$A$30,VLOOKUP($A215,'Hose Fittings'!$A$8:$M$29,10,FALSE),
IF($A215&lt;'Swing Joints'!$A$496,VLOOKUP($A215,'Swing Joints'!$A$9:$M$495,10,FALSE),
IF($A215&lt;'Swing Joints Components'!$A$135,VLOOKUP($A215,'Swing Joints Components'!$A$9:$M$134,10,FALSE),
IF($A215&lt;Nonstandard!$A$42,VLOOKUP($A215,Nonstandard!$A$31:$J$41,10,FALSE),"")))))))))))))))))))))))))))),"")</f>
        <v/>
      </c>
      <c r="L215" s="418" t="str">
        <f t="shared" si="4"/>
        <v>-</v>
      </c>
      <c r="M215" s="419"/>
    </row>
    <row r="216" spans="1:13" ht="15.75">
      <c r="A216" s="420">
        <v>184</v>
      </c>
      <c r="B216" s="420" t="str">
        <f>IFERROR(IF($A216&lt;'DWV PVC'!$A$285,VLOOKUP($A216,'DWV PVC'!$A$8:$M$284,4,FALSE),
IF($A216&lt;'DWV ABS'!$A$117,VLOOKUP($A216,'DWV ABS'!$A$8:$M$116,4,FALSE),
IF($A216&lt;'PVC SCH40'!$A$376,VLOOKUP($A216,'PVC SCH40'!$A$8:$M$375,4,FALSE),
IF($A216&lt;'PVC SCH40 LD'!$A$22,VLOOKUP($A216,'PVC SCH40 LD'!$A$8:$M$21,4,FALSE),
IF($A216&lt;'Pool &amp; SPA Sweep Elbows'!$A$12,VLOOKUP($A216,'Pool &amp; SPA Sweep Elbows'!$A$8:$M$11,4,FALSE),
IF($A216&lt;'Pool &amp; SPA Pipe Extender'!$A$11,VLOOKUP($A216,'Pool &amp; SPA Pipe Extender'!$A$8:$M$10,4,FALSE),
IF($A216&lt;'PVC SCH80'!$A$250,VLOOKUP($A216,'PVC SCH80'!$A$8:$M$249,4,FALSE),
IF($A216&lt;'PVC SCH80 Flange'!$A$49,VLOOKUP($A216,'PVC SCH80 Flange'!$A$8:$M$48,4,FALSE),
IF($A216&lt;'PVC SCH80 LD Flange'!$A$17,VLOOKUP($A216,'PVC SCH80 LD Flange'!$A$8:$M$16,4,FALSE),
IF($A216&lt;CPVC!$A$100,VLOOKUP($A216,CPVC!$A$8:$M$99,4,FALSE),
IF($A216&lt;InsertFittings!$A$237,VLOOKUP($A216,InsertFittings!$A$11:$M$236,4,FALSE),
IF($A216&lt;Valves!$A$132,VLOOKUP($A216,Valves!$A$8:$M$131,4,FALSE),
IF($A216&lt;SDR35SW!$A$124,VLOOKUP($A216,SDR35SW!$A$8:$M$123,4,FALSE),
IF($A216&lt;SDR35G!$A$143,VLOOKUP($A216, SDR35G!$A$8:$M$142,4,FALSE),
IF($A216&lt;SDR26G!$A$61,VLOOKUP($A216,SDR26G!$A$8:$N$60,4,FALSE),
IF($A216&lt;Cements!$A$100,VLOOKUP($A216,Cements!$A$8:$Q$99,4,FALSE),
IF($A216&lt;ValveBox!$A$143,VLOOKUP($A216,ValveBox!$A$10:$O$142,4,FALSE),
IF($A216&lt;'ValveBox Components'!$A$165,VLOOKUP($A216,'ValveBox Components'!$A$10:$O$164,4,FALSE),
IF($A216&lt;Drainage!$A$92,VLOOKUP($A216,Drainage!$A$8:$M$91,4,FALSE),
IF($A216&lt;Nipples!$A$82,VLOOKUP($A216,Nipples!$A$9:$Q$81,4,FALSE),
IF($A216&lt;Manifold!$A$33,VLOOKUP($A216,Manifold!$A$9:$M$32,4,FALSE),
IF($A216&lt;FlexibleRepairCouplings!$A$13,VLOOKUP($A216,FlexibleRepairCouplings!$A$10:$M$12,4,FALSE),
IF($A216&lt;DuraFix!$A$15,VLOOKUP($A216,DuraFix!$A$9:$M$14,4,FALSE),
IF($A216&lt;'Compression Fittings'!$A$16,VLOOKUP($A216,'Compression Fittings'!$A$8:$M$15,4,FALSE),
IF($A216&lt;'Hose Fittings'!$A$30,VLOOKUP($A216,'Hose Fittings'!$A$8:$M$29,4,FALSE),
IF($A216&lt;'Swing Joints'!$A$496,VLOOKUP($A216,'Swing Joints'!$A$9:$M$495,4,FALSE),
IF($A216&lt;'Swing Joints Components'!$A$135,VLOOKUP($A216,'Swing Joints Components'!$A$9:$M$134,4,FALSE),
IF($A216&lt;Nonstandard!$A$42,VLOOKUP($A216,Nonstandard!$A$31:$J$41,5,FALSE),"")))))))))))))))))))))))))))),"")</f>
        <v/>
      </c>
      <c r="C216" s="420" t="str">
        <f>IFERROR(IF($A216&lt;'DWV PVC'!$A$285,VLOOKUP($A216,'DWV PVC'!$A$8:$M$284,5,FALSE),
IF($A216&lt;'DWV ABS'!$A$117,VLOOKUP($A216,'DWV ABS'!$A$8:$M$116,5,FALSE),
IF($A216&lt;'PVC SCH40'!$A$376,VLOOKUP($A216,'PVC SCH40'!$A$8:$M$375,5,FALSE),
IF($A216&lt;'PVC SCH40 LD'!$A$22,VLOOKUP($A216,'PVC SCH40 LD'!$A$8:$M$21,5,FALSE),
IF($A216&lt;'Pool &amp; SPA Sweep Elbows'!$A$12,VLOOKUP($A216,'Pool &amp; SPA Sweep Elbows'!$A$8:$M$11,5,FALSE),
IF($A216&lt;'Pool &amp; SPA Pipe Extender'!$A$11,VLOOKUP($A216,'Pool &amp; SPA Pipe Extender'!$A$8:$M$10,5,FALSE),
IF($A216&lt;'PVC SCH80'!$A$250,VLOOKUP($A216,'PVC SCH80'!$A$8:$M$249,5,FALSE),
IF($A216&lt;'PVC SCH80 Flange'!$A$49,VLOOKUP($A216,'PVC SCH80 Flange'!$A$8:$M$48,5,FALSE),
IF($A216&lt;'PVC SCH80 LD Flange'!$A$17,VLOOKUP($A216,'PVC SCH80 LD Flange'!$A$8:$M$16,5,FALSE),
IF($A216&lt;CPVC!$A$100,VLOOKUP($A216,CPVC!$A$8:$M$99,5,FALSE),
IF($A216&lt;InsertFittings!$A$237,VLOOKUP($A216,InsertFittings!$A$11:$M$236,5,FALSE),
IF($A216&lt;Valves!$A$132,VLOOKUP($A216,Valves!$A$8:$M$131,5,FALSE),
IF($A216&lt;SDR35SW!$A$124,VLOOKUP($A216,SDR35SW!$A$8:$M$123,5,FALSE),
IF($A216&lt;SDR35G!$A$143,VLOOKUP($A216, SDR35G!$A$8:$M$142,5,FALSE),
IF($A216&lt;SDR26G!$A$61,VLOOKUP($A216,SDR26G!$A$8:$N$60,5,FALSE),
IF($A216&lt;Cements!$A$100,VLOOKUP($A216,Cements!$A$8:$Q$99,5,FALSE),
IF($A216&lt;ValveBox!$A$143,VLOOKUP($A216,ValveBox!$A$10:$O$142,5,FALSE),
IF($A216&lt;'ValveBox Components'!$A$165,VLOOKUP($A216,'ValveBox Components'!$A$10:$O$164,5,FALSE),
IF($A216&lt;Drainage!$A$92,VLOOKUP($A216,Drainage!$A$8:$M$91,5,FALSE),
IF($A216&lt;Nipples!$A$82,VLOOKUP($A216,Nipples!$A$9:$Q$81,5,FALSE),
IF($A216&lt;Manifold!$A$33,VLOOKUP($A216,Manifold!$A$9:$M$32,5,FALSE),
IF($A216&lt;FlexibleRepairCouplings!$A$13,VLOOKUP($A216,FlexibleRepairCouplings!$A$10:$M$12,5,FALSE),
IF($A216&lt;DuraFix!$A$15,VLOOKUP($A216,DuraFix!$A$9:$M$14,5,FALSE),
IF($A216&lt;'Compression Fittings'!$A$16,VLOOKUP($A216,'Compression Fittings'!$A$8:$M$15,5,FALSE),
IF($A216&lt;'Hose Fittings'!$A$30,VLOOKUP($A216,'Hose Fittings'!$A$8:$M$29,5,FALSE),
IF($A216&lt;'Swing Joints'!$A$496,VLOOKUP($A216,'Swing Joints'!$A$9:$M$495,5,FALSE),
IF($A216&lt;'Swing Joints Components'!$A$135,VLOOKUP($A216,'Swing Joints Components'!$A$9:$M$134,5,FALSE),
IF($A216&lt;Nonstandard!$A$42,VLOOKUP($A216,Nonstandard!$A$31:$J$41,6,FALSE),"")))))))))))))))))))))))))))),"")</f>
        <v/>
      </c>
      <c r="D216" s="428" t="str">
        <f>IFERROR(IF($A216&lt;'DWV PVC'!$A$285,VLOOKUP($A216,'DWV PVC'!$A$8:$M$284,6,FALSE),
IF($A216&lt;'DWV ABS'!$A$117,VLOOKUP($A216,'DWV ABS'!$A$8:$M$116,6,FALSE),
IF($A216&lt;'PVC SCH40'!$A$376,VLOOKUP($A216,'PVC SCH40'!$A$8:$M$375,6,FALSE),
IF($A216&lt;'PVC SCH40 LD'!$A$22,VLOOKUP($A216,'PVC SCH40 LD'!$A$8:$M$21,6,FALSE),
IF($A216&lt;'Pool &amp; SPA Sweep Elbows'!$A$12,VLOOKUP($A216,'Pool &amp; SPA Sweep Elbows'!$A$8:$M$11,6,FALSE),
IF($A216&lt;'Pool &amp; SPA Pipe Extender'!$A$11,VLOOKUP($A216,'Pool &amp; SPA Pipe Extender'!$A$8:$M$10,6,FALSE),
IF($A216&lt;'PVC SCH80'!$A$250,VLOOKUP($A216,'PVC SCH80'!$A$8:$M$249,6,FALSE),
IF($A216&lt;'PVC SCH80 Flange'!$A$49,VLOOKUP($A216,'PVC SCH80 Flange'!$A$8:$M$48,6,FALSE),
IF($A216&lt;'PVC SCH80 LD Flange'!$A$17,VLOOKUP($A216,'PVC SCH80 LD Flange'!$A$8:$M$16,6,FALSE),
IF($A216&lt;CPVC!$A$100,VLOOKUP($A216,CPVC!$A$8:$M$99,6,FALSE),
IF($A216&lt;InsertFittings!$A$237,VLOOKUP($A216,InsertFittings!$A$11:$M$236,6,FALSE),
IF($A216&lt;Valves!$A$132,VLOOKUP($A216,Valves!$A$8:$M$131,6,FALSE),
IF($A216&lt;SDR35SW!$A$124,VLOOKUP($A216,SDR35SW!$A$8:$M$123,6,FALSE),
IF($A216&lt;SDR35G!$A$143,VLOOKUP($A216, SDR35G!$A$8:$M$142,6,FALSE),
IF($A216&lt;SDR26G!$A$61,VLOOKUP($A216,SDR26G!$A$8:$N$60,6,FALSE),
IF($A216&lt;Cements!$A$100,VLOOKUP($A216,Cements!$A$8:$Q$99,6,FALSE),
IF($A216&lt;ValveBox!$A$143,VLOOKUP($A216,ValveBox!$A$10:$O$142,6,FALSE),
IF($A216&lt;'ValveBox Components'!$A$165,VLOOKUP($A216,'ValveBox Components'!$A$10:$O$164,6,FALSE),
IF($A216&lt;Drainage!$A$92,VLOOKUP($A216,Drainage!$A$8:$M$91,6,FALSE),
IF($A216&lt;Nipples!$A$82,VLOOKUP($A216,Nipples!$A$9:$Q$81,6,FALSE),
IF($A216&lt;Manifold!$A$33,VLOOKUP($A216,Manifold!$A$9:$M$32,6,FALSE),
IF($A216&lt;FlexibleRepairCouplings!$A$13,VLOOKUP($A216,FlexibleRepairCouplings!$A$10:$M$12,6,FALSE),
IF($A216&lt;DuraFix!$A$15,VLOOKUP($A216,DuraFix!$A$9:$M$14,6,FALSE),
IF($A216&lt;'Compression Fittings'!$A$16,VLOOKUP($A216,'Compression Fittings'!$A$8:$M$15,6,FALSE),
IF($A216&lt;'Hose Fittings'!$A$30,VLOOKUP($A216,'Hose Fittings'!$A$8:$M$29,6,FALSE),
IF($A216&lt;'Swing Joints'!$A$496,VLOOKUP($A216,'Swing Joints'!$A$9:$M$495,6,FALSE),
IF($A216&lt;'Swing Joints Components'!$A$135,VLOOKUP($A216,'Swing Joints Components'!$A$9:$M$134,6,FALSE),
IF($A216&lt;Nonstandard!$A$42,VLOOKUP($A216,Nonstandard!$A$31:$J$41,7,FALSE),"")))))))))))))))))))))))))))),"")</f>
        <v/>
      </c>
      <c r="E216" s="429"/>
      <c r="F216" s="421" t="str">
        <f>IFERROR(IF($A216&lt;'DWV PVC'!$A$285,VLOOKUP($A216,'DWV PVC'!$A$8:$M$284,9,FALSE),
IF($A216&lt;'DWV ABS'!$A$117,VLOOKUP($A216,'DWV ABS'!$A$8:$M$116,9,FALSE),
IF($A216&lt;'PVC SCH40'!$A$376,VLOOKUP($A216,'PVC SCH40'!$A$8:$M$375,9,FALSE),
IF($A216&lt;'PVC SCH40 LD'!$A$22,VLOOKUP($A216,'PVC SCH40 LD'!$A$8:$M$21,9,FALSE),
IF($A216&lt;'Pool &amp; SPA Sweep Elbows'!$A$12,VLOOKUP($A216,'Pool &amp; SPA Sweep Elbows'!$A$8:$M$11,9,FALSE),
IF($A216&lt;'Pool &amp; SPA Pipe Extender'!$A$11,VLOOKUP($A216,'Pool &amp; SPA Pipe Extender'!$A$8:$M$10,9,FALSE),
IF($A216&lt;'PVC SCH80'!$A$250,VLOOKUP($A216,'PVC SCH80'!$A$8:$M$249,9,FALSE),
IF($A216&lt;'PVC SCH80 Flange'!$A$49,VLOOKUP($A216,'PVC SCH80 Flange'!$A$8:$M$48,9,FALSE),
IF($A216&lt;'PVC SCH80 LD Flange'!$A$17,VLOOKUP($A216,'PVC SCH80 LD Flange'!$A$8:$M$16,9,FALSE),
IF($A216&lt;CPVC!$A$100,VLOOKUP($A216,CPVC!$A$8:$M$99,9,FALSE),
IF($A216&lt;InsertFittings!$A$237,VLOOKUP($A216,InsertFittings!$A$11:$M$236,9,FALSE),
IF($A216&lt;Valves!$A$132,VLOOKUP($A216,Valves!$A$8:$M$131,9,FALSE),
IF($A216&lt;SDR35SW!$A$124,VLOOKUP($A216,SDR35SW!$A$8:$M$123,9,FALSE),
IF($A216&lt;SDR35G!$A$143,VLOOKUP($A216, SDR35G!$A$8:$M$142,9,FALSE),
IF($A216&lt;SDR26G!$A$61,VLOOKUP($A216,SDR26G!$A$8:$N$60,10,FALSE),
IF($A216&lt;Cements!$A$100,VLOOKUP($A216,Cements!$A$8:$Q$99,13,FALSE),
IF($A216&lt;ValveBox!$A$143,VLOOKUP($A216,ValveBox!$A$10:$O$142,11,FALSE),
IF($A216&lt;'ValveBox Components'!$A$165,VLOOKUP($A216,'ValveBox Components'!$A$10:$O$164,11,FALSE),
IF($A216&lt;Drainage!$A$92,VLOOKUP($A216,Drainage!$A$8:$M$91,9,FALSE),
IF($A216&lt;Nipples!$A$82,VLOOKUP($A216,Nipples!$A$9:$Q$81,13,FALSE),
IF($A216&lt;Manifold!$A$33,VLOOKUP($A216,Manifold!$A$9:$M$32,9,FALSE),
IF($A216&lt;FlexibleRepairCouplings!$A$13,VLOOKUP($A216,FlexibleRepairCouplings!$A$10:$M$12,9,FALSE),
IF($A216&lt;DuraFix!$A$15,VLOOKUP($A216,DuraFix!$A$9:$M$14,9,FALSE),
IF($A216&lt;'Compression Fittings'!$A$16,VLOOKUP($A216,'Compression Fittings'!$A$8:$M$15,9,FALSE),
IF($A216&lt;'Hose Fittings'!$A$30,VLOOKUP($A216,'Hose Fittings'!$A$8:$M$29,9,FALSE),
IF($A216&lt;'Swing Joints'!$A$496,VLOOKUP($A216,'Swing Joints'!$A$9:$M$495,9,FALSE),
IF($A216&lt;'Swing Joints Components'!$A$135,VLOOKUP($A216,'Swing Joints Components'!$A$9:$M$134,9,FALSE),
IF($A216&lt;Nonstandard!$A$42,VLOOKUP($A216,Nonstandard!$A$31:$J$41,8,FALSE),"")))))))))))))))))))))))))))),"")</f>
        <v/>
      </c>
      <c r="G216" s="422" t="str">
        <f>IFERROR(IF($A216&lt;'DWV PVC'!$A$285,VLOOKUP($A216,'DWV PVC'!$A$8:$M$284,11,FALSE),
IF($A216&lt;'DWV ABS'!$A$117,VLOOKUP($A216,'DWV ABS'!$A$8:$M$116,11,FALSE),
IF($A216&lt;'PVC SCH40'!$A$376,VLOOKUP($A216,'PVC SCH40'!$A$8:$M$375,11,FALSE),
IF($A216&lt;'PVC SCH40 LD'!$A$22,VLOOKUP($A216,'PVC SCH40 LD'!$A$8:$M$21,11,FALSE),
IF($A216&lt;'Pool &amp; SPA Sweep Elbows'!$A$12,VLOOKUP($A216,'Pool &amp; SPA Sweep Elbows'!$A$8:$M$11,11,FALSE),
IF($A216&lt;'Pool &amp; SPA Pipe Extender'!$A$11,VLOOKUP($A216,'Pool &amp; SPA Pipe Extender'!$A$8:$M$10,11,FALSE),
IF($A216&lt;'PVC SCH80'!$A$250,VLOOKUP($A216,'PVC SCH80'!$A$8:$M$249,11,FALSE),
IF($A216&lt;'PVC SCH80 Flange'!$A$49,VLOOKUP($A216,'PVC SCH80 Flange'!$A$8:$M$48,11,FALSE),
IF($A216&lt;'PVC SCH80 LD Flange'!$A$17,VLOOKUP($A216,'PVC SCH80 LD Flange'!$A$8:$M$16,11,FALSE),
IF($A216&lt;CPVC!$A$100,VLOOKUP($A216,CPVC!$A$8:$M$99,11,FALSE),
IF($A216&lt;InsertFittings!$A$237,VLOOKUP($A216,InsertFittings!$A$11:$M$236,11,FALSE),
IF($A216&lt;Valves!$A$132,VLOOKUP($A216,Valves!$A$8:$M$131,11,FALSE),
IF($A216&lt;SDR35SW!$A$124,VLOOKUP($A216,SDR35SW!$A$8:$M$123,11,FALSE),
IF($A216&lt;SDR35G!$A$143,VLOOKUP($A216, SDR35G!$A$8:$M$142,11,FALSE),
IF($A216&lt;SDR26G!$A$61,VLOOKUP($A216,SDR26G!$A$8:$N$60,12,FALSE),
IF($A216&lt;Cements!$A$100,VLOOKUP($A216,Cements!$A$8:$Q$99,15,FALSE),
IF($A216&lt;ValveBox!$A$143,VLOOKUP($A216,ValveBox!$A$10:$O$142,13,FALSE),
IF($A216&lt;'ValveBox Components'!$A$165,VLOOKUP($A216,'ValveBox Components'!$A$10:$O$164,13,FALSE),
IF($A216&lt;Drainage!$A$92,VLOOKUP($A216,Drainage!$A$8:$M$91,11,FALSE),
IF($A216&lt;Nipples!$A$82,VLOOKUP($A216,Nipples!$A$9:$Q$81,15,FALSE),
IF($A216&lt;Manifold!$A$33,VLOOKUP($A216,Manifold!$A$9:$M$32,11,FALSE),
IF($A216&lt;FlexibleRepairCouplings!$A$13,VLOOKUP($A216,FlexibleRepairCouplings!$A$10:$M$12,11,FALSE),
IF($A216&lt;DuraFix!$A$15,VLOOKUP($A216,DuraFix!$A$9:$M$14,11,FALSE),
IF($A216&lt;'Compression Fittings'!$A$16,VLOOKUP($A216,'Compression Fittings'!$A$8:$M$15,11,FALSE),
IF($A216&lt;'Hose Fittings'!$A$30,VLOOKUP($A216,'Hose Fittings'!$A$8:$M$29,11,FALSE),
IF($A216&lt;'Swing Joints'!$A$496,VLOOKUP($A216,'Swing Joints'!$A$9:$M$495,11,FALSE),
IF($A216&lt;'Swing Joints Components'!$A$135,VLOOKUP($A216,'Swing Joints Components'!$A$9:$M$134,11,FALSE),
IF($A216&lt;Nonstandard!$A$42,VLOOKUP($A216,Nonstandard!$A$31:$J$41,3,FALSE),"")))))))))))))))))))))))))))),"")</f>
        <v/>
      </c>
      <c r="H216" s="588" t="str">
        <f>IFERROR(IF($A216&lt;'DWV PVC'!$A$285,VLOOKUP($A216,'DWV PVC'!$A$8:$M$284,7,FALSE),
IF($A216&lt;'DWV ABS'!$A$117,VLOOKUP($A216,'DWV ABS'!$A$8:$M$116,7,FALSE),
IF($A216&lt;'PVC SCH40'!$A$376,VLOOKUP($A216,'PVC SCH40'!$A$8:$M$375,7,FALSE),
IF($A216&lt;'PVC SCH40 LD'!$A$22,VLOOKUP($A216,'PVC SCH40 LD'!$A$8:$M$21,7,FALSE),
IF($A216&lt;'Pool &amp; SPA Sweep Elbows'!$A$12,VLOOKUP($A216,'Pool &amp; SPA Sweep Elbows'!$A$8:$M$11,7,FALSE),
IF($A216&lt;'Pool &amp; SPA Pipe Extender'!$A$11,VLOOKUP($A216,'Pool &amp; SPA Pipe Extender'!$A$8:$M$10,7,FALSE),
IF($A216&lt;'PVC SCH80'!$A$250,VLOOKUP($A216,'PVC SCH80'!$A$8:$M$249,7,FALSE),
IF($A216&lt;'PVC SCH80 Flange'!$A$49,VLOOKUP($A216,'PVC SCH80 Flange'!$A$8:$M$48,7,FALSE),
IF($A216&lt;'PVC SCH80 LD Flange'!$A$17,VLOOKUP($A216,'PVC SCH80 LD Flange'!$A$8:$M$16,7,FALSE),
IF($A216&lt;CPVC!$A$100,VLOOKUP($A216,CPVC!$A$8:$M$99,7,FALSE),
IF($A216&lt;InsertFittings!$A$237,VLOOKUP($A216,InsertFittings!$A$11:$M$236,7,FALSE),
IF($A216&lt;Valves!$A$132,VLOOKUP($A216,Valves!$A$8:$M$131,7,FALSE),
IF($A216&lt;SDR35SW!$A$124,VLOOKUP($A216,SDR35SW!$A$8:$M$123,7,FALSE),
IF($A216&lt;SDR35G!$A$143,VLOOKUP($A216, SDR35G!$A$8:$M$142,7,FALSE),
IF($A216&lt;SDR26G!$A$61,VLOOKUP($A216,SDR26G!$A$8:$N$60,10,FALSE),
IF($A216&lt;Cements!$A$100,VLOOKUP($A216,Cements!$A$8:$Q$99,13,FALSE),
IF($A216&lt;ValveBox!$A$143,VLOOKUP($A216,ValveBox!$A$10:$O$142,11,FALSE),
IF($A216&lt;'ValveBox Components'!$A$165,VLOOKUP($A216,'ValveBox Components'!$A$10:$O$164,11,FALSE),
IF($A216&lt;Drainage!$A$92,VLOOKUP($A216,Drainage!$A$8:$M$91,7,FALSE),
IF($A216&lt;Nipples!$A$82,VLOOKUP($A216,Nipples!$A$9:$Q$81,13,FALSE),
IF($A216&lt;Manifold!$A$33,VLOOKUP($A216,Manifold!$A$9:$M$32,7,FALSE),
IF($A216&lt;FlexibleRepairCouplings!$A$13,VLOOKUP($A216,FlexibleRepairCouplings!$A$10:$M$12,7,FALSE),
IF($A216&lt;DuraFix!$A$15,VLOOKUP($A216,DuraFix!$A$9:$M$14,7,FALSE),
IF($A216&lt;'Compression Fittings'!$A$16,VLOOKUP($A216,'Compression Fittings'!$A$8:$M$15,7,FALSE),
IF($A216&lt;'Hose Fittings'!$A$30,VLOOKUP($A216,'Hose Fittings'!$A$8:$M$29,7,FALSE),
IF($A216&lt;'Swing Joints'!$A$496,VLOOKUP($A216,'Swing Joints'!$A$9:$M$495,7,FALSE),
IF($A216&lt;'Swing Joints Components'!$A$135,VLOOKUP($A216,'Swing Joints Components'!$A$9:$M$134,7,FALSE),
IF($A216&lt;Nonstandard!$A$42,VLOOKUP($A216,Nonstandard!$A$31:$J$41,3,FALSE),"")))))))))))))))))))))))))))),"")</f>
        <v/>
      </c>
      <c r="I216" s="589"/>
      <c r="J216" s="423" t="str">
        <f t="shared" si="5"/>
        <v/>
      </c>
      <c r="K216" s="424" t="str">
        <f>IFERROR(IF($A216&lt;'DWV PVC'!$A$285,VLOOKUP($A216,'DWV PVC'!$A$8:$M$284,10,FALSE),
IF($A216&lt;'DWV ABS'!$A$117,VLOOKUP($A216,'DWV ABS'!$A$8:$M$116,10,FALSE),
IF($A216&lt;'PVC SCH40'!$A$376,VLOOKUP($A216,'PVC SCH40'!$A$8:$M$375,10,FALSE),
IF($A216&lt;'PVC SCH40 LD'!$A$22,VLOOKUP($A216,'PVC SCH40 LD'!$A$8:$M$21,10,FALSE),
IF($A216&lt;'Pool &amp; SPA Sweep Elbows'!$A$12,VLOOKUP($A216,'Pool &amp; SPA Sweep Elbows'!$A$8:$M$11,10,FALSE),
IF($A216&lt;'Pool &amp; SPA Pipe Extender'!$A$11,VLOOKUP($A216,'Pool &amp; SPA Pipe Extender'!$A$8:$M$10,10,FALSE),
IF($A216&lt;'PVC SCH80'!$A$250,VLOOKUP($A216,'PVC SCH80'!$A$8:$M$249,10,FALSE),
IF($A216&lt;'PVC SCH80 Flange'!$A$49,VLOOKUP($A216,'PVC SCH80 Flange'!$A$8:$M$48,10,FALSE),
IF($A216&lt;'PVC SCH80 LD Flange'!$A$17,VLOOKUP($A216,'PVC SCH80 LD Flange'!$A$8:$M$16,10,FALSE),
IF($A216&lt;CPVC!$A$100,VLOOKUP($A216,CPVC!$A$8:$M$99,10,FALSE),
IF($A216&lt;InsertFittings!$A$237,VLOOKUP($A216,InsertFittings!$A$11:$M$236,10,FALSE),
IF($A216&lt;Valves!$A$132,VLOOKUP($A216,Valves!$A$8:$M$131,10,FALSE),
IF($A216&lt;SDR35SW!$A$124,VLOOKUP($A216,SDR35SW!$A$8:$M$123,10,FALSE),
IF($A216&lt;SDR35G!$A$143,VLOOKUP($A216, SDR35G!$A$8:$M$142,10,FALSE),
IF($A216&lt;SDR26G!$A$61,VLOOKUP($A216,SDR26G!$A$8:$N$60,11,FALSE),
IF($A216&lt;Cements!$A$100,VLOOKUP($A216,Cements!$A$8:$Q$99,14,FALSE),
IF($A216&lt;ValveBox!$A$143,VLOOKUP($A216,ValveBox!$A$10:$O$142,12,FALSE),
IF($A216&lt;'ValveBox Components'!$A$165,VLOOKUP($A216,'ValveBox Components'!$A$10:$O$164,12,FALSE),
IF($A216&lt;Drainage!$A$92,VLOOKUP($A216,Drainage!$A$8:$M$91,10,FALSE),
IF($A216&lt;Nipples!$A$82,VLOOKUP($A216,Nipples!$A$9:$Q$81,14,FALSE),
IF($A216&lt;Manifold!$A$33,VLOOKUP($A216,Manifold!$A$9:$M$32,10,FALSE),
IF($A216&lt;FlexibleRepairCouplings!$A$13,VLOOKUP($A216,FlexibleRepairCouplings!$A$10:$M$12,10,FALSE),
IF($A216&lt;DuraFix!$A$15,VLOOKUP($A216,DuraFix!$A$9:$M$14,10,FALSE),
IF($A216&lt;'Compression Fittings'!$A$16,VLOOKUP($A216,'Compression Fittings'!$A$8:$M$15,10,FALSE),
IF($A216&lt;'Hose Fittings'!$A$30,VLOOKUP($A216,'Hose Fittings'!$A$8:$M$29,10,FALSE),
IF($A216&lt;'Swing Joints'!$A$496,VLOOKUP($A216,'Swing Joints'!$A$9:$M$495,10,FALSE),
IF($A216&lt;'Swing Joints Components'!$A$135,VLOOKUP($A216,'Swing Joints Components'!$A$9:$M$134,10,FALSE),
IF($A216&lt;Nonstandard!$A$42,VLOOKUP($A216,Nonstandard!$A$31:$J$41,10,FALSE),"")))))))))))))))))))))))))))),"")</f>
        <v/>
      </c>
      <c r="L216" s="421" t="str">
        <f t="shared" si="4"/>
        <v>-</v>
      </c>
      <c r="M216" s="425"/>
    </row>
    <row r="217" spans="1:13" ht="15.75">
      <c r="A217" s="415">
        <v>185</v>
      </c>
      <c r="B217" s="415" t="str">
        <f>IFERROR(IF($A217&lt;'DWV PVC'!$A$285,VLOOKUP($A217,'DWV PVC'!$A$8:$M$284,4,FALSE),
IF($A217&lt;'DWV ABS'!$A$117,VLOOKUP($A217,'DWV ABS'!$A$8:$M$116,4,FALSE),
IF($A217&lt;'PVC SCH40'!$A$376,VLOOKUP($A217,'PVC SCH40'!$A$8:$M$375,4,FALSE),
IF($A217&lt;'PVC SCH40 LD'!$A$22,VLOOKUP($A217,'PVC SCH40 LD'!$A$8:$M$21,4,FALSE),
IF($A217&lt;'Pool &amp; SPA Sweep Elbows'!$A$12,VLOOKUP($A217,'Pool &amp; SPA Sweep Elbows'!$A$8:$M$11,4,FALSE),
IF($A217&lt;'Pool &amp; SPA Pipe Extender'!$A$11,VLOOKUP($A217,'Pool &amp; SPA Pipe Extender'!$A$8:$M$10,4,FALSE),
IF($A217&lt;'PVC SCH80'!$A$250,VLOOKUP($A217,'PVC SCH80'!$A$8:$M$249,4,FALSE),
IF($A217&lt;'PVC SCH80 Flange'!$A$49,VLOOKUP($A217,'PVC SCH80 Flange'!$A$8:$M$48,4,FALSE),
IF($A217&lt;'PVC SCH80 LD Flange'!$A$17,VLOOKUP($A217,'PVC SCH80 LD Flange'!$A$8:$M$16,4,FALSE),
IF($A217&lt;CPVC!$A$100,VLOOKUP($A217,CPVC!$A$8:$M$99,4,FALSE),
IF($A217&lt;InsertFittings!$A$237,VLOOKUP($A217,InsertFittings!$A$11:$M$236,4,FALSE),
IF($A217&lt;Valves!$A$132,VLOOKUP($A217,Valves!$A$8:$M$131,4,FALSE),
IF($A217&lt;SDR35SW!$A$124,VLOOKUP($A217,SDR35SW!$A$8:$M$123,4,FALSE),
IF($A217&lt;SDR35G!$A$143,VLOOKUP($A217, SDR35G!$A$8:$M$142,4,FALSE),
IF($A217&lt;SDR26G!$A$61,VLOOKUP($A217,SDR26G!$A$8:$N$60,4,FALSE),
IF($A217&lt;Cements!$A$100,VLOOKUP($A217,Cements!$A$8:$Q$99,4,FALSE),
IF($A217&lt;ValveBox!$A$143,VLOOKUP($A217,ValveBox!$A$10:$O$142,4,FALSE),
IF($A217&lt;'ValveBox Components'!$A$165,VLOOKUP($A217,'ValveBox Components'!$A$10:$O$164,4,FALSE),
IF($A217&lt;Drainage!$A$92,VLOOKUP($A217,Drainage!$A$8:$M$91,4,FALSE),
IF($A217&lt;Nipples!$A$82,VLOOKUP($A217,Nipples!$A$9:$Q$81,4,FALSE),
IF($A217&lt;Manifold!$A$33,VLOOKUP($A217,Manifold!$A$9:$M$32,4,FALSE),
IF($A217&lt;FlexibleRepairCouplings!$A$13,VLOOKUP($A217,FlexibleRepairCouplings!$A$10:$M$12,4,FALSE),
IF($A217&lt;DuraFix!$A$15,VLOOKUP($A217,DuraFix!$A$9:$M$14,4,FALSE),
IF($A217&lt;'Compression Fittings'!$A$16,VLOOKUP($A217,'Compression Fittings'!$A$8:$M$15,4,FALSE),
IF($A217&lt;'Hose Fittings'!$A$30,VLOOKUP($A217,'Hose Fittings'!$A$8:$M$29,4,FALSE),
IF($A217&lt;'Swing Joints'!$A$496,VLOOKUP($A217,'Swing Joints'!$A$9:$M$495,4,FALSE),
IF($A217&lt;'Swing Joints Components'!$A$135,VLOOKUP($A217,'Swing Joints Components'!$A$9:$M$134,4,FALSE),
IF($A217&lt;Nonstandard!$A$42,VLOOKUP($A217,Nonstandard!$A$31:$J$41,5,FALSE),"")))))))))))))))))))))))))))),"")</f>
        <v/>
      </c>
      <c r="C217" s="415" t="str">
        <f>IFERROR(IF($A217&lt;'DWV PVC'!$A$285,VLOOKUP($A217,'DWV PVC'!$A$8:$M$284,5,FALSE),
IF($A217&lt;'DWV ABS'!$A$117,VLOOKUP($A217,'DWV ABS'!$A$8:$M$116,5,FALSE),
IF($A217&lt;'PVC SCH40'!$A$376,VLOOKUP($A217,'PVC SCH40'!$A$8:$M$375,5,FALSE),
IF($A217&lt;'PVC SCH40 LD'!$A$22,VLOOKUP($A217,'PVC SCH40 LD'!$A$8:$M$21,5,FALSE),
IF($A217&lt;'Pool &amp; SPA Sweep Elbows'!$A$12,VLOOKUP($A217,'Pool &amp; SPA Sweep Elbows'!$A$8:$M$11,5,FALSE),
IF($A217&lt;'Pool &amp; SPA Pipe Extender'!$A$11,VLOOKUP($A217,'Pool &amp; SPA Pipe Extender'!$A$8:$M$10,5,FALSE),
IF($A217&lt;'PVC SCH80'!$A$250,VLOOKUP($A217,'PVC SCH80'!$A$8:$M$249,5,FALSE),
IF($A217&lt;'PVC SCH80 Flange'!$A$49,VLOOKUP($A217,'PVC SCH80 Flange'!$A$8:$M$48,5,FALSE),
IF($A217&lt;'PVC SCH80 LD Flange'!$A$17,VLOOKUP($A217,'PVC SCH80 LD Flange'!$A$8:$M$16,5,FALSE),
IF($A217&lt;CPVC!$A$100,VLOOKUP($A217,CPVC!$A$8:$M$99,5,FALSE),
IF($A217&lt;InsertFittings!$A$237,VLOOKUP($A217,InsertFittings!$A$11:$M$236,5,FALSE),
IF($A217&lt;Valves!$A$132,VLOOKUP($A217,Valves!$A$8:$M$131,5,FALSE),
IF($A217&lt;SDR35SW!$A$124,VLOOKUP($A217,SDR35SW!$A$8:$M$123,5,FALSE),
IF($A217&lt;SDR35G!$A$143,VLOOKUP($A217, SDR35G!$A$8:$M$142,5,FALSE),
IF($A217&lt;SDR26G!$A$61,VLOOKUP($A217,SDR26G!$A$8:$N$60,5,FALSE),
IF($A217&lt;Cements!$A$100,VLOOKUP($A217,Cements!$A$8:$Q$99,5,FALSE),
IF($A217&lt;ValveBox!$A$143,VLOOKUP($A217,ValveBox!$A$10:$O$142,5,FALSE),
IF($A217&lt;'ValveBox Components'!$A$165,VLOOKUP($A217,'ValveBox Components'!$A$10:$O$164,5,FALSE),
IF($A217&lt;Drainage!$A$92,VLOOKUP($A217,Drainage!$A$8:$M$91,5,FALSE),
IF($A217&lt;Nipples!$A$82,VLOOKUP($A217,Nipples!$A$9:$Q$81,5,FALSE),
IF($A217&lt;Manifold!$A$33,VLOOKUP($A217,Manifold!$A$9:$M$32,5,FALSE),
IF($A217&lt;FlexibleRepairCouplings!$A$13,VLOOKUP($A217,FlexibleRepairCouplings!$A$10:$M$12,5,FALSE),
IF($A217&lt;DuraFix!$A$15,VLOOKUP($A217,DuraFix!$A$9:$M$14,5,FALSE),
IF($A217&lt;'Compression Fittings'!$A$16,VLOOKUP($A217,'Compression Fittings'!$A$8:$M$15,5,FALSE),
IF($A217&lt;'Hose Fittings'!$A$30,VLOOKUP($A217,'Hose Fittings'!$A$8:$M$29,5,FALSE),
IF($A217&lt;'Swing Joints'!$A$496,VLOOKUP($A217,'Swing Joints'!$A$9:$M$495,5,FALSE),
IF($A217&lt;'Swing Joints Components'!$A$135,VLOOKUP($A217,'Swing Joints Components'!$A$9:$M$134,5,FALSE),
IF($A217&lt;Nonstandard!$A$42,VLOOKUP($A217,Nonstandard!$A$31:$J$41,6,FALSE),"")))))))))))))))))))))))))))),"")</f>
        <v/>
      </c>
      <c r="D217" s="426" t="str">
        <f>IFERROR(IF($A217&lt;'DWV PVC'!$A$285,VLOOKUP($A217,'DWV PVC'!$A$8:$M$284,6,FALSE),
IF($A217&lt;'DWV ABS'!$A$117,VLOOKUP($A217,'DWV ABS'!$A$8:$M$116,6,FALSE),
IF($A217&lt;'PVC SCH40'!$A$376,VLOOKUP($A217,'PVC SCH40'!$A$8:$M$375,6,FALSE),
IF($A217&lt;'PVC SCH40 LD'!$A$22,VLOOKUP($A217,'PVC SCH40 LD'!$A$8:$M$21,6,FALSE),
IF($A217&lt;'Pool &amp; SPA Sweep Elbows'!$A$12,VLOOKUP($A217,'Pool &amp; SPA Sweep Elbows'!$A$8:$M$11,6,FALSE),
IF($A217&lt;'Pool &amp; SPA Pipe Extender'!$A$11,VLOOKUP($A217,'Pool &amp; SPA Pipe Extender'!$A$8:$M$10,6,FALSE),
IF($A217&lt;'PVC SCH80'!$A$250,VLOOKUP($A217,'PVC SCH80'!$A$8:$M$249,6,FALSE),
IF($A217&lt;'PVC SCH80 Flange'!$A$49,VLOOKUP($A217,'PVC SCH80 Flange'!$A$8:$M$48,6,FALSE),
IF($A217&lt;'PVC SCH80 LD Flange'!$A$17,VLOOKUP($A217,'PVC SCH80 LD Flange'!$A$8:$M$16,6,FALSE),
IF($A217&lt;CPVC!$A$100,VLOOKUP($A217,CPVC!$A$8:$M$99,6,FALSE),
IF($A217&lt;InsertFittings!$A$237,VLOOKUP($A217,InsertFittings!$A$11:$M$236,6,FALSE),
IF($A217&lt;Valves!$A$132,VLOOKUP($A217,Valves!$A$8:$M$131,6,FALSE),
IF($A217&lt;SDR35SW!$A$124,VLOOKUP($A217,SDR35SW!$A$8:$M$123,6,FALSE),
IF($A217&lt;SDR35G!$A$143,VLOOKUP($A217, SDR35G!$A$8:$M$142,6,FALSE),
IF($A217&lt;SDR26G!$A$61,VLOOKUP($A217,SDR26G!$A$8:$N$60,6,FALSE),
IF($A217&lt;Cements!$A$100,VLOOKUP($A217,Cements!$A$8:$Q$99,6,FALSE),
IF($A217&lt;ValveBox!$A$143,VLOOKUP($A217,ValveBox!$A$10:$O$142,6,FALSE),
IF($A217&lt;'ValveBox Components'!$A$165,VLOOKUP($A217,'ValveBox Components'!$A$10:$O$164,6,FALSE),
IF($A217&lt;Drainage!$A$92,VLOOKUP($A217,Drainage!$A$8:$M$91,6,FALSE),
IF($A217&lt;Nipples!$A$82,VLOOKUP($A217,Nipples!$A$9:$Q$81,6,FALSE),
IF($A217&lt;Manifold!$A$33,VLOOKUP($A217,Manifold!$A$9:$M$32,6,FALSE),
IF($A217&lt;FlexibleRepairCouplings!$A$13,VLOOKUP($A217,FlexibleRepairCouplings!$A$10:$M$12,6,FALSE),
IF($A217&lt;DuraFix!$A$15,VLOOKUP($A217,DuraFix!$A$9:$M$14,6,FALSE),
IF($A217&lt;'Compression Fittings'!$A$16,VLOOKUP($A217,'Compression Fittings'!$A$8:$M$15,6,FALSE),
IF($A217&lt;'Hose Fittings'!$A$30,VLOOKUP($A217,'Hose Fittings'!$A$8:$M$29,6,FALSE),
IF($A217&lt;'Swing Joints'!$A$496,VLOOKUP($A217,'Swing Joints'!$A$9:$M$495,6,FALSE),
IF($A217&lt;'Swing Joints Components'!$A$135,VLOOKUP($A217,'Swing Joints Components'!$A$9:$M$134,6,FALSE),
IF($A217&lt;Nonstandard!$A$42,VLOOKUP($A217,Nonstandard!$A$31:$J$41,7,FALSE),"")))))))))))))))))))))))))))),"")</f>
        <v/>
      </c>
      <c r="E217" s="427"/>
      <c r="F217" s="418" t="str">
        <f>IFERROR(IF($A217&lt;'DWV PVC'!$A$285,VLOOKUP($A217,'DWV PVC'!$A$8:$M$284,9,FALSE),
IF($A217&lt;'DWV ABS'!$A$117,VLOOKUP($A217,'DWV ABS'!$A$8:$M$116,9,FALSE),
IF($A217&lt;'PVC SCH40'!$A$376,VLOOKUP($A217,'PVC SCH40'!$A$8:$M$375,9,FALSE),
IF($A217&lt;'PVC SCH40 LD'!$A$22,VLOOKUP($A217,'PVC SCH40 LD'!$A$8:$M$21,9,FALSE),
IF($A217&lt;'Pool &amp; SPA Sweep Elbows'!$A$12,VLOOKUP($A217,'Pool &amp; SPA Sweep Elbows'!$A$8:$M$11,9,FALSE),
IF($A217&lt;'Pool &amp; SPA Pipe Extender'!$A$11,VLOOKUP($A217,'Pool &amp; SPA Pipe Extender'!$A$8:$M$10,9,FALSE),
IF($A217&lt;'PVC SCH80'!$A$250,VLOOKUP($A217,'PVC SCH80'!$A$8:$M$249,9,FALSE),
IF($A217&lt;'PVC SCH80 Flange'!$A$49,VLOOKUP($A217,'PVC SCH80 Flange'!$A$8:$M$48,9,FALSE),
IF($A217&lt;'PVC SCH80 LD Flange'!$A$17,VLOOKUP($A217,'PVC SCH80 LD Flange'!$A$8:$M$16,9,FALSE),
IF($A217&lt;CPVC!$A$100,VLOOKUP($A217,CPVC!$A$8:$M$99,9,FALSE),
IF($A217&lt;InsertFittings!$A$237,VLOOKUP($A217,InsertFittings!$A$11:$M$236,9,FALSE),
IF($A217&lt;Valves!$A$132,VLOOKUP($A217,Valves!$A$8:$M$131,9,FALSE),
IF($A217&lt;SDR35SW!$A$124,VLOOKUP($A217,SDR35SW!$A$8:$M$123,9,FALSE),
IF($A217&lt;SDR35G!$A$143,VLOOKUP($A217, SDR35G!$A$8:$M$142,9,FALSE),
IF($A217&lt;SDR26G!$A$61,VLOOKUP($A217,SDR26G!$A$8:$N$60,10,FALSE),
IF($A217&lt;Cements!$A$100,VLOOKUP($A217,Cements!$A$8:$Q$99,13,FALSE),
IF($A217&lt;ValveBox!$A$143,VLOOKUP($A217,ValveBox!$A$10:$O$142,11,FALSE),
IF($A217&lt;'ValveBox Components'!$A$165,VLOOKUP($A217,'ValveBox Components'!$A$10:$O$164,11,FALSE),
IF($A217&lt;Drainage!$A$92,VLOOKUP($A217,Drainage!$A$8:$M$91,9,FALSE),
IF($A217&lt;Nipples!$A$82,VLOOKUP($A217,Nipples!$A$9:$Q$81,13,FALSE),
IF($A217&lt;Manifold!$A$33,VLOOKUP($A217,Manifold!$A$9:$M$32,9,FALSE),
IF($A217&lt;FlexibleRepairCouplings!$A$13,VLOOKUP($A217,FlexibleRepairCouplings!$A$10:$M$12,9,FALSE),
IF($A217&lt;DuraFix!$A$15,VLOOKUP($A217,DuraFix!$A$9:$M$14,9,FALSE),
IF($A217&lt;'Compression Fittings'!$A$16,VLOOKUP($A217,'Compression Fittings'!$A$8:$M$15,9,FALSE),
IF($A217&lt;'Hose Fittings'!$A$30,VLOOKUP($A217,'Hose Fittings'!$A$8:$M$29,9,FALSE),
IF($A217&lt;'Swing Joints'!$A$496,VLOOKUP($A217,'Swing Joints'!$A$9:$M$495,9,FALSE),
IF($A217&lt;'Swing Joints Components'!$A$135,VLOOKUP($A217,'Swing Joints Components'!$A$9:$M$134,9,FALSE),
IF($A217&lt;Nonstandard!$A$42,VLOOKUP($A217,Nonstandard!$A$31:$J$41,8,FALSE),"")))))))))))))))))))))))))))),"")</f>
        <v/>
      </c>
      <c r="G217" s="416" t="str">
        <f>IFERROR(IF($A217&lt;'DWV PVC'!$A$285,VLOOKUP($A217,'DWV PVC'!$A$8:$M$284,11,FALSE),
IF($A217&lt;'DWV ABS'!$A$117,VLOOKUP($A217,'DWV ABS'!$A$8:$M$116,11,FALSE),
IF($A217&lt;'PVC SCH40'!$A$376,VLOOKUP($A217,'PVC SCH40'!$A$8:$M$375,11,FALSE),
IF($A217&lt;'PVC SCH40 LD'!$A$22,VLOOKUP($A217,'PVC SCH40 LD'!$A$8:$M$21,11,FALSE),
IF($A217&lt;'Pool &amp; SPA Sweep Elbows'!$A$12,VLOOKUP($A217,'Pool &amp; SPA Sweep Elbows'!$A$8:$M$11,11,FALSE),
IF($A217&lt;'Pool &amp; SPA Pipe Extender'!$A$11,VLOOKUP($A217,'Pool &amp; SPA Pipe Extender'!$A$8:$M$10,11,FALSE),
IF($A217&lt;'PVC SCH80'!$A$250,VLOOKUP($A217,'PVC SCH80'!$A$8:$M$249,11,FALSE),
IF($A217&lt;'PVC SCH80 Flange'!$A$49,VLOOKUP($A217,'PVC SCH80 Flange'!$A$8:$M$48,11,FALSE),
IF($A217&lt;'PVC SCH80 LD Flange'!$A$17,VLOOKUP($A217,'PVC SCH80 LD Flange'!$A$8:$M$16,11,FALSE),
IF($A217&lt;CPVC!$A$100,VLOOKUP($A217,CPVC!$A$8:$M$99,11,FALSE),
IF($A217&lt;InsertFittings!$A$237,VLOOKUP($A217,InsertFittings!$A$11:$M$236,11,FALSE),
IF($A217&lt;Valves!$A$132,VLOOKUP($A217,Valves!$A$8:$M$131,11,FALSE),
IF($A217&lt;SDR35SW!$A$124,VLOOKUP($A217,SDR35SW!$A$8:$M$123,11,FALSE),
IF($A217&lt;SDR35G!$A$143,VLOOKUP($A217, SDR35G!$A$8:$M$142,11,FALSE),
IF($A217&lt;SDR26G!$A$61,VLOOKUP($A217,SDR26G!$A$8:$N$60,12,FALSE),
IF($A217&lt;Cements!$A$100,VLOOKUP($A217,Cements!$A$8:$Q$99,15,FALSE),
IF($A217&lt;ValveBox!$A$143,VLOOKUP($A217,ValveBox!$A$10:$O$142,13,FALSE),
IF($A217&lt;'ValveBox Components'!$A$165,VLOOKUP($A217,'ValveBox Components'!$A$10:$O$164,13,FALSE),
IF($A217&lt;Drainage!$A$92,VLOOKUP($A217,Drainage!$A$8:$M$91,11,FALSE),
IF($A217&lt;Nipples!$A$82,VLOOKUP($A217,Nipples!$A$9:$Q$81,15,FALSE),
IF($A217&lt;Manifold!$A$33,VLOOKUP($A217,Manifold!$A$9:$M$32,11,FALSE),
IF($A217&lt;FlexibleRepairCouplings!$A$13,VLOOKUP($A217,FlexibleRepairCouplings!$A$10:$M$12,11,FALSE),
IF($A217&lt;DuraFix!$A$15,VLOOKUP($A217,DuraFix!$A$9:$M$14,11,FALSE),
IF($A217&lt;'Compression Fittings'!$A$16,VLOOKUP($A217,'Compression Fittings'!$A$8:$M$15,11,FALSE),
IF($A217&lt;'Hose Fittings'!$A$30,VLOOKUP($A217,'Hose Fittings'!$A$8:$M$29,11,FALSE),
IF($A217&lt;'Swing Joints'!$A$496,VLOOKUP($A217,'Swing Joints'!$A$9:$M$495,11,FALSE),
IF($A217&lt;'Swing Joints Components'!$A$135,VLOOKUP($A217,'Swing Joints Components'!$A$9:$M$134,11,FALSE),
IF($A217&lt;Nonstandard!$A$42,VLOOKUP($A217,Nonstandard!$A$31:$J$41,3,FALSE),"")))))))))))))))))))))))))))),"")</f>
        <v/>
      </c>
      <c r="H217" s="586" t="str">
        <f>IFERROR(IF($A217&lt;'DWV PVC'!$A$285,VLOOKUP($A217,'DWV PVC'!$A$8:$M$284,7,FALSE),
IF($A217&lt;'DWV ABS'!$A$117,VLOOKUP($A217,'DWV ABS'!$A$8:$M$116,7,FALSE),
IF($A217&lt;'PVC SCH40'!$A$376,VLOOKUP($A217,'PVC SCH40'!$A$8:$M$375,7,FALSE),
IF($A217&lt;'PVC SCH40 LD'!$A$22,VLOOKUP($A217,'PVC SCH40 LD'!$A$8:$M$21,7,FALSE),
IF($A217&lt;'Pool &amp; SPA Sweep Elbows'!$A$12,VLOOKUP($A217,'Pool &amp; SPA Sweep Elbows'!$A$8:$M$11,7,FALSE),
IF($A217&lt;'Pool &amp; SPA Pipe Extender'!$A$11,VLOOKUP($A217,'Pool &amp; SPA Pipe Extender'!$A$8:$M$10,7,FALSE),
IF($A217&lt;'PVC SCH80'!$A$250,VLOOKUP($A217,'PVC SCH80'!$A$8:$M$249,7,FALSE),
IF($A217&lt;'PVC SCH80 Flange'!$A$49,VLOOKUP($A217,'PVC SCH80 Flange'!$A$8:$M$48,7,FALSE),
IF($A217&lt;'PVC SCH80 LD Flange'!$A$17,VLOOKUP($A217,'PVC SCH80 LD Flange'!$A$8:$M$16,7,FALSE),
IF($A217&lt;CPVC!$A$100,VLOOKUP($A217,CPVC!$A$8:$M$99,7,FALSE),
IF($A217&lt;InsertFittings!$A$237,VLOOKUP($A217,InsertFittings!$A$11:$M$236,7,FALSE),
IF($A217&lt;Valves!$A$132,VLOOKUP($A217,Valves!$A$8:$M$131,7,FALSE),
IF($A217&lt;SDR35SW!$A$124,VLOOKUP($A217,SDR35SW!$A$8:$M$123,7,FALSE),
IF($A217&lt;SDR35G!$A$143,VLOOKUP($A217, SDR35G!$A$8:$M$142,7,FALSE),
IF($A217&lt;SDR26G!$A$61,VLOOKUP($A217,SDR26G!$A$8:$N$60,10,FALSE),
IF($A217&lt;Cements!$A$100,VLOOKUP($A217,Cements!$A$8:$Q$99,13,FALSE),
IF($A217&lt;ValveBox!$A$143,VLOOKUP($A217,ValveBox!$A$10:$O$142,11,FALSE),
IF($A217&lt;'ValveBox Components'!$A$165,VLOOKUP($A217,'ValveBox Components'!$A$10:$O$164,11,FALSE),
IF($A217&lt;Drainage!$A$92,VLOOKUP($A217,Drainage!$A$8:$M$91,7,FALSE),
IF($A217&lt;Nipples!$A$82,VLOOKUP($A217,Nipples!$A$9:$Q$81,13,FALSE),
IF($A217&lt;Manifold!$A$33,VLOOKUP($A217,Manifold!$A$9:$M$32,7,FALSE),
IF($A217&lt;FlexibleRepairCouplings!$A$13,VLOOKUP($A217,FlexibleRepairCouplings!$A$10:$M$12,7,FALSE),
IF($A217&lt;DuraFix!$A$15,VLOOKUP($A217,DuraFix!$A$9:$M$14,7,FALSE),
IF($A217&lt;'Compression Fittings'!$A$16,VLOOKUP($A217,'Compression Fittings'!$A$8:$M$15,7,FALSE),
IF($A217&lt;'Hose Fittings'!$A$30,VLOOKUP($A217,'Hose Fittings'!$A$8:$M$29,7,FALSE),
IF($A217&lt;'Swing Joints'!$A$496,VLOOKUP($A217,'Swing Joints'!$A$9:$M$495,7,FALSE),
IF($A217&lt;'Swing Joints Components'!$A$135,VLOOKUP($A217,'Swing Joints Components'!$A$9:$M$134,7,FALSE),
IF($A217&lt;Nonstandard!$A$42,VLOOKUP($A217,Nonstandard!$A$31:$J$41,3,FALSE),"")))))))))))))))))))))))))))),"")</f>
        <v/>
      </c>
      <c r="I217" s="587"/>
      <c r="J217" s="383" t="str">
        <f t="shared" si="5"/>
        <v/>
      </c>
      <c r="K217" s="417" t="str">
        <f>IFERROR(IF($A217&lt;'DWV PVC'!$A$285,VLOOKUP($A217,'DWV PVC'!$A$8:$M$284,10,FALSE),
IF($A217&lt;'DWV ABS'!$A$117,VLOOKUP($A217,'DWV ABS'!$A$8:$M$116,10,FALSE),
IF($A217&lt;'PVC SCH40'!$A$376,VLOOKUP($A217,'PVC SCH40'!$A$8:$M$375,10,FALSE),
IF($A217&lt;'PVC SCH40 LD'!$A$22,VLOOKUP($A217,'PVC SCH40 LD'!$A$8:$M$21,10,FALSE),
IF($A217&lt;'Pool &amp; SPA Sweep Elbows'!$A$12,VLOOKUP($A217,'Pool &amp; SPA Sweep Elbows'!$A$8:$M$11,10,FALSE),
IF($A217&lt;'Pool &amp; SPA Pipe Extender'!$A$11,VLOOKUP($A217,'Pool &amp; SPA Pipe Extender'!$A$8:$M$10,10,FALSE),
IF($A217&lt;'PVC SCH80'!$A$250,VLOOKUP($A217,'PVC SCH80'!$A$8:$M$249,10,FALSE),
IF($A217&lt;'PVC SCH80 Flange'!$A$49,VLOOKUP($A217,'PVC SCH80 Flange'!$A$8:$M$48,10,FALSE),
IF($A217&lt;'PVC SCH80 LD Flange'!$A$17,VLOOKUP($A217,'PVC SCH80 LD Flange'!$A$8:$M$16,10,FALSE),
IF($A217&lt;CPVC!$A$100,VLOOKUP($A217,CPVC!$A$8:$M$99,10,FALSE),
IF($A217&lt;InsertFittings!$A$237,VLOOKUP($A217,InsertFittings!$A$11:$M$236,10,FALSE),
IF($A217&lt;Valves!$A$132,VLOOKUP($A217,Valves!$A$8:$M$131,10,FALSE),
IF($A217&lt;SDR35SW!$A$124,VLOOKUP($A217,SDR35SW!$A$8:$M$123,10,FALSE),
IF($A217&lt;SDR35G!$A$143,VLOOKUP($A217, SDR35G!$A$8:$M$142,10,FALSE),
IF($A217&lt;SDR26G!$A$61,VLOOKUP($A217,SDR26G!$A$8:$N$60,11,FALSE),
IF($A217&lt;Cements!$A$100,VLOOKUP($A217,Cements!$A$8:$Q$99,14,FALSE),
IF($A217&lt;ValveBox!$A$143,VLOOKUP($A217,ValveBox!$A$10:$O$142,12,FALSE),
IF($A217&lt;'ValveBox Components'!$A$165,VLOOKUP($A217,'ValveBox Components'!$A$10:$O$164,12,FALSE),
IF($A217&lt;Drainage!$A$92,VLOOKUP($A217,Drainage!$A$8:$M$91,10,FALSE),
IF($A217&lt;Nipples!$A$82,VLOOKUP($A217,Nipples!$A$9:$Q$81,14,FALSE),
IF($A217&lt;Manifold!$A$33,VLOOKUP($A217,Manifold!$A$9:$M$32,10,FALSE),
IF($A217&lt;FlexibleRepairCouplings!$A$13,VLOOKUP($A217,FlexibleRepairCouplings!$A$10:$M$12,10,FALSE),
IF($A217&lt;DuraFix!$A$15,VLOOKUP($A217,DuraFix!$A$9:$M$14,10,FALSE),
IF($A217&lt;'Compression Fittings'!$A$16,VLOOKUP($A217,'Compression Fittings'!$A$8:$M$15,10,FALSE),
IF($A217&lt;'Hose Fittings'!$A$30,VLOOKUP($A217,'Hose Fittings'!$A$8:$M$29,10,FALSE),
IF($A217&lt;'Swing Joints'!$A$496,VLOOKUP($A217,'Swing Joints'!$A$9:$M$495,10,FALSE),
IF($A217&lt;'Swing Joints Components'!$A$135,VLOOKUP($A217,'Swing Joints Components'!$A$9:$M$134,10,FALSE),
IF($A217&lt;Nonstandard!$A$42,VLOOKUP($A217,Nonstandard!$A$31:$J$41,10,FALSE),"")))))))))))))))))))))))))))),"")</f>
        <v/>
      </c>
      <c r="L217" s="418" t="str">
        <f t="shared" si="4"/>
        <v>-</v>
      </c>
      <c r="M217" s="419"/>
    </row>
    <row r="218" spans="1:13" ht="15.75">
      <c r="A218" s="420">
        <v>186</v>
      </c>
      <c r="B218" s="420" t="str">
        <f>IFERROR(IF($A218&lt;'DWV PVC'!$A$285,VLOOKUP($A218,'DWV PVC'!$A$8:$M$284,4,FALSE),
IF($A218&lt;'DWV ABS'!$A$117,VLOOKUP($A218,'DWV ABS'!$A$8:$M$116,4,FALSE),
IF($A218&lt;'PVC SCH40'!$A$376,VLOOKUP($A218,'PVC SCH40'!$A$8:$M$375,4,FALSE),
IF($A218&lt;'PVC SCH40 LD'!$A$22,VLOOKUP($A218,'PVC SCH40 LD'!$A$8:$M$21,4,FALSE),
IF($A218&lt;'Pool &amp; SPA Sweep Elbows'!$A$12,VLOOKUP($A218,'Pool &amp; SPA Sweep Elbows'!$A$8:$M$11,4,FALSE),
IF($A218&lt;'Pool &amp; SPA Pipe Extender'!$A$11,VLOOKUP($A218,'Pool &amp; SPA Pipe Extender'!$A$8:$M$10,4,FALSE),
IF($A218&lt;'PVC SCH80'!$A$250,VLOOKUP($A218,'PVC SCH80'!$A$8:$M$249,4,FALSE),
IF($A218&lt;'PVC SCH80 Flange'!$A$49,VLOOKUP($A218,'PVC SCH80 Flange'!$A$8:$M$48,4,FALSE),
IF($A218&lt;'PVC SCH80 LD Flange'!$A$17,VLOOKUP($A218,'PVC SCH80 LD Flange'!$A$8:$M$16,4,FALSE),
IF($A218&lt;CPVC!$A$100,VLOOKUP($A218,CPVC!$A$8:$M$99,4,FALSE),
IF($A218&lt;InsertFittings!$A$237,VLOOKUP($A218,InsertFittings!$A$11:$M$236,4,FALSE),
IF($A218&lt;Valves!$A$132,VLOOKUP($A218,Valves!$A$8:$M$131,4,FALSE),
IF($A218&lt;SDR35SW!$A$124,VLOOKUP($A218,SDR35SW!$A$8:$M$123,4,FALSE),
IF($A218&lt;SDR35G!$A$143,VLOOKUP($A218, SDR35G!$A$8:$M$142,4,FALSE),
IF($A218&lt;SDR26G!$A$61,VLOOKUP($A218,SDR26G!$A$8:$N$60,4,FALSE),
IF($A218&lt;Cements!$A$100,VLOOKUP($A218,Cements!$A$8:$Q$99,4,FALSE),
IF($A218&lt;ValveBox!$A$143,VLOOKUP($A218,ValveBox!$A$10:$O$142,4,FALSE),
IF($A218&lt;'ValveBox Components'!$A$165,VLOOKUP($A218,'ValveBox Components'!$A$10:$O$164,4,FALSE),
IF($A218&lt;Drainage!$A$92,VLOOKUP($A218,Drainage!$A$8:$M$91,4,FALSE),
IF($A218&lt;Nipples!$A$82,VLOOKUP($A218,Nipples!$A$9:$Q$81,4,FALSE),
IF($A218&lt;Manifold!$A$33,VLOOKUP($A218,Manifold!$A$9:$M$32,4,FALSE),
IF($A218&lt;FlexibleRepairCouplings!$A$13,VLOOKUP($A218,FlexibleRepairCouplings!$A$10:$M$12,4,FALSE),
IF($A218&lt;DuraFix!$A$15,VLOOKUP($A218,DuraFix!$A$9:$M$14,4,FALSE),
IF($A218&lt;'Compression Fittings'!$A$16,VLOOKUP($A218,'Compression Fittings'!$A$8:$M$15,4,FALSE),
IF($A218&lt;'Hose Fittings'!$A$30,VLOOKUP($A218,'Hose Fittings'!$A$8:$M$29,4,FALSE),
IF($A218&lt;'Swing Joints'!$A$496,VLOOKUP($A218,'Swing Joints'!$A$9:$M$495,4,FALSE),
IF($A218&lt;'Swing Joints Components'!$A$135,VLOOKUP($A218,'Swing Joints Components'!$A$9:$M$134,4,FALSE),
IF($A218&lt;Nonstandard!$A$42,VLOOKUP($A218,Nonstandard!$A$31:$J$41,5,FALSE),"")))))))))))))))))))))))))))),"")</f>
        <v/>
      </c>
      <c r="C218" s="420" t="str">
        <f>IFERROR(IF($A218&lt;'DWV PVC'!$A$285,VLOOKUP($A218,'DWV PVC'!$A$8:$M$284,5,FALSE),
IF($A218&lt;'DWV ABS'!$A$117,VLOOKUP($A218,'DWV ABS'!$A$8:$M$116,5,FALSE),
IF($A218&lt;'PVC SCH40'!$A$376,VLOOKUP($A218,'PVC SCH40'!$A$8:$M$375,5,FALSE),
IF($A218&lt;'PVC SCH40 LD'!$A$22,VLOOKUP($A218,'PVC SCH40 LD'!$A$8:$M$21,5,FALSE),
IF($A218&lt;'Pool &amp; SPA Sweep Elbows'!$A$12,VLOOKUP($A218,'Pool &amp; SPA Sweep Elbows'!$A$8:$M$11,5,FALSE),
IF($A218&lt;'Pool &amp; SPA Pipe Extender'!$A$11,VLOOKUP($A218,'Pool &amp; SPA Pipe Extender'!$A$8:$M$10,5,FALSE),
IF($A218&lt;'PVC SCH80'!$A$250,VLOOKUP($A218,'PVC SCH80'!$A$8:$M$249,5,FALSE),
IF($A218&lt;'PVC SCH80 Flange'!$A$49,VLOOKUP($A218,'PVC SCH80 Flange'!$A$8:$M$48,5,FALSE),
IF($A218&lt;'PVC SCH80 LD Flange'!$A$17,VLOOKUP($A218,'PVC SCH80 LD Flange'!$A$8:$M$16,5,FALSE),
IF($A218&lt;CPVC!$A$100,VLOOKUP($A218,CPVC!$A$8:$M$99,5,FALSE),
IF($A218&lt;InsertFittings!$A$237,VLOOKUP($A218,InsertFittings!$A$11:$M$236,5,FALSE),
IF($A218&lt;Valves!$A$132,VLOOKUP($A218,Valves!$A$8:$M$131,5,FALSE),
IF($A218&lt;SDR35SW!$A$124,VLOOKUP($A218,SDR35SW!$A$8:$M$123,5,FALSE),
IF($A218&lt;SDR35G!$A$143,VLOOKUP($A218, SDR35G!$A$8:$M$142,5,FALSE),
IF($A218&lt;SDR26G!$A$61,VLOOKUP($A218,SDR26G!$A$8:$N$60,5,FALSE),
IF($A218&lt;Cements!$A$100,VLOOKUP($A218,Cements!$A$8:$Q$99,5,FALSE),
IF($A218&lt;ValveBox!$A$143,VLOOKUP($A218,ValveBox!$A$10:$O$142,5,FALSE),
IF($A218&lt;'ValveBox Components'!$A$165,VLOOKUP($A218,'ValveBox Components'!$A$10:$O$164,5,FALSE),
IF($A218&lt;Drainage!$A$92,VLOOKUP($A218,Drainage!$A$8:$M$91,5,FALSE),
IF($A218&lt;Nipples!$A$82,VLOOKUP($A218,Nipples!$A$9:$Q$81,5,FALSE),
IF($A218&lt;Manifold!$A$33,VLOOKUP($A218,Manifold!$A$9:$M$32,5,FALSE),
IF($A218&lt;FlexibleRepairCouplings!$A$13,VLOOKUP($A218,FlexibleRepairCouplings!$A$10:$M$12,5,FALSE),
IF($A218&lt;DuraFix!$A$15,VLOOKUP($A218,DuraFix!$A$9:$M$14,5,FALSE),
IF($A218&lt;'Compression Fittings'!$A$16,VLOOKUP($A218,'Compression Fittings'!$A$8:$M$15,5,FALSE),
IF($A218&lt;'Hose Fittings'!$A$30,VLOOKUP($A218,'Hose Fittings'!$A$8:$M$29,5,FALSE),
IF($A218&lt;'Swing Joints'!$A$496,VLOOKUP($A218,'Swing Joints'!$A$9:$M$495,5,FALSE),
IF($A218&lt;'Swing Joints Components'!$A$135,VLOOKUP($A218,'Swing Joints Components'!$A$9:$M$134,5,FALSE),
IF($A218&lt;Nonstandard!$A$42,VLOOKUP($A218,Nonstandard!$A$31:$J$41,6,FALSE),"")))))))))))))))))))))))))))),"")</f>
        <v/>
      </c>
      <c r="D218" s="428" t="str">
        <f>IFERROR(IF($A218&lt;'DWV PVC'!$A$285,VLOOKUP($A218,'DWV PVC'!$A$8:$M$284,6,FALSE),
IF($A218&lt;'DWV ABS'!$A$117,VLOOKUP($A218,'DWV ABS'!$A$8:$M$116,6,FALSE),
IF($A218&lt;'PVC SCH40'!$A$376,VLOOKUP($A218,'PVC SCH40'!$A$8:$M$375,6,FALSE),
IF($A218&lt;'PVC SCH40 LD'!$A$22,VLOOKUP($A218,'PVC SCH40 LD'!$A$8:$M$21,6,FALSE),
IF($A218&lt;'Pool &amp; SPA Sweep Elbows'!$A$12,VLOOKUP($A218,'Pool &amp; SPA Sweep Elbows'!$A$8:$M$11,6,FALSE),
IF($A218&lt;'Pool &amp; SPA Pipe Extender'!$A$11,VLOOKUP($A218,'Pool &amp; SPA Pipe Extender'!$A$8:$M$10,6,FALSE),
IF($A218&lt;'PVC SCH80'!$A$250,VLOOKUP($A218,'PVC SCH80'!$A$8:$M$249,6,FALSE),
IF($A218&lt;'PVC SCH80 Flange'!$A$49,VLOOKUP($A218,'PVC SCH80 Flange'!$A$8:$M$48,6,FALSE),
IF($A218&lt;'PVC SCH80 LD Flange'!$A$17,VLOOKUP($A218,'PVC SCH80 LD Flange'!$A$8:$M$16,6,FALSE),
IF($A218&lt;CPVC!$A$100,VLOOKUP($A218,CPVC!$A$8:$M$99,6,FALSE),
IF($A218&lt;InsertFittings!$A$237,VLOOKUP($A218,InsertFittings!$A$11:$M$236,6,FALSE),
IF($A218&lt;Valves!$A$132,VLOOKUP($A218,Valves!$A$8:$M$131,6,FALSE),
IF($A218&lt;SDR35SW!$A$124,VLOOKUP($A218,SDR35SW!$A$8:$M$123,6,FALSE),
IF($A218&lt;SDR35G!$A$143,VLOOKUP($A218, SDR35G!$A$8:$M$142,6,FALSE),
IF($A218&lt;SDR26G!$A$61,VLOOKUP($A218,SDR26G!$A$8:$N$60,6,FALSE),
IF($A218&lt;Cements!$A$100,VLOOKUP($A218,Cements!$A$8:$Q$99,6,FALSE),
IF($A218&lt;ValveBox!$A$143,VLOOKUP($A218,ValveBox!$A$10:$O$142,6,FALSE),
IF($A218&lt;'ValveBox Components'!$A$165,VLOOKUP($A218,'ValveBox Components'!$A$10:$O$164,6,FALSE),
IF($A218&lt;Drainage!$A$92,VLOOKUP($A218,Drainage!$A$8:$M$91,6,FALSE),
IF($A218&lt;Nipples!$A$82,VLOOKUP($A218,Nipples!$A$9:$Q$81,6,FALSE),
IF($A218&lt;Manifold!$A$33,VLOOKUP($A218,Manifold!$A$9:$M$32,6,FALSE),
IF($A218&lt;FlexibleRepairCouplings!$A$13,VLOOKUP($A218,FlexibleRepairCouplings!$A$10:$M$12,6,FALSE),
IF($A218&lt;DuraFix!$A$15,VLOOKUP($A218,DuraFix!$A$9:$M$14,6,FALSE),
IF($A218&lt;'Compression Fittings'!$A$16,VLOOKUP($A218,'Compression Fittings'!$A$8:$M$15,6,FALSE),
IF($A218&lt;'Hose Fittings'!$A$30,VLOOKUP($A218,'Hose Fittings'!$A$8:$M$29,6,FALSE),
IF($A218&lt;'Swing Joints'!$A$496,VLOOKUP($A218,'Swing Joints'!$A$9:$M$495,6,FALSE),
IF($A218&lt;'Swing Joints Components'!$A$135,VLOOKUP($A218,'Swing Joints Components'!$A$9:$M$134,6,FALSE),
IF($A218&lt;Nonstandard!$A$42,VLOOKUP($A218,Nonstandard!$A$31:$J$41,7,FALSE),"")))))))))))))))))))))))))))),"")</f>
        <v/>
      </c>
      <c r="E218" s="429"/>
      <c r="F218" s="421" t="str">
        <f>IFERROR(IF($A218&lt;'DWV PVC'!$A$285,VLOOKUP($A218,'DWV PVC'!$A$8:$M$284,9,FALSE),
IF($A218&lt;'DWV ABS'!$A$117,VLOOKUP($A218,'DWV ABS'!$A$8:$M$116,9,FALSE),
IF($A218&lt;'PVC SCH40'!$A$376,VLOOKUP($A218,'PVC SCH40'!$A$8:$M$375,9,FALSE),
IF($A218&lt;'PVC SCH40 LD'!$A$22,VLOOKUP($A218,'PVC SCH40 LD'!$A$8:$M$21,9,FALSE),
IF($A218&lt;'Pool &amp; SPA Sweep Elbows'!$A$12,VLOOKUP($A218,'Pool &amp; SPA Sweep Elbows'!$A$8:$M$11,9,FALSE),
IF($A218&lt;'Pool &amp; SPA Pipe Extender'!$A$11,VLOOKUP($A218,'Pool &amp; SPA Pipe Extender'!$A$8:$M$10,9,FALSE),
IF($A218&lt;'PVC SCH80'!$A$250,VLOOKUP($A218,'PVC SCH80'!$A$8:$M$249,9,FALSE),
IF($A218&lt;'PVC SCH80 Flange'!$A$49,VLOOKUP($A218,'PVC SCH80 Flange'!$A$8:$M$48,9,FALSE),
IF($A218&lt;'PVC SCH80 LD Flange'!$A$17,VLOOKUP($A218,'PVC SCH80 LD Flange'!$A$8:$M$16,9,FALSE),
IF($A218&lt;CPVC!$A$100,VLOOKUP($A218,CPVC!$A$8:$M$99,9,FALSE),
IF($A218&lt;InsertFittings!$A$237,VLOOKUP($A218,InsertFittings!$A$11:$M$236,9,FALSE),
IF($A218&lt;Valves!$A$132,VLOOKUP($A218,Valves!$A$8:$M$131,9,FALSE),
IF($A218&lt;SDR35SW!$A$124,VLOOKUP($A218,SDR35SW!$A$8:$M$123,9,FALSE),
IF($A218&lt;SDR35G!$A$143,VLOOKUP($A218, SDR35G!$A$8:$M$142,9,FALSE),
IF($A218&lt;SDR26G!$A$61,VLOOKUP($A218,SDR26G!$A$8:$N$60,10,FALSE),
IF($A218&lt;Cements!$A$100,VLOOKUP($A218,Cements!$A$8:$Q$99,13,FALSE),
IF($A218&lt;ValveBox!$A$143,VLOOKUP($A218,ValveBox!$A$10:$O$142,11,FALSE),
IF($A218&lt;'ValveBox Components'!$A$165,VLOOKUP($A218,'ValveBox Components'!$A$10:$O$164,11,FALSE),
IF($A218&lt;Drainage!$A$92,VLOOKUP($A218,Drainage!$A$8:$M$91,9,FALSE),
IF($A218&lt;Nipples!$A$82,VLOOKUP($A218,Nipples!$A$9:$Q$81,13,FALSE),
IF($A218&lt;Manifold!$A$33,VLOOKUP($A218,Manifold!$A$9:$M$32,9,FALSE),
IF($A218&lt;FlexibleRepairCouplings!$A$13,VLOOKUP($A218,FlexibleRepairCouplings!$A$10:$M$12,9,FALSE),
IF($A218&lt;DuraFix!$A$15,VLOOKUP($A218,DuraFix!$A$9:$M$14,9,FALSE),
IF($A218&lt;'Compression Fittings'!$A$16,VLOOKUP($A218,'Compression Fittings'!$A$8:$M$15,9,FALSE),
IF($A218&lt;'Hose Fittings'!$A$30,VLOOKUP($A218,'Hose Fittings'!$A$8:$M$29,9,FALSE),
IF($A218&lt;'Swing Joints'!$A$496,VLOOKUP($A218,'Swing Joints'!$A$9:$M$495,9,FALSE),
IF($A218&lt;'Swing Joints Components'!$A$135,VLOOKUP($A218,'Swing Joints Components'!$A$9:$M$134,9,FALSE),
IF($A218&lt;Nonstandard!$A$42,VLOOKUP($A218,Nonstandard!$A$31:$J$41,8,FALSE),"")))))))))))))))))))))))))))),"")</f>
        <v/>
      </c>
      <c r="G218" s="422" t="str">
        <f>IFERROR(IF($A218&lt;'DWV PVC'!$A$285,VLOOKUP($A218,'DWV PVC'!$A$8:$M$284,11,FALSE),
IF($A218&lt;'DWV ABS'!$A$117,VLOOKUP($A218,'DWV ABS'!$A$8:$M$116,11,FALSE),
IF($A218&lt;'PVC SCH40'!$A$376,VLOOKUP($A218,'PVC SCH40'!$A$8:$M$375,11,FALSE),
IF($A218&lt;'PVC SCH40 LD'!$A$22,VLOOKUP($A218,'PVC SCH40 LD'!$A$8:$M$21,11,FALSE),
IF($A218&lt;'Pool &amp; SPA Sweep Elbows'!$A$12,VLOOKUP($A218,'Pool &amp; SPA Sweep Elbows'!$A$8:$M$11,11,FALSE),
IF($A218&lt;'Pool &amp; SPA Pipe Extender'!$A$11,VLOOKUP($A218,'Pool &amp; SPA Pipe Extender'!$A$8:$M$10,11,FALSE),
IF($A218&lt;'PVC SCH80'!$A$250,VLOOKUP($A218,'PVC SCH80'!$A$8:$M$249,11,FALSE),
IF($A218&lt;'PVC SCH80 Flange'!$A$49,VLOOKUP($A218,'PVC SCH80 Flange'!$A$8:$M$48,11,FALSE),
IF($A218&lt;'PVC SCH80 LD Flange'!$A$17,VLOOKUP($A218,'PVC SCH80 LD Flange'!$A$8:$M$16,11,FALSE),
IF($A218&lt;CPVC!$A$100,VLOOKUP($A218,CPVC!$A$8:$M$99,11,FALSE),
IF($A218&lt;InsertFittings!$A$237,VLOOKUP($A218,InsertFittings!$A$11:$M$236,11,FALSE),
IF($A218&lt;Valves!$A$132,VLOOKUP($A218,Valves!$A$8:$M$131,11,FALSE),
IF($A218&lt;SDR35SW!$A$124,VLOOKUP($A218,SDR35SW!$A$8:$M$123,11,FALSE),
IF($A218&lt;SDR35G!$A$143,VLOOKUP($A218, SDR35G!$A$8:$M$142,11,FALSE),
IF($A218&lt;SDR26G!$A$61,VLOOKUP($A218,SDR26G!$A$8:$N$60,12,FALSE),
IF($A218&lt;Cements!$A$100,VLOOKUP($A218,Cements!$A$8:$Q$99,15,FALSE),
IF($A218&lt;ValveBox!$A$143,VLOOKUP($A218,ValveBox!$A$10:$O$142,13,FALSE),
IF($A218&lt;'ValveBox Components'!$A$165,VLOOKUP($A218,'ValveBox Components'!$A$10:$O$164,13,FALSE),
IF($A218&lt;Drainage!$A$92,VLOOKUP($A218,Drainage!$A$8:$M$91,11,FALSE),
IF($A218&lt;Nipples!$A$82,VLOOKUP($A218,Nipples!$A$9:$Q$81,15,FALSE),
IF($A218&lt;Manifold!$A$33,VLOOKUP($A218,Manifold!$A$9:$M$32,11,FALSE),
IF($A218&lt;FlexibleRepairCouplings!$A$13,VLOOKUP($A218,FlexibleRepairCouplings!$A$10:$M$12,11,FALSE),
IF($A218&lt;DuraFix!$A$15,VLOOKUP($A218,DuraFix!$A$9:$M$14,11,FALSE),
IF($A218&lt;'Compression Fittings'!$A$16,VLOOKUP($A218,'Compression Fittings'!$A$8:$M$15,11,FALSE),
IF($A218&lt;'Hose Fittings'!$A$30,VLOOKUP($A218,'Hose Fittings'!$A$8:$M$29,11,FALSE),
IF($A218&lt;'Swing Joints'!$A$496,VLOOKUP($A218,'Swing Joints'!$A$9:$M$495,11,FALSE),
IF($A218&lt;'Swing Joints Components'!$A$135,VLOOKUP($A218,'Swing Joints Components'!$A$9:$M$134,11,FALSE),
IF($A218&lt;Nonstandard!$A$42,VLOOKUP($A218,Nonstandard!$A$31:$J$41,3,FALSE),"")))))))))))))))))))))))))))),"")</f>
        <v/>
      </c>
      <c r="H218" s="588" t="str">
        <f>IFERROR(IF($A218&lt;'DWV PVC'!$A$285,VLOOKUP($A218,'DWV PVC'!$A$8:$M$284,7,FALSE),
IF($A218&lt;'DWV ABS'!$A$117,VLOOKUP($A218,'DWV ABS'!$A$8:$M$116,7,FALSE),
IF($A218&lt;'PVC SCH40'!$A$376,VLOOKUP($A218,'PVC SCH40'!$A$8:$M$375,7,FALSE),
IF($A218&lt;'PVC SCH40 LD'!$A$22,VLOOKUP($A218,'PVC SCH40 LD'!$A$8:$M$21,7,FALSE),
IF($A218&lt;'Pool &amp; SPA Sweep Elbows'!$A$12,VLOOKUP($A218,'Pool &amp; SPA Sweep Elbows'!$A$8:$M$11,7,FALSE),
IF($A218&lt;'Pool &amp; SPA Pipe Extender'!$A$11,VLOOKUP($A218,'Pool &amp; SPA Pipe Extender'!$A$8:$M$10,7,FALSE),
IF($A218&lt;'PVC SCH80'!$A$250,VLOOKUP($A218,'PVC SCH80'!$A$8:$M$249,7,FALSE),
IF($A218&lt;'PVC SCH80 Flange'!$A$49,VLOOKUP($A218,'PVC SCH80 Flange'!$A$8:$M$48,7,FALSE),
IF($A218&lt;'PVC SCH80 LD Flange'!$A$17,VLOOKUP($A218,'PVC SCH80 LD Flange'!$A$8:$M$16,7,FALSE),
IF($A218&lt;CPVC!$A$100,VLOOKUP($A218,CPVC!$A$8:$M$99,7,FALSE),
IF($A218&lt;InsertFittings!$A$237,VLOOKUP($A218,InsertFittings!$A$11:$M$236,7,FALSE),
IF($A218&lt;Valves!$A$132,VLOOKUP($A218,Valves!$A$8:$M$131,7,FALSE),
IF($A218&lt;SDR35SW!$A$124,VLOOKUP($A218,SDR35SW!$A$8:$M$123,7,FALSE),
IF($A218&lt;SDR35G!$A$143,VLOOKUP($A218, SDR35G!$A$8:$M$142,7,FALSE),
IF($A218&lt;SDR26G!$A$61,VLOOKUP($A218,SDR26G!$A$8:$N$60,10,FALSE),
IF($A218&lt;Cements!$A$100,VLOOKUP($A218,Cements!$A$8:$Q$99,13,FALSE),
IF($A218&lt;ValveBox!$A$143,VLOOKUP($A218,ValveBox!$A$10:$O$142,11,FALSE),
IF($A218&lt;'ValveBox Components'!$A$165,VLOOKUP($A218,'ValveBox Components'!$A$10:$O$164,11,FALSE),
IF($A218&lt;Drainage!$A$92,VLOOKUP($A218,Drainage!$A$8:$M$91,7,FALSE),
IF($A218&lt;Nipples!$A$82,VLOOKUP($A218,Nipples!$A$9:$Q$81,13,FALSE),
IF($A218&lt;Manifold!$A$33,VLOOKUP($A218,Manifold!$A$9:$M$32,7,FALSE),
IF($A218&lt;FlexibleRepairCouplings!$A$13,VLOOKUP($A218,FlexibleRepairCouplings!$A$10:$M$12,7,FALSE),
IF($A218&lt;DuraFix!$A$15,VLOOKUP($A218,DuraFix!$A$9:$M$14,7,FALSE),
IF($A218&lt;'Compression Fittings'!$A$16,VLOOKUP($A218,'Compression Fittings'!$A$8:$M$15,7,FALSE),
IF($A218&lt;'Hose Fittings'!$A$30,VLOOKUP($A218,'Hose Fittings'!$A$8:$M$29,7,FALSE),
IF($A218&lt;'Swing Joints'!$A$496,VLOOKUP($A218,'Swing Joints'!$A$9:$M$495,7,FALSE),
IF($A218&lt;'Swing Joints Components'!$A$135,VLOOKUP($A218,'Swing Joints Components'!$A$9:$M$134,7,FALSE),
IF($A218&lt;Nonstandard!$A$42,VLOOKUP($A218,Nonstandard!$A$31:$J$41,3,FALSE),"")))))))))))))))))))))))))))),"")</f>
        <v/>
      </c>
      <c r="I218" s="589"/>
      <c r="J218" s="423" t="str">
        <f t="shared" si="5"/>
        <v/>
      </c>
      <c r="K218" s="424" t="str">
        <f>IFERROR(IF($A218&lt;'DWV PVC'!$A$285,VLOOKUP($A218,'DWV PVC'!$A$8:$M$284,10,FALSE),
IF($A218&lt;'DWV ABS'!$A$117,VLOOKUP($A218,'DWV ABS'!$A$8:$M$116,10,FALSE),
IF($A218&lt;'PVC SCH40'!$A$376,VLOOKUP($A218,'PVC SCH40'!$A$8:$M$375,10,FALSE),
IF($A218&lt;'PVC SCH40 LD'!$A$22,VLOOKUP($A218,'PVC SCH40 LD'!$A$8:$M$21,10,FALSE),
IF($A218&lt;'Pool &amp; SPA Sweep Elbows'!$A$12,VLOOKUP($A218,'Pool &amp; SPA Sweep Elbows'!$A$8:$M$11,10,FALSE),
IF($A218&lt;'Pool &amp; SPA Pipe Extender'!$A$11,VLOOKUP($A218,'Pool &amp; SPA Pipe Extender'!$A$8:$M$10,10,FALSE),
IF($A218&lt;'PVC SCH80'!$A$250,VLOOKUP($A218,'PVC SCH80'!$A$8:$M$249,10,FALSE),
IF($A218&lt;'PVC SCH80 Flange'!$A$49,VLOOKUP($A218,'PVC SCH80 Flange'!$A$8:$M$48,10,FALSE),
IF($A218&lt;'PVC SCH80 LD Flange'!$A$17,VLOOKUP($A218,'PVC SCH80 LD Flange'!$A$8:$M$16,10,FALSE),
IF($A218&lt;CPVC!$A$100,VLOOKUP($A218,CPVC!$A$8:$M$99,10,FALSE),
IF($A218&lt;InsertFittings!$A$237,VLOOKUP($A218,InsertFittings!$A$11:$M$236,10,FALSE),
IF($A218&lt;Valves!$A$132,VLOOKUP($A218,Valves!$A$8:$M$131,10,FALSE),
IF($A218&lt;SDR35SW!$A$124,VLOOKUP($A218,SDR35SW!$A$8:$M$123,10,FALSE),
IF($A218&lt;SDR35G!$A$143,VLOOKUP($A218, SDR35G!$A$8:$M$142,10,FALSE),
IF($A218&lt;SDR26G!$A$61,VLOOKUP($A218,SDR26G!$A$8:$N$60,11,FALSE),
IF($A218&lt;Cements!$A$100,VLOOKUP($A218,Cements!$A$8:$Q$99,14,FALSE),
IF($A218&lt;ValveBox!$A$143,VLOOKUP($A218,ValveBox!$A$10:$O$142,12,FALSE),
IF($A218&lt;'ValveBox Components'!$A$165,VLOOKUP($A218,'ValveBox Components'!$A$10:$O$164,12,FALSE),
IF($A218&lt;Drainage!$A$92,VLOOKUP($A218,Drainage!$A$8:$M$91,10,FALSE),
IF($A218&lt;Nipples!$A$82,VLOOKUP($A218,Nipples!$A$9:$Q$81,14,FALSE),
IF($A218&lt;Manifold!$A$33,VLOOKUP($A218,Manifold!$A$9:$M$32,10,FALSE),
IF($A218&lt;FlexibleRepairCouplings!$A$13,VLOOKUP($A218,FlexibleRepairCouplings!$A$10:$M$12,10,FALSE),
IF($A218&lt;DuraFix!$A$15,VLOOKUP($A218,DuraFix!$A$9:$M$14,10,FALSE),
IF($A218&lt;'Compression Fittings'!$A$16,VLOOKUP($A218,'Compression Fittings'!$A$8:$M$15,10,FALSE),
IF($A218&lt;'Hose Fittings'!$A$30,VLOOKUP($A218,'Hose Fittings'!$A$8:$M$29,10,FALSE),
IF($A218&lt;'Swing Joints'!$A$496,VLOOKUP($A218,'Swing Joints'!$A$9:$M$495,10,FALSE),
IF($A218&lt;'Swing Joints Components'!$A$135,VLOOKUP($A218,'Swing Joints Components'!$A$9:$M$134,10,FALSE),
IF($A218&lt;Nonstandard!$A$42,VLOOKUP($A218,Nonstandard!$A$31:$J$41,10,FALSE),"")))))))))))))))))))))))))))),"")</f>
        <v/>
      </c>
      <c r="L218" s="421" t="str">
        <f t="shared" si="4"/>
        <v>-</v>
      </c>
      <c r="M218" s="425"/>
    </row>
    <row r="219" spans="1:13" ht="15.75">
      <c r="A219" s="415">
        <v>187</v>
      </c>
      <c r="B219" s="415" t="str">
        <f>IFERROR(IF($A219&lt;'DWV PVC'!$A$285,VLOOKUP($A219,'DWV PVC'!$A$8:$M$284,4,FALSE),
IF($A219&lt;'DWV ABS'!$A$117,VLOOKUP($A219,'DWV ABS'!$A$8:$M$116,4,FALSE),
IF($A219&lt;'PVC SCH40'!$A$376,VLOOKUP($A219,'PVC SCH40'!$A$8:$M$375,4,FALSE),
IF($A219&lt;'PVC SCH40 LD'!$A$22,VLOOKUP($A219,'PVC SCH40 LD'!$A$8:$M$21,4,FALSE),
IF($A219&lt;'Pool &amp; SPA Sweep Elbows'!$A$12,VLOOKUP($A219,'Pool &amp; SPA Sweep Elbows'!$A$8:$M$11,4,FALSE),
IF($A219&lt;'Pool &amp; SPA Pipe Extender'!$A$11,VLOOKUP($A219,'Pool &amp; SPA Pipe Extender'!$A$8:$M$10,4,FALSE),
IF($A219&lt;'PVC SCH80'!$A$250,VLOOKUP($A219,'PVC SCH80'!$A$8:$M$249,4,FALSE),
IF($A219&lt;'PVC SCH80 Flange'!$A$49,VLOOKUP($A219,'PVC SCH80 Flange'!$A$8:$M$48,4,FALSE),
IF($A219&lt;'PVC SCH80 LD Flange'!$A$17,VLOOKUP($A219,'PVC SCH80 LD Flange'!$A$8:$M$16,4,FALSE),
IF($A219&lt;CPVC!$A$100,VLOOKUP($A219,CPVC!$A$8:$M$99,4,FALSE),
IF($A219&lt;InsertFittings!$A$237,VLOOKUP($A219,InsertFittings!$A$11:$M$236,4,FALSE),
IF($A219&lt;Valves!$A$132,VLOOKUP($A219,Valves!$A$8:$M$131,4,FALSE),
IF($A219&lt;SDR35SW!$A$124,VLOOKUP($A219,SDR35SW!$A$8:$M$123,4,FALSE),
IF($A219&lt;SDR35G!$A$143,VLOOKUP($A219, SDR35G!$A$8:$M$142,4,FALSE),
IF($A219&lt;SDR26G!$A$61,VLOOKUP($A219,SDR26G!$A$8:$N$60,4,FALSE),
IF($A219&lt;Cements!$A$100,VLOOKUP($A219,Cements!$A$8:$Q$99,4,FALSE),
IF($A219&lt;ValveBox!$A$143,VLOOKUP($A219,ValveBox!$A$10:$O$142,4,FALSE),
IF($A219&lt;'ValveBox Components'!$A$165,VLOOKUP($A219,'ValveBox Components'!$A$10:$O$164,4,FALSE),
IF($A219&lt;Drainage!$A$92,VLOOKUP($A219,Drainage!$A$8:$M$91,4,FALSE),
IF($A219&lt;Nipples!$A$82,VLOOKUP($A219,Nipples!$A$9:$Q$81,4,FALSE),
IF($A219&lt;Manifold!$A$33,VLOOKUP($A219,Manifold!$A$9:$M$32,4,FALSE),
IF($A219&lt;FlexibleRepairCouplings!$A$13,VLOOKUP($A219,FlexibleRepairCouplings!$A$10:$M$12,4,FALSE),
IF($A219&lt;DuraFix!$A$15,VLOOKUP($A219,DuraFix!$A$9:$M$14,4,FALSE),
IF($A219&lt;'Compression Fittings'!$A$16,VLOOKUP($A219,'Compression Fittings'!$A$8:$M$15,4,FALSE),
IF($A219&lt;'Hose Fittings'!$A$30,VLOOKUP($A219,'Hose Fittings'!$A$8:$M$29,4,FALSE),
IF($A219&lt;'Swing Joints'!$A$496,VLOOKUP($A219,'Swing Joints'!$A$9:$M$495,4,FALSE),
IF($A219&lt;'Swing Joints Components'!$A$135,VLOOKUP($A219,'Swing Joints Components'!$A$9:$M$134,4,FALSE),
IF($A219&lt;Nonstandard!$A$42,VLOOKUP($A219,Nonstandard!$A$31:$J$41,5,FALSE),"")))))))))))))))))))))))))))),"")</f>
        <v/>
      </c>
      <c r="C219" s="415" t="str">
        <f>IFERROR(IF($A219&lt;'DWV PVC'!$A$285,VLOOKUP($A219,'DWV PVC'!$A$8:$M$284,5,FALSE),
IF($A219&lt;'DWV ABS'!$A$117,VLOOKUP($A219,'DWV ABS'!$A$8:$M$116,5,FALSE),
IF($A219&lt;'PVC SCH40'!$A$376,VLOOKUP($A219,'PVC SCH40'!$A$8:$M$375,5,FALSE),
IF($A219&lt;'PVC SCH40 LD'!$A$22,VLOOKUP($A219,'PVC SCH40 LD'!$A$8:$M$21,5,FALSE),
IF($A219&lt;'Pool &amp; SPA Sweep Elbows'!$A$12,VLOOKUP($A219,'Pool &amp; SPA Sweep Elbows'!$A$8:$M$11,5,FALSE),
IF($A219&lt;'Pool &amp; SPA Pipe Extender'!$A$11,VLOOKUP($A219,'Pool &amp; SPA Pipe Extender'!$A$8:$M$10,5,FALSE),
IF($A219&lt;'PVC SCH80'!$A$250,VLOOKUP($A219,'PVC SCH80'!$A$8:$M$249,5,FALSE),
IF($A219&lt;'PVC SCH80 Flange'!$A$49,VLOOKUP($A219,'PVC SCH80 Flange'!$A$8:$M$48,5,FALSE),
IF($A219&lt;'PVC SCH80 LD Flange'!$A$17,VLOOKUP($A219,'PVC SCH80 LD Flange'!$A$8:$M$16,5,FALSE),
IF($A219&lt;CPVC!$A$100,VLOOKUP($A219,CPVC!$A$8:$M$99,5,FALSE),
IF($A219&lt;InsertFittings!$A$237,VLOOKUP($A219,InsertFittings!$A$11:$M$236,5,FALSE),
IF($A219&lt;Valves!$A$132,VLOOKUP($A219,Valves!$A$8:$M$131,5,FALSE),
IF($A219&lt;SDR35SW!$A$124,VLOOKUP($A219,SDR35SW!$A$8:$M$123,5,FALSE),
IF($A219&lt;SDR35G!$A$143,VLOOKUP($A219, SDR35G!$A$8:$M$142,5,FALSE),
IF($A219&lt;SDR26G!$A$61,VLOOKUP($A219,SDR26G!$A$8:$N$60,5,FALSE),
IF($A219&lt;Cements!$A$100,VLOOKUP($A219,Cements!$A$8:$Q$99,5,FALSE),
IF($A219&lt;ValveBox!$A$143,VLOOKUP($A219,ValveBox!$A$10:$O$142,5,FALSE),
IF($A219&lt;'ValveBox Components'!$A$165,VLOOKUP($A219,'ValveBox Components'!$A$10:$O$164,5,FALSE),
IF($A219&lt;Drainage!$A$92,VLOOKUP($A219,Drainage!$A$8:$M$91,5,FALSE),
IF($A219&lt;Nipples!$A$82,VLOOKUP($A219,Nipples!$A$9:$Q$81,5,FALSE),
IF($A219&lt;Manifold!$A$33,VLOOKUP($A219,Manifold!$A$9:$M$32,5,FALSE),
IF($A219&lt;FlexibleRepairCouplings!$A$13,VLOOKUP($A219,FlexibleRepairCouplings!$A$10:$M$12,5,FALSE),
IF($A219&lt;DuraFix!$A$15,VLOOKUP($A219,DuraFix!$A$9:$M$14,5,FALSE),
IF($A219&lt;'Compression Fittings'!$A$16,VLOOKUP($A219,'Compression Fittings'!$A$8:$M$15,5,FALSE),
IF($A219&lt;'Hose Fittings'!$A$30,VLOOKUP($A219,'Hose Fittings'!$A$8:$M$29,5,FALSE),
IF($A219&lt;'Swing Joints'!$A$496,VLOOKUP($A219,'Swing Joints'!$A$9:$M$495,5,FALSE),
IF($A219&lt;'Swing Joints Components'!$A$135,VLOOKUP($A219,'Swing Joints Components'!$A$9:$M$134,5,FALSE),
IF($A219&lt;Nonstandard!$A$42,VLOOKUP($A219,Nonstandard!$A$31:$J$41,6,FALSE),"")))))))))))))))))))))))))))),"")</f>
        <v/>
      </c>
      <c r="D219" s="426" t="str">
        <f>IFERROR(IF($A219&lt;'DWV PVC'!$A$285,VLOOKUP($A219,'DWV PVC'!$A$8:$M$284,6,FALSE),
IF($A219&lt;'DWV ABS'!$A$117,VLOOKUP($A219,'DWV ABS'!$A$8:$M$116,6,FALSE),
IF($A219&lt;'PVC SCH40'!$A$376,VLOOKUP($A219,'PVC SCH40'!$A$8:$M$375,6,FALSE),
IF($A219&lt;'PVC SCH40 LD'!$A$22,VLOOKUP($A219,'PVC SCH40 LD'!$A$8:$M$21,6,FALSE),
IF($A219&lt;'Pool &amp; SPA Sweep Elbows'!$A$12,VLOOKUP($A219,'Pool &amp; SPA Sweep Elbows'!$A$8:$M$11,6,FALSE),
IF($A219&lt;'Pool &amp; SPA Pipe Extender'!$A$11,VLOOKUP($A219,'Pool &amp; SPA Pipe Extender'!$A$8:$M$10,6,FALSE),
IF($A219&lt;'PVC SCH80'!$A$250,VLOOKUP($A219,'PVC SCH80'!$A$8:$M$249,6,FALSE),
IF($A219&lt;'PVC SCH80 Flange'!$A$49,VLOOKUP($A219,'PVC SCH80 Flange'!$A$8:$M$48,6,FALSE),
IF($A219&lt;'PVC SCH80 LD Flange'!$A$17,VLOOKUP($A219,'PVC SCH80 LD Flange'!$A$8:$M$16,6,FALSE),
IF($A219&lt;CPVC!$A$100,VLOOKUP($A219,CPVC!$A$8:$M$99,6,FALSE),
IF($A219&lt;InsertFittings!$A$237,VLOOKUP($A219,InsertFittings!$A$11:$M$236,6,FALSE),
IF($A219&lt;Valves!$A$132,VLOOKUP($A219,Valves!$A$8:$M$131,6,FALSE),
IF($A219&lt;SDR35SW!$A$124,VLOOKUP($A219,SDR35SW!$A$8:$M$123,6,FALSE),
IF($A219&lt;SDR35G!$A$143,VLOOKUP($A219, SDR35G!$A$8:$M$142,6,FALSE),
IF($A219&lt;SDR26G!$A$61,VLOOKUP($A219,SDR26G!$A$8:$N$60,6,FALSE),
IF($A219&lt;Cements!$A$100,VLOOKUP($A219,Cements!$A$8:$Q$99,6,FALSE),
IF($A219&lt;ValveBox!$A$143,VLOOKUP($A219,ValveBox!$A$10:$O$142,6,FALSE),
IF($A219&lt;'ValveBox Components'!$A$165,VLOOKUP($A219,'ValveBox Components'!$A$10:$O$164,6,FALSE),
IF($A219&lt;Drainage!$A$92,VLOOKUP($A219,Drainage!$A$8:$M$91,6,FALSE),
IF($A219&lt;Nipples!$A$82,VLOOKUP($A219,Nipples!$A$9:$Q$81,6,FALSE),
IF($A219&lt;Manifold!$A$33,VLOOKUP($A219,Manifold!$A$9:$M$32,6,FALSE),
IF($A219&lt;FlexibleRepairCouplings!$A$13,VLOOKUP($A219,FlexibleRepairCouplings!$A$10:$M$12,6,FALSE),
IF($A219&lt;DuraFix!$A$15,VLOOKUP($A219,DuraFix!$A$9:$M$14,6,FALSE),
IF($A219&lt;'Compression Fittings'!$A$16,VLOOKUP($A219,'Compression Fittings'!$A$8:$M$15,6,FALSE),
IF($A219&lt;'Hose Fittings'!$A$30,VLOOKUP($A219,'Hose Fittings'!$A$8:$M$29,6,FALSE),
IF($A219&lt;'Swing Joints'!$A$496,VLOOKUP($A219,'Swing Joints'!$A$9:$M$495,6,FALSE),
IF($A219&lt;'Swing Joints Components'!$A$135,VLOOKUP($A219,'Swing Joints Components'!$A$9:$M$134,6,FALSE),
IF($A219&lt;Nonstandard!$A$42,VLOOKUP($A219,Nonstandard!$A$31:$J$41,7,FALSE),"")))))))))))))))))))))))))))),"")</f>
        <v/>
      </c>
      <c r="E219" s="427"/>
      <c r="F219" s="418" t="str">
        <f>IFERROR(IF($A219&lt;'DWV PVC'!$A$285,VLOOKUP($A219,'DWV PVC'!$A$8:$M$284,9,FALSE),
IF($A219&lt;'DWV ABS'!$A$117,VLOOKUP($A219,'DWV ABS'!$A$8:$M$116,9,FALSE),
IF($A219&lt;'PVC SCH40'!$A$376,VLOOKUP($A219,'PVC SCH40'!$A$8:$M$375,9,FALSE),
IF($A219&lt;'PVC SCH40 LD'!$A$22,VLOOKUP($A219,'PVC SCH40 LD'!$A$8:$M$21,9,FALSE),
IF($A219&lt;'Pool &amp; SPA Sweep Elbows'!$A$12,VLOOKUP($A219,'Pool &amp; SPA Sweep Elbows'!$A$8:$M$11,9,FALSE),
IF($A219&lt;'Pool &amp; SPA Pipe Extender'!$A$11,VLOOKUP($A219,'Pool &amp; SPA Pipe Extender'!$A$8:$M$10,9,FALSE),
IF($A219&lt;'PVC SCH80'!$A$250,VLOOKUP($A219,'PVC SCH80'!$A$8:$M$249,9,FALSE),
IF($A219&lt;'PVC SCH80 Flange'!$A$49,VLOOKUP($A219,'PVC SCH80 Flange'!$A$8:$M$48,9,FALSE),
IF($A219&lt;'PVC SCH80 LD Flange'!$A$17,VLOOKUP($A219,'PVC SCH80 LD Flange'!$A$8:$M$16,9,FALSE),
IF($A219&lt;CPVC!$A$100,VLOOKUP($A219,CPVC!$A$8:$M$99,9,FALSE),
IF($A219&lt;InsertFittings!$A$237,VLOOKUP($A219,InsertFittings!$A$11:$M$236,9,FALSE),
IF($A219&lt;Valves!$A$132,VLOOKUP($A219,Valves!$A$8:$M$131,9,FALSE),
IF($A219&lt;SDR35SW!$A$124,VLOOKUP($A219,SDR35SW!$A$8:$M$123,9,FALSE),
IF($A219&lt;SDR35G!$A$143,VLOOKUP($A219, SDR35G!$A$8:$M$142,9,FALSE),
IF($A219&lt;SDR26G!$A$61,VLOOKUP($A219,SDR26G!$A$8:$N$60,10,FALSE),
IF($A219&lt;Cements!$A$100,VLOOKUP($A219,Cements!$A$8:$Q$99,13,FALSE),
IF($A219&lt;ValveBox!$A$143,VLOOKUP($A219,ValveBox!$A$10:$O$142,11,FALSE),
IF($A219&lt;'ValveBox Components'!$A$165,VLOOKUP($A219,'ValveBox Components'!$A$10:$O$164,11,FALSE),
IF($A219&lt;Drainage!$A$92,VLOOKUP($A219,Drainage!$A$8:$M$91,9,FALSE),
IF($A219&lt;Nipples!$A$82,VLOOKUP($A219,Nipples!$A$9:$Q$81,13,FALSE),
IF($A219&lt;Manifold!$A$33,VLOOKUP($A219,Manifold!$A$9:$M$32,9,FALSE),
IF($A219&lt;FlexibleRepairCouplings!$A$13,VLOOKUP($A219,FlexibleRepairCouplings!$A$10:$M$12,9,FALSE),
IF($A219&lt;DuraFix!$A$15,VLOOKUP($A219,DuraFix!$A$9:$M$14,9,FALSE),
IF($A219&lt;'Compression Fittings'!$A$16,VLOOKUP($A219,'Compression Fittings'!$A$8:$M$15,9,FALSE),
IF($A219&lt;'Hose Fittings'!$A$30,VLOOKUP($A219,'Hose Fittings'!$A$8:$M$29,9,FALSE),
IF($A219&lt;'Swing Joints'!$A$496,VLOOKUP($A219,'Swing Joints'!$A$9:$M$495,9,FALSE),
IF($A219&lt;'Swing Joints Components'!$A$135,VLOOKUP($A219,'Swing Joints Components'!$A$9:$M$134,9,FALSE),
IF($A219&lt;Nonstandard!$A$42,VLOOKUP($A219,Nonstandard!$A$31:$J$41,8,FALSE),"")))))))))))))))))))))))))))),"")</f>
        <v/>
      </c>
      <c r="G219" s="416" t="str">
        <f>IFERROR(IF($A219&lt;'DWV PVC'!$A$285,VLOOKUP($A219,'DWV PVC'!$A$8:$M$284,11,FALSE),
IF($A219&lt;'DWV ABS'!$A$117,VLOOKUP($A219,'DWV ABS'!$A$8:$M$116,11,FALSE),
IF($A219&lt;'PVC SCH40'!$A$376,VLOOKUP($A219,'PVC SCH40'!$A$8:$M$375,11,FALSE),
IF($A219&lt;'PVC SCH40 LD'!$A$22,VLOOKUP($A219,'PVC SCH40 LD'!$A$8:$M$21,11,FALSE),
IF($A219&lt;'Pool &amp; SPA Sweep Elbows'!$A$12,VLOOKUP($A219,'Pool &amp; SPA Sweep Elbows'!$A$8:$M$11,11,FALSE),
IF($A219&lt;'Pool &amp; SPA Pipe Extender'!$A$11,VLOOKUP($A219,'Pool &amp; SPA Pipe Extender'!$A$8:$M$10,11,FALSE),
IF($A219&lt;'PVC SCH80'!$A$250,VLOOKUP($A219,'PVC SCH80'!$A$8:$M$249,11,FALSE),
IF($A219&lt;'PVC SCH80 Flange'!$A$49,VLOOKUP($A219,'PVC SCH80 Flange'!$A$8:$M$48,11,FALSE),
IF($A219&lt;'PVC SCH80 LD Flange'!$A$17,VLOOKUP($A219,'PVC SCH80 LD Flange'!$A$8:$M$16,11,FALSE),
IF($A219&lt;CPVC!$A$100,VLOOKUP($A219,CPVC!$A$8:$M$99,11,FALSE),
IF($A219&lt;InsertFittings!$A$237,VLOOKUP($A219,InsertFittings!$A$11:$M$236,11,FALSE),
IF($A219&lt;Valves!$A$132,VLOOKUP($A219,Valves!$A$8:$M$131,11,FALSE),
IF($A219&lt;SDR35SW!$A$124,VLOOKUP($A219,SDR35SW!$A$8:$M$123,11,FALSE),
IF($A219&lt;SDR35G!$A$143,VLOOKUP($A219, SDR35G!$A$8:$M$142,11,FALSE),
IF($A219&lt;SDR26G!$A$61,VLOOKUP($A219,SDR26G!$A$8:$N$60,12,FALSE),
IF($A219&lt;Cements!$A$100,VLOOKUP($A219,Cements!$A$8:$Q$99,15,FALSE),
IF($A219&lt;ValveBox!$A$143,VLOOKUP($A219,ValveBox!$A$10:$O$142,13,FALSE),
IF($A219&lt;'ValveBox Components'!$A$165,VLOOKUP($A219,'ValveBox Components'!$A$10:$O$164,13,FALSE),
IF($A219&lt;Drainage!$A$92,VLOOKUP($A219,Drainage!$A$8:$M$91,11,FALSE),
IF($A219&lt;Nipples!$A$82,VLOOKUP($A219,Nipples!$A$9:$Q$81,15,FALSE),
IF($A219&lt;Manifold!$A$33,VLOOKUP($A219,Manifold!$A$9:$M$32,11,FALSE),
IF($A219&lt;FlexibleRepairCouplings!$A$13,VLOOKUP($A219,FlexibleRepairCouplings!$A$10:$M$12,11,FALSE),
IF($A219&lt;DuraFix!$A$15,VLOOKUP($A219,DuraFix!$A$9:$M$14,11,FALSE),
IF($A219&lt;'Compression Fittings'!$A$16,VLOOKUP($A219,'Compression Fittings'!$A$8:$M$15,11,FALSE),
IF($A219&lt;'Hose Fittings'!$A$30,VLOOKUP($A219,'Hose Fittings'!$A$8:$M$29,11,FALSE),
IF($A219&lt;'Swing Joints'!$A$496,VLOOKUP($A219,'Swing Joints'!$A$9:$M$495,11,FALSE),
IF($A219&lt;'Swing Joints Components'!$A$135,VLOOKUP($A219,'Swing Joints Components'!$A$9:$M$134,11,FALSE),
IF($A219&lt;Nonstandard!$A$42,VLOOKUP($A219,Nonstandard!$A$31:$J$41,3,FALSE),"")))))))))))))))))))))))))))),"")</f>
        <v/>
      </c>
      <c r="H219" s="586" t="str">
        <f>IFERROR(IF($A219&lt;'DWV PVC'!$A$285,VLOOKUP($A219,'DWV PVC'!$A$8:$M$284,7,FALSE),
IF($A219&lt;'DWV ABS'!$A$117,VLOOKUP($A219,'DWV ABS'!$A$8:$M$116,7,FALSE),
IF($A219&lt;'PVC SCH40'!$A$376,VLOOKUP($A219,'PVC SCH40'!$A$8:$M$375,7,FALSE),
IF($A219&lt;'PVC SCH40 LD'!$A$22,VLOOKUP($A219,'PVC SCH40 LD'!$A$8:$M$21,7,FALSE),
IF($A219&lt;'Pool &amp; SPA Sweep Elbows'!$A$12,VLOOKUP($A219,'Pool &amp; SPA Sweep Elbows'!$A$8:$M$11,7,FALSE),
IF($A219&lt;'Pool &amp; SPA Pipe Extender'!$A$11,VLOOKUP($A219,'Pool &amp; SPA Pipe Extender'!$A$8:$M$10,7,FALSE),
IF($A219&lt;'PVC SCH80'!$A$250,VLOOKUP($A219,'PVC SCH80'!$A$8:$M$249,7,FALSE),
IF($A219&lt;'PVC SCH80 Flange'!$A$49,VLOOKUP($A219,'PVC SCH80 Flange'!$A$8:$M$48,7,FALSE),
IF($A219&lt;'PVC SCH80 LD Flange'!$A$17,VLOOKUP($A219,'PVC SCH80 LD Flange'!$A$8:$M$16,7,FALSE),
IF($A219&lt;CPVC!$A$100,VLOOKUP($A219,CPVC!$A$8:$M$99,7,FALSE),
IF($A219&lt;InsertFittings!$A$237,VLOOKUP($A219,InsertFittings!$A$11:$M$236,7,FALSE),
IF($A219&lt;Valves!$A$132,VLOOKUP($A219,Valves!$A$8:$M$131,7,FALSE),
IF($A219&lt;SDR35SW!$A$124,VLOOKUP($A219,SDR35SW!$A$8:$M$123,7,FALSE),
IF($A219&lt;SDR35G!$A$143,VLOOKUP($A219, SDR35G!$A$8:$M$142,7,FALSE),
IF($A219&lt;SDR26G!$A$61,VLOOKUP($A219,SDR26G!$A$8:$N$60,10,FALSE),
IF($A219&lt;Cements!$A$100,VLOOKUP($A219,Cements!$A$8:$Q$99,13,FALSE),
IF($A219&lt;ValveBox!$A$143,VLOOKUP($A219,ValveBox!$A$10:$O$142,11,FALSE),
IF($A219&lt;'ValveBox Components'!$A$165,VLOOKUP($A219,'ValveBox Components'!$A$10:$O$164,11,FALSE),
IF($A219&lt;Drainage!$A$92,VLOOKUP($A219,Drainage!$A$8:$M$91,7,FALSE),
IF($A219&lt;Nipples!$A$82,VLOOKUP($A219,Nipples!$A$9:$Q$81,13,FALSE),
IF($A219&lt;Manifold!$A$33,VLOOKUP($A219,Manifold!$A$9:$M$32,7,FALSE),
IF($A219&lt;FlexibleRepairCouplings!$A$13,VLOOKUP($A219,FlexibleRepairCouplings!$A$10:$M$12,7,FALSE),
IF($A219&lt;DuraFix!$A$15,VLOOKUP($A219,DuraFix!$A$9:$M$14,7,FALSE),
IF($A219&lt;'Compression Fittings'!$A$16,VLOOKUP($A219,'Compression Fittings'!$A$8:$M$15,7,FALSE),
IF($A219&lt;'Hose Fittings'!$A$30,VLOOKUP($A219,'Hose Fittings'!$A$8:$M$29,7,FALSE),
IF($A219&lt;'Swing Joints'!$A$496,VLOOKUP($A219,'Swing Joints'!$A$9:$M$495,7,FALSE),
IF($A219&lt;'Swing Joints Components'!$A$135,VLOOKUP($A219,'Swing Joints Components'!$A$9:$M$134,7,FALSE),
IF($A219&lt;Nonstandard!$A$42,VLOOKUP($A219,Nonstandard!$A$31:$J$41,3,FALSE),"")))))))))))))))))))))))))))),"")</f>
        <v/>
      </c>
      <c r="I219" s="587"/>
      <c r="J219" s="383" t="str">
        <f t="shared" si="5"/>
        <v/>
      </c>
      <c r="K219" s="417" t="str">
        <f>IFERROR(IF($A219&lt;'DWV PVC'!$A$285,VLOOKUP($A219,'DWV PVC'!$A$8:$M$284,10,FALSE),
IF($A219&lt;'DWV ABS'!$A$117,VLOOKUP($A219,'DWV ABS'!$A$8:$M$116,10,FALSE),
IF($A219&lt;'PVC SCH40'!$A$376,VLOOKUP($A219,'PVC SCH40'!$A$8:$M$375,10,FALSE),
IF($A219&lt;'PVC SCH40 LD'!$A$22,VLOOKUP($A219,'PVC SCH40 LD'!$A$8:$M$21,10,FALSE),
IF($A219&lt;'Pool &amp; SPA Sweep Elbows'!$A$12,VLOOKUP($A219,'Pool &amp; SPA Sweep Elbows'!$A$8:$M$11,10,FALSE),
IF($A219&lt;'Pool &amp; SPA Pipe Extender'!$A$11,VLOOKUP($A219,'Pool &amp; SPA Pipe Extender'!$A$8:$M$10,10,FALSE),
IF($A219&lt;'PVC SCH80'!$A$250,VLOOKUP($A219,'PVC SCH80'!$A$8:$M$249,10,FALSE),
IF($A219&lt;'PVC SCH80 Flange'!$A$49,VLOOKUP($A219,'PVC SCH80 Flange'!$A$8:$M$48,10,FALSE),
IF($A219&lt;'PVC SCH80 LD Flange'!$A$17,VLOOKUP($A219,'PVC SCH80 LD Flange'!$A$8:$M$16,10,FALSE),
IF($A219&lt;CPVC!$A$100,VLOOKUP($A219,CPVC!$A$8:$M$99,10,FALSE),
IF($A219&lt;InsertFittings!$A$237,VLOOKUP($A219,InsertFittings!$A$11:$M$236,10,FALSE),
IF($A219&lt;Valves!$A$132,VLOOKUP($A219,Valves!$A$8:$M$131,10,FALSE),
IF($A219&lt;SDR35SW!$A$124,VLOOKUP($A219,SDR35SW!$A$8:$M$123,10,FALSE),
IF($A219&lt;SDR35G!$A$143,VLOOKUP($A219, SDR35G!$A$8:$M$142,10,FALSE),
IF($A219&lt;SDR26G!$A$61,VLOOKUP($A219,SDR26G!$A$8:$N$60,11,FALSE),
IF($A219&lt;Cements!$A$100,VLOOKUP($A219,Cements!$A$8:$Q$99,14,FALSE),
IF($A219&lt;ValveBox!$A$143,VLOOKUP($A219,ValveBox!$A$10:$O$142,12,FALSE),
IF($A219&lt;'ValveBox Components'!$A$165,VLOOKUP($A219,'ValveBox Components'!$A$10:$O$164,12,FALSE),
IF($A219&lt;Drainage!$A$92,VLOOKUP($A219,Drainage!$A$8:$M$91,10,FALSE),
IF($A219&lt;Nipples!$A$82,VLOOKUP($A219,Nipples!$A$9:$Q$81,14,FALSE),
IF($A219&lt;Manifold!$A$33,VLOOKUP($A219,Manifold!$A$9:$M$32,10,FALSE),
IF($A219&lt;FlexibleRepairCouplings!$A$13,VLOOKUP($A219,FlexibleRepairCouplings!$A$10:$M$12,10,FALSE),
IF($A219&lt;DuraFix!$A$15,VLOOKUP($A219,DuraFix!$A$9:$M$14,10,FALSE),
IF($A219&lt;'Compression Fittings'!$A$16,VLOOKUP($A219,'Compression Fittings'!$A$8:$M$15,10,FALSE),
IF($A219&lt;'Hose Fittings'!$A$30,VLOOKUP($A219,'Hose Fittings'!$A$8:$M$29,10,FALSE),
IF($A219&lt;'Swing Joints'!$A$496,VLOOKUP($A219,'Swing Joints'!$A$9:$M$495,10,FALSE),
IF($A219&lt;'Swing Joints Components'!$A$135,VLOOKUP($A219,'Swing Joints Components'!$A$9:$M$134,10,FALSE),
IF($A219&lt;Nonstandard!$A$42,VLOOKUP($A219,Nonstandard!$A$31:$J$41,10,FALSE),"")))))))))))))))))))))))))))),"")</f>
        <v/>
      </c>
      <c r="L219" s="418" t="str">
        <f t="shared" si="4"/>
        <v>-</v>
      </c>
      <c r="M219" s="419"/>
    </row>
    <row r="220" spans="1:13" ht="15.75">
      <c r="A220" s="420">
        <v>188</v>
      </c>
      <c r="B220" s="420" t="str">
        <f>IFERROR(IF($A220&lt;'DWV PVC'!$A$285,VLOOKUP($A220,'DWV PVC'!$A$8:$M$284,4,FALSE),
IF($A220&lt;'DWV ABS'!$A$117,VLOOKUP($A220,'DWV ABS'!$A$8:$M$116,4,FALSE),
IF($A220&lt;'PVC SCH40'!$A$376,VLOOKUP($A220,'PVC SCH40'!$A$8:$M$375,4,FALSE),
IF($A220&lt;'PVC SCH40 LD'!$A$22,VLOOKUP($A220,'PVC SCH40 LD'!$A$8:$M$21,4,FALSE),
IF($A220&lt;'Pool &amp; SPA Sweep Elbows'!$A$12,VLOOKUP($A220,'Pool &amp; SPA Sweep Elbows'!$A$8:$M$11,4,FALSE),
IF($A220&lt;'Pool &amp; SPA Pipe Extender'!$A$11,VLOOKUP($A220,'Pool &amp; SPA Pipe Extender'!$A$8:$M$10,4,FALSE),
IF($A220&lt;'PVC SCH80'!$A$250,VLOOKUP($A220,'PVC SCH80'!$A$8:$M$249,4,FALSE),
IF($A220&lt;'PVC SCH80 Flange'!$A$49,VLOOKUP($A220,'PVC SCH80 Flange'!$A$8:$M$48,4,FALSE),
IF($A220&lt;'PVC SCH80 LD Flange'!$A$17,VLOOKUP($A220,'PVC SCH80 LD Flange'!$A$8:$M$16,4,FALSE),
IF($A220&lt;CPVC!$A$100,VLOOKUP($A220,CPVC!$A$8:$M$99,4,FALSE),
IF($A220&lt;InsertFittings!$A$237,VLOOKUP($A220,InsertFittings!$A$11:$M$236,4,FALSE),
IF($A220&lt;Valves!$A$132,VLOOKUP($A220,Valves!$A$8:$M$131,4,FALSE),
IF($A220&lt;SDR35SW!$A$124,VLOOKUP($A220,SDR35SW!$A$8:$M$123,4,FALSE),
IF($A220&lt;SDR35G!$A$143,VLOOKUP($A220, SDR35G!$A$8:$M$142,4,FALSE),
IF($A220&lt;SDR26G!$A$61,VLOOKUP($A220,SDR26G!$A$8:$N$60,4,FALSE),
IF($A220&lt;Cements!$A$100,VLOOKUP($A220,Cements!$A$8:$Q$99,4,FALSE),
IF($A220&lt;ValveBox!$A$143,VLOOKUP($A220,ValveBox!$A$10:$O$142,4,FALSE),
IF($A220&lt;'ValveBox Components'!$A$165,VLOOKUP($A220,'ValveBox Components'!$A$10:$O$164,4,FALSE),
IF($A220&lt;Drainage!$A$92,VLOOKUP($A220,Drainage!$A$8:$M$91,4,FALSE),
IF($A220&lt;Nipples!$A$82,VLOOKUP($A220,Nipples!$A$9:$Q$81,4,FALSE),
IF($A220&lt;Manifold!$A$33,VLOOKUP($A220,Manifold!$A$9:$M$32,4,FALSE),
IF($A220&lt;FlexibleRepairCouplings!$A$13,VLOOKUP($A220,FlexibleRepairCouplings!$A$10:$M$12,4,FALSE),
IF($A220&lt;DuraFix!$A$15,VLOOKUP($A220,DuraFix!$A$9:$M$14,4,FALSE),
IF($A220&lt;'Compression Fittings'!$A$16,VLOOKUP($A220,'Compression Fittings'!$A$8:$M$15,4,FALSE),
IF($A220&lt;'Hose Fittings'!$A$30,VLOOKUP($A220,'Hose Fittings'!$A$8:$M$29,4,FALSE),
IF($A220&lt;'Swing Joints'!$A$496,VLOOKUP($A220,'Swing Joints'!$A$9:$M$495,4,FALSE),
IF($A220&lt;'Swing Joints Components'!$A$135,VLOOKUP($A220,'Swing Joints Components'!$A$9:$M$134,4,FALSE),
IF($A220&lt;Nonstandard!$A$42,VLOOKUP($A220,Nonstandard!$A$31:$J$41,5,FALSE),"")))))))))))))))))))))))))))),"")</f>
        <v/>
      </c>
      <c r="C220" s="420" t="str">
        <f>IFERROR(IF($A220&lt;'DWV PVC'!$A$285,VLOOKUP($A220,'DWV PVC'!$A$8:$M$284,5,FALSE),
IF($A220&lt;'DWV ABS'!$A$117,VLOOKUP($A220,'DWV ABS'!$A$8:$M$116,5,FALSE),
IF($A220&lt;'PVC SCH40'!$A$376,VLOOKUP($A220,'PVC SCH40'!$A$8:$M$375,5,FALSE),
IF($A220&lt;'PVC SCH40 LD'!$A$22,VLOOKUP($A220,'PVC SCH40 LD'!$A$8:$M$21,5,FALSE),
IF($A220&lt;'Pool &amp; SPA Sweep Elbows'!$A$12,VLOOKUP($A220,'Pool &amp; SPA Sweep Elbows'!$A$8:$M$11,5,FALSE),
IF($A220&lt;'Pool &amp; SPA Pipe Extender'!$A$11,VLOOKUP($A220,'Pool &amp; SPA Pipe Extender'!$A$8:$M$10,5,FALSE),
IF($A220&lt;'PVC SCH80'!$A$250,VLOOKUP($A220,'PVC SCH80'!$A$8:$M$249,5,FALSE),
IF($A220&lt;'PVC SCH80 Flange'!$A$49,VLOOKUP($A220,'PVC SCH80 Flange'!$A$8:$M$48,5,FALSE),
IF($A220&lt;'PVC SCH80 LD Flange'!$A$17,VLOOKUP($A220,'PVC SCH80 LD Flange'!$A$8:$M$16,5,FALSE),
IF($A220&lt;CPVC!$A$100,VLOOKUP($A220,CPVC!$A$8:$M$99,5,FALSE),
IF($A220&lt;InsertFittings!$A$237,VLOOKUP($A220,InsertFittings!$A$11:$M$236,5,FALSE),
IF($A220&lt;Valves!$A$132,VLOOKUP($A220,Valves!$A$8:$M$131,5,FALSE),
IF($A220&lt;SDR35SW!$A$124,VLOOKUP($A220,SDR35SW!$A$8:$M$123,5,FALSE),
IF($A220&lt;SDR35G!$A$143,VLOOKUP($A220, SDR35G!$A$8:$M$142,5,FALSE),
IF($A220&lt;SDR26G!$A$61,VLOOKUP($A220,SDR26G!$A$8:$N$60,5,FALSE),
IF($A220&lt;Cements!$A$100,VLOOKUP($A220,Cements!$A$8:$Q$99,5,FALSE),
IF($A220&lt;ValveBox!$A$143,VLOOKUP($A220,ValveBox!$A$10:$O$142,5,FALSE),
IF($A220&lt;'ValveBox Components'!$A$165,VLOOKUP($A220,'ValveBox Components'!$A$10:$O$164,5,FALSE),
IF($A220&lt;Drainage!$A$92,VLOOKUP($A220,Drainage!$A$8:$M$91,5,FALSE),
IF($A220&lt;Nipples!$A$82,VLOOKUP($A220,Nipples!$A$9:$Q$81,5,FALSE),
IF($A220&lt;Manifold!$A$33,VLOOKUP($A220,Manifold!$A$9:$M$32,5,FALSE),
IF($A220&lt;FlexibleRepairCouplings!$A$13,VLOOKUP($A220,FlexibleRepairCouplings!$A$10:$M$12,5,FALSE),
IF($A220&lt;DuraFix!$A$15,VLOOKUP($A220,DuraFix!$A$9:$M$14,5,FALSE),
IF($A220&lt;'Compression Fittings'!$A$16,VLOOKUP($A220,'Compression Fittings'!$A$8:$M$15,5,FALSE),
IF($A220&lt;'Hose Fittings'!$A$30,VLOOKUP($A220,'Hose Fittings'!$A$8:$M$29,5,FALSE),
IF($A220&lt;'Swing Joints'!$A$496,VLOOKUP($A220,'Swing Joints'!$A$9:$M$495,5,FALSE),
IF($A220&lt;'Swing Joints Components'!$A$135,VLOOKUP($A220,'Swing Joints Components'!$A$9:$M$134,5,FALSE),
IF($A220&lt;Nonstandard!$A$42,VLOOKUP($A220,Nonstandard!$A$31:$J$41,6,FALSE),"")))))))))))))))))))))))))))),"")</f>
        <v/>
      </c>
      <c r="D220" s="428" t="str">
        <f>IFERROR(IF($A220&lt;'DWV PVC'!$A$285,VLOOKUP($A220,'DWV PVC'!$A$8:$M$284,6,FALSE),
IF($A220&lt;'DWV ABS'!$A$117,VLOOKUP($A220,'DWV ABS'!$A$8:$M$116,6,FALSE),
IF($A220&lt;'PVC SCH40'!$A$376,VLOOKUP($A220,'PVC SCH40'!$A$8:$M$375,6,FALSE),
IF($A220&lt;'PVC SCH40 LD'!$A$22,VLOOKUP($A220,'PVC SCH40 LD'!$A$8:$M$21,6,FALSE),
IF($A220&lt;'Pool &amp; SPA Sweep Elbows'!$A$12,VLOOKUP($A220,'Pool &amp; SPA Sweep Elbows'!$A$8:$M$11,6,FALSE),
IF($A220&lt;'Pool &amp; SPA Pipe Extender'!$A$11,VLOOKUP($A220,'Pool &amp; SPA Pipe Extender'!$A$8:$M$10,6,FALSE),
IF($A220&lt;'PVC SCH80'!$A$250,VLOOKUP($A220,'PVC SCH80'!$A$8:$M$249,6,FALSE),
IF($A220&lt;'PVC SCH80 Flange'!$A$49,VLOOKUP($A220,'PVC SCH80 Flange'!$A$8:$M$48,6,FALSE),
IF($A220&lt;'PVC SCH80 LD Flange'!$A$17,VLOOKUP($A220,'PVC SCH80 LD Flange'!$A$8:$M$16,6,FALSE),
IF($A220&lt;CPVC!$A$100,VLOOKUP($A220,CPVC!$A$8:$M$99,6,FALSE),
IF($A220&lt;InsertFittings!$A$237,VLOOKUP($A220,InsertFittings!$A$11:$M$236,6,FALSE),
IF($A220&lt;Valves!$A$132,VLOOKUP($A220,Valves!$A$8:$M$131,6,FALSE),
IF($A220&lt;SDR35SW!$A$124,VLOOKUP($A220,SDR35SW!$A$8:$M$123,6,FALSE),
IF($A220&lt;SDR35G!$A$143,VLOOKUP($A220, SDR35G!$A$8:$M$142,6,FALSE),
IF($A220&lt;SDR26G!$A$61,VLOOKUP($A220,SDR26G!$A$8:$N$60,6,FALSE),
IF($A220&lt;Cements!$A$100,VLOOKUP($A220,Cements!$A$8:$Q$99,6,FALSE),
IF($A220&lt;ValveBox!$A$143,VLOOKUP($A220,ValveBox!$A$10:$O$142,6,FALSE),
IF($A220&lt;'ValveBox Components'!$A$165,VLOOKUP($A220,'ValveBox Components'!$A$10:$O$164,6,FALSE),
IF($A220&lt;Drainage!$A$92,VLOOKUP($A220,Drainage!$A$8:$M$91,6,FALSE),
IF($A220&lt;Nipples!$A$82,VLOOKUP($A220,Nipples!$A$9:$Q$81,6,FALSE),
IF($A220&lt;Manifold!$A$33,VLOOKUP($A220,Manifold!$A$9:$M$32,6,FALSE),
IF($A220&lt;FlexibleRepairCouplings!$A$13,VLOOKUP($A220,FlexibleRepairCouplings!$A$10:$M$12,6,FALSE),
IF($A220&lt;DuraFix!$A$15,VLOOKUP($A220,DuraFix!$A$9:$M$14,6,FALSE),
IF($A220&lt;'Compression Fittings'!$A$16,VLOOKUP($A220,'Compression Fittings'!$A$8:$M$15,6,FALSE),
IF($A220&lt;'Hose Fittings'!$A$30,VLOOKUP($A220,'Hose Fittings'!$A$8:$M$29,6,FALSE),
IF($A220&lt;'Swing Joints'!$A$496,VLOOKUP($A220,'Swing Joints'!$A$9:$M$495,6,FALSE),
IF($A220&lt;'Swing Joints Components'!$A$135,VLOOKUP($A220,'Swing Joints Components'!$A$9:$M$134,6,FALSE),
IF($A220&lt;Nonstandard!$A$42,VLOOKUP($A220,Nonstandard!$A$31:$J$41,7,FALSE),"")))))))))))))))))))))))))))),"")</f>
        <v/>
      </c>
      <c r="E220" s="429"/>
      <c r="F220" s="421" t="str">
        <f>IFERROR(IF($A220&lt;'DWV PVC'!$A$285,VLOOKUP($A220,'DWV PVC'!$A$8:$M$284,9,FALSE),
IF($A220&lt;'DWV ABS'!$A$117,VLOOKUP($A220,'DWV ABS'!$A$8:$M$116,9,FALSE),
IF($A220&lt;'PVC SCH40'!$A$376,VLOOKUP($A220,'PVC SCH40'!$A$8:$M$375,9,FALSE),
IF($A220&lt;'PVC SCH40 LD'!$A$22,VLOOKUP($A220,'PVC SCH40 LD'!$A$8:$M$21,9,FALSE),
IF($A220&lt;'Pool &amp; SPA Sweep Elbows'!$A$12,VLOOKUP($A220,'Pool &amp; SPA Sweep Elbows'!$A$8:$M$11,9,FALSE),
IF($A220&lt;'Pool &amp; SPA Pipe Extender'!$A$11,VLOOKUP($A220,'Pool &amp; SPA Pipe Extender'!$A$8:$M$10,9,FALSE),
IF($A220&lt;'PVC SCH80'!$A$250,VLOOKUP($A220,'PVC SCH80'!$A$8:$M$249,9,FALSE),
IF($A220&lt;'PVC SCH80 Flange'!$A$49,VLOOKUP($A220,'PVC SCH80 Flange'!$A$8:$M$48,9,FALSE),
IF($A220&lt;'PVC SCH80 LD Flange'!$A$17,VLOOKUP($A220,'PVC SCH80 LD Flange'!$A$8:$M$16,9,FALSE),
IF($A220&lt;CPVC!$A$100,VLOOKUP($A220,CPVC!$A$8:$M$99,9,FALSE),
IF($A220&lt;InsertFittings!$A$237,VLOOKUP($A220,InsertFittings!$A$11:$M$236,9,FALSE),
IF($A220&lt;Valves!$A$132,VLOOKUP($A220,Valves!$A$8:$M$131,9,FALSE),
IF($A220&lt;SDR35SW!$A$124,VLOOKUP($A220,SDR35SW!$A$8:$M$123,9,FALSE),
IF($A220&lt;SDR35G!$A$143,VLOOKUP($A220, SDR35G!$A$8:$M$142,9,FALSE),
IF($A220&lt;SDR26G!$A$61,VLOOKUP($A220,SDR26G!$A$8:$N$60,10,FALSE),
IF($A220&lt;Cements!$A$100,VLOOKUP($A220,Cements!$A$8:$Q$99,13,FALSE),
IF($A220&lt;ValveBox!$A$143,VLOOKUP($A220,ValveBox!$A$10:$O$142,11,FALSE),
IF($A220&lt;'ValveBox Components'!$A$165,VLOOKUP($A220,'ValveBox Components'!$A$10:$O$164,11,FALSE),
IF($A220&lt;Drainage!$A$92,VLOOKUP($A220,Drainage!$A$8:$M$91,9,FALSE),
IF($A220&lt;Nipples!$A$82,VLOOKUP($A220,Nipples!$A$9:$Q$81,13,FALSE),
IF($A220&lt;Manifold!$A$33,VLOOKUP($A220,Manifold!$A$9:$M$32,9,FALSE),
IF($A220&lt;FlexibleRepairCouplings!$A$13,VLOOKUP($A220,FlexibleRepairCouplings!$A$10:$M$12,9,FALSE),
IF($A220&lt;DuraFix!$A$15,VLOOKUP($A220,DuraFix!$A$9:$M$14,9,FALSE),
IF($A220&lt;'Compression Fittings'!$A$16,VLOOKUP($A220,'Compression Fittings'!$A$8:$M$15,9,FALSE),
IF($A220&lt;'Hose Fittings'!$A$30,VLOOKUP($A220,'Hose Fittings'!$A$8:$M$29,9,FALSE),
IF($A220&lt;'Swing Joints'!$A$496,VLOOKUP($A220,'Swing Joints'!$A$9:$M$495,9,FALSE),
IF($A220&lt;'Swing Joints Components'!$A$135,VLOOKUP($A220,'Swing Joints Components'!$A$9:$M$134,9,FALSE),
IF($A220&lt;Nonstandard!$A$42,VLOOKUP($A220,Nonstandard!$A$31:$J$41,8,FALSE),"")))))))))))))))))))))))))))),"")</f>
        <v/>
      </c>
      <c r="G220" s="422" t="str">
        <f>IFERROR(IF($A220&lt;'DWV PVC'!$A$285,VLOOKUP($A220,'DWV PVC'!$A$8:$M$284,11,FALSE),
IF($A220&lt;'DWV ABS'!$A$117,VLOOKUP($A220,'DWV ABS'!$A$8:$M$116,11,FALSE),
IF($A220&lt;'PVC SCH40'!$A$376,VLOOKUP($A220,'PVC SCH40'!$A$8:$M$375,11,FALSE),
IF($A220&lt;'PVC SCH40 LD'!$A$22,VLOOKUP($A220,'PVC SCH40 LD'!$A$8:$M$21,11,FALSE),
IF($A220&lt;'Pool &amp; SPA Sweep Elbows'!$A$12,VLOOKUP($A220,'Pool &amp; SPA Sweep Elbows'!$A$8:$M$11,11,FALSE),
IF($A220&lt;'Pool &amp; SPA Pipe Extender'!$A$11,VLOOKUP($A220,'Pool &amp; SPA Pipe Extender'!$A$8:$M$10,11,FALSE),
IF($A220&lt;'PVC SCH80'!$A$250,VLOOKUP($A220,'PVC SCH80'!$A$8:$M$249,11,FALSE),
IF($A220&lt;'PVC SCH80 Flange'!$A$49,VLOOKUP($A220,'PVC SCH80 Flange'!$A$8:$M$48,11,FALSE),
IF($A220&lt;'PVC SCH80 LD Flange'!$A$17,VLOOKUP($A220,'PVC SCH80 LD Flange'!$A$8:$M$16,11,FALSE),
IF($A220&lt;CPVC!$A$100,VLOOKUP($A220,CPVC!$A$8:$M$99,11,FALSE),
IF($A220&lt;InsertFittings!$A$237,VLOOKUP($A220,InsertFittings!$A$11:$M$236,11,FALSE),
IF($A220&lt;Valves!$A$132,VLOOKUP($A220,Valves!$A$8:$M$131,11,FALSE),
IF($A220&lt;SDR35SW!$A$124,VLOOKUP($A220,SDR35SW!$A$8:$M$123,11,FALSE),
IF($A220&lt;SDR35G!$A$143,VLOOKUP($A220, SDR35G!$A$8:$M$142,11,FALSE),
IF($A220&lt;SDR26G!$A$61,VLOOKUP($A220,SDR26G!$A$8:$N$60,12,FALSE),
IF($A220&lt;Cements!$A$100,VLOOKUP($A220,Cements!$A$8:$Q$99,15,FALSE),
IF($A220&lt;ValveBox!$A$143,VLOOKUP($A220,ValveBox!$A$10:$O$142,13,FALSE),
IF($A220&lt;'ValveBox Components'!$A$165,VLOOKUP($A220,'ValveBox Components'!$A$10:$O$164,13,FALSE),
IF($A220&lt;Drainage!$A$92,VLOOKUP($A220,Drainage!$A$8:$M$91,11,FALSE),
IF($A220&lt;Nipples!$A$82,VLOOKUP($A220,Nipples!$A$9:$Q$81,15,FALSE),
IF($A220&lt;Manifold!$A$33,VLOOKUP($A220,Manifold!$A$9:$M$32,11,FALSE),
IF($A220&lt;FlexibleRepairCouplings!$A$13,VLOOKUP($A220,FlexibleRepairCouplings!$A$10:$M$12,11,FALSE),
IF($A220&lt;DuraFix!$A$15,VLOOKUP($A220,DuraFix!$A$9:$M$14,11,FALSE),
IF($A220&lt;'Compression Fittings'!$A$16,VLOOKUP($A220,'Compression Fittings'!$A$8:$M$15,11,FALSE),
IF($A220&lt;'Hose Fittings'!$A$30,VLOOKUP($A220,'Hose Fittings'!$A$8:$M$29,11,FALSE),
IF($A220&lt;'Swing Joints'!$A$496,VLOOKUP($A220,'Swing Joints'!$A$9:$M$495,11,FALSE),
IF($A220&lt;'Swing Joints Components'!$A$135,VLOOKUP($A220,'Swing Joints Components'!$A$9:$M$134,11,FALSE),
IF($A220&lt;Nonstandard!$A$42,VLOOKUP($A220,Nonstandard!$A$31:$J$41,3,FALSE),"")))))))))))))))))))))))))))),"")</f>
        <v/>
      </c>
      <c r="H220" s="588" t="str">
        <f>IFERROR(IF($A220&lt;'DWV PVC'!$A$285,VLOOKUP($A220,'DWV PVC'!$A$8:$M$284,7,FALSE),
IF($A220&lt;'DWV ABS'!$A$117,VLOOKUP($A220,'DWV ABS'!$A$8:$M$116,7,FALSE),
IF($A220&lt;'PVC SCH40'!$A$376,VLOOKUP($A220,'PVC SCH40'!$A$8:$M$375,7,FALSE),
IF($A220&lt;'PVC SCH40 LD'!$A$22,VLOOKUP($A220,'PVC SCH40 LD'!$A$8:$M$21,7,FALSE),
IF($A220&lt;'Pool &amp; SPA Sweep Elbows'!$A$12,VLOOKUP($A220,'Pool &amp; SPA Sweep Elbows'!$A$8:$M$11,7,FALSE),
IF($A220&lt;'Pool &amp; SPA Pipe Extender'!$A$11,VLOOKUP($A220,'Pool &amp; SPA Pipe Extender'!$A$8:$M$10,7,FALSE),
IF($A220&lt;'PVC SCH80'!$A$250,VLOOKUP($A220,'PVC SCH80'!$A$8:$M$249,7,FALSE),
IF($A220&lt;'PVC SCH80 Flange'!$A$49,VLOOKUP($A220,'PVC SCH80 Flange'!$A$8:$M$48,7,FALSE),
IF($A220&lt;'PVC SCH80 LD Flange'!$A$17,VLOOKUP($A220,'PVC SCH80 LD Flange'!$A$8:$M$16,7,FALSE),
IF($A220&lt;CPVC!$A$100,VLOOKUP($A220,CPVC!$A$8:$M$99,7,FALSE),
IF($A220&lt;InsertFittings!$A$237,VLOOKUP($A220,InsertFittings!$A$11:$M$236,7,FALSE),
IF($A220&lt;Valves!$A$132,VLOOKUP($A220,Valves!$A$8:$M$131,7,FALSE),
IF($A220&lt;SDR35SW!$A$124,VLOOKUP($A220,SDR35SW!$A$8:$M$123,7,FALSE),
IF($A220&lt;SDR35G!$A$143,VLOOKUP($A220, SDR35G!$A$8:$M$142,7,FALSE),
IF($A220&lt;SDR26G!$A$61,VLOOKUP($A220,SDR26G!$A$8:$N$60,10,FALSE),
IF($A220&lt;Cements!$A$100,VLOOKUP($A220,Cements!$A$8:$Q$99,13,FALSE),
IF($A220&lt;ValveBox!$A$143,VLOOKUP($A220,ValveBox!$A$10:$O$142,11,FALSE),
IF($A220&lt;'ValveBox Components'!$A$165,VLOOKUP($A220,'ValveBox Components'!$A$10:$O$164,11,FALSE),
IF($A220&lt;Drainage!$A$92,VLOOKUP($A220,Drainage!$A$8:$M$91,7,FALSE),
IF($A220&lt;Nipples!$A$82,VLOOKUP($A220,Nipples!$A$9:$Q$81,13,FALSE),
IF($A220&lt;Manifold!$A$33,VLOOKUP($A220,Manifold!$A$9:$M$32,7,FALSE),
IF($A220&lt;FlexibleRepairCouplings!$A$13,VLOOKUP($A220,FlexibleRepairCouplings!$A$10:$M$12,7,FALSE),
IF($A220&lt;DuraFix!$A$15,VLOOKUP($A220,DuraFix!$A$9:$M$14,7,FALSE),
IF($A220&lt;'Compression Fittings'!$A$16,VLOOKUP($A220,'Compression Fittings'!$A$8:$M$15,7,FALSE),
IF($A220&lt;'Hose Fittings'!$A$30,VLOOKUP($A220,'Hose Fittings'!$A$8:$M$29,7,FALSE),
IF($A220&lt;'Swing Joints'!$A$496,VLOOKUP($A220,'Swing Joints'!$A$9:$M$495,7,FALSE),
IF($A220&lt;'Swing Joints Components'!$A$135,VLOOKUP($A220,'Swing Joints Components'!$A$9:$M$134,7,FALSE),
IF($A220&lt;Nonstandard!$A$42,VLOOKUP($A220,Nonstandard!$A$31:$J$41,3,FALSE),"")))))))))))))))))))))))))))),"")</f>
        <v/>
      </c>
      <c r="I220" s="589"/>
      <c r="J220" s="423" t="str">
        <f t="shared" si="5"/>
        <v/>
      </c>
      <c r="K220" s="424" t="str">
        <f>IFERROR(IF($A220&lt;'DWV PVC'!$A$285,VLOOKUP($A220,'DWV PVC'!$A$8:$M$284,10,FALSE),
IF($A220&lt;'DWV ABS'!$A$117,VLOOKUP($A220,'DWV ABS'!$A$8:$M$116,10,FALSE),
IF($A220&lt;'PVC SCH40'!$A$376,VLOOKUP($A220,'PVC SCH40'!$A$8:$M$375,10,FALSE),
IF($A220&lt;'PVC SCH40 LD'!$A$22,VLOOKUP($A220,'PVC SCH40 LD'!$A$8:$M$21,10,FALSE),
IF($A220&lt;'Pool &amp; SPA Sweep Elbows'!$A$12,VLOOKUP($A220,'Pool &amp; SPA Sweep Elbows'!$A$8:$M$11,10,FALSE),
IF($A220&lt;'Pool &amp; SPA Pipe Extender'!$A$11,VLOOKUP($A220,'Pool &amp; SPA Pipe Extender'!$A$8:$M$10,10,FALSE),
IF($A220&lt;'PVC SCH80'!$A$250,VLOOKUP($A220,'PVC SCH80'!$A$8:$M$249,10,FALSE),
IF($A220&lt;'PVC SCH80 Flange'!$A$49,VLOOKUP($A220,'PVC SCH80 Flange'!$A$8:$M$48,10,FALSE),
IF($A220&lt;'PVC SCH80 LD Flange'!$A$17,VLOOKUP($A220,'PVC SCH80 LD Flange'!$A$8:$M$16,10,FALSE),
IF($A220&lt;CPVC!$A$100,VLOOKUP($A220,CPVC!$A$8:$M$99,10,FALSE),
IF($A220&lt;InsertFittings!$A$237,VLOOKUP($A220,InsertFittings!$A$11:$M$236,10,FALSE),
IF($A220&lt;Valves!$A$132,VLOOKUP($A220,Valves!$A$8:$M$131,10,FALSE),
IF($A220&lt;SDR35SW!$A$124,VLOOKUP($A220,SDR35SW!$A$8:$M$123,10,FALSE),
IF($A220&lt;SDR35G!$A$143,VLOOKUP($A220, SDR35G!$A$8:$M$142,10,FALSE),
IF($A220&lt;SDR26G!$A$61,VLOOKUP($A220,SDR26G!$A$8:$N$60,11,FALSE),
IF($A220&lt;Cements!$A$100,VLOOKUP($A220,Cements!$A$8:$Q$99,14,FALSE),
IF($A220&lt;ValveBox!$A$143,VLOOKUP($A220,ValveBox!$A$10:$O$142,12,FALSE),
IF($A220&lt;'ValveBox Components'!$A$165,VLOOKUP($A220,'ValveBox Components'!$A$10:$O$164,12,FALSE),
IF($A220&lt;Drainage!$A$92,VLOOKUP($A220,Drainage!$A$8:$M$91,10,FALSE),
IF($A220&lt;Nipples!$A$82,VLOOKUP($A220,Nipples!$A$9:$Q$81,14,FALSE),
IF($A220&lt;Manifold!$A$33,VLOOKUP($A220,Manifold!$A$9:$M$32,10,FALSE),
IF($A220&lt;FlexibleRepairCouplings!$A$13,VLOOKUP($A220,FlexibleRepairCouplings!$A$10:$M$12,10,FALSE),
IF($A220&lt;DuraFix!$A$15,VLOOKUP($A220,DuraFix!$A$9:$M$14,10,FALSE),
IF($A220&lt;'Compression Fittings'!$A$16,VLOOKUP($A220,'Compression Fittings'!$A$8:$M$15,10,FALSE),
IF($A220&lt;'Hose Fittings'!$A$30,VLOOKUP($A220,'Hose Fittings'!$A$8:$M$29,10,FALSE),
IF($A220&lt;'Swing Joints'!$A$496,VLOOKUP($A220,'Swing Joints'!$A$9:$M$495,10,FALSE),
IF($A220&lt;'Swing Joints Components'!$A$135,VLOOKUP($A220,'Swing Joints Components'!$A$9:$M$134,10,FALSE),
IF($A220&lt;Nonstandard!$A$42,VLOOKUP($A220,Nonstandard!$A$31:$J$41,10,FALSE),"")))))))))))))))))))))))))))),"")</f>
        <v/>
      </c>
      <c r="L220" s="421" t="str">
        <f t="shared" si="4"/>
        <v>-</v>
      </c>
      <c r="M220" s="425"/>
    </row>
    <row r="221" spans="1:13" ht="16.5" thickBot="1">
      <c r="A221" s="415">
        <v>189</v>
      </c>
      <c r="B221" s="415" t="str">
        <f>IFERROR(IF($A221&lt;'DWV PVC'!$A$285,VLOOKUP($A221,'DWV PVC'!$A$8:$M$284,4,FALSE),
IF($A221&lt;'DWV ABS'!$A$117,VLOOKUP($A221,'DWV ABS'!$A$8:$M$116,4,FALSE),
IF($A221&lt;'PVC SCH40'!$A$376,VLOOKUP($A221,'PVC SCH40'!$A$8:$M$375,4,FALSE),
IF($A221&lt;'PVC SCH40 LD'!$A$22,VLOOKUP($A221,'PVC SCH40 LD'!$A$8:$M$21,4,FALSE),
IF($A221&lt;'Pool &amp; SPA Sweep Elbows'!$A$12,VLOOKUP($A221,'Pool &amp; SPA Sweep Elbows'!$A$8:$M$11,4,FALSE),
IF($A221&lt;'Pool &amp; SPA Pipe Extender'!$A$11,VLOOKUP($A221,'Pool &amp; SPA Pipe Extender'!$A$8:$M$10,4,FALSE),
IF($A221&lt;'PVC SCH80'!$A$250,VLOOKUP($A221,'PVC SCH80'!$A$8:$M$249,4,FALSE),
IF($A221&lt;'PVC SCH80 Flange'!$A$49,VLOOKUP($A221,'PVC SCH80 Flange'!$A$8:$M$48,4,FALSE),
IF($A221&lt;'PVC SCH80 LD Flange'!$A$17,VLOOKUP($A221,'PVC SCH80 LD Flange'!$A$8:$M$16,4,FALSE),
IF($A221&lt;CPVC!$A$100,VLOOKUP($A221,CPVC!$A$8:$M$99,4,FALSE),
IF($A221&lt;InsertFittings!$A$237,VLOOKUP($A221,InsertFittings!$A$11:$M$236,4,FALSE),
IF($A221&lt;Valves!$A$132,VLOOKUP($A221,Valves!$A$8:$M$131,4,FALSE),
IF($A221&lt;SDR35SW!$A$124,VLOOKUP($A221,SDR35SW!$A$8:$M$123,4,FALSE),
IF($A221&lt;SDR35G!$A$143,VLOOKUP($A221, SDR35G!$A$8:$M$142,4,FALSE),
IF($A221&lt;SDR26G!$A$61,VLOOKUP($A221,SDR26G!$A$8:$N$60,4,FALSE),
IF($A221&lt;Cements!$A$100,VLOOKUP($A221,Cements!$A$8:$Q$99,4,FALSE),
IF($A221&lt;ValveBox!$A$143,VLOOKUP($A221,ValveBox!$A$10:$O$142,4,FALSE),
IF($A221&lt;'ValveBox Components'!$A$165,VLOOKUP($A221,'ValveBox Components'!$A$10:$O$164,4,FALSE),
IF($A221&lt;Drainage!$A$92,VLOOKUP($A221,Drainage!$A$8:$M$91,4,FALSE),
IF($A221&lt;Nipples!$A$82,VLOOKUP($A221,Nipples!$A$9:$Q$81,4,FALSE),
IF($A221&lt;Manifold!$A$33,VLOOKUP($A221,Manifold!$A$9:$M$32,4,FALSE),
IF($A221&lt;FlexibleRepairCouplings!$A$13,VLOOKUP($A221,FlexibleRepairCouplings!$A$10:$M$12,4,FALSE),
IF($A221&lt;DuraFix!$A$15,VLOOKUP($A221,DuraFix!$A$9:$M$14,4,FALSE),
IF($A221&lt;'Compression Fittings'!$A$16,VLOOKUP($A221,'Compression Fittings'!$A$8:$M$15,4,FALSE),
IF($A221&lt;'Hose Fittings'!$A$30,VLOOKUP($A221,'Hose Fittings'!$A$8:$M$29,4,FALSE),
IF($A221&lt;'Swing Joints'!$A$496,VLOOKUP($A221,'Swing Joints'!$A$9:$M$495,4,FALSE),
IF($A221&lt;'Swing Joints Components'!$A$135,VLOOKUP($A221,'Swing Joints Components'!$A$9:$M$134,4,FALSE),
IF($A221&lt;Nonstandard!$A$42,VLOOKUP($A221,Nonstandard!$A$31:$J$41,5,FALSE),"")))))))))))))))))))))))))))),"")</f>
        <v/>
      </c>
      <c r="C221" s="415" t="str">
        <f>IFERROR(IF($A221&lt;'DWV PVC'!$A$285,VLOOKUP($A221,'DWV PVC'!$A$8:$M$284,5,FALSE),
IF($A221&lt;'DWV ABS'!$A$117,VLOOKUP($A221,'DWV ABS'!$A$8:$M$116,5,FALSE),
IF($A221&lt;'PVC SCH40'!$A$376,VLOOKUP($A221,'PVC SCH40'!$A$8:$M$375,5,FALSE),
IF($A221&lt;'PVC SCH40 LD'!$A$22,VLOOKUP($A221,'PVC SCH40 LD'!$A$8:$M$21,5,FALSE),
IF($A221&lt;'Pool &amp; SPA Sweep Elbows'!$A$12,VLOOKUP($A221,'Pool &amp; SPA Sweep Elbows'!$A$8:$M$11,5,FALSE),
IF($A221&lt;'Pool &amp; SPA Pipe Extender'!$A$11,VLOOKUP($A221,'Pool &amp; SPA Pipe Extender'!$A$8:$M$10,5,FALSE),
IF($A221&lt;'PVC SCH80'!$A$250,VLOOKUP($A221,'PVC SCH80'!$A$8:$M$249,5,FALSE),
IF($A221&lt;'PVC SCH80 Flange'!$A$49,VLOOKUP($A221,'PVC SCH80 Flange'!$A$8:$M$48,5,FALSE),
IF($A221&lt;'PVC SCH80 LD Flange'!$A$17,VLOOKUP($A221,'PVC SCH80 LD Flange'!$A$8:$M$16,5,FALSE),
IF($A221&lt;CPVC!$A$100,VLOOKUP($A221,CPVC!$A$8:$M$99,5,FALSE),
IF($A221&lt;InsertFittings!$A$237,VLOOKUP($A221,InsertFittings!$A$11:$M$236,5,FALSE),
IF($A221&lt;Valves!$A$132,VLOOKUP($A221,Valves!$A$8:$M$131,5,FALSE),
IF($A221&lt;SDR35SW!$A$124,VLOOKUP($A221,SDR35SW!$A$8:$M$123,5,FALSE),
IF($A221&lt;SDR35G!$A$143,VLOOKUP($A221, SDR35G!$A$8:$M$142,5,FALSE),
IF($A221&lt;SDR26G!$A$61,VLOOKUP($A221,SDR26G!$A$8:$N$60,5,FALSE),
IF($A221&lt;Cements!$A$100,VLOOKUP($A221,Cements!$A$8:$Q$99,5,FALSE),
IF($A221&lt;ValveBox!$A$143,VLOOKUP($A221,ValveBox!$A$10:$O$142,5,FALSE),
IF($A221&lt;'ValveBox Components'!$A$165,VLOOKUP($A221,'ValveBox Components'!$A$10:$O$164,5,FALSE),
IF($A221&lt;Drainage!$A$92,VLOOKUP($A221,Drainage!$A$8:$M$91,5,FALSE),
IF($A221&lt;Nipples!$A$82,VLOOKUP($A221,Nipples!$A$9:$Q$81,5,FALSE),
IF($A221&lt;Manifold!$A$33,VLOOKUP($A221,Manifold!$A$9:$M$32,5,FALSE),
IF($A221&lt;FlexibleRepairCouplings!$A$13,VLOOKUP($A221,FlexibleRepairCouplings!$A$10:$M$12,5,FALSE),
IF($A221&lt;DuraFix!$A$15,VLOOKUP($A221,DuraFix!$A$9:$M$14,5,FALSE),
IF($A221&lt;'Compression Fittings'!$A$16,VLOOKUP($A221,'Compression Fittings'!$A$8:$M$15,5,FALSE),
IF($A221&lt;'Hose Fittings'!$A$30,VLOOKUP($A221,'Hose Fittings'!$A$8:$M$29,5,FALSE),
IF($A221&lt;'Swing Joints'!$A$496,VLOOKUP($A221,'Swing Joints'!$A$9:$M$495,5,FALSE),
IF($A221&lt;'Swing Joints Components'!$A$135,VLOOKUP($A221,'Swing Joints Components'!$A$9:$M$134,5,FALSE),
IF($A221&lt;Nonstandard!$A$42,VLOOKUP($A221,Nonstandard!$A$31:$J$41,6,FALSE),"")))))))))))))))))))))))))))),"")</f>
        <v/>
      </c>
      <c r="D221" s="426" t="str">
        <f>IFERROR(IF($A221&lt;'DWV PVC'!$A$285,VLOOKUP($A221,'DWV PVC'!$A$8:$M$284,6,FALSE),
IF($A221&lt;'DWV ABS'!$A$117,VLOOKUP($A221,'DWV ABS'!$A$8:$M$116,6,FALSE),
IF($A221&lt;'PVC SCH40'!$A$376,VLOOKUP($A221,'PVC SCH40'!$A$8:$M$375,6,FALSE),
IF($A221&lt;'PVC SCH40 LD'!$A$22,VLOOKUP($A221,'PVC SCH40 LD'!$A$8:$M$21,6,FALSE),
IF($A221&lt;'Pool &amp; SPA Sweep Elbows'!$A$12,VLOOKUP($A221,'Pool &amp; SPA Sweep Elbows'!$A$8:$M$11,6,FALSE),
IF($A221&lt;'Pool &amp; SPA Pipe Extender'!$A$11,VLOOKUP($A221,'Pool &amp; SPA Pipe Extender'!$A$8:$M$10,6,FALSE),
IF($A221&lt;'PVC SCH80'!$A$250,VLOOKUP($A221,'PVC SCH80'!$A$8:$M$249,6,FALSE),
IF($A221&lt;'PVC SCH80 Flange'!$A$49,VLOOKUP($A221,'PVC SCH80 Flange'!$A$8:$M$48,6,FALSE),
IF($A221&lt;'PVC SCH80 LD Flange'!$A$17,VLOOKUP($A221,'PVC SCH80 LD Flange'!$A$8:$M$16,6,FALSE),
IF($A221&lt;CPVC!$A$100,VLOOKUP($A221,CPVC!$A$8:$M$99,6,FALSE),
IF($A221&lt;InsertFittings!$A$237,VLOOKUP($A221,InsertFittings!$A$11:$M$236,6,FALSE),
IF($A221&lt;Valves!$A$132,VLOOKUP($A221,Valves!$A$8:$M$131,6,FALSE),
IF($A221&lt;SDR35SW!$A$124,VLOOKUP($A221,SDR35SW!$A$8:$M$123,6,FALSE),
IF($A221&lt;SDR35G!$A$143,VLOOKUP($A221, SDR35G!$A$8:$M$142,6,FALSE),
IF($A221&lt;SDR26G!$A$61,VLOOKUP($A221,SDR26G!$A$8:$N$60,6,FALSE),
IF($A221&lt;Cements!$A$100,VLOOKUP($A221,Cements!$A$8:$Q$99,6,FALSE),
IF($A221&lt;ValveBox!$A$143,VLOOKUP($A221,ValveBox!$A$10:$O$142,6,FALSE),
IF($A221&lt;'ValveBox Components'!$A$165,VLOOKUP($A221,'ValveBox Components'!$A$10:$O$164,6,FALSE),
IF($A221&lt;Drainage!$A$92,VLOOKUP($A221,Drainage!$A$8:$M$91,6,FALSE),
IF($A221&lt;Nipples!$A$82,VLOOKUP($A221,Nipples!$A$9:$Q$81,6,FALSE),
IF($A221&lt;Manifold!$A$33,VLOOKUP($A221,Manifold!$A$9:$M$32,6,FALSE),
IF($A221&lt;FlexibleRepairCouplings!$A$13,VLOOKUP($A221,FlexibleRepairCouplings!$A$10:$M$12,6,FALSE),
IF($A221&lt;DuraFix!$A$15,VLOOKUP($A221,DuraFix!$A$9:$M$14,6,FALSE),
IF($A221&lt;'Compression Fittings'!$A$16,VLOOKUP($A221,'Compression Fittings'!$A$8:$M$15,6,FALSE),
IF($A221&lt;'Hose Fittings'!$A$30,VLOOKUP($A221,'Hose Fittings'!$A$8:$M$29,6,FALSE),
IF($A221&lt;'Swing Joints'!$A$496,VLOOKUP($A221,'Swing Joints'!$A$9:$M$495,6,FALSE),
IF($A221&lt;'Swing Joints Components'!$A$135,VLOOKUP($A221,'Swing Joints Components'!$A$9:$M$134,6,FALSE),
IF($A221&lt;Nonstandard!$A$42,VLOOKUP($A221,Nonstandard!$A$31:$J$41,7,FALSE),"")))))))))))))))))))))))))))),"")</f>
        <v/>
      </c>
      <c r="E221" s="427"/>
      <c r="F221" s="418" t="str">
        <f>IFERROR(IF($A221&lt;'DWV PVC'!$A$285,VLOOKUP($A221,'DWV PVC'!$A$8:$M$284,9,FALSE),
IF($A221&lt;'DWV ABS'!$A$117,VLOOKUP($A221,'DWV ABS'!$A$8:$M$116,9,FALSE),
IF($A221&lt;'PVC SCH40'!$A$376,VLOOKUP($A221,'PVC SCH40'!$A$8:$M$375,9,FALSE),
IF($A221&lt;'PVC SCH40 LD'!$A$22,VLOOKUP($A221,'PVC SCH40 LD'!$A$8:$M$21,9,FALSE),
IF($A221&lt;'Pool &amp; SPA Sweep Elbows'!$A$12,VLOOKUP($A221,'Pool &amp; SPA Sweep Elbows'!$A$8:$M$11,9,FALSE),
IF($A221&lt;'Pool &amp; SPA Pipe Extender'!$A$11,VLOOKUP($A221,'Pool &amp; SPA Pipe Extender'!$A$8:$M$10,9,FALSE),
IF($A221&lt;'PVC SCH80'!$A$250,VLOOKUP($A221,'PVC SCH80'!$A$8:$M$249,9,FALSE),
IF($A221&lt;'PVC SCH80 Flange'!$A$49,VLOOKUP($A221,'PVC SCH80 Flange'!$A$8:$M$48,9,FALSE),
IF($A221&lt;'PVC SCH80 LD Flange'!$A$17,VLOOKUP($A221,'PVC SCH80 LD Flange'!$A$8:$M$16,9,FALSE),
IF($A221&lt;CPVC!$A$100,VLOOKUP($A221,CPVC!$A$8:$M$99,9,FALSE),
IF($A221&lt;InsertFittings!$A$237,VLOOKUP($A221,InsertFittings!$A$11:$M$236,9,FALSE),
IF($A221&lt;Valves!$A$132,VLOOKUP($A221,Valves!$A$8:$M$131,9,FALSE),
IF($A221&lt;SDR35SW!$A$124,VLOOKUP($A221,SDR35SW!$A$8:$M$123,9,FALSE),
IF($A221&lt;SDR35G!$A$143,VLOOKUP($A221, SDR35G!$A$8:$M$142,9,FALSE),
IF($A221&lt;SDR26G!$A$61,VLOOKUP($A221,SDR26G!$A$8:$N$60,10,FALSE),
IF($A221&lt;Cements!$A$100,VLOOKUP($A221,Cements!$A$8:$Q$99,13,FALSE),
IF($A221&lt;ValveBox!$A$143,VLOOKUP($A221,ValveBox!$A$10:$O$142,11,FALSE),
IF($A221&lt;'ValveBox Components'!$A$165,VLOOKUP($A221,'ValveBox Components'!$A$10:$O$164,11,FALSE),
IF($A221&lt;Drainage!$A$92,VLOOKUP($A221,Drainage!$A$8:$M$91,9,FALSE),
IF($A221&lt;Nipples!$A$82,VLOOKUP($A221,Nipples!$A$9:$Q$81,13,FALSE),
IF($A221&lt;Manifold!$A$33,VLOOKUP($A221,Manifold!$A$9:$M$32,9,FALSE),
IF($A221&lt;FlexibleRepairCouplings!$A$13,VLOOKUP($A221,FlexibleRepairCouplings!$A$10:$M$12,9,FALSE),
IF($A221&lt;DuraFix!$A$15,VLOOKUP($A221,DuraFix!$A$9:$M$14,9,FALSE),
IF($A221&lt;'Compression Fittings'!$A$16,VLOOKUP($A221,'Compression Fittings'!$A$8:$M$15,9,FALSE),
IF($A221&lt;'Hose Fittings'!$A$30,VLOOKUP($A221,'Hose Fittings'!$A$8:$M$29,9,FALSE),
IF($A221&lt;'Swing Joints'!$A$496,VLOOKUP($A221,'Swing Joints'!$A$9:$M$495,9,FALSE),
IF($A221&lt;'Swing Joints Components'!$A$135,VLOOKUP($A221,'Swing Joints Components'!$A$9:$M$134,9,FALSE),
IF($A221&lt;Nonstandard!$A$42,VLOOKUP($A221,Nonstandard!$A$31:$J$41,8,FALSE),"")))))))))))))))))))))))))))),"")</f>
        <v/>
      </c>
      <c r="G221" s="416" t="str">
        <f>IFERROR(IF($A221&lt;'DWV PVC'!$A$285,VLOOKUP($A221,'DWV PVC'!$A$8:$M$284,11,FALSE),
IF($A221&lt;'DWV ABS'!$A$117,VLOOKUP($A221,'DWV ABS'!$A$8:$M$116,11,FALSE),
IF($A221&lt;'PVC SCH40'!$A$376,VLOOKUP($A221,'PVC SCH40'!$A$8:$M$375,11,FALSE),
IF($A221&lt;'PVC SCH40 LD'!$A$22,VLOOKUP($A221,'PVC SCH40 LD'!$A$8:$M$21,11,FALSE),
IF($A221&lt;'Pool &amp; SPA Sweep Elbows'!$A$12,VLOOKUP($A221,'Pool &amp; SPA Sweep Elbows'!$A$8:$M$11,11,FALSE),
IF($A221&lt;'Pool &amp; SPA Pipe Extender'!$A$11,VLOOKUP($A221,'Pool &amp; SPA Pipe Extender'!$A$8:$M$10,11,FALSE),
IF($A221&lt;'PVC SCH80'!$A$250,VLOOKUP($A221,'PVC SCH80'!$A$8:$M$249,11,FALSE),
IF($A221&lt;'PVC SCH80 Flange'!$A$49,VLOOKUP($A221,'PVC SCH80 Flange'!$A$8:$M$48,11,FALSE),
IF($A221&lt;'PVC SCH80 LD Flange'!$A$17,VLOOKUP($A221,'PVC SCH80 LD Flange'!$A$8:$M$16,11,FALSE),
IF($A221&lt;CPVC!$A$100,VLOOKUP($A221,CPVC!$A$8:$M$99,11,FALSE),
IF($A221&lt;InsertFittings!$A$237,VLOOKUP($A221,InsertFittings!$A$11:$M$236,11,FALSE),
IF($A221&lt;Valves!$A$132,VLOOKUP($A221,Valves!$A$8:$M$131,11,FALSE),
IF($A221&lt;SDR35SW!$A$124,VLOOKUP($A221,SDR35SW!$A$8:$M$123,11,FALSE),
IF($A221&lt;SDR35G!$A$143,VLOOKUP($A221, SDR35G!$A$8:$M$142,11,FALSE),
IF($A221&lt;SDR26G!$A$61,VLOOKUP($A221,SDR26G!$A$8:$N$60,12,FALSE),
IF($A221&lt;Cements!$A$100,VLOOKUP($A221,Cements!$A$8:$Q$99,15,FALSE),
IF($A221&lt;ValveBox!$A$143,VLOOKUP($A221,ValveBox!$A$10:$O$142,13,FALSE),
IF($A221&lt;'ValveBox Components'!$A$165,VLOOKUP($A221,'ValveBox Components'!$A$10:$O$164,13,FALSE),
IF($A221&lt;Drainage!$A$92,VLOOKUP($A221,Drainage!$A$8:$M$91,11,FALSE),
IF($A221&lt;Nipples!$A$82,VLOOKUP($A221,Nipples!$A$9:$Q$81,15,FALSE),
IF($A221&lt;Manifold!$A$33,VLOOKUP($A221,Manifold!$A$9:$M$32,11,FALSE),
IF($A221&lt;FlexibleRepairCouplings!$A$13,VLOOKUP($A221,FlexibleRepairCouplings!$A$10:$M$12,11,FALSE),
IF($A221&lt;DuraFix!$A$15,VLOOKUP($A221,DuraFix!$A$9:$M$14,11,FALSE),
IF($A221&lt;'Compression Fittings'!$A$16,VLOOKUP($A221,'Compression Fittings'!$A$8:$M$15,11,FALSE),
IF($A221&lt;'Hose Fittings'!$A$30,VLOOKUP($A221,'Hose Fittings'!$A$8:$M$29,11,FALSE),
IF($A221&lt;'Swing Joints'!$A$496,VLOOKUP($A221,'Swing Joints'!$A$9:$M$495,11,FALSE),
IF($A221&lt;'Swing Joints Components'!$A$135,VLOOKUP($A221,'Swing Joints Components'!$A$9:$M$134,11,FALSE),
IF($A221&lt;Nonstandard!$A$42,VLOOKUP($A221,Nonstandard!$A$31:$J$41,3,FALSE),"")))))))))))))))))))))))))))),"")</f>
        <v/>
      </c>
      <c r="H221" s="586" t="str">
        <f>IFERROR(IF($A221&lt;'DWV PVC'!$A$285,VLOOKUP($A221,'DWV PVC'!$A$8:$M$284,7,FALSE),
IF($A221&lt;'DWV ABS'!$A$117,VLOOKUP($A221,'DWV ABS'!$A$8:$M$116,7,FALSE),
IF($A221&lt;'PVC SCH40'!$A$376,VLOOKUP($A221,'PVC SCH40'!$A$8:$M$375,7,FALSE),
IF($A221&lt;'PVC SCH40 LD'!$A$22,VLOOKUP($A221,'PVC SCH40 LD'!$A$8:$M$21,7,FALSE),
IF($A221&lt;'Pool &amp; SPA Sweep Elbows'!$A$12,VLOOKUP($A221,'Pool &amp; SPA Sweep Elbows'!$A$8:$M$11,7,FALSE),
IF($A221&lt;'Pool &amp; SPA Pipe Extender'!$A$11,VLOOKUP($A221,'Pool &amp; SPA Pipe Extender'!$A$8:$M$10,7,FALSE),
IF($A221&lt;'PVC SCH80'!$A$250,VLOOKUP($A221,'PVC SCH80'!$A$8:$M$249,7,FALSE),
IF($A221&lt;'PVC SCH80 Flange'!$A$49,VLOOKUP($A221,'PVC SCH80 Flange'!$A$8:$M$48,7,FALSE),
IF($A221&lt;'PVC SCH80 LD Flange'!$A$17,VLOOKUP($A221,'PVC SCH80 LD Flange'!$A$8:$M$16,7,FALSE),
IF($A221&lt;CPVC!$A$100,VLOOKUP($A221,CPVC!$A$8:$M$99,7,FALSE),
IF($A221&lt;InsertFittings!$A$237,VLOOKUP($A221,InsertFittings!$A$11:$M$236,7,FALSE),
IF($A221&lt;Valves!$A$132,VLOOKUP($A221,Valves!$A$8:$M$131,7,FALSE),
IF($A221&lt;SDR35SW!$A$124,VLOOKUP($A221,SDR35SW!$A$8:$M$123,7,FALSE),
IF($A221&lt;SDR35G!$A$143,VLOOKUP($A221, SDR35G!$A$8:$M$142,7,FALSE),
IF($A221&lt;SDR26G!$A$61,VLOOKUP($A221,SDR26G!$A$8:$N$60,10,FALSE),
IF($A221&lt;Cements!$A$100,VLOOKUP($A221,Cements!$A$8:$Q$99,13,FALSE),
IF($A221&lt;ValveBox!$A$143,VLOOKUP($A221,ValveBox!$A$10:$O$142,11,FALSE),
IF($A221&lt;'ValveBox Components'!$A$165,VLOOKUP($A221,'ValveBox Components'!$A$10:$O$164,11,FALSE),
IF($A221&lt;Drainage!$A$92,VLOOKUP($A221,Drainage!$A$8:$M$91,7,FALSE),
IF($A221&lt;Nipples!$A$82,VLOOKUP($A221,Nipples!$A$9:$Q$81,13,FALSE),
IF($A221&lt;Manifold!$A$33,VLOOKUP($A221,Manifold!$A$9:$M$32,7,FALSE),
IF($A221&lt;FlexibleRepairCouplings!$A$13,VLOOKUP($A221,FlexibleRepairCouplings!$A$10:$M$12,7,FALSE),
IF($A221&lt;DuraFix!$A$15,VLOOKUP($A221,DuraFix!$A$9:$M$14,7,FALSE),
IF($A221&lt;'Compression Fittings'!$A$16,VLOOKUP($A221,'Compression Fittings'!$A$8:$M$15,7,FALSE),
IF($A221&lt;'Hose Fittings'!$A$30,VLOOKUP($A221,'Hose Fittings'!$A$8:$M$29,7,FALSE),
IF($A221&lt;'Swing Joints'!$A$496,VLOOKUP($A221,'Swing Joints'!$A$9:$M$495,7,FALSE),
IF($A221&lt;'Swing Joints Components'!$A$135,VLOOKUP($A221,'Swing Joints Components'!$A$9:$M$134,7,FALSE),
IF($A221&lt;Nonstandard!$A$42,VLOOKUP($A221,Nonstandard!$A$31:$J$41,3,FALSE),"")))))))))))))))))))))))))))),"")</f>
        <v/>
      </c>
      <c r="I221" s="587"/>
      <c r="J221" s="383" t="str">
        <f t="shared" si="5"/>
        <v/>
      </c>
      <c r="K221" s="417" t="str">
        <f>IFERROR(IF($A221&lt;'DWV PVC'!$A$285,VLOOKUP($A221,'DWV PVC'!$A$8:$M$284,10,FALSE),
IF($A221&lt;'DWV ABS'!$A$117,VLOOKUP($A221,'DWV ABS'!$A$8:$M$116,10,FALSE),
IF($A221&lt;'PVC SCH40'!$A$376,VLOOKUP($A221,'PVC SCH40'!$A$8:$M$375,10,FALSE),
IF($A221&lt;'PVC SCH40 LD'!$A$22,VLOOKUP($A221,'PVC SCH40 LD'!$A$8:$M$21,10,FALSE),
IF($A221&lt;'Pool &amp; SPA Sweep Elbows'!$A$12,VLOOKUP($A221,'Pool &amp; SPA Sweep Elbows'!$A$8:$M$11,10,FALSE),
IF($A221&lt;'Pool &amp; SPA Pipe Extender'!$A$11,VLOOKUP($A221,'Pool &amp; SPA Pipe Extender'!$A$8:$M$10,10,FALSE),
IF($A221&lt;'PVC SCH80'!$A$250,VLOOKUP($A221,'PVC SCH80'!$A$8:$M$249,10,FALSE),
IF($A221&lt;'PVC SCH80 Flange'!$A$49,VLOOKUP($A221,'PVC SCH80 Flange'!$A$8:$M$48,10,FALSE),
IF($A221&lt;'PVC SCH80 LD Flange'!$A$17,VLOOKUP($A221,'PVC SCH80 LD Flange'!$A$8:$M$16,10,FALSE),
IF($A221&lt;CPVC!$A$100,VLOOKUP($A221,CPVC!$A$8:$M$99,10,FALSE),
IF($A221&lt;InsertFittings!$A$237,VLOOKUP($A221,InsertFittings!$A$11:$M$236,10,FALSE),
IF($A221&lt;Valves!$A$132,VLOOKUP($A221,Valves!$A$8:$M$131,10,FALSE),
IF($A221&lt;SDR35SW!$A$124,VLOOKUP($A221,SDR35SW!$A$8:$M$123,10,FALSE),
IF($A221&lt;SDR35G!$A$143,VLOOKUP($A221, SDR35G!$A$8:$M$142,10,FALSE),
IF($A221&lt;SDR26G!$A$61,VLOOKUP($A221,SDR26G!$A$8:$N$60,11,FALSE),
IF($A221&lt;Cements!$A$100,VLOOKUP($A221,Cements!$A$8:$Q$99,14,FALSE),
IF($A221&lt;ValveBox!$A$143,VLOOKUP($A221,ValveBox!$A$10:$O$142,12,FALSE),
IF($A221&lt;'ValveBox Components'!$A$165,VLOOKUP($A221,'ValveBox Components'!$A$10:$O$164,12,FALSE),
IF($A221&lt;Drainage!$A$92,VLOOKUP($A221,Drainage!$A$8:$M$91,10,FALSE),
IF($A221&lt;Nipples!$A$82,VLOOKUP($A221,Nipples!$A$9:$Q$81,14,FALSE),
IF($A221&lt;Manifold!$A$33,VLOOKUP($A221,Manifold!$A$9:$M$32,10,FALSE),
IF($A221&lt;FlexibleRepairCouplings!$A$13,VLOOKUP($A221,FlexibleRepairCouplings!$A$10:$M$12,10,FALSE),
IF($A221&lt;DuraFix!$A$15,VLOOKUP($A221,DuraFix!$A$9:$M$14,10,FALSE),
IF($A221&lt;'Compression Fittings'!$A$16,VLOOKUP($A221,'Compression Fittings'!$A$8:$M$15,10,FALSE),
IF($A221&lt;'Hose Fittings'!$A$30,VLOOKUP($A221,'Hose Fittings'!$A$8:$M$29,10,FALSE),
IF($A221&lt;'Swing Joints'!$A$496,VLOOKUP($A221,'Swing Joints'!$A$9:$M$495,10,FALSE),
IF($A221&lt;'Swing Joints Components'!$A$135,VLOOKUP($A221,'Swing Joints Components'!$A$9:$M$134,10,FALSE),
IF($A221&lt;Nonstandard!$A$42,VLOOKUP($A221,Nonstandard!$A$31:$J$41,10,FALSE),"")))))))))))))))))))))))))))),"")</f>
        <v/>
      </c>
      <c r="L221" s="418" t="str">
        <f>IF(G221="","-",K221*G221)</f>
        <v>-</v>
      </c>
      <c r="M221" s="419"/>
    </row>
    <row r="222" spans="1:13" ht="16.5" thickBot="1">
      <c r="A222" s="595" t="s">
        <v>1</v>
      </c>
      <c r="B222" s="601"/>
      <c r="C222" s="601"/>
      <c r="D222" s="601"/>
      <c r="E222" s="601"/>
      <c r="F222" s="601"/>
      <c r="G222" s="430"/>
      <c r="K222" s="431" t="s">
        <v>47</v>
      </c>
      <c r="L222" s="432">
        <f>SUM(L33:L221)</f>
        <v>0</v>
      </c>
      <c r="M222" s="433"/>
    </row>
  </sheetData>
  <sheetProtection algorithmName="SHA-512" hashValue="hWJYUgWr+k57pvzFEfUYdP/x6nB4U2d1ZgBGgjoY4BMnWKb5jAHxwdiwm0xVAHXQdJ3/AOtenGewaFF+QUSmNQ==" saltValue="fLvR7zxaugjStjdA/UKUxQ==" spinCount="100000" sheet="1" objects="1" scenarios="1"/>
  <protectedRanges>
    <protectedRange sqref="M2:M29" name="Range1"/>
  </protectedRanges>
  <mergeCells count="219">
    <mergeCell ref="H217:I217"/>
    <mergeCell ref="H218:I218"/>
    <mergeCell ref="H219:I219"/>
    <mergeCell ref="H208:I208"/>
    <mergeCell ref="H209:I209"/>
    <mergeCell ref="H210:I210"/>
    <mergeCell ref="H211:I211"/>
    <mergeCell ref="H212:I212"/>
    <mergeCell ref="H213:I213"/>
    <mergeCell ref="H214:I214"/>
    <mergeCell ref="H215:I215"/>
    <mergeCell ref="H216:I216"/>
    <mergeCell ref="H199:I199"/>
    <mergeCell ref="H200:I200"/>
    <mergeCell ref="H201:I201"/>
    <mergeCell ref="H202:I202"/>
    <mergeCell ref="H203:I203"/>
    <mergeCell ref="H204:I204"/>
    <mergeCell ref="H205:I205"/>
    <mergeCell ref="H206:I206"/>
    <mergeCell ref="H207:I207"/>
    <mergeCell ref="H190:I190"/>
    <mergeCell ref="H191:I191"/>
    <mergeCell ref="H192:I192"/>
    <mergeCell ref="H193:I193"/>
    <mergeCell ref="H194:I194"/>
    <mergeCell ref="H195:I195"/>
    <mergeCell ref="H196:I196"/>
    <mergeCell ref="H197:I197"/>
    <mergeCell ref="H198:I198"/>
    <mergeCell ref="H181:I181"/>
    <mergeCell ref="H182:I182"/>
    <mergeCell ref="H183:I183"/>
    <mergeCell ref="H184:I184"/>
    <mergeCell ref="H185:I185"/>
    <mergeCell ref="H186:I186"/>
    <mergeCell ref="H187:I187"/>
    <mergeCell ref="H188:I188"/>
    <mergeCell ref="H189:I189"/>
    <mergeCell ref="H172:I172"/>
    <mergeCell ref="H173:I173"/>
    <mergeCell ref="H174:I174"/>
    <mergeCell ref="H175:I175"/>
    <mergeCell ref="H176:I176"/>
    <mergeCell ref="H177:I177"/>
    <mergeCell ref="H178:I178"/>
    <mergeCell ref="H179:I179"/>
    <mergeCell ref="H180:I180"/>
    <mergeCell ref="H163:I163"/>
    <mergeCell ref="H164:I164"/>
    <mergeCell ref="H165:I165"/>
    <mergeCell ref="H166:I166"/>
    <mergeCell ref="H167:I167"/>
    <mergeCell ref="H168:I168"/>
    <mergeCell ref="H169:I169"/>
    <mergeCell ref="H170:I170"/>
    <mergeCell ref="H171:I171"/>
    <mergeCell ref="H154:I154"/>
    <mergeCell ref="H155:I155"/>
    <mergeCell ref="H156:I156"/>
    <mergeCell ref="H157:I157"/>
    <mergeCell ref="H158:I158"/>
    <mergeCell ref="H159:I159"/>
    <mergeCell ref="H160:I160"/>
    <mergeCell ref="H161:I161"/>
    <mergeCell ref="H162:I162"/>
    <mergeCell ref="H145:I145"/>
    <mergeCell ref="H146:I146"/>
    <mergeCell ref="H147:I147"/>
    <mergeCell ref="H148:I148"/>
    <mergeCell ref="H149:I149"/>
    <mergeCell ref="H150:I150"/>
    <mergeCell ref="H151:I151"/>
    <mergeCell ref="H152:I152"/>
    <mergeCell ref="H153:I153"/>
    <mergeCell ref="H136:I136"/>
    <mergeCell ref="H137:I137"/>
    <mergeCell ref="H138:I138"/>
    <mergeCell ref="H139:I139"/>
    <mergeCell ref="H140:I140"/>
    <mergeCell ref="H141:I141"/>
    <mergeCell ref="H142:I142"/>
    <mergeCell ref="H143:I143"/>
    <mergeCell ref="H144:I144"/>
    <mergeCell ref="H127:I127"/>
    <mergeCell ref="H128:I128"/>
    <mergeCell ref="H129:I129"/>
    <mergeCell ref="H130:I130"/>
    <mergeCell ref="H131:I131"/>
    <mergeCell ref="H132:I132"/>
    <mergeCell ref="H133:I133"/>
    <mergeCell ref="H134:I134"/>
    <mergeCell ref="H135:I135"/>
    <mergeCell ref="C12:D12"/>
    <mergeCell ref="C13:D13"/>
    <mergeCell ref="F5:H5"/>
    <mergeCell ref="F6:H6"/>
    <mergeCell ref="F7:H7"/>
    <mergeCell ref="F8:H8"/>
    <mergeCell ref="F11:H11"/>
    <mergeCell ref="F12:H12"/>
    <mergeCell ref="F13:H13"/>
    <mergeCell ref="A222:F222"/>
    <mergeCell ref="E30:F30"/>
    <mergeCell ref="L30:M30"/>
    <mergeCell ref="D32:E32"/>
    <mergeCell ref="H32:I32"/>
    <mergeCell ref="H33:I33"/>
    <mergeCell ref="H44:I44"/>
    <mergeCell ref="H125:I125"/>
    <mergeCell ref="H126:I126"/>
    <mergeCell ref="H220:I220"/>
    <mergeCell ref="H221:I221"/>
    <mergeCell ref="H34:I34"/>
    <mergeCell ref="H35:I35"/>
    <mergeCell ref="H36:I36"/>
    <mergeCell ref="H37:I37"/>
    <mergeCell ref="H38:I38"/>
    <mergeCell ref="H39:I39"/>
    <mergeCell ref="H40:I40"/>
    <mergeCell ref="H41:I41"/>
    <mergeCell ref="H42:I42"/>
    <mergeCell ref="H43:I43"/>
    <mergeCell ref="H45:I45"/>
    <mergeCell ref="H46:I46"/>
    <mergeCell ref="H47:I47"/>
    <mergeCell ref="A11:B11"/>
    <mergeCell ref="A7:B7"/>
    <mergeCell ref="A8:B9"/>
    <mergeCell ref="C1:D1"/>
    <mergeCell ref="A1:B1"/>
    <mergeCell ref="A4:B4"/>
    <mergeCell ref="A5:B5"/>
    <mergeCell ref="A6:B6"/>
    <mergeCell ref="E1:H1"/>
    <mergeCell ref="F4:H4"/>
    <mergeCell ref="C4:D4"/>
    <mergeCell ref="C5:D5"/>
    <mergeCell ref="C6:D6"/>
    <mergeCell ref="C7:D7"/>
    <mergeCell ref="C8:D8"/>
    <mergeCell ref="C11:D11"/>
    <mergeCell ref="H48:I48"/>
    <mergeCell ref="H49:I49"/>
    <mergeCell ref="H50:I50"/>
    <mergeCell ref="H51:I51"/>
    <mergeCell ref="H52:I52"/>
    <mergeCell ref="H53:I53"/>
    <mergeCell ref="H54:I54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66:I66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H77:I77"/>
    <mergeCell ref="H78:I78"/>
    <mergeCell ref="H79:I79"/>
    <mergeCell ref="H80:I80"/>
    <mergeCell ref="H81:I81"/>
    <mergeCell ref="H82:I82"/>
    <mergeCell ref="H83:I83"/>
    <mergeCell ref="H84:I84"/>
    <mergeCell ref="H85:I85"/>
    <mergeCell ref="H86:I86"/>
    <mergeCell ref="H87:I87"/>
    <mergeCell ref="H88:I88"/>
    <mergeCell ref="H89:I89"/>
    <mergeCell ref="H90:I90"/>
    <mergeCell ref="H91:I91"/>
    <mergeCell ref="H92:I92"/>
    <mergeCell ref="H93:I93"/>
    <mergeCell ref="H94:I94"/>
    <mergeCell ref="H95:I95"/>
    <mergeCell ref="H96:I96"/>
    <mergeCell ref="H97:I97"/>
    <mergeCell ref="H98:I98"/>
    <mergeCell ref="H99:I99"/>
    <mergeCell ref="H100:I100"/>
    <mergeCell ref="H101:I101"/>
    <mergeCell ref="H102:I102"/>
    <mergeCell ref="H103:I103"/>
    <mergeCell ref="H104:I104"/>
    <mergeCell ref="H105:I105"/>
    <mergeCell ref="H106:I106"/>
    <mergeCell ref="H107:I107"/>
    <mergeCell ref="H108:I108"/>
    <mergeCell ref="H109:I109"/>
    <mergeCell ref="H110:I110"/>
    <mergeCell ref="H111:I111"/>
    <mergeCell ref="H112:I112"/>
    <mergeCell ref="H113:I113"/>
    <mergeCell ref="H114:I114"/>
    <mergeCell ref="H115:I115"/>
    <mergeCell ref="H116:I116"/>
    <mergeCell ref="H117:I117"/>
    <mergeCell ref="H123:I123"/>
    <mergeCell ref="H124:I124"/>
    <mergeCell ref="H118:I118"/>
    <mergeCell ref="H119:I119"/>
    <mergeCell ref="H120:I120"/>
    <mergeCell ref="H121:I121"/>
    <mergeCell ref="H122:I122"/>
  </mergeCells>
  <phoneticPr fontId="33" type="noConversion"/>
  <dataValidations disablePrompts="1" count="3">
    <dataValidation allowBlank="1" showInputMessage="1" showErrorMessage="1" promptTitle="Enter current date" prompt="Enter current date in mm/dd/yyyy format" sqref="C1" xr:uid="{00000000-0002-0000-0100-000000000000}"/>
    <dataValidation type="list" allowBlank="1" showInputMessage="1" showErrorMessage="1" promptTitle="Select form type" prompt="Select if order or quote" sqref="A1:B1" xr:uid="{00000000-0002-0000-0100-000001000000}">
      <formula1>"Order Date:, Quote Date:"</formula1>
    </dataValidation>
    <dataValidation type="list" allowBlank="1" showInputMessage="1" showErrorMessage="1" prompt="Select if bill to or ship to phone number" sqref="E6" xr:uid="{00000000-0002-0000-0100-000002000000}">
      <formula1>"Bill To Phone:, Ship To Phone:"</formula1>
    </dataValidation>
  </dataValidations>
  <printOptions horizontalCentered="1"/>
  <pageMargins left="0.25" right="0.25" top="0.95" bottom="0.75" header="0.3" footer="0.3"/>
  <pageSetup scale="56" fitToHeight="0" orientation="portrait" horizontalDpi="4294967292" r:id="rId1"/>
  <headerFooter>
    <oddHeader>&amp;L&amp;G&amp;C&amp;"-,Bold"&amp;36&amp;K002060Order/Quote Form&amp;"-,Regular"&amp;11&amp;K01+000
&amp;R&amp;G</oddHeader>
    <oddFooter>&amp;L&amp;8V06032014&amp;CCopyright 2014
All rights reserved
For Tigre-ADS USA customer and rep use only&amp;R&amp;P</oddFoot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376CE-614B-4964-B5A7-A2E90A668F65}">
  <sheetPr>
    <tabColor theme="0"/>
    <pageSetUpPr fitToPage="1"/>
  </sheetPr>
  <dimension ref="A1:W302"/>
  <sheetViews>
    <sheetView showGridLines="0" zoomScaleNormal="100" workbookViewId="0">
      <pane xSplit="6" ySplit="7" topLeftCell="G154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/>
  <cols>
    <col min="1" max="1" width="3.42578125" style="104" customWidth="1"/>
    <col min="2" max="3" width="8.7109375" style="17" customWidth="1"/>
    <col min="4" max="5" width="12.7109375" style="20" customWidth="1"/>
    <col min="6" max="6" width="46" style="217" customWidth="1"/>
    <col min="7" max="7" width="8.85546875" style="20" customWidth="1"/>
    <col min="8" max="8" width="8.28515625" style="20" customWidth="1"/>
    <col min="9" max="9" width="23.140625" style="240" bestFit="1" customWidth="1"/>
    <col min="10" max="10" width="7.7109375" style="20" customWidth="1"/>
    <col min="11" max="11" width="7.7109375" style="25" customWidth="1"/>
    <col min="12" max="12" width="10.42578125" style="237" customWidth="1"/>
    <col min="13" max="13" width="10.42578125" style="20" customWidth="1"/>
    <col min="14" max="14" width="1.42578125" style="20" customWidth="1"/>
    <col min="15" max="15" width="10.7109375" style="25" customWidth="1"/>
    <col min="16" max="16" width="2.28515625" style="505" customWidth="1"/>
    <col min="17" max="17" width="14.42578125" style="240" bestFit="1" customWidth="1"/>
    <col min="18" max="18" width="12.28515625" style="240" customWidth="1"/>
    <col min="19" max="21" width="14.42578125" style="240" bestFit="1" customWidth="1"/>
    <col min="22" max="23" width="10.7109375" style="25" customWidth="1"/>
    <col min="24" max="16384" width="9.140625" style="17"/>
  </cols>
  <sheetData>
    <row r="1" spans="1:23" ht="18.75">
      <c r="F1" s="173" t="s">
        <v>36</v>
      </c>
      <c r="H1" s="236"/>
      <c r="I1" s="236"/>
      <c r="J1" s="236"/>
      <c r="Q1" s="236"/>
      <c r="R1" s="236"/>
      <c r="S1" s="236"/>
      <c r="T1" s="236"/>
      <c r="U1" s="236"/>
    </row>
    <row r="2" spans="1:23" ht="15.75">
      <c r="D2" s="238"/>
      <c r="E2" s="239"/>
      <c r="L2" s="628" t="s">
        <v>59</v>
      </c>
      <c r="M2" s="628"/>
    </row>
    <row r="3" spans="1:23">
      <c r="F3" s="436" t="s">
        <v>3393</v>
      </c>
      <c r="G3" s="4"/>
      <c r="H3" s="4"/>
      <c r="J3" s="240"/>
      <c r="L3" s="628"/>
      <c r="M3" s="628"/>
    </row>
    <row r="4" spans="1:23">
      <c r="E4" s="163" t="s">
        <v>3028</v>
      </c>
      <c r="F4" s="440" t="s">
        <v>3394</v>
      </c>
      <c r="G4" s="4"/>
      <c r="H4" s="4"/>
      <c r="J4" s="240"/>
      <c r="M4" s="17"/>
    </row>
    <row r="5" spans="1:23">
      <c r="F5" s="438" t="s">
        <v>329</v>
      </c>
      <c r="G5" s="4"/>
      <c r="H5" s="4"/>
      <c r="J5" s="240"/>
      <c r="M5" s="17"/>
    </row>
    <row r="6" spans="1:23">
      <c r="L6" s="215"/>
      <c r="M6" s="17"/>
      <c r="S6" s="629" t="s">
        <v>64</v>
      </c>
      <c r="T6" s="629"/>
      <c r="U6" s="629"/>
    </row>
    <row r="7" spans="1:23" ht="45">
      <c r="B7" s="149"/>
      <c r="C7" s="149"/>
      <c r="D7" s="149" t="s">
        <v>3029</v>
      </c>
      <c r="E7" s="149" t="s">
        <v>49</v>
      </c>
      <c r="F7" s="149" t="s">
        <v>2541</v>
      </c>
      <c r="G7" s="149" t="s">
        <v>3030</v>
      </c>
      <c r="H7" s="149" t="s">
        <v>3031</v>
      </c>
      <c r="I7" s="241" t="s">
        <v>2731</v>
      </c>
      <c r="J7" s="149" t="s">
        <v>66</v>
      </c>
      <c r="K7" s="176" t="s">
        <v>51</v>
      </c>
      <c r="L7" s="176" t="s">
        <v>55</v>
      </c>
      <c r="M7" s="177" t="s">
        <v>52</v>
      </c>
      <c r="N7" s="178"/>
      <c r="O7" s="176" t="s">
        <v>3032</v>
      </c>
      <c r="Q7" s="241" t="s">
        <v>68</v>
      </c>
      <c r="R7" s="241" t="s">
        <v>69</v>
      </c>
      <c r="S7" s="241" t="s">
        <v>70</v>
      </c>
      <c r="T7" s="241" t="s">
        <v>71</v>
      </c>
      <c r="U7" s="241" t="s">
        <v>72</v>
      </c>
      <c r="V7" s="176" t="s">
        <v>73</v>
      </c>
      <c r="W7" s="176" t="s">
        <v>3033</v>
      </c>
    </row>
    <row r="8" spans="1:23" ht="19.5" thickBot="1">
      <c r="B8" s="242" t="s">
        <v>3034</v>
      </c>
      <c r="C8" s="44"/>
      <c r="D8" s="44"/>
      <c r="E8" s="44"/>
      <c r="F8" s="44"/>
      <c r="G8" s="44"/>
      <c r="H8" s="44"/>
      <c r="I8" s="244"/>
      <c r="J8" s="44"/>
      <c r="K8" s="245"/>
      <c r="L8" s="245"/>
      <c r="M8" s="246"/>
      <c r="N8" s="243"/>
      <c r="O8" s="245"/>
      <c r="P8" s="17"/>
      <c r="Q8" s="244"/>
      <c r="R8" s="244"/>
      <c r="S8" s="244"/>
      <c r="T8" s="244"/>
      <c r="U8" s="244"/>
      <c r="V8" s="245"/>
      <c r="W8" s="245"/>
    </row>
    <row r="9" spans="1:23" ht="16.5" thickBot="1">
      <c r="B9" s="166" t="s">
        <v>3395</v>
      </c>
      <c r="C9" s="167"/>
      <c r="D9" s="167"/>
      <c r="E9" s="167"/>
      <c r="F9" s="167"/>
      <c r="G9" s="167"/>
      <c r="H9" s="167"/>
      <c r="I9" s="167"/>
      <c r="J9" s="167"/>
      <c r="K9" s="167"/>
      <c r="L9" s="228"/>
      <c r="M9" s="167"/>
      <c r="N9" s="167"/>
      <c r="O9" s="493"/>
      <c r="P9" s="17"/>
      <c r="Q9" s="492"/>
      <c r="R9" s="160"/>
      <c r="S9" s="160"/>
      <c r="T9" s="160"/>
      <c r="U9" s="160"/>
      <c r="V9" s="167"/>
      <c r="W9" s="493"/>
    </row>
    <row r="10" spans="1:23" ht="15.75" thickBot="1">
      <c r="A10" s="104" t="str">
        <f>IF(M10&gt;0,COUNT($A$9:A9)+COUNT('DWV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" s="637"/>
      <c r="C10" s="638"/>
      <c r="D10" s="182" t="s">
        <v>3396</v>
      </c>
      <c r="E10" s="150">
        <v>100025655</v>
      </c>
      <c r="F10" s="183" t="s">
        <v>3397</v>
      </c>
      <c r="G10" s="150" t="s">
        <v>2803</v>
      </c>
      <c r="H10" s="150" t="s">
        <v>3037</v>
      </c>
      <c r="I10" s="247" t="s">
        <v>3038</v>
      </c>
      <c r="J10" s="150">
        <v>1</v>
      </c>
      <c r="K10" s="248">
        <f>VLOOKUP('ValveBox Components'!E10,'All Products'!D:H,5,FALSE)</f>
        <v>5.58</v>
      </c>
      <c r="L10" s="213">
        <f>ROUND(K10*Order_Quote!$L$19,2)</f>
        <v>27.9</v>
      </c>
      <c r="M10" s="191"/>
      <c r="N10" s="487"/>
      <c r="O10" s="495">
        <f t="shared" ref="O10:O24" si="0">M10/J10</f>
        <v>0</v>
      </c>
      <c r="Q10" s="494" t="s">
        <v>359</v>
      </c>
      <c r="R10" s="247" t="s">
        <v>102</v>
      </c>
      <c r="S10" s="324" t="s">
        <v>3398</v>
      </c>
      <c r="T10" s="324">
        <v>0</v>
      </c>
      <c r="U10" s="324">
        <v>0</v>
      </c>
      <c r="V10" s="356">
        <v>0.30499999999999999</v>
      </c>
      <c r="W10" s="495">
        <v>0.02</v>
      </c>
    </row>
    <row r="11" spans="1:23" ht="15.75" thickBot="1">
      <c r="A11" s="104" t="str">
        <f>IF(M11&gt;0,COUNT($A$9:A10)+COUNT('DWV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" s="639"/>
      <c r="C11" s="580"/>
      <c r="D11" s="158" t="s">
        <v>3399</v>
      </c>
      <c r="E11" s="106">
        <v>100025663</v>
      </c>
      <c r="F11" s="159" t="s">
        <v>3400</v>
      </c>
      <c r="G11" s="106" t="s">
        <v>2803</v>
      </c>
      <c r="H11" s="106" t="s">
        <v>2929</v>
      </c>
      <c r="I11" s="249" t="s">
        <v>3038</v>
      </c>
      <c r="J11" s="106">
        <v>1</v>
      </c>
      <c r="K11" s="248">
        <f>VLOOKUP('ValveBox Components'!E11,'All Products'!D:H,5,FALSE)</f>
        <v>5.58</v>
      </c>
      <c r="L11" s="205">
        <f>ROUND(K11*Order_Quote!$L$19,2)</f>
        <v>27.9</v>
      </c>
      <c r="M11" s="78"/>
      <c r="N11" s="116"/>
      <c r="O11" s="497">
        <f t="shared" si="0"/>
        <v>0</v>
      </c>
      <c r="Q11" s="496" t="s">
        <v>76</v>
      </c>
      <c r="R11" s="249" t="s">
        <v>102</v>
      </c>
      <c r="S11" s="325" t="s">
        <v>3401</v>
      </c>
      <c r="T11" s="325">
        <v>0</v>
      </c>
      <c r="U11" s="330">
        <v>0</v>
      </c>
      <c r="V11" s="357">
        <v>0.30499999999999999</v>
      </c>
      <c r="W11" s="497">
        <v>0.02</v>
      </c>
    </row>
    <row r="12" spans="1:23" ht="15.75" thickBot="1">
      <c r="A12" s="104" t="str">
        <f>IF(M12&gt;0,COUNT($A$9:A11)+COUNT('DWV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" s="639"/>
      <c r="C12" s="580"/>
      <c r="D12" s="158" t="s">
        <v>3402</v>
      </c>
      <c r="E12" s="106">
        <v>100025535</v>
      </c>
      <c r="F12" s="159" t="s">
        <v>3403</v>
      </c>
      <c r="G12" s="106" t="s">
        <v>2803</v>
      </c>
      <c r="H12" s="106" t="s">
        <v>3161</v>
      </c>
      <c r="I12" s="249" t="s">
        <v>3038</v>
      </c>
      <c r="J12" s="106">
        <v>1</v>
      </c>
      <c r="K12" s="248">
        <f>VLOOKUP('ValveBox Components'!E12,'All Products'!D:H,5,FALSE)</f>
        <v>5.58</v>
      </c>
      <c r="L12" s="205">
        <f>ROUND(K12*Order_Quote!$L$19,2)</f>
        <v>27.9</v>
      </c>
      <c r="M12" s="78"/>
      <c r="N12" s="116"/>
      <c r="O12" s="497">
        <f t="shared" si="0"/>
        <v>0</v>
      </c>
      <c r="Q12" s="496" t="s">
        <v>359</v>
      </c>
      <c r="R12" s="249" t="s">
        <v>102</v>
      </c>
      <c r="S12" s="325" t="s">
        <v>3404</v>
      </c>
      <c r="T12" s="325">
        <v>0</v>
      </c>
      <c r="U12" s="330">
        <v>0</v>
      </c>
      <c r="V12" s="357">
        <v>0.30499999999999999</v>
      </c>
      <c r="W12" s="497">
        <v>0.02</v>
      </c>
    </row>
    <row r="13" spans="1:23" ht="15.75" thickBot="1">
      <c r="A13" s="104" t="str">
        <f>IF(M13&gt;0,COUNT($A$9:A12)+COUNT('DWV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" s="639"/>
      <c r="C13" s="580"/>
      <c r="D13" s="158" t="s">
        <v>3405</v>
      </c>
      <c r="E13" s="106">
        <v>100025661</v>
      </c>
      <c r="F13" s="159" t="s">
        <v>3406</v>
      </c>
      <c r="G13" s="106" t="s">
        <v>2803</v>
      </c>
      <c r="H13" s="106" t="s">
        <v>2941</v>
      </c>
      <c r="I13" s="249" t="s">
        <v>3048</v>
      </c>
      <c r="J13" s="106">
        <v>1</v>
      </c>
      <c r="K13" s="248">
        <f>VLOOKUP('ValveBox Components'!E13,'All Products'!D:H,5,FALSE)</f>
        <v>5.58</v>
      </c>
      <c r="L13" s="205">
        <f>ROUND(K13*Order_Quote!$L$19,2)</f>
        <v>27.9</v>
      </c>
      <c r="M13" s="78"/>
      <c r="N13" s="116"/>
      <c r="O13" s="497">
        <f t="shared" si="0"/>
        <v>0</v>
      </c>
      <c r="Q13" s="496" t="s">
        <v>359</v>
      </c>
      <c r="R13" s="249" t="s">
        <v>102</v>
      </c>
      <c r="S13" s="325" t="s">
        <v>3407</v>
      </c>
      <c r="T13" s="325">
        <v>0</v>
      </c>
      <c r="U13" s="330">
        <v>0</v>
      </c>
      <c r="V13" s="357">
        <v>0.30499999999999999</v>
      </c>
      <c r="W13" s="497">
        <v>0.02</v>
      </c>
    </row>
    <row r="14" spans="1:23" ht="15.75" thickBot="1">
      <c r="A14" s="104" t="str">
        <f>IF(M14&gt;0,COUNT($A$9:A13)+COUNT('DWV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" s="639"/>
      <c r="C14" s="580"/>
      <c r="D14" s="158" t="s">
        <v>3408</v>
      </c>
      <c r="E14" s="106">
        <v>100025518</v>
      </c>
      <c r="F14" s="159" t="s">
        <v>3409</v>
      </c>
      <c r="G14" s="106" t="s">
        <v>2803</v>
      </c>
      <c r="H14" s="106" t="s">
        <v>3037</v>
      </c>
      <c r="I14" s="249" t="s">
        <v>3052</v>
      </c>
      <c r="J14" s="106">
        <v>1</v>
      </c>
      <c r="K14" s="248">
        <f>VLOOKUP('ValveBox Components'!E14,'All Products'!D:H,5,FALSE)</f>
        <v>5.58</v>
      </c>
      <c r="L14" s="205">
        <f>ROUND(K14*Order_Quote!$L$19,2)</f>
        <v>27.9</v>
      </c>
      <c r="M14" s="78"/>
      <c r="N14" s="116"/>
      <c r="O14" s="497">
        <f t="shared" si="0"/>
        <v>0</v>
      </c>
      <c r="Q14" s="496" t="s">
        <v>76</v>
      </c>
      <c r="R14" s="249" t="s">
        <v>102</v>
      </c>
      <c r="S14" s="325" t="s">
        <v>3410</v>
      </c>
      <c r="T14" s="325">
        <v>0</v>
      </c>
      <c r="U14" s="330">
        <v>0</v>
      </c>
      <c r="V14" s="357">
        <v>0.30499999999999999</v>
      </c>
      <c r="W14" s="497">
        <v>0.02</v>
      </c>
    </row>
    <row r="15" spans="1:23" ht="15.75" thickBot="1">
      <c r="A15" s="104" t="str">
        <f>IF(M15&gt;0,COUNT($A$9:A14)+COUNT('DWV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" s="639"/>
      <c r="C15" s="580"/>
      <c r="D15" s="158" t="s">
        <v>3411</v>
      </c>
      <c r="E15" s="106">
        <v>100025532</v>
      </c>
      <c r="F15" s="159" t="s">
        <v>3412</v>
      </c>
      <c r="G15" s="106" t="s">
        <v>2803</v>
      </c>
      <c r="H15" s="106" t="s">
        <v>2929</v>
      </c>
      <c r="I15" s="249" t="s">
        <v>3052</v>
      </c>
      <c r="J15" s="106">
        <v>1</v>
      </c>
      <c r="K15" s="248">
        <f>VLOOKUP('ValveBox Components'!E15,'All Products'!D:H,5,FALSE)</f>
        <v>5.58</v>
      </c>
      <c r="L15" s="205">
        <f>ROUND(K15*Order_Quote!$L$19,2)</f>
        <v>27.9</v>
      </c>
      <c r="M15" s="78"/>
      <c r="N15" s="116"/>
      <c r="O15" s="497">
        <f t="shared" si="0"/>
        <v>0</v>
      </c>
      <c r="Q15" s="496" t="s">
        <v>359</v>
      </c>
      <c r="R15" s="249" t="s">
        <v>102</v>
      </c>
      <c r="S15" s="325" t="s">
        <v>3413</v>
      </c>
      <c r="T15" s="325">
        <v>0</v>
      </c>
      <c r="U15" s="330">
        <v>0</v>
      </c>
      <c r="V15" s="357">
        <v>0.30499999999999999</v>
      </c>
      <c r="W15" s="497">
        <v>0.02</v>
      </c>
    </row>
    <row r="16" spans="1:23" ht="15.75" thickBot="1">
      <c r="A16" s="104" t="str">
        <f>IF(M16&gt;0,COUNT($A$9:A15)+COUNT('DWV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" s="639"/>
      <c r="C16" s="580"/>
      <c r="D16" s="158" t="s">
        <v>3414</v>
      </c>
      <c r="E16" s="106">
        <v>100025521</v>
      </c>
      <c r="F16" s="159" t="s">
        <v>3415</v>
      </c>
      <c r="G16" s="106" t="s">
        <v>2803</v>
      </c>
      <c r="H16" s="106" t="s">
        <v>3037</v>
      </c>
      <c r="I16" s="249" t="s">
        <v>3059</v>
      </c>
      <c r="J16" s="106">
        <v>1</v>
      </c>
      <c r="K16" s="248">
        <f>VLOOKUP('ValveBox Components'!E16,'All Products'!D:H,5,FALSE)</f>
        <v>5.58</v>
      </c>
      <c r="L16" s="205">
        <f>ROUND(K16*Order_Quote!$L$19,2)</f>
        <v>27.9</v>
      </c>
      <c r="M16" s="78"/>
      <c r="N16" s="116"/>
      <c r="O16" s="497">
        <f t="shared" si="0"/>
        <v>0</v>
      </c>
      <c r="Q16" s="496" t="s">
        <v>359</v>
      </c>
      <c r="R16" s="249" t="s">
        <v>102</v>
      </c>
      <c r="S16" s="325" t="s">
        <v>3416</v>
      </c>
      <c r="T16" s="325">
        <v>0</v>
      </c>
      <c r="U16" s="330">
        <v>0</v>
      </c>
      <c r="V16" s="357">
        <v>0.30499999999999999</v>
      </c>
      <c r="W16" s="497">
        <v>0.02</v>
      </c>
    </row>
    <row r="17" spans="1:23" ht="15.75" thickBot="1">
      <c r="A17" s="104" t="str">
        <f>IF(M17&gt;0,COUNT($A$9:A16)+COUNT('DWV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7" s="639"/>
      <c r="C17" s="580"/>
      <c r="D17" s="158" t="s">
        <v>3417</v>
      </c>
      <c r="E17" s="106">
        <v>100025666</v>
      </c>
      <c r="F17" s="159" t="s">
        <v>3418</v>
      </c>
      <c r="G17" s="106" t="s">
        <v>2803</v>
      </c>
      <c r="H17" s="106" t="s">
        <v>2929</v>
      </c>
      <c r="I17" s="249" t="s">
        <v>3059</v>
      </c>
      <c r="J17" s="106">
        <v>1</v>
      </c>
      <c r="K17" s="248">
        <f>VLOOKUP('ValveBox Components'!E17,'All Products'!D:H,5,FALSE)</f>
        <v>5.58</v>
      </c>
      <c r="L17" s="205">
        <f>ROUND(K17*Order_Quote!$L$19,2)</f>
        <v>27.9</v>
      </c>
      <c r="M17" s="78"/>
      <c r="N17" s="116"/>
      <c r="O17" s="497">
        <f t="shared" si="0"/>
        <v>0</v>
      </c>
      <c r="Q17" s="496" t="s">
        <v>359</v>
      </c>
      <c r="R17" s="249" t="s">
        <v>102</v>
      </c>
      <c r="S17" s="325" t="s">
        <v>3419</v>
      </c>
      <c r="T17" s="325">
        <v>0</v>
      </c>
      <c r="U17" s="330">
        <v>0</v>
      </c>
      <c r="V17" s="357">
        <v>0.30499999999999999</v>
      </c>
      <c r="W17" s="497">
        <v>0.02</v>
      </c>
    </row>
    <row r="18" spans="1:23" ht="15.75" thickBot="1">
      <c r="A18" s="104" t="str">
        <f>IF(M18&gt;0,COUNT($A$9:A17)+COUNT('DWV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8" s="639"/>
      <c r="C18" s="580"/>
      <c r="D18" s="158" t="s">
        <v>3420</v>
      </c>
      <c r="E18" s="106">
        <v>100025519</v>
      </c>
      <c r="F18" s="159" t="s">
        <v>3421</v>
      </c>
      <c r="G18" s="106" t="s">
        <v>2803</v>
      </c>
      <c r="H18" s="106" t="s">
        <v>3037</v>
      </c>
      <c r="I18" s="249" t="s">
        <v>3422</v>
      </c>
      <c r="J18" s="106">
        <v>1</v>
      </c>
      <c r="K18" s="248">
        <f>VLOOKUP('ValveBox Components'!E18,'All Products'!D:H,5,FALSE)</f>
        <v>5.58</v>
      </c>
      <c r="L18" s="205">
        <f>ROUND(K18*Order_Quote!$L$19,2)</f>
        <v>27.9</v>
      </c>
      <c r="M18" s="78"/>
      <c r="N18" s="116"/>
      <c r="O18" s="497">
        <f t="shared" si="0"/>
        <v>0</v>
      </c>
      <c r="Q18" s="496" t="s">
        <v>359</v>
      </c>
      <c r="R18" s="249" t="s">
        <v>102</v>
      </c>
      <c r="S18" s="325" t="s">
        <v>3423</v>
      </c>
      <c r="T18" s="325">
        <v>0</v>
      </c>
      <c r="U18" s="330">
        <v>0</v>
      </c>
      <c r="V18" s="357">
        <v>0.30499999999999999</v>
      </c>
      <c r="W18" s="497">
        <v>0.02</v>
      </c>
    </row>
    <row r="19" spans="1:23" ht="15.75" thickBot="1">
      <c r="A19" s="104" t="str">
        <f>IF(M19&gt;0,COUNT($A$9:A18)+COUNT('DWV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9" s="639"/>
      <c r="C19" s="580"/>
      <c r="D19" s="158" t="s">
        <v>3424</v>
      </c>
      <c r="E19" s="106">
        <v>100025512</v>
      </c>
      <c r="F19" s="159" t="s">
        <v>3425</v>
      </c>
      <c r="G19" s="106" t="s">
        <v>2803</v>
      </c>
      <c r="H19" s="106" t="s">
        <v>3037</v>
      </c>
      <c r="I19" s="249" t="s">
        <v>3063</v>
      </c>
      <c r="J19" s="106">
        <v>1</v>
      </c>
      <c r="K19" s="248">
        <f>VLOOKUP('ValveBox Components'!E19,'All Products'!D:H,5,FALSE)</f>
        <v>5.58</v>
      </c>
      <c r="L19" s="205">
        <f>ROUND(K19*Order_Quote!$L$19,2)</f>
        <v>27.9</v>
      </c>
      <c r="M19" s="78"/>
      <c r="N19" s="116"/>
      <c r="O19" s="497">
        <f t="shared" si="0"/>
        <v>0</v>
      </c>
      <c r="Q19" s="496" t="s">
        <v>359</v>
      </c>
      <c r="R19" s="249" t="s">
        <v>102</v>
      </c>
      <c r="S19" s="325" t="s">
        <v>3426</v>
      </c>
      <c r="T19" s="325">
        <v>0</v>
      </c>
      <c r="U19" s="330">
        <v>0</v>
      </c>
      <c r="V19" s="357">
        <v>0.30499999999999999</v>
      </c>
      <c r="W19" s="497">
        <v>0.02</v>
      </c>
    </row>
    <row r="20" spans="1:23" ht="15.75" thickBot="1">
      <c r="A20" s="104" t="str">
        <f>IF(M20&gt;0,COUNT($A$9:A19)+COUNT('DWV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0" s="639"/>
      <c r="C20" s="580"/>
      <c r="D20" s="158" t="s">
        <v>3427</v>
      </c>
      <c r="E20" s="106">
        <v>100025664</v>
      </c>
      <c r="F20" s="159" t="s">
        <v>3428</v>
      </c>
      <c r="G20" s="106" t="s">
        <v>2803</v>
      </c>
      <c r="H20" s="106" t="s">
        <v>2929</v>
      </c>
      <c r="I20" s="249" t="s">
        <v>3063</v>
      </c>
      <c r="J20" s="106">
        <v>1</v>
      </c>
      <c r="K20" s="248">
        <f>VLOOKUP('ValveBox Components'!E20,'All Products'!D:H,5,FALSE)</f>
        <v>5.58</v>
      </c>
      <c r="L20" s="205">
        <f>ROUND(K20*Order_Quote!$L$19,2)</f>
        <v>27.9</v>
      </c>
      <c r="M20" s="78"/>
      <c r="N20" s="116"/>
      <c r="O20" s="497">
        <f t="shared" si="0"/>
        <v>0</v>
      </c>
      <c r="Q20" s="496" t="s">
        <v>359</v>
      </c>
      <c r="R20" s="249" t="s">
        <v>102</v>
      </c>
      <c r="S20" s="325" t="s">
        <v>3429</v>
      </c>
      <c r="T20" s="325">
        <v>0</v>
      </c>
      <c r="U20" s="330">
        <v>0</v>
      </c>
      <c r="V20" s="357">
        <v>0.30499999999999999</v>
      </c>
      <c r="W20" s="497">
        <v>0.02</v>
      </c>
    </row>
    <row r="21" spans="1:23" ht="15.75" thickBot="1">
      <c r="A21" s="104" t="str">
        <f>IF(M21&gt;0,COUNT($A$9:A20)+COUNT('DWV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1" s="639"/>
      <c r="C21" s="580"/>
      <c r="D21" s="158" t="s">
        <v>3430</v>
      </c>
      <c r="E21" s="106">
        <v>100025516</v>
      </c>
      <c r="F21" s="159" t="s">
        <v>3431</v>
      </c>
      <c r="G21" s="106" t="s">
        <v>2803</v>
      </c>
      <c r="H21" s="106" t="s">
        <v>3037</v>
      </c>
      <c r="I21" s="249" t="s">
        <v>3083</v>
      </c>
      <c r="J21" s="106">
        <v>1</v>
      </c>
      <c r="K21" s="248">
        <f>VLOOKUP('ValveBox Components'!E21,'All Products'!D:H,5,FALSE)</f>
        <v>5.58</v>
      </c>
      <c r="L21" s="205">
        <f>ROUND(K21*Order_Quote!$L$19,2)</f>
        <v>27.9</v>
      </c>
      <c r="M21" s="78"/>
      <c r="N21" s="116"/>
      <c r="O21" s="497">
        <f t="shared" si="0"/>
        <v>0</v>
      </c>
      <c r="Q21" s="496" t="s">
        <v>359</v>
      </c>
      <c r="R21" s="249" t="s">
        <v>102</v>
      </c>
      <c r="S21" s="325" t="s">
        <v>3432</v>
      </c>
      <c r="T21" s="325">
        <v>0</v>
      </c>
      <c r="U21" s="330">
        <v>0</v>
      </c>
      <c r="V21" s="357">
        <v>0.30499999999999999</v>
      </c>
      <c r="W21" s="497">
        <v>0.02</v>
      </c>
    </row>
    <row r="22" spans="1:23" ht="15.75" thickBot="1">
      <c r="A22" s="104" t="str">
        <f>IF(M22&gt;0,COUNT($A$9:A21)+COUNT('DWV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2" s="639"/>
      <c r="C22" s="580"/>
      <c r="D22" s="158" t="s">
        <v>3433</v>
      </c>
      <c r="E22" s="106">
        <v>100025531</v>
      </c>
      <c r="F22" s="159" t="s">
        <v>3434</v>
      </c>
      <c r="G22" s="106" t="s">
        <v>2803</v>
      </c>
      <c r="H22" s="106" t="s">
        <v>2929</v>
      </c>
      <c r="I22" s="249" t="s">
        <v>3083</v>
      </c>
      <c r="J22" s="106">
        <v>1</v>
      </c>
      <c r="K22" s="248">
        <f>VLOOKUP('ValveBox Components'!E22,'All Products'!D:H,5,FALSE)</f>
        <v>5.58</v>
      </c>
      <c r="L22" s="205">
        <f>ROUND(K22*Order_Quote!$L$19,2)</f>
        <v>27.9</v>
      </c>
      <c r="M22" s="78"/>
      <c r="N22" s="116"/>
      <c r="O22" s="497">
        <f t="shared" si="0"/>
        <v>0</v>
      </c>
      <c r="Q22" s="496" t="s">
        <v>359</v>
      </c>
      <c r="R22" s="249" t="s">
        <v>102</v>
      </c>
      <c r="S22" s="325" t="s">
        <v>3435</v>
      </c>
      <c r="T22" s="325">
        <v>0</v>
      </c>
      <c r="U22" s="330">
        <v>0</v>
      </c>
      <c r="V22" s="357">
        <v>0.30499999999999999</v>
      </c>
      <c r="W22" s="497">
        <v>0.02</v>
      </c>
    </row>
    <row r="23" spans="1:23" ht="15.75" thickBot="1">
      <c r="A23" s="104" t="str">
        <f>IF(M23&gt;0,COUNT($A$9:A22)+COUNT('DWV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3" s="639"/>
      <c r="C23" s="580"/>
      <c r="D23" s="158" t="s">
        <v>3436</v>
      </c>
      <c r="E23" s="106">
        <v>100025520</v>
      </c>
      <c r="F23" s="159" t="s">
        <v>3437</v>
      </c>
      <c r="G23" s="106" t="s">
        <v>2803</v>
      </c>
      <c r="H23" s="106" t="s">
        <v>3037</v>
      </c>
      <c r="I23" s="249" t="s">
        <v>3144</v>
      </c>
      <c r="J23" s="106">
        <v>1</v>
      </c>
      <c r="K23" s="248">
        <f>VLOOKUP('ValveBox Components'!E23,'All Products'!D:H,5,FALSE)</f>
        <v>5.58</v>
      </c>
      <c r="L23" s="205">
        <f>ROUND(K23*Order_Quote!$L$19,2)</f>
        <v>27.9</v>
      </c>
      <c r="M23" s="78"/>
      <c r="N23" s="116"/>
      <c r="O23" s="497">
        <f t="shared" si="0"/>
        <v>0</v>
      </c>
      <c r="Q23" s="496" t="s">
        <v>359</v>
      </c>
      <c r="R23" s="249" t="s">
        <v>102</v>
      </c>
      <c r="S23" s="325" t="s">
        <v>3438</v>
      </c>
      <c r="T23" s="325">
        <v>0</v>
      </c>
      <c r="U23" s="330">
        <v>0</v>
      </c>
      <c r="V23" s="357">
        <v>0.30499999999999999</v>
      </c>
      <c r="W23" s="497">
        <v>0.02</v>
      </c>
    </row>
    <row r="24" spans="1:23" ht="15.75" thickBot="1">
      <c r="A24" s="104" t="str">
        <f>IF(M24&gt;0,COUNT($A$9:A23)+COUNT('DWV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4" s="640"/>
      <c r="C24" s="641"/>
      <c r="D24" s="185" t="s">
        <v>3439</v>
      </c>
      <c r="E24" s="151">
        <v>100025533</v>
      </c>
      <c r="F24" s="186" t="s">
        <v>3440</v>
      </c>
      <c r="G24" s="151" t="s">
        <v>2803</v>
      </c>
      <c r="H24" s="151" t="s">
        <v>2929</v>
      </c>
      <c r="I24" s="250" t="s">
        <v>3144</v>
      </c>
      <c r="J24" s="151">
        <v>1</v>
      </c>
      <c r="K24" s="248">
        <f>VLOOKUP('ValveBox Components'!E24,'All Products'!D:H,5,FALSE)</f>
        <v>5.58</v>
      </c>
      <c r="L24" s="214">
        <f>ROUND(K24*Order_Quote!$L$19,2)</f>
        <v>27.9</v>
      </c>
      <c r="M24" s="187"/>
      <c r="N24" s="488"/>
      <c r="O24" s="499">
        <f t="shared" si="0"/>
        <v>0</v>
      </c>
      <c r="Q24" s="498" t="s">
        <v>359</v>
      </c>
      <c r="R24" s="250" t="s">
        <v>102</v>
      </c>
      <c r="S24" s="326" t="s">
        <v>3441</v>
      </c>
      <c r="T24" s="326">
        <v>0</v>
      </c>
      <c r="U24" s="331">
        <v>0</v>
      </c>
      <c r="V24" s="358">
        <v>0.30499999999999999</v>
      </c>
      <c r="W24" s="499">
        <v>0.02</v>
      </c>
    </row>
    <row r="25" spans="1:23">
      <c r="A25" s="104" t="str">
        <f>IF(M25&gt;0,COUNT($A$9:A24)+COUNT('DWV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5" s="20"/>
      <c r="C25" s="152"/>
      <c r="D25" s="152"/>
      <c r="E25" s="152"/>
      <c r="F25" s="152"/>
      <c r="G25" s="154"/>
      <c r="H25" s="154"/>
      <c r="I25" s="252"/>
      <c r="J25" s="152"/>
      <c r="K25" s="152"/>
      <c r="L25" s="253"/>
      <c r="M25" s="152"/>
      <c r="N25" s="152"/>
      <c r="O25" s="152"/>
      <c r="P25" s="17"/>
      <c r="Q25" s="252"/>
      <c r="R25" s="252"/>
      <c r="S25" s="252"/>
      <c r="T25" s="252"/>
      <c r="U25" s="252"/>
      <c r="V25" s="152"/>
      <c r="W25" s="152"/>
    </row>
    <row r="26" spans="1:23" ht="19.5" thickBot="1">
      <c r="A26" s="104" t="str">
        <f>IF(M26&gt;0,COUNT($A$9:A25)+COUNT('DWV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6" s="242" t="s">
        <v>3068</v>
      </c>
      <c r="C26" s="152"/>
      <c r="D26" s="152"/>
      <c r="E26" s="152"/>
      <c r="F26" s="152"/>
      <c r="G26" s="154"/>
      <c r="H26" s="154"/>
      <c r="I26" s="252"/>
      <c r="J26" s="152"/>
      <c r="K26" s="152"/>
      <c r="L26" s="253"/>
      <c r="M26" s="152"/>
      <c r="N26" s="152"/>
      <c r="O26" s="152"/>
      <c r="P26" s="17"/>
      <c r="Q26" s="252"/>
      <c r="R26" s="252"/>
      <c r="S26" s="252"/>
      <c r="T26" s="252"/>
      <c r="U26" s="252"/>
      <c r="V26" s="152"/>
      <c r="W26" s="152"/>
    </row>
    <row r="27" spans="1:23" ht="16.5" thickBot="1">
      <c r="A27" s="104" t="str">
        <f>IF(M27&gt;0,COUNT($A$9:A26)+COUNT('DWV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7" s="166" t="s">
        <v>3442</v>
      </c>
      <c r="C27" s="167"/>
      <c r="D27" s="167"/>
      <c r="E27" s="167"/>
      <c r="F27" s="167"/>
      <c r="G27" s="167"/>
      <c r="H27" s="167"/>
      <c r="I27" s="167"/>
      <c r="J27" s="167"/>
      <c r="K27" s="167"/>
      <c r="L27" s="228"/>
      <c r="M27" s="167"/>
      <c r="N27" s="167"/>
      <c r="O27" s="167"/>
      <c r="P27" s="17"/>
      <c r="Q27" s="492"/>
      <c r="R27" s="160"/>
      <c r="S27" s="160"/>
      <c r="T27" s="160"/>
      <c r="U27" s="160"/>
      <c r="V27" s="167"/>
      <c r="W27" s="493"/>
    </row>
    <row r="28" spans="1:23" ht="30" customHeight="1" thickBot="1">
      <c r="A28" s="104" t="str">
        <f>IF(M28&gt;0,COUNT($A$9:A27)+COUNT('DWV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8" s="639"/>
      <c r="C28" s="580"/>
      <c r="D28" s="158" t="s">
        <v>3443</v>
      </c>
      <c r="E28" s="106">
        <v>100025346</v>
      </c>
      <c r="F28" s="159" t="s">
        <v>3444</v>
      </c>
      <c r="G28" s="106" t="s">
        <v>2941</v>
      </c>
      <c r="H28" s="106" t="s">
        <v>2803</v>
      </c>
      <c r="I28" s="249" t="s">
        <v>1205</v>
      </c>
      <c r="J28" s="106">
        <v>240</v>
      </c>
      <c r="K28" s="248">
        <f>VLOOKUP('ValveBox Components'!E28,'All Products'!D:H,5,FALSE)</f>
        <v>26.09</v>
      </c>
      <c r="L28" s="205">
        <f>ROUND(K28*Order_Quote!$L$19,2)</f>
        <v>130.44999999999999</v>
      </c>
      <c r="M28" s="78"/>
      <c r="N28" s="116"/>
      <c r="O28" s="153">
        <f>M28/J28</f>
        <v>0</v>
      </c>
      <c r="Q28" s="496" t="s">
        <v>359</v>
      </c>
      <c r="R28" s="249" t="s">
        <v>102</v>
      </c>
      <c r="S28" s="325" t="s">
        <v>3445</v>
      </c>
      <c r="T28" s="325">
        <v>0</v>
      </c>
      <c r="U28" s="330">
        <v>0</v>
      </c>
      <c r="V28" s="357">
        <v>1.19</v>
      </c>
      <c r="W28" s="497">
        <v>0.05</v>
      </c>
    </row>
    <row r="29" spans="1:23" ht="30" customHeight="1" thickBot="1">
      <c r="A29" s="104" t="str">
        <f>IF(M29&gt;0,COUNT($A$9:A28)+COUNT('DWV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29" s="639"/>
      <c r="C29" s="580"/>
      <c r="D29" s="158" t="s">
        <v>3446</v>
      </c>
      <c r="E29" s="106">
        <v>100025590</v>
      </c>
      <c r="F29" s="159" t="s">
        <v>3447</v>
      </c>
      <c r="G29" s="106" t="s">
        <v>2929</v>
      </c>
      <c r="H29" s="106" t="s">
        <v>2803</v>
      </c>
      <c r="I29" s="249" t="s">
        <v>1205</v>
      </c>
      <c r="J29" s="106">
        <v>240</v>
      </c>
      <c r="K29" s="248">
        <f>VLOOKUP('ValveBox Components'!E29,'All Products'!D:H,5,FALSE)</f>
        <v>26.09</v>
      </c>
      <c r="L29" s="205">
        <f>ROUND(K29*Order_Quote!$L$19,2)</f>
        <v>130.44999999999999</v>
      </c>
      <c r="M29" s="78"/>
      <c r="N29" s="116"/>
      <c r="O29" s="153">
        <f>M29/J29</f>
        <v>0</v>
      </c>
      <c r="Q29" s="496" t="s">
        <v>359</v>
      </c>
      <c r="R29" s="249" t="s">
        <v>102</v>
      </c>
      <c r="S29" s="325" t="s">
        <v>3448</v>
      </c>
      <c r="T29" s="325">
        <v>0</v>
      </c>
      <c r="U29" s="330">
        <v>0</v>
      </c>
      <c r="V29" s="357">
        <v>1.19</v>
      </c>
      <c r="W29" s="497">
        <v>0.05</v>
      </c>
    </row>
    <row r="30" spans="1:23" ht="16.5" thickBot="1">
      <c r="A30" s="104" t="str">
        <f>IF(M30&gt;0,COUNT($A$9:A29)+COUNT('DWV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0" s="166" t="s">
        <v>3449</v>
      </c>
      <c r="C30" s="167"/>
      <c r="D30" s="167"/>
      <c r="E30" s="167"/>
      <c r="F30" s="167"/>
      <c r="G30" s="167"/>
      <c r="H30" s="167"/>
      <c r="I30" s="167"/>
      <c r="J30" s="167"/>
      <c r="K30" s="167"/>
      <c r="L30" s="228"/>
      <c r="M30" s="167"/>
      <c r="N30" s="167"/>
      <c r="O30" s="167"/>
      <c r="P30" s="17"/>
      <c r="Q30" s="492"/>
      <c r="R30" s="160"/>
      <c r="S30" s="160"/>
      <c r="T30" s="160"/>
      <c r="U30" s="160"/>
      <c r="V30" s="167"/>
      <c r="W30" s="493"/>
    </row>
    <row r="31" spans="1:23" ht="15.75" thickBot="1">
      <c r="A31" s="104" t="str">
        <f>IF(M31&gt;0,COUNT($A$9:A30)+COUNT('DWV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1" s="637"/>
      <c r="C31" s="638"/>
      <c r="D31" s="182" t="s">
        <v>3450</v>
      </c>
      <c r="E31" s="150">
        <v>100025669</v>
      </c>
      <c r="F31" s="183" t="s">
        <v>3451</v>
      </c>
      <c r="G31" s="150" t="s">
        <v>2803</v>
      </c>
      <c r="H31" s="150" t="s">
        <v>3037</v>
      </c>
      <c r="I31" s="247" t="s">
        <v>3038</v>
      </c>
      <c r="J31" s="150">
        <v>1</v>
      </c>
      <c r="K31" s="248">
        <f>VLOOKUP('ValveBox Components'!E31,'All Products'!D:H,5,FALSE)</f>
        <v>8.7799999999999994</v>
      </c>
      <c r="L31" s="213">
        <f>ROUND(K31*Order_Quote!$L$19,2)</f>
        <v>43.9</v>
      </c>
      <c r="M31" s="191"/>
      <c r="N31" s="487"/>
      <c r="O31" s="248">
        <v>0</v>
      </c>
      <c r="Q31" s="494" t="s">
        <v>359</v>
      </c>
      <c r="R31" s="247" t="s">
        <v>102</v>
      </c>
      <c r="S31" s="324" t="s">
        <v>3452</v>
      </c>
      <c r="T31" s="324">
        <v>0</v>
      </c>
      <c r="U31" s="329">
        <v>0</v>
      </c>
      <c r="V31" s="356">
        <v>0.51500000000000001</v>
      </c>
      <c r="W31" s="495">
        <v>0.03</v>
      </c>
    </row>
    <row r="32" spans="1:23" ht="15.75" thickBot="1">
      <c r="A32" s="104" t="str">
        <f>IF(M32&gt;0,COUNT($A$9:A31)+COUNT('DWV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2" s="639"/>
      <c r="C32" s="580"/>
      <c r="D32" s="158" t="s">
        <v>3453</v>
      </c>
      <c r="E32" s="106">
        <v>100025674</v>
      </c>
      <c r="F32" s="159" t="s">
        <v>3454</v>
      </c>
      <c r="G32" s="106" t="s">
        <v>2803</v>
      </c>
      <c r="H32" s="106" t="s">
        <v>2929</v>
      </c>
      <c r="I32" s="249" t="s">
        <v>3038</v>
      </c>
      <c r="J32" s="106">
        <v>1</v>
      </c>
      <c r="K32" s="248">
        <f>VLOOKUP('ValveBox Components'!E32,'All Products'!D:H,5,FALSE)</f>
        <v>8.7799999999999994</v>
      </c>
      <c r="L32" s="205">
        <f>ROUND(K32*Order_Quote!$L$19,2)</f>
        <v>43.9</v>
      </c>
      <c r="M32" s="78"/>
      <c r="N32" s="116"/>
      <c r="O32" s="153">
        <v>0</v>
      </c>
      <c r="Q32" s="496" t="s">
        <v>359</v>
      </c>
      <c r="R32" s="249" t="s">
        <v>102</v>
      </c>
      <c r="S32" s="325" t="s">
        <v>3455</v>
      </c>
      <c r="T32" s="325">
        <v>0</v>
      </c>
      <c r="U32" s="330">
        <v>0</v>
      </c>
      <c r="V32" s="357">
        <v>0.51500000000000001</v>
      </c>
      <c r="W32" s="497">
        <v>0.03</v>
      </c>
    </row>
    <row r="33" spans="1:23" ht="15.75" thickBot="1">
      <c r="A33" s="104" t="str">
        <f>IF(M33&gt;0,COUNT($A$9:A32)+COUNT('DWV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3" s="639"/>
      <c r="C33" s="580"/>
      <c r="D33" s="158" t="s">
        <v>3456</v>
      </c>
      <c r="E33" s="106">
        <v>100025556</v>
      </c>
      <c r="F33" s="159" t="s">
        <v>3457</v>
      </c>
      <c r="G33" s="106" t="s">
        <v>2803</v>
      </c>
      <c r="H33" s="106" t="s">
        <v>3161</v>
      </c>
      <c r="I33" s="249" t="s">
        <v>3038</v>
      </c>
      <c r="J33" s="106">
        <v>1</v>
      </c>
      <c r="K33" s="248">
        <f>VLOOKUP('ValveBox Components'!E33,'All Products'!D:H,5,FALSE)</f>
        <v>8.7799999999999994</v>
      </c>
      <c r="L33" s="205">
        <f>ROUND(K33*Order_Quote!$L$19,2)</f>
        <v>43.9</v>
      </c>
      <c r="M33" s="78"/>
      <c r="N33" s="116"/>
      <c r="O33" s="153">
        <v>0</v>
      </c>
      <c r="Q33" s="496" t="s">
        <v>359</v>
      </c>
      <c r="R33" s="249" t="s">
        <v>102</v>
      </c>
      <c r="S33" s="325" t="s">
        <v>3458</v>
      </c>
      <c r="T33" s="325">
        <v>0</v>
      </c>
      <c r="U33" s="330">
        <v>0</v>
      </c>
      <c r="V33" s="357">
        <v>0.51500000000000001</v>
      </c>
      <c r="W33" s="497">
        <v>0.03</v>
      </c>
    </row>
    <row r="34" spans="1:23" ht="15.75" thickBot="1">
      <c r="A34" s="104" t="str">
        <f>IF(M34&gt;0,COUNT($A$9:A33)+COUNT('DWV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4" s="639"/>
      <c r="C34" s="580"/>
      <c r="D34" s="158" t="s">
        <v>3459</v>
      </c>
      <c r="E34" s="106">
        <v>100025672</v>
      </c>
      <c r="F34" s="159" t="s">
        <v>3460</v>
      </c>
      <c r="G34" s="106" t="s">
        <v>2803</v>
      </c>
      <c r="H34" s="106" t="s">
        <v>2941</v>
      </c>
      <c r="I34" s="249" t="s">
        <v>3048</v>
      </c>
      <c r="J34" s="106">
        <v>1</v>
      </c>
      <c r="K34" s="248">
        <f>VLOOKUP('ValveBox Components'!E34,'All Products'!D:H,5,FALSE)</f>
        <v>8.7799999999999994</v>
      </c>
      <c r="L34" s="205">
        <f>ROUND(K34*Order_Quote!$L$19,2)</f>
        <v>43.9</v>
      </c>
      <c r="M34" s="78"/>
      <c r="N34" s="116"/>
      <c r="O34" s="153">
        <v>0</v>
      </c>
      <c r="Q34" s="496" t="s">
        <v>76</v>
      </c>
      <c r="R34" s="249" t="s">
        <v>102</v>
      </c>
      <c r="S34" s="325" t="s">
        <v>3461</v>
      </c>
      <c r="T34" s="325">
        <v>0</v>
      </c>
      <c r="U34" s="330">
        <v>0</v>
      </c>
      <c r="V34" s="357">
        <v>0.51500000000000001</v>
      </c>
      <c r="W34" s="497">
        <v>0.03</v>
      </c>
    </row>
    <row r="35" spans="1:23" ht="15.75" thickBot="1">
      <c r="A35" s="104" t="str">
        <f>IF(M35&gt;0,COUNT($A$9:A34)+COUNT('DWV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5" s="639"/>
      <c r="C35" s="580"/>
      <c r="D35" s="158" t="s">
        <v>3462</v>
      </c>
      <c r="E35" s="106">
        <v>100025550</v>
      </c>
      <c r="F35" s="159" t="s">
        <v>3463</v>
      </c>
      <c r="G35" s="106" t="s">
        <v>2803</v>
      </c>
      <c r="H35" s="106" t="s">
        <v>3037</v>
      </c>
      <c r="I35" s="249" t="s">
        <v>3052</v>
      </c>
      <c r="J35" s="106">
        <v>1</v>
      </c>
      <c r="K35" s="248">
        <f>VLOOKUP('ValveBox Components'!E35,'All Products'!D:H,5,FALSE)</f>
        <v>8.7799999999999994</v>
      </c>
      <c r="L35" s="205">
        <f>ROUND(K35*Order_Quote!$L$19,2)</f>
        <v>43.9</v>
      </c>
      <c r="M35" s="78"/>
      <c r="N35" s="116"/>
      <c r="O35" s="153">
        <v>0</v>
      </c>
      <c r="Q35" s="496" t="s">
        <v>359</v>
      </c>
      <c r="R35" s="249" t="s">
        <v>102</v>
      </c>
      <c r="S35" s="325" t="s">
        <v>3464</v>
      </c>
      <c r="T35" s="325">
        <v>0</v>
      </c>
      <c r="U35" s="330">
        <v>0</v>
      </c>
      <c r="V35" s="357">
        <v>0.51500000000000001</v>
      </c>
      <c r="W35" s="497">
        <v>0.03</v>
      </c>
    </row>
    <row r="36" spans="1:23" ht="15.75" thickBot="1">
      <c r="A36" s="104" t="str">
        <f>IF(M36&gt;0,COUNT($A$9:A35)+COUNT('DWV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6" s="639"/>
      <c r="C36" s="580"/>
      <c r="D36" s="158" t="s">
        <v>3465</v>
      </c>
      <c r="E36" s="106">
        <v>100025548</v>
      </c>
      <c r="F36" s="159" t="s">
        <v>3466</v>
      </c>
      <c r="G36" s="106" t="s">
        <v>2803</v>
      </c>
      <c r="H36" s="106" t="s">
        <v>3037</v>
      </c>
      <c r="I36" s="249" t="s">
        <v>3063</v>
      </c>
      <c r="J36" s="106">
        <v>1</v>
      </c>
      <c r="K36" s="248">
        <f>VLOOKUP('ValveBox Components'!E36,'All Products'!D:H,5,FALSE)</f>
        <v>8.7799999999999994</v>
      </c>
      <c r="L36" s="205">
        <f>ROUND(K36*Order_Quote!$L$19,2)</f>
        <v>43.9</v>
      </c>
      <c r="M36" s="78"/>
      <c r="N36" s="116"/>
      <c r="O36" s="153">
        <v>0</v>
      </c>
      <c r="Q36" s="496" t="s">
        <v>359</v>
      </c>
      <c r="R36" s="249" t="s">
        <v>102</v>
      </c>
      <c r="S36" s="325" t="s">
        <v>3467</v>
      </c>
      <c r="T36" s="325">
        <v>0</v>
      </c>
      <c r="U36" s="330">
        <v>0</v>
      </c>
      <c r="V36" s="357">
        <v>0.51500000000000001</v>
      </c>
      <c r="W36" s="497">
        <v>0.03</v>
      </c>
    </row>
    <row r="37" spans="1:23" ht="15.75" thickBot="1">
      <c r="A37" s="104" t="str">
        <f>IF(M37&gt;0,COUNT($A$9:A36)+COUNT('DWV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7" s="639"/>
      <c r="C37" s="580"/>
      <c r="D37" s="158" t="s">
        <v>3468</v>
      </c>
      <c r="E37" s="106">
        <v>100025554</v>
      </c>
      <c r="F37" s="159" t="s">
        <v>3469</v>
      </c>
      <c r="G37" s="106" t="s">
        <v>2803</v>
      </c>
      <c r="H37" s="106" t="s">
        <v>2929</v>
      </c>
      <c r="I37" s="249" t="s">
        <v>3063</v>
      </c>
      <c r="J37" s="106">
        <v>1</v>
      </c>
      <c r="K37" s="248">
        <f>VLOOKUP('ValveBox Components'!E37,'All Products'!D:H,5,FALSE)</f>
        <v>8.7799999999999994</v>
      </c>
      <c r="L37" s="205">
        <f>ROUND(K37*Order_Quote!$L$19,2)</f>
        <v>43.9</v>
      </c>
      <c r="M37" s="78"/>
      <c r="N37" s="116"/>
      <c r="O37" s="153">
        <v>0</v>
      </c>
      <c r="Q37" s="496" t="s">
        <v>359</v>
      </c>
      <c r="R37" s="249" t="s">
        <v>102</v>
      </c>
      <c r="S37" s="325" t="s">
        <v>3470</v>
      </c>
      <c r="T37" s="325">
        <v>0</v>
      </c>
      <c r="U37" s="330">
        <v>0</v>
      </c>
      <c r="V37" s="357">
        <v>0.51500000000000001</v>
      </c>
      <c r="W37" s="497">
        <v>0.03</v>
      </c>
    </row>
    <row r="38" spans="1:23" ht="15.75" thickBot="1">
      <c r="A38" s="104" t="str">
        <f>IF(M38&gt;0,COUNT($A$9:A37)+COUNT('DWV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8" s="639"/>
      <c r="C38" s="580"/>
      <c r="D38" s="158" t="s">
        <v>3471</v>
      </c>
      <c r="E38" s="106">
        <v>100025557</v>
      </c>
      <c r="F38" s="159" t="s">
        <v>3472</v>
      </c>
      <c r="G38" s="106" t="s">
        <v>2803</v>
      </c>
      <c r="H38" s="106" t="s">
        <v>3161</v>
      </c>
      <c r="I38" s="249" t="s">
        <v>3063</v>
      </c>
      <c r="J38" s="106">
        <v>1</v>
      </c>
      <c r="K38" s="248">
        <f>VLOOKUP('ValveBox Components'!E38,'All Products'!D:H,5,FALSE)</f>
        <v>8.7799999999999994</v>
      </c>
      <c r="L38" s="205">
        <f>ROUND(K38*Order_Quote!$L$19,2)</f>
        <v>43.9</v>
      </c>
      <c r="M38" s="78"/>
      <c r="N38" s="116"/>
      <c r="O38" s="153">
        <v>0</v>
      </c>
      <c r="Q38" s="496" t="s">
        <v>76</v>
      </c>
      <c r="R38" s="249" t="s">
        <v>102</v>
      </c>
      <c r="S38" s="325" t="s">
        <v>3473</v>
      </c>
      <c r="T38" s="325">
        <v>0</v>
      </c>
      <c r="U38" s="330">
        <v>0</v>
      </c>
      <c r="V38" s="357">
        <v>0.51500000000000001</v>
      </c>
      <c r="W38" s="497">
        <v>0.03</v>
      </c>
    </row>
    <row r="39" spans="1:23" ht="15.75" thickBot="1">
      <c r="A39" s="104" t="str">
        <f>IF(M39&gt;0,COUNT($A$9:A38)+COUNT('DWV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39" s="639"/>
      <c r="C39" s="580"/>
      <c r="D39" s="158" t="s">
        <v>3474</v>
      </c>
      <c r="E39" s="106">
        <v>100025549</v>
      </c>
      <c r="F39" s="159" t="s">
        <v>3475</v>
      </c>
      <c r="G39" s="106" t="s">
        <v>2803</v>
      </c>
      <c r="H39" s="106" t="s">
        <v>3037</v>
      </c>
      <c r="I39" s="249" t="s">
        <v>3083</v>
      </c>
      <c r="J39" s="106">
        <v>1</v>
      </c>
      <c r="K39" s="248">
        <f>VLOOKUP('ValveBox Components'!E39,'All Products'!D:H,5,FALSE)</f>
        <v>8.7799999999999994</v>
      </c>
      <c r="L39" s="205">
        <f>ROUND(K39*Order_Quote!$L$19,2)</f>
        <v>43.9</v>
      </c>
      <c r="M39" s="78"/>
      <c r="N39" s="116"/>
      <c r="O39" s="153">
        <v>0</v>
      </c>
      <c r="Q39" s="496" t="s">
        <v>359</v>
      </c>
      <c r="R39" s="249" t="s">
        <v>102</v>
      </c>
      <c r="S39" s="325" t="s">
        <v>3476</v>
      </c>
      <c r="T39" s="325">
        <v>0</v>
      </c>
      <c r="U39" s="330">
        <v>0</v>
      </c>
      <c r="V39" s="357">
        <v>0.51500000000000001</v>
      </c>
      <c r="W39" s="497">
        <v>0.03</v>
      </c>
    </row>
    <row r="40" spans="1:23" ht="15.75" thickBot="1">
      <c r="A40" s="104" t="str">
        <f>IF(M40&gt;0,COUNT($A$9:A39)+COUNT('DWV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0" s="639"/>
      <c r="C40" s="580"/>
      <c r="D40" s="158" t="s">
        <v>3477</v>
      </c>
      <c r="E40" s="106">
        <v>100025555</v>
      </c>
      <c r="F40" s="159" t="s">
        <v>3478</v>
      </c>
      <c r="G40" s="106" t="s">
        <v>2803</v>
      </c>
      <c r="H40" s="106" t="s">
        <v>2929</v>
      </c>
      <c r="I40" s="249" t="s">
        <v>3083</v>
      </c>
      <c r="J40" s="106">
        <v>1</v>
      </c>
      <c r="K40" s="248">
        <f>VLOOKUP('ValveBox Components'!E40,'All Products'!D:H,5,FALSE)</f>
        <v>8.7799999999999994</v>
      </c>
      <c r="L40" s="205">
        <f>ROUND(K40*Order_Quote!$L$19,2)</f>
        <v>43.9</v>
      </c>
      <c r="M40" s="78"/>
      <c r="N40" s="116"/>
      <c r="O40" s="153">
        <v>0</v>
      </c>
      <c r="Q40" s="496" t="s">
        <v>359</v>
      </c>
      <c r="R40" s="249" t="s">
        <v>102</v>
      </c>
      <c r="S40" s="325" t="s">
        <v>3479</v>
      </c>
      <c r="T40" s="325">
        <v>0</v>
      </c>
      <c r="U40" s="330">
        <v>0</v>
      </c>
      <c r="V40" s="357">
        <v>0.51500000000000001</v>
      </c>
      <c r="W40" s="497">
        <v>0.03</v>
      </c>
    </row>
    <row r="41" spans="1:23" ht="15.75" thickBot="1">
      <c r="A41" s="104" t="str">
        <f>IF(M41&gt;0,COUNT($A$9:A40)+COUNT('DWV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1" s="640"/>
      <c r="C41" s="641"/>
      <c r="D41" s="185" t="s">
        <v>3480</v>
      </c>
      <c r="E41" s="151">
        <v>100025559</v>
      </c>
      <c r="F41" s="186" t="s">
        <v>3481</v>
      </c>
      <c r="G41" s="151" t="s">
        <v>2803</v>
      </c>
      <c r="H41" s="151" t="s">
        <v>3161</v>
      </c>
      <c r="I41" s="250" t="s">
        <v>3144</v>
      </c>
      <c r="J41" s="151">
        <v>1</v>
      </c>
      <c r="K41" s="248">
        <f>VLOOKUP('ValveBox Components'!E41,'All Products'!D:H,5,FALSE)</f>
        <v>8.7799999999999994</v>
      </c>
      <c r="L41" s="214">
        <f>ROUND(K41*Order_Quote!$L$19,2)</f>
        <v>43.9</v>
      </c>
      <c r="M41" s="187"/>
      <c r="N41" s="488"/>
      <c r="O41" s="251">
        <v>0</v>
      </c>
      <c r="Q41" s="498" t="s">
        <v>359</v>
      </c>
      <c r="R41" s="250" t="s">
        <v>102</v>
      </c>
      <c r="S41" s="326" t="s">
        <v>3482</v>
      </c>
      <c r="T41" s="326">
        <v>0</v>
      </c>
      <c r="U41" s="331">
        <v>0</v>
      </c>
      <c r="V41" s="358">
        <v>0.51500000000000001</v>
      </c>
      <c r="W41" s="499">
        <v>0.03</v>
      </c>
    </row>
    <row r="42" spans="1:23">
      <c r="A42" s="104" t="str">
        <f>IF(M42&gt;0,COUNT($A$9:A41)+COUNT('DWV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2" s="20"/>
      <c r="C42" s="152"/>
      <c r="D42" s="152"/>
      <c r="E42" s="152"/>
      <c r="F42" s="152"/>
      <c r="G42" s="154"/>
      <c r="H42" s="154"/>
      <c r="I42" s="252"/>
      <c r="J42" s="152"/>
      <c r="K42" s="152"/>
      <c r="L42" s="253"/>
      <c r="M42" s="152"/>
      <c r="N42" s="152"/>
      <c r="O42" s="152"/>
      <c r="P42" s="152"/>
      <c r="Q42" s="252"/>
      <c r="R42" s="252"/>
      <c r="S42" s="252"/>
      <c r="T42" s="252"/>
      <c r="U42" s="252"/>
      <c r="V42" s="152"/>
      <c r="W42" s="152"/>
    </row>
    <row r="43" spans="1:23" ht="19.5" thickBot="1">
      <c r="A43" s="104" t="str">
        <f>IF(M43&gt;0,COUNT($A$9:A42)+COUNT('DWV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3" s="148" t="s">
        <v>3085</v>
      </c>
      <c r="C43" s="152"/>
      <c r="D43" s="152"/>
      <c r="E43" s="152"/>
      <c r="F43" s="152"/>
      <c r="G43" s="154"/>
      <c r="H43" s="154"/>
      <c r="I43" s="252"/>
      <c r="J43" s="152"/>
      <c r="K43" s="152"/>
      <c r="L43" s="253"/>
      <c r="M43" s="152"/>
      <c r="N43" s="152"/>
      <c r="O43" s="152"/>
      <c r="P43" s="152"/>
      <c r="Q43" s="252"/>
      <c r="R43" s="252"/>
      <c r="S43" s="252"/>
      <c r="T43" s="252"/>
      <c r="U43" s="252"/>
      <c r="V43" s="152"/>
      <c r="W43" s="152"/>
    </row>
    <row r="44" spans="1:23" ht="16.5" thickBot="1">
      <c r="A44" s="104" t="str">
        <f>IF(M44&gt;0,COUNT($A$9:A43)+COUNT('DWV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4" s="166" t="s">
        <v>3483</v>
      </c>
      <c r="C44" s="167"/>
      <c r="D44" s="167"/>
      <c r="E44" s="167"/>
      <c r="F44" s="167"/>
      <c r="G44" s="167"/>
      <c r="H44" s="167"/>
      <c r="I44" s="167"/>
      <c r="J44" s="167"/>
      <c r="K44" s="167"/>
      <c r="L44" s="228"/>
      <c r="M44" s="167"/>
      <c r="N44" s="167"/>
      <c r="O44" s="493"/>
      <c r="P44" s="17"/>
      <c r="Q44" s="492"/>
      <c r="R44" s="160"/>
      <c r="S44" s="160"/>
      <c r="T44" s="160"/>
      <c r="U44" s="160"/>
      <c r="V44" s="167"/>
      <c r="W44" s="493"/>
    </row>
    <row r="45" spans="1:23" ht="15.75" thickBot="1">
      <c r="A45" s="104" t="str">
        <f>IF(M45&gt;0,COUNT($A$9:A44)+COUNT('DWV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5" s="637"/>
      <c r="C45" s="638"/>
      <c r="D45" s="182" t="s">
        <v>3484</v>
      </c>
      <c r="E45" s="150">
        <v>100025566</v>
      </c>
      <c r="F45" s="183" t="s">
        <v>3485</v>
      </c>
      <c r="G45" s="150" t="s">
        <v>3037</v>
      </c>
      <c r="H45" s="150" t="s">
        <v>2803</v>
      </c>
      <c r="I45" s="247" t="s">
        <v>1205</v>
      </c>
      <c r="J45" s="150">
        <v>156</v>
      </c>
      <c r="K45" s="248">
        <f>VLOOKUP('ValveBox Components'!E45,'All Products'!D:H,5,FALSE)</f>
        <v>31.84</v>
      </c>
      <c r="L45" s="213">
        <f>ROUND(K45*Order_Quote!$L$19,2)</f>
        <v>159.19999999999999</v>
      </c>
      <c r="M45" s="191"/>
      <c r="N45" s="487"/>
      <c r="O45" s="495">
        <f t="shared" ref="O45:O49" si="1">M45/J45</f>
        <v>0</v>
      </c>
      <c r="Q45" s="494" t="s">
        <v>359</v>
      </c>
      <c r="R45" s="247" t="s">
        <v>102</v>
      </c>
      <c r="S45" s="324" t="s">
        <v>3486</v>
      </c>
      <c r="T45" s="324">
        <v>0</v>
      </c>
      <c r="U45" s="329">
        <v>0</v>
      </c>
      <c r="V45" s="356">
        <v>2.2650000000000001</v>
      </c>
      <c r="W45" s="495">
        <v>0.89</v>
      </c>
    </row>
    <row r="46" spans="1:23" ht="15.75" thickBot="1">
      <c r="A46" s="104" t="str">
        <f>IF(M46&gt;0,COUNT($A$9:A45)+COUNT('DWV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6" s="639"/>
      <c r="C46" s="580"/>
      <c r="D46" s="158" t="s">
        <v>3487</v>
      </c>
      <c r="E46" s="106">
        <v>100025567</v>
      </c>
      <c r="F46" s="159" t="s">
        <v>3488</v>
      </c>
      <c r="G46" s="106" t="s">
        <v>2941</v>
      </c>
      <c r="H46" s="106" t="s">
        <v>2803</v>
      </c>
      <c r="I46" s="249" t="s">
        <v>1205</v>
      </c>
      <c r="J46" s="106">
        <v>156</v>
      </c>
      <c r="K46" s="248">
        <f>VLOOKUP('ValveBox Components'!E46,'All Products'!D:H,5,FALSE)</f>
        <v>31.84</v>
      </c>
      <c r="L46" s="205">
        <f>ROUND(K46*Order_Quote!$L$19,2)</f>
        <v>159.19999999999999</v>
      </c>
      <c r="M46" s="78"/>
      <c r="N46" s="116"/>
      <c r="O46" s="497">
        <f t="shared" si="1"/>
        <v>0</v>
      </c>
      <c r="Q46" s="496" t="s">
        <v>76</v>
      </c>
      <c r="R46" s="249" t="s">
        <v>102</v>
      </c>
      <c r="S46" s="325" t="s">
        <v>3489</v>
      </c>
      <c r="T46" s="325">
        <v>0</v>
      </c>
      <c r="U46" s="330">
        <v>0</v>
      </c>
      <c r="V46" s="357">
        <v>2.2650000000000001</v>
      </c>
      <c r="W46" s="497">
        <v>0.89</v>
      </c>
    </row>
    <row r="47" spans="1:23" ht="15.75" thickBot="1">
      <c r="A47" s="104" t="str">
        <f>IF(M47&gt;0,COUNT($A$9:A46)+COUNT('DWV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7" s="639"/>
      <c r="C47" s="580"/>
      <c r="D47" s="158" t="s">
        <v>3490</v>
      </c>
      <c r="E47" s="106">
        <v>100025568</v>
      </c>
      <c r="F47" s="159" t="s">
        <v>3491</v>
      </c>
      <c r="G47" s="106" t="s">
        <v>2929</v>
      </c>
      <c r="H47" s="106" t="s">
        <v>2803</v>
      </c>
      <c r="I47" s="249" t="s">
        <v>1205</v>
      </c>
      <c r="J47" s="106">
        <v>156</v>
      </c>
      <c r="K47" s="248">
        <f>VLOOKUP('ValveBox Components'!E47,'All Products'!D:H,5,FALSE)</f>
        <v>31.84</v>
      </c>
      <c r="L47" s="205">
        <f>ROUND(K47*Order_Quote!$L$19,2)</f>
        <v>159.19999999999999</v>
      </c>
      <c r="M47" s="78"/>
      <c r="N47" s="116"/>
      <c r="O47" s="497">
        <f t="shared" si="1"/>
        <v>0</v>
      </c>
      <c r="Q47" s="496" t="s">
        <v>359</v>
      </c>
      <c r="R47" s="249" t="s">
        <v>102</v>
      </c>
      <c r="S47" s="325" t="s">
        <v>3492</v>
      </c>
      <c r="T47" s="325">
        <v>0</v>
      </c>
      <c r="U47" s="330">
        <v>0</v>
      </c>
      <c r="V47" s="357">
        <v>2.2650000000000001</v>
      </c>
      <c r="W47" s="497">
        <v>0.89</v>
      </c>
    </row>
    <row r="48" spans="1:23" ht="15.75" thickBot="1">
      <c r="A48" s="104" t="str">
        <f>IF(M48&gt;0,COUNT($A$9:A47)+COUNT('DWV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8" s="639"/>
      <c r="C48" s="580"/>
      <c r="D48" s="158" t="s">
        <v>3493</v>
      </c>
      <c r="E48" s="106">
        <v>100025304</v>
      </c>
      <c r="F48" s="159" t="s">
        <v>3494</v>
      </c>
      <c r="G48" s="106" t="s">
        <v>3037</v>
      </c>
      <c r="H48" s="106" t="s">
        <v>2803</v>
      </c>
      <c r="I48" s="249" t="s">
        <v>3495</v>
      </c>
      <c r="J48" s="106">
        <v>156</v>
      </c>
      <c r="K48" s="248">
        <f>VLOOKUP('ValveBox Components'!E48,'All Products'!D:H,5,FALSE)</f>
        <v>31.84</v>
      </c>
      <c r="L48" s="205">
        <f>ROUND(K48*Order_Quote!$L$19,2)</f>
        <v>159.19999999999999</v>
      </c>
      <c r="M48" s="78"/>
      <c r="N48" s="116"/>
      <c r="O48" s="497">
        <f t="shared" si="1"/>
        <v>0</v>
      </c>
      <c r="Q48" s="496" t="s">
        <v>359</v>
      </c>
      <c r="R48" s="249" t="s">
        <v>102</v>
      </c>
      <c r="S48" s="325" t="s">
        <v>3496</v>
      </c>
      <c r="T48" s="325">
        <v>0</v>
      </c>
      <c r="U48" s="330">
        <v>0</v>
      </c>
      <c r="V48" s="357">
        <v>2.0350000000000001</v>
      </c>
      <c r="W48" s="497">
        <v>0.89</v>
      </c>
    </row>
    <row r="49" spans="1:23" ht="15.75" thickBot="1">
      <c r="A49" s="104" t="str">
        <f>IF(M49&gt;0,COUNT($A$9:A48)+COUNT('DWV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49" s="639"/>
      <c r="C49" s="580"/>
      <c r="D49" s="158" t="s">
        <v>3497</v>
      </c>
      <c r="E49" s="106">
        <v>100025306</v>
      </c>
      <c r="F49" s="159" t="s">
        <v>3498</v>
      </c>
      <c r="G49" s="106" t="s">
        <v>2941</v>
      </c>
      <c r="H49" s="106" t="s">
        <v>2803</v>
      </c>
      <c r="I49" s="249" t="s">
        <v>3495</v>
      </c>
      <c r="J49" s="106">
        <v>156</v>
      </c>
      <c r="K49" s="248">
        <f>VLOOKUP('ValveBox Components'!E49,'All Products'!D:H,5,FALSE)</f>
        <v>31.84</v>
      </c>
      <c r="L49" s="205">
        <f>ROUND(K49*Order_Quote!$L$19,2)</f>
        <v>159.19999999999999</v>
      </c>
      <c r="M49" s="78"/>
      <c r="N49" s="116"/>
      <c r="O49" s="497">
        <f t="shared" si="1"/>
        <v>0</v>
      </c>
      <c r="Q49" s="496" t="s">
        <v>359</v>
      </c>
      <c r="R49" s="249" t="s">
        <v>102</v>
      </c>
      <c r="S49" s="325" t="s">
        <v>3499</v>
      </c>
      <c r="T49" s="325">
        <v>0</v>
      </c>
      <c r="U49" s="330">
        <v>0</v>
      </c>
      <c r="V49" s="357">
        <v>2.0350000000000001</v>
      </c>
      <c r="W49" s="497">
        <v>0.89</v>
      </c>
    </row>
    <row r="50" spans="1:23" ht="16.5" thickBot="1">
      <c r="A50" s="104" t="str">
        <f>IF(M50&gt;0,COUNT($A$9:A49)+COUNT('DWV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0" s="166" t="s">
        <v>3500</v>
      </c>
      <c r="C50" s="167"/>
      <c r="D50" s="167"/>
      <c r="E50" s="167"/>
      <c r="F50" s="167"/>
      <c r="G50" s="167"/>
      <c r="H50" s="167"/>
      <c r="I50" s="167"/>
      <c r="J50" s="167"/>
      <c r="K50" s="167"/>
      <c r="L50" s="228"/>
      <c r="M50" s="167"/>
      <c r="N50" s="167"/>
      <c r="O50" s="493"/>
      <c r="P50" s="17"/>
      <c r="Q50" s="492"/>
      <c r="R50" s="160"/>
      <c r="S50" s="160"/>
      <c r="T50" s="160"/>
      <c r="U50" s="160"/>
      <c r="V50" s="167"/>
      <c r="W50" s="493"/>
    </row>
    <row r="51" spans="1:23" ht="15.75" thickBot="1">
      <c r="A51" s="104" t="str">
        <f>IF(M51&gt;0,COUNT($A$9:A50)+COUNT('DWV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1" s="637"/>
      <c r="C51" s="638"/>
      <c r="D51" s="182" t="s">
        <v>3501</v>
      </c>
      <c r="E51" s="150">
        <v>100025594</v>
      </c>
      <c r="F51" s="183" t="s">
        <v>3502</v>
      </c>
      <c r="G51" s="150" t="s">
        <v>2803</v>
      </c>
      <c r="H51" s="150" t="s">
        <v>3037</v>
      </c>
      <c r="I51" s="247" t="s">
        <v>3038</v>
      </c>
      <c r="J51" s="150">
        <v>1</v>
      </c>
      <c r="K51" s="248">
        <f>VLOOKUP('ValveBox Components'!E51,'All Products'!D:H,5,FALSE)</f>
        <v>16.73</v>
      </c>
      <c r="L51" s="213">
        <f>ROUND(K51*Order_Quote!$L$19,2)</f>
        <v>83.65</v>
      </c>
      <c r="M51" s="191"/>
      <c r="N51" s="487"/>
      <c r="O51" s="495">
        <f t="shared" ref="O51:O65" si="2">M51/J51</f>
        <v>0</v>
      </c>
      <c r="Q51" s="494" t="s">
        <v>76</v>
      </c>
      <c r="R51" s="247" t="s">
        <v>102</v>
      </c>
      <c r="S51" s="324" t="s">
        <v>3503</v>
      </c>
      <c r="T51" s="324">
        <v>0</v>
      </c>
      <c r="U51" s="329">
        <v>0</v>
      </c>
      <c r="V51" s="356">
        <v>1.125</v>
      </c>
      <c r="W51" s="495">
        <v>0.06</v>
      </c>
    </row>
    <row r="52" spans="1:23" ht="15.75" thickBot="1">
      <c r="A52" s="104" t="str">
        <f>IF(M52&gt;0,COUNT($A$9:A51)+COUNT('DWV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2" s="639"/>
      <c r="C52" s="580"/>
      <c r="D52" s="158" t="s">
        <v>3504</v>
      </c>
      <c r="E52" s="106">
        <v>100025605</v>
      </c>
      <c r="F52" s="159" t="s">
        <v>3505</v>
      </c>
      <c r="G52" s="106" t="s">
        <v>2803</v>
      </c>
      <c r="H52" s="106" t="s">
        <v>2929</v>
      </c>
      <c r="I52" s="249" t="s">
        <v>3038</v>
      </c>
      <c r="J52" s="106">
        <v>1</v>
      </c>
      <c r="K52" s="248">
        <f>VLOOKUP('ValveBox Components'!E52,'All Products'!D:H,5,FALSE)</f>
        <v>16.73</v>
      </c>
      <c r="L52" s="205">
        <f>ROUND(K52*Order_Quote!$L$19,2)</f>
        <v>83.65</v>
      </c>
      <c r="M52" s="78"/>
      <c r="N52" s="116"/>
      <c r="O52" s="497">
        <f t="shared" si="2"/>
        <v>0</v>
      </c>
      <c r="Q52" s="496" t="s">
        <v>359</v>
      </c>
      <c r="R52" s="249" t="s">
        <v>102</v>
      </c>
      <c r="S52" s="325" t="s">
        <v>3506</v>
      </c>
      <c r="T52" s="325">
        <v>0</v>
      </c>
      <c r="U52" s="330">
        <v>0</v>
      </c>
      <c r="V52" s="357">
        <v>1.125</v>
      </c>
      <c r="W52" s="497">
        <v>0.06</v>
      </c>
    </row>
    <row r="53" spans="1:23" ht="15.75" thickBot="1">
      <c r="A53" s="104" t="str">
        <f>IF(M53&gt;0,COUNT($A$9:A52)+COUNT('DWV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3" s="639"/>
      <c r="C53" s="580"/>
      <c r="D53" s="158" t="s">
        <v>3507</v>
      </c>
      <c r="E53" s="106">
        <v>100025607</v>
      </c>
      <c r="F53" s="159" t="s">
        <v>3508</v>
      </c>
      <c r="G53" s="106" t="s">
        <v>2803</v>
      </c>
      <c r="H53" s="106" t="s">
        <v>3161</v>
      </c>
      <c r="I53" s="249" t="s">
        <v>3038</v>
      </c>
      <c r="J53" s="106">
        <v>1</v>
      </c>
      <c r="K53" s="248">
        <f>VLOOKUP('ValveBox Components'!E53,'All Products'!D:H,5,FALSE)</f>
        <v>16.73</v>
      </c>
      <c r="L53" s="205">
        <f>ROUND(K53*Order_Quote!$L$19,2)</f>
        <v>83.65</v>
      </c>
      <c r="M53" s="78"/>
      <c r="N53" s="116"/>
      <c r="O53" s="497">
        <f t="shared" si="2"/>
        <v>0</v>
      </c>
      <c r="Q53" s="496" t="s">
        <v>359</v>
      </c>
      <c r="R53" s="249" t="s">
        <v>102</v>
      </c>
      <c r="S53" s="325" t="s">
        <v>3509</v>
      </c>
      <c r="T53" s="325">
        <v>0</v>
      </c>
      <c r="U53" s="330">
        <v>0</v>
      </c>
      <c r="V53" s="357">
        <v>1.125</v>
      </c>
      <c r="W53" s="497">
        <v>0.06</v>
      </c>
    </row>
    <row r="54" spans="1:23" ht="15.75" thickBot="1">
      <c r="A54" s="104" t="str">
        <f>IF(M54&gt;0,COUNT($A$9:A53)+COUNT('DWV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4" s="639"/>
      <c r="C54" s="580"/>
      <c r="D54" s="158" t="s">
        <v>3510</v>
      </c>
      <c r="E54" s="106">
        <v>100025603</v>
      </c>
      <c r="F54" s="159" t="s">
        <v>3511</v>
      </c>
      <c r="G54" s="106" t="s">
        <v>2803</v>
      </c>
      <c r="H54" s="106" t="s">
        <v>2941</v>
      </c>
      <c r="I54" s="249" t="s">
        <v>3048</v>
      </c>
      <c r="J54" s="106">
        <v>1</v>
      </c>
      <c r="K54" s="248">
        <f>VLOOKUP('ValveBox Components'!E54,'All Products'!D:H,5,FALSE)</f>
        <v>16.73</v>
      </c>
      <c r="L54" s="205">
        <f>ROUND(K54*Order_Quote!$L$19,2)</f>
        <v>83.65</v>
      </c>
      <c r="M54" s="78"/>
      <c r="N54" s="116"/>
      <c r="O54" s="497">
        <f t="shared" si="2"/>
        <v>0</v>
      </c>
      <c r="Q54" s="496" t="s">
        <v>76</v>
      </c>
      <c r="R54" s="249" t="s">
        <v>102</v>
      </c>
      <c r="S54" s="325" t="s">
        <v>3512</v>
      </c>
      <c r="T54" s="325">
        <v>0</v>
      </c>
      <c r="U54" s="330">
        <v>0</v>
      </c>
      <c r="V54" s="357">
        <v>1.125</v>
      </c>
      <c r="W54" s="497">
        <v>0.06</v>
      </c>
    </row>
    <row r="55" spans="1:23" ht="15.75" thickBot="1">
      <c r="A55" s="104" t="str">
        <f>IF(M55&gt;0,COUNT($A$9:A54)+COUNT('DWV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5" s="639"/>
      <c r="C55" s="580"/>
      <c r="D55" s="158" t="s">
        <v>3513</v>
      </c>
      <c r="E55" s="106">
        <v>100025364</v>
      </c>
      <c r="F55" s="159" t="s">
        <v>3514</v>
      </c>
      <c r="G55" s="106" t="s">
        <v>2803</v>
      </c>
      <c r="H55" s="106" t="s">
        <v>3037</v>
      </c>
      <c r="I55" s="249" t="s">
        <v>3063</v>
      </c>
      <c r="J55" s="106">
        <v>1</v>
      </c>
      <c r="K55" s="248">
        <f>VLOOKUP('ValveBox Components'!E55,'All Products'!D:H,5,FALSE)</f>
        <v>16.73</v>
      </c>
      <c r="L55" s="205">
        <f>ROUND(K55*Order_Quote!$L$19,2)</f>
        <v>83.65</v>
      </c>
      <c r="M55" s="78"/>
      <c r="N55" s="116"/>
      <c r="O55" s="497">
        <f t="shared" si="2"/>
        <v>0</v>
      </c>
      <c r="Q55" s="496" t="s">
        <v>76</v>
      </c>
      <c r="R55" s="249" t="s">
        <v>102</v>
      </c>
      <c r="S55" s="325" t="s">
        <v>3515</v>
      </c>
      <c r="T55" s="325">
        <v>0</v>
      </c>
      <c r="U55" s="330">
        <v>0</v>
      </c>
      <c r="V55" s="357">
        <v>1.125</v>
      </c>
      <c r="W55" s="497">
        <v>0.06</v>
      </c>
    </row>
    <row r="56" spans="1:23" ht="15.75" thickBot="1">
      <c r="A56" s="104" t="str">
        <f>IF(M56&gt;0,COUNT($A$9:A55)+COUNT('DWV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6" s="639"/>
      <c r="C56" s="580"/>
      <c r="D56" s="158" t="s">
        <v>3516</v>
      </c>
      <c r="E56" s="106">
        <v>100025381</v>
      </c>
      <c r="F56" s="159" t="s">
        <v>3517</v>
      </c>
      <c r="G56" s="106" t="s">
        <v>2803</v>
      </c>
      <c r="H56" s="106" t="s">
        <v>2929</v>
      </c>
      <c r="I56" s="249" t="s">
        <v>3063</v>
      </c>
      <c r="J56" s="106">
        <v>1</v>
      </c>
      <c r="K56" s="248">
        <f>VLOOKUP('ValveBox Components'!E56,'All Products'!D:H,5,FALSE)</f>
        <v>16.73</v>
      </c>
      <c r="L56" s="205">
        <f>ROUND(K56*Order_Quote!$L$19,2)</f>
        <v>83.65</v>
      </c>
      <c r="M56" s="78"/>
      <c r="N56" s="116"/>
      <c r="O56" s="497">
        <f t="shared" si="2"/>
        <v>0</v>
      </c>
      <c r="Q56" s="496" t="s">
        <v>359</v>
      </c>
      <c r="R56" s="249" t="s">
        <v>102</v>
      </c>
      <c r="S56" s="325" t="s">
        <v>3518</v>
      </c>
      <c r="T56" s="325">
        <v>0</v>
      </c>
      <c r="U56" s="330">
        <v>0</v>
      </c>
      <c r="V56" s="357">
        <v>1.125</v>
      </c>
      <c r="W56" s="497">
        <v>0.06</v>
      </c>
    </row>
    <row r="57" spans="1:23" ht="15.75" thickBot="1">
      <c r="A57" s="104" t="str">
        <f>IF(M57&gt;0,COUNT($A$9:A56)+COUNT('DWV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7" s="639"/>
      <c r="C57" s="580"/>
      <c r="D57" s="158" t="s">
        <v>3519</v>
      </c>
      <c r="E57" s="106">
        <v>100025367</v>
      </c>
      <c r="F57" s="159" t="s">
        <v>3520</v>
      </c>
      <c r="G57" s="106" t="s">
        <v>2803</v>
      </c>
      <c r="H57" s="106" t="s">
        <v>3037</v>
      </c>
      <c r="I57" s="249" t="s">
        <v>3083</v>
      </c>
      <c r="J57" s="106">
        <v>1</v>
      </c>
      <c r="K57" s="248">
        <f>VLOOKUP('ValveBox Components'!E57,'All Products'!D:H,5,FALSE)</f>
        <v>16.73</v>
      </c>
      <c r="L57" s="205">
        <f>ROUND(K57*Order_Quote!$L$19,2)</f>
        <v>83.65</v>
      </c>
      <c r="M57" s="78"/>
      <c r="N57" s="116"/>
      <c r="O57" s="497">
        <f t="shared" si="2"/>
        <v>0</v>
      </c>
      <c r="Q57" s="496" t="s">
        <v>359</v>
      </c>
      <c r="R57" s="249" t="s">
        <v>102</v>
      </c>
      <c r="S57" s="325" t="s">
        <v>3521</v>
      </c>
      <c r="T57" s="325">
        <v>0</v>
      </c>
      <c r="U57" s="330">
        <v>0</v>
      </c>
      <c r="V57" s="357">
        <v>1.125</v>
      </c>
      <c r="W57" s="497">
        <v>0.06</v>
      </c>
    </row>
    <row r="58" spans="1:23" ht="15.75" thickBot="1">
      <c r="A58" s="104" t="str">
        <f>IF(M58&gt;0,COUNT($A$9:A57)+COUNT('DWV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8" s="639"/>
      <c r="C58" s="580"/>
      <c r="D58" s="158" t="s">
        <v>3522</v>
      </c>
      <c r="E58" s="106">
        <v>100025383</v>
      </c>
      <c r="F58" s="159" t="s">
        <v>3523</v>
      </c>
      <c r="G58" s="106" t="s">
        <v>2803</v>
      </c>
      <c r="H58" s="106" t="s">
        <v>2929</v>
      </c>
      <c r="I58" s="249" t="s">
        <v>3083</v>
      </c>
      <c r="J58" s="106">
        <v>1</v>
      </c>
      <c r="K58" s="248">
        <f>VLOOKUP('ValveBox Components'!E58,'All Products'!D:H,5,FALSE)</f>
        <v>16.73</v>
      </c>
      <c r="L58" s="205">
        <f>ROUND(K58*Order_Quote!$L$19,2)</f>
        <v>83.65</v>
      </c>
      <c r="M58" s="78"/>
      <c r="N58" s="116"/>
      <c r="O58" s="497">
        <f t="shared" si="2"/>
        <v>0</v>
      </c>
      <c r="Q58" s="496" t="s">
        <v>359</v>
      </c>
      <c r="R58" s="249" t="s">
        <v>102</v>
      </c>
      <c r="S58" s="325" t="s">
        <v>3524</v>
      </c>
      <c r="T58" s="325">
        <v>0</v>
      </c>
      <c r="U58" s="330">
        <v>0</v>
      </c>
      <c r="V58" s="357">
        <v>1.125</v>
      </c>
      <c r="W58" s="497">
        <v>0.06</v>
      </c>
    </row>
    <row r="59" spans="1:23" ht="15.75" thickBot="1">
      <c r="A59" s="104" t="str">
        <f>IF(M59&gt;0,COUNT($A$9:A58)+COUNT('DWV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59" s="639"/>
      <c r="C59" s="580"/>
      <c r="D59" s="158" t="s">
        <v>3525</v>
      </c>
      <c r="E59" s="106">
        <v>100025595</v>
      </c>
      <c r="F59" s="159" t="s">
        <v>3526</v>
      </c>
      <c r="G59" s="106" t="s">
        <v>2803</v>
      </c>
      <c r="H59" s="106" t="s">
        <v>3037</v>
      </c>
      <c r="I59" s="249" t="s">
        <v>3052</v>
      </c>
      <c r="J59" s="106">
        <v>1</v>
      </c>
      <c r="K59" s="248">
        <f>VLOOKUP('ValveBox Components'!E59,'All Products'!D:H,5,FALSE)</f>
        <v>16.73</v>
      </c>
      <c r="L59" s="205">
        <f>ROUND(K59*Order_Quote!$L$19,2)</f>
        <v>83.65</v>
      </c>
      <c r="M59" s="78"/>
      <c r="N59" s="116"/>
      <c r="O59" s="497">
        <f t="shared" si="2"/>
        <v>0</v>
      </c>
      <c r="Q59" s="496" t="s">
        <v>359</v>
      </c>
      <c r="R59" s="249" t="s">
        <v>102</v>
      </c>
      <c r="S59" s="325" t="s">
        <v>3527</v>
      </c>
      <c r="T59" s="325">
        <v>0</v>
      </c>
      <c r="U59" s="330">
        <v>0</v>
      </c>
      <c r="V59" s="357">
        <v>1.125</v>
      </c>
      <c r="W59" s="497">
        <v>0.06</v>
      </c>
    </row>
    <row r="60" spans="1:23" ht="15.75" thickBot="1">
      <c r="A60" s="104" t="str">
        <f>IF(M60&gt;0,COUNT($A$9:A59)+COUNT('DWV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0" s="639"/>
      <c r="C60" s="580"/>
      <c r="D60" s="158" t="s">
        <v>3528</v>
      </c>
      <c r="E60" s="106">
        <v>100025597</v>
      </c>
      <c r="F60" s="159" t="s">
        <v>3529</v>
      </c>
      <c r="G60" s="106" t="s">
        <v>2803</v>
      </c>
      <c r="H60" s="106" t="s">
        <v>3037</v>
      </c>
      <c r="I60" s="249" t="s">
        <v>3059</v>
      </c>
      <c r="J60" s="106">
        <v>1</v>
      </c>
      <c r="K60" s="248">
        <f>VLOOKUP('ValveBox Components'!E60,'All Products'!D:H,5,FALSE)</f>
        <v>16.73</v>
      </c>
      <c r="L60" s="205">
        <f>ROUND(K60*Order_Quote!$L$19,2)</f>
        <v>83.65</v>
      </c>
      <c r="M60" s="78"/>
      <c r="N60" s="116"/>
      <c r="O60" s="497">
        <f t="shared" si="2"/>
        <v>0</v>
      </c>
      <c r="Q60" s="496" t="s">
        <v>359</v>
      </c>
      <c r="R60" s="249" t="s">
        <v>102</v>
      </c>
      <c r="S60" s="325" t="s">
        <v>3530</v>
      </c>
      <c r="T60" s="325">
        <v>0</v>
      </c>
      <c r="U60" s="330">
        <v>0</v>
      </c>
      <c r="V60" s="357">
        <v>1.125</v>
      </c>
      <c r="W60" s="497">
        <v>0.06</v>
      </c>
    </row>
    <row r="61" spans="1:23" ht="15.75" thickBot="1">
      <c r="A61" s="104" t="str">
        <f>IF(M61&gt;0,COUNT($A$9:A60)+COUNT('DWV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1" s="639"/>
      <c r="C61" s="580"/>
      <c r="D61" s="158" t="s">
        <v>3531</v>
      </c>
      <c r="E61" s="106">
        <v>100025386</v>
      </c>
      <c r="F61" s="159" t="s">
        <v>3532</v>
      </c>
      <c r="G61" s="106" t="s">
        <v>2803</v>
      </c>
      <c r="H61" s="106" t="s">
        <v>2929</v>
      </c>
      <c r="I61" s="249" t="s">
        <v>3059</v>
      </c>
      <c r="J61" s="106">
        <v>1</v>
      </c>
      <c r="K61" s="248">
        <f>VLOOKUP('ValveBox Components'!E61,'All Products'!D:H,5,FALSE)</f>
        <v>16.73</v>
      </c>
      <c r="L61" s="205">
        <f>ROUND(K61*Order_Quote!$L$19,2)</f>
        <v>83.65</v>
      </c>
      <c r="M61" s="78"/>
      <c r="N61" s="116"/>
      <c r="O61" s="497">
        <f t="shared" si="2"/>
        <v>0</v>
      </c>
      <c r="Q61" s="496" t="s">
        <v>359</v>
      </c>
      <c r="R61" s="249" t="s">
        <v>102</v>
      </c>
      <c r="S61" s="325" t="s">
        <v>3533</v>
      </c>
      <c r="T61" s="325">
        <v>0</v>
      </c>
      <c r="U61" s="330">
        <v>0</v>
      </c>
      <c r="V61" s="357">
        <v>1.125</v>
      </c>
      <c r="W61" s="497">
        <v>0.06</v>
      </c>
    </row>
    <row r="62" spans="1:23" ht="15.75" thickBot="1">
      <c r="A62" s="104" t="str">
        <f>IF(M62&gt;0,COUNT($A$9:A61)+COUNT('DWV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2" s="639"/>
      <c r="C62" s="580"/>
      <c r="D62" s="158" t="s">
        <v>3534</v>
      </c>
      <c r="E62" s="106">
        <v>100025384</v>
      </c>
      <c r="F62" s="159" t="s">
        <v>3535</v>
      </c>
      <c r="G62" s="106" t="s">
        <v>2803</v>
      </c>
      <c r="H62" s="106" t="s">
        <v>2929</v>
      </c>
      <c r="I62" s="249" t="s">
        <v>3125</v>
      </c>
      <c r="J62" s="106">
        <v>1</v>
      </c>
      <c r="K62" s="248">
        <f>VLOOKUP('ValveBox Components'!E62,'All Products'!D:H,5,FALSE)</f>
        <v>16.73</v>
      </c>
      <c r="L62" s="205">
        <f>ROUND(K62*Order_Quote!$L$19,2)</f>
        <v>83.65</v>
      </c>
      <c r="M62" s="78"/>
      <c r="N62" s="116"/>
      <c r="O62" s="497">
        <f t="shared" si="2"/>
        <v>0</v>
      </c>
      <c r="Q62" s="496" t="s">
        <v>359</v>
      </c>
      <c r="R62" s="249" t="s">
        <v>102</v>
      </c>
      <c r="S62" s="325" t="s">
        <v>3536</v>
      </c>
      <c r="T62" s="325">
        <v>0</v>
      </c>
      <c r="U62" s="330">
        <v>0</v>
      </c>
      <c r="V62" s="357">
        <v>1.125</v>
      </c>
      <c r="W62" s="497">
        <v>0.06</v>
      </c>
    </row>
    <row r="63" spans="1:23" ht="15.75" thickBot="1">
      <c r="A63" s="104" t="str">
        <f>IF(M63&gt;0,COUNT($A$9:A62)+COUNT('DWV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3" s="639"/>
      <c r="C63" s="580"/>
      <c r="D63" s="158" t="s">
        <v>3537</v>
      </c>
      <c r="E63" s="106">
        <v>100025370</v>
      </c>
      <c r="F63" s="159" t="s">
        <v>3538</v>
      </c>
      <c r="G63" s="106" t="s">
        <v>2803</v>
      </c>
      <c r="H63" s="106" t="s">
        <v>3037</v>
      </c>
      <c r="I63" s="249" t="s">
        <v>3422</v>
      </c>
      <c r="J63" s="106">
        <v>1</v>
      </c>
      <c r="K63" s="248">
        <f>VLOOKUP('ValveBox Components'!E63,'All Products'!D:H,5,FALSE)</f>
        <v>16.73</v>
      </c>
      <c r="L63" s="205">
        <f>ROUND(K63*Order_Quote!$L$19,2)</f>
        <v>83.65</v>
      </c>
      <c r="M63" s="78"/>
      <c r="N63" s="116"/>
      <c r="O63" s="497">
        <f t="shared" si="2"/>
        <v>0</v>
      </c>
      <c r="Q63" s="496" t="s">
        <v>359</v>
      </c>
      <c r="R63" s="249" t="s">
        <v>102</v>
      </c>
      <c r="S63" s="325">
        <v>0</v>
      </c>
      <c r="T63" s="325">
        <v>0</v>
      </c>
      <c r="U63" s="330">
        <v>0</v>
      </c>
      <c r="V63" s="357">
        <v>1.125</v>
      </c>
      <c r="W63" s="497">
        <v>0.06</v>
      </c>
    </row>
    <row r="64" spans="1:23" ht="15.75" thickBot="1">
      <c r="A64" s="104" t="str">
        <f>IF(M64&gt;0,COUNT($A$9:A63)+COUNT('DWV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4" s="639"/>
      <c r="C64" s="580"/>
      <c r="D64" s="158" t="s">
        <v>3539</v>
      </c>
      <c r="E64" s="106">
        <v>100025371</v>
      </c>
      <c r="F64" s="159" t="s">
        <v>3540</v>
      </c>
      <c r="G64" s="106" t="s">
        <v>2803</v>
      </c>
      <c r="H64" s="106" t="s">
        <v>3037</v>
      </c>
      <c r="I64" s="249" t="s">
        <v>3144</v>
      </c>
      <c r="J64" s="106">
        <v>1</v>
      </c>
      <c r="K64" s="248">
        <f>VLOOKUP('ValveBox Components'!E64,'All Products'!D:H,5,FALSE)</f>
        <v>16.73</v>
      </c>
      <c r="L64" s="205">
        <f>ROUND(K64*Order_Quote!$L$19,2)</f>
        <v>83.65</v>
      </c>
      <c r="M64" s="78"/>
      <c r="N64" s="116"/>
      <c r="O64" s="497">
        <f t="shared" si="2"/>
        <v>0</v>
      </c>
      <c r="Q64" s="496" t="s">
        <v>359</v>
      </c>
      <c r="R64" s="249" t="s">
        <v>102</v>
      </c>
      <c r="S64" s="325" t="s">
        <v>3541</v>
      </c>
      <c r="T64" s="325">
        <v>0</v>
      </c>
      <c r="U64" s="330">
        <v>0</v>
      </c>
      <c r="V64" s="357">
        <v>1.125</v>
      </c>
      <c r="W64" s="497">
        <v>0.06</v>
      </c>
    </row>
    <row r="65" spans="1:23" ht="15.75" thickBot="1">
      <c r="A65" s="104" t="str">
        <f>IF(M65&gt;0,COUNT($A$9:A64)+COUNT('DWV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5" s="640"/>
      <c r="C65" s="641"/>
      <c r="D65" s="185" t="s">
        <v>3542</v>
      </c>
      <c r="E65" s="151">
        <v>100025385</v>
      </c>
      <c r="F65" s="186" t="s">
        <v>3543</v>
      </c>
      <c r="G65" s="151" t="s">
        <v>2803</v>
      </c>
      <c r="H65" s="151" t="s">
        <v>2929</v>
      </c>
      <c r="I65" s="250" t="s">
        <v>3144</v>
      </c>
      <c r="J65" s="151">
        <v>1</v>
      </c>
      <c r="K65" s="248">
        <f>VLOOKUP('ValveBox Components'!E65,'All Products'!D:H,5,FALSE)</f>
        <v>16.73</v>
      </c>
      <c r="L65" s="214">
        <f>ROUND(K65*Order_Quote!$L$19,2)</f>
        <v>83.65</v>
      </c>
      <c r="M65" s="187"/>
      <c r="N65" s="488"/>
      <c r="O65" s="499">
        <f t="shared" si="2"/>
        <v>0</v>
      </c>
      <c r="Q65" s="498" t="s">
        <v>359</v>
      </c>
      <c r="R65" s="250" t="s">
        <v>102</v>
      </c>
      <c r="S65" s="326" t="s">
        <v>3544</v>
      </c>
      <c r="T65" s="326">
        <v>0</v>
      </c>
      <c r="U65" s="331">
        <v>0</v>
      </c>
      <c r="V65" s="358">
        <v>1.125</v>
      </c>
      <c r="W65" s="499">
        <v>0.06</v>
      </c>
    </row>
    <row r="66" spans="1:23">
      <c r="A66" s="104" t="str">
        <f>IF(M66&gt;0,COUNT($A$9:A65)+COUNT('DWV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6" s="20"/>
      <c r="C66" s="152"/>
      <c r="D66" s="152"/>
      <c r="E66" s="152"/>
      <c r="F66" s="152"/>
      <c r="G66" s="154"/>
      <c r="H66" s="154"/>
      <c r="I66" s="252"/>
      <c r="J66" s="152"/>
      <c r="K66" s="152"/>
      <c r="L66" s="253"/>
      <c r="M66" s="152"/>
      <c r="N66" s="152"/>
      <c r="O66" s="152"/>
      <c r="P66" s="17"/>
      <c r="Q66" s="252"/>
      <c r="R66" s="252"/>
      <c r="S66" s="252"/>
      <c r="T66" s="252"/>
      <c r="U66" s="252"/>
      <c r="V66" s="152"/>
      <c r="W66" s="152"/>
    </row>
    <row r="67" spans="1:23" ht="19.5" thickBot="1">
      <c r="A67" s="104" t="str">
        <f>IF(M67&gt;0,COUNT($A$9:A66)+COUNT('DWV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7" s="242" t="s">
        <v>3146</v>
      </c>
      <c r="C67" s="152"/>
      <c r="D67" s="152"/>
      <c r="E67" s="152"/>
      <c r="F67" s="152"/>
      <c r="G67" s="154"/>
      <c r="H67" s="154"/>
      <c r="I67" s="252"/>
      <c r="J67" s="152"/>
      <c r="K67" s="152"/>
      <c r="L67" s="253"/>
      <c r="M67" s="152"/>
      <c r="N67" s="152"/>
      <c r="O67" s="152"/>
      <c r="P67" s="17"/>
      <c r="Q67" s="252"/>
      <c r="R67" s="252"/>
      <c r="S67" s="252"/>
      <c r="T67" s="252"/>
      <c r="U67" s="252"/>
      <c r="V67" s="152"/>
      <c r="W67" s="152"/>
    </row>
    <row r="68" spans="1:23" ht="16.5" thickBot="1">
      <c r="A68" s="104" t="str">
        <f>IF(M68&gt;0,COUNT($A$9:A67)+COUNT('DWV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8" s="166" t="s">
        <v>3545</v>
      </c>
      <c r="C68" s="167"/>
      <c r="D68" s="167"/>
      <c r="E68" s="167"/>
      <c r="F68" s="167"/>
      <c r="G68" s="167"/>
      <c r="H68" s="167"/>
      <c r="I68" s="167"/>
      <c r="J68" s="167"/>
      <c r="K68" s="167"/>
      <c r="L68" s="228"/>
      <c r="M68" s="167"/>
      <c r="N68" s="167"/>
      <c r="O68" s="167"/>
      <c r="P68" s="17"/>
      <c r="Q68" s="492"/>
      <c r="R68" s="160"/>
      <c r="S68" s="160"/>
      <c r="T68" s="160"/>
      <c r="U68" s="160"/>
      <c r="V68" s="167"/>
      <c r="W68" s="493"/>
    </row>
    <row r="69" spans="1:23" ht="15.75" thickBot="1">
      <c r="A69" s="104" t="str">
        <f>IF(M69&gt;0,COUNT($A$9:A68)+COUNT('DWV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69" s="644" t="s">
        <v>2803</v>
      </c>
      <c r="C69" s="645"/>
      <c r="D69" s="182" t="s">
        <v>3546</v>
      </c>
      <c r="E69" s="150">
        <v>100025309</v>
      </c>
      <c r="F69" s="183" t="s">
        <v>3547</v>
      </c>
      <c r="G69" s="150" t="s">
        <v>3037</v>
      </c>
      <c r="H69" s="150" t="s">
        <v>2803</v>
      </c>
      <c r="I69" s="247" t="s">
        <v>1205</v>
      </c>
      <c r="J69" s="150">
        <v>1</v>
      </c>
      <c r="K69" s="248">
        <f>VLOOKUP('ValveBox Components'!E69,'All Products'!D:H,5,FALSE)</f>
        <v>139.02000000000001</v>
      </c>
      <c r="L69" s="213">
        <f>ROUND(K69*Order_Quote!$L$19,2)</f>
        <v>695.1</v>
      </c>
      <c r="M69" s="191"/>
      <c r="N69" s="487"/>
      <c r="O69" s="248">
        <f>M69/J69</f>
        <v>0</v>
      </c>
      <c r="Q69" s="494" t="s">
        <v>359</v>
      </c>
      <c r="R69" s="247" t="s">
        <v>102</v>
      </c>
      <c r="S69" s="324" t="s">
        <v>3548</v>
      </c>
      <c r="T69" s="324">
        <v>0</v>
      </c>
      <c r="U69" s="329">
        <v>0</v>
      </c>
      <c r="V69" s="356">
        <v>4.0750000000000002</v>
      </c>
      <c r="W69" s="495">
        <v>1.49</v>
      </c>
    </row>
    <row r="70" spans="1:23" ht="15.75" thickBot="1">
      <c r="A70" s="104" t="str">
        <f>IF(M70&gt;0,COUNT($A$9:A69)+COUNT('DWV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0" s="646"/>
      <c r="C70" s="647"/>
      <c r="D70" s="158" t="s">
        <v>3549</v>
      </c>
      <c r="E70" s="106">
        <v>100025311</v>
      </c>
      <c r="F70" s="159" t="s">
        <v>3550</v>
      </c>
      <c r="G70" s="106" t="s">
        <v>2941</v>
      </c>
      <c r="H70" s="106" t="s">
        <v>2803</v>
      </c>
      <c r="I70" s="249" t="s">
        <v>1205</v>
      </c>
      <c r="J70" s="106">
        <v>1</v>
      </c>
      <c r="K70" s="248">
        <f>VLOOKUP('ValveBox Components'!E70,'All Products'!D:H,5,FALSE)</f>
        <v>139.02000000000001</v>
      </c>
      <c r="L70" s="205">
        <f>ROUND(K70*Order_Quote!$L$19,2)</f>
        <v>695.1</v>
      </c>
      <c r="M70" s="78"/>
      <c r="N70" s="116"/>
      <c r="O70" s="153">
        <f>M70/J70</f>
        <v>0</v>
      </c>
      <c r="Q70" s="496" t="s">
        <v>359</v>
      </c>
      <c r="R70" s="249" t="s">
        <v>102</v>
      </c>
      <c r="S70" s="325" t="s">
        <v>3551</v>
      </c>
      <c r="T70" s="325">
        <v>0</v>
      </c>
      <c r="U70" s="330">
        <v>0</v>
      </c>
      <c r="V70" s="357">
        <v>4.0750000000000002</v>
      </c>
      <c r="W70" s="497">
        <v>1.49</v>
      </c>
    </row>
    <row r="71" spans="1:23" ht="15.75" thickBot="1">
      <c r="A71" s="104" t="str">
        <f>IF(M71&gt;0,COUNT($A$9:A70)+COUNT('DWV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1" s="646"/>
      <c r="C71" s="647"/>
      <c r="D71" s="158" t="s">
        <v>3552</v>
      </c>
      <c r="E71" s="106">
        <v>100025569</v>
      </c>
      <c r="F71" s="159" t="s">
        <v>3553</v>
      </c>
      <c r="G71" s="106" t="s">
        <v>2929</v>
      </c>
      <c r="H71" s="106" t="s">
        <v>2803</v>
      </c>
      <c r="I71" s="249" t="s">
        <v>1205</v>
      </c>
      <c r="J71" s="106">
        <v>1</v>
      </c>
      <c r="K71" s="248">
        <f>VLOOKUP('ValveBox Components'!E71,'All Products'!D:H,5,FALSE)</f>
        <v>139.02000000000001</v>
      </c>
      <c r="L71" s="205">
        <f>ROUND(K71*Order_Quote!$L$19,2)</f>
        <v>695.1</v>
      </c>
      <c r="M71" s="78"/>
      <c r="N71" s="116"/>
      <c r="O71" s="153">
        <f>M71/J71</f>
        <v>0</v>
      </c>
      <c r="Q71" s="496" t="s">
        <v>359</v>
      </c>
      <c r="R71" s="249" t="s">
        <v>102</v>
      </c>
      <c r="S71" s="325" t="s">
        <v>3554</v>
      </c>
      <c r="T71" s="325">
        <v>0</v>
      </c>
      <c r="U71" s="330">
        <v>0</v>
      </c>
      <c r="V71" s="357">
        <v>4.0750000000000002</v>
      </c>
      <c r="W71" s="497">
        <v>1.49</v>
      </c>
    </row>
    <row r="72" spans="1:23" ht="16.5" thickBot="1">
      <c r="A72" s="104" t="str">
        <f>IF(M72&gt;0,COUNT($A$9:A71)+COUNT('DWV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2" s="166" t="s">
        <v>3555</v>
      </c>
      <c r="C72" s="167"/>
      <c r="D72" s="167"/>
      <c r="E72" s="167"/>
      <c r="F72" s="167"/>
      <c r="G72" s="167"/>
      <c r="H72" s="167"/>
      <c r="I72" s="167"/>
      <c r="J72" s="167"/>
      <c r="K72" s="167"/>
      <c r="L72" s="228"/>
      <c r="M72" s="167"/>
      <c r="N72" s="167"/>
      <c r="O72" s="493"/>
      <c r="P72" s="17"/>
      <c r="Q72" s="492"/>
      <c r="R72" s="160"/>
      <c r="S72" s="160"/>
      <c r="T72" s="160"/>
      <c r="U72" s="160"/>
      <c r="V72" s="167"/>
      <c r="W72" s="493"/>
    </row>
    <row r="73" spans="1:23" ht="15.75" thickBot="1">
      <c r="A73" s="104" t="str">
        <f>IF(M73&gt;0,COUNT($A$9:A72)+COUNT('DWV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3" s="646"/>
      <c r="C73" s="647"/>
      <c r="D73" s="158" t="s">
        <v>3556</v>
      </c>
      <c r="E73" s="106">
        <v>100025395</v>
      </c>
      <c r="F73" s="159" t="s">
        <v>3557</v>
      </c>
      <c r="G73" s="106" t="s">
        <v>2803</v>
      </c>
      <c r="H73" s="106" t="s">
        <v>3037</v>
      </c>
      <c r="I73" s="249" t="s">
        <v>3038</v>
      </c>
      <c r="J73" s="106">
        <v>1</v>
      </c>
      <c r="K73" s="248">
        <f>VLOOKUP('ValveBox Components'!E73,'All Products'!D:H,5,FALSE)</f>
        <v>57.96</v>
      </c>
      <c r="L73" s="205">
        <f>ROUND(K73*Order_Quote!$L$19,2)</f>
        <v>289.8</v>
      </c>
      <c r="M73" s="78"/>
      <c r="N73" s="116"/>
      <c r="O73" s="497">
        <f t="shared" ref="O73:O77" si="3">M73/J73</f>
        <v>0</v>
      </c>
      <c r="Q73" s="496" t="s">
        <v>76</v>
      </c>
      <c r="R73" s="249" t="s">
        <v>102</v>
      </c>
      <c r="S73" s="325" t="s">
        <v>3558</v>
      </c>
      <c r="T73" s="325">
        <v>0</v>
      </c>
      <c r="U73" s="330">
        <v>0</v>
      </c>
      <c r="V73" s="357">
        <v>1.2050000000000001</v>
      </c>
      <c r="W73" s="497">
        <v>0.12</v>
      </c>
    </row>
    <row r="74" spans="1:23" ht="15.75" thickBot="1">
      <c r="A74" s="104" t="str">
        <f>IF(M74&gt;0,COUNT($A$9:A73)+COUNT('DWV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4" s="646"/>
      <c r="C74" s="647"/>
      <c r="D74" s="158" t="s">
        <v>3559</v>
      </c>
      <c r="E74" s="106">
        <v>100025398</v>
      </c>
      <c r="F74" s="159" t="s">
        <v>3560</v>
      </c>
      <c r="G74" s="106" t="s">
        <v>2803</v>
      </c>
      <c r="H74" s="106" t="s">
        <v>3043</v>
      </c>
      <c r="I74" s="249" t="s">
        <v>3038</v>
      </c>
      <c r="J74" s="106">
        <v>1</v>
      </c>
      <c r="K74" s="248">
        <f>VLOOKUP('ValveBox Components'!E74,'All Products'!D:H,5,FALSE)</f>
        <v>57.96</v>
      </c>
      <c r="L74" s="205">
        <f>ROUND(K74*Order_Quote!$L$19,2)</f>
        <v>289.8</v>
      </c>
      <c r="M74" s="78"/>
      <c r="N74" s="116"/>
      <c r="O74" s="497">
        <f t="shared" si="3"/>
        <v>0</v>
      </c>
      <c r="Q74" s="496" t="s">
        <v>359</v>
      </c>
      <c r="R74" s="249" t="s">
        <v>102</v>
      </c>
      <c r="S74" s="325" t="s">
        <v>3561</v>
      </c>
      <c r="T74" s="325">
        <v>0</v>
      </c>
      <c r="U74" s="330">
        <v>0</v>
      </c>
      <c r="V74" s="357">
        <v>1.2050000000000001</v>
      </c>
      <c r="W74" s="497">
        <v>0.12</v>
      </c>
    </row>
    <row r="75" spans="1:23" ht="15.75" thickBot="1">
      <c r="A75" s="104" t="str">
        <f>IF(M75&gt;0,COUNT($A$9:A74)+COUNT('DWV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5" s="646"/>
      <c r="C75" s="647"/>
      <c r="D75" s="158" t="s">
        <v>3562</v>
      </c>
      <c r="E75" s="106">
        <v>100025401</v>
      </c>
      <c r="F75" s="159" t="s">
        <v>3563</v>
      </c>
      <c r="G75" s="106" t="s">
        <v>2803</v>
      </c>
      <c r="H75" s="106" t="s">
        <v>2929</v>
      </c>
      <c r="I75" s="249" t="s">
        <v>3038</v>
      </c>
      <c r="J75" s="106">
        <v>1</v>
      </c>
      <c r="K75" s="248">
        <f>VLOOKUP('ValveBox Components'!E75,'All Products'!D:H,5,FALSE)</f>
        <v>57.96</v>
      </c>
      <c r="L75" s="205">
        <f>ROUND(K75*Order_Quote!$L$19,2)</f>
        <v>289.8</v>
      </c>
      <c r="M75" s="78"/>
      <c r="N75" s="116"/>
      <c r="O75" s="497">
        <f t="shared" si="3"/>
        <v>0</v>
      </c>
      <c r="Q75" s="496" t="s">
        <v>359</v>
      </c>
      <c r="R75" s="249" t="s">
        <v>102</v>
      </c>
      <c r="S75" s="325" t="s">
        <v>3564</v>
      </c>
      <c r="T75" s="325">
        <v>0</v>
      </c>
      <c r="U75" s="330">
        <v>0</v>
      </c>
      <c r="V75" s="357">
        <v>1.2050000000000001</v>
      </c>
      <c r="W75" s="497">
        <v>0.12</v>
      </c>
    </row>
    <row r="76" spans="1:23" ht="15.75" thickBot="1">
      <c r="A76" s="104" t="str">
        <f>IF(M76&gt;0,COUNT($A$9:A75)+COUNT('DWV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6" s="646"/>
      <c r="C76" s="647"/>
      <c r="D76" s="158" t="s">
        <v>3565</v>
      </c>
      <c r="E76" s="106">
        <v>100025400</v>
      </c>
      <c r="F76" s="159" t="s">
        <v>3566</v>
      </c>
      <c r="G76" s="106" t="s">
        <v>2803</v>
      </c>
      <c r="H76" s="106" t="s">
        <v>2941</v>
      </c>
      <c r="I76" s="249" t="s">
        <v>3048</v>
      </c>
      <c r="J76" s="106">
        <v>1</v>
      </c>
      <c r="K76" s="248">
        <f>VLOOKUP('ValveBox Components'!E76,'All Products'!D:H,5,FALSE)</f>
        <v>57.96</v>
      </c>
      <c r="L76" s="205">
        <f>ROUND(K76*Order_Quote!$L$19,2)</f>
        <v>289.8</v>
      </c>
      <c r="M76" s="78"/>
      <c r="N76" s="116"/>
      <c r="O76" s="497">
        <f t="shared" si="3"/>
        <v>0</v>
      </c>
      <c r="Q76" s="496" t="s">
        <v>359</v>
      </c>
      <c r="R76" s="249" t="s">
        <v>102</v>
      </c>
      <c r="S76" s="325" t="s">
        <v>3567</v>
      </c>
      <c r="T76" s="325">
        <v>0</v>
      </c>
      <c r="U76" s="330">
        <v>0</v>
      </c>
      <c r="V76" s="357">
        <v>1.2050000000000001</v>
      </c>
      <c r="W76" s="497">
        <v>0.12</v>
      </c>
    </row>
    <row r="77" spans="1:23" ht="15.75" thickBot="1">
      <c r="A77" s="104" t="str">
        <f>IF(M77&gt;0,COUNT($A$9:A76)+COUNT('DWV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7" s="648"/>
      <c r="C77" s="649"/>
      <c r="D77" s="185" t="s">
        <v>3568</v>
      </c>
      <c r="E77" s="151">
        <v>100025396</v>
      </c>
      <c r="F77" s="186" t="s">
        <v>3569</v>
      </c>
      <c r="G77" s="151" t="s">
        <v>2803</v>
      </c>
      <c r="H77" s="151" t="s">
        <v>3037</v>
      </c>
      <c r="I77" s="250" t="s">
        <v>3158</v>
      </c>
      <c r="J77" s="151">
        <v>1</v>
      </c>
      <c r="K77" s="248">
        <f>VLOOKUP('ValveBox Components'!E77,'All Products'!D:H,5,FALSE)</f>
        <v>57.96</v>
      </c>
      <c r="L77" s="214">
        <f>ROUND(K77*Order_Quote!$L$19,2)</f>
        <v>289.8</v>
      </c>
      <c r="M77" s="187"/>
      <c r="N77" s="488"/>
      <c r="O77" s="499">
        <f t="shared" si="3"/>
        <v>0</v>
      </c>
      <c r="Q77" s="498" t="s">
        <v>359</v>
      </c>
      <c r="R77" s="250" t="s">
        <v>102</v>
      </c>
      <c r="S77" s="326" t="s">
        <v>3570</v>
      </c>
      <c r="T77" s="326">
        <v>0</v>
      </c>
      <c r="U77" s="331">
        <v>0</v>
      </c>
      <c r="V77" s="358">
        <v>1.2050000000000001</v>
      </c>
      <c r="W77" s="499">
        <v>0.12</v>
      </c>
    </row>
    <row r="78" spans="1:23" ht="15.75">
      <c r="A78" s="104" t="str">
        <f>IF(M78&gt;0,COUNT($A$9:A77)+COUNT('DWV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8" s="147"/>
      <c r="C78" s="147"/>
      <c r="D78" s="152"/>
      <c r="E78" s="152"/>
      <c r="F78" s="152"/>
      <c r="G78" s="154"/>
      <c r="H78" s="154"/>
      <c r="I78" s="252"/>
      <c r="J78" s="152"/>
      <c r="K78" s="152"/>
      <c r="L78" s="253"/>
      <c r="M78" s="152"/>
      <c r="N78" s="152"/>
      <c r="O78" s="152"/>
      <c r="P78" s="17"/>
      <c r="Q78" s="252"/>
      <c r="R78" s="252"/>
      <c r="S78" s="252"/>
      <c r="T78" s="252"/>
      <c r="U78" s="252"/>
      <c r="V78" s="152"/>
      <c r="W78" s="152"/>
    </row>
    <row r="79" spans="1:23" ht="19.5" thickBot="1">
      <c r="A79" s="104" t="str">
        <f>IF(M79&gt;0,COUNT($A$9:A78)+COUNT('DWV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79" s="242" t="s">
        <v>3167</v>
      </c>
      <c r="C79" s="232"/>
      <c r="D79" s="152"/>
      <c r="E79" s="152"/>
      <c r="F79" s="152"/>
      <c r="G79" s="154"/>
      <c r="H79" s="154"/>
      <c r="I79" s="252"/>
      <c r="J79" s="152"/>
      <c r="K79" s="152"/>
      <c r="L79" s="253"/>
      <c r="M79" s="152"/>
      <c r="N79" s="152"/>
      <c r="O79" s="152"/>
      <c r="P79" s="17"/>
      <c r="Q79" s="252"/>
      <c r="R79" s="252"/>
      <c r="S79" s="252"/>
      <c r="T79" s="252"/>
      <c r="U79" s="252"/>
      <c r="V79" s="152"/>
      <c r="W79" s="152"/>
    </row>
    <row r="80" spans="1:23" ht="16.5" thickBot="1">
      <c r="A80" s="104" t="str">
        <f>IF(M80&gt;0,COUNT($A$9:A79)+COUNT('DWV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0" s="169" t="s">
        <v>3571</v>
      </c>
      <c r="C80" s="168"/>
      <c r="D80" s="168"/>
      <c r="E80" s="168"/>
      <c r="F80" s="168"/>
      <c r="G80" s="167"/>
      <c r="H80" s="168"/>
      <c r="I80" s="168"/>
      <c r="J80" s="168"/>
      <c r="K80" s="168"/>
      <c r="L80" s="229"/>
      <c r="M80" s="168"/>
      <c r="N80" s="168"/>
      <c r="O80" s="501"/>
      <c r="P80" s="17"/>
      <c r="Q80" s="500"/>
      <c r="R80" s="161"/>
      <c r="S80" s="161"/>
      <c r="T80" s="161"/>
      <c r="U80" s="161"/>
      <c r="V80" s="168"/>
      <c r="W80" s="501"/>
    </row>
    <row r="81" spans="1:23" ht="36.75" customHeight="1" thickBot="1">
      <c r="A81" s="104" t="str">
        <f>IF(M81&gt;0,COUNT($A$9:A80)+COUNT('DWV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1" s="650"/>
      <c r="C81" s="652"/>
      <c r="D81" s="182" t="s">
        <v>3572</v>
      </c>
      <c r="E81" s="150">
        <v>100025571</v>
      </c>
      <c r="F81" s="183" t="s">
        <v>3573</v>
      </c>
      <c r="G81" s="171" t="s">
        <v>3037</v>
      </c>
      <c r="H81" s="150" t="s">
        <v>2803</v>
      </c>
      <c r="I81" s="247" t="s">
        <v>1205</v>
      </c>
      <c r="J81" s="150">
        <v>98</v>
      </c>
      <c r="K81" s="248">
        <f>VLOOKUP('ValveBox Components'!E81,'All Products'!D:H,5,FALSE)</f>
        <v>50.98</v>
      </c>
      <c r="L81" s="213">
        <f>ROUND(K81*Order_Quote!$L$19,2)</f>
        <v>254.9</v>
      </c>
      <c r="M81" s="191"/>
      <c r="N81" s="487"/>
      <c r="O81" s="495">
        <f>M81/J81</f>
        <v>0</v>
      </c>
      <c r="Q81" s="494" t="s">
        <v>76</v>
      </c>
      <c r="R81" s="247" t="s">
        <v>102</v>
      </c>
      <c r="S81" s="324" t="s">
        <v>3574</v>
      </c>
      <c r="T81" s="324">
        <v>0</v>
      </c>
      <c r="U81" s="329">
        <v>0</v>
      </c>
      <c r="V81" s="356">
        <v>3.83</v>
      </c>
      <c r="W81" s="495">
        <v>1.01</v>
      </c>
    </row>
    <row r="82" spans="1:23" ht="36.75" customHeight="1" thickBot="1">
      <c r="A82" s="104" t="str">
        <f>IF(M82&gt;0,COUNT($A$9:A81)+COUNT('DWV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2" s="651"/>
      <c r="C82" s="653"/>
      <c r="D82" s="158" t="s">
        <v>3575</v>
      </c>
      <c r="E82" s="106">
        <v>100025318</v>
      </c>
      <c r="F82" s="159" t="s">
        <v>3576</v>
      </c>
      <c r="G82" s="106" t="s">
        <v>2941</v>
      </c>
      <c r="H82" s="106" t="s">
        <v>2803</v>
      </c>
      <c r="I82" s="249" t="s">
        <v>1205</v>
      </c>
      <c r="J82" s="106">
        <v>98</v>
      </c>
      <c r="K82" s="248">
        <f>VLOOKUP('ValveBox Components'!E82,'All Products'!D:H,5,FALSE)</f>
        <v>50.98</v>
      </c>
      <c r="L82" s="205">
        <f>ROUND(K82*Order_Quote!$L$19,2)</f>
        <v>254.9</v>
      </c>
      <c r="M82" s="78"/>
      <c r="N82" s="116"/>
      <c r="O82" s="497">
        <f>M82/J82</f>
        <v>0</v>
      </c>
      <c r="Q82" s="496" t="s">
        <v>359</v>
      </c>
      <c r="R82" s="249" t="s">
        <v>102</v>
      </c>
      <c r="S82" s="325" t="s">
        <v>3577</v>
      </c>
      <c r="T82" s="325">
        <v>0</v>
      </c>
      <c r="U82" s="330">
        <v>0</v>
      </c>
      <c r="V82" s="357">
        <v>3.83</v>
      </c>
      <c r="W82" s="497">
        <v>1.01</v>
      </c>
    </row>
    <row r="83" spans="1:23" ht="16.5" thickBot="1">
      <c r="A83" s="104" t="str">
        <f>IF(M83&gt;0,COUNT($A$9:A82)+COUNT('DWV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3" s="166" t="s">
        <v>3578</v>
      </c>
      <c r="C83" s="167"/>
      <c r="D83" s="167"/>
      <c r="E83" s="167"/>
      <c r="F83" s="167"/>
      <c r="G83" s="167"/>
      <c r="H83" s="167"/>
      <c r="I83" s="167"/>
      <c r="J83" s="167"/>
      <c r="K83" s="167"/>
      <c r="L83" s="228"/>
      <c r="M83" s="167"/>
      <c r="N83" s="167"/>
      <c r="O83" s="493"/>
      <c r="P83" s="17"/>
      <c r="Q83" s="492"/>
      <c r="R83" s="160"/>
      <c r="S83" s="160"/>
      <c r="T83" s="160"/>
      <c r="U83" s="160"/>
      <c r="V83" s="167"/>
      <c r="W83" s="493"/>
    </row>
    <row r="84" spans="1:23" ht="33" customHeight="1" thickBot="1">
      <c r="A84" s="104" t="str">
        <f>IF(M84&gt;0,COUNT($A$9:A83)+COUNT('DWV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4" s="639"/>
      <c r="C84" s="580"/>
      <c r="D84" s="158" t="s">
        <v>3579</v>
      </c>
      <c r="E84" s="106">
        <v>100025317</v>
      </c>
      <c r="F84" s="159" t="s">
        <v>3580</v>
      </c>
      <c r="G84" s="106" t="s">
        <v>2941</v>
      </c>
      <c r="H84" s="106" t="s">
        <v>2803</v>
      </c>
      <c r="I84" s="249" t="s">
        <v>1205</v>
      </c>
      <c r="J84" s="106">
        <v>72</v>
      </c>
      <c r="K84" s="248">
        <f>VLOOKUP('ValveBox Components'!E84,'All Products'!D:H,5,FALSE)</f>
        <v>60.58</v>
      </c>
      <c r="L84" s="205">
        <f>ROUND(K84*Order_Quote!$L$19,2)</f>
        <v>302.89999999999998</v>
      </c>
      <c r="M84" s="78"/>
      <c r="N84" s="116"/>
      <c r="O84" s="497">
        <f t="shared" ref="O84:O85" si="4">M84/J84</f>
        <v>0</v>
      </c>
      <c r="Q84" s="496" t="s">
        <v>359</v>
      </c>
      <c r="R84" s="249" t="s">
        <v>102</v>
      </c>
      <c r="S84" s="325" t="s">
        <v>3581</v>
      </c>
      <c r="T84" s="325">
        <v>0</v>
      </c>
      <c r="U84" s="330">
        <v>0</v>
      </c>
      <c r="V84" s="357">
        <v>6.3150000000000004</v>
      </c>
      <c r="W84" s="497">
        <v>2.38</v>
      </c>
    </row>
    <row r="85" spans="1:23" ht="33" customHeight="1" thickBot="1">
      <c r="A85" s="104" t="str">
        <f>IF(M85&gt;0,COUNT($A$9:A84)+COUNT('DWV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5" s="640"/>
      <c r="C85" s="641"/>
      <c r="D85" s="185" t="s">
        <v>3582</v>
      </c>
      <c r="E85" s="151">
        <v>100025575</v>
      </c>
      <c r="F85" s="186" t="s">
        <v>3583</v>
      </c>
      <c r="G85" s="151" t="s">
        <v>2929</v>
      </c>
      <c r="H85" s="151" t="s">
        <v>2803</v>
      </c>
      <c r="I85" s="250" t="s">
        <v>1205</v>
      </c>
      <c r="J85" s="151">
        <v>72</v>
      </c>
      <c r="K85" s="248">
        <f>VLOOKUP('ValveBox Components'!E85,'All Products'!D:H,5,FALSE)</f>
        <v>60.58</v>
      </c>
      <c r="L85" s="214">
        <f>ROUND(K85*Order_Quote!$L$19,2)</f>
        <v>302.89999999999998</v>
      </c>
      <c r="M85" s="187"/>
      <c r="N85" s="488"/>
      <c r="O85" s="499">
        <f t="shared" si="4"/>
        <v>0</v>
      </c>
      <c r="Q85" s="498" t="s">
        <v>76</v>
      </c>
      <c r="R85" s="250" t="s">
        <v>102</v>
      </c>
      <c r="S85" s="326" t="s">
        <v>3584</v>
      </c>
      <c r="T85" s="326">
        <v>0</v>
      </c>
      <c r="U85" s="331">
        <v>0</v>
      </c>
      <c r="V85" s="358">
        <v>6.3150000000000004</v>
      </c>
      <c r="W85" s="499">
        <v>2.38</v>
      </c>
    </row>
    <row r="86" spans="1:23">
      <c r="A86" s="104" t="str">
        <f>IF(M86&gt;0,COUNT($A$9:A85)+COUNT('DWV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6" s="20"/>
      <c r="C86" s="152"/>
      <c r="D86" s="152"/>
      <c r="E86" s="152"/>
      <c r="F86" s="152"/>
      <c r="G86" s="154"/>
      <c r="H86" s="154"/>
      <c r="I86" s="252"/>
      <c r="J86" s="152"/>
      <c r="K86" s="152"/>
      <c r="L86" s="253"/>
      <c r="M86" s="152"/>
      <c r="N86" s="152"/>
      <c r="O86" s="152"/>
      <c r="P86" s="17"/>
      <c r="Q86" s="252"/>
      <c r="R86" s="252"/>
      <c r="S86" s="252"/>
      <c r="T86" s="252"/>
      <c r="U86" s="252"/>
      <c r="V86" s="152"/>
      <c r="W86" s="152"/>
    </row>
    <row r="87" spans="1:23" ht="19.5" thickBot="1">
      <c r="A87" s="104" t="str">
        <f>IF(M87&gt;0,COUNT($A$9:A86)+COUNT('DWV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7" s="148" t="s">
        <v>3297</v>
      </c>
      <c r="C87" s="152"/>
      <c r="D87" s="152"/>
      <c r="E87" s="152"/>
      <c r="F87" s="152"/>
      <c r="G87" s="154"/>
      <c r="H87" s="154"/>
      <c r="I87" s="252"/>
      <c r="J87" s="152"/>
      <c r="K87" s="152"/>
      <c r="L87" s="253"/>
      <c r="M87" s="152"/>
      <c r="N87" s="152"/>
      <c r="O87" s="152"/>
      <c r="P87" s="17"/>
      <c r="Q87" s="252"/>
      <c r="R87" s="252"/>
      <c r="S87" s="252"/>
      <c r="T87" s="252"/>
      <c r="U87" s="252"/>
      <c r="V87" s="152"/>
      <c r="W87" s="152"/>
    </row>
    <row r="88" spans="1:23" ht="16.5" thickBot="1">
      <c r="A88" s="104" t="str">
        <f>IF(M88&gt;0,COUNT($A$9:A87)+COUNT('DWV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8" s="166" t="s">
        <v>3585</v>
      </c>
      <c r="C88" s="167"/>
      <c r="D88" s="167"/>
      <c r="E88" s="167"/>
      <c r="F88" s="167"/>
      <c r="G88" s="167"/>
      <c r="H88" s="167"/>
      <c r="I88" s="167"/>
      <c r="J88" s="167"/>
      <c r="K88" s="167"/>
      <c r="L88" s="228"/>
      <c r="M88" s="167"/>
      <c r="N88" s="167"/>
      <c r="O88" s="493"/>
      <c r="P88" s="17"/>
      <c r="Q88" s="492"/>
      <c r="R88" s="160"/>
      <c r="S88" s="160"/>
      <c r="T88" s="160"/>
      <c r="U88" s="160"/>
      <c r="V88" s="167"/>
      <c r="W88" s="493"/>
    </row>
    <row r="89" spans="1:23" ht="15.75" thickBot="1">
      <c r="A89" s="104" t="str">
        <f>IF(M89&gt;0,COUNT($A$9:A88)+COUNT('DWV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89" s="644" t="s">
        <v>2803</v>
      </c>
      <c r="C89" s="645"/>
      <c r="D89" s="182" t="s">
        <v>3586</v>
      </c>
      <c r="E89" s="150">
        <v>100025573</v>
      </c>
      <c r="F89" s="183" t="s">
        <v>3587</v>
      </c>
      <c r="G89" s="150" t="s">
        <v>3037</v>
      </c>
      <c r="H89" s="150" t="s">
        <v>2803</v>
      </c>
      <c r="I89" s="247" t="s">
        <v>1205</v>
      </c>
      <c r="J89" s="150">
        <v>49</v>
      </c>
      <c r="K89" s="248">
        <f>VLOOKUP('ValveBox Components'!E89,'All Products'!D:H,5,FALSE)</f>
        <v>73.31</v>
      </c>
      <c r="L89" s="213">
        <f>ROUND(K89*Order_Quote!$L$19,2)</f>
        <v>366.55</v>
      </c>
      <c r="M89" s="191"/>
      <c r="N89" s="487"/>
      <c r="O89" s="495">
        <f>M89/J89</f>
        <v>0</v>
      </c>
      <c r="Q89" s="494" t="s">
        <v>76</v>
      </c>
      <c r="R89" s="247" t="s">
        <v>102</v>
      </c>
      <c r="S89" s="324" t="s">
        <v>3588</v>
      </c>
      <c r="T89" s="324">
        <v>0</v>
      </c>
      <c r="U89" s="329">
        <v>0</v>
      </c>
      <c r="V89" s="356">
        <v>3.9750000000000001</v>
      </c>
      <c r="W89" s="495">
        <v>1.01</v>
      </c>
    </row>
    <row r="90" spans="1:23" ht="15.75" thickBot="1">
      <c r="A90" s="104" t="str">
        <f>IF(M90&gt;0,COUNT($A$9:A89)+COUNT('DWV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0" s="646"/>
      <c r="C90" s="647"/>
      <c r="D90" s="158" t="s">
        <v>3589</v>
      </c>
      <c r="E90" s="106">
        <v>100025321</v>
      </c>
      <c r="F90" s="159" t="s">
        <v>3590</v>
      </c>
      <c r="G90" s="106" t="s">
        <v>2941</v>
      </c>
      <c r="H90" s="106" t="s">
        <v>2803</v>
      </c>
      <c r="I90" s="249" t="s">
        <v>1205</v>
      </c>
      <c r="J90" s="106">
        <v>49</v>
      </c>
      <c r="K90" s="248">
        <f>VLOOKUP('ValveBox Components'!E90,'All Products'!D:H,5,FALSE)</f>
        <v>73.31</v>
      </c>
      <c r="L90" s="205">
        <f>ROUND(K90*Order_Quote!$L$19,2)</f>
        <v>366.55</v>
      </c>
      <c r="M90" s="78"/>
      <c r="N90" s="116"/>
      <c r="O90" s="497">
        <f>M90/J90</f>
        <v>0</v>
      </c>
      <c r="Q90" s="496" t="s">
        <v>359</v>
      </c>
      <c r="R90" s="249" t="s">
        <v>102</v>
      </c>
      <c r="S90" s="325" t="s">
        <v>3591</v>
      </c>
      <c r="T90" s="325">
        <v>0</v>
      </c>
      <c r="U90" s="330">
        <v>0</v>
      </c>
      <c r="V90" s="357">
        <v>3.9750000000000001</v>
      </c>
      <c r="W90" s="497">
        <v>1.01</v>
      </c>
    </row>
    <row r="91" spans="1:23" ht="15.75" thickBot="1">
      <c r="A91" s="104" t="str">
        <f>IF(M91&gt;0,COUNT($A$9:A90)+COUNT('DWV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1" s="648"/>
      <c r="C91" s="649"/>
      <c r="D91" s="185" t="s">
        <v>3592</v>
      </c>
      <c r="E91" s="151">
        <v>100025577</v>
      </c>
      <c r="F91" s="186" t="s">
        <v>3593</v>
      </c>
      <c r="G91" s="151" t="s">
        <v>2929</v>
      </c>
      <c r="H91" s="151" t="s">
        <v>2803</v>
      </c>
      <c r="I91" s="250" t="s">
        <v>1205</v>
      </c>
      <c r="J91" s="151">
        <v>49</v>
      </c>
      <c r="K91" s="248">
        <f>VLOOKUP('ValveBox Components'!E91,'All Products'!D:H,5,FALSE)</f>
        <v>73.31</v>
      </c>
      <c r="L91" s="214">
        <f>ROUND(K91*Order_Quote!$L$19,2)</f>
        <v>366.55</v>
      </c>
      <c r="M91" s="187"/>
      <c r="N91" s="488"/>
      <c r="O91" s="499">
        <f>M91/J91</f>
        <v>0</v>
      </c>
      <c r="Q91" s="498" t="s">
        <v>76</v>
      </c>
      <c r="R91" s="250" t="s">
        <v>102</v>
      </c>
      <c r="S91" s="326" t="s">
        <v>3594</v>
      </c>
      <c r="T91" s="326">
        <v>0</v>
      </c>
      <c r="U91" s="331">
        <v>0</v>
      </c>
      <c r="V91" s="358">
        <v>3.9750000000000001</v>
      </c>
      <c r="W91" s="499">
        <v>1.01</v>
      </c>
    </row>
    <row r="92" spans="1:23" ht="15.75">
      <c r="A92" s="104" t="str">
        <f>IF(M92&gt;0,COUNT($A$9:A91)+COUNT('DWV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2" s="147"/>
      <c r="C92" s="152"/>
      <c r="D92" s="152"/>
      <c r="E92" s="152"/>
      <c r="F92" s="152"/>
      <c r="G92" s="154"/>
      <c r="H92" s="154"/>
      <c r="I92" s="252"/>
      <c r="J92" s="152"/>
      <c r="K92" s="152"/>
      <c r="L92" s="253"/>
      <c r="M92" s="152"/>
      <c r="N92" s="152"/>
      <c r="O92" s="152"/>
      <c r="P92" s="17"/>
      <c r="Q92" s="252"/>
      <c r="R92" s="252"/>
      <c r="S92" s="252"/>
      <c r="T92" s="252"/>
      <c r="U92" s="252"/>
      <c r="V92" s="152"/>
      <c r="W92" s="152"/>
    </row>
    <row r="93" spans="1:23" ht="19.5" thickBot="1">
      <c r="A93" s="104" t="str">
        <f>IF(M93&gt;0,COUNT($A$9:A92)+COUNT('DWV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3" s="242" t="s">
        <v>3595</v>
      </c>
      <c r="C93" s="232"/>
      <c r="D93" s="152"/>
      <c r="E93" s="152"/>
      <c r="F93" s="152"/>
      <c r="G93" s="154"/>
      <c r="H93" s="154"/>
      <c r="I93" s="252"/>
      <c r="J93" s="152"/>
      <c r="K93" s="152"/>
      <c r="L93" s="253"/>
      <c r="M93" s="152"/>
      <c r="N93" s="152"/>
      <c r="O93" s="152"/>
      <c r="P93" s="17"/>
      <c r="Q93" s="252"/>
      <c r="R93" s="252"/>
      <c r="S93" s="252"/>
      <c r="T93" s="252"/>
      <c r="U93" s="252"/>
      <c r="V93" s="152"/>
      <c r="W93" s="152"/>
    </row>
    <row r="94" spans="1:23" ht="16.5" thickBot="1">
      <c r="A94" s="104" t="str">
        <f>IF(M94&gt;0,COUNT($A$9:A93)+COUNT('DWV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4" s="166" t="s">
        <v>3596</v>
      </c>
      <c r="C94" s="167"/>
      <c r="D94" s="167"/>
      <c r="E94" s="167"/>
      <c r="F94" s="167"/>
      <c r="G94" s="167"/>
      <c r="H94" s="167"/>
      <c r="I94" s="167"/>
      <c r="J94" s="167"/>
      <c r="K94" s="167"/>
      <c r="L94" s="228"/>
      <c r="M94" s="167"/>
      <c r="N94" s="167"/>
      <c r="O94" s="493"/>
      <c r="P94" s="17"/>
      <c r="Q94" s="492"/>
      <c r="R94" s="160"/>
      <c r="S94" s="160"/>
      <c r="T94" s="160"/>
      <c r="U94" s="160"/>
      <c r="V94" s="167"/>
      <c r="W94" s="493"/>
    </row>
    <row r="95" spans="1:23" ht="15.75" thickBot="1">
      <c r="A95" s="104" t="str">
        <f>IF(M95&gt;0,COUNT($A$9:A94)+COUNT('DWV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5" s="637"/>
      <c r="C95" s="638"/>
      <c r="D95" s="182" t="s">
        <v>3597</v>
      </c>
      <c r="E95" s="150">
        <v>100025612</v>
      </c>
      <c r="F95" s="183" t="s">
        <v>3598</v>
      </c>
      <c r="G95" s="150" t="s">
        <v>2803</v>
      </c>
      <c r="H95" s="150" t="s">
        <v>3037</v>
      </c>
      <c r="I95" s="247" t="s">
        <v>3038</v>
      </c>
      <c r="J95" s="150">
        <v>1</v>
      </c>
      <c r="K95" s="248">
        <f>VLOOKUP('ValveBox Components'!E95,'All Products'!D:H,5,FALSE)</f>
        <v>28.72</v>
      </c>
      <c r="L95" s="213">
        <f>ROUND(K95*Order_Quote!$L$19,2)</f>
        <v>143.6</v>
      </c>
      <c r="M95" s="191"/>
      <c r="N95" s="487"/>
      <c r="O95" s="495">
        <f t="shared" ref="O95:O111" si="5">M95/J95</f>
        <v>0</v>
      </c>
      <c r="Q95" s="494" t="s">
        <v>76</v>
      </c>
      <c r="R95" s="247" t="s">
        <v>102</v>
      </c>
      <c r="S95" s="324" t="s">
        <v>3599</v>
      </c>
      <c r="T95" s="324">
        <v>0</v>
      </c>
      <c r="U95" s="329">
        <v>0</v>
      </c>
      <c r="V95" s="356">
        <v>2.7349999999999999</v>
      </c>
      <c r="W95" s="495">
        <v>0.11</v>
      </c>
    </row>
    <row r="96" spans="1:23" ht="15.75" thickBot="1">
      <c r="A96" s="104" t="str">
        <f>IF(M96&gt;0,COUNT($A$9:A95)+COUNT('DWV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6" s="639"/>
      <c r="C96" s="580"/>
      <c r="D96" s="158" t="s">
        <v>3600</v>
      </c>
      <c r="E96" s="106">
        <v>100025625</v>
      </c>
      <c r="F96" s="159" t="s">
        <v>3601</v>
      </c>
      <c r="G96" s="106" t="s">
        <v>2803</v>
      </c>
      <c r="H96" s="106" t="s">
        <v>2929</v>
      </c>
      <c r="I96" s="249" t="s">
        <v>3038</v>
      </c>
      <c r="J96" s="106">
        <v>1</v>
      </c>
      <c r="K96" s="248">
        <f>VLOOKUP('ValveBox Components'!E96,'All Products'!D:H,5,FALSE)</f>
        <v>28.72</v>
      </c>
      <c r="L96" s="205">
        <f>ROUND(K96*Order_Quote!$L$19,2)</f>
        <v>143.6</v>
      </c>
      <c r="M96" s="78"/>
      <c r="N96" s="116"/>
      <c r="O96" s="497">
        <f t="shared" si="5"/>
        <v>0</v>
      </c>
      <c r="Q96" s="496" t="s">
        <v>359</v>
      </c>
      <c r="R96" s="249" t="s">
        <v>102</v>
      </c>
      <c r="S96" s="325" t="s">
        <v>3602</v>
      </c>
      <c r="T96" s="325">
        <v>0</v>
      </c>
      <c r="U96" s="330">
        <v>0</v>
      </c>
      <c r="V96" s="357">
        <v>2.73</v>
      </c>
      <c r="W96" s="497">
        <v>0.11</v>
      </c>
    </row>
    <row r="97" spans="1:23" ht="15.75" thickBot="1">
      <c r="A97" s="104" t="str">
        <f>IF(M97&gt;0,COUNT($A$9:A96)+COUNT('DWV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7" s="639"/>
      <c r="C97" s="580"/>
      <c r="D97" s="158" t="s">
        <v>3603</v>
      </c>
      <c r="E97" s="106">
        <v>100025469</v>
      </c>
      <c r="F97" s="159" t="s">
        <v>3604</v>
      </c>
      <c r="G97" s="106" t="s">
        <v>2803</v>
      </c>
      <c r="H97" s="106" t="s">
        <v>2892</v>
      </c>
      <c r="I97" s="249" t="s">
        <v>3038</v>
      </c>
      <c r="J97" s="106">
        <v>1</v>
      </c>
      <c r="K97" s="248">
        <f>VLOOKUP('ValveBox Components'!E97,'All Products'!D:H,5,FALSE)</f>
        <v>28.72</v>
      </c>
      <c r="L97" s="205">
        <f>ROUND(K97*Order_Quote!$L$19,2)</f>
        <v>143.6</v>
      </c>
      <c r="M97" s="78"/>
      <c r="N97" s="116"/>
      <c r="O97" s="497">
        <f t="shared" si="5"/>
        <v>0</v>
      </c>
      <c r="Q97" s="496" t="s">
        <v>359</v>
      </c>
      <c r="R97" s="249" t="s">
        <v>102</v>
      </c>
      <c r="S97" s="325" t="s">
        <v>3605</v>
      </c>
      <c r="T97" s="325">
        <v>0</v>
      </c>
      <c r="U97" s="330">
        <v>0</v>
      </c>
      <c r="V97" s="357">
        <v>2.73</v>
      </c>
      <c r="W97" s="497">
        <v>0.11</v>
      </c>
    </row>
    <row r="98" spans="1:23" ht="15.75" thickBot="1">
      <c r="A98" s="104" t="str">
        <f>IF(M98&gt;0,COUNT($A$9:A97)+COUNT('DWV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8" s="639"/>
      <c r="C98" s="580"/>
      <c r="D98" s="158" t="s">
        <v>3606</v>
      </c>
      <c r="E98" s="106">
        <v>100025624</v>
      </c>
      <c r="F98" s="159" t="s">
        <v>3607</v>
      </c>
      <c r="G98" s="106" t="s">
        <v>2803</v>
      </c>
      <c r="H98" s="106" t="s">
        <v>2941</v>
      </c>
      <c r="I98" s="249" t="s">
        <v>3048</v>
      </c>
      <c r="J98" s="106">
        <v>1</v>
      </c>
      <c r="K98" s="248">
        <f>VLOOKUP('ValveBox Components'!E98,'All Products'!D:H,5,FALSE)</f>
        <v>28.72</v>
      </c>
      <c r="L98" s="205">
        <f>ROUND(K98*Order_Quote!$L$19,2)</f>
        <v>143.6</v>
      </c>
      <c r="M98" s="78"/>
      <c r="N98" s="116"/>
      <c r="O98" s="497">
        <f t="shared" si="5"/>
        <v>0</v>
      </c>
      <c r="Q98" s="496" t="s">
        <v>359</v>
      </c>
      <c r="R98" s="249" t="s">
        <v>102</v>
      </c>
      <c r="S98" s="325" t="s">
        <v>3608</v>
      </c>
      <c r="T98" s="325">
        <v>0</v>
      </c>
      <c r="U98" s="330">
        <v>0</v>
      </c>
      <c r="V98" s="357">
        <v>2.73</v>
      </c>
      <c r="W98" s="497">
        <v>0.11</v>
      </c>
    </row>
    <row r="99" spans="1:23" ht="15.75" thickBot="1">
      <c r="A99" s="104" t="str">
        <f>IF(M99&gt;0,COUNT($A$9:A98)+COUNT('DWV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99" s="639"/>
      <c r="C99" s="580"/>
      <c r="D99" s="158" t="s">
        <v>3609</v>
      </c>
      <c r="E99" s="106">
        <v>100025617</v>
      </c>
      <c r="F99" s="159" t="s">
        <v>3610</v>
      </c>
      <c r="G99" s="106" t="s">
        <v>2803</v>
      </c>
      <c r="H99" s="106" t="s">
        <v>3037</v>
      </c>
      <c r="I99" s="249" t="s">
        <v>3059</v>
      </c>
      <c r="J99" s="106">
        <v>1</v>
      </c>
      <c r="K99" s="248">
        <f>VLOOKUP('ValveBox Components'!E99,'All Products'!D:H,5,FALSE)</f>
        <v>28.72</v>
      </c>
      <c r="L99" s="205">
        <f>ROUND(K99*Order_Quote!$L$19,2)</f>
        <v>143.6</v>
      </c>
      <c r="M99" s="78"/>
      <c r="N99" s="116"/>
      <c r="O99" s="497">
        <f t="shared" si="5"/>
        <v>0</v>
      </c>
      <c r="Q99" s="496" t="s">
        <v>359</v>
      </c>
      <c r="R99" s="249" t="s">
        <v>102</v>
      </c>
      <c r="S99" s="325" t="s">
        <v>3611</v>
      </c>
      <c r="T99" s="325">
        <v>0</v>
      </c>
      <c r="U99" s="330">
        <v>0</v>
      </c>
      <c r="V99" s="357">
        <v>2.7349999999999999</v>
      </c>
      <c r="W99" s="497">
        <v>0.11</v>
      </c>
    </row>
    <row r="100" spans="1:23" ht="15.75" thickBot="1">
      <c r="A100" s="104" t="str">
        <f>IF(M100&gt;0,COUNT($A$9:A99)+COUNT('DWV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0" s="639"/>
      <c r="C100" s="580"/>
      <c r="D100" s="158" t="s">
        <v>3612</v>
      </c>
      <c r="E100" s="106">
        <v>100025423</v>
      </c>
      <c r="F100" s="159" t="s">
        <v>3613</v>
      </c>
      <c r="G100" s="106" t="s">
        <v>2803</v>
      </c>
      <c r="H100" s="106" t="s">
        <v>3037</v>
      </c>
      <c r="I100" s="249" t="s">
        <v>3191</v>
      </c>
      <c r="J100" s="106">
        <v>1</v>
      </c>
      <c r="K100" s="248">
        <f>VLOOKUP('ValveBox Components'!E100,'All Products'!D:H,5,FALSE)</f>
        <v>28.72</v>
      </c>
      <c r="L100" s="205">
        <f>ROUND(K100*Order_Quote!$L$19,2)</f>
        <v>143.6</v>
      </c>
      <c r="M100" s="78"/>
      <c r="N100" s="116"/>
      <c r="O100" s="497">
        <f t="shared" si="5"/>
        <v>0</v>
      </c>
      <c r="Q100" s="496" t="s">
        <v>359</v>
      </c>
      <c r="R100" s="249" t="s">
        <v>102</v>
      </c>
      <c r="S100" s="325" t="s">
        <v>3614</v>
      </c>
      <c r="T100" s="325">
        <v>0</v>
      </c>
      <c r="U100" s="330">
        <v>0</v>
      </c>
      <c r="V100" s="357">
        <v>3.3149999999999999</v>
      </c>
      <c r="W100" s="497">
        <v>0.11</v>
      </c>
    </row>
    <row r="101" spans="1:23" ht="15.75" thickBot="1">
      <c r="A101" s="104" t="str">
        <f>IF(M101&gt;0,COUNT($A$9:A100)+COUNT('DWV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1" s="639"/>
      <c r="C101" s="580"/>
      <c r="D101" s="158" t="s">
        <v>3615</v>
      </c>
      <c r="E101" s="106">
        <v>100025442</v>
      </c>
      <c r="F101" s="159" t="s">
        <v>3616</v>
      </c>
      <c r="G101" s="106" t="s">
        <v>2803</v>
      </c>
      <c r="H101" s="106" t="s">
        <v>2941</v>
      </c>
      <c r="I101" s="249" t="s">
        <v>3191</v>
      </c>
      <c r="J101" s="106">
        <v>1</v>
      </c>
      <c r="K101" s="248">
        <f>VLOOKUP('ValveBox Components'!E101,'All Products'!D:H,5,FALSE)</f>
        <v>28.72</v>
      </c>
      <c r="L101" s="205">
        <f>ROUND(K101*Order_Quote!$L$19,2)</f>
        <v>143.6</v>
      </c>
      <c r="M101" s="78"/>
      <c r="N101" s="116"/>
      <c r="O101" s="497">
        <f t="shared" si="5"/>
        <v>0</v>
      </c>
      <c r="Q101" s="496" t="s">
        <v>359</v>
      </c>
      <c r="R101" s="249" t="s">
        <v>102</v>
      </c>
      <c r="S101" s="325" t="s">
        <v>3617</v>
      </c>
      <c r="T101" s="325">
        <v>0</v>
      </c>
      <c r="U101" s="330">
        <v>0</v>
      </c>
      <c r="V101" s="357">
        <v>3.3149999999999999</v>
      </c>
      <c r="W101" s="497">
        <v>0.11</v>
      </c>
    </row>
    <row r="102" spans="1:23" ht="15.75" thickBot="1">
      <c r="A102" s="104" t="str">
        <f>IF(M102&gt;0,COUNT($A$9:A101)+COUNT('DWV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2" s="639"/>
      <c r="C102" s="580"/>
      <c r="D102" s="158" t="s">
        <v>3618</v>
      </c>
      <c r="E102" s="106">
        <v>100025453</v>
      </c>
      <c r="F102" s="159" t="s">
        <v>3619</v>
      </c>
      <c r="G102" s="106" t="s">
        <v>2803</v>
      </c>
      <c r="H102" s="106" t="s">
        <v>2929</v>
      </c>
      <c r="I102" s="249" t="s">
        <v>3191</v>
      </c>
      <c r="J102" s="106">
        <v>1</v>
      </c>
      <c r="K102" s="248">
        <f>VLOOKUP('ValveBox Components'!E102,'All Products'!D:H,5,FALSE)</f>
        <v>28.72</v>
      </c>
      <c r="L102" s="205">
        <f>ROUND(K102*Order_Quote!$L$19,2)</f>
        <v>143.6</v>
      </c>
      <c r="M102" s="78"/>
      <c r="N102" s="116"/>
      <c r="O102" s="497">
        <f t="shared" si="5"/>
        <v>0</v>
      </c>
      <c r="Q102" s="496" t="s">
        <v>359</v>
      </c>
      <c r="R102" s="249" t="s">
        <v>102</v>
      </c>
      <c r="S102" s="325" t="s">
        <v>3620</v>
      </c>
      <c r="T102" s="325">
        <v>0</v>
      </c>
      <c r="U102" s="330">
        <v>0</v>
      </c>
      <c r="V102" s="357">
        <v>3.4350000000000001</v>
      </c>
      <c r="W102" s="497">
        <v>0.11</v>
      </c>
    </row>
    <row r="103" spans="1:23" ht="15.75" thickBot="1">
      <c r="A103" s="104" t="str">
        <f>IF(M103&gt;0,COUNT($A$9:A102)+COUNT('DWV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3" s="639"/>
      <c r="C103" s="580"/>
      <c r="D103" s="158" t="s">
        <v>3621</v>
      </c>
      <c r="E103" s="106">
        <v>100025426</v>
      </c>
      <c r="F103" s="159" t="s">
        <v>3622</v>
      </c>
      <c r="G103" s="106" t="s">
        <v>2803</v>
      </c>
      <c r="H103" s="106" t="s">
        <v>3037</v>
      </c>
      <c r="I103" s="249" t="s">
        <v>3052</v>
      </c>
      <c r="J103" s="106">
        <v>1</v>
      </c>
      <c r="K103" s="248">
        <f>VLOOKUP('ValveBox Components'!E103,'All Products'!D:H,5,FALSE)</f>
        <v>28.72</v>
      </c>
      <c r="L103" s="205">
        <f>ROUND(K103*Order_Quote!$L$19,2)</f>
        <v>143.6</v>
      </c>
      <c r="M103" s="78"/>
      <c r="N103" s="116"/>
      <c r="O103" s="497">
        <f t="shared" si="5"/>
        <v>0</v>
      </c>
      <c r="Q103" s="496" t="s">
        <v>359</v>
      </c>
      <c r="R103" s="249" t="s">
        <v>102</v>
      </c>
      <c r="S103" s="325" t="s">
        <v>3623</v>
      </c>
      <c r="T103" s="325">
        <v>0</v>
      </c>
      <c r="U103" s="330">
        <v>0</v>
      </c>
      <c r="V103" s="357">
        <v>2.7349999999999999</v>
      </c>
      <c r="W103" s="497">
        <v>0.11</v>
      </c>
    </row>
    <row r="104" spans="1:23" ht="15.75" thickBot="1">
      <c r="A104" s="104" t="str">
        <f>IF(M104&gt;0,COUNT($A$9:A103)+COUNT('DWV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4" s="639"/>
      <c r="C104" s="580"/>
      <c r="D104" s="158" t="s">
        <v>3624</v>
      </c>
      <c r="E104" s="106">
        <v>100025427</v>
      </c>
      <c r="F104" s="159" t="s">
        <v>3625</v>
      </c>
      <c r="G104" s="106" t="s">
        <v>2803</v>
      </c>
      <c r="H104" s="106" t="s">
        <v>3037</v>
      </c>
      <c r="I104" s="249" t="s">
        <v>3422</v>
      </c>
      <c r="J104" s="106">
        <v>1</v>
      </c>
      <c r="K104" s="248">
        <f>VLOOKUP('ValveBox Components'!E104,'All Products'!D:H,5,FALSE)</f>
        <v>28.72</v>
      </c>
      <c r="L104" s="205">
        <f>ROUND(K104*Order_Quote!$L$19,2)</f>
        <v>143.6</v>
      </c>
      <c r="M104" s="78"/>
      <c r="N104" s="116"/>
      <c r="O104" s="497">
        <f t="shared" si="5"/>
        <v>0</v>
      </c>
      <c r="Q104" s="496" t="s">
        <v>359</v>
      </c>
      <c r="R104" s="249" t="s">
        <v>102</v>
      </c>
      <c r="S104" s="325" t="s">
        <v>3626</v>
      </c>
      <c r="T104" s="325">
        <v>0</v>
      </c>
      <c r="U104" s="330">
        <v>0</v>
      </c>
      <c r="V104" s="357">
        <v>2.7349999999999999</v>
      </c>
      <c r="W104" s="497">
        <v>0.11</v>
      </c>
    </row>
    <row r="105" spans="1:23" ht="15.75" thickBot="1">
      <c r="A105" s="104" t="str">
        <f>IF(M105&gt;0,COUNT($A$9:A104)+COUNT('DWV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5" s="639"/>
      <c r="C105" s="580"/>
      <c r="D105" s="158" t="s">
        <v>3627</v>
      </c>
      <c r="E105" s="106">
        <v>100025613</v>
      </c>
      <c r="F105" s="159" t="s">
        <v>3628</v>
      </c>
      <c r="G105" s="106" t="s">
        <v>2803</v>
      </c>
      <c r="H105" s="106" t="s">
        <v>3037</v>
      </c>
      <c r="I105" s="249" t="s">
        <v>3063</v>
      </c>
      <c r="J105" s="106">
        <v>1</v>
      </c>
      <c r="K105" s="248">
        <f>VLOOKUP('ValveBox Components'!E105,'All Products'!D:H,5,FALSE)</f>
        <v>28.72</v>
      </c>
      <c r="L105" s="205">
        <f>ROUND(K105*Order_Quote!$L$19,2)</f>
        <v>143.6</v>
      </c>
      <c r="M105" s="78"/>
      <c r="N105" s="116"/>
      <c r="O105" s="497">
        <f t="shared" si="5"/>
        <v>0</v>
      </c>
      <c r="Q105" s="496" t="s">
        <v>76</v>
      </c>
      <c r="R105" s="249" t="s">
        <v>102</v>
      </c>
      <c r="S105" s="325" t="s">
        <v>3629</v>
      </c>
      <c r="T105" s="325">
        <v>0</v>
      </c>
      <c r="U105" s="330">
        <v>0</v>
      </c>
      <c r="V105" s="357">
        <v>2.7349999999999999</v>
      </c>
      <c r="W105" s="497">
        <v>0.11</v>
      </c>
    </row>
    <row r="106" spans="1:23" ht="15.75" thickBot="1">
      <c r="A106" s="104" t="str">
        <f>IF(M106&gt;0,COUNT($A$9:A105)+COUNT('DWV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6" s="639"/>
      <c r="C106" s="580"/>
      <c r="D106" s="158" t="s">
        <v>3630</v>
      </c>
      <c r="E106" s="106">
        <v>100025449</v>
      </c>
      <c r="F106" s="159" t="s">
        <v>3631</v>
      </c>
      <c r="G106" s="106" t="s">
        <v>2803</v>
      </c>
      <c r="H106" s="106" t="s">
        <v>2929</v>
      </c>
      <c r="I106" s="249" t="s">
        <v>3063</v>
      </c>
      <c r="J106" s="106">
        <v>1</v>
      </c>
      <c r="K106" s="248">
        <f>VLOOKUP('ValveBox Components'!E106,'All Products'!D:H,5,FALSE)</f>
        <v>28.72</v>
      </c>
      <c r="L106" s="205">
        <f>ROUND(K106*Order_Quote!$L$19,2)</f>
        <v>143.6</v>
      </c>
      <c r="M106" s="78"/>
      <c r="N106" s="116"/>
      <c r="O106" s="497">
        <f t="shared" si="5"/>
        <v>0</v>
      </c>
      <c r="Q106" s="496" t="s">
        <v>359</v>
      </c>
      <c r="R106" s="249" t="s">
        <v>102</v>
      </c>
      <c r="S106" s="325" t="s">
        <v>3632</v>
      </c>
      <c r="T106" s="325">
        <v>0</v>
      </c>
      <c r="U106" s="330">
        <v>0</v>
      </c>
      <c r="V106" s="357">
        <v>2.73</v>
      </c>
      <c r="W106" s="497">
        <v>0.11</v>
      </c>
    </row>
    <row r="107" spans="1:23" ht="15.75" thickBot="1">
      <c r="A107" s="104" t="str">
        <f>IF(M107&gt;0,COUNT($A$9:A106)+COUNT('DWV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7" s="639"/>
      <c r="C107" s="580"/>
      <c r="D107" s="158" t="s">
        <v>3633</v>
      </c>
      <c r="E107" s="106">
        <v>100025421</v>
      </c>
      <c r="F107" s="159" t="s">
        <v>3634</v>
      </c>
      <c r="G107" s="106" t="s">
        <v>2803</v>
      </c>
      <c r="H107" s="106" t="s">
        <v>3037</v>
      </c>
      <c r="I107" s="249" t="s">
        <v>3083</v>
      </c>
      <c r="J107" s="106">
        <v>1</v>
      </c>
      <c r="K107" s="248">
        <f>VLOOKUP('ValveBox Components'!E107,'All Products'!D:H,5,FALSE)</f>
        <v>28.72</v>
      </c>
      <c r="L107" s="205">
        <f>ROUND(K107*Order_Quote!$L$19,2)</f>
        <v>143.6</v>
      </c>
      <c r="M107" s="78"/>
      <c r="N107" s="116"/>
      <c r="O107" s="497">
        <f t="shared" si="5"/>
        <v>0</v>
      </c>
      <c r="Q107" s="496" t="s">
        <v>359</v>
      </c>
      <c r="R107" s="249" t="s">
        <v>102</v>
      </c>
      <c r="S107" s="325" t="s">
        <v>3635</v>
      </c>
      <c r="T107" s="325">
        <v>0</v>
      </c>
      <c r="U107" s="330">
        <v>0</v>
      </c>
      <c r="V107" s="357">
        <v>2.7349999999999999</v>
      </c>
      <c r="W107" s="497">
        <v>0.11</v>
      </c>
    </row>
    <row r="108" spans="1:23" ht="15.75" thickBot="1">
      <c r="A108" s="104" t="str">
        <f>IF(M108&gt;0,COUNT($A$9:A107)+COUNT('DWV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8" s="639"/>
      <c r="C108" s="580"/>
      <c r="D108" s="158" t="s">
        <v>3636</v>
      </c>
      <c r="E108" s="106">
        <v>100025450</v>
      </c>
      <c r="F108" s="159" t="s">
        <v>3637</v>
      </c>
      <c r="G108" s="106" t="s">
        <v>2803</v>
      </c>
      <c r="H108" s="106" t="s">
        <v>2929</v>
      </c>
      <c r="I108" s="249" t="s">
        <v>3083</v>
      </c>
      <c r="J108" s="106">
        <v>1</v>
      </c>
      <c r="K108" s="248">
        <f>VLOOKUP('ValveBox Components'!E108,'All Products'!D:H,5,FALSE)</f>
        <v>28.72</v>
      </c>
      <c r="L108" s="205">
        <f>ROUND(K108*Order_Quote!$L$19,2)</f>
        <v>143.6</v>
      </c>
      <c r="M108" s="78"/>
      <c r="N108" s="116"/>
      <c r="O108" s="497">
        <f t="shared" si="5"/>
        <v>0</v>
      </c>
      <c r="Q108" s="496" t="s">
        <v>359</v>
      </c>
      <c r="R108" s="249" t="s">
        <v>102</v>
      </c>
      <c r="S108" s="325" t="s">
        <v>3638</v>
      </c>
      <c r="T108" s="325">
        <v>0</v>
      </c>
      <c r="U108" s="330">
        <v>0</v>
      </c>
      <c r="V108" s="357">
        <v>2.73</v>
      </c>
      <c r="W108" s="497">
        <v>0.11</v>
      </c>
    </row>
    <row r="109" spans="1:23" ht="15.75" thickBot="1">
      <c r="A109" s="104" t="str">
        <f>IF(M109&gt;0,COUNT($A$9:A108)+COUNT('DWV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09" s="639"/>
      <c r="C109" s="580"/>
      <c r="D109" s="158" t="s">
        <v>3639</v>
      </c>
      <c r="E109" s="106">
        <v>100025428</v>
      </c>
      <c r="F109" s="159" t="s">
        <v>3640</v>
      </c>
      <c r="G109" s="106" t="s">
        <v>2803</v>
      </c>
      <c r="H109" s="106" t="s">
        <v>3037</v>
      </c>
      <c r="I109" s="249" t="s">
        <v>3144</v>
      </c>
      <c r="J109" s="106">
        <v>1</v>
      </c>
      <c r="K109" s="248">
        <f>VLOOKUP('ValveBox Components'!E109,'All Products'!D:H,5,FALSE)</f>
        <v>28.72</v>
      </c>
      <c r="L109" s="205">
        <f>ROUND(K109*Order_Quote!$L$19,2)</f>
        <v>143.6</v>
      </c>
      <c r="M109" s="78"/>
      <c r="N109" s="116"/>
      <c r="O109" s="497">
        <f t="shared" si="5"/>
        <v>0</v>
      </c>
      <c r="Q109" s="496" t="s">
        <v>359</v>
      </c>
      <c r="R109" s="249" t="s">
        <v>102</v>
      </c>
      <c r="S109" s="325" t="s">
        <v>3641</v>
      </c>
      <c r="T109" s="325">
        <v>0</v>
      </c>
      <c r="U109" s="330">
        <v>0</v>
      </c>
      <c r="V109" s="357">
        <v>2.7349999999999999</v>
      </c>
      <c r="W109" s="497">
        <v>0.11</v>
      </c>
    </row>
    <row r="110" spans="1:23" ht="15.75" thickBot="1">
      <c r="A110" s="104" t="str">
        <f>IF(M110&gt;0,COUNT($A$9:A109)+COUNT('DWV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0" s="639"/>
      <c r="C110" s="580"/>
      <c r="D110" s="158" t="s">
        <v>3642</v>
      </c>
      <c r="E110" s="106">
        <v>100025457</v>
      </c>
      <c r="F110" s="159" t="s">
        <v>3643</v>
      </c>
      <c r="G110" s="106" t="s">
        <v>2803</v>
      </c>
      <c r="H110" s="106" t="s">
        <v>2929</v>
      </c>
      <c r="I110" s="249" t="s">
        <v>3144</v>
      </c>
      <c r="J110" s="106">
        <v>1</v>
      </c>
      <c r="K110" s="248">
        <f>VLOOKUP('ValveBox Components'!E110,'All Products'!D:H,5,FALSE)</f>
        <v>28.72</v>
      </c>
      <c r="L110" s="205">
        <f>ROUND(K110*Order_Quote!$L$19,2)</f>
        <v>143.6</v>
      </c>
      <c r="M110" s="78"/>
      <c r="N110" s="116"/>
      <c r="O110" s="497">
        <f t="shared" si="5"/>
        <v>0</v>
      </c>
      <c r="Q110" s="496" t="s">
        <v>359</v>
      </c>
      <c r="R110" s="249" t="s">
        <v>102</v>
      </c>
      <c r="S110" s="325" t="s">
        <v>3644</v>
      </c>
      <c r="T110" s="325">
        <v>0</v>
      </c>
      <c r="U110" s="330">
        <v>0</v>
      </c>
      <c r="V110" s="357">
        <v>2.73</v>
      </c>
      <c r="W110" s="497">
        <v>0.11</v>
      </c>
    </row>
    <row r="111" spans="1:23" ht="15.75" thickBot="1">
      <c r="A111" s="104" t="str">
        <f>IF(M111&gt;0,COUNT($A$9:A110)+COUNT('DWV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1" s="640"/>
      <c r="C111" s="641"/>
      <c r="D111" s="185" t="s">
        <v>3645</v>
      </c>
      <c r="E111" s="151">
        <v>100025614</v>
      </c>
      <c r="F111" s="186" t="s">
        <v>3646</v>
      </c>
      <c r="G111" s="151" t="s">
        <v>2803</v>
      </c>
      <c r="H111" s="151" t="s">
        <v>3037</v>
      </c>
      <c r="I111" s="250" t="s">
        <v>3377</v>
      </c>
      <c r="J111" s="151">
        <v>1</v>
      </c>
      <c r="K111" s="248">
        <f>VLOOKUP('ValveBox Components'!E111,'All Products'!D:H,5,FALSE)</f>
        <v>28.72</v>
      </c>
      <c r="L111" s="214">
        <f>ROUND(K111*Order_Quote!$L$19,2)</f>
        <v>143.6</v>
      </c>
      <c r="M111" s="187"/>
      <c r="N111" s="488"/>
      <c r="O111" s="499">
        <f t="shared" si="5"/>
        <v>0</v>
      </c>
      <c r="Q111" s="498" t="s">
        <v>359</v>
      </c>
      <c r="R111" s="250" t="s">
        <v>102</v>
      </c>
      <c r="S111" s="326" t="s">
        <v>3647</v>
      </c>
      <c r="T111" s="326">
        <v>0</v>
      </c>
      <c r="U111" s="331">
        <v>0</v>
      </c>
      <c r="V111" s="358">
        <v>2.7349999999999999</v>
      </c>
      <c r="W111" s="499">
        <v>0.11</v>
      </c>
    </row>
    <row r="112" spans="1:23">
      <c r="A112" s="104" t="str">
        <f>IF(M112&gt;0,COUNT($A$9:A111)+COUNT('DWV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2" s="20"/>
      <c r="C112" s="152"/>
      <c r="D112" s="152"/>
      <c r="E112" s="152"/>
      <c r="F112" s="152"/>
      <c r="G112" s="154"/>
      <c r="H112" s="154"/>
      <c r="I112" s="252"/>
      <c r="J112" s="152"/>
      <c r="K112" s="152"/>
      <c r="L112" s="253"/>
      <c r="M112" s="152"/>
      <c r="N112" s="152"/>
      <c r="O112" s="152"/>
      <c r="P112" s="17"/>
      <c r="Q112" s="252"/>
      <c r="R112" s="252"/>
      <c r="S112" s="252"/>
      <c r="T112" s="252"/>
      <c r="U112" s="252"/>
      <c r="V112" s="152"/>
      <c r="W112" s="152"/>
    </row>
    <row r="113" spans="1:23" ht="19.5" thickBot="1">
      <c r="A113" s="104" t="str">
        <f>IF(M113&gt;0,COUNT($A$9:A112)+COUNT('DWV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3" s="242" t="s">
        <v>3315</v>
      </c>
      <c r="C113" s="152"/>
      <c r="D113" s="152"/>
      <c r="E113" s="152"/>
      <c r="F113" s="152"/>
      <c r="G113" s="154"/>
      <c r="H113" s="154"/>
      <c r="I113" s="252"/>
      <c r="J113" s="152"/>
      <c r="K113" s="152"/>
      <c r="L113" s="253"/>
      <c r="M113" s="152"/>
      <c r="N113" s="152"/>
      <c r="O113" s="152"/>
      <c r="P113" s="17"/>
      <c r="Q113" s="252"/>
      <c r="R113" s="252"/>
      <c r="S113" s="252"/>
      <c r="T113" s="252"/>
      <c r="U113" s="252"/>
      <c r="V113" s="152"/>
      <c r="W113" s="152"/>
    </row>
    <row r="114" spans="1:23" ht="16.5" thickBot="1">
      <c r="A114" s="104" t="str">
        <f>IF(M114&gt;0,COUNT($A$9:A113)+COUNT('DWV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4" s="166" t="s">
        <v>3648</v>
      </c>
      <c r="C114" s="167"/>
      <c r="D114" s="167"/>
      <c r="E114" s="167"/>
      <c r="F114" s="167"/>
      <c r="G114" s="167"/>
      <c r="H114" s="167"/>
      <c r="I114" s="167"/>
      <c r="J114" s="167"/>
      <c r="K114" s="167"/>
      <c r="L114" s="228"/>
      <c r="M114" s="167"/>
      <c r="N114" s="167"/>
      <c r="O114" s="167"/>
      <c r="P114" s="17"/>
      <c r="Q114" s="492"/>
      <c r="R114" s="160"/>
      <c r="S114" s="160"/>
      <c r="T114" s="160"/>
      <c r="U114" s="160"/>
      <c r="V114" s="167"/>
      <c r="W114" s="493"/>
    </row>
    <row r="115" spans="1:23" ht="15.75" thickBot="1">
      <c r="A115" s="104" t="str">
        <f>IF(M115&gt;0,COUNT($A$9:A114)+COUNT('DWV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5" s="637" t="s">
        <v>2803</v>
      </c>
      <c r="C115" s="638"/>
      <c r="D115" s="182" t="s">
        <v>3649</v>
      </c>
      <c r="E115" s="150">
        <v>100025572</v>
      </c>
      <c r="F115" s="183" t="s">
        <v>3650</v>
      </c>
      <c r="G115" s="150" t="s">
        <v>3037</v>
      </c>
      <c r="H115" s="150" t="s">
        <v>2803</v>
      </c>
      <c r="I115" s="247" t="s">
        <v>3038</v>
      </c>
      <c r="J115" s="150">
        <v>1</v>
      </c>
      <c r="K115" s="248">
        <f>VLOOKUP('ValveBox Components'!E115,'All Products'!D:H,5,FALSE)</f>
        <v>146.38</v>
      </c>
      <c r="L115" s="213">
        <f>ROUND(K115*Order_Quote!$L$19,2)</f>
        <v>731.9</v>
      </c>
      <c r="M115" s="191"/>
      <c r="N115" s="487"/>
      <c r="O115" s="248">
        <f>M115/J115</f>
        <v>0</v>
      </c>
      <c r="Q115" s="494" t="s">
        <v>359</v>
      </c>
      <c r="R115" s="247" t="s">
        <v>102</v>
      </c>
      <c r="S115" s="324" t="s">
        <v>3651</v>
      </c>
      <c r="T115" s="324">
        <v>0</v>
      </c>
      <c r="U115" s="329">
        <v>0</v>
      </c>
      <c r="V115" s="356">
        <v>7.15</v>
      </c>
      <c r="W115" s="495">
        <v>2.38</v>
      </c>
    </row>
    <row r="116" spans="1:23" ht="15.75" thickBot="1">
      <c r="A116" s="104" t="str">
        <f>IF(M116&gt;0,COUNT($A$9:A115)+COUNT('DWV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6" s="639"/>
      <c r="C116" s="580"/>
      <c r="D116" s="158" t="s">
        <v>3652</v>
      </c>
      <c r="E116" s="106">
        <v>100025323</v>
      </c>
      <c r="F116" s="159" t="s">
        <v>3653</v>
      </c>
      <c r="G116" s="106" t="s">
        <v>2929</v>
      </c>
      <c r="H116" s="106" t="s">
        <v>2803</v>
      </c>
      <c r="I116" s="249" t="s">
        <v>3038</v>
      </c>
      <c r="J116" s="106">
        <v>1</v>
      </c>
      <c r="K116" s="248">
        <f>VLOOKUP('ValveBox Components'!E116,'All Products'!D:H,5,FALSE)</f>
        <v>146.38</v>
      </c>
      <c r="L116" s="205">
        <f>ROUND(K116*Order_Quote!$L$19,2)</f>
        <v>731.9</v>
      </c>
      <c r="M116" s="78"/>
      <c r="N116" s="116"/>
      <c r="O116" s="153">
        <f>M116/J116</f>
        <v>0</v>
      </c>
      <c r="Q116" s="496" t="s">
        <v>359</v>
      </c>
      <c r="R116" s="249" t="s">
        <v>102</v>
      </c>
      <c r="S116" s="325" t="s">
        <v>3654</v>
      </c>
      <c r="T116" s="325">
        <v>0</v>
      </c>
      <c r="U116" s="330">
        <v>0</v>
      </c>
      <c r="V116" s="357">
        <v>7.15</v>
      </c>
      <c r="W116" s="497">
        <v>2.38</v>
      </c>
    </row>
    <row r="117" spans="1:23" ht="15.75" thickBot="1">
      <c r="A117" s="104" t="str">
        <f>IF(M117&gt;0,COUNT($A$9:A116)+COUNT('DWV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7" s="640"/>
      <c r="C117" s="641"/>
      <c r="D117" s="158" t="s">
        <v>3655</v>
      </c>
      <c r="E117" s="106">
        <v>100025319</v>
      </c>
      <c r="F117" s="159" t="s">
        <v>3656</v>
      </c>
      <c r="G117" s="106" t="s">
        <v>2941</v>
      </c>
      <c r="H117" s="106" t="s">
        <v>2803</v>
      </c>
      <c r="I117" s="249" t="s">
        <v>3048</v>
      </c>
      <c r="J117" s="106">
        <v>1</v>
      </c>
      <c r="K117" s="248">
        <f>VLOOKUP('ValveBox Components'!E117,'All Products'!D:H,5,FALSE)</f>
        <v>146.38</v>
      </c>
      <c r="L117" s="205">
        <f>ROUND(K117*Order_Quote!$L$19,2)</f>
        <v>731.9</v>
      </c>
      <c r="M117" s="78"/>
      <c r="N117" s="116"/>
      <c r="O117" s="153">
        <f>M117/J117</f>
        <v>0</v>
      </c>
      <c r="Q117" s="496" t="s">
        <v>359</v>
      </c>
      <c r="R117" s="249" t="s">
        <v>102</v>
      </c>
      <c r="S117" s="325" t="s">
        <v>3657</v>
      </c>
      <c r="T117" s="325">
        <v>0</v>
      </c>
      <c r="U117" s="330">
        <v>0</v>
      </c>
      <c r="V117" s="357">
        <v>7.15</v>
      </c>
      <c r="W117" s="497">
        <v>2.38</v>
      </c>
    </row>
    <row r="118" spans="1:23" ht="16.5" thickBot="1">
      <c r="A118" s="104" t="str">
        <f>IF(M118&gt;0,COUNT($A$9:A117)+COUNT('DWV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8" s="166" t="s">
        <v>3658</v>
      </c>
      <c r="C118" s="167"/>
      <c r="D118" s="167"/>
      <c r="E118" s="167"/>
      <c r="F118" s="167"/>
      <c r="G118" s="167"/>
      <c r="H118" s="167"/>
      <c r="I118" s="167"/>
      <c r="J118" s="167"/>
      <c r="K118" s="167"/>
      <c r="L118" s="228"/>
      <c r="M118" s="167"/>
      <c r="N118" s="167"/>
      <c r="O118" s="493"/>
      <c r="P118" s="17"/>
      <c r="Q118" s="492"/>
      <c r="R118" s="160"/>
      <c r="S118" s="160"/>
      <c r="T118" s="160"/>
      <c r="U118" s="160"/>
      <c r="V118" s="167"/>
      <c r="W118" s="493"/>
    </row>
    <row r="119" spans="1:23" ht="15.75" thickBot="1">
      <c r="A119" s="104" t="str">
        <f>IF(M119&gt;0,COUNT($A$9:A118)+COUNT('DWV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19" s="637" t="s">
        <v>2803</v>
      </c>
      <c r="C119" s="638"/>
      <c r="D119" s="182" t="s">
        <v>3659</v>
      </c>
      <c r="E119" s="150">
        <v>100025413</v>
      </c>
      <c r="F119" s="183" t="s">
        <v>3660</v>
      </c>
      <c r="G119" s="150" t="s">
        <v>2803</v>
      </c>
      <c r="H119" s="150" t="s">
        <v>3037</v>
      </c>
      <c r="I119" s="247" t="s">
        <v>3038</v>
      </c>
      <c r="J119" s="150">
        <v>1</v>
      </c>
      <c r="K119" s="248">
        <f>VLOOKUP('ValveBox Components'!E119,'All Products'!D:H,5,FALSE)</f>
        <v>97.61</v>
      </c>
      <c r="L119" s="213">
        <f>ROUND(K119*Order_Quote!$L$19,2)</f>
        <v>488.05</v>
      </c>
      <c r="M119" s="191"/>
      <c r="N119" s="487"/>
      <c r="O119" s="495">
        <f t="shared" ref="O119:O122" si="6">M119/J119</f>
        <v>0</v>
      </c>
      <c r="Q119" s="494" t="s">
        <v>359</v>
      </c>
      <c r="R119" s="247" t="s">
        <v>102</v>
      </c>
      <c r="S119" s="324" t="s">
        <v>3661</v>
      </c>
      <c r="T119" s="324">
        <v>0</v>
      </c>
      <c r="U119" s="329">
        <v>0</v>
      </c>
      <c r="V119" s="356">
        <v>2.5539999999999998</v>
      </c>
      <c r="W119" s="495">
        <v>0.11</v>
      </c>
    </row>
    <row r="120" spans="1:23" ht="15.75" thickBot="1">
      <c r="A120" s="104" t="str">
        <f>IF(M120&gt;0,COUNT($A$9:A119)+COUNT('DWV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0" s="639"/>
      <c r="C120" s="580"/>
      <c r="D120" s="158" t="s">
        <v>3662</v>
      </c>
      <c r="E120" s="106">
        <v>100025626</v>
      </c>
      <c r="F120" s="159" t="s">
        <v>3663</v>
      </c>
      <c r="G120" s="106" t="s">
        <v>2803</v>
      </c>
      <c r="H120" s="106" t="s">
        <v>2929</v>
      </c>
      <c r="I120" s="249" t="s">
        <v>3038</v>
      </c>
      <c r="J120" s="106">
        <v>1</v>
      </c>
      <c r="K120" s="248">
        <f>VLOOKUP('ValveBox Components'!E120,'All Products'!D:H,5,FALSE)</f>
        <v>97.61</v>
      </c>
      <c r="L120" s="205">
        <f>ROUND(K120*Order_Quote!$L$19,2)</f>
        <v>488.05</v>
      </c>
      <c r="M120" s="78"/>
      <c r="N120" s="116"/>
      <c r="O120" s="497">
        <f t="shared" si="6"/>
        <v>0</v>
      </c>
      <c r="Q120" s="496" t="s">
        <v>359</v>
      </c>
      <c r="R120" s="249" t="s">
        <v>102</v>
      </c>
      <c r="S120" s="325" t="s">
        <v>3664</v>
      </c>
      <c r="T120" s="325">
        <v>0</v>
      </c>
      <c r="U120" s="330">
        <v>0</v>
      </c>
      <c r="V120" s="357">
        <v>2.5539999999999998</v>
      </c>
      <c r="W120" s="497">
        <v>0.11</v>
      </c>
    </row>
    <row r="121" spans="1:23" ht="15.75" thickBot="1">
      <c r="A121" s="104" t="str">
        <f>IF(M121&gt;0,COUNT($A$9:A120)+COUNT('DWV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1" s="639"/>
      <c r="C121" s="580"/>
      <c r="D121" s="158" t="s">
        <v>3665</v>
      </c>
      <c r="E121" s="106">
        <v>100025438</v>
      </c>
      <c r="F121" s="159" t="s">
        <v>3666</v>
      </c>
      <c r="G121" s="106" t="s">
        <v>2803</v>
      </c>
      <c r="H121" s="106" t="s">
        <v>2941</v>
      </c>
      <c r="I121" s="249" t="s">
        <v>3048</v>
      </c>
      <c r="J121" s="106">
        <v>1</v>
      </c>
      <c r="K121" s="248">
        <f>VLOOKUP('ValveBox Components'!E121,'All Products'!D:H,5,FALSE)</f>
        <v>97.61</v>
      </c>
      <c r="L121" s="205">
        <f>ROUND(K121*Order_Quote!$L$19,2)</f>
        <v>488.05</v>
      </c>
      <c r="M121" s="78"/>
      <c r="N121" s="116"/>
      <c r="O121" s="497">
        <f t="shared" si="6"/>
        <v>0</v>
      </c>
      <c r="Q121" s="496" t="s">
        <v>359</v>
      </c>
      <c r="R121" s="249" t="s">
        <v>102</v>
      </c>
      <c r="S121" s="325" t="s">
        <v>3667</v>
      </c>
      <c r="T121" s="325">
        <v>0</v>
      </c>
      <c r="U121" s="330">
        <v>0</v>
      </c>
      <c r="V121" s="357">
        <v>2.5539999999999998</v>
      </c>
      <c r="W121" s="497">
        <v>0.11</v>
      </c>
    </row>
    <row r="122" spans="1:23" ht="15.75" thickBot="1">
      <c r="A122" s="104" t="str">
        <f>IF(M122&gt;0,COUNT($A$9:A121)+COUNT('DWV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2" s="640"/>
      <c r="C122" s="641"/>
      <c r="D122" s="185" t="s">
        <v>3668</v>
      </c>
      <c r="E122" s="151">
        <v>100025445</v>
      </c>
      <c r="F122" s="186" t="s">
        <v>3669</v>
      </c>
      <c r="G122" s="151" t="s">
        <v>2803</v>
      </c>
      <c r="H122" s="151" t="s">
        <v>2929</v>
      </c>
      <c r="I122" s="250" t="s">
        <v>3158</v>
      </c>
      <c r="J122" s="151">
        <v>1</v>
      </c>
      <c r="K122" s="248">
        <f>VLOOKUP('ValveBox Components'!E122,'All Products'!D:H,5,FALSE)</f>
        <v>97.61</v>
      </c>
      <c r="L122" s="214">
        <f>ROUND(K122*Order_Quote!$L$19,2)</f>
        <v>488.05</v>
      </c>
      <c r="M122" s="187"/>
      <c r="N122" s="488"/>
      <c r="O122" s="499">
        <f t="shared" si="6"/>
        <v>0</v>
      </c>
      <c r="Q122" s="498" t="s">
        <v>359</v>
      </c>
      <c r="R122" s="250" t="s">
        <v>102</v>
      </c>
      <c r="S122" s="326" t="s">
        <v>3670</v>
      </c>
      <c r="T122" s="326">
        <v>0</v>
      </c>
      <c r="U122" s="331">
        <v>0</v>
      </c>
      <c r="V122" s="358">
        <v>2.5539999999999998</v>
      </c>
      <c r="W122" s="499">
        <v>0.11</v>
      </c>
    </row>
    <row r="123" spans="1:23">
      <c r="A123" s="104" t="str">
        <f>IF(M123&gt;0,COUNT($A$9:A122)+COUNT('DWV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3" s="20"/>
      <c r="C123" s="152"/>
      <c r="D123" s="152"/>
      <c r="E123" s="152"/>
      <c r="F123" s="152"/>
      <c r="G123" s="154"/>
      <c r="H123" s="154"/>
      <c r="I123" s="252"/>
      <c r="J123" s="152"/>
      <c r="K123" s="152"/>
      <c r="L123" s="253"/>
      <c r="M123" s="152"/>
      <c r="N123" s="152"/>
      <c r="O123" s="152"/>
      <c r="P123" s="17"/>
      <c r="Q123" s="252"/>
      <c r="R123" s="252"/>
      <c r="S123" s="252"/>
      <c r="T123" s="252"/>
      <c r="U123" s="252"/>
      <c r="V123" s="152"/>
      <c r="W123" s="152"/>
    </row>
    <row r="124" spans="1:23" ht="19.5" thickBot="1">
      <c r="A124" s="104" t="str">
        <f>IF(M124&gt;0,COUNT($A$9:A123)+COUNT('DWV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4" s="148" t="s">
        <v>3339</v>
      </c>
      <c r="C124" s="152"/>
      <c r="D124" s="152"/>
      <c r="E124" s="152"/>
      <c r="F124" s="152"/>
      <c r="G124" s="154"/>
      <c r="H124" s="154"/>
      <c r="I124" s="252"/>
      <c r="J124" s="152"/>
      <c r="K124" s="152"/>
      <c r="L124" s="253"/>
      <c r="M124" s="152"/>
      <c r="N124" s="152"/>
      <c r="O124" s="152"/>
      <c r="P124" s="17"/>
      <c r="Q124" s="252"/>
      <c r="R124" s="252"/>
      <c r="S124" s="252"/>
      <c r="T124" s="252"/>
      <c r="U124" s="252"/>
      <c r="V124" s="152"/>
      <c r="W124" s="152"/>
    </row>
    <row r="125" spans="1:23" ht="16.5" thickBot="1">
      <c r="A125" s="104" t="str">
        <f>IF(M125&gt;0,COUNT($A$9:A124)+COUNT('DWV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5" s="166" t="s">
        <v>3671</v>
      </c>
      <c r="C125" s="167"/>
      <c r="D125" s="167"/>
      <c r="E125" s="167"/>
      <c r="F125" s="167"/>
      <c r="G125" s="167"/>
      <c r="H125" s="167"/>
      <c r="I125" s="167"/>
      <c r="J125" s="167"/>
      <c r="K125" s="167"/>
      <c r="L125" s="228"/>
      <c r="M125" s="167"/>
      <c r="N125" s="167"/>
      <c r="O125" s="493"/>
      <c r="P125" s="17"/>
      <c r="Q125" s="492"/>
      <c r="R125" s="160"/>
      <c r="S125" s="160"/>
      <c r="T125" s="160"/>
      <c r="U125" s="160"/>
      <c r="V125" s="167"/>
      <c r="W125" s="493"/>
    </row>
    <row r="126" spans="1:23" ht="22.5" customHeight="1" thickBot="1">
      <c r="A126" s="104" t="str">
        <f>IF(M126&gt;0,COUNT($A$9:A125)+COUNT('DWV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6" s="637"/>
      <c r="C126" s="638"/>
      <c r="D126" s="182" t="s">
        <v>3672</v>
      </c>
      <c r="E126" s="150">
        <v>100025578</v>
      </c>
      <c r="F126" s="183" t="s">
        <v>3673</v>
      </c>
      <c r="G126" s="150" t="s">
        <v>3037</v>
      </c>
      <c r="H126" s="150" t="s">
        <v>2803</v>
      </c>
      <c r="I126" s="247" t="s">
        <v>1205</v>
      </c>
      <c r="J126" s="150">
        <v>48</v>
      </c>
      <c r="K126" s="248">
        <f>VLOOKUP('ValveBox Components'!E126,'All Products'!D:H,5,FALSE)</f>
        <v>124.31</v>
      </c>
      <c r="L126" s="213">
        <f>ROUND(K126*Order_Quote!$L$19,2)</f>
        <v>621.54999999999995</v>
      </c>
      <c r="M126" s="191"/>
      <c r="N126" s="487"/>
      <c r="O126" s="495">
        <f t="shared" ref="O126:O128" si="7">M126/J126</f>
        <v>0</v>
      </c>
      <c r="Q126" s="494" t="s">
        <v>76</v>
      </c>
      <c r="R126" s="247" t="s">
        <v>102</v>
      </c>
      <c r="S126" s="324" t="s">
        <v>3674</v>
      </c>
      <c r="T126" s="324">
        <v>0</v>
      </c>
      <c r="U126" s="329">
        <v>0</v>
      </c>
      <c r="V126" s="356">
        <v>8.8800000000000008</v>
      </c>
      <c r="W126" s="495">
        <v>3.48</v>
      </c>
    </row>
    <row r="127" spans="1:23" ht="22.5" customHeight="1" thickBot="1">
      <c r="A127" s="104" t="str">
        <f>IF(M127&gt;0,COUNT($A$9:A126)+COUNT('DWV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7" s="639"/>
      <c r="C127" s="580"/>
      <c r="D127" s="158" t="s">
        <v>3675</v>
      </c>
      <c r="E127" s="106">
        <v>100025582</v>
      </c>
      <c r="F127" s="159" t="s">
        <v>3676</v>
      </c>
      <c r="G127" s="106" t="s">
        <v>2941</v>
      </c>
      <c r="H127" s="106" t="s">
        <v>2803</v>
      </c>
      <c r="I127" s="249" t="s">
        <v>1205</v>
      </c>
      <c r="J127" s="106">
        <v>48</v>
      </c>
      <c r="K127" s="248">
        <f>VLOOKUP('ValveBox Components'!E127,'All Products'!D:H,5,FALSE)</f>
        <v>124.31</v>
      </c>
      <c r="L127" s="205">
        <f>ROUND(K127*Order_Quote!$L$19,2)</f>
        <v>621.54999999999995</v>
      </c>
      <c r="M127" s="78"/>
      <c r="N127" s="116"/>
      <c r="O127" s="497">
        <f t="shared" si="7"/>
        <v>0</v>
      </c>
      <c r="Q127" s="496" t="s">
        <v>76</v>
      </c>
      <c r="R127" s="249" t="s">
        <v>102</v>
      </c>
      <c r="S127" s="325" t="s">
        <v>3677</v>
      </c>
      <c r="T127" s="325">
        <v>0</v>
      </c>
      <c r="U127" s="330">
        <v>0</v>
      </c>
      <c r="V127" s="357">
        <v>8.8800000000000008</v>
      </c>
      <c r="W127" s="497">
        <v>3.48</v>
      </c>
    </row>
    <row r="128" spans="1:23" ht="22.5" customHeight="1" thickBot="1">
      <c r="A128" s="104" t="str">
        <f>IF(M128&gt;0,COUNT($A$9:A127)+COUNT('DWV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8" s="640"/>
      <c r="C128" s="641"/>
      <c r="D128" s="185" t="s">
        <v>3678</v>
      </c>
      <c r="E128" s="151">
        <v>100025584</v>
      </c>
      <c r="F128" s="186" t="s">
        <v>3679</v>
      </c>
      <c r="G128" s="151" t="s">
        <v>2929</v>
      </c>
      <c r="H128" s="151" t="s">
        <v>2803</v>
      </c>
      <c r="I128" s="250" t="s">
        <v>1205</v>
      </c>
      <c r="J128" s="151">
        <v>48</v>
      </c>
      <c r="K128" s="248">
        <f>VLOOKUP('ValveBox Components'!E128,'All Products'!D:H,5,FALSE)</f>
        <v>124.31</v>
      </c>
      <c r="L128" s="214">
        <f>ROUND(K128*Order_Quote!$L$19,2)</f>
        <v>621.54999999999995</v>
      </c>
      <c r="M128" s="187"/>
      <c r="N128" s="488"/>
      <c r="O128" s="499">
        <f t="shared" si="7"/>
        <v>0</v>
      </c>
      <c r="Q128" s="498" t="s">
        <v>76</v>
      </c>
      <c r="R128" s="250" t="s">
        <v>102</v>
      </c>
      <c r="S128" s="326" t="s">
        <v>3680</v>
      </c>
      <c r="T128" s="326">
        <v>0</v>
      </c>
      <c r="U128" s="331">
        <v>0</v>
      </c>
      <c r="V128" s="358">
        <v>8.8800000000000008</v>
      </c>
      <c r="W128" s="499">
        <v>3.48</v>
      </c>
    </row>
    <row r="129" spans="1:23">
      <c r="A129" s="104" t="str">
        <f>IF(M129&gt;0,COUNT($A$9:A128)+COUNT('DWV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29" s="20"/>
      <c r="C129" s="152"/>
      <c r="D129" s="152"/>
      <c r="E129" s="152"/>
      <c r="F129" s="152"/>
      <c r="G129" s="154"/>
      <c r="H129" s="154"/>
      <c r="I129" s="252"/>
      <c r="J129" s="152"/>
      <c r="K129" s="152"/>
      <c r="L129" s="253"/>
      <c r="M129" s="152"/>
      <c r="N129" s="152"/>
      <c r="O129" s="152"/>
      <c r="P129" s="17"/>
      <c r="Q129" s="252"/>
      <c r="R129" s="252"/>
      <c r="S129" s="252"/>
      <c r="T129" s="252"/>
      <c r="U129" s="252"/>
      <c r="V129" s="152"/>
      <c r="W129" s="152"/>
    </row>
    <row r="130" spans="1:23" ht="19.5" thickBot="1">
      <c r="A130" s="104" t="str">
        <f>IF(M130&gt;0,COUNT($A$9:A129)+COUNT('DWV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0" s="242" t="s">
        <v>3379</v>
      </c>
      <c r="C130" s="152"/>
      <c r="D130" s="152"/>
      <c r="E130" s="152"/>
      <c r="F130" s="152"/>
      <c r="G130" s="154"/>
      <c r="H130" s="154"/>
      <c r="I130" s="252"/>
      <c r="J130" s="152"/>
      <c r="K130" s="152"/>
      <c r="L130" s="253"/>
      <c r="M130" s="152"/>
      <c r="N130" s="152"/>
      <c r="O130" s="152"/>
      <c r="P130" s="17"/>
      <c r="Q130" s="252"/>
      <c r="R130" s="252"/>
      <c r="S130" s="252"/>
      <c r="T130" s="252"/>
      <c r="U130" s="252"/>
      <c r="V130" s="152"/>
      <c r="W130" s="152"/>
    </row>
    <row r="131" spans="1:23" ht="16.5" thickBot="1">
      <c r="A131" s="104" t="str">
        <f>IF(M131&gt;0,COUNT($A$9:A130)+COUNT('DWV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1" s="166" t="s">
        <v>3681</v>
      </c>
      <c r="C131" s="167"/>
      <c r="D131" s="167"/>
      <c r="E131" s="167"/>
      <c r="F131" s="167"/>
      <c r="G131" s="167"/>
      <c r="H131" s="167"/>
      <c r="I131" s="167"/>
      <c r="J131" s="167"/>
      <c r="K131" s="167"/>
      <c r="L131" s="228"/>
      <c r="M131" s="167"/>
      <c r="N131" s="167"/>
      <c r="O131" s="493"/>
      <c r="P131" s="17"/>
      <c r="Q131" s="492"/>
      <c r="R131" s="160"/>
      <c r="S131" s="160"/>
      <c r="T131" s="160"/>
      <c r="U131" s="160"/>
      <c r="V131" s="167"/>
      <c r="W131" s="493"/>
    </row>
    <row r="132" spans="1:23" ht="15.75" thickBot="1">
      <c r="A132" s="104" t="str">
        <f>IF(M132&gt;0,COUNT($A$9:A131)+COUNT('DWV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2" s="637"/>
      <c r="C132" s="638"/>
      <c r="D132" s="182" t="s">
        <v>3682</v>
      </c>
      <c r="E132" s="150">
        <v>100025580</v>
      </c>
      <c r="F132" s="183" t="s">
        <v>3683</v>
      </c>
      <c r="G132" s="150" t="s">
        <v>3037</v>
      </c>
      <c r="H132" s="150" t="s">
        <v>2803</v>
      </c>
      <c r="I132" s="247" t="s">
        <v>1205</v>
      </c>
      <c r="J132" s="150">
        <v>28</v>
      </c>
      <c r="K132" s="248">
        <f>VLOOKUP('ValveBox Components'!E132,'All Products'!D:H,5,FALSE)</f>
        <v>114.73</v>
      </c>
      <c r="L132" s="213">
        <f>ROUND(K132*Order_Quote!$L$19,2)</f>
        <v>573.65</v>
      </c>
      <c r="M132" s="191"/>
      <c r="N132" s="487"/>
      <c r="O132" s="495">
        <f>M132/J132</f>
        <v>0</v>
      </c>
      <c r="Q132" s="494" t="s">
        <v>76</v>
      </c>
      <c r="R132" s="247" t="s">
        <v>102</v>
      </c>
      <c r="S132" s="324" t="s">
        <v>3684</v>
      </c>
      <c r="T132" s="324">
        <v>0</v>
      </c>
      <c r="U132" s="329">
        <v>0</v>
      </c>
      <c r="V132" s="356">
        <v>5.66</v>
      </c>
      <c r="W132" s="495">
        <v>1.72</v>
      </c>
    </row>
    <row r="133" spans="1:23" ht="15.75" thickBot="1">
      <c r="A133" s="104" t="str">
        <f>IF(M133&gt;0,COUNT($A$9:A132)+COUNT('DWV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3" s="639"/>
      <c r="C133" s="580"/>
      <c r="D133" s="158" t="s">
        <v>3685</v>
      </c>
      <c r="E133" s="106">
        <v>100025581</v>
      </c>
      <c r="F133" s="159" t="s">
        <v>3686</v>
      </c>
      <c r="G133" s="106" t="s">
        <v>3043</v>
      </c>
      <c r="H133" s="106" t="s">
        <v>2803</v>
      </c>
      <c r="I133" s="249" t="s">
        <v>1205</v>
      </c>
      <c r="J133" s="106">
        <v>28</v>
      </c>
      <c r="K133" s="248">
        <f>VLOOKUP('ValveBox Components'!E133,'All Products'!D:H,5,FALSE)</f>
        <v>114.73</v>
      </c>
      <c r="L133" s="205">
        <f>ROUND(K133*Order_Quote!$L$19,2)</f>
        <v>573.65</v>
      </c>
      <c r="M133" s="78"/>
      <c r="N133" s="116"/>
      <c r="O133" s="497">
        <f>M133/J133</f>
        <v>0</v>
      </c>
      <c r="Q133" s="496" t="s">
        <v>76</v>
      </c>
      <c r="R133" s="249" t="s">
        <v>102</v>
      </c>
      <c r="S133" s="325" t="s">
        <v>3687</v>
      </c>
      <c r="T133" s="325">
        <v>0</v>
      </c>
      <c r="U133" s="330">
        <v>0</v>
      </c>
      <c r="V133" s="357">
        <v>5.66</v>
      </c>
      <c r="W133" s="497">
        <v>1.72</v>
      </c>
    </row>
    <row r="134" spans="1:23" ht="15.75" thickBot="1">
      <c r="A134" s="104" t="str">
        <f>IF(M134&gt;0,COUNT($A$9:A133)+COUNT('DWV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4" s="639"/>
      <c r="C134" s="580"/>
      <c r="D134" s="158" t="s">
        <v>3688</v>
      </c>
      <c r="E134" s="106">
        <v>100025583</v>
      </c>
      <c r="F134" s="159" t="s">
        <v>3689</v>
      </c>
      <c r="G134" s="106" t="s">
        <v>2941</v>
      </c>
      <c r="H134" s="106" t="s">
        <v>2803</v>
      </c>
      <c r="I134" s="249" t="s">
        <v>1205</v>
      </c>
      <c r="J134" s="106">
        <v>28</v>
      </c>
      <c r="K134" s="248">
        <f>VLOOKUP('ValveBox Components'!E134,'All Products'!D:H,5,FALSE)</f>
        <v>114.73</v>
      </c>
      <c r="L134" s="205">
        <f>ROUND(K134*Order_Quote!$L$19,2)</f>
        <v>573.65</v>
      </c>
      <c r="M134" s="78"/>
      <c r="N134" s="116"/>
      <c r="O134" s="497">
        <f>M134/J134</f>
        <v>0</v>
      </c>
      <c r="Q134" s="496" t="s">
        <v>359</v>
      </c>
      <c r="R134" s="249" t="s">
        <v>102</v>
      </c>
      <c r="S134" s="325" t="s">
        <v>3690</v>
      </c>
      <c r="T134" s="325">
        <v>0</v>
      </c>
      <c r="U134" s="330">
        <v>0</v>
      </c>
      <c r="V134" s="357">
        <v>5.66</v>
      </c>
      <c r="W134" s="497">
        <v>1.72</v>
      </c>
    </row>
    <row r="135" spans="1:23" ht="15.75" thickBot="1">
      <c r="A135" s="104" t="str">
        <f>IF(M135&gt;0,COUNT($A$9:A134)+COUNT('DWV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5" s="640"/>
      <c r="C135" s="641"/>
      <c r="D135" s="185" t="s">
        <v>3691</v>
      </c>
      <c r="E135" s="151">
        <v>100025587</v>
      </c>
      <c r="F135" s="186" t="s">
        <v>3692</v>
      </c>
      <c r="G135" s="151" t="s">
        <v>2929</v>
      </c>
      <c r="H135" s="151" t="s">
        <v>2803</v>
      </c>
      <c r="I135" s="250" t="s">
        <v>1205</v>
      </c>
      <c r="J135" s="151">
        <v>28</v>
      </c>
      <c r="K135" s="248">
        <f>VLOOKUP('ValveBox Components'!E135,'All Products'!D:H,5,FALSE)</f>
        <v>114.73</v>
      </c>
      <c r="L135" s="214">
        <f>ROUND(K135*Order_Quote!$L$19,2)</f>
        <v>573.65</v>
      </c>
      <c r="M135" s="187"/>
      <c r="N135" s="488"/>
      <c r="O135" s="499">
        <f>M135/J135</f>
        <v>0</v>
      </c>
      <c r="Q135" s="498" t="s">
        <v>76</v>
      </c>
      <c r="R135" s="250" t="s">
        <v>102</v>
      </c>
      <c r="S135" s="326" t="s">
        <v>3693</v>
      </c>
      <c r="T135" s="326">
        <v>0</v>
      </c>
      <c r="U135" s="331">
        <v>0</v>
      </c>
      <c r="V135" s="358">
        <v>5.66</v>
      </c>
      <c r="W135" s="499">
        <v>1.72</v>
      </c>
    </row>
    <row r="136" spans="1:23">
      <c r="A136" s="104" t="str">
        <f>IF(M136&gt;0,COUNT($A$9:A135)+COUNT('DWV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6" s="20"/>
      <c r="C136" s="152"/>
      <c r="D136" s="152"/>
      <c r="E136" s="152"/>
      <c r="F136" s="152"/>
      <c r="G136" s="154"/>
      <c r="H136" s="154"/>
      <c r="I136" s="252"/>
      <c r="J136" s="152"/>
      <c r="K136" s="152"/>
      <c r="L136" s="253"/>
      <c r="M136" s="152"/>
      <c r="N136" s="152"/>
      <c r="O136" s="152"/>
      <c r="P136" s="17"/>
      <c r="Q136" s="252"/>
      <c r="R136" s="252"/>
      <c r="S136" s="252"/>
      <c r="T136" s="252"/>
      <c r="U136" s="252"/>
      <c r="V136" s="152"/>
      <c r="W136" s="152"/>
    </row>
    <row r="137" spans="1:23" ht="19.5" thickBot="1">
      <c r="A137" s="104" t="str">
        <f>IF(M137&gt;0,COUNT($A$9:A136)+COUNT('DWV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7" s="148" t="s">
        <v>3694</v>
      </c>
      <c r="C137" s="152"/>
      <c r="D137" s="152"/>
      <c r="E137" s="152"/>
      <c r="F137" s="152"/>
      <c r="G137" s="154"/>
      <c r="H137" s="154"/>
      <c r="I137" s="252"/>
      <c r="J137" s="152"/>
      <c r="K137" s="152"/>
      <c r="L137" s="253"/>
      <c r="M137" s="152"/>
      <c r="N137" s="152"/>
      <c r="O137" s="152"/>
      <c r="P137" s="17"/>
      <c r="Q137" s="252"/>
      <c r="R137" s="252"/>
      <c r="S137" s="252"/>
      <c r="T137" s="252"/>
      <c r="U137" s="252"/>
      <c r="V137" s="152"/>
      <c r="W137" s="152"/>
    </row>
    <row r="138" spans="1:23" ht="16.5" thickBot="1">
      <c r="A138" s="104" t="str">
        <f>IF(M138&gt;0,COUNT($A$9:A137)+COUNT('DWV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8" s="166" t="s">
        <v>3695</v>
      </c>
      <c r="C138" s="167"/>
      <c r="D138" s="167"/>
      <c r="E138" s="167"/>
      <c r="F138" s="167"/>
      <c r="G138" s="167"/>
      <c r="H138" s="167"/>
      <c r="I138" s="167"/>
      <c r="J138" s="167"/>
      <c r="K138" s="167"/>
      <c r="L138" s="228"/>
      <c r="M138" s="167"/>
      <c r="N138" s="167"/>
      <c r="O138" s="167"/>
      <c r="P138" s="17"/>
      <c r="Q138" s="492"/>
      <c r="R138" s="160"/>
      <c r="S138" s="160"/>
      <c r="T138" s="160"/>
      <c r="U138" s="160"/>
      <c r="V138" s="167"/>
      <c r="W138" s="493"/>
    </row>
    <row r="139" spans="1:23" ht="15.75" thickBot="1">
      <c r="A139" s="104" t="str">
        <f>IF(M139&gt;0,COUNT($A$9:A138)+COUNT('DWV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39" s="637"/>
      <c r="C139" s="638"/>
      <c r="D139" s="182" t="s">
        <v>3696</v>
      </c>
      <c r="E139" s="150">
        <v>100025635</v>
      </c>
      <c r="F139" s="183" t="s">
        <v>3697</v>
      </c>
      <c r="G139" s="150" t="s">
        <v>2803</v>
      </c>
      <c r="H139" s="150" t="s">
        <v>3037</v>
      </c>
      <c r="I139" s="247" t="s">
        <v>3038</v>
      </c>
      <c r="J139" s="150">
        <v>1</v>
      </c>
      <c r="K139" s="248">
        <f>VLOOKUP('ValveBox Components'!E139,'All Products'!D:H,5,FALSE)</f>
        <v>60.58</v>
      </c>
      <c r="L139" s="213">
        <f>ROUND(K139*Order_Quote!$L$19,2)</f>
        <v>302.89999999999998</v>
      </c>
      <c r="M139" s="191"/>
      <c r="N139" s="487"/>
      <c r="O139" s="248">
        <f t="shared" ref="O139:O151" si="8">M139/J139</f>
        <v>0</v>
      </c>
      <c r="Q139" s="494" t="s">
        <v>76</v>
      </c>
      <c r="R139" s="247" t="s">
        <v>102</v>
      </c>
      <c r="S139" s="324" t="s">
        <v>3698</v>
      </c>
      <c r="T139" s="324">
        <v>0</v>
      </c>
      <c r="U139" s="329">
        <v>0</v>
      </c>
      <c r="V139" s="356">
        <v>3.2250000000000001</v>
      </c>
      <c r="W139" s="495">
        <v>0.18</v>
      </c>
    </row>
    <row r="140" spans="1:23" ht="15.75" thickBot="1">
      <c r="A140" s="104" t="str">
        <f>IF(M140&gt;0,COUNT($A$9:A139)+COUNT('DWV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0" s="639"/>
      <c r="C140" s="580"/>
      <c r="D140" s="158" t="s">
        <v>3699</v>
      </c>
      <c r="E140" s="106">
        <v>100025649</v>
      </c>
      <c r="F140" s="159" t="s">
        <v>3700</v>
      </c>
      <c r="G140" s="106" t="s">
        <v>2803</v>
      </c>
      <c r="H140" s="106" t="s">
        <v>2929</v>
      </c>
      <c r="I140" s="249" t="s">
        <v>3038</v>
      </c>
      <c r="J140" s="106">
        <v>1</v>
      </c>
      <c r="K140" s="248">
        <f>VLOOKUP('ValveBox Components'!E140,'All Products'!D:H,5,FALSE)</f>
        <v>60.58</v>
      </c>
      <c r="L140" s="205">
        <f>ROUND(K140*Order_Quote!$L$19,2)</f>
        <v>302.89999999999998</v>
      </c>
      <c r="M140" s="78"/>
      <c r="N140" s="116"/>
      <c r="O140" s="153">
        <f t="shared" si="8"/>
        <v>0</v>
      </c>
      <c r="Q140" s="496" t="s">
        <v>359</v>
      </c>
      <c r="R140" s="249" t="s">
        <v>102</v>
      </c>
      <c r="S140" s="325" t="s">
        <v>3701</v>
      </c>
      <c r="T140" s="325">
        <v>0</v>
      </c>
      <c r="U140" s="330">
        <v>0</v>
      </c>
      <c r="V140" s="357">
        <v>3.2250000000000001</v>
      </c>
      <c r="W140" s="497">
        <v>0.18</v>
      </c>
    </row>
    <row r="141" spans="1:23" ht="15.75" thickBot="1">
      <c r="A141" s="104" t="str">
        <f>IF(M141&gt;0,COUNT($A$9:A140)+COUNT('DWV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1" s="639"/>
      <c r="C141" s="580"/>
      <c r="D141" s="158" t="s">
        <v>3702</v>
      </c>
      <c r="E141" s="106">
        <v>100025652</v>
      </c>
      <c r="F141" s="159" t="s">
        <v>3703</v>
      </c>
      <c r="G141" s="106" t="s">
        <v>2803</v>
      </c>
      <c r="H141" s="106" t="s">
        <v>3161</v>
      </c>
      <c r="I141" s="249" t="s">
        <v>3038</v>
      </c>
      <c r="J141" s="106">
        <v>1</v>
      </c>
      <c r="K141" s="248">
        <f>VLOOKUP('ValveBox Components'!E141,'All Products'!D:H,5,FALSE)</f>
        <v>60.58</v>
      </c>
      <c r="L141" s="205">
        <f>ROUND(K141*Order_Quote!$L$19,2)</f>
        <v>302.89999999999998</v>
      </c>
      <c r="M141" s="78"/>
      <c r="N141" s="116"/>
      <c r="O141" s="153">
        <f t="shared" si="8"/>
        <v>0</v>
      </c>
      <c r="Q141" s="496" t="s">
        <v>359</v>
      </c>
      <c r="R141" s="249" t="s">
        <v>102</v>
      </c>
      <c r="S141" s="325" t="s">
        <v>3704</v>
      </c>
      <c r="T141" s="325">
        <v>0</v>
      </c>
      <c r="U141" s="330">
        <v>0</v>
      </c>
      <c r="V141" s="357">
        <v>3.2250000000000001</v>
      </c>
      <c r="W141" s="497">
        <v>0.18</v>
      </c>
    </row>
    <row r="142" spans="1:23" ht="15.75" thickBot="1">
      <c r="A142" s="104" t="str">
        <f>IF(M142&gt;0,COUNT($A$9:A141)+COUNT('DWV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2" s="639"/>
      <c r="C142" s="580"/>
      <c r="D142" s="158" t="s">
        <v>3705</v>
      </c>
      <c r="E142" s="106">
        <v>100025647</v>
      </c>
      <c r="F142" s="159" t="s">
        <v>3706</v>
      </c>
      <c r="G142" s="106" t="s">
        <v>2803</v>
      </c>
      <c r="H142" s="106" t="s">
        <v>2941</v>
      </c>
      <c r="I142" s="249" t="s">
        <v>3048</v>
      </c>
      <c r="J142" s="106">
        <v>1</v>
      </c>
      <c r="K142" s="248">
        <f>VLOOKUP('ValveBox Components'!E142,'All Products'!D:H,5,FALSE)</f>
        <v>60.58</v>
      </c>
      <c r="L142" s="205">
        <f>ROUND(K142*Order_Quote!$L$19,2)</f>
        <v>302.89999999999998</v>
      </c>
      <c r="M142" s="78"/>
      <c r="N142" s="116"/>
      <c r="O142" s="153">
        <f t="shared" si="8"/>
        <v>0</v>
      </c>
      <c r="Q142" s="496" t="s">
        <v>76</v>
      </c>
      <c r="R142" s="249" t="s">
        <v>102</v>
      </c>
      <c r="S142" s="325" t="s">
        <v>3707</v>
      </c>
      <c r="T142" s="325">
        <v>0</v>
      </c>
      <c r="U142" s="330">
        <v>0</v>
      </c>
      <c r="V142" s="357">
        <v>3.2250000000000001</v>
      </c>
      <c r="W142" s="497">
        <v>0.18</v>
      </c>
    </row>
    <row r="143" spans="1:23" ht="15.75" thickBot="1">
      <c r="A143" s="104" t="str">
        <f>IF(M143&gt;0,COUNT($A$9:A142)+COUNT('DWV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3" s="639"/>
      <c r="C143" s="580"/>
      <c r="D143" s="158" t="s">
        <v>3708</v>
      </c>
      <c r="E143" s="106">
        <v>100025641</v>
      </c>
      <c r="F143" s="159" t="s">
        <v>3709</v>
      </c>
      <c r="G143" s="106" t="s">
        <v>2803</v>
      </c>
      <c r="H143" s="106" t="s">
        <v>3037</v>
      </c>
      <c r="I143" s="249" t="s">
        <v>3059</v>
      </c>
      <c r="J143" s="106">
        <v>1</v>
      </c>
      <c r="K143" s="248">
        <f>VLOOKUP('ValveBox Components'!E143,'All Products'!D:H,5,FALSE)</f>
        <v>60.58</v>
      </c>
      <c r="L143" s="205">
        <f>ROUND(K143*Order_Quote!$L$19,2)</f>
        <v>302.89999999999998</v>
      </c>
      <c r="M143" s="78"/>
      <c r="N143" s="116"/>
      <c r="O143" s="153">
        <f t="shared" si="8"/>
        <v>0</v>
      </c>
      <c r="Q143" s="496" t="s">
        <v>359</v>
      </c>
      <c r="R143" s="249" t="s">
        <v>102</v>
      </c>
      <c r="S143" s="325">
        <v>0</v>
      </c>
      <c r="T143" s="325">
        <v>0</v>
      </c>
      <c r="U143" s="330">
        <v>0</v>
      </c>
      <c r="V143" s="357">
        <v>3.2250000000000001</v>
      </c>
      <c r="W143" s="497">
        <v>0.18</v>
      </c>
    </row>
    <row r="144" spans="1:23" ht="15.75" thickBot="1">
      <c r="A144" s="104" t="str">
        <f>IF(M144&gt;0,COUNT($A$9:A143)+COUNT('DWV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4" s="639"/>
      <c r="C144" s="580"/>
      <c r="D144" s="158" t="s">
        <v>3710</v>
      </c>
      <c r="E144" s="106">
        <v>100025638</v>
      </c>
      <c r="F144" s="159" t="s">
        <v>3711</v>
      </c>
      <c r="G144" s="106" t="s">
        <v>2803</v>
      </c>
      <c r="H144" s="106" t="s">
        <v>3037</v>
      </c>
      <c r="I144" s="249" t="s">
        <v>3052</v>
      </c>
      <c r="J144" s="106">
        <v>1</v>
      </c>
      <c r="K144" s="248">
        <f>VLOOKUP('ValveBox Components'!E144,'All Products'!D:H,5,FALSE)</f>
        <v>60.58</v>
      </c>
      <c r="L144" s="205">
        <f>ROUND(K144*Order_Quote!$L$19,2)</f>
        <v>302.89999999999998</v>
      </c>
      <c r="M144" s="78"/>
      <c r="N144" s="116"/>
      <c r="O144" s="153">
        <f t="shared" si="8"/>
        <v>0</v>
      </c>
      <c r="Q144" s="496" t="s">
        <v>359</v>
      </c>
      <c r="R144" s="249" t="s">
        <v>102</v>
      </c>
      <c r="S144" s="325">
        <v>0</v>
      </c>
      <c r="T144" s="325">
        <v>0</v>
      </c>
      <c r="U144" s="330">
        <v>0</v>
      </c>
      <c r="V144" s="357">
        <v>3.2250000000000001</v>
      </c>
      <c r="W144" s="497">
        <v>0.18</v>
      </c>
    </row>
    <row r="145" spans="1:23" ht="15.75" thickBot="1">
      <c r="A145" s="104" t="str">
        <f>IF(M145&gt;0,COUNT($A$9:A144)+COUNT('DWV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5" s="639"/>
      <c r="C145" s="580"/>
      <c r="D145" s="158" t="s">
        <v>3712</v>
      </c>
      <c r="E145" s="106">
        <v>100025636</v>
      </c>
      <c r="F145" s="159" t="s">
        <v>3713</v>
      </c>
      <c r="G145" s="106" t="s">
        <v>2803</v>
      </c>
      <c r="H145" s="106" t="s">
        <v>3037</v>
      </c>
      <c r="I145" s="249" t="s">
        <v>3063</v>
      </c>
      <c r="J145" s="106">
        <v>1</v>
      </c>
      <c r="K145" s="248">
        <f>VLOOKUP('ValveBox Components'!E145,'All Products'!D:H,5,FALSE)</f>
        <v>60.58</v>
      </c>
      <c r="L145" s="205">
        <f>ROUND(K145*Order_Quote!$L$19,2)</f>
        <v>302.89999999999998</v>
      </c>
      <c r="M145" s="78"/>
      <c r="N145" s="116"/>
      <c r="O145" s="153">
        <f t="shared" si="8"/>
        <v>0</v>
      </c>
      <c r="Q145" s="496" t="s">
        <v>76</v>
      </c>
      <c r="R145" s="249" t="s">
        <v>102</v>
      </c>
      <c r="S145" s="325">
        <v>0</v>
      </c>
      <c r="T145" s="325">
        <v>0</v>
      </c>
      <c r="U145" s="330">
        <v>0</v>
      </c>
      <c r="V145" s="357">
        <v>3.2250000000000001</v>
      </c>
      <c r="W145" s="497">
        <v>0.18</v>
      </c>
    </row>
    <row r="146" spans="1:23" ht="15.75" thickBot="1">
      <c r="A146" s="104" t="str">
        <f>IF(M146&gt;0,COUNT($A$9:A145)+COUNT('DWV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6" s="639"/>
      <c r="C146" s="580"/>
      <c r="D146" s="158" t="s">
        <v>3714</v>
      </c>
      <c r="E146" s="106">
        <v>100025495</v>
      </c>
      <c r="F146" s="159" t="s">
        <v>3715</v>
      </c>
      <c r="G146" s="106" t="s">
        <v>2803</v>
      </c>
      <c r="H146" s="106" t="s">
        <v>2929</v>
      </c>
      <c r="I146" s="249" t="s">
        <v>3063</v>
      </c>
      <c r="J146" s="106">
        <v>1</v>
      </c>
      <c r="K146" s="248">
        <f>VLOOKUP('ValveBox Components'!E146,'All Products'!D:H,5,FALSE)</f>
        <v>60.58</v>
      </c>
      <c r="L146" s="205">
        <f>ROUND(K146*Order_Quote!$L$19,2)</f>
        <v>302.89999999999998</v>
      </c>
      <c r="M146" s="78"/>
      <c r="N146" s="116"/>
      <c r="O146" s="153">
        <f t="shared" si="8"/>
        <v>0</v>
      </c>
      <c r="Q146" s="496" t="s">
        <v>359</v>
      </c>
      <c r="R146" s="249" t="s">
        <v>102</v>
      </c>
      <c r="S146" s="325" t="s">
        <v>3716</v>
      </c>
      <c r="T146" s="325">
        <v>0</v>
      </c>
      <c r="U146" s="330">
        <v>0</v>
      </c>
      <c r="V146" s="357">
        <v>3.2250000000000001</v>
      </c>
      <c r="W146" s="497">
        <v>0.18</v>
      </c>
    </row>
    <row r="147" spans="1:23" ht="15.75" thickBot="1">
      <c r="A147" s="104" t="str">
        <f>IF(M147&gt;0,COUNT($A$9:A146)+COUNT('DWV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7" s="639"/>
      <c r="C147" s="580"/>
      <c r="D147" s="158" t="s">
        <v>3717</v>
      </c>
      <c r="E147" s="106">
        <v>100025482</v>
      </c>
      <c r="F147" s="159" t="s">
        <v>3718</v>
      </c>
      <c r="G147" s="106" t="s">
        <v>2803</v>
      </c>
      <c r="H147" s="106" t="s">
        <v>3037</v>
      </c>
      <c r="I147" s="249" t="s">
        <v>3083</v>
      </c>
      <c r="J147" s="106">
        <v>1</v>
      </c>
      <c r="K147" s="248">
        <f>VLOOKUP('ValveBox Components'!E147,'All Products'!D:H,5,FALSE)</f>
        <v>60.58</v>
      </c>
      <c r="L147" s="205">
        <f>ROUND(K147*Order_Quote!$L$19,2)</f>
        <v>302.89999999999998</v>
      </c>
      <c r="M147" s="78"/>
      <c r="N147" s="116"/>
      <c r="O147" s="153">
        <f t="shared" si="8"/>
        <v>0</v>
      </c>
      <c r="Q147" s="496" t="s">
        <v>359</v>
      </c>
      <c r="R147" s="249" t="s">
        <v>102</v>
      </c>
      <c r="S147" s="325" t="s">
        <v>3719</v>
      </c>
      <c r="T147" s="325">
        <v>0</v>
      </c>
      <c r="U147" s="330">
        <v>0</v>
      </c>
      <c r="V147" s="357">
        <v>3.2250000000000001</v>
      </c>
      <c r="W147" s="497">
        <v>0.18</v>
      </c>
    </row>
    <row r="148" spans="1:23" ht="15.75" thickBot="1">
      <c r="A148" s="104" t="str">
        <f>IF(M148&gt;0,COUNT($A$9:A147)+COUNT('DWV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8" s="639"/>
      <c r="C148" s="580"/>
      <c r="D148" s="158" t="s">
        <v>3720</v>
      </c>
      <c r="E148" s="106">
        <v>100025496</v>
      </c>
      <c r="F148" s="159" t="s">
        <v>3721</v>
      </c>
      <c r="G148" s="106" t="s">
        <v>2803</v>
      </c>
      <c r="H148" s="106" t="s">
        <v>2929</v>
      </c>
      <c r="I148" s="249" t="s">
        <v>3083</v>
      </c>
      <c r="J148" s="106">
        <v>1</v>
      </c>
      <c r="K148" s="248">
        <f>VLOOKUP('ValveBox Components'!E148,'All Products'!D:H,5,FALSE)</f>
        <v>60.58</v>
      </c>
      <c r="L148" s="205">
        <f>ROUND(K148*Order_Quote!$L$19,2)</f>
        <v>302.89999999999998</v>
      </c>
      <c r="M148" s="78"/>
      <c r="N148" s="116"/>
      <c r="O148" s="153">
        <f t="shared" si="8"/>
        <v>0</v>
      </c>
      <c r="Q148" s="496" t="s">
        <v>359</v>
      </c>
      <c r="R148" s="249" t="s">
        <v>102</v>
      </c>
      <c r="S148" s="325" t="s">
        <v>3722</v>
      </c>
      <c r="T148" s="325">
        <v>0</v>
      </c>
      <c r="U148" s="330">
        <v>0</v>
      </c>
      <c r="V148" s="357">
        <v>3.2250000000000001</v>
      </c>
      <c r="W148" s="497">
        <v>0.18</v>
      </c>
    </row>
    <row r="149" spans="1:23" ht="15.75" thickBot="1">
      <c r="A149" s="104" t="str">
        <f>IF(M149&gt;0,COUNT($A$9:A148)+COUNT('DWV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49" s="639"/>
      <c r="C149" s="580"/>
      <c r="D149" s="158" t="s">
        <v>3723</v>
      </c>
      <c r="E149" s="106">
        <v>100025484</v>
      </c>
      <c r="F149" s="159" t="s">
        <v>3724</v>
      </c>
      <c r="G149" s="106" t="s">
        <v>2803</v>
      </c>
      <c r="H149" s="106" t="s">
        <v>3037</v>
      </c>
      <c r="I149" s="249" t="s">
        <v>3144</v>
      </c>
      <c r="J149" s="106">
        <v>1</v>
      </c>
      <c r="K149" s="248">
        <f>VLOOKUP('ValveBox Components'!E149,'All Products'!D:H,5,FALSE)</f>
        <v>60.58</v>
      </c>
      <c r="L149" s="205">
        <f>ROUND(K149*Order_Quote!$L$19,2)</f>
        <v>302.89999999999998</v>
      </c>
      <c r="M149" s="78"/>
      <c r="N149" s="116"/>
      <c r="O149" s="153">
        <f t="shared" si="8"/>
        <v>0</v>
      </c>
      <c r="Q149" s="496" t="s">
        <v>359</v>
      </c>
      <c r="R149" s="249" t="s">
        <v>102</v>
      </c>
      <c r="S149" s="325" t="s">
        <v>3725</v>
      </c>
      <c r="T149" s="325">
        <v>0</v>
      </c>
      <c r="U149" s="330">
        <v>0</v>
      </c>
      <c r="V149" s="357">
        <v>3.2250000000000001</v>
      </c>
      <c r="W149" s="497">
        <v>0.18</v>
      </c>
    </row>
    <row r="150" spans="1:23" ht="15.75" thickBot="1">
      <c r="A150" s="104" t="str">
        <f>IF(M150&gt;0,COUNT($A$9:A149)+COUNT('DWV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0" s="639"/>
      <c r="C150" s="580"/>
      <c r="D150" s="158" t="s">
        <v>3726</v>
      </c>
      <c r="E150" s="106">
        <v>100025497</v>
      </c>
      <c r="F150" s="159" t="s">
        <v>3727</v>
      </c>
      <c r="G150" s="106" t="s">
        <v>2803</v>
      </c>
      <c r="H150" s="106" t="s">
        <v>2929</v>
      </c>
      <c r="I150" s="249" t="s">
        <v>3144</v>
      </c>
      <c r="J150" s="106">
        <v>1</v>
      </c>
      <c r="K150" s="248">
        <f>VLOOKUP('ValveBox Components'!E150,'All Products'!D:H,5,FALSE)</f>
        <v>60.58</v>
      </c>
      <c r="L150" s="205">
        <f>ROUND(K150*Order_Quote!$L$19,2)</f>
        <v>302.89999999999998</v>
      </c>
      <c r="M150" s="78"/>
      <c r="N150" s="116"/>
      <c r="O150" s="153">
        <f t="shared" si="8"/>
        <v>0</v>
      </c>
      <c r="Q150" s="496" t="s">
        <v>359</v>
      </c>
      <c r="R150" s="249" t="s">
        <v>102</v>
      </c>
      <c r="S150" s="325" t="s">
        <v>3728</v>
      </c>
      <c r="T150" s="325">
        <v>0</v>
      </c>
      <c r="U150" s="330">
        <v>0</v>
      </c>
      <c r="V150" s="357">
        <v>3.2250000000000001</v>
      </c>
      <c r="W150" s="497">
        <v>0.18</v>
      </c>
    </row>
    <row r="151" spans="1:23" ht="15.75" thickBot="1">
      <c r="A151" s="104" t="str">
        <f>IF(M151&gt;0,COUNT($A$9:A150)+COUNT('DWV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1" s="640"/>
      <c r="C151" s="641"/>
      <c r="D151" s="185" t="s">
        <v>3729</v>
      </c>
      <c r="E151" s="151">
        <v>100025637</v>
      </c>
      <c r="F151" s="186" t="s">
        <v>3730</v>
      </c>
      <c r="G151" s="151" t="s">
        <v>2803</v>
      </c>
      <c r="H151" s="151" t="s">
        <v>3037</v>
      </c>
      <c r="I151" s="250" t="s">
        <v>3377</v>
      </c>
      <c r="J151" s="151">
        <v>1</v>
      </c>
      <c r="K151" s="248">
        <f>VLOOKUP('ValveBox Components'!E151,'All Products'!D:H,5,FALSE)</f>
        <v>60.58</v>
      </c>
      <c r="L151" s="214">
        <f>ROUND(K151*Order_Quote!$L$19,2)</f>
        <v>302.89999999999998</v>
      </c>
      <c r="M151" s="187"/>
      <c r="N151" s="488"/>
      <c r="O151" s="251">
        <f t="shared" si="8"/>
        <v>0</v>
      </c>
      <c r="Q151" s="498" t="s">
        <v>359</v>
      </c>
      <c r="R151" s="250" t="s">
        <v>102</v>
      </c>
      <c r="S151" s="326" t="s">
        <v>3731</v>
      </c>
      <c r="T151" s="326">
        <v>0</v>
      </c>
      <c r="U151" s="331">
        <v>0</v>
      </c>
      <c r="V151" s="358">
        <v>3.2250000000000001</v>
      </c>
      <c r="W151" s="499">
        <v>0.18</v>
      </c>
    </row>
    <row r="152" spans="1:23">
      <c r="A152" s="104" t="str">
        <f>IF(M152&gt;0,COUNT($A$9:A151)+COUNT('DWV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2" s="20"/>
      <c r="C152" s="152"/>
      <c r="D152" s="152"/>
      <c r="E152" s="152"/>
      <c r="F152" s="152"/>
      <c r="G152" s="154"/>
      <c r="H152" s="154"/>
      <c r="I152" s="252"/>
      <c r="J152" s="152"/>
      <c r="K152" s="152"/>
      <c r="L152" s="253"/>
      <c r="M152" s="152"/>
      <c r="N152" s="152"/>
      <c r="O152" s="152"/>
      <c r="P152" s="17"/>
      <c r="Q152" s="252"/>
      <c r="R152" s="252"/>
      <c r="S152" s="252"/>
      <c r="T152" s="252"/>
      <c r="U152" s="252"/>
      <c r="V152" s="152"/>
      <c r="W152" s="152"/>
    </row>
    <row r="153" spans="1:23" ht="19.5" thickBot="1">
      <c r="A153" s="104" t="str">
        <f>IF(M153&gt;0,COUNT($A$9:A152)+COUNT('DWV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3" s="148" t="s">
        <v>3732</v>
      </c>
      <c r="C153" s="152"/>
      <c r="D153" s="152"/>
      <c r="E153" s="152"/>
      <c r="F153" s="152"/>
      <c r="G153" s="154"/>
      <c r="H153" s="154"/>
      <c r="I153" s="252"/>
      <c r="J153" s="152"/>
      <c r="K153" s="152"/>
      <c r="L153" s="253"/>
      <c r="M153" s="152"/>
      <c r="N153" s="152"/>
      <c r="O153" s="152"/>
      <c r="P153" s="17"/>
      <c r="Q153" s="252"/>
      <c r="R153" s="252"/>
      <c r="S153" s="252"/>
      <c r="T153" s="252"/>
      <c r="U153" s="252"/>
      <c r="V153" s="152"/>
      <c r="W153" s="152"/>
    </row>
    <row r="154" spans="1:23" ht="16.5" thickBot="1">
      <c r="A154" s="104" t="str">
        <f>IF(M154&gt;0,COUNT($A$9:A153)+COUNT('DWV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4" s="166" t="s">
        <v>3733</v>
      </c>
      <c r="C154" s="167"/>
      <c r="D154" s="167"/>
      <c r="E154" s="167"/>
      <c r="F154" s="167"/>
      <c r="G154" s="167"/>
      <c r="H154" s="167"/>
      <c r="I154" s="167"/>
      <c r="J154" s="167"/>
      <c r="K154" s="167"/>
      <c r="L154" s="228"/>
      <c r="M154" s="167"/>
      <c r="N154" s="167"/>
      <c r="O154" s="167"/>
      <c r="P154" s="17"/>
      <c r="Q154" s="492"/>
      <c r="R154" s="160"/>
      <c r="S154" s="160"/>
      <c r="T154" s="160"/>
      <c r="U154" s="160"/>
      <c r="V154" s="167"/>
      <c r="W154" s="493"/>
    </row>
    <row r="155" spans="1:23" ht="15.75" thickBot="1">
      <c r="A155" s="104" t="str">
        <f>IF(M155&gt;0,COUNT($A$9:A154)+COUNT('DWV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5" s="642" t="s">
        <v>2803</v>
      </c>
      <c r="C155" s="643"/>
      <c r="D155" s="188" t="s">
        <v>3734</v>
      </c>
      <c r="E155" s="174">
        <v>100025565</v>
      </c>
      <c r="F155" s="189" t="s">
        <v>3735</v>
      </c>
      <c r="G155" s="174" t="s">
        <v>2803</v>
      </c>
      <c r="H155" s="174" t="s">
        <v>2803</v>
      </c>
      <c r="I155" s="255" t="s">
        <v>2803</v>
      </c>
      <c r="J155" s="174">
        <v>1</v>
      </c>
      <c r="K155" s="248">
        <f>VLOOKUP('ValveBox Components'!E155,'All Products'!D:H,5,FALSE)</f>
        <v>40.56</v>
      </c>
      <c r="L155" s="227">
        <f>ROUND(K155*Order_Quote!$L$19,2)</f>
        <v>202.8</v>
      </c>
      <c r="M155" s="190"/>
      <c r="N155" s="489"/>
      <c r="O155" s="256">
        <f>M155/J155</f>
        <v>0</v>
      </c>
      <c r="Q155" s="502" t="s">
        <v>359</v>
      </c>
      <c r="R155" s="255" t="s">
        <v>102</v>
      </c>
      <c r="S155" s="328" t="s">
        <v>3736</v>
      </c>
      <c r="T155" s="328">
        <v>0</v>
      </c>
      <c r="U155" s="333">
        <v>0</v>
      </c>
      <c r="V155" s="359" t="s">
        <v>12</v>
      </c>
      <c r="W155" s="503" t="s">
        <v>12</v>
      </c>
    </row>
    <row r="156" spans="1:23" ht="16.5" thickBot="1">
      <c r="A156" s="104" t="str">
        <f>IF(M156&gt;0,COUNT($A$9:A155)+COUNT('DWV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6" s="166" t="s">
        <v>3737</v>
      </c>
      <c r="C156" s="167"/>
      <c r="D156" s="167"/>
      <c r="E156" s="167"/>
      <c r="F156" s="167"/>
      <c r="G156" s="167"/>
      <c r="H156" s="167"/>
      <c r="I156" s="167"/>
      <c r="J156" s="167"/>
      <c r="K156" s="167"/>
      <c r="L156" s="228"/>
      <c r="M156" s="167"/>
      <c r="N156" s="167"/>
      <c r="O156" s="167"/>
      <c r="P156" s="17"/>
      <c r="Q156" s="492"/>
      <c r="R156" s="160"/>
      <c r="S156" s="160"/>
      <c r="T156" s="160"/>
      <c r="U156" s="160"/>
      <c r="V156" s="167"/>
      <c r="W156" s="493"/>
    </row>
    <row r="157" spans="1:23" ht="15.75" thickBot="1">
      <c r="A157" s="104" t="str">
        <f>IF(M157&gt;0,COUNT($A$9:A156)+COUNT('DWV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7" s="637" t="s">
        <v>2803</v>
      </c>
      <c r="C157" s="638"/>
      <c r="D157" s="182" t="s">
        <v>3738</v>
      </c>
      <c r="E157" s="150">
        <v>100025591</v>
      </c>
      <c r="F157" s="183" t="s">
        <v>3739</v>
      </c>
      <c r="G157" s="150" t="s">
        <v>2803</v>
      </c>
      <c r="H157" s="150" t="s">
        <v>2803</v>
      </c>
      <c r="I157" s="247" t="s">
        <v>2803</v>
      </c>
      <c r="J157" s="150">
        <v>1</v>
      </c>
      <c r="K157" s="248">
        <f>VLOOKUP('ValveBox Components'!E157,'All Products'!D:H,5,FALSE)</f>
        <v>77.02</v>
      </c>
      <c r="L157" s="213">
        <f>ROUND(K157*Order_Quote!$L$19,2)</f>
        <v>385.1</v>
      </c>
      <c r="M157" s="191"/>
      <c r="N157" s="487"/>
      <c r="O157" s="248">
        <f>M157/J157</f>
        <v>0</v>
      </c>
      <c r="Q157" s="494" t="s">
        <v>359</v>
      </c>
      <c r="R157" s="247" t="s">
        <v>102</v>
      </c>
      <c r="S157" s="324" t="s">
        <v>3740</v>
      </c>
      <c r="T157" s="324">
        <v>0</v>
      </c>
      <c r="U157" s="329">
        <v>0</v>
      </c>
      <c r="V157" s="356">
        <v>4.66</v>
      </c>
      <c r="W157" s="495">
        <v>2.65</v>
      </c>
    </row>
    <row r="158" spans="1:23" ht="15.75" thickBot="1">
      <c r="A158" s="104" t="str">
        <f>IF(M158&gt;0,COUNT($A$9:A157)+COUNT('DWV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8" s="639"/>
      <c r="C158" s="580"/>
      <c r="D158" s="158" t="s">
        <v>3741</v>
      </c>
      <c r="E158" s="106">
        <v>100025349</v>
      </c>
      <c r="F158" s="159" t="s">
        <v>3742</v>
      </c>
      <c r="G158" s="106" t="s">
        <v>2803</v>
      </c>
      <c r="H158" s="106" t="s">
        <v>2803</v>
      </c>
      <c r="I158" s="249" t="s">
        <v>2803</v>
      </c>
      <c r="J158" s="106">
        <v>1</v>
      </c>
      <c r="K158" s="248">
        <f>VLOOKUP('ValveBox Components'!E158,'All Products'!D:H,5,FALSE)</f>
        <v>33.65</v>
      </c>
      <c r="L158" s="205">
        <f>ROUND(K158*Order_Quote!$L$19,2)</f>
        <v>168.25</v>
      </c>
      <c r="M158" s="78"/>
      <c r="N158" s="116"/>
      <c r="O158" s="153">
        <f>M158/J158</f>
        <v>0</v>
      </c>
      <c r="Q158" s="496" t="s">
        <v>359</v>
      </c>
      <c r="R158" s="249" t="s">
        <v>102</v>
      </c>
      <c r="S158" s="325" t="s">
        <v>3743</v>
      </c>
      <c r="T158" s="325">
        <v>0</v>
      </c>
      <c r="U158" s="330">
        <v>0</v>
      </c>
      <c r="V158" s="357">
        <v>1.0149999999999999</v>
      </c>
      <c r="W158" s="497" t="s">
        <v>12</v>
      </c>
    </row>
    <row r="159" spans="1:23" ht="15.75" thickBot="1">
      <c r="A159" s="104" t="str">
        <f>IF(M159&gt;0,COUNT($A$9:A158)+COUNT('DWV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59" s="639"/>
      <c r="C159" s="580"/>
      <c r="D159" s="158" t="s">
        <v>3744</v>
      </c>
      <c r="E159" s="106">
        <v>100025592</v>
      </c>
      <c r="F159" s="159" t="s">
        <v>3745</v>
      </c>
      <c r="G159" s="106" t="s">
        <v>2803</v>
      </c>
      <c r="H159" s="106" t="s">
        <v>2803</v>
      </c>
      <c r="I159" s="249" t="s">
        <v>2803</v>
      </c>
      <c r="J159" s="106">
        <v>1</v>
      </c>
      <c r="K159" s="248">
        <f>VLOOKUP('ValveBox Components'!E159,'All Products'!D:H,5,FALSE)</f>
        <v>77.02</v>
      </c>
      <c r="L159" s="205">
        <f>ROUND(K159*Order_Quote!$L$19,2)</f>
        <v>385.1</v>
      </c>
      <c r="M159" s="78"/>
      <c r="N159" s="116"/>
      <c r="O159" s="153">
        <f>M159/J159</f>
        <v>0</v>
      </c>
      <c r="Q159" s="496" t="s">
        <v>359</v>
      </c>
      <c r="R159" s="249" t="s">
        <v>102</v>
      </c>
      <c r="S159" s="325" t="s">
        <v>3746</v>
      </c>
      <c r="T159" s="325">
        <v>0</v>
      </c>
      <c r="U159" s="330">
        <v>0</v>
      </c>
      <c r="V159" s="357">
        <v>3.863</v>
      </c>
      <c r="W159" s="497" t="s">
        <v>12</v>
      </c>
    </row>
    <row r="160" spans="1:23" ht="15.75" thickBot="1">
      <c r="A160" s="104" t="str">
        <f>IF(M160&gt;0,COUNT($A$9:A159)+COUNT('DWV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0" s="640"/>
      <c r="C160" s="641"/>
      <c r="D160" s="185" t="s">
        <v>3747</v>
      </c>
      <c r="E160" s="151">
        <v>100025564</v>
      </c>
      <c r="F160" s="186" t="s">
        <v>3748</v>
      </c>
      <c r="G160" s="151" t="s">
        <v>2803</v>
      </c>
      <c r="H160" s="151" t="s">
        <v>2803</v>
      </c>
      <c r="I160" s="250" t="s">
        <v>2803</v>
      </c>
      <c r="J160" s="151">
        <v>1</v>
      </c>
      <c r="K160" s="248">
        <f>VLOOKUP('ValveBox Components'!E160,'All Products'!D:H,5,FALSE)</f>
        <v>128.4</v>
      </c>
      <c r="L160" s="214">
        <f>ROUND(K160*Order_Quote!$L$19,2)</f>
        <v>642</v>
      </c>
      <c r="M160" s="187"/>
      <c r="N160" s="488"/>
      <c r="O160" s="251">
        <f>M160/J160</f>
        <v>0</v>
      </c>
      <c r="Q160" s="498" t="s">
        <v>76</v>
      </c>
      <c r="R160" s="250" t="s">
        <v>102</v>
      </c>
      <c r="S160" s="326" t="s">
        <v>3749</v>
      </c>
      <c r="T160" s="326">
        <v>0</v>
      </c>
      <c r="U160" s="331">
        <v>0</v>
      </c>
      <c r="V160" s="358">
        <v>3.8740000000000001</v>
      </c>
      <c r="W160" s="499">
        <v>0.31</v>
      </c>
    </row>
    <row r="161" spans="1:23" ht="16.5" thickBot="1">
      <c r="A161" s="104" t="str">
        <f>IF(M161&gt;0,COUNT($A$9:A160)+COUNT('DWV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1" s="166" t="s">
        <v>3750</v>
      </c>
      <c r="C161" s="167"/>
      <c r="D161" s="167"/>
      <c r="E161" s="167"/>
      <c r="F161" s="167"/>
      <c r="G161" s="167"/>
      <c r="H161" s="167"/>
      <c r="I161" s="167"/>
      <c r="J161" s="167"/>
      <c r="K161" s="167"/>
      <c r="L161" s="228"/>
      <c r="M161" s="167"/>
      <c r="N161" s="167"/>
      <c r="O161" s="167"/>
      <c r="P161" s="17"/>
      <c r="Q161" s="492"/>
      <c r="R161" s="160"/>
      <c r="S161" s="160"/>
      <c r="T161" s="160"/>
      <c r="U161" s="160"/>
      <c r="V161" s="167"/>
      <c r="W161" s="493"/>
    </row>
    <row r="162" spans="1:23" ht="15.75" thickBot="1">
      <c r="A162" s="104" t="str">
        <f>IF(M162&gt;0,COUNT($A$9:A161)+COUNT('DWV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2" s="639"/>
      <c r="C162" s="580"/>
      <c r="D162" s="158" t="s">
        <v>3751</v>
      </c>
      <c r="E162" s="106">
        <v>100025352</v>
      </c>
      <c r="F162" s="159" t="s">
        <v>3752</v>
      </c>
      <c r="G162" s="106" t="s">
        <v>2803</v>
      </c>
      <c r="H162" s="106" t="s">
        <v>2803</v>
      </c>
      <c r="I162" s="249" t="s">
        <v>2803</v>
      </c>
      <c r="J162" s="106">
        <v>1</v>
      </c>
      <c r="K162" s="248">
        <f>VLOOKUP('ValveBox Components'!E162,'All Products'!D:H,5,FALSE)</f>
        <v>11.35</v>
      </c>
      <c r="L162" s="205">
        <f>ROUND(K162*Order_Quote!$L$19,2)</f>
        <v>56.75</v>
      </c>
      <c r="M162" s="78"/>
      <c r="N162" s="116"/>
      <c r="O162" s="153">
        <f>M162/J162</f>
        <v>0</v>
      </c>
      <c r="Q162" s="496" t="s">
        <v>359</v>
      </c>
      <c r="R162" s="249" t="s">
        <v>102</v>
      </c>
      <c r="S162" s="325" t="s">
        <v>3753</v>
      </c>
      <c r="T162" s="325">
        <v>0</v>
      </c>
      <c r="U162" s="330">
        <v>0</v>
      </c>
      <c r="V162" s="357">
        <v>0.12</v>
      </c>
      <c r="W162" s="497" t="s">
        <v>12</v>
      </c>
    </row>
    <row r="163" spans="1:23" ht="15.75" thickBot="1">
      <c r="A163" s="104" t="str">
        <f>IF(M163&gt;0,COUNT($A$9:A162)+COUNT('DWV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3" s="639"/>
      <c r="C163" s="580"/>
      <c r="D163" s="158" t="s">
        <v>3754</v>
      </c>
      <c r="E163" s="106">
        <v>100025353</v>
      </c>
      <c r="F163" s="159" t="s">
        <v>3755</v>
      </c>
      <c r="G163" s="106" t="s">
        <v>2803</v>
      </c>
      <c r="H163" s="106" t="s">
        <v>2803</v>
      </c>
      <c r="I163" s="249" t="s">
        <v>2803</v>
      </c>
      <c r="J163" s="106">
        <v>1</v>
      </c>
      <c r="K163" s="248">
        <f>VLOOKUP('ValveBox Components'!E163,'All Products'!D:H,5,FALSE)</f>
        <v>8.1</v>
      </c>
      <c r="L163" s="205">
        <f>ROUND(K163*Order_Quote!$L$19,2)</f>
        <v>40.5</v>
      </c>
      <c r="M163" s="78"/>
      <c r="N163" s="116"/>
      <c r="O163" s="153">
        <f>M163/J163</f>
        <v>0</v>
      </c>
      <c r="Q163" s="496" t="s">
        <v>359</v>
      </c>
      <c r="R163" s="249" t="s">
        <v>102</v>
      </c>
      <c r="S163" s="325" t="s">
        <v>3756</v>
      </c>
      <c r="T163" s="325">
        <v>0</v>
      </c>
      <c r="U163" s="330">
        <v>0</v>
      </c>
      <c r="V163" s="357">
        <v>9.4E-2</v>
      </c>
      <c r="W163" s="497" t="s">
        <v>12</v>
      </c>
    </row>
    <row r="164" spans="1:23" ht="15.75" thickBot="1">
      <c r="A164" s="104" t="str">
        <f>IF(M164&gt;0,COUNT($A$9:A163)+COUNT('DWV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+COUNT(ValveBox!$A$10:$A$142)+1,"")</f>
        <v/>
      </c>
      <c r="B164" s="640"/>
      <c r="C164" s="641"/>
      <c r="D164" s="185" t="s">
        <v>3757</v>
      </c>
      <c r="E164" s="151">
        <v>100025355</v>
      </c>
      <c r="F164" s="186" t="s">
        <v>3758</v>
      </c>
      <c r="G164" s="151" t="s">
        <v>2803</v>
      </c>
      <c r="H164" s="151" t="s">
        <v>2803</v>
      </c>
      <c r="I164" s="250" t="s">
        <v>2803</v>
      </c>
      <c r="J164" s="151">
        <v>1</v>
      </c>
      <c r="K164" s="248">
        <f>VLOOKUP('ValveBox Components'!E164,'All Products'!D:H,5,FALSE)</f>
        <v>7.9</v>
      </c>
      <c r="L164" s="214">
        <f>ROUND(K164*Order_Quote!$L$19,2)</f>
        <v>39.5</v>
      </c>
      <c r="M164" s="187"/>
      <c r="N164" s="488"/>
      <c r="O164" s="251">
        <f>M164/J164</f>
        <v>0</v>
      </c>
      <c r="Q164" s="498" t="s">
        <v>359</v>
      </c>
      <c r="R164" s="250" t="s">
        <v>102</v>
      </c>
      <c r="S164" s="326" t="s">
        <v>3759</v>
      </c>
      <c r="T164" s="326">
        <v>0</v>
      </c>
      <c r="U164" s="331">
        <v>0</v>
      </c>
      <c r="V164" s="358">
        <v>0.106</v>
      </c>
      <c r="W164" s="499" t="s">
        <v>12</v>
      </c>
    </row>
    <row r="165" spans="1:23">
      <c r="A165" s="104">
        <f>MAX(A10:A164)+1</f>
        <v>1</v>
      </c>
      <c r="B165" s="152"/>
      <c r="C165" s="152"/>
      <c r="D165" s="152"/>
      <c r="E165" s="152"/>
      <c r="F165" s="152"/>
      <c r="G165" s="154"/>
      <c r="H165" s="154"/>
      <c r="I165" s="252"/>
      <c r="J165" s="152"/>
      <c r="K165" s="152"/>
      <c r="L165" s="253"/>
      <c r="M165" s="152"/>
      <c r="N165" s="152"/>
      <c r="O165" s="152"/>
      <c r="P165" s="17"/>
      <c r="Q165" s="252"/>
      <c r="R165" s="252"/>
      <c r="S165" s="252"/>
      <c r="T165" s="252"/>
      <c r="U165" s="252"/>
      <c r="V165" s="152"/>
      <c r="W165" s="152"/>
    </row>
    <row r="166" spans="1:23">
      <c r="B166" s="152"/>
      <c r="C166" s="152"/>
      <c r="D166" s="152"/>
      <c r="E166" s="152"/>
      <c r="F166" s="152"/>
      <c r="G166" s="154"/>
      <c r="H166" s="154"/>
      <c r="I166" s="252"/>
      <c r="J166" s="152"/>
      <c r="K166" s="152"/>
      <c r="L166" s="253"/>
      <c r="M166" s="152"/>
      <c r="N166" s="152"/>
      <c r="O166" s="152"/>
      <c r="Q166" s="252"/>
      <c r="R166" s="252"/>
      <c r="S166" s="252"/>
      <c r="T166" s="252"/>
      <c r="U166" s="252"/>
      <c r="V166" s="152"/>
      <c r="W166" s="152"/>
    </row>
    <row r="167" spans="1:23">
      <c r="B167" s="152"/>
      <c r="C167" s="152"/>
      <c r="D167" s="152"/>
      <c r="E167" s="152"/>
      <c r="F167" s="152"/>
      <c r="G167" s="154"/>
      <c r="H167" s="154"/>
      <c r="I167" s="252"/>
      <c r="J167" s="152"/>
      <c r="K167" s="152"/>
      <c r="L167" s="253"/>
      <c r="M167" s="152"/>
      <c r="N167" s="152"/>
      <c r="O167" s="152"/>
      <c r="Q167" s="252"/>
      <c r="R167" s="252"/>
      <c r="S167" s="252"/>
      <c r="T167" s="252"/>
      <c r="U167" s="252"/>
      <c r="V167" s="152"/>
      <c r="W167" s="152"/>
    </row>
    <row r="168" spans="1:23">
      <c r="B168" s="152"/>
      <c r="C168" s="152"/>
      <c r="D168" s="152"/>
      <c r="E168" s="152"/>
      <c r="F168" s="152"/>
      <c r="G168" s="154"/>
      <c r="H168" s="154"/>
      <c r="I168" s="252"/>
      <c r="J168" s="152"/>
      <c r="K168" s="152"/>
      <c r="L168" s="253"/>
      <c r="M168" s="152"/>
      <c r="N168" s="152"/>
      <c r="O168" s="152"/>
      <c r="Q168" s="252"/>
      <c r="R168" s="252"/>
      <c r="S168" s="252"/>
      <c r="T168" s="252"/>
      <c r="U168" s="252"/>
      <c r="V168" s="152"/>
      <c r="W168" s="152"/>
    </row>
    <row r="169" spans="1:23">
      <c r="B169" s="152"/>
      <c r="C169" s="152"/>
      <c r="D169" s="152"/>
      <c r="E169" s="152"/>
      <c r="F169" s="152"/>
      <c r="G169" s="154"/>
      <c r="H169" s="154"/>
      <c r="I169" s="252"/>
      <c r="J169" s="152"/>
      <c r="K169" s="152"/>
      <c r="L169" s="253"/>
      <c r="M169" s="152"/>
      <c r="N169" s="152"/>
      <c r="O169" s="152"/>
      <c r="Q169" s="252"/>
      <c r="R169" s="252"/>
      <c r="S169" s="252"/>
      <c r="T169" s="252"/>
      <c r="U169" s="252"/>
      <c r="V169" s="152"/>
      <c r="W169" s="152"/>
    </row>
    <row r="170" spans="1:23">
      <c r="B170" s="152"/>
      <c r="C170" s="152"/>
      <c r="D170" s="152"/>
      <c r="E170" s="152"/>
      <c r="F170" s="152"/>
      <c r="G170" s="154"/>
      <c r="H170" s="154"/>
      <c r="I170" s="252"/>
      <c r="J170" s="152"/>
      <c r="K170" s="152"/>
      <c r="L170" s="253"/>
      <c r="M170" s="152"/>
      <c r="N170" s="152"/>
      <c r="O170" s="152"/>
      <c r="Q170" s="252"/>
      <c r="R170" s="252"/>
      <c r="S170" s="252"/>
      <c r="T170" s="252"/>
      <c r="U170" s="252"/>
      <c r="V170" s="152"/>
      <c r="W170" s="152"/>
    </row>
    <row r="171" spans="1:23">
      <c r="B171" s="152"/>
      <c r="C171" s="152"/>
      <c r="D171" s="152"/>
      <c r="E171" s="152"/>
      <c r="F171" s="152"/>
      <c r="G171" s="154"/>
      <c r="H171" s="154"/>
      <c r="I171" s="252"/>
      <c r="J171" s="152"/>
      <c r="K171" s="152"/>
      <c r="L171" s="253"/>
      <c r="M171" s="152"/>
      <c r="N171" s="152"/>
      <c r="O171" s="152"/>
      <c r="Q171" s="252"/>
      <c r="R171" s="252"/>
      <c r="S171" s="252"/>
      <c r="T171" s="252"/>
      <c r="U171" s="252"/>
      <c r="V171" s="152"/>
      <c r="W171" s="152"/>
    </row>
    <row r="172" spans="1:23">
      <c r="B172" s="152"/>
      <c r="C172" s="152"/>
      <c r="D172" s="152"/>
      <c r="E172" s="152"/>
      <c r="F172" s="152"/>
      <c r="G172" s="154"/>
      <c r="H172" s="154"/>
      <c r="I172" s="252"/>
      <c r="J172" s="152"/>
      <c r="K172" s="152"/>
      <c r="L172" s="253"/>
      <c r="M172" s="152"/>
      <c r="N172" s="152"/>
      <c r="O172" s="152"/>
      <c r="Q172" s="252"/>
      <c r="R172" s="252"/>
      <c r="S172" s="252"/>
      <c r="T172" s="252"/>
      <c r="U172" s="252"/>
      <c r="V172" s="152"/>
      <c r="W172" s="152"/>
    </row>
    <row r="173" spans="1:23">
      <c r="B173" s="152"/>
      <c r="C173" s="152"/>
      <c r="D173" s="152"/>
      <c r="E173" s="152"/>
      <c r="F173" s="152"/>
      <c r="G173" s="154"/>
      <c r="H173" s="154"/>
      <c r="I173" s="252"/>
      <c r="J173" s="152"/>
      <c r="K173" s="152"/>
      <c r="L173" s="253"/>
      <c r="M173" s="152"/>
      <c r="N173" s="152"/>
      <c r="O173" s="152"/>
      <c r="Q173" s="252"/>
      <c r="R173" s="252"/>
      <c r="S173" s="252"/>
      <c r="T173" s="252"/>
      <c r="U173" s="252"/>
      <c r="V173" s="152"/>
      <c r="W173" s="152"/>
    </row>
    <row r="174" spans="1:23">
      <c r="B174" s="152"/>
      <c r="C174" s="152"/>
      <c r="D174" s="152"/>
      <c r="E174" s="152"/>
      <c r="F174" s="152"/>
      <c r="G174" s="154"/>
      <c r="H174" s="154"/>
      <c r="I174" s="252"/>
      <c r="J174" s="152"/>
      <c r="K174" s="152"/>
      <c r="L174" s="253"/>
      <c r="M174" s="152"/>
      <c r="N174" s="152"/>
      <c r="O174" s="152"/>
      <c r="Q174" s="252"/>
      <c r="R174" s="252"/>
      <c r="S174" s="252"/>
      <c r="T174" s="252"/>
      <c r="U174" s="252"/>
      <c r="V174" s="152"/>
      <c r="W174" s="152"/>
    </row>
    <row r="175" spans="1:23">
      <c r="B175" s="152"/>
      <c r="C175" s="152"/>
      <c r="D175" s="152"/>
      <c r="E175" s="152"/>
      <c r="F175" s="152"/>
      <c r="G175" s="154"/>
      <c r="H175" s="154"/>
      <c r="I175" s="252"/>
      <c r="J175" s="152"/>
      <c r="K175" s="152"/>
      <c r="L175" s="253"/>
      <c r="M175" s="152"/>
      <c r="N175" s="152"/>
      <c r="O175" s="152"/>
      <c r="Q175" s="252"/>
      <c r="R175" s="252"/>
      <c r="S175" s="252"/>
      <c r="T175" s="252"/>
      <c r="U175" s="252"/>
      <c r="V175" s="152"/>
      <c r="W175" s="152"/>
    </row>
    <row r="176" spans="1:23">
      <c r="B176" s="152"/>
      <c r="C176" s="152"/>
      <c r="D176" s="152"/>
      <c r="E176" s="152"/>
      <c r="F176" s="152"/>
      <c r="G176" s="154"/>
      <c r="H176" s="154"/>
      <c r="I176" s="252"/>
      <c r="J176" s="152"/>
      <c r="K176" s="152"/>
      <c r="L176" s="253"/>
      <c r="M176" s="152"/>
      <c r="N176" s="152"/>
      <c r="O176" s="152"/>
      <c r="Q176" s="252"/>
      <c r="R176" s="252"/>
      <c r="S176" s="252"/>
      <c r="T176" s="252"/>
      <c r="U176" s="252"/>
      <c r="V176" s="152"/>
      <c r="W176" s="152"/>
    </row>
    <row r="177" spans="2:23">
      <c r="B177" s="152"/>
      <c r="C177" s="152"/>
      <c r="D177" s="152"/>
      <c r="E177" s="152"/>
      <c r="F177" s="152"/>
      <c r="G177" s="154"/>
      <c r="H177" s="154"/>
      <c r="I177" s="252"/>
      <c r="J177" s="152"/>
      <c r="K177" s="152"/>
      <c r="L177" s="253"/>
      <c r="M177" s="152"/>
      <c r="N177" s="152"/>
      <c r="O177" s="152"/>
      <c r="Q177" s="252"/>
      <c r="R177" s="252"/>
      <c r="S177" s="252"/>
      <c r="T177" s="252"/>
      <c r="U177" s="252"/>
      <c r="V177" s="152"/>
      <c r="W177" s="152"/>
    </row>
    <row r="178" spans="2:23">
      <c r="B178" s="152"/>
      <c r="C178" s="152"/>
      <c r="D178" s="152"/>
      <c r="E178" s="152"/>
      <c r="F178" s="152"/>
      <c r="G178" s="154"/>
      <c r="H178" s="154"/>
      <c r="I178" s="252"/>
      <c r="J178" s="152"/>
      <c r="K178" s="152"/>
      <c r="L178" s="253"/>
      <c r="M178" s="152"/>
      <c r="N178" s="152"/>
      <c r="O178" s="152"/>
      <c r="Q178" s="252"/>
      <c r="R178" s="252"/>
      <c r="S178" s="252"/>
      <c r="T178" s="252"/>
      <c r="U178" s="252"/>
      <c r="V178" s="152"/>
      <c r="W178" s="152"/>
    </row>
    <row r="179" spans="2:23">
      <c r="B179" s="152"/>
      <c r="C179" s="152"/>
      <c r="D179" s="152"/>
      <c r="E179" s="152"/>
      <c r="F179" s="152"/>
      <c r="G179" s="154"/>
      <c r="H179" s="154"/>
      <c r="I179" s="252"/>
      <c r="J179" s="152"/>
      <c r="K179" s="152"/>
      <c r="L179" s="253"/>
      <c r="M179" s="152"/>
      <c r="N179" s="152"/>
      <c r="O179" s="152"/>
      <c r="Q179" s="252"/>
      <c r="R179" s="252"/>
      <c r="S179" s="252"/>
      <c r="T179" s="252"/>
      <c r="U179" s="252"/>
      <c r="V179" s="152"/>
      <c r="W179" s="152"/>
    </row>
    <row r="180" spans="2:23">
      <c r="B180" s="152"/>
      <c r="C180" s="152"/>
      <c r="D180" s="152"/>
      <c r="E180" s="152"/>
      <c r="F180" s="152"/>
      <c r="G180" s="154"/>
      <c r="H180" s="154"/>
      <c r="I180" s="252"/>
      <c r="J180" s="152"/>
      <c r="K180" s="152"/>
      <c r="L180" s="253"/>
      <c r="M180" s="152"/>
      <c r="N180" s="152"/>
      <c r="O180" s="152"/>
      <c r="Q180" s="252"/>
      <c r="R180" s="252"/>
      <c r="S180" s="252"/>
      <c r="T180" s="252"/>
      <c r="U180" s="252"/>
      <c r="V180" s="152"/>
      <c r="W180" s="152"/>
    </row>
    <row r="181" spans="2:23">
      <c r="B181" s="152"/>
      <c r="C181" s="152"/>
      <c r="D181" s="152"/>
      <c r="E181" s="152"/>
      <c r="F181" s="152"/>
      <c r="G181" s="154"/>
      <c r="H181" s="154"/>
      <c r="I181" s="252"/>
      <c r="J181" s="152"/>
      <c r="K181" s="152"/>
      <c r="L181" s="253"/>
      <c r="M181" s="152"/>
      <c r="N181" s="152"/>
      <c r="O181" s="152"/>
      <c r="Q181" s="252"/>
      <c r="R181" s="252"/>
      <c r="S181" s="252"/>
      <c r="T181" s="252"/>
      <c r="U181" s="252"/>
      <c r="V181" s="152"/>
      <c r="W181" s="152"/>
    </row>
    <row r="182" spans="2:23">
      <c r="B182" s="152"/>
      <c r="C182" s="152"/>
      <c r="D182" s="152"/>
      <c r="E182" s="152"/>
      <c r="F182" s="152"/>
      <c r="G182" s="154"/>
      <c r="H182" s="154"/>
      <c r="I182" s="252"/>
      <c r="J182" s="152"/>
      <c r="K182" s="152"/>
      <c r="L182" s="253"/>
      <c r="M182" s="152"/>
      <c r="N182" s="152"/>
      <c r="O182" s="152"/>
      <c r="Q182" s="252"/>
      <c r="R182" s="252"/>
      <c r="S182" s="252"/>
      <c r="T182" s="252"/>
      <c r="U182" s="252"/>
      <c r="V182" s="152"/>
      <c r="W182" s="152"/>
    </row>
    <row r="183" spans="2:23">
      <c r="B183" s="152"/>
      <c r="C183" s="152"/>
      <c r="D183" s="152"/>
      <c r="E183" s="152"/>
      <c r="F183" s="152"/>
      <c r="G183" s="154"/>
      <c r="H183" s="154"/>
      <c r="I183" s="252"/>
      <c r="J183" s="152"/>
      <c r="K183" s="152"/>
      <c r="L183" s="253"/>
      <c r="M183" s="152"/>
      <c r="N183" s="152"/>
      <c r="O183" s="152"/>
      <c r="Q183" s="252"/>
      <c r="R183" s="252"/>
      <c r="S183" s="252"/>
      <c r="T183" s="252"/>
      <c r="U183" s="252"/>
      <c r="V183" s="152"/>
      <c r="W183" s="152"/>
    </row>
    <row r="184" spans="2:23">
      <c r="B184" s="152"/>
      <c r="C184" s="152"/>
      <c r="D184" s="152"/>
      <c r="E184" s="152"/>
      <c r="F184" s="152"/>
      <c r="G184" s="154"/>
      <c r="H184" s="154"/>
      <c r="I184" s="252"/>
      <c r="J184" s="152"/>
      <c r="K184" s="152"/>
      <c r="L184" s="253"/>
      <c r="M184" s="152"/>
      <c r="N184" s="152"/>
      <c r="O184" s="152"/>
      <c r="Q184" s="252"/>
      <c r="R184" s="252"/>
      <c r="S184" s="252"/>
      <c r="T184" s="252"/>
      <c r="U184" s="252"/>
      <c r="V184" s="152"/>
      <c r="W184" s="152"/>
    </row>
    <row r="185" spans="2:23">
      <c r="B185" s="152"/>
      <c r="C185" s="152"/>
      <c r="D185" s="152"/>
      <c r="E185" s="152"/>
      <c r="F185" s="152"/>
      <c r="G185" s="154"/>
      <c r="H185" s="154"/>
      <c r="I185" s="252"/>
      <c r="J185" s="152"/>
      <c r="K185" s="152"/>
      <c r="L185" s="253"/>
      <c r="M185" s="152"/>
      <c r="N185" s="152"/>
      <c r="O185" s="152"/>
      <c r="Q185" s="252"/>
      <c r="R185" s="252"/>
      <c r="S185" s="252"/>
      <c r="T185" s="252"/>
      <c r="U185" s="252"/>
      <c r="V185" s="152"/>
      <c r="W185" s="152"/>
    </row>
    <row r="186" spans="2:23">
      <c r="B186" s="152"/>
      <c r="C186" s="152"/>
      <c r="D186" s="152"/>
      <c r="E186" s="152"/>
      <c r="F186" s="152"/>
      <c r="G186" s="154"/>
      <c r="H186" s="154"/>
      <c r="I186" s="252"/>
      <c r="J186" s="152"/>
      <c r="K186" s="152"/>
      <c r="L186" s="253"/>
      <c r="M186" s="152"/>
      <c r="N186" s="152"/>
      <c r="O186" s="152"/>
      <c r="Q186" s="252"/>
      <c r="R186" s="252"/>
      <c r="S186" s="252"/>
      <c r="T186" s="252"/>
      <c r="U186" s="252"/>
      <c r="V186" s="152"/>
      <c r="W186" s="152"/>
    </row>
    <row r="187" spans="2:23">
      <c r="B187" s="152"/>
      <c r="C187" s="152"/>
      <c r="D187" s="152"/>
      <c r="E187" s="152"/>
      <c r="F187" s="152"/>
      <c r="G187" s="154"/>
      <c r="H187" s="154"/>
      <c r="I187" s="252"/>
      <c r="J187" s="152"/>
      <c r="K187" s="152"/>
      <c r="L187" s="253"/>
      <c r="M187" s="152"/>
      <c r="N187" s="152"/>
      <c r="O187" s="152"/>
      <c r="Q187" s="252"/>
      <c r="R187" s="252"/>
      <c r="S187" s="252"/>
      <c r="T187" s="252"/>
      <c r="U187" s="252"/>
      <c r="V187" s="152"/>
      <c r="W187" s="152"/>
    </row>
    <row r="188" spans="2:23">
      <c r="B188" s="152"/>
      <c r="C188" s="152"/>
      <c r="D188" s="152"/>
      <c r="E188" s="152"/>
      <c r="F188" s="152"/>
      <c r="G188" s="154"/>
      <c r="H188" s="154"/>
      <c r="I188" s="252"/>
      <c r="J188" s="152"/>
      <c r="K188" s="152"/>
      <c r="L188" s="253"/>
      <c r="M188" s="152"/>
      <c r="N188" s="152"/>
      <c r="O188" s="152"/>
      <c r="Q188" s="252"/>
      <c r="R188" s="252"/>
      <c r="S188" s="252"/>
      <c r="T188" s="252"/>
      <c r="U188" s="252"/>
      <c r="V188" s="152"/>
      <c r="W188" s="152"/>
    </row>
    <row r="189" spans="2:23">
      <c r="B189" s="152"/>
      <c r="C189" s="152"/>
      <c r="D189" s="152"/>
      <c r="E189" s="152"/>
      <c r="F189" s="152"/>
      <c r="G189" s="154"/>
      <c r="H189" s="154"/>
      <c r="I189" s="252"/>
      <c r="J189" s="152"/>
      <c r="K189" s="152"/>
      <c r="L189" s="253"/>
      <c r="M189" s="152"/>
      <c r="N189" s="152"/>
      <c r="O189" s="152"/>
      <c r="Q189" s="252"/>
      <c r="R189" s="252"/>
      <c r="S189" s="252"/>
      <c r="T189" s="252"/>
      <c r="U189" s="252"/>
      <c r="V189" s="152"/>
      <c r="W189" s="152"/>
    </row>
    <row r="190" spans="2:23">
      <c r="B190" s="152"/>
      <c r="C190" s="152"/>
      <c r="D190" s="152"/>
      <c r="E190" s="152"/>
      <c r="F190" s="152"/>
      <c r="G190" s="154"/>
      <c r="H190" s="154"/>
      <c r="I190" s="252"/>
      <c r="J190" s="152"/>
      <c r="K190" s="152"/>
      <c r="L190" s="253"/>
      <c r="M190" s="152"/>
      <c r="N190" s="152"/>
      <c r="O190" s="152"/>
      <c r="Q190" s="252"/>
      <c r="R190" s="252"/>
      <c r="S190" s="252"/>
      <c r="T190" s="252"/>
      <c r="U190" s="252"/>
      <c r="V190" s="152"/>
      <c r="W190" s="152"/>
    </row>
    <row r="191" spans="2:23">
      <c r="B191" s="152"/>
      <c r="C191" s="152"/>
      <c r="D191" s="152"/>
      <c r="E191" s="152"/>
      <c r="F191" s="152"/>
      <c r="G191" s="154"/>
      <c r="H191" s="154"/>
      <c r="I191" s="252"/>
      <c r="J191" s="152"/>
      <c r="K191" s="152"/>
      <c r="L191" s="253"/>
      <c r="M191" s="152"/>
      <c r="N191" s="152"/>
      <c r="O191" s="152"/>
      <c r="Q191" s="252"/>
      <c r="R191" s="252"/>
      <c r="S191" s="252"/>
      <c r="T191" s="252"/>
      <c r="U191" s="252"/>
      <c r="V191" s="152"/>
      <c r="W191" s="152"/>
    </row>
    <row r="192" spans="2:23">
      <c r="B192" s="152"/>
      <c r="C192" s="152"/>
      <c r="D192" s="152"/>
      <c r="E192" s="152"/>
      <c r="F192" s="152"/>
      <c r="G192" s="154"/>
      <c r="H192" s="154"/>
      <c r="I192" s="252"/>
      <c r="J192" s="152"/>
      <c r="K192" s="152"/>
      <c r="L192" s="253"/>
      <c r="M192" s="152"/>
      <c r="N192" s="152"/>
      <c r="O192" s="152"/>
      <c r="Q192" s="252"/>
      <c r="R192" s="252"/>
      <c r="S192" s="252"/>
      <c r="T192" s="252"/>
      <c r="U192" s="252"/>
      <c r="V192" s="152"/>
      <c r="W192" s="152"/>
    </row>
    <row r="193" spans="2:23">
      <c r="B193" s="152"/>
      <c r="C193" s="152"/>
      <c r="D193" s="152"/>
      <c r="E193" s="152"/>
      <c r="F193" s="152"/>
      <c r="G193" s="154"/>
      <c r="H193" s="154"/>
      <c r="I193" s="252"/>
      <c r="J193" s="152"/>
      <c r="K193" s="152"/>
      <c r="L193" s="253"/>
      <c r="M193" s="152"/>
      <c r="N193" s="152"/>
      <c r="O193" s="152"/>
      <c r="Q193" s="252"/>
      <c r="R193" s="252"/>
      <c r="S193" s="252"/>
      <c r="T193" s="252"/>
      <c r="U193" s="252"/>
      <c r="V193" s="152"/>
      <c r="W193" s="152"/>
    </row>
    <row r="194" spans="2:23">
      <c r="B194" s="152"/>
      <c r="C194" s="152"/>
      <c r="D194" s="152"/>
      <c r="E194" s="152"/>
      <c r="F194" s="152"/>
      <c r="G194" s="154"/>
      <c r="H194" s="154"/>
      <c r="I194" s="252"/>
      <c r="J194" s="152"/>
      <c r="K194" s="152"/>
      <c r="L194" s="253"/>
      <c r="M194" s="152"/>
      <c r="N194" s="152"/>
      <c r="O194" s="152"/>
      <c r="Q194" s="252"/>
      <c r="R194" s="252"/>
      <c r="S194" s="252"/>
      <c r="T194" s="252"/>
      <c r="U194" s="252"/>
      <c r="V194" s="152"/>
      <c r="W194" s="152"/>
    </row>
    <row r="195" spans="2:23">
      <c r="B195" s="152"/>
      <c r="C195" s="152"/>
      <c r="D195" s="152"/>
      <c r="E195" s="152"/>
      <c r="F195" s="152"/>
      <c r="G195" s="154"/>
      <c r="H195" s="154"/>
      <c r="I195" s="252"/>
      <c r="J195" s="152"/>
      <c r="K195" s="152"/>
      <c r="L195" s="253"/>
      <c r="M195" s="152"/>
      <c r="N195" s="152"/>
      <c r="O195" s="152"/>
      <c r="Q195" s="252"/>
      <c r="R195" s="252"/>
      <c r="S195" s="252"/>
      <c r="T195" s="252"/>
      <c r="U195" s="252"/>
      <c r="V195" s="152"/>
      <c r="W195" s="152"/>
    </row>
    <row r="196" spans="2:23">
      <c r="B196" s="152"/>
      <c r="C196" s="152"/>
      <c r="D196" s="152"/>
      <c r="E196" s="152"/>
      <c r="F196" s="152"/>
      <c r="G196" s="154"/>
      <c r="H196" s="154"/>
      <c r="I196" s="252"/>
      <c r="J196" s="152"/>
      <c r="K196" s="152"/>
      <c r="L196" s="253"/>
      <c r="M196" s="152"/>
      <c r="N196" s="152"/>
      <c r="O196" s="152"/>
      <c r="Q196" s="252"/>
      <c r="R196" s="252"/>
      <c r="S196" s="252"/>
      <c r="T196" s="252"/>
      <c r="U196" s="252"/>
      <c r="V196" s="152"/>
      <c r="W196" s="152"/>
    </row>
    <row r="197" spans="2:23">
      <c r="B197" s="152"/>
      <c r="C197" s="152"/>
      <c r="D197" s="152"/>
      <c r="E197" s="152"/>
      <c r="F197" s="152"/>
      <c r="G197" s="154"/>
      <c r="H197" s="154"/>
      <c r="I197" s="252"/>
      <c r="J197" s="152"/>
      <c r="K197" s="152"/>
      <c r="L197" s="253"/>
      <c r="M197" s="152"/>
      <c r="N197" s="152"/>
      <c r="O197" s="152"/>
      <c r="Q197" s="252"/>
      <c r="R197" s="252"/>
      <c r="S197" s="252"/>
      <c r="T197" s="252"/>
      <c r="U197" s="252"/>
      <c r="V197" s="152"/>
      <c r="W197" s="152"/>
    </row>
    <row r="198" spans="2:23">
      <c r="B198" s="152"/>
      <c r="C198" s="152"/>
      <c r="D198" s="152"/>
      <c r="E198" s="152"/>
      <c r="F198" s="152"/>
      <c r="G198" s="154"/>
      <c r="H198" s="154"/>
      <c r="I198" s="252"/>
      <c r="J198" s="152"/>
      <c r="K198" s="152"/>
      <c r="L198" s="253"/>
      <c r="M198" s="152"/>
      <c r="N198" s="152"/>
      <c r="O198" s="152"/>
      <c r="Q198" s="252"/>
      <c r="R198" s="252"/>
      <c r="S198" s="252"/>
      <c r="T198" s="252"/>
      <c r="U198" s="252"/>
      <c r="V198" s="152"/>
      <c r="W198" s="152"/>
    </row>
    <row r="199" spans="2:23">
      <c r="B199" s="152"/>
      <c r="C199" s="152"/>
      <c r="D199" s="152"/>
      <c r="E199" s="152"/>
      <c r="F199" s="152"/>
      <c r="G199" s="154"/>
      <c r="H199" s="154"/>
      <c r="I199" s="252"/>
      <c r="J199" s="152"/>
      <c r="K199" s="152"/>
      <c r="L199" s="253"/>
      <c r="M199" s="152"/>
      <c r="N199" s="152"/>
      <c r="O199" s="152"/>
      <c r="Q199" s="252"/>
      <c r="R199" s="252"/>
      <c r="S199" s="252"/>
      <c r="T199" s="252"/>
      <c r="U199" s="252"/>
      <c r="V199" s="152"/>
      <c r="W199" s="152"/>
    </row>
    <row r="200" spans="2:23">
      <c r="B200" s="152"/>
      <c r="C200" s="152"/>
      <c r="D200" s="152"/>
      <c r="E200" s="152"/>
      <c r="F200" s="152"/>
      <c r="G200" s="154"/>
      <c r="H200" s="154"/>
      <c r="I200" s="252"/>
      <c r="J200" s="152"/>
      <c r="K200" s="152"/>
      <c r="L200" s="253"/>
      <c r="M200" s="152"/>
      <c r="N200" s="152"/>
      <c r="O200" s="152"/>
      <c r="Q200" s="252"/>
      <c r="R200" s="252"/>
      <c r="S200" s="252"/>
      <c r="T200" s="252"/>
      <c r="U200" s="252"/>
      <c r="V200" s="152"/>
      <c r="W200" s="152"/>
    </row>
    <row r="201" spans="2:23">
      <c r="B201" s="152"/>
      <c r="C201" s="152"/>
      <c r="D201" s="152"/>
      <c r="E201" s="152"/>
      <c r="F201" s="152"/>
      <c r="G201" s="154"/>
      <c r="H201" s="154"/>
      <c r="I201" s="252"/>
      <c r="J201" s="152"/>
      <c r="K201" s="152"/>
      <c r="L201" s="253"/>
      <c r="M201" s="152"/>
      <c r="N201" s="152"/>
      <c r="O201" s="152"/>
      <c r="Q201" s="252"/>
      <c r="R201" s="252"/>
      <c r="S201" s="252"/>
      <c r="T201" s="252"/>
      <c r="U201" s="252"/>
      <c r="V201" s="152"/>
      <c r="W201" s="152"/>
    </row>
    <row r="202" spans="2:23">
      <c r="B202" s="152"/>
      <c r="C202" s="152"/>
      <c r="D202" s="152"/>
      <c r="E202" s="152"/>
      <c r="F202" s="152"/>
      <c r="G202" s="154"/>
      <c r="H202" s="154"/>
      <c r="I202" s="252"/>
      <c r="J202" s="152"/>
      <c r="K202" s="152"/>
      <c r="L202" s="253"/>
      <c r="M202" s="152"/>
      <c r="N202" s="152"/>
      <c r="O202" s="152"/>
      <c r="Q202" s="252"/>
      <c r="R202" s="252"/>
      <c r="S202" s="252"/>
      <c r="T202" s="252"/>
      <c r="U202" s="252"/>
      <c r="V202" s="152"/>
      <c r="W202" s="152"/>
    </row>
    <row r="203" spans="2:23">
      <c r="B203" s="152"/>
      <c r="C203" s="152"/>
      <c r="D203" s="152"/>
      <c r="E203" s="152"/>
      <c r="F203" s="152"/>
      <c r="G203" s="154"/>
      <c r="H203" s="154"/>
      <c r="I203" s="252"/>
      <c r="J203" s="152"/>
      <c r="K203" s="152"/>
      <c r="L203" s="253"/>
      <c r="M203" s="152"/>
      <c r="N203" s="152"/>
      <c r="O203" s="152"/>
      <c r="Q203" s="252"/>
      <c r="R203" s="252"/>
      <c r="S203" s="252"/>
      <c r="T203" s="252"/>
      <c r="U203" s="252"/>
      <c r="V203" s="152"/>
      <c r="W203" s="152"/>
    </row>
    <row r="204" spans="2:23">
      <c r="B204" s="152"/>
      <c r="C204" s="152"/>
      <c r="D204" s="152"/>
      <c r="E204" s="152"/>
      <c r="F204" s="152"/>
      <c r="G204" s="154"/>
      <c r="H204" s="154"/>
      <c r="I204" s="252"/>
      <c r="J204" s="152"/>
      <c r="K204" s="152"/>
      <c r="L204" s="253"/>
      <c r="M204" s="152"/>
      <c r="N204" s="152"/>
      <c r="O204" s="152"/>
      <c r="Q204" s="252"/>
      <c r="R204" s="252"/>
      <c r="S204" s="252"/>
      <c r="T204" s="252"/>
      <c r="U204" s="252"/>
      <c r="V204" s="152"/>
      <c r="W204" s="152"/>
    </row>
    <row r="205" spans="2:23">
      <c r="B205" s="152"/>
      <c r="C205" s="152"/>
      <c r="D205" s="152"/>
      <c r="E205" s="152"/>
      <c r="F205" s="152"/>
      <c r="G205" s="154"/>
      <c r="H205" s="154"/>
      <c r="I205" s="252"/>
      <c r="J205" s="152"/>
      <c r="K205" s="152"/>
      <c r="L205" s="253"/>
      <c r="M205" s="152"/>
      <c r="N205" s="152"/>
      <c r="O205" s="152"/>
      <c r="Q205" s="252"/>
      <c r="R205" s="252"/>
      <c r="S205" s="252"/>
      <c r="T205" s="252"/>
      <c r="U205" s="252"/>
      <c r="V205" s="152"/>
      <c r="W205" s="152"/>
    </row>
    <row r="206" spans="2:23">
      <c r="B206" s="152"/>
      <c r="C206" s="152"/>
      <c r="D206" s="152"/>
      <c r="E206" s="152"/>
      <c r="F206" s="152"/>
      <c r="G206" s="154"/>
      <c r="H206" s="154"/>
      <c r="I206" s="252"/>
      <c r="J206" s="152"/>
      <c r="K206" s="152"/>
      <c r="L206" s="253"/>
      <c r="M206" s="152"/>
      <c r="N206" s="152"/>
      <c r="O206" s="152"/>
      <c r="Q206" s="252"/>
      <c r="R206" s="252"/>
      <c r="S206" s="252"/>
      <c r="T206" s="252"/>
      <c r="U206" s="252"/>
      <c r="V206" s="152"/>
      <c r="W206" s="152"/>
    </row>
    <row r="207" spans="2:23">
      <c r="B207" s="152"/>
      <c r="C207" s="152"/>
      <c r="D207" s="152"/>
      <c r="E207" s="152"/>
      <c r="F207" s="152"/>
      <c r="G207" s="154"/>
      <c r="H207" s="154"/>
      <c r="I207" s="252"/>
      <c r="J207" s="152"/>
      <c r="K207" s="152"/>
      <c r="L207" s="253"/>
      <c r="M207" s="152"/>
      <c r="N207" s="152"/>
      <c r="O207" s="152"/>
      <c r="Q207" s="252"/>
      <c r="R207" s="252"/>
      <c r="S207" s="252"/>
      <c r="T207" s="252"/>
      <c r="U207" s="252"/>
      <c r="V207" s="152"/>
      <c r="W207" s="152"/>
    </row>
    <row r="208" spans="2:23">
      <c r="B208" s="152"/>
      <c r="C208" s="152"/>
      <c r="D208" s="152"/>
      <c r="E208" s="152"/>
      <c r="F208" s="152"/>
      <c r="G208" s="154"/>
      <c r="H208" s="154"/>
      <c r="I208" s="252"/>
      <c r="J208" s="152"/>
      <c r="K208" s="152"/>
      <c r="L208" s="253"/>
      <c r="M208" s="152"/>
      <c r="N208" s="152"/>
      <c r="O208" s="152"/>
      <c r="Q208" s="252"/>
      <c r="R208" s="252"/>
      <c r="S208" s="252"/>
      <c r="T208" s="252"/>
      <c r="U208" s="252"/>
      <c r="V208" s="152"/>
      <c r="W208" s="152"/>
    </row>
    <row r="209" spans="2:23">
      <c r="B209" s="152"/>
      <c r="C209" s="152"/>
      <c r="D209" s="152"/>
      <c r="E209" s="152"/>
      <c r="F209" s="152"/>
      <c r="G209" s="154"/>
      <c r="H209" s="154"/>
      <c r="I209" s="252"/>
      <c r="J209" s="152"/>
      <c r="K209" s="152"/>
      <c r="L209" s="253"/>
      <c r="M209" s="152"/>
      <c r="N209" s="152"/>
      <c r="O209" s="152"/>
      <c r="Q209" s="252"/>
      <c r="R209" s="252"/>
      <c r="S209" s="252"/>
      <c r="T209" s="252"/>
      <c r="U209" s="252"/>
      <c r="V209" s="152"/>
      <c r="W209" s="152"/>
    </row>
    <row r="210" spans="2:23">
      <c r="B210" s="152"/>
      <c r="C210" s="152"/>
      <c r="D210" s="152"/>
      <c r="E210" s="152"/>
      <c r="F210" s="152"/>
      <c r="G210" s="154"/>
      <c r="H210" s="154"/>
      <c r="I210" s="252"/>
      <c r="J210" s="152"/>
      <c r="K210" s="152"/>
      <c r="L210" s="253"/>
      <c r="M210" s="152"/>
      <c r="N210" s="152"/>
      <c r="O210" s="152"/>
      <c r="Q210" s="252"/>
      <c r="R210" s="252"/>
      <c r="S210" s="252"/>
      <c r="T210" s="252"/>
      <c r="U210" s="252"/>
      <c r="V210" s="152"/>
      <c r="W210" s="152"/>
    </row>
    <row r="211" spans="2:23">
      <c r="B211" s="152"/>
      <c r="C211" s="152"/>
      <c r="D211" s="152"/>
      <c r="E211" s="152"/>
      <c r="F211" s="152"/>
      <c r="G211" s="154"/>
      <c r="H211" s="154"/>
      <c r="I211" s="252"/>
      <c r="J211" s="152"/>
      <c r="K211" s="152"/>
      <c r="L211" s="253"/>
      <c r="M211" s="152"/>
      <c r="N211" s="152"/>
      <c r="O211" s="152"/>
      <c r="Q211" s="252"/>
      <c r="R211" s="252"/>
      <c r="S211" s="252"/>
      <c r="T211" s="252"/>
      <c r="U211" s="252"/>
      <c r="V211" s="152"/>
      <c r="W211" s="152"/>
    </row>
    <row r="212" spans="2:23">
      <c r="B212" s="152"/>
      <c r="C212" s="152"/>
      <c r="D212" s="152"/>
      <c r="E212" s="152"/>
      <c r="F212" s="152"/>
      <c r="G212" s="154"/>
      <c r="H212" s="154"/>
      <c r="I212" s="252"/>
      <c r="J212" s="152"/>
      <c r="K212" s="152"/>
      <c r="L212" s="253"/>
      <c r="M212" s="152"/>
      <c r="N212" s="152"/>
      <c r="O212" s="152"/>
      <c r="Q212" s="252"/>
      <c r="R212" s="252"/>
      <c r="S212" s="252"/>
      <c r="T212" s="252"/>
      <c r="U212" s="252"/>
      <c r="V212" s="152"/>
      <c r="W212" s="152"/>
    </row>
    <row r="213" spans="2:23">
      <c r="B213" s="152"/>
      <c r="C213" s="152"/>
      <c r="D213" s="152"/>
      <c r="E213" s="152"/>
      <c r="F213" s="152"/>
      <c r="G213" s="154"/>
      <c r="H213" s="154"/>
      <c r="I213" s="252"/>
      <c r="J213" s="152"/>
      <c r="K213" s="152"/>
      <c r="L213" s="253"/>
      <c r="M213" s="152"/>
      <c r="N213" s="152"/>
      <c r="O213" s="152"/>
      <c r="Q213" s="252"/>
      <c r="R213" s="252"/>
      <c r="S213" s="252"/>
      <c r="T213" s="252"/>
      <c r="U213" s="252"/>
      <c r="V213" s="152"/>
      <c r="W213" s="152"/>
    </row>
    <row r="214" spans="2:23">
      <c r="B214" s="152"/>
      <c r="C214" s="152"/>
      <c r="D214" s="152"/>
      <c r="E214" s="152"/>
      <c r="F214" s="152"/>
      <c r="G214" s="154"/>
      <c r="H214" s="154"/>
      <c r="I214" s="252"/>
      <c r="J214" s="152"/>
      <c r="K214" s="152"/>
      <c r="L214" s="253"/>
      <c r="M214" s="152"/>
      <c r="N214" s="152"/>
      <c r="O214" s="152"/>
      <c r="Q214" s="252"/>
      <c r="R214" s="252"/>
      <c r="S214" s="252"/>
      <c r="T214" s="252"/>
      <c r="U214" s="252"/>
      <c r="V214" s="152"/>
      <c r="W214" s="152"/>
    </row>
    <row r="215" spans="2:23">
      <c r="B215" s="152"/>
      <c r="C215" s="152"/>
      <c r="D215" s="152"/>
      <c r="E215" s="152"/>
      <c r="F215" s="152"/>
      <c r="G215" s="154"/>
      <c r="H215" s="154"/>
      <c r="I215" s="252"/>
      <c r="J215" s="152"/>
      <c r="K215" s="152"/>
      <c r="L215" s="253"/>
      <c r="M215" s="152"/>
      <c r="N215" s="152"/>
      <c r="O215" s="152"/>
      <c r="Q215" s="252"/>
      <c r="R215" s="252"/>
      <c r="S215" s="252"/>
      <c r="T215" s="252"/>
      <c r="U215" s="252"/>
      <c r="V215" s="152"/>
      <c r="W215" s="152"/>
    </row>
    <row r="216" spans="2:23">
      <c r="B216" s="152"/>
      <c r="C216" s="152"/>
      <c r="D216" s="152"/>
      <c r="E216" s="152"/>
      <c r="F216" s="152"/>
      <c r="G216" s="154"/>
      <c r="H216" s="154"/>
      <c r="I216" s="252"/>
      <c r="J216" s="152"/>
      <c r="K216" s="152"/>
      <c r="L216" s="253"/>
      <c r="M216" s="152"/>
      <c r="N216" s="152"/>
      <c r="O216" s="152"/>
      <c r="Q216" s="252"/>
      <c r="R216" s="252"/>
      <c r="S216" s="252"/>
      <c r="T216" s="252"/>
      <c r="U216" s="252"/>
      <c r="V216" s="152"/>
      <c r="W216" s="152"/>
    </row>
    <row r="217" spans="2:23">
      <c r="B217" s="152"/>
      <c r="C217" s="152"/>
      <c r="D217" s="152"/>
      <c r="E217" s="152"/>
      <c r="F217" s="152"/>
      <c r="G217" s="154"/>
      <c r="H217" s="154"/>
      <c r="I217" s="252"/>
      <c r="J217" s="152"/>
      <c r="K217" s="152"/>
      <c r="L217" s="253"/>
      <c r="M217" s="152"/>
      <c r="N217" s="152"/>
      <c r="O217" s="152"/>
      <c r="Q217" s="252"/>
      <c r="R217" s="252"/>
      <c r="S217" s="252"/>
      <c r="T217" s="252"/>
      <c r="U217" s="252"/>
      <c r="V217" s="152"/>
      <c r="W217" s="152"/>
    </row>
    <row r="218" spans="2:23">
      <c r="B218" s="152"/>
      <c r="C218" s="152"/>
      <c r="D218" s="152"/>
      <c r="E218" s="152"/>
      <c r="F218" s="152"/>
      <c r="G218" s="154"/>
      <c r="H218" s="154"/>
      <c r="I218" s="252"/>
      <c r="J218" s="152"/>
      <c r="K218" s="152"/>
      <c r="L218" s="253"/>
      <c r="M218" s="152"/>
      <c r="N218" s="152"/>
      <c r="O218" s="152"/>
      <c r="Q218" s="252"/>
      <c r="R218" s="252"/>
      <c r="S218" s="252"/>
      <c r="T218" s="252"/>
      <c r="U218" s="252"/>
      <c r="V218" s="152"/>
      <c r="W218" s="152"/>
    </row>
    <row r="219" spans="2:23">
      <c r="B219" s="152"/>
      <c r="C219" s="152"/>
      <c r="D219" s="152"/>
      <c r="E219" s="152"/>
      <c r="F219" s="152"/>
      <c r="G219" s="154"/>
      <c r="H219" s="154"/>
      <c r="I219" s="252"/>
      <c r="J219" s="152"/>
      <c r="K219" s="152"/>
      <c r="L219" s="253"/>
      <c r="M219" s="152"/>
      <c r="N219" s="152"/>
      <c r="O219" s="152"/>
      <c r="Q219" s="252"/>
      <c r="R219" s="252"/>
      <c r="S219" s="252"/>
      <c r="T219" s="252"/>
      <c r="U219" s="252"/>
      <c r="V219" s="152"/>
      <c r="W219" s="152"/>
    </row>
    <row r="220" spans="2:23">
      <c r="B220" s="152"/>
      <c r="C220" s="152"/>
      <c r="D220" s="152"/>
      <c r="E220" s="152"/>
      <c r="F220" s="152"/>
      <c r="G220" s="154"/>
      <c r="H220" s="154"/>
      <c r="I220" s="252"/>
      <c r="J220" s="152"/>
      <c r="K220" s="152"/>
      <c r="L220" s="253"/>
      <c r="M220" s="152"/>
      <c r="N220" s="152"/>
      <c r="O220" s="152"/>
      <c r="Q220" s="252"/>
      <c r="R220" s="252"/>
      <c r="S220" s="252"/>
      <c r="T220" s="252"/>
      <c r="U220" s="252"/>
      <c r="V220" s="152"/>
      <c r="W220" s="152"/>
    </row>
    <row r="221" spans="2:23">
      <c r="B221" s="152"/>
      <c r="C221" s="152"/>
      <c r="D221" s="152"/>
      <c r="E221" s="152"/>
      <c r="F221" s="152"/>
      <c r="G221" s="154"/>
      <c r="H221" s="154"/>
      <c r="I221" s="252"/>
      <c r="J221" s="152"/>
      <c r="K221" s="152"/>
      <c r="L221" s="253"/>
      <c r="M221" s="152"/>
      <c r="N221" s="152"/>
      <c r="O221" s="152"/>
      <c r="Q221" s="252"/>
      <c r="R221" s="252"/>
      <c r="S221" s="252"/>
      <c r="T221" s="252"/>
      <c r="U221" s="252"/>
      <c r="V221" s="152"/>
      <c r="W221" s="152"/>
    </row>
    <row r="222" spans="2:23">
      <c r="B222" s="152"/>
      <c r="C222" s="152"/>
      <c r="D222" s="152"/>
      <c r="E222" s="152"/>
      <c r="F222" s="152"/>
      <c r="G222" s="154"/>
      <c r="H222" s="154"/>
      <c r="I222" s="252"/>
      <c r="J222" s="152"/>
      <c r="K222" s="152"/>
      <c r="L222" s="253"/>
      <c r="M222" s="152"/>
      <c r="N222" s="152"/>
      <c r="O222" s="152"/>
      <c r="Q222" s="252"/>
      <c r="R222" s="252"/>
      <c r="S222" s="252"/>
      <c r="T222" s="252"/>
      <c r="U222" s="252"/>
      <c r="V222" s="152"/>
      <c r="W222" s="152"/>
    </row>
    <row r="223" spans="2:23">
      <c r="B223" s="152"/>
      <c r="C223" s="152"/>
      <c r="D223" s="152"/>
      <c r="E223" s="152"/>
      <c r="F223" s="152"/>
      <c r="G223" s="154"/>
      <c r="H223" s="154"/>
      <c r="I223" s="252"/>
      <c r="J223" s="152"/>
      <c r="K223" s="152"/>
      <c r="L223" s="253"/>
      <c r="M223" s="152"/>
      <c r="N223" s="152"/>
      <c r="O223" s="152"/>
      <c r="Q223" s="252"/>
      <c r="R223" s="252"/>
      <c r="S223" s="252"/>
      <c r="T223" s="252"/>
      <c r="U223" s="252"/>
      <c r="V223" s="152"/>
      <c r="W223" s="152"/>
    </row>
    <row r="224" spans="2:23">
      <c r="B224" s="152"/>
      <c r="C224" s="152"/>
      <c r="D224" s="152"/>
      <c r="E224" s="152"/>
      <c r="F224" s="152"/>
      <c r="G224" s="154"/>
      <c r="H224" s="154"/>
      <c r="I224" s="252"/>
      <c r="J224" s="152"/>
      <c r="K224" s="152"/>
      <c r="L224" s="253"/>
      <c r="M224" s="152"/>
      <c r="N224" s="152"/>
      <c r="O224" s="152"/>
      <c r="Q224" s="252"/>
      <c r="R224" s="252"/>
      <c r="S224" s="252"/>
      <c r="T224" s="252"/>
      <c r="U224" s="252"/>
      <c r="V224" s="152"/>
      <c r="W224" s="152"/>
    </row>
    <row r="225" spans="2:23">
      <c r="B225" s="152"/>
      <c r="C225" s="152"/>
      <c r="D225" s="152"/>
      <c r="E225" s="152"/>
      <c r="F225" s="152"/>
      <c r="G225" s="154"/>
      <c r="H225" s="154"/>
      <c r="I225" s="252"/>
      <c r="J225" s="152"/>
      <c r="K225" s="152"/>
      <c r="L225" s="253"/>
      <c r="M225" s="152"/>
      <c r="N225" s="152"/>
      <c r="O225" s="152"/>
      <c r="Q225" s="252"/>
      <c r="R225" s="252"/>
      <c r="S225" s="252"/>
      <c r="T225" s="252"/>
      <c r="U225" s="252"/>
      <c r="V225" s="152"/>
      <c r="W225" s="152"/>
    </row>
    <row r="226" spans="2:23">
      <c r="B226" s="152"/>
      <c r="C226" s="152"/>
      <c r="D226" s="152"/>
      <c r="E226" s="152"/>
      <c r="F226" s="152"/>
      <c r="G226" s="154"/>
      <c r="H226" s="154"/>
      <c r="I226" s="252"/>
      <c r="J226" s="152"/>
      <c r="K226" s="152"/>
      <c r="L226" s="253"/>
      <c r="M226" s="152"/>
      <c r="N226" s="152"/>
      <c r="O226" s="152"/>
      <c r="Q226" s="252"/>
      <c r="R226" s="252"/>
      <c r="S226" s="252"/>
      <c r="T226" s="252"/>
      <c r="U226" s="252"/>
      <c r="V226" s="152"/>
      <c r="W226" s="152"/>
    </row>
    <row r="227" spans="2:23">
      <c r="B227" s="152"/>
      <c r="C227" s="152"/>
      <c r="D227" s="152"/>
      <c r="E227" s="152"/>
      <c r="F227" s="152"/>
      <c r="G227" s="154"/>
      <c r="H227" s="154"/>
      <c r="I227" s="252"/>
      <c r="J227" s="152"/>
      <c r="K227" s="152"/>
      <c r="L227" s="253"/>
      <c r="M227" s="152"/>
      <c r="N227" s="152"/>
      <c r="O227" s="152"/>
      <c r="Q227" s="252"/>
      <c r="R227" s="252"/>
      <c r="S227" s="252"/>
      <c r="T227" s="252"/>
      <c r="U227" s="252"/>
      <c r="V227" s="152"/>
      <c r="W227" s="152"/>
    </row>
    <row r="228" spans="2:23">
      <c r="B228" s="152"/>
      <c r="C228" s="152"/>
      <c r="D228" s="152"/>
      <c r="E228" s="152"/>
      <c r="F228" s="152"/>
      <c r="G228" s="154"/>
      <c r="H228" s="154"/>
      <c r="I228" s="252"/>
      <c r="J228" s="152"/>
      <c r="K228" s="152"/>
      <c r="L228" s="253"/>
      <c r="M228" s="152"/>
      <c r="N228" s="152"/>
      <c r="O228" s="152"/>
      <c r="Q228" s="252"/>
      <c r="R228" s="252"/>
      <c r="S228" s="252"/>
      <c r="T228" s="252"/>
      <c r="U228" s="252"/>
      <c r="V228" s="152"/>
      <c r="W228" s="152"/>
    </row>
    <row r="229" spans="2:23">
      <c r="B229" s="152"/>
      <c r="C229" s="152"/>
      <c r="D229" s="152"/>
      <c r="E229" s="152"/>
      <c r="F229" s="152"/>
      <c r="G229" s="154"/>
      <c r="H229" s="154"/>
      <c r="I229" s="252"/>
      <c r="J229" s="152"/>
      <c r="K229" s="152"/>
      <c r="L229" s="253"/>
      <c r="M229" s="152"/>
      <c r="N229" s="152"/>
      <c r="O229" s="152"/>
      <c r="Q229" s="252"/>
      <c r="R229" s="252"/>
      <c r="S229" s="252"/>
      <c r="T229" s="252"/>
      <c r="U229" s="252"/>
      <c r="V229" s="152"/>
      <c r="W229" s="152"/>
    </row>
    <row r="230" spans="2:23">
      <c r="B230" s="152"/>
      <c r="C230" s="152"/>
      <c r="D230" s="152"/>
      <c r="E230" s="152"/>
      <c r="F230" s="152"/>
      <c r="G230" s="154"/>
      <c r="H230" s="154"/>
      <c r="I230" s="252"/>
      <c r="J230" s="152"/>
      <c r="K230" s="152"/>
      <c r="L230" s="253"/>
      <c r="M230" s="152"/>
      <c r="N230" s="152"/>
      <c r="O230" s="152"/>
      <c r="Q230" s="252"/>
      <c r="R230" s="252"/>
      <c r="S230" s="252"/>
      <c r="T230" s="252"/>
      <c r="U230" s="252"/>
      <c r="V230" s="152"/>
      <c r="W230" s="152"/>
    </row>
    <row r="231" spans="2:23">
      <c r="B231" s="152"/>
      <c r="C231" s="152"/>
      <c r="D231" s="152"/>
      <c r="E231" s="152"/>
      <c r="F231" s="152"/>
      <c r="G231" s="154"/>
      <c r="H231" s="154"/>
      <c r="I231" s="252"/>
      <c r="J231" s="152"/>
      <c r="K231" s="152"/>
      <c r="L231" s="253"/>
      <c r="M231" s="152"/>
      <c r="N231" s="152"/>
      <c r="O231" s="152"/>
      <c r="Q231" s="252"/>
      <c r="R231" s="252"/>
      <c r="S231" s="252"/>
      <c r="T231" s="252"/>
      <c r="U231" s="252"/>
      <c r="V231" s="152"/>
      <c r="W231" s="152"/>
    </row>
    <row r="232" spans="2:23">
      <c r="B232" s="152"/>
      <c r="C232" s="152"/>
      <c r="D232" s="152"/>
      <c r="E232" s="152"/>
      <c r="F232" s="152"/>
      <c r="G232" s="154"/>
      <c r="H232" s="154"/>
      <c r="I232" s="252"/>
      <c r="J232" s="152"/>
      <c r="K232" s="152"/>
      <c r="L232" s="253"/>
      <c r="M232" s="152"/>
      <c r="N232" s="152"/>
      <c r="O232" s="152"/>
      <c r="Q232" s="252"/>
      <c r="R232" s="252"/>
      <c r="S232" s="252"/>
      <c r="T232" s="252"/>
      <c r="U232" s="252"/>
      <c r="V232" s="152"/>
      <c r="W232" s="152"/>
    </row>
    <row r="233" spans="2:23">
      <c r="B233" s="152"/>
      <c r="C233" s="152"/>
      <c r="D233" s="152"/>
      <c r="E233" s="152"/>
      <c r="F233" s="152"/>
      <c r="G233" s="154"/>
      <c r="H233" s="154"/>
      <c r="I233" s="252"/>
      <c r="J233" s="152"/>
      <c r="K233" s="152"/>
      <c r="L233" s="253"/>
      <c r="M233" s="152"/>
      <c r="N233" s="152"/>
      <c r="O233" s="152"/>
      <c r="Q233" s="252"/>
      <c r="R233" s="252"/>
      <c r="S233" s="252"/>
      <c r="T233" s="252"/>
      <c r="U233" s="252"/>
      <c r="V233" s="152"/>
      <c r="W233" s="152"/>
    </row>
    <row r="234" spans="2:23">
      <c r="B234" s="152"/>
      <c r="C234" s="152"/>
      <c r="D234" s="152"/>
      <c r="E234" s="152"/>
      <c r="F234" s="152"/>
      <c r="G234" s="154"/>
      <c r="H234" s="154"/>
      <c r="I234" s="252"/>
      <c r="J234" s="152"/>
      <c r="K234" s="152"/>
      <c r="L234" s="253"/>
      <c r="M234" s="152"/>
      <c r="N234" s="152"/>
      <c r="O234" s="152"/>
      <c r="Q234" s="252"/>
      <c r="R234" s="252"/>
      <c r="S234" s="252"/>
      <c r="T234" s="252"/>
      <c r="U234" s="252"/>
      <c r="V234" s="152"/>
      <c r="W234" s="152"/>
    </row>
    <row r="235" spans="2:23">
      <c r="B235" s="152"/>
      <c r="C235" s="152"/>
      <c r="D235" s="152"/>
      <c r="E235" s="152"/>
      <c r="F235" s="152"/>
      <c r="G235" s="154"/>
      <c r="H235" s="154"/>
      <c r="I235" s="252"/>
      <c r="J235" s="152"/>
      <c r="K235" s="152"/>
      <c r="L235" s="253"/>
      <c r="M235" s="152"/>
      <c r="N235" s="152"/>
      <c r="O235" s="152"/>
      <c r="Q235" s="252"/>
      <c r="R235" s="252"/>
      <c r="S235" s="252"/>
      <c r="T235" s="252"/>
      <c r="U235" s="252"/>
      <c r="V235" s="152"/>
      <c r="W235" s="152"/>
    </row>
    <row r="236" spans="2:23">
      <c r="B236" s="152"/>
      <c r="C236" s="152"/>
      <c r="D236" s="152"/>
      <c r="E236" s="152"/>
      <c r="F236" s="152"/>
      <c r="G236" s="154"/>
      <c r="H236" s="154"/>
      <c r="I236" s="252"/>
      <c r="J236" s="152"/>
      <c r="K236" s="152"/>
      <c r="L236" s="253"/>
      <c r="M236" s="152"/>
      <c r="N236" s="152"/>
      <c r="O236" s="152"/>
      <c r="Q236" s="252"/>
      <c r="R236" s="252"/>
      <c r="S236" s="252"/>
      <c r="T236" s="252"/>
      <c r="U236" s="252"/>
      <c r="V236" s="152"/>
      <c r="W236" s="152"/>
    </row>
    <row r="237" spans="2:23">
      <c r="B237" s="152"/>
      <c r="C237" s="152"/>
      <c r="D237" s="152"/>
      <c r="E237" s="152"/>
      <c r="F237" s="152"/>
      <c r="G237" s="154"/>
      <c r="H237" s="154"/>
      <c r="I237" s="252"/>
      <c r="J237" s="152"/>
      <c r="K237" s="152"/>
      <c r="L237" s="253"/>
      <c r="M237" s="152"/>
      <c r="N237" s="152"/>
      <c r="O237" s="152"/>
      <c r="Q237" s="252"/>
      <c r="R237" s="252"/>
      <c r="S237" s="252"/>
      <c r="T237" s="252"/>
      <c r="U237" s="252"/>
      <c r="V237" s="152"/>
      <c r="W237" s="152"/>
    </row>
    <row r="238" spans="2:23">
      <c r="B238" s="152"/>
      <c r="C238" s="152"/>
      <c r="D238" s="152"/>
      <c r="E238" s="152"/>
      <c r="F238" s="152"/>
      <c r="G238" s="154"/>
      <c r="H238" s="154"/>
      <c r="I238" s="252"/>
      <c r="J238" s="152"/>
      <c r="K238" s="152"/>
      <c r="L238" s="253"/>
      <c r="M238" s="152"/>
      <c r="N238" s="152"/>
      <c r="O238" s="152"/>
      <c r="Q238" s="252"/>
      <c r="R238" s="252"/>
      <c r="S238" s="252"/>
      <c r="T238" s="252"/>
      <c r="U238" s="252"/>
      <c r="V238" s="152"/>
      <c r="W238" s="152"/>
    </row>
    <row r="239" spans="2:23">
      <c r="B239" s="152"/>
      <c r="C239" s="152"/>
      <c r="D239" s="152"/>
      <c r="E239" s="152"/>
      <c r="F239" s="152"/>
      <c r="G239" s="154"/>
      <c r="H239" s="154"/>
      <c r="I239" s="252"/>
      <c r="J239" s="152"/>
      <c r="K239" s="152"/>
      <c r="L239" s="253"/>
      <c r="M239" s="152"/>
      <c r="N239" s="152"/>
      <c r="O239" s="152"/>
      <c r="Q239" s="252"/>
      <c r="R239" s="252"/>
      <c r="S239" s="252"/>
      <c r="T239" s="252"/>
      <c r="U239" s="252"/>
      <c r="V239" s="152"/>
      <c r="W239" s="152"/>
    </row>
    <row r="240" spans="2:23">
      <c r="B240" s="152"/>
      <c r="C240" s="152"/>
      <c r="D240" s="152"/>
      <c r="E240" s="152"/>
      <c r="F240" s="152"/>
      <c r="G240" s="154"/>
      <c r="H240" s="154"/>
      <c r="I240" s="252"/>
      <c r="J240" s="152"/>
      <c r="K240" s="152"/>
      <c r="L240" s="253"/>
      <c r="M240" s="152"/>
      <c r="N240" s="152"/>
      <c r="O240" s="152"/>
      <c r="Q240" s="252"/>
      <c r="R240" s="252"/>
      <c r="S240" s="252"/>
      <c r="T240" s="252"/>
      <c r="U240" s="252"/>
      <c r="V240" s="152"/>
      <c r="W240" s="152"/>
    </row>
    <row r="241" spans="2:23">
      <c r="B241" s="152"/>
      <c r="C241" s="152"/>
      <c r="D241" s="152"/>
      <c r="E241" s="152"/>
      <c r="F241" s="152"/>
      <c r="G241" s="154"/>
      <c r="H241" s="154"/>
      <c r="I241" s="252"/>
      <c r="J241" s="152"/>
      <c r="K241" s="152"/>
      <c r="L241" s="253"/>
      <c r="M241" s="152"/>
      <c r="N241" s="152"/>
      <c r="O241" s="152"/>
      <c r="Q241" s="252"/>
      <c r="R241" s="252"/>
      <c r="S241" s="252"/>
      <c r="T241" s="252"/>
      <c r="U241" s="252"/>
      <c r="V241" s="152"/>
      <c r="W241" s="152"/>
    </row>
    <row r="242" spans="2:23">
      <c r="B242" s="152"/>
      <c r="C242" s="152"/>
      <c r="D242" s="152"/>
      <c r="E242" s="152"/>
      <c r="F242" s="152"/>
      <c r="G242" s="154"/>
      <c r="H242" s="154"/>
      <c r="I242" s="252"/>
      <c r="J242" s="152"/>
      <c r="K242" s="152"/>
      <c r="L242" s="253"/>
      <c r="M242" s="152"/>
      <c r="N242" s="152"/>
      <c r="O242" s="152"/>
      <c r="Q242" s="252"/>
      <c r="R242" s="252"/>
      <c r="S242" s="252"/>
      <c r="T242" s="252"/>
      <c r="U242" s="252"/>
      <c r="V242" s="152"/>
      <c r="W242" s="152"/>
    </row>
    <row r="243" spans="2:23">
      <c r="B243" s="152"/>
      <c r="C243" s="152"/>
      <c r="D243" s="152"/>
      <c r="E243" s="152"/>
      <c r="F243" s="152"/>
      <c r="G243" s="154"/>
      <c r="H243" s="154"/>
      <c r="I243" s="252"/>
      <c r="J243" s="152"/>
      <c r="K243" s="152"/>
      <c r="L243" s="253"/>
      <c r="M243" s="152"/>
      <c r="N243" s="152"/>
      <c r="O243" s="152"/>
      <c r="Q243" s="252"/>
      <c r="R243" s="252"/>
      <c r="S243" s="252"/>
      <c r="T243" s="252"/>
      <c r="U243" s="252"/>
      <c r="V243" s="152"/>
      <c r="W243" s="152"/>
    </row>
    <row r="244" spans="2:23">
      <c r="B244" s="152"/>
      <c r="C244" s="152"/>
      <c r="D244" s="152"/>
      <c r="E244" s="152"/>
      <c r="F244" s="152"/>
      <c r="G244" s="154"/>
      <c r="H244" s="154"/>
      <c r="I244" s="252"/>
      <c r="J244" s="152"/>
      <c r="K244" s="152"/>
      <c r="L244" s="253"/>
      <c r="M244" s="152"/>
      <c r="N244" s="152"/>
      <c r="O244" s="152"/>
      <c r="Q244" s="252"/>
      <c r="R244" s="252"/>
      <c r="S244" s="252"/>
      <c r="T244" s="252"/>
      <c r="U244" s="252"/>
      <c r="V244" s="152"/>
      <c r="W244" s="152"/>
    </row>
    <row r="245" spans="2:23">
      <c r="B245" s="152"/>
      <c r="C245" s="152"/>
      <c r="D245" s="152"/>
      <c r="E245" s="152"/>
      <c r="F245" s="152"/>
      <c r="G245" s="154"/>
      <c r="H245" s="154"/>
      <c r="I245" s="252"/>
      <c r="J245" s="152"/>
      <c r="K245" s="152"/>
      <c r="L245" s="253"/>
      <c r="M245" s="152"/>
      <c r="N245" s="152"/>
      <c r="O245" s="152"/>
      <c r="Q245" s="252"/>
      <c r="R245" s="252"/>
      <c r="S245" s="252"/>
      <c r="T245" s="252"/>
      <c r="U245" s="252"/>
      <c r="V245" s="152"/>
      <c r="W245" s="152"/>
    </row>
    <row r="246" spans="2:23">
      <c r="B246" s="152"/>
      <c r="C246" s="152"/>
      <c r="D246" s="152"/>
      <c r="E246" s="152"/>
      <c r="F246" s="152"/>
      <c r="G246" s="154"/>
      <c r="H246" s="154"/>
      <c r="I246" s="252"/>
      <c r="J246" s="152"/>
      <c r="K246" s="152"/>
      <c r="L246" s="253"/>
      <c r="M246" s="152"/>
      <c r="N246" s="152"/>
      <c r="O246" s="152"/>
      <c r="Q246" s="252"/>
      <c r="R246" s="252"/>
      <c r="S246" s="252"/>
      <c r="T246" s="252"/>
      <c r="U246" s="252"/>
      <c r="V246" s="152"/>
      <c r="W246" s="152"/>
    </row>
    <row r="247" spans="2:23">
      <c r="B247" s="152"/>
      <c r="C247" s="152"/>
      <c r="D247" s="152"/>
      <c r="E247" s="152"/>
      <c r="F247" s="152"/>
      <c r="G247" s="154"/>
      <c r="H247" s="154"/>
      <c r="I247" s="252"/>
      <c r="J247" s="152"/>
      <c r="K247" s="152"/>
      <c r="L247" s="253"/>
      <c r="M247" s="152"/>
      <c r="N247" s="152"/>
      <c r="O247" s="152"/>
      <c r="Q247" s="252"/>
      <c r="R247" s="252"/>
      <c r="S247" s="252"/>
      <c r="T247" s="252"/>
      <c r="U247" s="252"/>
      <c r="V247" s="152"/>
      <c r="W247" s="152"/>
    </row>
    <row r="248" spans="2:23">
      <c r="B248" s="152"/>
      <c r="C248" s="152"/>
      <c r="D248" s="152"/>
      <c r="E248" s="152"/>
      <c r="F248" s="152"/>
      <c r="G248" s="154"/>
      <c r="H248" s="154"/>
      <c r="I248" s="252"/>
      <c r="J248" s="152"/>
      <c r="K248" s="152"/>
      <c r="L248" s="253"/>
      <c r="M248" s="152"/>
      <c r="N248" s="152"/>
      <c r="O248" s="152"/>
      <c r="Q248" s="252"/>
      <c r="R248" s="252"/>
      <c r="S248" s="252"/>
      <c r="T248" s="252"/>
      <c r="U248" s="252"/>
      <c r="V248" s="152"/>
      <c r="W248" s="152"/>
    </row>
    <row r="249" spans="2:23">
      <c r="B249" s="152"/>
      <c r="C249" s="152"/>
      <c r="D249" s="152"/>
      <c r="E249" s="152"/>
      <c r="F249" s="152"/>
      <c r="G249" s="154"/>
      <c r="H249" s="154"/>
      <c r="I249" s="252"/>
      <c r="J249" s="152"/>
      <c r="K249" s="152"/>
      <c r="L249" s="253"/>
      <c r="M249" s="152"/>
      <c r="N249" s="152"/>
      <c r="O249" s="152"/>
      <c r="Q249" s="252"/>
      <c r="R249" s="252"/>
      <c r="S249" s="252"/>
      <c r="T249" s="252"/>
      <c r="U249" s="252"/>
      <c r="V249" s="152"/>
      <c r="W249" s="152"/>
    </row>
    <row r="250" spans="2:23">
      <c r="B250" s="152"/>
      <c r="C250" s="152"/>
      <c r="D250" s="152"/>
      <c r="E250" s="152"/>
      <c r="F250" s="152"/>
      <c r="G250" s="154"/>
      <c r="H250" s="154"/>
      <c r="I250" s="252"/>
      <c r="J250" s="152"/>
      <c r="K250" s="152"/>
      <c r="L250" s="253"/>
      <c r="M250" s="152"/>
      <c r="N250" s="152"/>
      <c r="O250" s="152"/>
      <c r="Q250" s="252"/>
      <c r="R250" s="252"/>
      <c r="S250" s="252"/>
      <c r="T250" s="252"/>
      <c r="U250" s="252"/>
      <c r="V250" s="152"/>
      <c r="W250" s="152"/>
    </row>
    <row r="251" spans="2:23">
      <c r="B251" s="152"/>
      <c r="C251" s="152"/>
      <c r="D251" s="152"/>
      <c r="E251" s="152"/>
      <c r="F251" s="152"/>
      <c r="G251" s="154"/>
      <c r="H251" s="154"/>
      <c r="I251" s="252"/>
      <c r="J251" s="152"/>
      <c r="K251" s="152"/>
      <c r="L251" s="253"/>
      <c r="M251" s="152"/>
      <c r="N251" s="152"/>
      <c r="O251" s="152"/>
      <c r="Q251" s="252"/>
      <c r="R251" s="252"/>
      <c r="S251" s="252"/>
      <c r="T251" s="252"/>
      <c r="U251" s="252"/>
      <c r="V251" s="152"/>
      <c r="W251" s="152"/>
    </row>
    <row r="252" spans="2:23">
      <c r="B252" s="152"/>
      <c r="C252" s="152"/>
      <c r="D252" s="152"/>
      <c r="E252" s="152"/>
      <c r="F252" s="152"/>
      <c r="G252" s="154"/>
      <c r="H252" s="154"/>
      <c r="I252" s="252"/>
      <c r="J252" s="152"/>
      <c r="K252" s="152"/>
      <c r="L252" s="253"/>
      <c r="M252" s="152"/>
      <c r="N252" s="152"/>
      <c r="O252" s="152"/>
      <c r="Q252" s="252"/>
      <c r="R252" s="252"/>
      <c r="S252" s="252"/>
      <c r="T252" s="252"/>
      <c r="U252" s="252"/>
      <c r="V252" s="152"/>
      <c r="W252" s="152"/>
    </row>
    <row r="253" spans="2:23">
      <c r="B253" s="152"/>
      <c r="C253" s="152"/>
      <c r="D253" s="152"/>
      <c r="E253" s="152"/>
      <c r="F253" s="152"/>
      <c r="G253" s="154"/>
      <c r="H253" s="154"/>
      <c r="I253" s="252"/>
      <c r="J253" s="152"/>
      <c r="K253" s="152"/>
      <c r="L253" s="253"/>
      <c r="M253" s="152"/>
      <c r="N253" s="152"/>
      <c r="O253" s="152"/>
      <c r="Q253" s="252"/>
      <c r="R253" s="252"/>
      <c r="S253" s="252"/>
      <c r="T253" s="252"/>
      <c r="U253" s="252"/>
      <c r="V253" s="152"/>
      <c r="W253" s="152"/>
    </row>
    <row r="254" spans="2:23">
      <c r="B254" s="152"/>
      <c r="C254" s="152"/>
      <c r="D254" s="152"/>
      <c r="E254" s="152"/>
      <c r="F254" s="152"/>
      <c r="G254" s="154"/>
      <c r="H254" s="154"/>
      <c r="I254" s="252"/>
      <c r="J254" s="152"/>
      <c r="K254" s="152"/>
      <c r="L254" s="253"/>
      <c r="M254" s="152"/>
      <c r="N254" s="152"/>
      <c r="O254" s="152"/>
      <c r="Q254" s="252"/>
      <c r="R254" s="252"/>
      <c r="S254" s="252"/>
      <c r="T254" s="252"/>
      <c r="U254" s="252"/>
      <c r="V254" s="152"/>
      <c r="W254" s="152"/>
    </row>
    <row r="255" spans="2:23">
      <c r="B255" s="152"/>
      <c r="C255" s="152"/>
      <c r="D255" s="152"/>
      <c r="E255" s="152"/>
      <c r="F255" s="152"/>
      <c r="G255" s="154"/>
      <c r="H255" s="154"/>
      <c r="I255" s="252"/>
      <c r="J255" s="152"/>
      <c r="K255" s="152"/>
      <c r="L255" s="253"/>
      <c r="M255" s="152"/>
      <c r="N255" s="152"/>
      <c r="O255" s="152"/>
      <c r="Q255" s="252"/>
      <c r="R255" s="252"/>
      <c r="S255" s="252"/>
      <c r="T255" s="252"/>
      <c r="U255" s="252"/>
      <c r="V255" s="152"/>
      <c r="W255" s="152"/>
    </row>
    <row r="256" spans="2:23">
      <c r="B256" s="152"/>
      <c r="C256" s="152"/>
      <c r="D256" s="152"/>
      <c r="E256" s="152"/>
      <c r="F256" s="152"/>
      <c r="G256" s="154"/>
      <c r="H256" s="154"/>
      <c r="I256" s="252"/>
      <c r="J256" s="152"/>
      <c r="K256" s="152"/>
      <c r="L256" s="253"/>
      <c r="M256" s="152"/>
      <c r="N256" s="152"/>
      <c r="O256" s="152"/>
      <c r="Q256" s="252"/>
      <c r="R256" s="252"/>
      <c r="S256" s="252"/>
      <c r="T256" s="252"/>
      <c r="U256" s="252"/>
      <c r="V256" s="152"/>
      <c r="W256" s="152"/>
    </row>
    <row r="257" spans="2:23">
      <c r="B257" s="152"/>
      <c r="C257" s="152"/>
      <c r="D257" s="152"/>
      <c r="E257" s="152"/>
      <c r="F257" s="152"/>
      <c r="G257" s="154"/>
      <c r="H257" s="154"/>
      <c r="I257" s="252"/>
      <c r="J257" s="152"/>
      <c r="K257" s="152"/>
      <c r="L257" s="253"/>
      <c r="M257" s="152"/>
      <c r="N257" s="152"/>
      <c r="O257" s="152"/>
      <c r="Q257" s="252"/>
      <c r="R257" s="252"/>
      <c r="S257" s="252"/>
      <c r="T257" s="252"/>
      <c r="U257" s="252"/>
      <c r="V257" s="152"/>
      <c r="W257" s="152"/>
    </row>
    <row r="258" spans="2:23">
      <c r="B258" s="152"/>
      <c r="C258" s="152"/>
      <c r="D258" s="152"/>
      <c r="E258" s="152"/>
      <c r="F258" s="152"/>
      <c r="G258" s="154"/>
      <c r="H258" s="154"/>
      <c r="I258" s="252"/>
      <c r="J258" s="152"/>
      <c r="K258" s="152"/>
      <c r="L258" s="253"/>
      <c r="M258" s="152"/>
      <c r="N258" s="152"/>
      <c r="O258" s="152"/>
      <c r="Q258" s="252"/>
      <c r="R258" s="252"/>
      <c r="S258" s="252"/>
      <c r="T258" s="252"/>
      <c r="U258" s="252"/>
      <c r="V258" s="152"/>
      <c r="W258" s="152"/>
    </row>
    <row r="259" spans="2:23">
      <c r="B259" s="152"/>
      <c r="C259" s="152"/>
      <c r="D259" s="152"/>
      <c r="E259" s="152"/>
      <c r="F259" s="152"/>
      <c r="G259" s="154"/>
      <c r="H259" s="154"/>
      <c r="I259" s="252"/>
      <c r="J259" s="152"/>
      <c r="K259" s="152"/>
      <c r="L259" s="253"/>
      <c r="M259" s="152"/>
      <c r="N259" s="152"/>
      <c r="O259" s="152"/>
      <c r="Q259" s="252"/>
      <c r="R259" s="252"/>
      <c r="S259" s="252"/>
      <c r="T259" s="252"/>
      <c r="U259" s="252"/>
      <c r="V259" s="152"/>
      <c r="W259" s="152"/>
    </row>
    <row r="260" spans="2:23">
      <c r="B260" s="152"/>
      <c r="C260" s="152"/>
      <c r="D260" s="152"/>
      <c r="E260" s="152"/>
      <c r="F260" s="152"/>
      <c r="G260" s="154"/>
      <c r="H260" s="154"/>
      <c r="I260" s="252"/>
      <c r="J260" s="152"/>
      <c r="K260" s="152"/>
      <c r="L260" s="253"/>
      <c r="M260" s="152"/>
      <c r="N260" s="152"/>
      <c r="O260" s="152"/>
      <c r="Q260" s="252"/>
      <c r="R260" s="252"/>
      <c r="S260" s="252"/>
      <c r="T260" s="252"/>
      <c r="U260" s="252"/>
      <c r="V260" s="152"/>
      <c r="W260" s="152"/>
    </row>
    <row r="261" spans="2:23">
      <c r="B261" s="152"/>
      <c r="C261" s="152"/>
      <c r="D261" s="152"/>
      <c r="E261" s="152"/>
      <c r="F261" s="152"/>
      <c r="G261" s="154"/>
      <c r="H261" s="154"/>
      <c r="I261" s="252"/>
      <c r="J261" s="152"/>
      <c r="K261" s="152"/>
      <c r="L261" s="253"/>
      <c r="M261" s="152"/>
      <c r="N261" s="152"/>
      <c r="O261" s="152"/>
      <c r="Q261" s="252"/>
      <c r="R261" s="252"/>
      <c r="S261" s="252"/>
      <c r="T261" s="252"/>
      <c r="U261" s="252"/>
      <c r="V261" s="152"/>
      <c r="W261" s="152"/>
    </row>
    <row r="262" spans="2:23">
      <c r="B262" s="152"/>
      <c r="C262" s="152"/>
      <c r="D262" s="152"/>
      <c r="E262" s="152"/>
      <c r="F262" s="152"/>
      <c r="G262" s="154"/>
      <c r="H262" s="154"/>
      <c r="I262" s="252"/>
      <c r="J262" s="152"/>
      <c r="K262" s="152"/>
      <c r="L262" s="253"/>
      <c r="M262" s="152"/>
      <c r="N262" s="152"/>
      <c r="O262" s="152"/>
      <c r="Q262" s="252"/>
      <c r="R262" s="252"/>
      <c r="S262" s="252"/>
      <c r="T262" s="252"/>
      <c r="U262" s="252"/>
      <c r="V262" s="152"/>
      <c r="W262" s="152"/>
    </row>
    <row r="263" spans="2:23">
      <c r="B263" s="152"/>
      <c r="C263" s="152"/>
      <c r="D263" s="152"/>
      <c r="E263" s="152"/>
      <c r="F263" s="152"/>
      <c r="G263" s="154"/>
      <c r="H263" s="154"/>
      <c r="I263" s="252"/>
      <c r="J263" s="152"/>
      <c r="K263" s="152"/>
      <c r="L263" s="253"/>
      <c r="M263" s="152"/>
      <c r="N263" s="152"/>
      <c r="O263" s="152"/>
      <c r="Q263" s="252"/>
      <c r="R263" s="252"/>
      <c r="S263" s="252"/>
      <c r="T263" s="252"/>
      <c r="U263" s="252"/>
      <c r="V263" s="152"/>
      <c r="W263" s="152"/>
    </row>
    <row r="264" spans="2:23">
      <c r="B264" s="152"/>
      <c r="C264" s="152"/>
      <c r="D264" s="152"/>
      <c r="E264" s="152"/>
      <c r="F264" s="152"/>
      <c r="G264" s="154"/>
      <c r="H264" s="154"/>
      <c r="I264" s="252"/>
      <c r="J264" s="152"/>
      <c r="K264" s="152"/>
      <c r="L264" s="253"/>
      <c r="M264" s="152"/>
      <c r="N264" s="152"/>
      <c r="O264" s="152"/>
      <c r="Q264" s="252"/>
      <c r="R264" s="252"/>
      <c r="S264" s="252"/>
      <c r="T264" s="252"/>
      <c r="U264" s="252"/>
      <c r="V264" s="152"/>
      <c r="W264" s="152"/>
    </row>
    <row r="265" spans="2:23">
      <c r="B265" s="152"/>
      <c r="C265" s="152"/>
      <c r="D265" s="152"/>
      <c r="E265" s="152"/>
      <c r="F265" s="152"/>
      <c r="G265" s="154"/>
      <c r="H265" s="154"/>
      <c r="I265" s="252"/>
      <c r="J265" s="152"/>
      <c r="K265" s="152"/>
      <c r="L265" s="253"/>
      <c r="M265" s="152"/>
      <c r="N265" s="152"/>
      <c r="O265" s="152"/>
      <c r="Q265" s="252"/>
      <c r="R265" s="252"/>
      <c r="S265" s="252"/>
      <c r="T265" s="252"/>
      <c r="U265" s="252"/>
      <c r="V265" s="152"/>
      <c r="W265" s="152"/>
    </row>
    <row r="266" spans="2:23">
      <c r="B266" s="152"/>
      <c r="C266" s="152"/>
      <c r="D266" s="152"/>
      <c r="E266" s="152"/>
      <c r="F266" s="152"/>
      <c r="G266" s="154"/>
      <c r="H266" s="154"/>
      <c r="I266" s="252"/>
      <c r="J266" s="152"/>
      <c r="K266" s="152"/>
      <c r="L266" s="253"/>
      <c r="M266" s="152"/>
      <c r="N266" s="152"/>
      <c r="O266" s="152"/>
      <c r="Q266" s="252"/>
      <c r="R266" s="252"/>
      <c r="S266" s="252"/>
      <c r="T266" s="252"/>
      <c r="U266" s="252"/>
      <c r="V266" s="152"/>
      <c r="W266" s="152"/>
    </row>
    <row r="267" spans="2:23">
      <c r="B267" s="152"/>
      <c r="C267" s="152"/>
      <c r="D267" s="152"/>
      <c r="E267" s="152"/>
      <c r="F267" s="152"/>
      <c r="G267" s="154"/>
      <c r="H267" s="154"/>
      <c r="I267" s="252"/>
      <c r="J267" s="152"/>
      <c r="K267" s="152"/>
      <c r="L267" s="253"/>
      <c r="M267" s="152"/>
      <c r="N267" s="152"/>
      <c r="O267" s="152"/>
      <c r="Q267" s="252"/>
      <c r="R267" s="252"/>
      <c r="S267" s="252"/>
      <c r="T267" s="252"/>
      <c r="U267" s="252"/>
      <c r="V267" s="152"/>
      <c r="W267" s="152"/>
    </row>
    <row r="268" spans="2:23">
      <c r="B268" s="152"/>
      <c r="C268" s="152"/>
      <c r="D268" s="152"/>
      <c r="E268" s="152"/>
      <c r="F268" s="152"/>
      <c r="G268" s="154"/>
      <c r="H268" s="154"/>
      <c r="I268" s="252"/>
      <c r="J268" s="152"/>
      <c r="K268" s="152"/>
      <c r="L268" s="253"/>
      <c r="M268" s="152"/>
      <c r="N268" s="152"/>
      <c r="O268" s="152"/>
      <c r="Q268" s="252"/>
      <c r="R268" s="252"/>
      <c r="S268" s="252"/>
      <c r="T268" s="252"/>
      <c r="U268" s="252"/>
      <c r="V268" s="152"/>
      <c r="W268" s="152"/>
    </row>
    <row r="269" spans="2:23">
      <c r="B269" s="152"/>
      <c r="C269" s="152"/>
      <c r="D269" s="152"/>
      <c r="E269" s="152"/>
      <c r="F269" s="152"/>
      <c r="G269" s="154"/>
      <c r="H269" s="154"/>
      <c r="I269" s="252"/>
      <c r="J269" s="152"/>
      <c r="K269" s="152"/>
      <c r="L269" s="253"/>
      <c r="M269" s="152"/>
      <c r="N269" s="152"/>
      <c r="O269" s="152"/>
      <c r="Q269" s="252"/>
      <c r="R269" s="252"/>
      <c r="S269" s="252"/>
      <c r="T269" s="252"/>
      <c r="U269" s="252"/>
      <c r="V269" s="152"/>
      <c r="W269" s="152"/>
    </row>
    <row r="270" spans="2:23">
      <c r="B270" s="152"/>
      <c r="C270" s="152"/>
      <c r="D270" s="152"/>
      <c r="E270" s="152"/>
      <c r="F270" s="152"/>
      <c r="G270" s="154"/>
      <c r="H270" s="154"/>
      <c r="I270" s="252"/>
      <c r="J270" s="152"/>
      <c r="K270" s="152"/>
      <c r="L270" s="253"/>
      <c r="M270" s="152"/>
      <c r="N270" s="152"/>
      <c r="O270" s="152"/>
      <c r="Q270" s="252"/>
      <c r="R270" s="252"/>
      <c r="S270" s="252"/>
      <c r="T270" s="252"/>
      <c r="U270" s="252"/>
      <c r="V270" s="152"/>
      <c r="W270" s="152"/>
    </row>
    <row r="271" spans="2:23">
      <c r="B271" s="152"/>
      <c r="C271" s="152"/>
      <c r="D271" s="152"/>
      <c r="E271" s="152"/>
      <c r="F271" s="152"/>
      <c r="G271" s="154"/>
      <c r="H271" s="154"/>
      <c r="I271" s="252"/>
      <c r="J271" s="152"/>
      <c r="K271" s="152"/>
      <c r="L271" s="253"/>
      <c r="M271" s="152"/>
      <c r="N271" s="152"/>
      <c r="O271" s="152"/>
      <c r="Q271" s="252"/>
      <c r="R271" s="252"/>
      <c r="S271" s="252"/>
      <c r="T271" s="252"/>
      <c r="U271" s="252"/>
      <c r="V271" s="152"/>
      <c r="W271" s="152"/>
    </row>
    <row r="272" spans="2:23">
      <c r="B272" s="152"/>
      <c r="C272" s="152"/>
      <c r="D272" s="152"/>
      <c r="E272" s="152"/>
      <c r="F272" s="152"/>
      <c r="G272" s="154"/>
      <c r="H272" s="154"/>
      <c r="I272" s="252"/>
      <c r="J272" s="152"/>
      <c r="K272" s="152"/>
      <c r="L272" s="253"/>
      <c r="M272" s="152"/>
      <c r="N272" s="152"/>
      <c r="O272" s="152"/>
      <c r="Q272" s="252"/>
      <c r="R272" s="252"/>
      <c r="S272" s="252"/>
      <c r="T272" s="252"/>
      <c r="U272" s="252"/>
      <c r="V272" s="152"/>
      <c r="W272" s="152"/>
    </row>
    <row r="273" spans="2:23">
      <c r="B273" s="152"/>
      <c r="C273" s="152"/>
      <c r="D273" s="152"/>
      <c r="E273" s="152"/>
      <c r="F273" s="152"/>
      <c r="G273" s="154"/>
      <c r="H273" s="154"/>
      <c r="I273" s="252"/>
      <c r="J273" s="152"/>
      <c r="K273" s="152"/>
      <c r="L273" s="253"/>
      <c r="M273" s="152"/>
      <c r="N273" s="152"/>
      <c r="O273" s="152"/>
      <c r="Q273" s="252"/>
      <c r="R273" s="252"/>
      <c r="S273" s="252"/>
      <c r="T273" s="252"/>
      <c r="U273" s="252"/>
      <c r="V273" s="152"/>
      <c r="W273" s="152"/>
    </row>
    <row r="274" spans="2:23">
      <c r="B274" s="152"/>
      <c r="C274" s="152"/>
      <c r="D274" s="152"/>
      <c r="E274" s="152"/>
      <c r="F274" s="152"/>
      <c r="G274" s="154"/>
      <c r="H274" s="154"/>
      <c r="I274" s="252"/>
      <c r="J274" s="152"/>
      <c r="K274" s="152"/>
      <c r="L274" s="253"/>
      <c r="M274" s="152"/>
      <c r="N274" s="152"/>
      <c r="O274" s="152"/>
      <c r="Q274" s="252"/>
      <c r="R274" s="252"/>
      <c r="S274" s="252"/>
      <c r="T274" s="252"/>
      <c r="U274" s="252"/>
      <c r="V274" s="152"/>
      <c r="W274" s="152"/>
    </row>
    <row r="275" spans="2:23">
      <c r="B275" s="152"/>
      <c r="C275" s="152"/>
      <c r="D275" s="152"/>
      <c r="E275" s="152"/>
      <c r="F275" s="152"/>
      <c r="G275" s="154"/>
      <c r="H275" s="154"/>
      <c r="I275" s="252"/>
      <c r="J275" s="152"/>
      <c r="K275" s="152"/>
      <c r="L275" s="253"/>
      <c r="M275" s="152"/>
      <c r="N275" s="152"/>
      <c r="O275" s="152"/>
      <c r="Q275" s="252"/>
      <c r="R275" s="252"/>
      <c r="S275" s="252"/>
      <c r="T275" s="252"/>
      <c r="U275" s="252"/>
      <c r="V275" s="152"/>
      <c r="W275" s="152"/>
    </row>
    <row r="276" spans="2:23">
      <c r="B276" s="152"/>
      <c r="C276" s="152"/>
      <c r="D276" s="152"/>
      <c r="E276" s="152"/>
      <c r="F276" s="152"/>
      <c r="G276" s="154"/>
      <c r="H276" s="154"/>
      <c r="I276" s="252"/>
      <c r="J276" s="152"/>
      <c r="K276" s="152"/>
      <c r="L276" s="253"/>
      <c r="M276" s="152"/>
      <c r="N276" s="152"/>
      <c r="O276" s="152"/>
      <c r="Q276" s="252"/>
      <c r="R276" s="252"/>
      <c r="S276" s="252"/>
      <c r="T276" s="252"/>
      <c r="U276" s="252"/>
      <c r="V276" s="152"/>
      <c r="W276" s="152"/>
    </row>
    <row r="277" spans="2:23">
      <c r="B277" s="152"/>
      <c r="C277" s="152"/>
      <c r="D277" s="152"/>
      <c r="E277" s="152"/>
      <c r="F277" s="152"/>
      <c r="G277" s="154"/>
      <c r="H277" s="154"/>
      <c r="I277" s="252"/>
      <c r="J277" s="152"/>
      <c r="K277" s="152"/>
      <c r="L277" s="253"/>
      <c r="M277" s="152"/>
      <c r="N277" s="152"/>
      <c r="O277" s="152"/>
      <c r="Q277" s="252"/>
      <c r="R277" s="252"/>
      <c r="S277" s="252"/>
      <c r="T277" s="252"/>
      <c r="U277" s="252"/>
      <c r="V277" s="152"/>
      <c r="W277" s="152"/>
    </row>
    <row r="278" spans="2:23">
      <c r="B278" s="152"/>
      <c r="C278" s="152"/>
      <c r="D278" s="152"/>
      <c r="E278" s="152"/>
      <c r="F278" s="152"/>
      <c r="G278" s="154"/>
      <c r="H278" s="154"/>
      <c r="I278" s="252"/>
      <c r="J278" s="152"/>
      <c r="K278" s="152"/>
      <c r="L278" s="253"/>
      <c r="M278" s="152"/>
      <c r="N278" s="152"/>
      <c r="O278" s="152"/>
      <c r="Q278" s="252"/>
      <c r="R278" s="252"/>
      <c r="S278" s="252"/>
      <c r="T278" s="252"/>
      <c r="U278" s="252"/>
      <c r="V278" s="152"/>
      <c r="W278" s="152"/>
    </row>
    <row r="279" spans="2:23">
      <c r="B279" s="152"/>
      <c r="C279" s="152"/>
      <c r="D279" s="152"/>
      <c r="E279" s="152"/>
      <c r="F279" s="152"/>
      <c r="G279" s="154"/>
      <c r="H279" s="154"/>
      <c r="I279" s="252"/>
      <c r="J279" s="152"/>
      <c r="K279" s="152"/>
      <c r="L279" s="253"/>
      <c r="M279" s="152"/>
      <c r="N279" s="152"/>
      <c r="O279" s="152"/>
      <c r="Q279" s="252"/>
      <c r="R279" s="252"/>
      <c r="S279" s="252"/>
      <c r="T279" s="252"/>
      <c r="U279" s="252"/>
      <c r="V279" s="152"/>
      <c r="W279" s="152"/>
    </row>
    <row r="280" spans="2:23">
      <c r="B280" s="152"/>
      <c r="C280" s="152"/>
      <c r="D280" s="152"/>
      <c r="E280" s="152"/>
      <c r="F280" s="152"/>
      <c r="G280" s="154"/>
      <c r="H280" s="154"/>
      <c r="I280" s="252"/>
      <c r="J280" s="152"/>
      <c r="K280" s="152"/>
      <c r="L280" s="253"/>
      <c r="M280" s="152"/>
      <c r="N280" s="152"/>
      <c r="O280" s="152"/>
      <c r="Q280" s="252"/>
      <c r="R280" s="252"/>
      <c r="S280" s="252"/>
      <c r="T280" s="252"/>
      <c r="U280" s="252"/>
      <c r="V280" s="152"/>
      <c r="W280" s="152"/>
    </row>
    <row r="281" spans="2:23">
      <c r="B281" s="152"/>
      <c r="C281" s="152"/>
      <c r="D281" s="152"/>
      <c r="E281" s="152"/>
      <c r="F281" s="152"/>
      <c r="G281" s="154"/>
      <c r="H281" s="154"/>
      <c r="I281" s="252"/>
      <c r="J281" s="152"/>
      <c r="K281" s="152"/>
      <c r="L281" s="253"/>
      <c r="M281" s="152"/>
      <c r="N281" s="152"/>
      <c r="O281" s="152"/>
      <c r="Q281" s="252"/>
      <c r="R281" s="252"/>
      <c r="S281" s="252"/>
      <c r="T281" s="252"/>
      <c r="U281" s="252"/>
      <c r="V281" s="152"/>
      <c r="W281" s="152"/>
    </row>
    <row r="282" spans="2:23">
      <c r="B282" s="152"/>
      <c r="C282" s="152"/>
      <c r="D282" s="152"/>
      <c r="E282" s="152"/>
      <c r="F282" s="152"/>
      <c r="G282" s="154"/>
      <c r="H282" s="154"/>
      <c r="I282" s="252"/>
      <c r="J282" s="152"/>
      <c r="K282" s="152"/>
      <c r="L282" s="253"/>
      <c r="M282" s="152"/>
      <c r="N282" s="152"/>
      <c r="O282" s="152"/>
      <c r="Q282" s="252"/>
      <c r="R282" s="252"/>
      <c r="S282" s="252"/>
      <c r="T282" s="252"/>
      <c r="U282" s="252"/>
      <c r="V282" s="152"/>
      <c r="W282" s="152"/>
    </row>
    <row r="283" spans="2:23">
      <c r="B283" s="152"/>
      <c r="C283" s="152"/>
      <c r="D283" s="152"/>
      <c r="E283" s="152"/>
      <c r="F283" s="152"/>
      <c r="G283" s="154"/>
      <c r="H283" s="154"/>
      <c r="I283" s="252"/>
      <c r="J283" s="152"/>
      <c r="K283" s="152"/>
      <c r="L283" s="253"/>
      <c r="M283" s="152"/>
      <c r="N283" s="152"/>
      <c r="O283" s="152"/>
      <c r="Q283" s="252"/>
      <c r="R283" s="252"/>
      <c r="S283" s="252"/>
      <c r="T283" s="252"/>
      <c r="U283" s="252"/>
      <c r="V283" s="152"/>
      <c r="W283" s="152"/>
    </row>
    <row r="284" spans="2:23">
      <c r="B284" s="152"/>
      <c r="C284" s="152"/>
      <c r="D284" s="152"/>
      <c r="E284" s="152"/>
      <c r="F284" s="152"/>
      <c r="G284" s="154"/>
      <c r="H284" s="154"/>
      <c r="I284" s="252"/>
      <c r="J284" s="152"/>
      <c r="K284" s="152"/>
      <c r="L284" s="253"/>
      <c r="M284" s="152"/>
      <c r="N284" s="152"/>
      <c r="O284" s="152"/>
      <c r="Q284" s="252"/>
      <c r="R284" s="252"/>
      <c r="S284" s="252"/>
      <c r="T284" s="252"/>
      <c r="U284" s="252"/>
      <c r="V284" s="152"/>
      <c r="W284" s="152"/>
    </row>
    <row r="285" spans="2:23">
      <c r="B285" s="152"/>
      <c r="C285" s="152"/>
      <c r="D285" s="152"/>
      <c r="E285" s="152"/>
      <c r="F285" s="152"/>
      <c r="G285" s="154"/>
      <c r="H285" s="154"/>
      <c r="I285" s="252"/>
      <c r="J285" s="152"/>
      <c r="K285" s="152"/>
      <c r="L285" s="253"/>
      <c r="M285" s="152"/>
      <c r="N285" s="152"/>
      <c r="O285" s="152"/>
      <c r="Q285" s="252"/>
      <c r="R285" s="252"/>
      <c r="S285" s="252"/>
      <c r="T285" s="252"/>
      <c r="U285" s="252"/>
      <c r="V285" s="152"/>
      <c r="W285" s="152"/>
    </row>
    <row r="286" spans="2:23">
      <c r="B286" s="152"/>
      <c r="C286" s="152"/>
      <c r="D286" s="152"/>
      <c r="E286" s="152"/>
      <c r="F286" s="152"/>
      <c r="G286" s="154"/>
      <c r="H286" s="154"/>
      <c r="I286" s="252"/>
      <c r="J286" s="152"/>
      <c r="K286" s="152"/>
      <c r="L286" s="253"/>
      <c r="M286" s="152"/>
      <c r="N286" s="152"/>
      <c r="O286" s="152"/>
      <c r="Q286" s="252"/>
      <c r="R286" s="252"/>
      <c r="S286" s="252"/>
      <c r="T286" s="252"/>
      <c r="U286" s="252"/>
      <c r="V286" s="152"/>
      <c r="W286" s="152"/>
    </row>
    <row r="287" spans="2:23">
      <c r="B287" s="152"/>
      <c r="C287" s="152"/>
      <c r="D287" s="152"/>
      <c r="E287" s="152"/>
      <c r="F287" s="152"/>
      <c r="G287" s="154"/>
      <c r="H287" s="154"/>
      <c r="I287" s="252"/>
      <c r="J287" s="152"/>
      <c r="K287" s="152"/>
      <c r="L287" s="253"/>
      <c r="M287" s="152"/>
      <c r="N287" s="152"/>
      <c r="O287" s="152"/>
      <c r="Q287" s="252"/>
      <c r="R287" s="252"/>
      <c r="S287" s="252"/>
      <c r="T287" s="252"/>
      <c r="U287" s="252"/>
      <c r="V287" s="152"/>
      <c r="W287" s="152"/>
    </row>
    <row r="288" spans="2:23">
      <c r="B288" s="152"/>
      <c r="C288" s="152"/>
      <c r="D288" s="152"/>
      <c r="E288" s="152"/>
      <c r="F288" s="152"/>
      <c r="G288" s="154"/>
      <c r="H288" s="154"/>
      <c r="I288" s="252"/>
      <c r="J288" s="152"/>
      <c r="K288" s="152"/>
      <c r="L288" s="253"/>
      <c r="M288" s="152"/>
      <c r="N288" s="152"/>
      <c r="O288" s="152"/>
      <c r="Q288" s="252"/>
      <c r="R288" s="252"/>
      <c r="S288" s="252"/>
      <c r="T288" s="252"/>
      <c r="U288" s="252"/>
      <c r="V288" s="152"/>
      <c r="W288" s="152"/>
    </row>
    <row r="289" spans="2:23">
      <c r="B289" s="152"/>
      <c r="C289" s="152"/>
      <c r="D289" s="152"/>
      <c r="E289" s="152"/>
      <c r="F289" s="152"/>
      <c r="G289" s="154"/>
      <c r="H289" s="154"/>
      <c r="I289" s="252"/>
      <c r="J289" s="152"/>
      <c r="K289" s="152"/>
      <c r="L289" s="253"/>
      <c r="M289" s="152"/>
      <c r="N289" s="152"/>
      <c r="O289" s="152"/>
      <c r="Q289" s="252"/>
      <c r="R289" s="252"/>
      <c r="S289" s="252"/>
      <c r="T289" s="252"/>
      <c r="U289" s="252"/>
      <c r="V289" s="152"/>
      <c r="W289" s="152"/>
    </row>
    <row r="290" spans="2:23">
      <c r="B290" s="152"/>
      <c r="C290" s="152"/>
      <c r="D290" s="152"/>
      <c r="E290" s="152"/>
      <c r="F290" s="152"/>
      <c r="G290" s="154"/>
      <c r="H290" s="154"/>
      <c r="I290" s="252"/>
      <c r="J290" s="152"/>
      <c r="K290" s="152"/>
      <c r="L290" s="253"/>
      <c r="M290" s="152"/>
      <c r="N290" s="152"/>
      <c r="O290" s="152"/>
      <c r="Q290" s="252"/>
      <c r="R290" s="252"/>
      <c r="S290" s="252"/>
      <c r="T290" s="252"/>
      <c r="U290" s="252"/>
      <c r="V290" s="152"/>
      <c r="W290" s="152"/>
    </row>
    <row r="291" spans="2:23">
      <c r="B291" s="152"/>
      <c r="C291" s="152"/>
      <c r="D291" s="152"/>
      <c r="E291" s="152"/>
      <c r="F291" s="152"/>
      <c r="G291" s="154"/>
      <c r="H291" s="154"/>
      <c r="I291" s="252"/>
      <c r="J291" s="152"/>
      <c r="K291" s="152"/>
      <c r="L291" s="253"/>
      <c r="M291" s="152"/>
      <c r="N291" s="152"/>
      <c r="O291" s="152"/>
      <c r="Q291" s="252"/>
      <c r="R291" s="252"/>
      <c r="S291" s="252"/>
      <c r="T291" s="252"/>
      <c r="U291" s="252"/>
      <c r="V291" s="152"/>
      <c r="W291" s="152"/>
    </row>
    <row r="292" spans="2:23">
      <c r="B292" s="152"/>
      <c r="C292" s="152"/>
      <c r="D292" s="152"/>
      <c r="E292" s="152"/>
      <c r="F292" s="152"/>
      <c r="G292" s="154"/>
      <c r="H292" s="154"/>
      <c r="I292" s="252"/>
      <c r="J292" s="152"/>
      <c r="K292" s="152"/>
      <c r="L292" s="253"/>
      <c r="M292" s="152"/>
      <c r="N292" s="152"/>
      <c r="O292" s="152"/>
      <c r="Q292" s="252"/>
      <c r="R292" s="252"/>
      <c r="S292" s="252"/>
      <c r="T292" s="252"/>
      <c r="U292" s="252"/>
      <c r="V292" s="152"/>
      <c r="W292" s="152"/>
    </row>
    <row r="293" spans="2:23">
      <c r="B293" s="152"/>
      <c r="C293" s="152"/>
      <c r="D293" s="152"/>
      <c r="E293" s="152"/>
      <c r="F293" s="152"/>
      <c r="G293" s="154"/>
      <c r="H293" s="154"/>
      <c r="I293" s="252"/>
      <c r="J293" s="152"/>
      <c r="K293" s="152"/>
      <c r="L293" s="253"/>
      <c r="M293" s="152"/>
      <c r="N293" s="152"/>
      <c r="O293" s="152"/>
      <c r="Q293" s="252"/>
      <c r="R293" s="252"/>
      <c r="S293" s="252"/>
      <c r="T293" s="252"/>
      <c r="U293" s="252"/>
      <c r="V293" s="152"/>
      <c r="W293" s="152"/>
    </row>
    <row r="294" spans="2:23">
      <c r="B294" s="152"/>
      <c r="C294" s="152"/>
      <c r="D294" s="152"/>
      <c r="E294" s="152"/>
      <c r="F294" s="152"/>
      <c r="G294" s="154"/>
      <c r="H294" s="154"/>
      <c r="I294" s="252"/>
      <c r="J294" s="152"/>
      <c r="K294" s="152"/>
      <c r="L294" s="253"/>
      <c r="M294" s="152"/>
      <c r="N294" s="152"/>
      <c r="O294" s="152"/>
      <c r="Q294" s="252"/>
      <c r="R294" s="252"/>
      <c r="S294" s="252"/>
      <c r="T294" s="252"/>
      <c r="U294" s="252"/>
      <c r="V294" s="152"/>
      <c r="W294" s="152"/>
    </row>
    <row r="295" spans="2:23">
      <c r="B295" s="152"/>
      <c r="C295" s="152"/>
      <c r="D295" s="152"/>
      <c r="E295" s="152"/>
      <c r="F295" s="152"/>
      <c r="G295" s="154"/>
      <c r="H295" s="154"/>
      <c r="I295" s="252"/>
      <c r="J295" s="152"/>
      <c r="K295" s="152"/>
      <c r="L295" s="253"/>
      <c r="M295" s="152"/>
      <c r="N295" s="152"/>
      <c r="O295" s="152"/>
      <c r="Q295" s="252"/>
      <c r="R295" s="252"/>
      <c r="S295" s="252"/>
      <c r="T295" s="252"/>
      <c r="U295" s="252"/>
      <c r="V295" s="152"/>
      <c r="W295" s="152"/>
    </row>
    <row r="296" spans="2:23">
      <c r="B296" s="152"/>
      <c r="C296" s="152"/>
      <c r="D296" s="152"/>
      <c r="E296" s="152"/>
      <c r="F296" s="152"/>
      <c r="G296" s="154"/>
      <c r="H296" s="154"/>
      <c r="I296" s="252"/>
      <c r="J296" s="152"/>
      <c r="K296" s="152"/>
      <c r="L296" s="253"/>
      <c r="M296" s="152"/>
      <c r="N296" s="152"/>
      <c r="O296" s="152"/>
      <c r="Q296" s="252"/>
      <c r="R296" s="252"/>
      <c r="S296" s="252"/>
      <c r="T296" s="252"/>
      <c r="U296" s="252"/>
      <c r="V296" s="152"/>
      <c r="W296" s="152"/>
    </row>
    <row r="297" spans="2:23">
      <c r="B297" s="152"/>
      <c r="C297" s="152"/>
      <c r="D297" s="152"/>
      <c r="E297" s="152"/>
      <c r="F297" s="152"/>
      <c r="G297" s="154"/>
      <c r="H297" s="154"/>
      <c r="I297" s="252"/>
      <c r="J297" s="152"/>
      <c r="K297" s="152"/>
      <c r="L297" s="253"/>
      <c r="M297" s="152"/>
      <c r="N297" s="152"/>
      <c r="O297" s="152"/>
      <c r="Q297" s="252"/>
      <c r="R297" s="252"/>
      <c r="S297" s="252"/>
      <c r="T297" s="252"/>
      <c r="U297" s="252"/>
      <c r="V297" s="152"/>
      <c r="W297" s="152"/>
    </row>
    <row r="298" spans="2:23">
      <c r="B298" s="152"/>
      <c r="C298" s="152"/>
      <c r="D298" s="152"/>
      <c r="E298" s="152"/>
      <c r="F298" s="152"/>
      <c r="G298" s="154"/>
      <c r="H298" s="154"/>
      <c r="I298" s="252"/>
      <c r="J298" s="152"/>
      <c r="K298" s="152"/>
      <c r="L298" s="253"/>
      <c r="M298" s="152"/>
      <c r="N298" s="152"/>
      <c r="O298" s="152"/>
      <c r="Q298" s="252"/>
      <c r="R298" s="252"/>
      <c r="S298" s="252"/>
      <c r="T298" s="252"/>
      <c r="U298" s="252"/>
      <c r="V298" s="152"/>
      <c r="W298" s="152"/>
    </row>
    <row r="299" spans="2:23">
      <c r="B299" s="152"/>
      <c r="C299" s="152"/>
      <c r="D299" s="152"/>
      <c r="E299" s="152"/>
      <c r="F299" s="152"/>
      <c r="G299" s="154"/>
      <c r="H299" s="154"/>
      <c r="I299" s="252"/>
      <c r="J299" s="152"/>
      <c r="K299" s="152"/>
      <c r="L299" s="253"/>
      <c r="M299" s="152"/>
      <c r="N299" s="152"/>
      <c r="O299" s="152"/>
      <c r="Q299" s="252"/>
      <c r="R299" s="252"/>
      <c r="S299" s="252"/>
      <c r="T299" s="252"/>
      <c r="U299" s="252"/>
      <c r="V299" s="152"/>
      <c r="W299" s="152"/>
    </row>
    <row r="300" spans="2:23">
      <c r="B300" s="152"/>
      <c r="C300" s="152"/>
      <c r="D300" s="152"/>
      <c r="E300" s="152"/>
      <c r="F300" s="152"/>
      <c r="G300" s="154"/>
      <c r="H300" s="154"/>
      <c r="I300" s="252"/>
      <c r="J300" s="152"/>
      <c r="K300" s="152"/>
      <c r="L300" s="253"/>
      <c r="M300" s="152"/>
      <c r="N300" s="152"/>
      <c r="O300" s="152"/>
      <c r="Q300" s="252"/>
      <c r="R300" s="252"/>
      <c r="S300" s="252"/>
      <c r="T300" s="252"/>
      <c r="U300" s="252"/>
      <c r="V300" s="152"/>
      <c r="W300" s="152"/>
    </row>
    <row r="301" spans="2:23">
      <c r="B301" s="152"/>
      <c r="C301" s="152"/>
      <c r="D301" s="152"/>
      <c r="E301" s="152"/>
      <c r="F301" s="152"/>
      <c r="G301" s="154"/>
      <c r="H301" s="154"/>
      <c r="I301" s="252"/>
      <c r="J301" s="152"/>
      <c r="K301" s="152"/>
      <c r="L301" s="253"/>
      <c r="M301" s="152"/>
      <c r="N301" s="152"/>
      <c r="O301" s="152"/>
      <c r="Q301" s="252"/>
      <c r="R301" s="252"/>
      <c r="S301" s="252"/>
      <c r="T301" s="252"/>
      <c r="U301" s="252"/>
      <c r="V301" s="152"/>
      <c r="W301" s="152"/>
    </row>
    <row r="302" spans="2:23">
      <c r="B302" s="152"/>
      <c r="C302" s="152"/>
      <c r="D302" s="152"/>
      <c r="E302" s="152"/>
      <c r="F302" s="152"/>
      <c r="G302" s="154"/>
      <c r="H302" s="154"/>
      <c r="I302" s="252"/>
      <c r="J302" s="152"/>
      <c r="K302" s="152"/>
      <c r="L302" s="253"/>
      <c r="M302" s="152"/>
      <c r="N302" s="152"/>
      <c r="O302" s="152"/>
      <c r="Q302" s="252"/>
      <c r="R302" s="252"/>
      <c r="S302" s="252"/>
      <c r="T302" s="252"/>
      <c r="U302" s="252"/>
      <c r="V302" s="152"/>
      <c r="W302" s="152"/>
    </row>
  </sheetData>
  <sheetProtection algorithmName="SHA-512" hashValue="fFMncwriJLl6+SVA/slThniJR3Ur0oHiHe+a54vavZmtta9CLye3brsBC7TyPQHeBEs4ugFlk3r+AptruwFM/g==" saltValue="AVYYNcU3Kv36bSEY/OVfFg==" spinCount="100000" sheet="1" formatCells="0" formatColumns="0" formatRows="0" insertColumns="0" insertRows="0" insertHyperlinks="0" deleteColumns="0" deleteRows="0" sort="0" autoFilter="0" pivotTables="0"/>
  <mergeCells count="22">
    <mergeCell ref="L2:M3"/>
    <mergeCell ref="S6:U6"/>
    <mergeCell ref="B10:C24"/>
    <mergeCell ref="B69:C71"/>
    <mergeCell ref="B73:C77"/>
    <mergeCell ref="B81:B82"/>
    <mergeCell ref="C81:C82"/>
    <mergeCell ref="B28:C29"/>
    <mergeCell ref="B31:C41"/>
    <mergeCell ref="B45:C49"/>
    <mergeCell ref="B51:C65"/>
    <mergeCell ref="B115:C117"/>
    <mergeCell ref="B119:C122"/>
    <mergeCell ref="B126:C128"/>
    <mergeCell ref="B84:C85"/>
    <mergeCell ref="B89:C91"/>
    <mergeCell ref="B95:C111"/>
    <mergeCell ref="B132:C135"/>
    <mergeCell ref="B139:C151"/>
    <mergeCell ref="B155:C155"/>
    <mergeCell ref="B157:C160"/>
    <mergeCell ref="B162:C164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1 N1:N6 M132:N135 M303:N65316 M155:N155 M157:N160 M162:N164 M73:N79 M69:N71 M62:N67 M84:N87 M81:N82 M89:N93 M95:N113 M115:N117 M119:N124 M126:N130 M139:N151" xr:uid="{F640FD17-D870-4268-9886-A24A56889DF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8D0ED156-76B7-4490-8ACF-FB0289ED01F5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M31:N43 M28:N29 M10:N26 M51:N61 M45:N49" xr:uid="{A0FA67C5-3248-4F55-99A8-86E7691287AC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M6 M7:N8" xr:uid="{90AEAEC4-FD06-4E20-9A46-A96E776EC656}">
      <formula1>1</formula1>
    </dataValidation>
  </dataValidations>
  <printOptions horizontalCentered="1"/>
  <pageMargins left="0.7" right="0.7" top="0.75" bottom="0.75" header="0.3" footer="0.3"/>
  <pageSetup scale="61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65" max="10" man="1"/>
    <brk id="111" max="10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C2782-0F7B-4516-98C2-D5215D5D59B8}">
  <sheetPr>
    <tabColor theme="0"/>
    <pageSetUpPr fitToPage="1"/>
  </sheetPr>
  <dimension ref="A1:V92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5" customWidth="1"/>
    <col min="2" max="3" width="8.7109375" style="2" customWidth="1"/>
    <col min="4" max="5" width="12.7109375" style="4" customWidth="1"/>
    <col min="6" max="6" width="50.7109375" style="8" customWidth="1"/>
    <col min="7" max="8" width="10.7109375" style="4" customWidth="1"/>
    <col min="9" max="10" width="10.7109375" style="7" customWidth="1"/>
    <col min="11" max="11" width="10.7109375" style="4" customWidth="1"/>
    <col min="12" max="12" width="1.42578125" style="4" customWidth="1"/>
    <col min="13" max="13" width="10.7109375" style="4" customWidth="1"/>
    <col min="14" max="14" width="2.28515625" style="2" customWidth="1"/>
    <col min="15" max="16" width="12.7109375" style="4" customWidth="1"/>
    <col min="17" max="17" width="11.28515625" style="2" bestFit="1" customWidth="1"/>
    <col min="18" max="18" width="9.140625" style="2" customWidth="1"/>
    <col min="19" max="19" width="13.140625" style="2" bestFit="1" customWidth="1"/>
    <col min="20" max="16384" width="9.140625" style="2"/>
  </cols>
  <sheetData>
    <row r="1" spans="1:22" ht="18.75">
      <c r="F1" s="257" t="s">
        <v>37</v>
      </c>
      <c r="G1" s="170"/>
      <c r="H1" s="170"/>
      <c r="O1" s="170"/>
      <c r="P1" s="170"/>
    </row>
    <row r="2" spans="1:22" ht="15.75">
      <c r="D2" s="19"/>
      <c r="E2" s="29"/>
      <c r="J2" s="585" t="s">
        <v>59</v>
      </c>
      <c r="K2" s="585"/>
    </row>
    <row r="3" spans="1:22" ht="15">
      <c r="F3" s="436" t="s">
        <v>3760</v>
      </c>
      <c r="J3" s="585"/>
      <c r="K3" s="585"/>
    </row>
    <row r="4" spans="1:22" ht="15">
      <c r="E4" s="14" t="s">
        <v>3761</v>
      </c>
      <c r="F4" s="440" t="s">
        <v>3761</v>
      </c>
      <c r="J4" s="10"/>
      <c r="K4" s="2"/>
    </row>
    <row r="5" spans="1:22" ht="15">
      <c r="F5" s="438" t="s">
        <v>329</v>
      </c>
      <c r="J5" s="10"/>
      <c r="K5" s="2"/>
    </row>
    <row r="6" spans="1:22" ht="15">
      <c r="F6" s="198"/>
      <c r="J6" s="10"/>
      <c r="K6" s="2"/>
      <c r="Q6" s="629" t="s">
        <v>64</v>
      </c>
      <c r="R6" s="629"/>
      <c r="S6" s="629"/>
      <c r="T6" s="25"/>
      <c r="U6" s="25"/>
      <c r="V6" s="25"/>
    </row>
    <row r="7" spans="1:22" s="17" customFormat="1" ht="36" customHeight="1">
      <c r="A7" s="10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41" t="s">
        <v>70</v>
      </c>
      <c r="R7" s="241" t="s">
        <v>71</v>
      </c>
      <c r="S7" s="241" t="s">
        <v>72</v>
      </c>
      <c r="T7" s="263" t="s">
        <v>73</v>
      </c>
      <c r="U7" s="263" t="s">
        <v>330</v>
      </c>
      <c r="V7" s="263" t="s">
        <v>331</v>
      </c>
    </row>
    <row r="8" spans="1:22" s="17" customFormat="1" ht="35.25" customHeight="1">
      <c r="A8" s="104" t="str">
        <f>IF(K8&gt;0,COUNT($A$7:A7)+COUNT('DWV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" s="200"/>
      <c r="C8" s="201"/>
      <c r="D8" s="106" t="s">
        <v>3762</v>
      </c>
      <c r="E8" s="106">
        <v>100021762</v>
      </c>
      <c r="F8" s="159" t="s">
        <v>3763</v>
      </c>
      <c r="G8" s="106">
        <v>10</v>
      </c>
      <c r="H8" s="106">
        <v>360</v>
      </c>
      <c r="I8" s="155">
        <f>_xlfn.XLOOKUP(E8,'All Products'!D:D,'All Products'!H:H)</f>
        <v>50.2</v>
      </c>
      <c r="J8" s="205">
        <f>ROUND(I8*Order_Quote!$L$20,2)</f>
        <v>251</v>
      </c>
      <c r="K8" s="184"/>
      <c r="L8" s="116"/>
      <c r="M8" s="199">
        <f t="shared" ref="M8:M39" si="0">K8/G8</f>
        <v>0</v>
      </c>
      <c r="O8" s="265" t="s">
        <v>1351</v>
      </c>
      <c r="P8" s="265" t="s">
        <v>102</v>
      </c>
      <c r="Q8" s="265" t="s">
        <v>3764</v>
      </c>
      <c r="R8" s="265">
        <v>0</v>
      </c>
      <c r="S8" s="265" t="s">
        <v>3765</v>
      </c>
      <c r="T8" s="347">
        <v>0.86999999999999988</v>
      </c>
      <c r="U8" s="347">
        <v>8.6999999999999993</v>
      </c>
      <c r="V8" s="348">
        <v>0.59</v>
      </c>
    </row>
    <row r="9" spans="1:22" s="17" customFormat="1" ht="35.25" customHeight="1">
      <c r="A9" s="104" t="str">
        <f>IF(K9&gt;0,COUNT($A$7:A8)+COUNT('DWV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9" s="113"/>
      <c r="C9" s="114"/>
      <c r="D9" s="106" t="s">
        <v>3766</v>
      </c>
      <c r="E9" s="106">
        <v>100021772</v>
      </c>
      <c r="F9" s="159" t="s">
        <v>3767</v>
      </c>
      <c r="G9" s="106">
        <v>10</v>
      </c>
      <c r="H9" s="106">
        <v>360</v>
      </c>
      <c r="I9" s="155">
        <f>_xlfn.XLOOKUP(E9,'All Products'!D:D,'All Products'!H:H)</f>
        <v>50.2</v>
      </c>
      <c r="J9" s="205">
        <f>ROUND(I9*Order_Quote!$L$20,2)</f>
        <v>251</v>
      </c>
      <c r="K9" s="184"/>
      <c r="L9" s="116"/>
      <c r="M9" s="199">
        <f t="shared" si="0"/>
        <v>0</v>
      </c>
      <c r="O9" s="265" t="s">
        <v>76</v>
      </c>
      <c r="P9" s="265" t="s">
        <v>102</v>
      </c>
      <c r="Q9" s="265" t="s">
        <v>3768</v>
      </c>
      <c r="R9" s="265">
        <v>0</v>
      </c>
      <c r="S9" s="265" t="s">
        <v>3769</v>
      </c>
      <c r="T9" s="347">
        <v>0.91999999999999993</v>
      </c>
      <c r="U9" s="347">
        <v>9.1999999999999993</v>
      </c>
      <c r="V9" s="348">
        <v>0.59</v>
      </c>
    </row>
    <row r="10" spans="1:22" s="17" customFormat="1" ht="38.25" customHeight="1">
      <c r="A10" s="104" t="str">
        <f>IF(K10&gt;0,COUNT($A$7:A9)+COUNT('DWV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0" s="110"/>
      <c r="C10" s="111"/>
      <c r="D10" s="106" t="s">
        <v>3770</v>
      </c>
      <c r="E10" s="106">
        <v>100026140</v>
      </c>
      <c r="F10" s="159" t="s">
        <v>3771</v>
      </c>
      <c r="G10" s="106">
        <v>10</v>
      </c>
      <c r="H10" s="106">
        <v>240</v>
      </c>
      <c r="I10" s="155">
        <f>_xlfn.XLOOKUP(E10,'All Products'!D:D,'All Products'!H:H)</f>
        <v>47.6</v>
      </c>
      <c r="J10" s="205">
        <f>ROUND(I10*Order_Quote!$L$20,2)</f>
        <v>238</v>
      </c>
      <c r="K10" s="184"/>
      <c r="L10" s="116"/>
      <c r="M10" s="199">
        <f t="shared" si="0"/>
        <v>0</v>
      </c>
      <c r="O10" s="265" t="s">
        <v>1351</v>
      </c>
      <c r="P10" s="265" t="s">
        <v>102</v>
      </c>
      <c r="Q10" s="265" t="s">
        <v>3772</v>
      </c>
      <c r="R10" s="265">
        <v>0</v>
      </c>
      <c r="S10" s="265" t="s">
        <v>3773</v>
      </c>
      <c r="T10" s="347">
        <v>2.35</v>
      </c>
      <c r="U10" s="347">
        <v>23.5</v>
      </c>
      <c r="V10" s="348">
        <v>2.21</v>
      </c>
    </row>
    <row r="11" spans="1:22" s="17" customFormat="1" ht="38.25" customHeight="1">
      <c r="A11" s="104" t="str">
        <f>IF(K11&gt;0,COUNT($A$7:A10)+COUNT('DWV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1" s="113"/>
      <c r="C11" s="114"/>
      <c r="D11" s="106" t="s">
        <v>3774</v>
      </c>
      <c r="E11" s="106">
        <v>100021824</v>
      </c>
      <c r="F11" s="159" t="s">
        <v>3775</v>
      </c>
      <c r="G11" s="106">
        <v>10</v>
      </c>
      <c r="H11" s="106">
        <v>180</v>
      </c>
      <c r="I11" s="155">
        <f>_xlfn.XLOOKUP(E11,'All Products'!D:D,'All Products'!H:H)</f>
        <v>92.52</v>
      </c>
      <c r="J11" s="205">
        <f>ROUND(I11*Order_Quote!$L$20,2)</f>
        <v>462.6</v>
      </c>
      <c r="K11" s="78"/>
      <c r="L11" s="116"/>
      <c r="M11" s="199">
        <f t="shared" si="0"/>
        <v>0</v>
      </c>
      <c r="O11" s="265" t="s">
        <v>1351</v>
      </c>
      <c r="P11" s="265" t="s">
        <v>102</v>
      </c>
      <c r="Q11" s="265" t="s">
        <v>3776</v>
      </c>
      <c r="R11" s="265">
        <v>0</v>
      </c>
      <c r="S11" s="265" t="s">
        <v>3777</v>
      </c>
      <c r="T11" s="347">
        <v>3.7399999999999998</v>
      </c>
      <c r="U11" s="347">
        <v>37.4</v>
      </c>
      <c r="V11" s="348">
        <v>3.93</v>
      </c>
    </row>
    <row r="12" spans="1:22" s="17" customFormat="1" ht="47.25" customHeight="1">
      <c r="A12" s="104" t="str">
        <f>IF(K12&gt;0,COUNT($A$7:A11)+COUNT('DWV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2" s="110"/>
      <c r="C12" s="111"/>
      <c r="D12" s="106" t="s">
        <v>3778</v>
      </c>
      <c r="E12" s="106">
        <v>100021803</v>
      </c>
      <c r="F12" s="159" t="s">
        <v>3779</v>
      </c>
      <c r="G12" s="106">
        <v>4</v>
      </c>
      <c r="H12" s="106">
        <v>96</v>
      </c>
      <c r="I12" s="155">
        <f>_xlfn.XLOOKUP(E12,'All Products'!D:D,'All Products'!H:H)</f>
        <v>76.5</v>
      </c>
      <c r="J12" s="205">
        <f>ROUND(I12*Order_Quote!$L$20,2)</f>
        <v>382.5</v>
      </c>
      <c r="K12" s="184"/>
      <c r="L12" s="116"/>
      <c r="M12" s="199">
        <f t="shared" si="0"/>
        <v>0</v>
      </c>
      <c r="O12" s="265" t="s">
        <v>76</v>
      </c>
      <c r="P12" s="265" t="s">
        <v>102</v>
      </c>
      <c r="Q12" s="265" t="s">
        <v>3780</v>
      </c>
      <c r="R12" s="265">
        <v>0</v>
      </c>
      <c r="S12" s="265" t="s">
        <v>3781</v>
      </c>
      <c r="T12" s="347">
        <v>2.4700000000000002</v>
      </c>
      <c r="U12" s="347">
        <v>9.8800000000000008</v>
      </c>
      <c r="V12" s="348">
        <v>2.21356201171875</v>
      </c>
    </row>
    <row r="13" spans="1:22" s="17" customFormat="1" ht="47.25" customHeight="1">
      <c r="A13" s="104" t="str">
        <f>IF(K13&gt;0,COUNT($A$7:A12)+COUNT('DWV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3" s="113"/>
      <c r="C13" s="114"/>
      <c r="D13" s="106" t="s">
        <v>3782</v>
      </c>
      <c r="E13" s="106">
        <v>100021826</v>
      </c>
      <c r="F13" s="159" t="s">
        <v>3783</v>
      </c>
      <c r="G13" s="106">
        <v>4</v>
      </c>
      <c r="H13" s="106">
        <v>84</v>
      </c>
      <c r="I13" s="155">
        <f>_xlfn.XLOOKUP(E13,'All Products'!D:D,'All Products'!H:H)</f>
        <v>137.69999999999999</v>
      </c>
      <c r="J13" s="205">
        <f>ROUND(I13*Order_Quote!$L$20,2)</f>
        <v>688.5</v>
      </c>
      <c r="K13" s="78"/>
      <c r="L13" s="116"/>
      <c r="M13" s="199">
        <f t="shared" si="0"/>
        <v>0</v>
      </c>
      <c r="O13" s="265" t="s">
        <v>76</v>
      </c>
      <c r="P13" s="265" t="s">
        <v>102</v>
      </c>
      <c r="Q13" s="265" t="s">
        <v>3784</v>
      </c>
      <c r="R13" s="265">
        <v>0</v>
      </c>
      <c r="S13" s="265" t="s">
        <v>3785</v>
      </c>
      <c r="T13" s="347">
        <v>4.2300000000000004</v>
      </c>
      <c r="U13" s="347">
        <v>16.920000000000002</v>
      </c>
      <c r="V13" s="348">
        <v>3.934959129050926</v>
      </c>
    </row>
    <row r="14" spans="1:22" s="17" customFormat="1" ht="45" customHeight="1">
      <c r="A14" s="104" t="str">
        <f>IF(K14&gt;0,COUNT($A$7:A13)+COUNT('DWV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4" s="110"/>
      <c r="C14" s="111"/>
      <c r="D14" s="106" t="s">
        <v>3786</v>
      </c>
      <c r="E14" s="106">
        <v>100021807</v>
      </c>
      <c r="F14" s="159" t="s">
        <v>3787</v>
      </c>
      <c r="G14" s="106">
        <v>10</v>
      </c>
      <c r="H14" s="106">
        <v>600</v>
      </c>
      <c r="I14" s="155">
        <f>_xlfn.XLOOKUP(E14,'All Products'!D:D,'All Products'!H:H)</f>
        <v>47.6</v>
      </c>
      <c r="J14" s="205">
        <f>ROUND(I14*Order_Quote!$L$20,2)</f>
        <v>238</v>
      </c>
      <c r="K14" s="184"/>
      <c r="L14" s="116"/>
      <c r="M14" s="199">
        <f t="shared" si="0"/>
        <v>0</v>
      </c>
      <c r="O14" s="265" t="s">
        <v>1351</v>
      </c>
      <c r="P14" s="265" t="s">
        <v>102</v>
      </c>
      <c r="Q14" s="265" t="s">
        <v>3788</v>
      </c>
      <c r="R14" s="265">
        <v>0</v>
      </c>
      <c r="S14" s="265" t="s">
        <v>3789</v>
      </c>
      <c r="T14" s="347">
        <v>1.4005000000000001</v>
      </c>
      <c r="U14" s="347">
        <v>14.005000000000001</v>
      </c>
      <c r="V14" s="348">
        <v>1.9251392505787037</v>
      </c>
    </row>
    <row r="15" spans="1:22" s="17" customFormat="1" ht="45" customHeight="1">
      <c r="A15" s="104" t="str">
        <f>IF(K15&gt;0,COUNT($A$7:A14)+COUNT('DWV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5" s="113"/>
      <c r="C15" s="114"/>
      <c r="D15" s="106" t="s">
        <v>3790</v>
      </c>
      <c r="E15" s="106">
        <v>100021831</v>
      </c>
      <c r="F15" s="159" t="s">
        <v>3791</v>
      </c>
      <c r="G15" s="106">
        <v>10</v>
      </c>
      <c r="H15" s="106">
        <v>480</v>
      </c>
      <c r="I15" s="155">
        <f>_xlfn.XLOOKUP(E15,'All Products'!D:D,'All Products'!H:H)</f>
        <v>92.52</v>
      </c>
      <c r="J15" s="205">
        <f>ROUND(I15*Order_Quote!$L$20,2)</f>
        <v>462.6</v>
      </c>
      <c r="K15" s="78"/>
      <c r="L15" s="116"/>
      <c r="M15" s="199">
        <f t="shared" si="0"/>
        <v>0</v>
      </c>
      <c r="O15" s="265" t="s">
        <v>76</v>
      </c>
      <c r="P15" s="265" t="s">
        <v>102</v>
      </c>
      <c r="Q15" s="265" t="s">
        <v>3792</v>
      </c>
      <c r="R15" s="265">
        <v>0</v>
      </c>
      <c r="S15" s="265" t="s">
        <v>3793</v>
      </c>
      <c r="T15" s="347">
        <v>2.5</v>
      </c>
      <c r="U15" s="347">
        <v>25</v>
      </c>
      <c r="V15" s="348">
        <v>3.2452935112847223</v>
      </c>
    </row>
    <row r="16" spans="1:22" s="17" customFormat="1" ht="43.5" customHeight="1">
      <c r="A16" s="104" t="str">
        <f>IF(K16&gt;0,COUNT($A$7:A15)+COUNT('DWV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6" s="110"/>
      <c r="C16" s="111"/>
      <c r="D16" s="106" t="s">
        <v>3794</v>
      </c>
      <c r="E16" s="106">
        <v>100021806</v>
      </c>
      <c r="F16" s="159" t="s">
        <v>3795</v>
      </c>
      <c r="G16" s="106">
        <v>1</v>
      </c>
      <c r="H16" s="106">
        <v>60</v>
      </c>
      <c r="I16" s="155">
        <f>_xlfn.XLOOKUP(E16,'All Products'!D:D,'All Products'!H:H)</f>
        <v>200.83</v>
      </c>
      <c r="J16" s="205">
        <f>ROUND(I16*Order_Quote!$L$20,2)</f>
        <v>1004.15</v>
      </c>
      <c r="K16" s="184"/>
      <c r="L16" s="116"/>
      <c r="M16" s="199">
        <f t="shared" si="0"/>
        <v>0</v>
      </c>
      <c r="O16" s="265" t="s">
        <v>76</v>
      </c>
      <c r="P16" s="265" t="s">
        <v>102</v>
      </c>
      <c r="Q16" s="265" t="s">
        <v>3796</v>
      </c>
      <c r="R16" s="265">
        <v>0</v>
      </c>
      <c r="S16" s="265" t="s">
        <v>3797</v>
      </c>
      <c r="T16" s="347">
        <v>5.85</v>
      </c>
      <c r="U16" s="347">
        <v>5.85</v>
      </c>
      <c r="V16" s="348">
        <v>0.61370510525173616</v>
      </c>
    </row>
    <row r="17" spans="1:22" s="17" customFormat="1" ht="43.5" customHeight="1">
      <c r="A17" s="104" t="str">
        <f>IF(K17&gt;0,COUNT($A$7:A16)+COUNT('DWV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7" s="113"/>
      <c r="C17" s="114"/>
      <c r="D17" s="106" t="s">
        <v>3798</v>
      </c>
      <c r="E17" s="106">
        <v>100021830</v>
      </c>
      <c r="F17" s="159" t="s">
        <v>3799</v>
      </c>
      <c r="G17" s="106">
        <v>1</v>
      </c>
      <c r="H17" s="106">
        <v>36</v>
      </c>
      <c r="I17" s="155">
        <f>_xlfn.XLOOKUP(E17,'All Products'!D:D,'All Products'!H:H)</f>
        <v>285.47000000000003</v>
      </c>
      <c r="J17" s="205">
        <f>ROUND(I17*Order_Quote!$L$20,2)</f>
        <v>1427.35</v>
      </c>
      <c r="K17" s="78"/>
      <c r="L17" s="116"/>
      <c r="M17" s="199">
        <f t="shared" si="0"/>
        <v>0</v>
      </c>
      <c r="O17" s="265" t="s">
        <v>76</v>
      </c>
      <c r="P17" s="265" t="s">
        <v>102</v>
      </c>
      <c r="Q17" s="265" t="s">
        <v>3800</v>
      </c>
      <c r="R17" s="265">
        <v>0</v>
      </c>
      <c r="S17" s="265" t="s">
        <v>3801</v>
      </c>
      <c r="T17" s="347">
        <v>8.8800000000000008</v>
      </c>
      <c r="U17" s="347">
        <v>8.8800000000000008</v>
      </c>
      <c r="V17" s="348">
        <v>1.3052978515625</v>
      </c>
    </row>
    <row r="18" spans="1:22" s="17" customFormat="1" ht="43.5" customHeight="1">
      <c r="A18" s="104" t="str">
        <f>IF(K18&gt;0,COUNT($A$7:A17)+COUNT('DWV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8" s="110"/>
      <c r="C18" s="111"/>
      <c r="D18" s="106" t="s">
        <v>3802</v>
      </c>
      <c r="E18" s="106">
        <v>100021817</v>
      </c>
      <c r="F18" s="159" t="s">
        <v>3803</v>
      </c>
      <c r="G18" s="106">
        <v>1</v>
      </c>
      <c r="H18" s="106">
        <v>60</v>
      </c>
      <c r="I18" s="155">
        <f>_xlfn.XLOOKUP(E18,'All Products'!D:D,'All Products'!H:H)</f>
        <v>200.83</v>
      </c>
      <c r="J18" s="205">
        <f>ROUND(I18*Order_Quote!$L$20,2)</f>
        <v>1004.15</v>
      </c>
      <c r="K18" s="184"/>
      <c r="L18" s="116"/>
      <c r="M18" s="199">
        <f t="shared" si="0"/>
        <v>0</v>
      </c>
      <c r="O18" s="265" t="s">
        <v>76</v>
      </c>
      <c r="P18" s="265" t="s">
        <v>102</v>
      </c>
      <c r="Q18" s="265" t="s">
        <v>3804</v>
      </c>
      <c r="R18" s="265">
        <v>0</v>
      </c>
      <c r="S18" s="265" t="s">
        <v>3805</v>
      </c>
      <c r="T18" s="347">
        <v>5.85</v>
      </c>
      <c r="U18" s="347">
        <v>5.85</v>
      </c>
      <c r="V18" s="348">
        <v>0.61</v>
      </c>
    </row>
    <row r="19" spans="1:22" s="17" customFormat="1" ht="43.5" customHeight="1">
      <c r="A19" s="104" t="str">
        <f>IF(K19&gt;0,COUNT($A$7:A18)+COUNT('DWV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19" s="113"/>
      <c r="C19" s="114"/>
      <c r="D19" s="106" t="s">
        <v>3806</v>
      </c>
      <c r="E19" s="106">
        <v>100021841</v>
      </c>
      <c r="F19" s="159" t="s">
        <v>3807</v>
      </c>
      <c r="G19" s="106">
        <v>1</v>
      </c>
      <c r="H19" s="106">
        <v>36</v>
      </c>
      <c r="I19" s="155">
        <f>_xlfn.XLOOKUP(E19,'All Products'!D:D,'All Products'!H:H)</f>
        <v>285.47000000000003</v>
      </c>
      <c r="J19" s="205">
        <f>ROUND(I19*Order_Quote!$L$20,2)</f>
        <v>1427.35</v>
      </c>
      <c r="K19" s="78"/>
      <c r="L19" s="116"/>
      <c r="M19" s="199">
        <f t="shared" si="0"/>
        <v>0</v>
      </c>
      <c r="O19" s="265" t="s">
        <v>76</v>
      </c>
      <c r="P19" s="265" t="s">
        <v>102</v>
      </c>
      <c r="Q19" s="265" t="s">
        <v>3808</v>
      </c>
      <c r="R19" s="265">
        <v>0</v>
      </c>
      <c r="S19" s="265" t="s">
        <v>3809</v>
      </c>
      <c r="T19" s="347">
        <v>8.8800000000000008</v>
      </c>
      <c r="U19" s="347">
        <v>8.8800000000000008</v>
      </c>
      <c r="V19" s="348">
        <v>1.31</v>
      </c>
    </row>
    <row r="20" spans="1:22" s="17" customFormat="1" ht="96" customHeight="1">
      <c r="A20" s="104" t="str">
        <f>IF(K20&gt;0,COUNT($A$7:A19)+COUNT('DWV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0" s="110"/>
      <c r="C20" s="111"/>
      <c r="D20" s="106" t="s">
        <v>3810</v>
      </c>
      <c r="E20" s="106">
        <v>100021783</v>
      </c>
      <c r="F20" s="159" t="s">
        <v>3811</v>
      </c>
      <c r="G20" s="106">
        <v>10</v>
      </c>
      <c r="H20" s="106">
        <v>250</v>
      </c>
      <c r="I20" s="155">
        <f>_xlfn.XLOOKUP(E20,'All Products'!D:D,'All Products'!H:H)</f>
        <v>61.16</v>
      </c>
      <c r="J20" s="205">
        <f>ROUND(I20*Order_Quote!$L$20,2)</f>
        <v>305.8</v>
      </c>
      <c r="K20" s="184"/>
      <c r="L20" s="116"/>
      <c r="M20" s="199">
        <f t="shared" si="0"/>
        <v>0</v>
      </c>
      <c r="O20" s="265" t="s">
        <v>76</v>
      </c>
      <c r="P20" s="265" t="s">
        <v>102</v>
      </c>
      <c r="Q20" s="265" t="s">
        <v>3812</v>
      </c>
      <c r="R20" s="265">
        <v>0</v>
      </c>
      <c r="S20" s="265" t="s">
        <v>3813</v>
      </c>
      <c r="T20" s="347">
        <v>1.33</v>
      </c>
      <c r="U20" s="347">
        <v>13.3</v>
      </c>
      <c r="V20" s="348">
        <v>3.4531988324652785</v>
      </c>
    </row>
    <row r="21" spans="1:22" s="17" customFormat="1" ht="92.25" customHeight="1">
      <c r="A21" s="104" t="str">
        <f>IF(K21&gt;0,COUNT($A$7:A20)+COUNT('DWV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1" s="110"/>
      <c r="C21" s="111"/>
      <c r="D21" s="106" t="s">
        <v>3814</v>
      </c>
      <c r="E21" s="106">
        <v>100021785</v>
      </c>
      <c r="F21" s="159" t="s">
        <v>3815</v>
      </c>
      <c r="G21" s="106">
        <v>10</v>
      </c>
      <c r="H21" s="106">
        <v>250</v>
      </c>
      <c r="I21" s="155">
        <f>_xlfn.XLOOKUP(E21,'All Products'!D:D,'All Products'!H:H)</f>
        <v>61.16</v>
      </c>
      <c r="J21" s="205">
        <f>ROUND(I21*Order_Quote!$L$20,2)</f>
        <v>305.8</v>
      </c>
      <c r="K21" s="184"/>
      <c r="L21" s="116"/>
      <c r="M21" s="199">
        <f t="shared" si="0"/>
        <v>0</v>
      </c>
      <c r="O21" s="265" t="s">
        <v>76</v>
      </c>
      <c r="P21" s="265" t="s">
        <v>102</v>
      </c>
      <c r="Q21" s="265" t="s">
        <v>3816</v>
      </c>
      <c r="R21" s="265">
        <v>0</v>
      </c>
      <c r="S21" s="265" t="s">
        <v>3817</v>
      </c>
      <c r="T21" s="347">
        <v>1.53</v>
      </c>
      <c r="U21" s="347">
        <v>15.3</v>
      </c>
      <c r="V21" s="348">
        <v>3.4531988324652785</v>
      </c>
    </row>
    <row r="22" spans="1:22" s="17" customFormat="1" ht="35.25" customHeight="1">
      <c r="A22" s="104" t="str">
        <f>IF(K22&gt;0,COUNT($A$7:A21)+COUNT('DWV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2" s="110"/>
      <c r="C22" s="111"/>
      <c r="D22" s="106" t="s">
        <v>3818</v>
      </c>
      <c r="E22" s="106">
        <v>100021804</v>
      </c>
      <c r="F22" s="159" t="s">
        <v>3819</v>
      </c>
      <c r="G22" s="106">
        <v>20</v>
      </c>
      <c r="H22" s="106">
        <v>480</v>
      </c>
      <c r="I22" s="155">
        <f>_xlfn.XLOOKUP(E22,'All Products'!D:D,'All Products'!H:H)</f>
        <v>45.53</v>
      </c>
      <c r="J22" s="205">
        <f>ROUND(I22*Order_Quote!$L$20,2)</f>
        <v>227.65</v>
      </c>
      <c r="K22" s="184"/>
      <c r="L22" s="116"/>
      <c r="M22" s="199">
        <f t="shared" si="0"/>
        <v>0</v>
      </c>
      <c r="O22" s="265" t="s">
        <v>1351</v>
      </c>
      <c r="P22" s="265" t="s">
        <v>102</v>
      </c>
      <c r="Q22" s="265" t="s">
        <v>3820</v>
      </c>
      <c r="R22" s="265">
        <v>0</v>
      </c>
      <c r="S22" s="265" t="s">
        <v>3821</v>
      </c>
      <c r="T22" s="347">
        <v>1.0550000000000002</v>
      </c>
      <c r="U22" s="347">
        <v>21.1</v>
      </c>
      <c r="V22" s="348">
        <v>1.8014810203269673</v>
      </c>
    </row>
    <row r="23" spans="1:22" s="17" customFormat="1" ht="35.25" customHeight="1">
      <c r="A23" s="104" t="str">
        <f>IF(K23&gt;0,COUNT($A$7:A22)+COUNT('DWV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3" s="113"/>
      <c r="C23" s="114"/>
      <c r="D23" s="106" t="s">
        <v>3822</v>
      </c>
      <c r="E23" s="106">
        <v>100021828</v>
      </c>
      <c r="F23" s="159" t="s">
        <v>3823</v>
      </c>
      <c r="G23" s="106">
        <v>20</v>
      </c>
      <c r="H23" s="106">
        <v>240</v>
      </c>
      <c r="I23" s="155">
        <f>_xlfn.XLOOKUP(E23,'All Products'!D:D,'All Products'!H:H)</f>
        <v>60.88</v>
      </c>
      <c r="J23" s="205">
        <f>ROUND(I23*Order_Quote!$L$20,2)</f>
        <v>304.39999999999998</v>
      </c>
      <c r="K23" s="78"/>
      <c r="L23" s="116"/>
      <c r="M23" s="199">
        <f t="shared" si="0"/>
        <v>0</v>
      </c>
      <c r="O23" s="265" t="s">
        <v>1351</v>
      </c>
      <c r="P23" s="265" t="s">
        <v>102</v>
      </c>
      <c r="Q23" s="265" t="s">
        <v>3824</v>
      </c>
      <c r="R23" s="265">
        <v>0</v>
      </c>
      <c r="S23" s="265" t="s">
        <v>3825</v>
      </c>
      <c r="T23" s="347">
        <v>1.6600000000000001</v>
      </c>
      <c r="U23" s="347">
        <v>33.200000000000003</v>
      </c>
      <c r="V23" s="348">
        <v>3.0214289912471064</v>
      </c>
    </row>
    <row r="24" spans="1:22" s="17" customFormat="1" ht="102.75" customHeight="1">
      <c r="A24" s="104" t="str">
        <f>IF(K24&gt;0,COUNT($A$7:A23)+COUNT('DWV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4" s="202"/>
      <c r="C24" s="203"/>
      <c r="D24" s="106" t="s">
        <v>3826</v>
      </c>
      <c r="E24" s="106">
        <v>100021781</v>
      </c>
      <c r="F24" s="159" t="s">
        <v>3827</v>
      </c>
      <c r="G24" s="106">
        <v>20</v>
      </c>
      <c r="H24" s="106">
        <v>360</v>
      </c>
      <c r="I24" s="155">
        <f>_xlfn.XLOOKUP(E24,'All Products'!D:D,'All Products'!H:H)</f>
        <v>27.71</v>
      </c>
      <c r="J24" s="205">
        <f>ROUND(I24*Order_Quote!$L$20,2)</f>
        <v>138.55000000000001</v>
      </c>
      <c r="K24" s="184"/>
      <c r="L24" s="116"/>
      <c r="M24" s="199">
        <f t="shared" si="0"/>
        <v>0</v>
      </c>
      <c r="O24" s="265" t="s">
        <v>1351</v>
      </c>
      <c r="P24" s="265" t="s">
        <v>102</v>
      </c>
      <c r="Q24" s="265" t="s">
        <v>3828</v>
      </c>
      <c r="R24" s="265">
        <v>0</v>
      </c>
      <c r="S24" s="265" t="s">
        <v>3829</v>
      </c>
      <c r="T24" s="347">
        <v>1</v>
      </c>
      <c r="U24" s="347">
        <v>20</v>
      </c>
      <c r="V24" s="348">
        <v>1.8258327907986112</v>
      </c>
    </row>
    <row r="25" spans="1:22" s="17" customFormat="1" ht="30" customHeight="1">
      <c r="A25" s="104" t="str">
        <f>IF(K25&gt;0,COUNT($A$7:A24)+COUNT('DWV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5" s="112"/>
      <c r="C25" s="79"/>
      <c r="D25" s="106" t="s">
        <v>3830</v>
      </c>
      <c r="E25" s="106">
        <v>100021812</v>
      </c>
      <c r="F25" s="159" t="s">
        <v>3831</v>
      </c>
      <c r="G25" s="106">
        <v>20</v>
      </c>
      <c r="H25" s="106">
        <v>800</v>
      </c>
      <c r="I25" s="155">
        <f>_xlfn.XLOOKUP(E25,'All Products'!D:D,'All Products'!H:H)</f>
        <v>20.77</v>
      </c>
      <c r="J25" s="205">
        <f>ROUND(I25*Order_Quote!$L$20,2)</f>
        <v>103.85</v>
      </c>
      <c r="K25" s="184"/>
      <c r="L25" s="116"/>
      <c r="M25" s="199">
        <f t="shared" si="0"/>
        <v>0</v>
      </c>
      <c r="O25" s="265" t="s">
        <v>1351</v>
      </c>
      <c r="P25" s="265" t="s">
        <v>102</v>
      </c>
      <c r="Q25" s="265" t="s">
        <v>3832</v>
      </c>
      <c r="R25" s="265">
        <v>0</v>
      </c>
      <c r="S25" s="265" t="s">
        <v>3833</v>
      </c>
      <c r="T25" s="347">
        <v>0.495</v>
      </c>
      <c r="U25" s="347">
        <v>9.9</v>
      </c>
      <c r="V25" s="348">
        <v>0.81640625</v>
      </c>
    </row>
    <row r="26" spans="1:22" s="17" customFormat="1" ht="30" customHeight="1">
      <c r="A26" s="104" t="str">
        <f>IF(K26&gt;0,COUNT($A$7:A25)+COUNT('DWV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6" s="112"/>
      <c r="C26" s="79"/>
      <c r="D26" s="106" t="s">
        <v>3834</v>
      </c>
      <c r="E26" s="106">
        <v>100021834</v>
      </c>
      <c r="F26" s="159" t="s">
        <v>3835</v>
      </c>
      <c r="G26" s="106">
        <v>20</v>
      </c>
      <c r="H26" s="106">
        <v>640</v>
      </c>
      <c r="I26" s="155">
        <f>_xlfn.XLOOKUP(E26,'All Products'!D:D,'All Products'!H:H)</f>
        <v>22.57</v>
      </c>
      <c r="J26" s="205">
        <f>ROUND(I26*Order_Quote!$L$20,2)</f>
        <v>112.85</v>
      </c>
      <c r="K26" s="78"/>
      <c r="L26" s="116"/>
      <c r="M26" s="199">
        <f t="shared" si="0"/>
        <v>0</v>
      </c>
      <c r="O26" s="265" t="s">
        <v>1351</v>
      </c>
      <c r="P26" s="265" t="s">
        <v>102</v>
      </c>
      <c r="Q26" s="265" t="s">
        <v>3836</v>
      </c>
      <c r="R26" s="265">
        <v>0</v>
      </c>
      <c r="S26" s="265" t="s">
        <v>3837</v>
      </c>
      <c r="T26" s="347">
        <v>0.81500000000000006</v>
      </c>
      <c r="U26" s="347">
        <v>16.3</v>
      </c>
      <c r="V26" s="348">
        <v>1.2369791666666667</v>
      </c>
    </row>
    <row r="27" spans="1:22" s="17" customFormat="1" ht="15">
      <c r="A27" s="104" t="str">
        <f>IF(K27&gt;0,COUNT($A$7:A26)+COUNT('DWV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7" s="110"/>
      <c r="C27" s="111"/>
      <c r="D27" s="196" t="s">
        <v>3838</v>
      </c>
      <c r="E27" s="106">
        <v>100021790</v>
      </c>
      <c r="F27" s="159" t="s">
        <v>3839</v>
      </c>
      <c r="G27" s="106">
        <v>20</v>
      </c>
      <c r="H27" s="106">
        <v>1800</v>
      </c>
      <c r="I27" s="155">
        <f>_xlfn.XLOOKUP(E27,'All Products'!D:D,'All Products'!H:H)</f>
        <v>11.27</v>
      </c>
      <c r="J27" s="205">
        <f>ROUND(I27*Order_Quote!$L$20,2)</f>
        <v>56.35</v>
      </c>
      <c r="K27" s="184"/>
      <c r="L27" s="116"/>
      <c r="M27" s="199">
        <f t="shared" si="0"/>
        <v>0</v>
      </c>
      <c r="O27" s="265" t="s">
        <v>1693</v>
      </c>
      <c r="P27" s="265" t="s">
        <v>102</v>
      </c>
      <c r="Q27" s="265" t="s">
        <v>3840</v>
      </c>
      <c r="R27" s="265">
        <v>0</v>
      </c>
      <c r="S27" s="265" t="s">
        <v>3841</v>
      </c>
      <c r="T27" s="347">
        <v>0.19500000000000001</v>
      </c>
      <c r="U27" s="347">
        <v>3.9</v>
      </c>
      <c r="V27" s="348">
        <v>0.42469618055555558</v>
      </c>
    </row>
    <row r="28" spans="1:22" s="17" customFormat="1" ht="36" customHeight="1">
      <c r="A28" s="104" t="str">
        <f>IF(K28&gt;0,COUNT($A$7:A27)+COUNT('DWV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8" s="112"/>
      <c r="C28" s="79"/>
      <c r="D28" s="196" t="s">
        <v>3842</v>
      </c>
      <c r="E28" s="106">
        <v>100021808</v>
      </c>
      <c r="F28" s="159" t="s">
        <v>3843</v>
      </c>
      <c r="G28" s="106">
        <v>20</v>
      </c>
      <c r="H28" s="106">
        <v>800</v>
      </c>
      <c r="I28" s="155">
        <f>_xlfn.XLOOKUP(E28,'All Products'!D:D,'All Products'!H:H)</f>
        <v>21.85</v>
      </c>
      <c r="J28" s="205">
        <f>ROUND(I28*Order_Quote!$L$20,2)</f>
        <v>109.25</v>
      </c>
      <c r="K28" s="184"/>
      <c r="L28" s="116"/>
      <c r="M28" s="199">
        <f t="shared" si="0"/>
        <v>0</v>
      </c>
      <c r="O28" s="265" t="s">
        <v>1693</v>
      </c>
      <c r="P28" s="265" t="s">
        <v>102</v>
      </c>
      <c r="Q28" s="265" t="s">
        <v>3844</v>
      </c>
      <c r="R28" s="265">
        <v>0</v>
      </c>
      <c r="S28" s="265" t="s">
        <v>3845</v>
      </c>
      <c r="T28" s="347">
        <v>0.34500000000000003</v>
      </c>
      <c r="U28" s="347">
        <v>6.9</v>
      </c>
      <c r="V28" s="348">
        <v>0.99500868055555558</v>
      </c>
    </row>
    <row r="29" spans="1:22" s="17" customFormat="1" ht="36" customHeight="1">
      <c r="A29" s="104" t="str">
        <f>IF(K29&gt;0,COUNT($A$7:A28)+COUNT('DWV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29" s="113"/>
      <c r="C29" s="114"/>
      <c r="D29" s="196" t="s">
        <v>3846</v>
      </c>
      <c r="E29" s="106">
        <v>100021832</v>
      </c>
      <c r="F29" s="159" t="s">
        <v>3847</v>
      </c>
      <c r="G29" s="106">
        <v>20</v>
      </c>
      <c r="H29" s="106">
        <v>960</v>
      </c>
      <c r="I29" s="155">
        <f>_xlfn.XLOOKUP(E29,'All Products'!D:D,'All Products'!H:H)</f>
        <v>23.7</v>
      </c>
      <c r="J29" s="205">
        <f>ROUND(I29*Order_Quote!$L$20,2)</f>
        <v>118.5</v>
      </c>
      <c r="K29" s="78"/>
      <c r="L29" s="116"/>
      <c r="M29" s="199">
        <f t="shared" si="0"/>
        <v>0</v>
      </c>
      <c r="O29" s="265" t="s">
        <v>76</v>
      </c>
      <c r="P29" s="265" t="s">
        <v>102</v>
      </c>
      <c r="Q29" s="265" t="s">
        <v>3848</v>
      </c>
      <c r="R29" s="265">
        <v>0</v>
      </c>
      <c r="S29" s="265" t="s">
        <v>3849</v>
      </c>
      <c r="T29" s="347">
        <v>0.55000000000000004</v>
      </c>
      <c r="U29" s="347">
        <v>11</v>
      </c>
      <c r="V29" s="348">
        <v>2.0654296875</v>
      </c>
    </row>
    <row r="30" spans="1:22" s="17" customFormat="1" ht="28.5" customHeight="1">
      <c r="A30" s="104" t="str">
        <f>IF(K30&gt;0,COUNT($A$7:A29)+COUNT('DWV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0" s="112"/>
      <c r="C30" s="79"/>
      <c r="D30" s="106" t="s">
        <v>3850</v>
      </c>
      <c r="E30" s="106">
        <v>100021811</v>
      </c>
      <c r="F30" s="159" t="s">
        <v>3851</v>
      </c>
      <c r="G30" s="106">
        <v>10</v>
      </c>
      <c r="H30" s="106">
        <v>640</v>
      </c>
      <c r="I30" s="155">
        <f>_xlfn.XLOOKUP(E30,'All Products'!D:D,'All Products'!H:H)</f>
        <v>69.94</v>
      </c>
      <c r="J30" s="205">
        <f>ROUND(I30*Order_Quote!$L$20,2)</f>
        <v>349.7</v>
      </c>
      <c r="K30" s="184"/>
      <c r="L30" s="116"/>
      <c r="M30" s="199">
        <f t="shared" si="0"/>
        <v>0</v>
      </c>
      <c r="O30" s="265" t="s">
        <v>76</v>
      </c>
      <c r="P30" s="265" t="s">
        <v>102</v>
      </c>
      <c r="Q30" s="265" t="s">
        <v>3852</v>
      </c>
      <c r="R30" s="265">
        <v>0</v>
      </c>
      <c r="S30" s="265" t="s">
        <v>3853</v>
      </c>
      <c r="T30" s="347">
        <v>1.52</v>
      </c>
      <c r="U30" s="347">
        <v>15.2</v>
      </c>
      <c r="V30" s="348">
        <v>0.60496690538194442</v>
      </c>
    </row>
    <row r="31" spans="1:22" s="17" customFormat="1" ht="28.5" customHeight="1">
      <c r="A31" s="104" t="str">
        <f>IF(K31&gt;0,COUNT($A$7:A30)+COUNT('DWV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1" s="113"/>
      <c r="C31" s="114"/>
      <c r="D31" s="106" t="s">
        <v>3854</v>
      </c>
      <c r="E31" s="106">
        <v>100021833</v>
      </c>
      <c r="F31" s="159" t="s">
        <v>3855</v>
      </c>
      <c r="G31" s="106">
        <v>10</v>
      </c>
      <c r="H31" s="106">
        <v>360</v>
      </c>
      <c r="I31" s="155">
        <f>_xlfn.XLOOKUP(E31,'All Products'!D:D,'All Products'!H:H)</f>
        <v>103.82</v>
      </c>
      <c r="J31" s="205">
        <f>ROUND(I31*Order_Quote!$L$20,2)</f>
        <v>519.1</v>
      </c>
      <c r="K31" s="78"/>
      <c r="L31" s="116"/>
      <c r="M31" s="199">
        <f t="shared" si="0"/>
        <v>0</v>
      </c>
      <c r="O31" s="265" t="s">
        <v>76</v>
      </c>
      <c r="P31" s="265" t="s">
        <v>102</v>
      </c>
      <c r="Q31" s="265" t="s">
        <v>3856</v>
      </c>
      <c r="R31" s="265">
        <v>0</v>
      </c>
      <c r="S31" s="265" t="s">
        <v>3857</v>
      </c>
      <c r="T31" s="347">
        <v>2.4699999999999998</v>
      </c>
      <c r="U31" s="347">
        <v>24.7</v>
      </c>
      <c r="V31" s="348">
        <v>1.0298224555121527</v>
      </c>
    </row>
    <row r="32" spans="1:22" s="17" customFormat="1" ht="28.5" customHeight="1">
      <c r="A32" s="104" t="str">
        <f>IF(K32&gt;0,COUNT($A$7:A31)+COUNT('DWV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2" s="110"/>
      <c r="C32" s="111"/>
      <c r="D32" s="106" t="s">
        <v>3858</v>
      </c>
      <c r="E32" s="106">
        <v>100021816</v>
      </c>
      <c r="F32" s="159" t="s">
        <v>3859</v>
      </c>
      <c r="G32" s="106">
        <v>10</v>
      </c>
      <c r="H32" s="106">
        <v>640</v>
      </c>
      <c r="I32" s="155">
        <f>_xlfn.XLOOKUP(E32,'All Products'!D:D,'All Products'!H:H)</f>
        <v>69.94</v>
      </c>
      <c r="J32" s="205">
        <f>ROUND(I32*Order_Quote!$L$20,2)</f>
        <v>349.7</v>
      </c>
      <c r="K32" s="184"/>
      <c r="L32" s="116"/>
      <c r="M32" s="199">
        <f t="shared" si="0"/>
        <v>0</v>
      </c>
      <c r="O32" s="265" t="s">
        <v>76</v>
      </c>
      <c r="P32" s="265" t="s">
        <v>102</v>
      </c>
      <c r="Q32" s="265" t="s">
        <v>3860</v>
      </c>
      <c r="R32" s="265">
        <v>0</v>
      </c>
      <c r="S32" s="265" t="s">
        <v>3861</v>
      </c>
      <c r="T32" s="347">
        <v>1.472</v>
      </c>
      <c r="U32" s="347">
        <v>14.72</v>
      </c>
      <c r="V32" s="348">
        <v>0.60496690538194442</v>
      </c>
    </row>
    <row r="33" spans="1:22" s="17" customFormat="1" ht="28.5" customHeight="1">
      <c r="A33" s="104" t="str">
        <f>IF(K33&gt;0,COUNT($A$7:A32)+COUNT('DWV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3" s="113"/>
      <c r="C33" s="114"/>
      <c r="D33" s="106" t="s">
        <v>3862</v>
      </c>
      <c r="E33" s="106">
        <v>100021839</v>
      </c>
      <c r="F33" s="159" t="s">
        <v>3863</v>
      </c>
      <c r="G33" s="106">
        <v>10</v>
      </c>
      <c r="H33" s="106">
        <v>360</v>
      </c>
      <c r="I33" s="155">
        <f>_xlfn.XLOOKUP(E33,'All Products'!D:D,'All Products'!H:H)</f>
        <v>103.82</v>
      </c>
      <c r="J33" s="205">
        <f>ROUND(I33*Order_Quote!$L$20,2)</f>
        <v>519.1</v>
      </c>
      <c r="K33" s="78"/>
      <c r="L33" s="116"/>
      <c r="M33" s="199">
        <f t="shared" si="0"/>
        <v>0</v>
      </c>
      <c r="O33" s="265" t="s">
        <v>76</v>
      </c>
      <c r="P33" s="265" t="s">
        <v>102</v>
      </c>
      <c r="Q33" s="265" t="s">
        <v>3864</v>
      </c>
      <c r="R33" s="265">
        <v>0</v>
      </c>
      <c r="S33" s="265" t="s">
        <v>3865</v>
      </c>
      <c r="T33" s="347">
        <v>2.58</v>
      </c>
      <c r="U33" s="347">
        <v>25.8</v>
      </c>
      <c r="V33" s="348">
        <v>1.0298224555121527</v>
      </c>
    </row>
    <row r="34" spans="1:22" s="17" customFormat="1" ht="28.5" customHeight="1">
      <c r="A34" s="104" t="str">
        <f>IF(K34&gt;0,COUNT($A$7:A33)+COUNT('DWV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4" s="110"/>
      <c r="C34" s="111"/>
      <c r="D34" s="106" t="s">
        <v>3866</v>
      </c>
      <c r="E34" s="106">
        <v>100021819</v>
      </c>
      <c r="F34" s="159" t="s">
        <v>3867</v>
      </c>
      <c r="G34" s="106">
        <v>10</v>
      </c>
      <c r="H34" s="106">
        <v>640</v>
      </c>
      <c r="I34" s="155">
        <f>_xlfn.XLOOKUP(E34,'All Products'!D:D,'All Products'!H:H)</f>
        <v>69.94</v>
      </c>
      <c r="J34" s="205">
        <f>ROUND(I34*Order_Quote!$L$20,2)</f>
        <v>349.7</v>
      </c>
      <c r="K34" s="78"/>
      <c r="L34" s="116"/>
      <c r="M34" s="199">
        <f t="shared" si="0"/>
        <v>0</v>
      </c>
      <c r="O34" s="265" t="s">
        <v>76</v>
      </c>
      <c r="P34" s="265" t="s">
        <v>102</v>
      </c>
      <c r="Q34" s="265" t="s">
        <v>3868</v>
      </c>
      <c r="R34" s="265">
        <v>0</v>
      </c>
      <c r="S34" s="265" t="s">
        <v>3869</v>
      </c>
      <c r="T34" s="347">
        <v>1.49</v>
      </c>
      <c r="U34" s="347">
        <v>14.9</v>
      </c>
      <c r="V34" s="348">
        <v>0.60496690538194442</v>
      </c>
    </row>
    <row r="35" spans="1:22" s="17" customFormat="1" ht="28.5" customHeight="1" thickBot="1">
      <c r="A35" s="104" t="str">
        <f>IF(K35&gt;0,COUNT($A$7:A34)+COUNT('DWV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5" s="113"/>
      <c r="C35" s="114"/>
      <c r="D35" s="106" t="s">
        <v>3870</v>
      </c>
      <c r="E35" s="106">
        <v>100021843</v>
      </c>
      <c r="F35" s="159" t="s">
        <v>3855</v>
      </c>
      <c r="G35" s="106">
        <v>10</v>
      </c>
      <c r="H35" s="106">
        <v>360</v>
      </c>
      <c r="I35" s="155">
        <f>_xlfn.XLOOKUP(E35,'All Products'!D:D,'All Products'!H:H)</f>
        <v>103.82</v>
      </c>
      <c r="J35" s="205">
        <f>ROUND(I35*Order_Quote!$L$20,2)</f>
        <v>519.1</v>
      </c>
      <c r="K35" s="78"/>
      <c r="L35" s="116"/>
      <c r="M35" s="199">
        <f t="shared" si="0"/>
        <v>0</v>
      </c>
      <c r="O35" s="265" t="s">
        <v>76</v>
      </c>
      <c r="P35" s="265" t="s">
        <v>102</v>
      </c>
      <c r="Q35" s="265" t="s">
        <v>3871</v>
      </c>
      <c r="R35" s="265">
        <v>0</v>
      </c>
      <c r="S35" s="265" t="s">
        <v>3872</v>
      </c>
      <c r="T35" s="347">
        <v>2.63</v>
      </c>
      <c r="U35" s="347">
        <v>26.3</v>
      </c>
      <c r="V35" s="348">
        <v>1.0298224555121527</v>
      </c>
    </row>
    <row r="36" spans="1:22" s="17" customFormat="1" ht="34.5" customHeight="1">
      <c r="A36" s="104" t="str">
        <f>IF(K36&gt;0,COUNT($A$7:A35)+COUNT('DWV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6" s="110"/>
      <c r="C36" s="111"/>
      <c r="D36" s="106" t="s">
        <v>3873</v>
      </c>
      <c r="E36" s="106">
        <v>100021748</v>
      </c>
      <c r="F36" s="159" t="s">
        <v>3874</v>
      </c>
      <c r="G36" s="106">
        <v>40</v>
      </c>
      <c r="H36" s="106">
        <v>2400</v>
      </c>
      <c r="I36" s="155">
        <f>_xlfn.XLOOKUP(E36,'All Products'!D:D,'All Products'!H:H)</f>
        <v>17.59</v>
      </c>
      <c r="J36" s="205">
        <f>ROUND(I36*Order_Quote!$L$20,2)</f>
        <v>87.95</v>
      </c>
      <c r="K36" s="204"/>
      <c r="L36" s="116"/>
      <c r="M36" s="199">
        <f t="shared" si="0"/>
        <v>0</v>
      </c>
      <c r="O36" s="265" t="s">
        <v>76</v>
      </c>
      <c r="P36" s="265" t="s">
        <v>102</v>
      </c>
      <c r="Q36" s="265" t="s">
        <v>3875</v>
      </c>
      <c r="R36" s="265">
        <v>0</v>
      </c>
      <c r="S36" s="265" t="s">
        <v>3876</v>
      </c>
      <c r="T36" s="347">
        <v>0.16250000000000001</v>
      </c>
      <c r="U36" s="347">
        <v>6.5</v>
      </c>
      <c r="V36" s="348">
        <v>0.149169921875</v>
      </c>
    </row>
    <row r="37" spans="1:22" s="17" customFormat="1" ht="34.5" customHeight="1">
      <c r="A37" s="104" t="str">
        <f>IF(K37&gt;0,COUNT($A$7:A36)+COUNT('DWV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7" s="112"/>
      <c r="C37" s="79"/>
      <c r="D37" s="106" t="s">
        <v>3877</v>
      </c>
      <c r="E37" s="106">
        <v>100021758</v>
      </c>
      <c r="F37" s="159" t="s">
        <v>3878</v>
      </c>
      <c r="G37" s="106">
        <v>40</v>
      </c>
      <c r="H37" s="106">
        <v>1280</v>
      </c>
      <c r="I37" s="155">
        <f>_xlfn.XLOOKUP(E37,'All Products'!D:D,'All Products'!H:H)</f>
        <v>26.57</v>
      </c>
      <c r="J37" s="205">
        <f>ROUND(I37*Order_Quote!$L$20,2)</f>
        <v>132.85</v>
      </c>
      <c r="K37" s="184"/>
      <c r="L37" s="116"/>
      <c r="M37" s="199">
        <f t="shared" si="0"/>
        <v>0</v>
      </c>
      <c r="O37" s="265" t="s">
        <v>76</v>
      </c>
      <c r="P37" s="265" t="s">
        <v>102</v>
      </c>
      <c r="Q37" s="265" t="s">
        <v>3879</v>
      </c>
      <c r="R37" s="265">
        <v>0</v>
      </c>
      <c r="S37" s="265" t="s">
        <v>3880</v>
      </c>
      <c r="T37" s="347">
        <v>0.23749999999999999</v>
      </c>
      <c r="U37" s="347">
        <v>9.5</v>
      </c>
      <c r="V37" s="348">
        <v>1.0378175646250001</v>
      </c>
    </row>
    <row r="38" spans="1:22" s="17" customFormat="1" ht="34.5" customHeight="1">
      <c r="A38" s="104" t="str">
        <f>IF(K38&gt;0,COUNT($A$7:A37)+COUNT('DWV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8" s="113"/>
      <c r="C38" s="114"/>
      <c r="D38" s="106" t="s">
        <v>3881</v>
      </c>
      <c r="E38" s="106">
        <v>100021779</v>
      </c>
      <c r="F38" s="159" t="s">
        <v>3882</v>
      </c>
      <c r="G38" s="106">
        <v>40</v>
      </c>
      <c r="H38" s="106">
        <v>480</v>
      </c>
      <c r="I38" s="155">
        <f>_xlfn.XLOOKUP(E38,'All Products'!D:D,'All Products'!H:H)</f>
        <v>35.69</v>
      </c>
      <c r="J38" s="205">
        <f>ROUND(I38*Order_Quote!$L$20,2)</f>
        <v>178.45</v>
      </c>
      <c r="K38" s="184"/>
      <c r="L38" s="116"/>
      <c r="M38" s="199">
        <f t="shared" si="0"/>
        <v>0</v>
      </c>
      <c r="O38" s="265" t="s">
        <v>76</v>
      </c>
      <c r="P38" s="265" t="s">
        <v>102</v>
      </c>
      <c r="Q38" s="265" t="s">
        <v>3883</v>
      </c>
      <c r="R38" s="265">
        <v>0</v>
      </c>
      <c r="S38" s="265" t="s">
        <v>3884</v>
      </c>
      <c r="T38" s="347">
        <v>0.62750000000000006</v>
      </c>
      <c r="U38" s="347">
        <v>25.1</v>
      </c>
      <c r="V38" s="348">
        <v>2.27</v>
      </c>
    </row>
    <row r="39" spans="1:22" s="17" customFormat="1" ht="34.5" customHeight="1">
      <c r="A39" s="104" t="str">
        <f>IF(K39&gt;0,COUNT($A$7:A38)+COUNT('DWV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39" s="112"/>
      <c r="C39" s="79"/>
      <c r="D39" s="106" t="s">
        <v>3885</v>
      </c>
      <c r="E39" s="106">
        <v>100026139</v>
      </c>
      <c r="F39" s="159" t="s">
        <v>3886</v>
      </c>
      <c r="G39" s="106">
        <v>10</v>
      </c>
      <c r="H39" s="106">
        <v>600</v>
      </c>
      <c r="I39" s="155">
        <f>_xlfn.XLOOKUP(E39,'All Products'!D:D,'All Products'!H:H)</f>
        <v>80.7</v>
      </c>
      <c r="J39" s="205">
        <f>ROUND(I39*Order_Quote!$L$20,2)</f>
        <v>403.5</v>
      </c>
      <c r="K39" s="184"/>
      <c r="L39" s="116"/>
      <c r="M39" s="199">
        <f t="shared" si="0"/>
        <v>0</v>
      </c>
      <c r="O39" s="265" t="s">
        <v>1351</v>
      </c>
      <c r="P39" s="265" t="s">
        <v>102</v>
      </c>
      <c r="Q39" s="265" t="s">
        <v>3887</v>
      </c>
      <c r="R39" s="265">
        <v>0</v>
      </c>
      <c r="S39" s="265" t="s">
        <v>3888</v>
      </c>
      <c r="T39" s="347">
        <v>1.1499999999999999</v>
      </c>
      <c r="U39" s="347">
        <v>11.5</v>
      </c>
      <c r="V39" s="348">
        <v>0.72479248046875</v>
      </c>
    </row>
    <row r="40" spans="1:22" s="17" customFormat="1" ht="34.5" customHeight="1">
      <c r="A40" s="104" t="str">
        <f>IF(K40&gt;0,COUNT($A$7:A39)+COUNT('DWV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0" s="112"/>
      <c r="C40" s="79"/>
      <c r="D40" s="106" t="s">
        <v>3889</v>
      </c>
      <c r="E40" s="106">
        <v>100021823</v>
      </c>
      <c r="F40" s="159" t="s">
        <v>3890</v>
      </c>
      <c r="G40" s="106">
        <v>10</v>
      </c>
      <c r="H40" s="106">
        <v>270</v>
      </c>
      <c r="I40" s="155">
        <f>_xlfn.XLOOKUP(E40,'All Products'!D:D,'All Products'!H:H)</f>
        <v>119.81</v>
      </c>
      <c r="J40" s="205">
        <f>ROUND(I40*Order_Quote!$L$20,2)</f>
        <v>599.04999999999995</v>
      </c>
      <c r="K40" s="78"/>
      <c r="L40" s="116"/>
      <c r="M40" s="199">
        <f t="shared" ref="M40:M69" si="1">K40/G40</f>
        <v>0</v>
      </c>
      <c r="O40" s="265" t="s">
        <v>76</v>
      </c>
      <c r="P40" s="265" t="s">
        <v>102</v>
      </c>
      <c r="Q40" s="265" t="s">
        <v>3891</v>
      </c>
      <c r="R40" s="265">
        <v>0</v>
      </c>
      <c r="S40" s="265" t="s">
        <v>3892</v>
      </c>
      <c r="T40" s="347">
        <v>1.77</v>
      </c>
      <c r="U40" s="347">
        <v>17.7</v>
      </c>
      <c r="V40" s="348">
        <v>1.35821533203125</v>
      </c>
    </row>
    <row r="41" spans="1:22" s="17" customFormat="1" ht="29.25" customHeight="1">
      <c r="A41" s="104" t="str">
        <f>IF(K41&gt;0,COUNT($A$7:A40)+COUNT('DWV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1" s="110"/>
      <c r="C41" s="111"/>
      <c r="D41" s="196" t="s">
        <v>3893</v>
      </c>
      <c r="E41" s="106">
        <v>100021752</v>
      </c>
      <c r="F41" s="159" t="s">
        <v>3894</v>
      </c>
      <c r="G41" s="106">
        <v>40</v>
      </c>
      <c r="H41" s="106">
        <v>2400</v>
      </c>
      <c r="I41" s="155">
        <f>_xlfn.XLOOKUP(E41,'All Products'!D:D,'All Products'!H:H)</f>
        <v>17.59</v>
      </c>
      <c r="J41" s="205">
        <f>ROUND(I41*Order_Quote!$L$20,2)</f>
        <v>87.95</v>
      </c>
      <c r="K41" s="184"/>
      <c r="L41" s="116"/>
      <c r="M41" s="199">
        <f t="shared" si="1"/>
        <v>0</v>
      </c>
      <c r="O41" s="265" t="s">
        <v>76</v>
      </c>
      <c r="P41" s="265" t="s">
        <v>102</v>
      </c>
      <c r="Q41" s="265" t="s">
        <v>3895</v>
      </c>
      <c r="R41" s="265">
        <v>0</v>
      </c>
      <c r="S41" s="265" t="s">
        <v>3896</v>
      </c>
      <c r="T41" s="347">
        <v>0.16</v>
      </c>
      <c r="U41" s="347">
        <v>6.4</v>
      </c>
      <c r="V41" s="348">
        <v>0.149169921875</v>
      </c>
    </row>
    <row r="42" spans="1:22" s="17" customFormat="1" ht="29.25" customHeight="1">
      <c r="A42" s="104" t="str">
        <f>IF(K42&gt;0,COUNT($A$7:A41)+COUNT('DWV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2" s="112"/>
      <c r="C42" s="79"/>
      <c r="D42" s="196" t="s">
        <v>3897</v>
      </c>
      <c r="E42" s="106">
        <v>100021764</v>
      </c>
      <c r="F42" s="159" t="s">
        <v>3898</v>
      </c>
      <c r="G42" s="106">
        <v>40</v>
      </c>
      <c r="H42" s="106">
        <v>1280</v>
      </c>
      <c r="I42" s="155">
        <f>_xlfn.XLOOKUP(E42,'All Products'!D:D,'All Products'!H:H)</f>
        <v>26.58</v>
      </c>
      <c r="J42" s="205">
        <f>ROUND(I42*Order_Quote!$L$20,2)</f>
        <v>132.9</v>
      </c>
      <c r="K42" s="184"/>
      <c r="L42" s="116"/>
      <c r="M42" s="199">
        <f t="shared" si="1"/>
        <v>0</v>
      </c>
      <c r="O42" s="265" t="s">
        <v>1351</v>
      </c>
      <c r="P42" s="265" t="s">
        <v>102</v>
      </c>
      <c r="Q42" s="265" t="s">
        <v>3899</v>
      </c>
      <c r="R42" s="265">
        <v>0</v>
      </c>
      <c r="S42" s="265" t="s">
        <v>3900</v>
      </c>
      <c r="T42" s="347">
        <v>0.23749999999999999</v>
      </c>
      <c r="U42" s="347">
        <v>9.5</v>
      </c>
      <c r="V42" s="348">
        <v>1.0378175646250001</v>
      </c>
    </row>
    <row r="43" spans="1:22" s="17" customFormat="1" ht="29.25" customHeight="1">
      <c r="A43" s="104" t="str">
        <f>IF(K43&gt;0,COUNT($A$7:A42)+COUNT('DWV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3" s="113"/>
      <c r="C43" s="114"/>
      <c r="D43" s="196" t="s">
        <v>3901</v>
      </c>
      <c r="E43" s="106">
        <v>100022191</v>
      </c>
      <c r="F43" s="159" t="s">
        <v>3902</v>
      </c>
      <c r="G43" s="106">
        <v>40</v>
      </c>
      <c r="H43" s="106">
        <v>480</v>
      </c>
      <c r="I43" s="155">
        <f>_xlfn.XLOOKUP(E43,'All Products'!D:D,'All Products'!H:H)</f>
        <v>35.69</v>
      </c>
      <c r="J43" s="205">
        <f>ROUND(I43*Order_Quote!$L$20,2)</f>
        <v>178.45</v>
      </c>
      <c r="K43" s="184"/>
      <c r="L43" s="116"/>
      <c r="M43" s="199">
        <f t="shared" si="1"/>
        <v>0</v>
      </c>
      <c r="O43" s="265" t="s">
        <v>1351</v>
      </c>
      <c r="P43" s="265" t="s">
        <v>102</v>
      </c>
      <c r="Q43" s="265" t="s">
        <v>3903</v>
      </c>
      <c r="R43" s="265">
        <v>0</v>
      </c>
      <c r="S43" s="265" t="s">
        <v>3904</v>
      </c>
      <c r="T43" s="347">
        <v>0.62750000000000006</v>
      </c>
      <c r="U43" s="347">
        <v>25.1</v>
      </c>
      <c r="V43" s="348">
        <v>2.27</v>
      </c>
    </row>
    <row r="44" spans="1:22" s="17" customFormat="1" ht="53.25" customHeight="1">
      <c r="A44" s="104" t="str">
        <f>IF(K44&gt;0,COUNT($A$7:A43)+COUNT('DWV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4" s="113"/>
      <c r="C44" s="114"/>
      <c r="D44" s="106" t="s">
        <v>3905</v>
      </c>
      <c r="E44" s="106">
        <v>100021837</v>
      </c>
      <c r="F44" s="159" t="s">
        <v>3906</v>
      </c>
      <c r="G44" s="106">
        <v>10</v>
      </c>
      <c r="H44" s="106">
        <v>270</v>
      </c>
      <c r="I44" s="155">
        <f>_xlfn.XLOOKUP(E44,'All Products'!D:D,'All Products'!H:H)</f>
        <v>119.81</v>
      </c>
      <c r="J44" s="205">
        <f>ROUND(I44*Order_Quote!$L$20,2)</f>
        <v>599.04999999999995</v>
      </c>
      <c r="K44" s="78"/>
      <c r="L44" s="116"/>
      <c r="M44" s="199">
        <f t="shared" si="1"/>
        <v>0</v>
      </c>
      <c r="O44" s="265" t="s">
        <v>1351</v>
      </c>
      <c r="P44" s="265" t="s">
        <v>102</v>
      </c>
      <c r="Q44" s="265" t="s">
        <v>3907</v>
      </c>
      <c r="R44" s="265">
        <v>0</v>
      </c>
      <c r="S44" s="265" t="s">
        <v>3908</v>
      </c>
      <c r="T44" s="347">
        <v>1.77</v>
      </c>
      <c r="U44" s="347">
        <v>17.7</v>
      </c>
      <c r="V44" s="348">
        <v>1.35821533203125</v>
      </c>
    </row>
    <row r="45" spans="1:22" s="17" customFormat="1" ht="35.25" customHeight="1">
      <c r="A45" s="104" t="str">
        <f>IF(K45&gt;0,COUNT($A$7:A44)+COUNT('DWV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5" s="110"/>
      <c r="C45" s="111"/>
      <c r="D45" s="106" t="s">
        <v>3909</v>
      </c>
      <c r="E45" s="106">
        <v>100021755</v>
      </c>
      <c r="F45" s="159" t="s">
        <v>3910</v>
      </c>
      <c r="G45" s="106">
        <v>40</v>
      </c>
      <c r="H45" s="106">
        <v>2400</v>
      </c>
      <c r="I45" s="155">
        <f>_xlfn.XLOOKUP(E45,'All Products'!D:D,'All Products'!H:H)</f>
        <v>17.59</v>
      </c>
      <c r="J45" s="205">
        <f>ROUND(I45*Order_Quote!$L$20,2)</f>
        <v>87.95</v>
      </c>
      <c r="K45" s="184"/>
      <c r="L45" s="116"/>
      <c r="M45" s="199">
        <f t="shared" si="1"/>
        <v>0</v>
      </c>
      <c r="O45" s="265" t="s">
        <v>1351</v>
      </c>
      <c r="P45" s="265" t="s">
        <v>102</v>
      </c>
      <c r="Q45" s="265" t="s">
        <v>3911</v>
      </c>
      <c r="R45" s="265">
        <v>0</v>
      </c>
      <c r="S45" s="265" t="s">
        <v>3912</v>
      </c>
      <c r="T45" s="347">
        <v>0.16750000000000001</v>
      </c>
      <c r="U45" s="347">
        <v>6.7</v>
      </c>
      <c r="V45" s="348">
        <v>0.149169921875</v>
      </c>
    </row>
    <row r="46" spans="1:22" s="17" customFormat="1" ht="35.25" customHeight="1">
      <c r="A46" s="104" t="str">
        <f>IF(K46&gt;0,COUNT($A$7:A45)+COUNT('DWV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6" s="112"/>
      <c r="C46" s="79"/>
      <c r="D46" s="106" t="s">
        <v>3913</v>
      </c>
      <c r="E46" s="106">
        <v>100021768</v>
      </c>
      <c r="F46" s="159" t="s">
        <v>3914</v>
      </c>
      <c r="G46" s="106">
        <v>40</v>
      </c>
      <c r="H46" s="106">
        <v>1280</v>
      </c>
      <c r="I46" s="155">
        <f>_xlfn.XLOOKUP(E46,'All Products'!D:D,'All Products'!H:H)</f>
        <v>26.57</v>
      </c>
      <c r="J46" s="205">
        <f>ROUND(I46*Order_Quote!$L$20,2)</f>
        <v>132.85</v>
      </c>
      <c r="K46" s="184"/>
      <c r="L46" s="116"/>
      <c r="M46" s="199">
        <f t="shared" si="1"/>
        <v>0</v>
      </c>
      <c r="O46" s="265" t="s">
        <v>1351</v>
      </c>
      <c r="P46" s="265" t="s">
        <v>102</v>
      </c>
      <c r="Q46" s="265" t="s">
        <v>3915</v>
      </c>
      <c r="R46" s="265">
        <v>0</v>
      </c>
      <c r="S46" s="265" t="s">
        <v>3916</v>
      </c>
      <c r="T46" s="347">
        <v>0.24500000000000002</v>
      </c>
      <c r="U46" s="347">
        <v>9.8000000000000007</v>
      </c>
      <c r="V46" s="348">
        <v>1.0378175646250001</v>
      </c>
    </row>
    <row r="47" spans="1:22" s="17" customFormat="1" ht="35.25" customHeight="1">
      <c r="A47" s="104" t="str">
        <f>IF(K47&gt;0,COUNT($A$7:A46)+COUNT('DWV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7" s="112"/>
      <c r="C47" s="79"/>
      <c r="D47" s="106" t="s">
        <v>3917</v>
      </c>
      <c r="E47" s="106">
        <v>100021795</v>
      </c>
      <c r="F47" s="159" t="s">
        <v>3918</v>
      </c>
      <c r="G47" s="106">
        <v>40</v>
      </c>
      <c r="H47" s="106">
        <v>480</v>
      </c>
      <c r="I47" s="155">
        <f>_xlfn.XLOOKUP(E47,'All Products'!D:D,'All Products'!H:H)</f>
        <v>35.69</v>
      </c>
      <c r="J47" s="205">
        <f>ROUND(I47*Order_Quote!$L$20,2)</f>
        <v>178.45</v>
      </c>
      <c r="K47" s="184"/>
      <c r="L47" s="116"/>
      <c r="M47" s="199">
        <f t="shared" si="1"/>
        <v>0</v>
      </c>
      <c r="O47" s="265" t="s">
        <v>76</v>
      </c>
      <c r="P47" s="265" t="s">
        <v>102</v>
      </c>
      <c r="Q47" s="265" t="s">
        <v>3919</v>
      </c>
      <c r="R47" s="265">
        <v>0</v>
      </c>
      <c r="S47" s="265" t="s">
        <v>3920</v>
      </c>
      <c r="T47" s="347">
        <v>0.62750000000000006</v>
      </c>
      <c r="U47" s="347">
        <v>25.1</v>
      </c>
      <c r="V47" s="348">
        <v>2.5029500325520835</v>
      </c>
    </row>
    <row r="48" spans="1:22" s="17" customFormat="1" ht="27.75" customHeight="1">
      <c r="A48" s="104" t="str">
        <f>IF(K48&gt;0,COUNT($A$7:A47)+COUNT('DWV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8" s="110"/>
      <c r="C48" s="111"/>
      <c r="D48" s="106" t="s">
        <v>3921</v>
      </c>
      <c r="E48" s="106">
        <v>100026141</v>
      </c>
      <c r="F48" s="159" t="s">
        <v>3922</v>
      </c>
      <c r="G48" s="106">
        <v>10</v>
      </c>
      <c r="H48" s="106">
        <v>600</v>
      </c>
      <c r="I48" s="155">
        <f>_xlfn.XLOOKUP(E48,'All Products'!D:D,'All Products'!H:H)</f>
        <v>80.7</v>
      </c>
      <c r="J48" s="205">
        <f>ROUND(I48*Order_Quote!$L$20,2)</f>
        <v>403.5</v>
      </c>
      <c r="K48" s="184"/>
      <c r="L48" s="116"/>
      <c r="M48" s="199">
        <f t="shared" si="1"/>
        <v>0</v>
      </c>
      <c r="O48" s="265" t="s">
        <v>76</v>
      </c>
      <c r="P48" s="265" t="s">
        <v>102</v>
      </c>
      <c r="Q48" s="265" t="s">
        <v>3923</v>
      </c>
      <c r="R48" s="265">
        <v>0</v>
      </c>
      <c r="S48" s="265" t="s">
        <v>3924</v>
      </c>
      <c r="T48" s="347">
        <v>1.1800000000000002</v>
      </c>
      <c r="U48" s="347">
        <v>11.8</v>
      </c>
      <c r="V48" s="348">
        <v>0.72479248046875</v>
      </c>
    </row>
    <row r="49" spans="1:22" s="17" customFormat="1" ht="27.75" customHeight="1">
      <c r="A49" s="104" t="str">
        <f>IF(K49&gt;0,COUNT($A$7:A48)+COUNT('DWV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49" s="113"/>
      <c r="C49" s="114"/>
      <c r="D49" s="106" t="s">
        <v>3925</v>
      </c>
      <c r="E49" s="106">
        <v>100021840</v>
      </c>
      <c r="F49" s="159" t="s">
        <v>3926</v>
      </c>
      <c r="G49" s="106">
        <v>10</v>
      </c>
      <c r="H49" s="106">
        <v>270</v>
      </c>
      <c r="I49" s="155">
        <f>_xlfn.XLOOKUP(E49,'All Products'!D:D,'All Products'!H:H)</f>
        <v>119.81</v>
      </c>
      <c r="J49" s="205">
        <f>ROUND(I49*Order_Quote!$L$20,2)</f>
        <v>599.04999999999995</v>
      </c>
      <c r="K49" s="78"/>
      <c r="L49" s="116"/>
      <c r="M49" s="199">
        <f t="shared" si="1"/>
        <v>0</v>
      </c>
      <c r="O49" s="265" t="s">
        <v>76</v>
      </c>
      <c r="P49" s="265" t="s">
        <v>102</v>
      </c>
      <c r="Q49" s="265" t="s">
        <v>3927</v>
      </c>
      <c r="R49" s="265">
        <v>0</v>
      </c>
      <c r="S49" s="265" t="s">
        <v>3928</v>
      </c>
      <c r="T49" s="347">
        <v>1.77</v>
      </c>
      <c r="U49" s="347">
        <v>17.7</v>
      </c>
      <c r="V49" s="348">
        <v>1.35821533203125</v>
      </c>
    </row>
    <row r="50" spans="1:22" s="17" customFormat="1" ht="36.75" customHeight="1">
      <c r="A50" s="104" t="str">
        <f>IF(K50&gt;0,COUNT($A$7:A49)+COUNT('DWV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0" s="110"/>
      <c r="C50" s="111"/>
      <c r="D50" s="106" t="s">
        <v>3929</v>
      </c>
      <c r="E50" s="106">
        <v>100021750</v>
      </c>
      <c r="F50" s="159" t="s">
        <v>3930</v>
      </c>
      <c r="G50" s="106">
        <v>40</v>
      </c>
      <c r="H50" s="106">
        <v>2880</v>
      </c>
      <c r="I50" s="155">
        <f>_xlfn.XLOOKUP(E50,'All Products'!D:D,'All Products'!H:H)</f>
        <v>7.54</v>
      </c>
      <c r="J50" s="205">
        <f>ROUND(I50*Order_Quote!$L$20,2)</f>
        <v>37.700000000000003</v>
      </c>
      <c r="K50" s="184"/>
      <c r="L50" s="116"/>
      <c r="M50" s="199">
        <f t="shared" si="1"/>
        <v>0</v>
      </c>
      <c r="O50" s="265" t="s">
        <v>76</v>
      </c>
      <c r="P50" s="265" t="s">
        <v>102</v>
      </c>
      <c r="Q50" s="265" t="s">
        <v>3931</v>
      </c>
      <c r="R50" s="265">
        <v>0</v>
      </c>
      <c r="S50" s="265" t="s">
        <v>3932</v>
      </c>
      <c r="T50" s="347">
        <v>0.13250000000000001</v>
      </c>
      <c r="U50" s="347">
        <v>5.3</v>
      </c>
      <c r="V50" s="348">
        <v>0.54151454897280094</v>
      </c>
    </row>
    <row r="51" spans="1:22" s="17" customFormat="1" ht="36.75" customHeight="1">
      <c r="A51" s="104" t="str">
        <f>IF(K51&gt;0,COUNT($A$7:A50)+COUNT('DWV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1" s="113"/>
      <c r="C51" s="114"/>
      <c r="D51" s="106" t="s">
        <v>3933</v>
      </c>
      <c r="E51" s="106">
        <v>100021760</v>
      </c>
      <c r="F51" s="159" t="s">
        <v>3934</v>
      </c>
      <c r="G51" s="106">
        <v>40</v>
      </c>
      <c r="H51" s="106">
        <v>2000</v>
      </c>
      <c r="I51" s="155">
        <f>_xlfn.XLOOKUP(E51,'All Products'!D:D,'All Products'!H:H)</f>
        <v>7.97</v>
      </c>
      <c r="J51" s="205">
        <f>ROUND(I51*Order_Quote!$L$20,2)</f>
        <v>39.85</v>
      </c>
      <c r="K51" s="184"/>
      <c r="L51" s="116"/>
      <c r="M51" s="199">
        <f t="shared" si="1"/>
        <v>0</v>
      </c>
      <c r="O51" s="265" t="s">
        <v>76</v>
      </c>
      <c r="P51" s="265" t="s">
        <v>102</v>
      </c>
      <c r="Q51" s="265" t="s">
        <v>3935</v>
      </c>
      <c r="R51" s="265">
        <v>0</v>
      </c>
      <c r="S51" s="265" t="s">
        <v>3936</v>
      </c>
      <c r="T51" s="347">
        <v>0.20249999999999999</v>
      </c>
      <c r="U51" s="347">
        <v>8.1</v>
      </c>
      <c r="V51" s="348">
        <v>0.79843749999999991</v>
      </c>
    </row>
    <row r="52" spans="1:22" s="17" customFormat="1" ht="21" customHeight="1">
      <c r="A52" s="104" t="str">
        <f>IF(K52&gt;0,COUNT($A$7:A51)+COUNT('DWV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2" s="112"/>
      <c r="C52" s="79"/>
      <c r="D52" s="106" t="s">
        <v>3937</v>
      </c>
      <c r="E52" s="106">
        <v>100021787</v>
      </c>
      <c r="F52" s="159" t="s">
        <v>3938</v>
      </c>
      <c r="G52" s="106">
        <v>10</v>
      </c>
      <c r="H52" s="106">
        <v>600</v>
      </c>
      <c r="I52" s="155">
        <f>_xlfn.XLOOKUP(E52,'All Products'!D:D,'All Products'!H:H)</f>
        <v>22.29</v>
      </c>
      <c r="J52" s="205">
        <f>ROUND(I52*Order_Quote!$L$20,2)</f>
        <v>111.45</v>
      </c>
      <c r="K52" s="184"/>
      <c r="L52" s="116"/>
      <c r="M52" s="199">
        <f t="shared" si="1"/>
        <v>0</v>
      </c>
      <c r="O52" s="265" t="s">
        <v>76</v>
      </c>
      <c r="P52" s="265" t="s">
        <v>102</v>
      </c>
      <c r="Q52" s="265" t="s">
        <v>3939</v>
      </c>
      <c r="R52" s="265">
        <v>0</v>
      </c>
      <c r="S52" s="265" t="s">
        <v>3940</v>
      </c>
      <c r="T52" s="347">
        <v>0.63</v>
      </c>
      <c r="U52" s="347">
        <v>6.3</v>
      </c>
      <c r="V52" s="348">
        <v>0.589691162109375</v>
      </c>
    </row>
    <row r="53" spans="1:22" s="17" customFormat="1" ht="21" customHeight="1">
      <c r="A53" s="104" t="str">
        <f>IF(K53&gt;0,COUNT($A$7:A52)+COUNT('DWV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3" s="112"/>
      <c r="C53" s="79"/>
      <c r="D53" s="106" t="s">
        <v>3941</v>
      </c>
      <c r="E53" s="106">
        <v>100021799</v>
      </c>
      <c r="F53" s="159" t="s">
        <v>3942</v>
      </c>
      <c r="G53" s="106">
        <v>10</v>
      </c>
      <c r="H53" s="106">
        <v>400</v>
      </c>
      <c r="I53" s="155">
        <f>_xlfn.XLOOKUP(E53,'All Products'!D:D,'All Products'!H:H)</f>
        <v>23.48</v>
      </c>
      <c r="J53" s="205">
        <f>ROUND(I53*Order_Quote!$L$20,2)</f>
        <v>117.4</v>
      </c>
      <c r="K53" s="184"/>
      <c r="L53" s="116"/>
      <c r="M53" s="199">
        <f t="shared" si="1"/>
        <v>0</v>
      </c>
      <c r="O53" s="265" t="s">
        <v>76</v>
      </c>
      <c r="P53" s="265" t="s">
        <v>102</v>
      </c>
      <c r="Q53" s="265" t="s">
        <v>3943</v>
      </c>
      <c r="R53" s="265">
        <v>0</v>
      </c>
      <c r="S53" s="265" t="s">
        <v>3944</v>
      </c>
      <c r="T53" s="347">
        <v>0.71</v>
      </c>
      <c r="U53" s="347">
        <v>7.1</v>
      </c>
      <c r="V53" s="348">
        <v>0.83900960286458337</v>
      </c>
    </row>
    <row r="54" spans="1:22" s="17" customFormat="1" ht="25.5" customHeight="1">
      <c r="A54" s="104" t="str">
        <f>IF(K54&gt;0,COUNT($A$7:A53)+COUNT('DWV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4" s="110"/>
      <c r="C54" s="111"/>
      <c r="D54" s="106" t="s">
        <v>3945</v>
      </c>
      <c r="E54" s="106">
        <v>100021754</v>
      </c>
      <c r="F54" s="159" t="s">
        <v>3946</v>
      </c>
      <c r="G54" s="106">
        <v>40</v>
      </c>
      <c r="H54" s="106">
        <v>2880</v>
      </c>
      <c r="I54" s="155">
        <f>I50*1.25</f>
        <v>9.4250000000000007</v>
      </c>
      <c r="J54" s="205">
        <f>ROUND(I54*Order_Quote!$L$20,2)</f>
        <v>47.13</v>
      </c>
      <c r="K54" s="184"/>
      <c r="L54" s="116"/>
      <c r="M54" s="199">
        <f t="shared" si="1"/>
        <v>0</v>
      </c>
      <c r="O54" s="265" t="s">
        <v>76</v>
      </c>
      <c r="P54" s="265" t="s">
        <v>102</v>
      </c>
      <c r="Q54" s="265" t="s">
        <v>3947</v>
      </c>
      <c r="R54" s="265">
        <v>0</v>
      </c>
      <c r="S54" s="265" t="s">
        <v>3948</v>
      </c>
      <c r="T54" s="347">
        <v>0.14250000000000002</v>
      </c>
      <c r="U54" s="347">
        <v>5.7</v>
      </c>
      <c r="V54" s="348">
        <v>0.54151454897280094</v>
      </c>
    </row>
    <row r="55" spans="1:22" s="17" customFormat="1" ht="25.5" customHeight="1">
      <c r="A55" s="104" t="str">
        <f>IF(K55&gt;0,COUNT($A$7:A54)+COUNT('DWV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5" s="112"/>
      <c r="C55" s="79"/>
      <c r="D55" s="106" t="s">
        <v>3949</v>
      </c>
      <c r="E55" s="106">
        <v>100021766</v>
      </c>
      <c r="F55" s="159" t="s">
        <v>3950</v>
      </c>
      <c r="G55" s="106">
        <v>40</v>
      </c>
      <c r="H55" s="106">
        <v>2000</v>
      </c>
      <c r="I55" s="155">
        <f>I51*1.25</f>
        <v>9.9625000000000004</v>
      </c>
      <c r="J55" s="205">
        <f>ROUND(I55*Order_Quote!$L$20,2)</f>
        <v>49.81</v>
      </c>
      <c r="K55" s="184"/>
      <c r="L55" s="116"/>
      <c r="M55" s="199">
        <f t="shared" si="1"/>
        <v>0</v>
      </c>
      <c r="O55" s="265" t="s">
        <v>76</v>
      </c>
      <c r="P55" s="265" t="s">
        <v>102</v>
      </c>
      <c r="Q55" s="265" t="s">
        <v>3947</v>
      </c>
      <c r="R55" s="265">
        <v>0</v>
      </c>
      <c r="S55" s="265" t="s">
        <v>3948</v>
      </c>
      <c r="T55" s="347">
        <v>0.20249999999999999</v>
      </c>
      <c r="U55" s="347">
        <v>8.1</v>
      </c>
      <c r="V55" s="348">
        <v>0.79843749999999991</v>
      </c>
    </row>
    <row r="56" spans="1:22" s="17" customFormat="1" ht="34.5" customHeight="1">
      <c r="A56" s="104" t="str">
        <f>IF(K56&gt;0,COUNT($A$7:A55)+COUNT('DWV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6" s="110"/>
      <c r="C56" s="111"/>
      <c r="D56" s="106" t="s">
        <v>3951</v>
      </c>
      <c r="E56" s="106">
        <v>100021757</v>
      </c>
      <c r="F56" s="159" t="s">
        <v>3952</v>
      </c>
      <c r="G56" s="106">
        <v>40</v>
      </c>
      <c r="H56" s="106">
        <v>2880</v>
      </c>
      <c r="I56" s="155">
        <f>_xlfn.XLOOKUP(E56,'All Products'!D:D,'All Products'!H:H)</f>
        <v>7.54</v>
      </c>
      <c r="J56" s="205">
        <f>ROUND(I56*Order_Quote!$L$20,2)</f>
        <v>37.700000000000003</v>
      </c>
      <c r="K56" s="184"/>
      <c r="L56" s="116"/>
      <c r="M56" s="199">
        <f t="shared" si="1"/>
        <v>0</v>
      </c>
      <c r="O56" s="265" t="s">
        <v>76</v>
      </c>
      <c r="P56" s="265" t="s">
        <v>102</v>
      </c>
      <c r="Q56" s="265" t="s">
        <v>3947</v>
      </c>
      <c r="R56" s="265">
        <v>0</v>
      </c>
      <c r="S56" s="265" t="s">
        <v>3948</v>
      </c>
      <c r="T56" s="347">
        <v>0.14250000000000002</v>
      </c>
      <c r="U56" s="347">
        <v>5.7</v>
      </c>
      <c r="V56" s="348">
        <v>0.54151454897280094</v>
      </c>
    </row>
    <row r="57" spans="1:22" s="17" customFormat="1" ht="34.5" customHeight="1">
      <c r="A57" s="104" t="str">
        <f>IF(K57&gt;0,COUNT($A$7:A56)+COUNT('DWV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7" s="112"/>
      <c r="C57" s="79"/>
      <c r="D57" s="106" t="s">
        <v>3953</v>
      </c>
      <c r="E57" s="106">
        <v>100021770</v>
      </c>
      <c r="F57" s="159" t="s">
        <v>3954</v>
      </c>
      <c r="G57" s="106">
        <v>40</v>
      </c>
      <c r="H57" s="106">
        <v>2000</v>
      </c>
      <c r="I57" s="155">
        <f>_xlfn.XLOOKUP(E57,'All Products'!D:D,'All Products'!H:H)</f>
        <v>7.97</v>
      </c>
      <c r="J57" s="205">
        <f>ROUND(I57*Order_Quote!$L$20,2)</f>
        <v>39.85</v>
      </c>
      <c r="K57" s="184"/>
      <c r="L57" s="116"/>
      <c r="M57" s="199">
        <f t="shared" si="1"/>
        <v>0</v>
      </c>
      <c r="O57" s="265" t="s">
        <v>1351</v>
      </c>
      <c r="P57" s="265" t="s">
        <v>102</v>
      </c>
      <c r="Q57" s="265" t="s">
        <v>3955</v>
      </c>
      <c r="R57" s="265">
        <v>0</v>
      </c>
      <c r="S57" s="265" t="s">
        <v>3956</v>
      </c>
      <c r="T57" s="347">
        <v>0.21249999999999999</v>
      </c>
      <c r="U57" s="347">
        <v>8.5</v>
      </c>
      <c r="V57" s="348">
        <v>0.79843749999999991</v>
      </c>
    </row>
    <row r="58" spans="1:22" s="17" customFormat="1" ht="22.5" customHeight="1">
      <c r="A58" s="104" t="str">
        <f>IF(K58&gt;0,COUNT($A$7:A57)+COUNT('DWV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8" s="110"/>
      <c r="C58" s="111"/>
      <c r="D58" s="106" t="s">
        <v>3957</v>
      </c>
      <c r="E58" s="106">
        <v>100021796</v>
      </c>
      <c r="F58" s="159" t="s">
        <v>3958</v>
      </c>
      <c r="G58" s="106">
        <v>10</v>
      </c>
      <c r="H58" s="106">
        <v>600</v>
      </c>
      <c r="I58" s="155">
        <f>_xlfn.XLOOKUP(E58,'All Products'!D:D,'All Products'!H:H)</f>
        <v>22.29</v>
      </c>
      <c r="J58" s="205">
        <f>ROUND(I58*Order_Quote!$L$20,2)</f>
        <v>111.45</v>
      </c>
      <c r="K58" s="184"/>
      <c r="L58" s="116"/>
      <c r="M58" s="199">
        <f t="shared" si="1"/>
        <v>0</v>
      </c>
      <c r="O58" s="265" t="s">
        <v>1351</v>
      </c>
      <c r="P58" s="265" t="s">
        <v>102</v>
      </c>
      <c r="Q58" s="265" t="s">
        <v>3959</v>
      </c>
      <c r="R58" s="265">
        <v>0</v>
      </c>
      <c r="S58" s="265" t="s">
        <v>3960</v>
      </c>
      <c r="T58" s="347">
        <v>0.64</v>
      </c>
      <c r="U58" s="347">
        <v>6.4</v>
      </c>
      <c r="V58" s="348">
        <v>0.589691162109375</v>
      </c>
    </row>
    <row r="59" spans="1:22" s="17" customFormat="1" ht="22.5" customHeight="1">
      <c r="A59" s="104" t="str">
        <f>IF(K59&gt;0,COUNT($A$7:A58)+COUNT('DWV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59" s="112"/>
      <c r="C59" s="79"/>
      <c r="D59" s="106" t="s">
        <v>3961</v>
      </c>
      <c r="E59" s="106">
        <v>100021800</v>
      </c>
      <c r="F59" s="159" t="s">
        <v>3962</v>
      </c>
      <c r="G59" s="106">
        <v>10</v>
      </c>
      <c r="H59" s="106">
        <v>400</v>
      </c>
      <c r="I59" s="155">
        <f>_xlfn.XLOOKUP(E59,'All Products'!D:D,'All Products'!H:H)</f>
        <v>23.48</v>
      </c>
      <c r="J59" s="205">
        <f>ROUND(I59*Order_Quote!$L$20,2)</f>
        <v>117.4</v>
      </c>
      <c r="K59" s="184"/>
      <c r="L59" s="116"/>
      <c r="M59" s="199">
        <f t="shared" si="1"/>
        <v>0</v>
      </c>
      <c r="O59" s="265" t="s">
        <v>76</v>
      </c>
      <c r="P59" s="265" t="s">
        <v>102</v>
      </c>
      <c r="Q59" s="265" t="s">
        <v>3963</v>
      </c>
      <c r="R59" s="265">
        <v>0</v>
      </c>
      <c r="S59" s="265" t="s">
        <v>3964</v>
      </c>
      <c r="T59" s="347">
        <v>0.67999999999999994</v>
      </c>
      <c r="U59" s="347">
        <v>6.8</v>
      </c>
      <c r="V59" s="348">
        <v>0.84</v>
      </c>
    </row>
    <row r="60" spans="1:22" s="17" customFormat="1" ht="22.5" customHeight="1">
      <c r="A60" s="104" t="str">
        <f>IF(K60&gt;0,COUNT($A$7:A59)+COUNT('DWV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0" s="113"/>
      <c r="C60" s="114"/>
      <c r="D60" s="106" t="s">
        <v>3965</v>
      </c>
      <c r="E60" s="106">
        <v>100021822</v>
      </c>
      <c r="F60" s="159" t="s">
        <v>3966</v>
      </c>
      <c r="G60" s="106">
        <v>10</v>
      </c>
      <c r="H60" s="106">
        <v>320</v>
      </c>
      <c r="I60" s="155">
        <f>_xlfn.XLOOKUP(E60,'All Products'!D:D,'All Products'!H:H)</f>
        <v>43.18</v>
      </c>
      <c r="J60" s="205">
        <f>ROUND(I60*Order_Quote!$L$20,2)</f>
        <v>215.9</v>
      </c>
      <c r="K60" s="78"/>
      <c r="L60" s="116"/>
      <c r="M60" s="199">
        <f t="shared" si="1"/>
        <v>0</v>
      </c>
      <c r="O60" s="265" t="s">
        <v>1693</v>
      </c>
      <c r="P60" s="265" t="s">
        <v>102</v>
      </c>
      <c r="Q60" s="265" t="s">
        <v>3967</v>
      </c>
      <c r="R60" s="265">
        <v>0</v>
      </c>
      <c r="S60" s="265" t="s">
        <v>3968</v>
      </c>
      <c r="T60" s="347">
        <v>0.93</v>
      </c>
      <c r="U60" s="347">
        <v>9.3000000000000007</v>
      </c>
      <c r="V60" s="348">
        <v>1.21</v>
      </c>
    </row>
    <row r="61" spans="1:22" s="17" customFormat="1" ht="15" customHeight="1">
      <c r="A61" s="104" t="str">
        <f>IF(K61&gt;0,COUNT($A$7:A60)+COUNT('DWV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1" s="110"/>
      <c r="C61" s="111"/>
      <c r="D61" s="106" t="s">
        <v>3969</v>
      </c>
      <c r="E61" s="106">
        <v>100022190</v>
      </c>
      <c r="F61" s="159" t="s">
        <v>3970</v>
      </c>
      <c r="G61" s="106">
        <v>40</v>
      </c>
      <c r="H61" s="106">
        <v>3000</v>
      </c>
      <c r="I61" s="155">
        <f>_xlfn.XLOOKUP(E61,'All Products'!D:D,'All Products'!H:H)</f>
        <v>9.3699999999999992</v>
      </c>
      <c r="J61" s="205">
        <f>ROUND(I61*Order_Quote!$L$20,2)</f>
        <v>46.85</v>
      </c>
      <c r="K61" s="184"/>
      <c r="L61" s="116"/>
      <c r="M61" s="199">
        <f t="shared" si="1"/>
        <v>0</v>
      </c>
      <c r="O61" s="265" t="s">
        <v>1693</v>
      </c>
      <c r="P61" s="265" t="s">
        <v>102</v>
      </c>
      <c r="Q61" s="265" t="s">
        <v>3971</v>
      </c>
      <c r="R61" s="265">
        <v>0</v>
      </c>
      <c r="S61" s="265" t="s">
        <v>3972</v>
      </c>
      <c r="T61" s="347">
        <v>0.14499999999999999</v>
      </c>
      <c r="U61" s="347">
        <v>5.8</v>
      </c>
      <c r="V61" s="348">
        <v>0.53778425906250005</v>
      </c>
    </row>
    <row r="62" spans="1:22" s="17" customFormat="1" ht="15">
      <c r="A62" s="104" t="str">
        <f>IF(K62&gt;0,COUNT($A$7:A61)+COUNT('DWV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2" s="112"/>
      <c r="C62" s="79"/>
      <c r="D62" s="106" t="s">
        <v>3973</v>
      </c>
      <c r="E62" s="106">
        <v>100021774</v>
      </c>
      <c r="F62" s="159" t="s">
        <v>3974</v>
      </c>
      <c r="G62" s="106">
        <v>20</v>
      </c>
      <c r="H62" s="106">
        <v>1600</v>
      </c>
      <c r="I62" s="155">
        <f>_xlfn.XLOOKUP(E62,'All Products'!D:D,'All Products'!H:H)</f>
        <v>10.3</v>
      </c>
      <c r="J62" s="205">
        <f>ROUND(I62*Order_Quote!$L$20,2)</f>
        <v>51.5</v>
      </c>
      <c r="K62" s="184"/>
      <c r="L62" s="116"/>
      <c r="M62" s="199">
        <f t="shared" si="1"/>
        <v>0</v>
      </c>
      <c r="O62" s="265" t="s">
        <v>76</v>
      </c>
      <c r="P62" s="265" t="s">
        <v>102</v>
      </c>
      <c r="Q62" s="265" t="s">
        <v>3975</v>
      </c>
      <c r="R62" s="265">
        <v>0</v>
      </c>
      <c r="S62" s="265" t="s">
        <v>3976</v>
      </c>
      <c r="T62" s="347">
        <v>0.27</v>
      </c>
      <c r="U62" s="347">
        <v>5.4</v>
      </c>
      <c r="V62" s="348">
        <v>0.5271447753906251</v>
      </c>
    </row>
    <row r="63" spans="1:22" s="17" customFormat="1" ht="15" customHeight="1">
      <c r="A63" s="104" t="str">
        <f>IF(K63&gt;0,COUNT($A$7:A62)+COUNT('DWV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3" s="112"/>
      <c r="C63" s="79"/>
      <c r="D63" s="106" t="s">
        <v>3977</v>
      </c>
      <c r="E63" s="106">
        <v>100021789</v>
      </c>
      <c r="F63" s="159" t="s">
        <v>3978</v>
      </c>
      <c r="G63" s="106">
        <v>10</v>
      </c>
      <c r="H63" s="106">
        <v>960</v>
      </c>
      <c r="I63" s="155">
        <f>_xlfn.XLOOKUP(E63,'All Products'!D:D,'All Products'!H:H)</f>
        <v>15.75</v>
      </c>
      <c r="J63" s="205">
        <f>ROUND(I63*Order_Quote!$L$20,2)</f>
        <v>78.75</v>
      </c>
      <c r="K63" s="184"/>
      <c r="L63" s="116"/>
      <c r="M63" s="199">
        <f t="shared" si="1"/>
        <v>0</v>
      </c>
      <c r="O63" s="265" t="s">
        <v>1351</v>
      </c>
      <c r="P63" s="265" t="s">
        <v>102</v>
      </c>
      <c r="Q63" s="265" t="s">
        <v>3979</v>
      </c>
      <c r="R63" s="265">
        <v>0</v>
      </c>
      <c r="S63" s="265" t="s">
        <v>3980</v>
      </c>
      <c r="T63" s="347">
        <v>0.47450000000000003</v>
      </c>
      <c r="U63" s="347">
        <v>4.7450000000000001</v>
      </c>
      <c r="V63" s="348">
        <v>0.45638462890624998</v>
      </c>
    </row>
    <row r="64" spans="1:22" s="17" customFormat="1" ht="15">
      <c r="A64" s="104" t="str">
        <f>IF(K64&gt;0,COUNT($A$7:A63)+COUNT('DWV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4" s="112"/>
      <c r="C64" s="79"/>
      <c r="D64" s="106" t="s">
        <v>3981</v>
      </c>
      <c r="E64" s="106">
        <v>100022192</v>
      </c>
      <c r="F64" s="159" t="s">
        <v>3982</v>
      </c>
      <c r="G64" s="106">
        <v>10</v>
      </c>
      <c r="H64" s="106">
        <v>600</v>
      </c>
      <c r="I64" s="155">
        <f>_xlfn.XLOOKUP(E64,'All Products'!D:D,'All Products'!H:H)</f>
        <v>22.79</v>
      </c>
      <c r="J64" s="205">
        <f>ROUND(I64*Order_Quote!$L$20,2)</f>
        <v>113.95</v>
      </c>
      <c r="K64" s="184"/>
      <c r="L64" s="116"/>
      <c r="M64" s="199">
        <f t="shared" si="1"/>
        <v>0</v>
      </c>
      <c r="O64" s="265" t="s">
        <v>1351</v>
      </c>
      <c r="P64" s="265" t="s">
        <v>102</v>
      </c>
      <c r="Q64" s="265" t="s">
        <v>3983</v>
      </c>
      <c r="R64" s="265">
        <v>0</v>
      </c>
      <c r="S64" s="265" t="s">
        <v>3984</v>
      </c>
      <c r="T64" s="347">
        <v>1.01</v>
      </c>
      <c r="U64" s="347">
        <v>10.1</v>
      </c>
      <c r="V64" s="348">
        <v>0.70626768663194439</v>
      </c>
    </row>
    <row r="65" spans="1:22" s="17" customFormat="1" ht="15">
      <c r="A65" s="104" t="str">
        <f>IF(K65&gt;0,COUNT($A$7:A64)+COUNT('DWV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5" s="112"/>
      <c r="C65" s="79"/>
      <c r="D65" s="106" t="s">
        <v>3985</v>
      </c>
      <c r="E65" s="106">
        <v>100022193</v>
      </c>
      <c r="F65" s="159" t="s">
        <v>3986</v>
      </c>
      <c r="G65" s="106">
        <v>10</v>
      </c>
      <c r="H65" s="106">
        <v>450</v>
      </c>
      <c r="I65" s="155">
        <f>_xlfn.XLOOKUP(E65,'All Products'!D:D,'All Products'!H:H)</f>
        <v>24.91</v>
      </c>
      <c r="J65" s="205">
        <f>ROUND(I65*Order_Quote!$L$20,2)</f>
        <v>124.55</v>
      </c>
      <c r="K65" s="184"/>
      <c r="L65" s="116"/>
      <c r="M65" s="199">
        <f t="shared" si="1"/>
        <v>0</v>
      </c>
      <c r="O65" s="265" t="s">
        <v>1351</v>
      </c>
      <c r="P65" s="265" t="s">
        <v>102</v>
      </c>
      <c r="Q65" s="265" t="s">
        <v>3987</v>
      </c>
      <c r="R65" s="265">
        <v>0</v>
      </c>
      <c r="S65" s="265" t="s">
        <v>3988</v>
      </c>
      <c r="T65" s="347">
        <v>1.0900000000000001</v>
      </c>
      <c r="U65" s="347">
        <v>10.9</v>
      </c>
      <c r="V65" s="348">
        <v>0.90946283637152792</v>
      </c>
    </row>
    <row r="66" spans="1:22" s="17" customFormat="1" ht="15">
      <c r="A66" s="104" t="str">
        <f>IF(K66&gt;0,COUNT($A$7:A65)+COUNT('DWV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6" s="113"/>
      <c r="C66" s="114"/>
      <c r="D66" s="106" t="s">
        <v>3989</v>
      </c>
      <c r="E66" s="106">
        <v>100021809</v>
      </c>
      <c r="F66" s="159" t="s">
        <v>3990</v>
      </c>
      <c r="G66" s="106">
        <v>10</v>
      </c>
      <c r="H66" s="106">
        <v>320</v>
      </c>
      <c r="I66" s="155">
        <f>_xlfn.XLOOKUP(E66,'All Products'!D:D,'All Products'!H:H)</f>
        <v>38.46</v>
      </c>
      <c r="J66" s="205">
        <f>ROUND(I66*Order_Quote!$L$20,2)</f>
        <v>192.3</v>
      </c>
      <c r="K66" s="184"/>
      <c r="L66" s="116"/>
      <c r="M66" s="199">
        <f t="shared" si="1"/>
        <v>0</v>
      </c>
      <c r="O66" s="265" t="s">
        <v>1351</v>
      </c>
      <c r="P66" s="265" t="s">
        <v>102</v>
      </c>
      <c r="Q66" s="265" t="s">
        <v>3991</v>
      </c>
      <c r="R66" s="265">
        <v>0</v>
      </c>
      <c r="S66" s="265" t="s">
        <v>3992</v>
      </c>
      <c r="T66" s="347">
        <v>1.21</v>
      </c>
      <c r="U66" s="347">
        <v>12.1</v>
      </c>
      <c r="V66" s="348">
        <v>1.2166341145833333</v>
      </c>
    </row>
    <row r="67" spans="1:22" s="17" customFormat="1" ht="15.75" customHeight="1">
      <c r="A67" s="104" t="str">
        <f>IF(K67&gt;0,COUNT($A$7:A66)+COUNT('DWV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7" s="110"/>
      <c r="C67" s="111"/>
      <c r="D67" s="106" t="s">
        <v>3993</v>
      </c>
      <c r="E67" s="106">
        <v>100021767</v>
      </c>
      <c r="F67" s="159" t="s">
        <v>3994</v>
      </c>
      <c r="G67" s="106">
        <v>40</v>
      </c>
      <c r="H67" s="106">
        <v>3000</v>
      </c>
      <c r="I67" s="155">
        <f>_xlfn.XLOOKUP(E67,'All Products'!D:D,'All Products'!H:H)</f>
        <v>9.3699999999999992</v>
      </c>
      <c r="J67" s="205">
        <f>ROUND(I67*Order_Quote!$L$20,2)</f>
        <v>46.85</v>
      </c>
      <c r="K67" s="184"/>
      <c r="L67" s="116"/>
      <c r="M67" s="199">
        <f t="shared" si="1"/>
        <v>0</v>
      </c>
      <c r="O67" s="265" t="s">
        <v>1693</v>
      </c>
      <c r="P67" s="265" t="s">
        <v>102</v>
      </c>
      <c r="Q67" s="265" t="s">
        <v>3995</v>
      </c>
      <c r="R67" s="265">
        <v>0</v>
      </c>
      <c r="S67" s="265" t="s">
        <v>3996</v>
      </c>
      <c r="T67" s="347">
        <v>0.14499999999999999</v>
      </c>
      <c r="U67" s="347">
        <v>5.8</v>
      </c>
      <c r="V67" s="348">
        <v>0.53778425906250005</v>
      </c>
    </row>
    <row r="68" spans="1:22" s="17" customFormat="1" ht="15.75" customHeight="1">
      <c r="A68" s="104" t="str">
        <f>IF(K68&gt;0,COUNT($A$7:A67)+COUNT('DWV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8" s="112"/>
      <c r="C68" s="79"/>
      <c r="D68" s="106" t="s">
        <v>3997</v>
      </c>
      <c r="E68" s="106">
        <v>100021776</v>
      </c>
      <c r="F68" s="159" t="s">
        <v>3998</v>
      </c>
      <c r="G68" s="106">
        <v>20</v>
      </c>
      <c r="H68" s="106">
        <v>1600</v>
      </c>
      <c r="I68" s="155">
        <f>_xlfn.XLOOKUP(E68,'All Products'!D:D,'All Products'!H:H)</f>
        <v>10.3</v>
      </c>
      <c r="J68" s="205">
        <f>ROUND(I68*Order_Quote!$L$20,2)</f>
        <v>51.5</v>
      </c>
      <c r="K68" s="184"/>
      <c r="L68" s="116"/>
      <c r="M68" s="199">
        <f t="shared" si="1"/>
        <v>0</v>
      </c>
      <c r="O68" s="265" t="s">
        <v>76</v>
      </c>
      <c r="P68" s="265" t="s">
        <v>102</v>
      </c>
      <c r="Q68" s="265" t="s">
        <v>3999</v>
      </c>
      <c r="R68" s="265">
        <v>0</v>
      </c>
      <c r="S68" s="265" t="s">
        <v>4000</v>
      </c>
      <c r="T68" s="347">
        <v>0.27</v>
      </c>
      <c r="U68" s="347">
        <v>5.4</v>
      </c>
      <c r="V68" s="348">
        <v>0.5271447753906251</v>
      </c>
    </row>
    <row r="69" spans="1:22" s="17" customFormat="1" ht="15.75" customHeight="1">
      <c r="A69" s="104" t="str">
        <f>IF(K69&gt;0,COUNT($A$7:A68)+COUNT('DWV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69" s="112"/>
      <c r="C69" s="79"/>
      <c r="D69" s="106" t="s">
        <v>4001</v>
      </c>
      <c r="E69" s="106">
        <v>100021794</v>
      </c>
      <c r="F69" s="159" t="s">
        <v>4002</v>
      </c>
      <c r="G69" s="106">
        <v>10</v>
      </c>
      <c r="H69" s="106">
        <v>960</v>
      </c>
      <c r="I69" s="155">
        <f>_xlfn.XLOOKUP(E69,'All Products'!D:D,'All Products'!H:H)</f>
        <v>15.75</v>
      </c>
      <c r="J69" s="205">
        <f>ROUND(I69*Order_Quote!$L$20,2)</f>
        <v>78.75</v>
      </c>
      <c r="K69" s="184"/>
      <c r="L69" s="116"/>
      <c r="M69" s="199">
        <f t="shared" si="1"/>
        <v>0</v>
      </c>
      <c r="O69" s="265" t="s">
        <v>76</v>
      </c>
      <c r="P69" s="265" t="s">
        <v>102</v>
      </c>
      <c r="Q69" s="265" t="s">
        <v>4003</v>
      </c>
      <c r="R69" s="265">
        <v>0</v>
      </c>
      <c r="S69" s="265" t="s">
        <v>4004</v>
      </c>
      <c r="T69" s="347">
        <v>0.47450000000000003</v>
      </c>
      <c r="U69" s="347">
        <v>4.7450000000000001</v>
      </c>
      <c r="V69" s="348">
        <v>0.45638462890624998</v>
      </c>
    </row>
    <row r="70" spans="1:22" s="17" customFormat="1" ht="15.75" customHeight="1">
      <c r="A70" s="104" t="str">
        <f>IF(K70&gt;0,COUNT($A$7:A69)+COUNT('DWV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0" s="113"/>
      <c r="C70" s="114"/>
      <c r="D70" s="106" t="s">
        <v>4005</v>
      </c>
      <c r="E70" s="106">
        <v>100022194</v>
      </c>
      <c r="F70" s="159" t="s">
        <v>4006</v>
      </c>
      <c r="G70" s="106">
        <v>10</v>
      </c>
      <c r="H70" s="106">
        <v>320</v>
      </c>
      <c r="I70" s="155">
        <f>_xlfn.XLOOKUP(E70,'All Products'!D:D,'All Products'!H:H)</f>
        <v>38.46</v>
      </c>
      <c r="J70" s="205">
        <f>ROUND(I70*Order_Quote!$L$20,2)</f>
        <v>192.3</v>
      </c>
      <c r="K70" s="184"/>
      <c r="L70" s="116"/>
      <c r="M70" s="199">
        <f t="shared" ref="M70:M91" si="2">K70/G70</f>
        <v>0</v>
      </c>
      <c r="O70" s="265" t="s">
        <v>1693</v>
      </c>
      <c r="P70" s="265" t="s">
        <v>102</v>
      </c>
      <c r="Q70" s="265" t="s">
        <v>4007</v>
      </c>
      <c r="R70" s="265">
        <v>0</v>
      </c>
      <c r="S70" s="265" t="s">
        <v>4008</v>
      </c>
      <c r="T70" s="347">
        <v>1.27</v>
      </c>
      <c r="U70" s="347">
        <v>12.7</v>
      </c>
      <c r="V70" s="348">
        <v>1.2166341145833333</v>
      </c>
    </row>
    <row r="71" spans="1:22" s="17" customFormat="1" ht="12" customHeight="1">
      <c r="A71" s="104" t="str">
        <f>IF(K71&gt;0,COUNT($A$7:A70)+COUNT('DWV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1" s="110"/>
      <c r="C71" s="111"/>
      <c r="D71" s="106" t="s">
        <v>4009</v>
      </c>
      <c r="E71" s="106">
        <v>100021771</v>
      </c>
      <c r="F71" s="159" t="s">
        <v>4010</v>
      </c>
      <c r="G71" s="106">
        <v>40</v>
      </c>
      <c r="H71" s="106">
        <v>3000</v>
      </c>
      <c r="I71" s="155">
        <f>_xlfn.XLOOKUP(E71,'All Products'!D:D,'All Products'!H:H)</f>
        <v>9.3699999999999992</v>
      </c>
      <c r="J71" s="205">
        <f>ROUND(I71*Order_Quote!$L$20,2)</f>
        <v>46.85</v>
      </c>
      <c r="K71" s="184"/>
      <c r="L71" s="116"/>
      <c r="M71" s="199">
        <f t="shared" si="2"/>
        <v>0</v>
      </c>
      <c r="O71" s="265" t="s">
        <v>1351</v>
      </c>
      <c r="P71" s="265" t="s">
        <v>102</v>
      </c>
      <c r="Q71" s="265" t="s">
        <v>4011</v>
      </c>
      <c r="R71" s="265">
        <v>0</v>
      </c>
      <c r="S71" s="265" t="s">
        <v>4012</v>
      </c>
      <c r="T71" s="347">
        <v>0.16499999999999998</v>
      </c>
      <c r="U71" s="347">
        <v>6.6</v>
      </c>
      <c r="V71" s="348">
        <v>0.53778425906250005</v>
      </c>
    </row>
    <row r="72" spans="1:22" s="17" customFormat="1" ht="12" customHeight="1">
      <c r="A72" s="104" t="str">
        <f>IF(K72&gt;0,COUNT($A$7:A71)+COUNT('DWV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2" s="112"/>
      <c r="C72" s="79"/>
      <c r="D72" s="106" t="s">
        <v>4013</v>
      </c>
      <c r="E72" s="106">
        <v>100021777</v>
      </c>
      <c r="F72" s="159" t="s">
        <v>4014</v>
      </c>
      <c r="G72" s="106">
        <v>20</v>
      </c>
      <c r="H72" s="106">
        <v>1600</v>
      </c>
      <c r="I72" s="155">
        <f>_xlfn.XLOOKUP(E72,'All Products'!D:D,'All Products'!H:H)</f>
        <v>10.3</v>
      </c>
      <c r="J72" s="205">
        <f>ROUND(I72*Order_Quote!$L$20,2)</f>
        <v>51.5</v>
      </c>
      <c r="K72" s="184"/>
      <c r="L72" s="116"/>
      <c r="M72" s="199">
        <f t="shared" si="2"/>
        <v>0</v>
      </c>
      <c r="O72" s="265" t="s">
        <v>1351</v>
      </c>
      <c r="P72" s="265" t="s">
        <v>102</v>
      </c>
      <c r="Q72" s="265" t="s">
        <v>4015</v>
      </c>
      <c r="R72" s="265">
        <v>0</v>
      </c>
      <c r="S72" s="265" t="s">
        <v>4016</v>
      </c>
      <c r="T72" s="347">
        <v>0.26500000000000001</v>
      </c>
      <c r="U72" s="347">
        <v>5.3</v>
      </c>
      <c r="V72" s="348">
        <v>0.5271447753906251</v>
      </c>
    </row>
    <row r="73" spans="1:22" s="17" customFormat="1" ht="12" customHeight="1">
      <c r="A73" s="104" t="str">
        <f>IF(K73&gt;0,COUNT($A$7:A72)+COUNT('DWV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3" s="112"/>
      <c r="C73" s="79"/>
      <c r="D73" s="106" t="s">
        <v>4017</v>
      </c>
      <c r="E73" s="106">
        <v>100021797</v>
      </c>
      <c r="F73" s="159" t="s">
        <v>4018</v>
      </c>
      <c r="G73" s="106">
        <v>10</v>
      </c>
      <c r="H73" s="106">
        <v>960</v>
      </c>
      <c r="I73" s="155">
        <f>_xlfn.XLOOKUP(E73,'All Products'!D:D,'All Products'!H:H)</f>
        <v>15.75</v>
      </c>
      <c r="J73" s="205">
        <f>ROUND(I73*Order_Quote!$L$20,2)</f>
        <v>78.75</v>
      </c>
      <c r="K73" s="184"/>
      <c r="L73" s="116"/>
      <c r="M73" s="199">
        <f t="shared" si="2"/>
        <v>0</v>
      </c>
      <c r="O73" s="265" t="s">
        <v>1351</v>
      </c>
      <c r="P73" s="265" t="s">
        <v>102</v>
      </c>
      <c r="Q73" s="265" t="s">
        <v>4019</v>
      </c>
      <c r="R73" s="265">
        <v>0</v>
      </c>
      <c r="S73" s="265" t="s">
        <v>4020</v>
      </c>
      <c r="T73" s="347">
        <v>0.48</v>
      </c>
      <c r="U73" s="347">
        <v>4.8</v>
      </c>
      <c r="V73" s="348">
        <v>0.45638462890624998</v>
      </c>
    </row>
    <row r="74" spans="1:22" s="17" customFormat="1" ht="12" customHeight="1">
      <c r="A74" s="104" t="str">
        <f>IF(K74&gt;0,COUNT($A$7:A73)+COUNT('DWV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4" s="112"/>
      <c r="C74" s="79"/>
      <c r="D74" s="106" t="s">
        <v>4021</v>
      </c>
      <c r="E74" s="106">
        <v>100021798</v>
      </c>
      <c r="F74" s="159" t="s">
        <v>4022</v>
      </c>
      <c r="G74" s="106">
        <v>10</v>
      </c>
      <c r="H74" s="106">
        <v>600</v>
      </c>
      <c r="I74" s="155">
        <f>_xlfn.XLOOKUP(E74,'All Products'!D:D,'All Products'!H:H)</f>
        <v>22.79</v>
      </c>
      <c r="J74" s="205">
        <f>ROUND(I74*Order_Quote!$L$20,2)</f>
        <v>113.95</v>
      </c>
      <c r="K74" s="184"/>
      <c r="L74" s="116"/>
      <c r="M74" s="199">
        <f t="shared" si="2"/>
        <v>0</v>
      </c>
      <c r="O74" s="265" t="s">
        <v>1693</v>
      </c>
      <c r="P74" s="265" t="s">
        <v>102</v>
      </c>
      <c r="Q74" s="265" t="s">
        <v>4023</v>
      </c>
      <c r="R74" s="265">
        <v>0</v>
      </c>
      <c r="S74" s="265" t="s">
        <v>4024</v>
      </c>
      <c r="T74" s="347">
        <v>1.05</v>
      </c>
      <c r="U74" s="347">
        <v>10.5</v>
      </c>
      <c r="V74" s="348">
        <v>0.71</v>
      </c>
    </row>
    <row r="75" spans="1:22" s="17" customFormat="1" ht="12" customHeight="1">
      <c r="A75" s="104" t="str">
        <f>IF(K75&gt;0,COUNT($A$7:A74)+COUNT('DWV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5" s="112"/>
      <c r="C75" s="79"/>
      <c r="D75" s="106" t="s">
        <v>4025</v>
      </c>
      <c r="E75" s="106">
        <v>100021801</v>
      </c>
      <c r="F75" s="159" t="s">
        <v>4026</v>
      </c>
      <c r="G75" s="106">
        <v>10</v>
      </c>
      <c r="H75" s="106">
        <v>450</v>
      </c>
      <c r="I75" s="155">
        <f>_xlfn.XLOOKUP(E75,'All Products'!D:D,'All Products'!H:H)</f>
        <v>24.91</v>
      </c>
      <c r="J75" s="205">
        <f>ROUND(I75*Order_Quote!$L$20,2)</f>
        <v>124.55</v>
      </c>
      <c r="K75" s="184"/>
      <c r="L75" s="116"/>
      <c r="M75" s="199">
        <f t="shared" si="2"/>
        <v>0</v>
      </c>
      <c r="O75" s="265" t="s">
        <v>1351</v>
      </c>
      <c r="P75" s="265" t="s">
        <v>102</v>
      </c>
      <c r="Q75" s="265" t="s">
        <v>4027</v>
      </c>
      <c r="R75" s="265">
        <v>0</v>
      </c>
      <c r="S75" s="265" t="s">
        <v>4028</v>
      </c>
      <c r="T75" s="347">
        <v>1.1400000000000001</v>
      </c>
      <c r="U75" s="347">
        <v>11.4</v>
      </c>
      <c r="V75" s="348">
        <v>0.90946283637152792</v>
      </c>
    </row>
    <row r="76" spans="1:22" s="17" customFormat="1" ht="12" customHeight="1">
      <c r="A76" s="104" t="str">
        <f>IF(K76&gt;0,COUNT($A$7:A75)+COUNT('DWV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6" s="113"/>
      <c r="C76" s="114"/>
      <c r="D76" s="106" t="s">
        <v>4029</v>
      </c>
      <c r="E76" s="106">
        <v>100021818</v>
      </c>
      <c r="F76" s="159" t="s">
        <v>4030</v>
      </c>
      <c r="G76" s="106">
        <v>10</v>
      </c>
      <c r="H76" s="106">
        <v>320</v>
      </c>
      <c r="I76" s="155">
        <f>_xlfn.XLOOKUP(E76,'All Products'!D:D,'All Products'!H:H)</f>
        <v>38.46</v>
      </c>
      <c r="J76" s="205">
        <f>ROUND(I76*Order_Quote!$L$20,2)</f>
        <v>192.3</v>
      </c>
      <c r="K76" s="78"/>
      <c r="L76" s="116"/>
      <c r="M76" s="199">
        <f t="shared" si="2"/>
        <v>0</v>
      </c>
      <c r="O76" s="265" t="s">
        <v>359</v>
      </c>
      <c r="P76" s="265" t="s">
        <v>102</v>
      </c>
      <c r="Q76" s="265" t="s">
        <v>4031</v>
      </c>
      <c r="R76" s="265">
        <v>0</v>
      </c>
      <c r="S76" s="265" t="s">
        <v>4032</v>
      </c>
      <c r="T76" s="347">
        <v>1.27</v>
      </c>
      <c r="U76" s="347">
        <v>12.7</v>
      </c>
      <c r="V76" s="348">
        <v>1.2166341145833333</v>
      </c>
    </row>
    <row r="77" spans="1:22" s="17" customFormat="1" ht="34.5" customHeight="1">
      <c r="A77" s="104" t="str">
        <f>IF(K77&gt;0,COUNT($A$7:A76)+COUNT('DWV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7" s="110"/>
      <c r="C77" s="111"/>
      <c r="D77" s="106" t="s">
        <v>4033</v>
      </c>
      <c r="E77" s="106">
        <v>100021813</v>
      </c>
      <c r="F77" s="159" t="s">
        <v>4034</v>
      </c>
      <c r="G77" s="106">
        <v>10</v>
      </c>
      <c r="H77" s="106">
        <v>600</v>
      </c>
      <c r="I77" s="155">
        <f>_xlfn.XLOOKUP(E77,'All Products'!D:D,'All Products'!H:H)</f>
        <v>84.73</v>
      </c>
      <c r="J77" s="205">
        <f>ROUND(I77*Order_Quote!$L$20,2)</f>
        <v>423.65</v>
      </c>
      <c r="K77" s="184"/>
      <c r="L77" s="116"/>
      <c r="M77" s="199">
        <f t="shared" si="2"/>
        <v>0</v>
      </c>
      <c r="O77" s="265" t="s">
        <v>1351</v>
      </c>
      <c r="P77" s="265" t="s">
        <v>102</v>
      </c>
      <c r="Q77" s="265" t="s">
        <v>4035</v>
      </c>
      <c r="R77" s="265">
        <v>0</v>
      </c>
      <c r="S77" s="265" t="s">
        <v>4036</v>
      </c>
      <c r="T77" s="347">
        <v>0.91500000000000004</v>
      </c>
      <c r="U77" s="347">
        <v>9.15</v>
      </c>
      <c r="V77" s="348">
        <v>0.69427490234375</v>
      </c>
    </row>
    <row r="78" spans="1:22" s="17" customFormat="1" ht="34.5" customHeight="1">
      <c r="A78" s="104" t="str">
        <f>IF(K78&gt;0,COUNT($A$7:A77)+COUNT('DWV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8" s="113"/>
      <c r="C78" s="114"/>
      <c r="D78" s="106" t="s">
        <v>4037</v>
      </c>
      <c r="E78" s="106">
        <v>100021835</v>
      </c>
      <c r="F78" s="159" t="s">
        <v>4038</v>
      </c>
      <c r="G78" s="106">
        <v>10</v>
      </c>
      <c r="H78" s="106">
        <v>480</v>
      </c>
      <c r="I78" s="155">
        <f>_xlfn.XLOOKUP(E78,'All Products'!D:D,'All Products'!H:H)</f>
        <v>125.77</v>
      </c>
      <c r="J78" s="205">
        <f>ROUND(I78*Order_Quote!$L$20,2)</f>
        <v>628.85</v>
      </c>
      <c r="K78" s="78"/>
      <c r="L78" s="116"/>
      <c r="M78" s="199">
        <f t="shared" si="2"/>
        <v>0</v>
      </c>
      <c r="O78" s="265" t="s">
        <v>76</v>
      </c>
      <c r="P78" s="265" t="s">
        <v>102</v>
      </c>
      <c r="Q78" s="265" t="s">
        <v>4039</v>
      </c>
      <c r="R78" s="265">
        <v>0</v>
      </c>
      <c r="S78" s="265" t="s">
        <v>4040</v>
      </c>
      <c r="T78" s="347">
        <v>1.593</v>
      </c>
      <c r="U78" s="347">
        <v>15.93</v>
      </c>
      <c r="V78" s="348">
        <v>1.384593822337963</v>
      </c>
    </row>
    <row r="79" spans="1:22" s="17" customFormat="1" ht="31.5" customHeight="1">
      <c r="A79" s="104" t="str">
        <f>IF(K79&gt;0,COUNT($A$7:A78)+COUNT('DWV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79" s="110"/>
      <c r="C79" s="111"/>
      <c r="D79" s="106" t="s">
        <v>4041</v>
      </c>
      <c r="E79" s="106">
        <v>100022195</v>
      </c>
      <c r="F79" s="159" t="s">
        <v>4042</v>
      </c>
      <c r="G79" s="106">
        <v>10</v>
      </c>
      <c r="H79" s="106">
        <v>600</v>
      </c>
      <c r="I79" s="155">
        <f>_xlfn.XLOOKUP(E79,'All Products'!D:D,'All Products'!H:H)</f>
        <v>84.73</v>
      </c>
      <c r="J79" s="205">
        <f>ROUND(I79*Order_Quote!$L$20,2)</f>
        <v>423.65</v>
      </c>
      <c r="K79" s="78"/>
      <c r="L79" s="116"/>
      <c r="M79" s="199">
        <f t="shared" si="2"/>
        <v>0</v>
      </c>
      <c r="O79" s="265" t="s">
        <v>1693</v>
      </c>
      <c r="P79" s="265" t="s">
        <v>102</v>
      </c>
      <c r="Q79" s="265" t="s">
        <v>4043</v>
      </c>
      <c r="R79" s="265">
        <v>0</v>
      </c>
      <c r="S79" s="265" t="s">
        <v>4044</v>
      </c>
      <c r="T79" s="347">
        <v>0.91500000000000004</v>
      </c>
      <c r="U79" s="347">
        <v>9.15</v>
      </c>
      <c r="V79" s="348">
        <v>0.69</v>
      </c>
    </row>
    <row r="80" spans="1:22" s="17" customFormat="1" ht="31.5" customHeight="1">
      <c r="A80" s="104" t="str">
        <f>IF(K80&gt;0,COUNT($A$7:A79)+COUNT('DWV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0" s="113"/>
      <c r="C80" s="114"/>
      <c r="D80" s="106" t="s">
        <v>4045</v>
      </c>
      <c r="E80" s="106">
        <v>100021844</v>
      </c>
      <c r="F80" s="159" t="s">
        <v>4046</v>
      </c>
      <c r="G80" s="106">
        <v>10</v>
      </c>
      <c r="H80" s="106">
        <v>480</v>
      </c>
      <c r="I80" s="155">
        <f>_xlfn.XLOOKUP(E80,'All Products'!D:D,'All Products'!H:H)</f>
        <v>125.77</v>
      </c>
      <c r="J80" s="205">
        <f>ROUND(I80*Order_Quote!$L$20,2)</f>
        <v>628.85</v>
      </c>
      <c r="K80" s="78"/>
      <c r="L80" s="116"/>
      <c r="M80" s="199">
        <f t="shared" si="2"/>
        <v>0</v>
      </c>
      <c r="O80" s="265" t="s">
        <v>1351</v>
      </c>
      <c r="P80" s="265" t="s">
        <v>102</v>
      </c>
      <c r="Q80" s="265" t="s">
        <v>4047</v>
      </c>
      <c r="R80" s="265">
        <v>0</v>
      </c>
      <c r="S80" s="265" t="s">
        <v>4048</v>
      </c>
      <c r="T80" s="347">
        <v>1.6</v>
      </c>
      <c r="U80" s="347">
        <v>16</v>
      </c>
      <c r="V80" s="348">
        <v>1.1499999999999999</v>
      </c>
    </row>
    <row r="81" spans="1:22" s="17" customFormat="1" ht="30" customHeight="1">
      <c r="A81" s="104" t="str">
        <f>IF(K81&gt;0,COUNT($A$7:A80)+COUNT('DWV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1" s="110"/>
      <c r="C81" s="111"/>
      <c r="D81" s="106" t="s">
        <v>4049</v>
      </c>
      <c r="E81" s="106">
        <v>100021814</v>
      </c>
      <c r="F81" s="159" t="s">
        <v>4050</v>
      </c>
      <c r="G81" s="106">
        <v>10</v>
      </c>
      <c r="H81" s="106">
        <v>600</v>
      </c>
      <c r="I81" s="155">
        <f>_xlfn.XLOOKUP(E81,'All Products'!D:D,'All Products'!H:H)</f>
        <v>73.45</v>
      </c>
      <c r="J81" s="205">
        <f>ROUND(I81*Order_Quote!$L$20,2)</f>
        <v>367.25</v>
      </c>
      <c r="K81" s="184"/>
      <c r="L81" s="116"/>
      <c r="M81" s="199">
        <f t="shared" si="2"/>
        <v>0</v>
      </c>
      <c r="O81" s="265" t="s">
        <v>1351</v>
      </c>
      <c r="P81" s="265" t="s">
        <v>102</v>
      </c>
      <c r="Q81" s="265" t="s">
        <v>4051</v>
      </c>
      <c r="R81" s="265">
        <v>0</v>
      </c>
      <c r="S81" s="265" t="s">
        <v>4052</v>
      </c>
      <c r="T81" s="347">
        <v>1.177</v>
      </c>
      <c r="U81" s="347">
        <v>11.77</v>
      </c>
      <c r="V81" s="348">
        <v>0.54762098524305558</v>
      </c>
    </row>
    <row r="82" spans="1:22" s="17" customFormat="1" ht="30" customHeight="1">
      <c r="A82" s="104" t="str">
        <f>IF(K82&gt;0,COUNT($A$7:A81)+COUNT('DWV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2" s="113"/>
      <c r="C82" s="114"/>
      <c r="D82" s="106" t="s">
        <v>4053</v>
      </c>
      <c r="E82" s="106">
        <v>100021836</v>
      </c>
      <c r="F82" s="159" t="s">
        <v>4054</v>
      </c>
      <c r="G82" s="106">
        <v>10</v>
      </c>
      <c r="H82" s="106">
        <v>480</v>
      </c>
      <c r="I82" s="155">
        <f>_xlfn.XLOOKUP(E82,'All Products'!D:D,'All Products'!H:H)</f>
        <v>106.87</v>
      </c>
      <c r="J82" s="205">
        <f>ROUND(I82*Order_Quote!$L$20,2)</f>
        <v>534.35</v>
      </c>
      <c r="K82" s="78"/>
      <c r="L82" s="116"/>
      <c r="M82" s="199">
        <f t="shared" si="2"/>
        <v>0</v>
      </c>
      <c r="O82" s="265" t="s">
        <v>76</v>
      </c>
      <c r="P82" s="265" t="s">
        <v>102</v>
      </c>
      <c r="Q82" s="265" t="s">
        <v>4055</v>
      </c>
      <c r="R82" s="265">
        <v>0</v>
      </c>
      <c r="S82" s="265" t="s">
        <v>4056</v>
      </c>
      <c r="T82" s="347">
        <v>1.6320000000000001</v>
      </c>
      <c r="U82" s="347">
        <v>16.32</v>
      </c>
      <c r="V82" s="348">
        <v>0.98</v>
      </c>
    </row>
    <row r="83" spans="1:22" s="17" customFormat="1" ht="36" customHeight="1">
      <c r="A83" s="104" t="str">
        <f>IF(K83&gt;0,COUNT($A$7:A82)+COUNT('DWV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3" s="110"/>
      <c r="C83" s="111"/>
      <c r="D83" s="106" t="s">
        <v>4057</v>
      </c>
      <c r="E83" s="106">
        <v>100021820</v>
      </c>
      <c r="F83" s="159" t="s">
        <v>4058</v>
      </c>
      <c r="G83" s="106">
        <v>10</v>
      </c>
      <c r="H83" s="106">
        <v>600</v>
      </c>
      <c r="I83" s="155">
        <f>_xlfn.XLOOKUP(E83,'All Products'!D:D,'All Products'!H:H)</f>
        <v>73.45</v>
      </c>
      <c r="J83" s="205">
        <f>ROUND(I83*Order_Quote!$L$20,2)</f>
        <v>367.25</v>
      </c>
      <c r="K83" s="78"/>
      <c r="L83" s="116"/>
      <c r="M83" s="199">
        <f t="shared" si="2"/>
        <v>0</v>
      </c>
      <c r="O83" s="265" t="s">
        <v>1351</v>
      </c>
      <c r="P83" s="265" t="s">
        <v>102</v>
      </c>
      <c r="Q83" s="265" t="s">
        <v>4059</v>
      </c>
      <c r="R83" s="265">
        <v>0</v>
      </c>
      <c r="S83" s="265" t="s">
        <v>4060</v>
      </c>
      <c r="T83" s="347">
        <v>1.0150000000000001</v>
      </c>
      <c r="U83" s="347">
        <v>10.15</v>
      </c>
      <c r="V83" s="348">
        <v>0.55000000000000004</v>
      </c>
    </row>
    <row r="84" spans="1:22" s="17" customFormat="1" ht="36" customHeight="1">
      <c r="A84" s="104" t="str">
        <f>IF(K84&gt;0,COUNT($A$7:A83)+COUNT('DWV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4" s="113"/>
      <c r="C84" s="114"/>
      <c r="D84" s="106" t="s">
        <v>4061</v>
      </c>
      <c r="E84" s="106">
        <v>100021845</v>
      </c>
      <c r="F84" s="159" t="s">
        <v>4062</v>
      </c>
      <c r="G84" s="106">
        <v>10</v>
      </c>
      <c r="H84" s="106">
        <v>480</v>
      </c>
      <c r="I84" s="155">
        <f>_xlfn.XLOOKUP(E84,'All Products'!D:D,'All Products'!H:H)</f>
        <v>106.87</v>
      </c>
      <c r="J84" s="205">
        <f>ROUND(I84*Order_Quote!$L$20,2)</f>
        <v>534.35</v>
      </c>
      <c r="K84" s="78"/>
      <c r="L84" s="116"/>
      <c r="M84" s="199">
        <f t="shared" si="2"/>
        <v>0</v>
      </c>
      <c r="O84" s="265" t="s">
        <v>76</v>
      </c>
      <c r="P84" s="265" t="s">
        <v>102</v>
      </c>
      <c r="Q84" s="265" t="s">
        <v>4063</v>
      </c>
      <c r="R84" s="265">
        <v>0</v>
      </c>
      <c r="S84" s="265" t="s">
        <v>4064</v>
      </c>
      <c r="T84" s="347">
        <v>2.1</v>
      </c>
      <c r="U84" s="347">
        <v>21</v>
      </c>
      <c r="V84" s="348">
        <v>0.98</v>
      </c>
    </row>
    <row r="85" spans="1:22" s="17" customFormat="1" ht="78" customHeight="1">
      <c r="A85" s="104" t="str">
        <f>IF(K85&gt;0,COUNT($A$7:A84)+COUNT('DWV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5" s="112"/>
      <c r="C85" s="79"/>
      <c r="D85" s="106" t="s">
        <v>4065</v>
      </c>
      <c r="E85" s="106">
        <v>100021849</v>
      </c>
      <c r="F85" s="159" t="s">
        <v>4066</v>
      </c>
      <c r="G85" s="106">
        <v>20</v>
      </c>
      <c r="H85" s="106">
        <v>960</v>
      </c>
      <c r="I85" s="155">
        <f>_xlfn.XLOOKUP(E85,'All Products'!D:D,'All Products'!H:H)</f>
        <v>61.16</v>
      </c>
      <c r="J85" s="205">
        <f>ROUND(I85*Order_Quote!$L$20,2)</f>
        <v>305.8</v>
      </c>
      <c r="K85" s="78"/>
      <c r="L85" s="116"/>
      <c r="M85" s="199">
        <f t="shared" si="2"/>
        <v>0</v>
      </c>
      <c r="O85" s="265" t="s">
        <v>76</v>
      </c>
      <c r="P85" s="265" t="s">
        <v>102</v>
      </c>
      <c r="Q85" s="265" t="s">
        <v>4067</v>
      </c>
      <c r="R85" s="265">
        <v>0</v>
      </c>
      <c r="S85" s="265" t="s">
        <v>4068</v>
      </c>
      <c r="T85" s="347">
        <v>0.27</v>
      </c>
      <c r="U85" s="347">
        <v>5.4</v>
      </c>
      <c r="V85" s="348">
        <v>0.84015005606192128</v>
      </c>
    </row>
    <row r="86" spans="1:22" s="17" customFormat="1" ht="42" customHeight="1">
      <c r="A86" s="104" t="str">
        <f>IF(K86&gt;0,COUNT($A$7:A85)+COUNT('DWV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6" s="110"/>
      <c r="C86" s="111"/>
      <c r="D86" s="106" t="s">
        <v>4069</v>
      </c>
      <c r="E86" s="106">
        <v>100021847</v>
      </c>
      <c r="F86" s="159" t="s">
        <v>4070</v>
      </c>
      <c r="G86" s="106">
        <v>25</v>
      </c>
      <c r="H86" s="106">
        <v>600</v>
      </c>
      <c r="I86" s="155">
        <f>_xlfn.XLOOKUP(E86,'All Products'!D:D,'All Products'!H:H)</f>
        <v>71.37</v>
      </c>
      <c r="J86" s="205">
        <f>ROUND(I86*Order_Quote!$L$20,2)</f>
        <v>356.85</v>
      </c>
      <c r="K86" s="78"/>
      <c r="L86" s="116"/>
      <c r="M86" s="199">
        <f t="shared" si="2"/>
        <v>0</v>
      </c>
      <c r="O86" s="265" t="s">
        <v>76</v>
      </c>
      <c r="P86" s="265" t="s">
        <v>102</v>
      </c>
      <c r="Q86" s="265" t="s">
        <v>4071</v>
      </c>
      <c r="R86" s="265">
        <v>0</v>
      </c>
      <c r="S86" s="265" t="s">
        <v>4072</v>
      </c>
      <c r="T86" s="347">
        <v>0.65</v>
      </c>
      <c r="U86" s="347">
        <v>16.25</v>
      </c>
      <c r="V86" s="348">
        <v>2.11</v>
      </c>
    </row>
    <row r="87" spans="1:22" s="17" customFormat="1" ht="42" customHeight="1">
      <c r="A87" s="104" t="str">
        <f>IF(K87&gt;0,COUNT($A$7:A86)+COUNT('DWV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7" s="113"/>
      <c r="C87" s="114"/>
      <c r="D87" s="106" t="s">
        <v>4073</v>
      </c>
      <c r="E87" s="106">
        <v>100021848</v>
      </c>
      <c r="F87" s="159" t="s">
        <v>4074</v>
      </c>
      <c r="G87" s="106">
        <v>20</v>
      </c>
      <c r="H87" s="106">
        <v>480</v>
      </c>
      <c r="I87" s="155">
        <f>_xlfn.XLOOKUP(E87,'All Products'!D:D,'All Products'!H:H)</f>
        <v>84.46</v>
      </c>
      <c r="J87" s="205">
        <f>ROUND(I87*Order_Quote!$L$20,2)</f>
        <v>422.3</v>
      </c>
      <c r="K87" s="78"/>
      <c r="L87" s="116"/>
      <c r="M87" s="199">
        <f t="shared" si="2"/>
        <v>0</v>
      </c>
      <c r="O87" s="265" t="s">
        <v>76</v>
      </c>
      <c r="P87" s="265" t="s">
        <v>102</v>
      </c>
      <c r="Q87" s="265" t="s">
        <v>4075</v>
      </c>
      <c r="R87" s="265">
        <v>0</v>
      </c>
      <c r="S87" s="265" t="s">
        <v>4076</v>
      </c>
      <c r="T87" s="347">
        <v>0.72</v>
      </c>
      <c r="U87" s="347">
        <v>14.4</v>
      </c>
      <c r="V87" s="348">
        <v>2.44</v>
      </c>
    </row>
    <row r="88" spans="1:22" s="17" customFormat="1" ht="57.75" customHeight="1">
      <c r="A88" s="104" t="str">
        <f>IF(K88&gt;0,COUNT($A$7:A87)+COUNT('DWV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8" s="583"/>
      <c r="C88" s="584"/>
      <c r="D88" s="106" t="s">
        <v>4077</v>
      </c>
      <c r="E88" s="106">
        <v>100022196</v>
      </c>
      <c r="F88" s="159" t="s">
        <v>4078</v>
      </c>
      <c r="G88" s="106">
        <v>1</v>
      </c>
      <c r="H88" s="106" t="s">
        <v>2803</v>
      </c>
      <c r="I88" s="155">
        <f>_xlfn.XLOOKUP(E88,'All Products'!D:D,'All Products'!H:H)</f>
        <v>13.44</v>
      </c>
      <c r="J88" s="205">
        <f>ROUND(I88*Order_Quote!$L$20,2)</f>
        <v>67.2</v>
      </c>
      <c r="K88" s="78"/>
      <c r="L88" s="116"/>
      <c r="M88" s="199">
        <f t="shared" si="2"/>
        <v>0</v>
      </c>
      <c r="O88" s="265" t="s">
        <v>1693</v>
      </c>
      <c r="P88" s="265" t="s">
        <v>102</v>
      </c>
      <c r="Q88" s="265" t="s">
        <v>4079</v>
      </c>
      <c r="R88" s="265">
        <v>0</v>
      </c>
      <c r="S88" s="265">
        <v>0</v>
      </c>
      <c r="T88" s="347">
        <v>6.6000000000000003E-2</v>
      </c>
      <c r="U88" s="347">
        <v>6.6000000000000003E-2</v>
      </c>
      <c r="V88" s="348">
        <v>0</v>
      </c>
    </row>
    <row r="89" spans="1:22" s="17" customFormat="1" ht="69.75" customHeight="1">
      <c r="A89" s="104" t="str">
        <f>IF(K89&gt;0,COUNT($A$7:A88)+COUNT('DWV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89" s="202"/>
      <c r="C89" s="203"/>
      <c r="D89" s="106" t="s">
        <v>4080</v>
      </c>
      <c r="E89" s="106">
        <v>100021851</v>
      </c>
      <c r="F89" s="159" t="s">
        <v>4081</v>
      </c>
      <c r="G89" s="106">
        <v>20</v>
      </c>
      <c r="H89" s="106">
        <v>360</v>
      </c>
      <c r="I89" s="155">
        <f>_xlfn.XLOOKUP(E89,'All Products'!D:D,'All Products'!H:H)</f>
        <v>13.73</v>
      </c>
      <c r="J89" s="205">
        <f>ROUND(I89*Order_Quote!$L$20,2)</f>
        <v>68.650000000000006</v>
      </c>
      <c r="K89" s="78"/>
      <c r="L89" s="116"/>
      <c r="M89" s="199">
        <f t="shared" si="2"/>
        <v>0</v>
      </c>
      <c r="O89" s="265" t="s">
        <v>76</v>
      </c>
      <c r="P89" s="265" t="s">
        <v>102</v>
      </c>
      <c r="Q89" s="265" t="s">
        <v>4082</v>
      </c>
      <c r="R89" s="265">
        <v>0</v>
      </c>
      <c r="S89" s="265" t="s">
        <v>4083</v>
      </c>
      <c r="T89" s="347">
        <v>0.67500000000000004</v>
      </c>
      <c r="U89" s="347">
        <v>13.5</v>
      </c>
      <c r="V89" s="348">
        <v>1.4700234374999999</v>
      </c>
    </row>
    <row r="90" spans="1:22" s="17" customFormat="1" ht="77.25" customHeight="1">
      <c r="A90" s="104" t="str">
        <f>IF(K90&gt;0,COUNT($A$7:A89)+COUNT('DWV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90" s="202"/>
      <c r="C90" s="203"/>
      <c r="D90" s="106" t="s">
        <v>4084</v>
      </c>
      <c r="E90" s="106">
        <v>100021853</v>
      </c>
      <c r="F90" s="159" t="s">
        <v>4085</v>
      </c>
      <c r="G90" s="106">
        <v>20</v>
      </c>
      <c r="H90" s="106">
        <v>360</v>
      </c>
      <c r="I90" s="155">
        <f>_xlfn.XLOOKUP(E90,'All Products'!D:D,'All Products'!H:H)</f>
        <v>16.440000000000001</v>
      </c>
      <c r="J90" s="205">
        <f>ROUND(I90*Order_Quote!$L$20,2)</f>
        <v>82.2</v>
      </c>
      <c r="K90" s="78"/>
      <c r="L90" s="116"/>
      <c r="M90" s="199">
        <f t="shared" si="2"/>
        <v>0</v>
      </c>
      <c r="O90" s="265" t="s">
        <v>76</v>
      </c>
      <c r="P90" s="265" t="s">
        <v>102</v>
      </c>
      <c r="Q90" s="265" t="s">
        <v>4086</v>
      </c>
      <c r="R90" s="265">
        <v>0</v>
      </c>
      <c r="S90" s="265" t="s">
        <v>4087</v>
      </c>
      <c r="T90" s="347">
        <v>0.69500000000000006</v>
      </c>
      <c r="U90" s="347">
        <v>13.9</v>
      </c>
      <c r="V90" s="348">
        <v>2.44</v>
      </c>
    </row>
    <row r="91" spans="1:22" s="17" customFormat="1" ht="57" customHeight="1">
      <c r="A91" s="104" t="str">
        <f>IF(K91&gt;0,COUNT($A$7:A90)+COUNT('DWV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Components'!$A$10:$A$164)+1,"")</f>
        <v/>
      </c>
      <c r="B91" s="202"/>
      <c r="C91" s="203"/>
      <c r="D91" s="106" t="s">
        <v>4088</v>
      </c>
      <c r="E91" s="106">
        <v>100021855</v>
      </c>
      <c r="F91" s="159" t="s">
        <v>4089</v>
      </c>
      <c r="G91" s="106">
        <v>20</v>
      </c>
      <c r="H91" s="106">
        <v>1800</v>
      </c>
      <c r="I91" s="155">
        <f>_xlfn.XLOOKUP(E91,'All Products'!D:D,'All Products'!H:H)</f>
        <v>10.96</v>
      </c>
      <c r="J91" s="205">
        <f>ROUND(I91*Order_Quote!$L$20,2)</f>
        <v>54.8</v>
      </c>
      <c r="K91" s="78"/>
      <c r="L91" s="116"/>
      <c r="M91" s="199">
        <f t="shared" si="2"/>
        <v>0</v>
      </c>
      <c r="O91" s="265" t="s">
        <v>76</v>
      </c>
      <c r="P91" s="265" t="s">
        <v>102</v>
      </c>
      <c r="Q91" s="265" t="s">
        <v>4090</v>
      </c>
      <c r="R91" s="265">
        <v>0</v>
      </c>
      <c r="S91" s="265" t="s">
        <v>4091</v>
      </c>
      <c r="T91" s="347">
        <v>0.31</v>
      </c>
      <c r="U91" s="347">
        <v>6.2</v>
      </c>
      <c r="V91" s="348">
        <v>0.51141357421875</v>
      </c>
    </row>
    <row r="92" spans="1:22" ht="15" customHeight="1">
      <c r="A92" s="5">
        <f>MAX(A8:A91)+1</f>
        <v>1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17"/>
    </row>
  </sheetData>
  <sheetProtection algorithmName="SHA-512" hashValue="3fQ+1cs8NaY/iL3AiJ+snR9Q62A8gtEDO8Xz6C2GwurYu78fITsxAHyoUF39iVODV6uzempSOAuBhkDCYbic8A==" saltValue="N/pMe53QkGQmbUsxNojwFQ==" spinCount="100000" sheet="1" formatCells="0" formatColumns="0" formatRows="0" insertColumns="0" insertRows="0" insertHyperlinks="0" deleteColumns="0" deleteRows="0" sort="0" autoFilter="0" pivotTables="0"/>
  <mergeCells count="3">
    <mergeCell ref="J2:K3"/>
    <mergeCell ref="B88:C88"/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E6B904EA-F118-4247-8FF9-D427154BDF89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1D32B863-981D-43F7-AAC7-D5E074BEF16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" xr:uid="{323D0CA9-A6ED-4E5E-9FF9-02D950072099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91" xr:uid="{3BAF7645-418C-491B-BE40-C4EDF842DD55}">
      <formula1>1</formula1>
    </dataValidation>
  </dataValidations>
  <hyperlinks>
    <hyperlink ref="F30" location="SDRFab!C2046" display="Fabricated TEE HHH" xr:uid="{FDFB7680-0FBF-4236-ABED-2654CAE66298}"/>
    <hyperlink ref="F77" location="SDRFab!C2118" display="Fabricated TEE SHH" xr:uid="{BBC5A51F-0BEE-433F-BA0B-40AF41C6A0C1}"/>
  </hyperlink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4" manualBreakCount="4">
    <brk id="19" max="8" man="1"/>
    <brk id="35" max="8" man="1"/>
    <brk id="57" max="8" man="1"/>
    <brk id="84" max="8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925B9-81AA-49D2-A014-0D2F1EFCF026}">
  <sheetPr>
    <tabColor theme="0"/>
    <pageSetUpPr fitToPage="1"/>
  </sheetPr>
  <dimension ref="A1:AB82"/>
  <sheetViews>
    <sheetView showGridLines="0" zoomScaleNormal="100" workbookViewId="0">
      <pane xSplit="6" ySplit="7" topLeftCell="G60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5" customWidth="1"/>
    <col min="2" max="3" width="8.7109375" style="2" customWidth="1"/>
    <col min="4" max="5" width="12.7109375" style="4" customWidth="1"/>
    <col min="6" max="6" width="28.85546875" style="8" customWidth="1"/>
    <col min="7" max="7" width="10.5703125" style="373" bestFit="1" customWidth="1"/>
    <col min="8" max="8" width="17" style="373" bestFit="1" customWidth="1"/>
    <col min="9" max="9" width="9.7109375" style="373" bestFit="1" customWidth="1"/>
    <col min="10" max="10" width="11" style="4" customWidth="1"/>
    <col min="11" max="12" width="10.7109375" style="4" customWidth="1"/>
    <col min="13" max="13" width="10.7109375" style="7" customWidth="1"/>
    <col min="14" max="14" width="10.7109375" style="164" customWidth="1"/>
    <col min="15" max="15" width="10.7109375" style="4" customWidth="1"/>
    <col min="16" max="16" width="1.42578125" style="4" customWidth="1"/>
    <col min="17" max="17" width="10.7109375" style="20" customWidth="1"/>
    <col min="18" max="18" width="2.28515625" style="2" customWidth="1"/>
    <col min="19" max="19" width="13" style="20" bestFit="1" customWidth="1"/>
    <col min="20" max="20" width="11.7109375" style="20" customWidth="1"/>
    <col min="21" max="22" width="11.28515625" style="2" bestFit="1" customWidth="1"/>
    <col min="23" max="23" width="13.140625" style="2" bestFit="1" customWidth="1"/>
    <col min="24" max="37" width="9.140625" style="2" customWidth="1"/>
    <col min="38" max="16384" width="9.140625" style="2"/>
  </cols>
  <sheetData>
    <row r="1" spans="1:27" ht="18.75">
      <c r="F1" s="173" t="s">
        <v>38</v>
      </c>
      <c r="G1" s="372"/>
      <c r="H1" s="372"/>
      <c r="I1" s="372"/>
      <c r="J1" s="173"/>
      <c r="K1" s="236"/>
      <c r="L1" s="170"/>
      <c r="S1" s="170"/>
      <c r="T1" s="170"/>
    </row>
    <row r="2" spans="1:27" ht="14.45" customHeight="1">
      <c r="D2" s="19"/>
      <c r="E2" s="29"/>
      <c r="F2" s="236"/>
      <c r="G2" s="372"/>
      <c r="H2" s="372"/>
      <c r="I2" s="372"/>
      <c r="J2" s="372"/>
      <c r="K2" s="372"/>
      <c r="L2" s="372"/>
      <c r="M2" s="372"/>
      <c r="N2" s="480" t="s">
        <v>59</v>
      </c>
      <c r="O2" s="288"/>
    </row>
    <row r="3" spans="1:27" ht="14.45" customHeight="1">
      <c r="F3" s="436" t="s">
        <v>4092</v>
      </c>
      <c r="G3" s="4"/>
      <c r="H3" s="372"/>
      <c r="I3" s="372"/>
      <c r="J3" s="372"/>
      <c r="K3" s="372"/>
      <c r="L3" s="372"/>
      <c r="M3" s="372"/>
      <c r="N3" s="288"/>
      <c r="O3" s="288"/>
    </row>
    <row r="4" spans="1:27" ht="14.45" customHeight="1">
      <c r="E4" s="14" t="s">
        <v>4093</v>
      </c>
      <c r="F4" s="440" t="s">
        <v>4093</v>
      </c>
      <c r="G4" s="4"/>
      <c r="H4" s="372"/>
      <c r="I4" s="372"/>
      <c r="J4" s="372"/>
      <c r="K4" s="372"/>
      <c r="L4" s="372"/>
      <c r="M4" s="372"/>
      <c r="N4" s="165"/>
      <c r="O4" s="2"/>
    </row>
    <row r="5" spans="1:27" ht="14.45" customHeight="1">
      <c r="F5" s="438" t="s">
        <v>329</v>
      </c>
      <c r="G5" s="4"/>
      <c r="H5" s="372"/>
      <c r="I5" s="372"/>
      <c r="J5" s="372"/>
      <c r="K5" s="372"/>
      <c r="L5" s="372"/>
      <c r="M5" s="372"/>
      <c r="N5" s="165"/>
      <c r="O5" s="2"/>
    </row>
    <row r="6" spans="1:27" ht="14.45" customHeight="1">
      <c r="N6" s="165"/>
      <c r="O6" s="2"/>
      <c r="T6" s="217"/>
      <c r="U6" s="629" t="s">
        <v>64</v>
      </c>
      <c r="V6" s="629"/>
      <c r="W6" s="629"/>
      <c r="X6" s="25"/>
      <c r="Y6" s="25"/>
      <c r="Z6" s="25"/>
      <c r="AA6" s="25"/>
    </row>
    <row r="7" spans="1:27" s="17" customFormat="1" ht="33.75">
      <c r="A7" s="104"/>
      <c r="B7" s="149"/>
      <c r="C7" s="149"/>
      <c r="D7" s="149" t="s">
        <v>48</v>
      </c>
      <c r="E7" s="149" t="s">
        <v>49</v>
      </c>
      <c r="F7" s="149" t="s">
        <v>50</v>
      </c>
      <c r="G7" s="149" t="s">
        <v>4094</v>
      </c>
      <c r="H7" s="149" t="s">
        <v>4095</v>
      </c>
      <c r="I7" s="149" t="s">
        <v>4096</v>
      </c>
      <c r="J7" s="149" t="s">
        <v>2730</v>
      </c>
      <c r="K7" s="149" t="s">
        <v>65</v>
      </c>
      <c r="L7" s="149" t="s">
        <v>66</v>
      </c>
      <c r="M7" s="176" t="s">
        <v>51</v>
      </c>
      <c r="N7" s="176" t="s">
        <v>55</v>
      </c>
      <c r="O7" s="177" t="s">
        <v>52</v>
      </c>
      <c r="P7" s="178"/>
      <c r="Q7" s="156" t="s">
        <v>67</v>
      </c>
      <c r="S7" s="263" t="s">
        <v>68</v>
      </c>
      <c r="T7" s="263" t="s">
        <v>69</v>
      </c>
      <c r="U7" s="241" t="s">
        <v>70</v>
      </c>
      <c r="V7" s="241" t="s">
        <v>71</v>
      </c>
      <c r="W7" s="241" t="s">
        <v>72</v>
      </c>
      <c r="X7" s="263" t="s">
        <v>73</v>
      </c>
      <c r="Y7" s="263" t="s">
        <v>336</v>
      </c>
      <c r="Z7" s="263" t="s">
        <v>330</v>
      </c>
      <c r="AA7" s="263" t="s">
        <v>331</v>
      </c>
    </row>
    <row r="8" spans="1:27" ht="25.5" customHeight="1">
      <c r="B8" s="142" t="s">
        <v>4097</v>
      </c>
      <c r="C8" s="59"/>
      <c r="D8" s="59"/>
      <c r="E8" s="59"/>
      <c r="F8" s="59"/>
      <c r="G8" s="374"/>
      <c r="H8" s="374"/>
      <c r="I8" s="374"/>
      <c r="J8" s="59"/>
      <c r="K8" s="59"/>
      <c r="L8" s="59"/>
      <c r="M8" s="139"/>
      <c r="N8" s="139"/>
      <c r="O8" s="140"/>
      <c r="P8" s="141"/>
      <c r="Q8" s="157"/>
      <c r="S8" s="44"/>
      <c r="T8" s="44"/>
      <c r="U8" s="44"/>
      <c r="V8" s="44"/>
      <c r="W8" s="44"/>
    </row>
    <row r="9" spans="1:27" ht="14.45" customHeight="1">
      <c r="A9" s="5" t="str">
        <f>IF(O9&gt;0,COUNT($A$7:A8)+COUNT('DWV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9" s="26"/>
      <c r="C9" s="49"/>
      <c r="D9" s="137">
        <v>4103</v>
      </c>
      <c r="E9" s="1">
        <v>100026588</v>
      </c>
      <c r="F9" s="15" t="s">
        <v>4098</v>
      </c>
      <c r="G9" s="375" t="s">
        <v>4099</v>
      </c>
      <c r="H9" s="375" t="s">
        <v>4100</v>
      </c>
      <c r="I9" s="375" t="s">
        <v>4101</v>
      </c>
      <c r="J9" s="1" t="s">
        <v>4102</v>
      </c>
      <c r="K9" s="1">
        <v>150</v>
      </c>
      <c r="L9" s="1">
        <v>40500</v>
      </c>
      <c r="M9" s="138">
        <f>VLOOKUP(E9,'All Products'!$D:$H,5,0)</f>
        <v>1.97</v>
      </c>
      <c r="N9" s="212">
        <f>ROUNDUP(M9*Order_Quote!$L$21,2)</f>
        <v>9.85</v>
      </c>
      <c r="O9" s="77"/>
      <c r="P9" s="16"/>
      <c r="Q9" s="199">
        <f>O9/K9</f>
        <v>0</v>
      </c>
      <c r="S9" s="265" t="s">
        <v>359</v>
      </c>
      <c r="T9" s="265" t="s">
        <v>77</v>
      </c>
      <c r="U9" s="265" t="s">
        <v>4103</v>
      </c>
      <c r="V9" s="265" t="s">
        <v>4104</v>
      </c>
      <c r="W9" s="265" t="s">
        <v>4105</v>
      </c>
      <c r="X9" s="347">
        <v>1.6E-2</v>
      </c>
      <c r="Y9" s="347">
        <v>25</v>
      </c>
      <c r="Z9" s="347">
        <v>2.46</v>
      </c>
      <c r="AA9" s="348">
        <v>0.31</v>
      </c>
    </row>
    <row r="10" spans="1:27" ht="14.45" customHeight="1">
      <c r="A10" s="5" t="str">
        <f>IF(O10&gt;0,COUNT($A$7:A9)+COUNT('DWV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0" s="23"/>
      <c r="C10" s="51"/>
      <c r="D10" s="137">
        <v>4111</v>
      </c>
      <c r="E10" s="1">
        <v>100026596</v>
      </c>
      <c r="F10" s="15" t="s">
        <v>4106</v>
      </c>
      <c r="G10" s="375" t="s">
        <v>4099</v>
      </c>
      <c r="H10" s="375" t="s">
        <v>4100</v>
      </c>
      <c r="I10" s="375" t="s">
        <v>4101</v>
      </c>
      <c r="J10" s="1" t="s">
        <v>4107</v>
      </c>
      <c r="K10" s="1">
        <v>100</v>
      </c>
      <c r="L10" s="1">
        <v>27000</v>
      </c>
      <c r="M10" s="138">
        <f>VLOOKUP(E10,'All Products'!$D:$H,5,0)</f>
        <v>2.99</v>
      </c>
      <c r="N10" s="212">
        <f>ROUNDUP(M10*Order_Quote!$L$21,2)</f>
        <v>14.95</v>
      </c>
      <c r="O10" s="77"/>
      <c r="P10" s="16"/>
      <c r="Q10" s="199">
        <f>O10/K10</f>
        <v>0</v>
      </c>
      <c r="S10" s="265" t="s">
        <v>76</v>
      </c>
      <c r="T10" s="265" t="s">
        <v>102</v>
      </c>
      <c r="U10" s="265" t="s">
        <v>4108</v>
      </c>
      <c r="V10" s="265">
        <v>0</v>
      </c>
      <c r="W10" s="265" t="s">
        <v>4109</v>
      </c>
      <c r="X10" s="347">
        <v>0.04</v>
      </c>
      <c r="Y10" s="347">
        <v>0</v>
      </c>
      <c r="Z10" s="347">
        <v>3.95</v>
      </c>
      <c r="AA10" s="348">
        <v>0.31</v>
      </c>
    </row>
    <row r="11" spans="1:27" ht="25.5" customHeight="1">
      <c r="A11" s="5" t="str">
        <f>IF(O11&gt;0,COUNT($A$7:A10)+COUNT('DWV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1" s="142" t="s">
        <v>4110</v>
      </c>
      <c r="C11" s="59"/>
      <c r="D11" s="59"/>
      <c r="E11" s="59"/>
      <c r="F11" s="59"/>
      <c r="G11" s="374"/>
      <c r="H11" s="374"/>
      <c r="I11" s="374"/>
      <c r="J11" s="59"/>
      <c r="K11" s="59"/>
      <c r="L11" s="59"/>
      <c r="M11" s="139"/>
      <c r="N11" s="139">
        <f>ROUNDUP(M11*Order_Quote!$L$21,2)</f>
        <v>0</v>
      </c>
      <c r="O11" s="140"/>
      <c r="P11" s="141"/>
      <c r="Q11" s="157"/>
      <c r="S11" s="2"/>
      <c r="T11" s="2"/>
    </row>
    <row r="12" spans="1:27" ht="14.45" customHeight="1">
      <c r="A12" s="5" t="str">
        <f>IF(O12&gt;0,COUNT($A$7:A11)+COUNT('DWV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2" s="26"/>
      <c r="C12" s="49"/>
      <c r="D12" s="137">
        <v>8100</v>
      </c>
      <c r="E12" s="1">
        <v>100026627</v>
      </c>
      <c r="F12" s="15" t="s">
        <v>4111</v>
      </c>
      <c r="G12" s="375" t="s">
        <v>4099</v>
      </c>
      <c r="H12" s="375" t="s">
        <v>4112</v>
      </c>
      <c r="I12" s="375" t="s">
        <v>4101</v>
      </c>
      <c r="J12" s="1" t="s">
        <v>4113</v>
      </c>
      <c r="K12" s="1">
        <v>250</v>
      </c>
      <c r="L12" s="1">
        <v>67500</v>
      </c>
      <c r="M12" s="138">
        <f>VLOOKUP(E12,'All Products'!$D:$H,5,0)</f>
        <v>1.1100000000000001</v>
      </c>
      <c r="N12" s="212">
        <f>ROUNDUP(M12*Order_Quote!$L$21,2)</f>
        <v>5.55</v>
      </c>
      <c r="O12" s="77"/>
      <c r="P12" s="259"/>
      <c r="Q12" s="199">
        <f t="shared" ref="Q12:Q31" si="0">O12/K12</f>
        <v>0</v>
      </c>
      <c r="S12" s="265" t="s">
        <v>76</v>
      </c>
      <c r="T12" s="265" t="s">
        <v>102</v>
      </c>
      <c r="U12" s="265" t="s">
        <v>4114</v>
      </c>
      <c r="V12" s="265" t="s">
        <v>4115</v>
      </c>
      <c r="W12" s="265" t="s">
        <v>4116</v>
      </c>
      <c r="X12" s="347">
        <v>1.4E-2</v>
      </c>
      <c r="Y12" s="347">
        <v>25</v>
      </c>
      <c r="Z12" s="347">
        <v>4.24</v>
      </c>
      <c r="AA12" s="348">
        <v>0.31</v>
      </c>
    </row>
    <row r="13" spans="1:27" ht="14.45" customHeight="1">
      <c r="A13" s="5" t="str">
        <f>IF(O13&gt;0,COUNT($A$7:A12)+COUNT('DWV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3" s="34"/>
      <c r="C13" s="50"/>
      <c r="D13" s="137">
        <v>8103</v>
      </c>
      <c r="E13" s="1">
        <v>100026629</v>
      </c>
      <c r="F13" s="15" t="s">
        <v>4117</v>
      </c>
      <c r="G13" s="375" t="s">
        <v>4099</v>
      </c>
      <c r="H13" s="375" t="s">
        <v>4112</v>
      </c>
      <c r="I13" s="375" t="s">
        <v>4101</v>
      </c>
      <c r="J13" s="1" t="s">
        <v>4102</v>
      </c>
      <c r="K13" s="1">
        <v>200</v>
      </c>
      <c r="L13" s="1">
        <v>54000</v>
      </c>
      <c r="M13" s="138">
        <f>VLOOKUP(E13,'All Products'!$D:$H,5,0)</f>
        <v>1.1100000000000001</v>
      </c>
      <c r="N13" s="212">
        <f>ROUNDUP(M13*Order_Quote!$L$21,2)</f>
        <v>5.55</v>
      </c>
      <c r="O13" s="77"/>
      <c r="P13" s="16"/>
      <c r="Q13" s="199">
        <f t="shared" si="0"/>
        <v>0</v>
      </c>
      <c r="S13" s="265" t="s">
        <v>76</v>
      </c>
      <c r="T13" s="265" t="s">
        <v>102</v>
      </c>
      <c r="U13" s="265" t="s">
        <v>4118</v>
      </c>
      <c r="V13" s="265" t="s">
        <v>4119</v>
      </c>
      <c r="W13" s="265" t="s">
        <v>4120</v>
      </c>
      <c r="X13" s="347">
        <v>3.1E-2</v>
      </c>
      <c r="Y13" s="347">
        <v>25</v>
      </c>
      <c r="Z13" s="347">
        <v>6.2</v>
      </c>
      <c r="AA13" s="348">
        <v>0.31</v>
      </c>
    </row>
    <row r="14" spans="1:27" ht="14.45" customHeight="1">
      <c r="A14" s="5" t="str">
        <f>IF(O14&gt;0,COUNT($A$7:A13)+COUNT('DWV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4" s="34"/>
      <c r="C14" s="50"/>
      <c r="D14" s="137">
        <v>8104</v>
      </c>
      <c r="E14" s="1">
        <v>100026630</v>
      </c>
      <c r="F14" s="15" t="s">
        <v>4121</v>
      </c>
      <c r="G14" s="375" t="s">
        <v>4099</v>
      </c>
      <c r="H14" s="375" t="s">
        <v>4112</v>
      </c>
      <c r="I14" s="375" t="s">
        <v>4101</v>
      </c>
      <c r="J14" s="1" t="s">
        <v>4122</v>
      </c>
      <c r="K14" s="1">
        <v>125</v>
      </c>
      <c r="L14" s="1">
        <v>33750</v>
      </c>
      <c r="M14" s="138">
        <f>VLOOKUP(E14,'All Products'!$D:$H,5,0)</f>
        <v>1.32</v>
      </c>
      <c r="N14" s="212">
        <f>ROUNDUP(M14*Order_Quote!$L$21,2)</f>
        <v>6.6</v>
      </c>
      <c r="O14" s="77"/>
      <c r="P14" s="16"/>
      <c r="Q14" s="199">
        <f t="shared" si="0"/>
        <v>0</v>
      </c>
      <c r="S14" s="265" t="s">
        <v>76</v>
      </c>
      <c r="T14" s="265" t="s">
        <v>102</v>
      </c>
      <c r="U14" s="265" t="s">
        <v>4123</v>
      </c>
      <c r="V14" s="265" t="s">
        <v>4124</v>
      </c>
      <c r="W14" s="265" t="s">
        <v>4125</v>
      </c>
      <c r="X14" s="347">
        <v>3.5999999999999997E-2</v>
      </c>
      <c r="Y14" s="347">
        <v>25</v>
      </c>
      <c r="Z14" s="347">
        <v>5.07</v>
      </c>
      <c r="AA14" s="348">
        <v>0.31</v>
      </c>
    </row>
    <row r="15" spans="1:27" ht="14.45" customHeight="1">
      <c r="A15" s="5" t="str">
        <f>IF(O15&gt;0,COUNT($A$7:A14)+COUNT('DWV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5" s="34"/>
      <c r="C15" s="50"/>
      <c r="D15" s="137">
        <v>8105</v>
      </c>
      <c r="E15" s="1">
        <v>100026631</v>
      </c>
      <c r="F15" s="15" t="s">
        <v>4126</v>
      </c>
      <c r="G15" s="375" t="s">
        <v>4099</v>
      </c>
      <c r="H15" s="375" t="s">
        <v>4112</v>
      </c>
      <c r="I15" s="375" t="s">
        <v>4101</v>
      </c>
      <c r="J15" s="1" t="s">
        <v>4127</v>
      </c>
      <c r="K15" s="1">
        <v>125</v>
      </c>
      <c r="L15" s="1">
        <v>33750</v>
      </c>
      <c r="M15" s="138">
        <f>VLOOKUP(E15,'All Products'!$D:$H,5,0)</f>
        <v>1.32</v>
      </c>
      <c r="N15" s="212">
        <f>ROUNDUP(M15*Order_Quote!$L$21,2)</f>
        <v>6.6</v>
      </c>
      <c r="O15" s="77"/>
      <c r="P15" s="16"/>
      <c r="Q15" s="199">
        <f t="shared" si="0"/>
        <v>0</v>
      </c>
      <c r="S15" s="265" t="s">
        <v>76</v>
      </c>
      <c r="T15" s="265" t="s">
        <v>102</v>
      </c>
      <c r="U15" s="265" t="s">
        <v>4128</v>
      </c>
      <c r="V15" s="265">
        <v>0</v>
      </c>
      <c r="W15" s="265" t="s">
        <v>4129</v>
      </c>
      <c r="X15" s="347">
        <v>4.2999999999999997E-2</v>
      </c>
      <c r="Y15" s="347">
        <v>25</v>
      </c>
      <c r="Z15" s="347">
        <v>6.09</v>
      </c>
      <c r="AA15" s="348">
        <v>0.31</v>
      </c>
    </row>
    <row r="16" spans="1:27" ht="14.45" customHeight="1">
      <c r="A16" s="5" t="str">
        <f>IF(O16&gt;0,COUNT($A$7:A15)+COUNT('DWV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6" s="34"/>
      <c r="C16" s="50"/>
      <c r="D16" s="137">
        <v>8106</v>
      </c>
      <c r="E16" s="1">
        <v>100026632</v>
      </c>
      <c r="F16" s="15" t="s">
        <v>4130</v>
      </c>
      <c r="G16" s="375" t="s">
        <v>4099</v>
      </c>
      <c r="H16" s="375" t="s">
        <v>4112</v>
      </c>
      <c r="I16" s="375" t="s">
        <v>4101</v>
      </c>
      <c r="J16" s="1" t="s">
        <v>4131</v>
      </c>
      <c r="K16" s="1">
        <v>125</v>
      </c>
      <c r="L16" s="1">
        <v>33750</v>
      </c>
      <c r="M16" s="138">
        <f>VLOOKUP(E16,'All Products'!$D:$H,5,0)</f>
        <v>1.52</v>
      </c>
      <c r="N16" s="212">
        <f>ROUNDUP(M16*Order_Quote!$L$21,2)</f>
        <v>7.6</v>
      </c>
      <c r="O16" s="77"/>
      <c r="P16" s="16"/>
      <c r="Q16" s="199">
        <f t="shared" si="0"/>
        <v>0</v>
      </c>
      <c r="S16" s="265" t="s">
        <v>359</v>
      </c>
      <c r="T16" s="265" t="s">
        <v>102</v>
      </c>
      <c r="U16" s="265" t="s">
        <v>4132</v>
      </c>
      <c r="V16" s="265">
        <v>0</v>
      </c>
      <c r="W16" s="265" t="s">
        <v>4133</v>
      </c>
      <c r="X16" s="347">
        <v>5.6000000000000001E-2</v>
      </c>
      <c r="Y16" s="347">
        <v>25</v>
      </c>
      <c r="Z16" s="347">
        <v>6.97</v>
      </c>
      <c r="AA16" s="348">
        <v>0.31</v>
      </c>
    </row>
    <row r="17" spans="1:27" ht="14.45" customHeight="1">
      <c r="A17" s="5" t="str">
        <f>IF(O17&gt;0,COUNT($A$7:A16)+COUNT('DWV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7" s="34"/>
      <c r="C17" s="50"/>
      <c r="D17" s="137">
        <v>8109</v>
      </c>
      <c r="E17" s="1">
        <v>100026635</v>
      </c>
      <c r="F17" s="15" t="s">
        <v>4134</v>
      </c>
      <c r="G17" s="375" t="s">
        <v>4099</v>
      </c>
      <c r="H17" s="375" t="s">
        <v>4112</v>
      </c>
      <c r="I17" s="375" t="s">
        <v>4101</v>
      </c>
      <c r="J17" s="1" t="s">
        <v>4135</v>
      </c>
      <c r="K17" s="1">
        <v>125</v>
      </c>
      <c r="L17" s="1">
        <v>33750</v>
      </c>
      <c r="M17" s="138">
        <f>VLOOKUP(E17,'All Products'!$D:$H,5,0)</f>
        <v>1.61</v>
      </c>
      <c r="N17" s="212">
        <f>ROUNDUP(M17*Order_Quote!$L$21,2)</f>
        <v>8.0500000000000007</v>
      </c>
      <c r="O17" s="77"/>
      <c r="P17" s="16"/>
      <c r="Q17" s="199">
        <f t="shared" si="0"/>
        <v>0</v>
      </c>
      <c r="S17" s="265" t="s">
        <v>359</v>
      </c>
      <c r="T17" s="265" t="s">
        <v>77</v>
      </c>
      <c r="U17" s="265" t="s">
        <v>4136</v>
      </c>
      <c r="V17" s="265">
        <v>0</v>
      </c>
      <c r="W17" s="265" t="s">
        <v>4137</v>
      </c>
      <c r="X17" s="347">
        <v>0.08</v>
      </c>
      <c r="Y17" s="347">
        <v>0</v>
      </c>
      <c r="Z17" s="347">
        <v>10.08</v>
      </c>
      <c r="AA17" s="348">
        <v>0.31</v>
      </c>
    </row>
    <row r="18" spans="1:27" ht="14.45" customHeight="1">
      <c r="A18" s="5" t="str">
        <f>IF(O18&gt;0,COUNT($A$7:A17)+COUNT('DWV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8" s="34"/>
      <c r="C18" s="50"/>
      <c r="D18" s="137">
        <v>8111</v>
      </c>
      <c r="E18" s="1">
        <v>100026637</v>
      </c>
      <c r="F18" s="15" t="s">
        <v>4138</v>
      </c>
      <c r="G18" s="375" t="s">
        <v>4139</v>
      </c>
      <c r="H18" s="375" t="s">
        <v>4112</v>
      </c>
      <c r="I18" s="375" t="s">
        <v>4101</v>
      </c>
      <c r="J18" s="1" t="s">
        <v>4107</v>
      </c>
      <c r="K18" s="1">
        <v>100</v>
      </c>
      <c r="L18" s="1">
        <v>15000</v>
      </c>
      <c r="M18" s="138">
        <f>VLOOKUP(E18,'All Products'!$D:$H,5,0)</f>
        <v>1.86</v>
      </c>
      <c r="N18" s="212">
        <f>ROUNDUP(M18*Order_Quote!$L$21,2)</f>
        <v>9.3000000000000007</v>
      </c>
      <c r="O18" s="77"/>
      <c r="P18" s="16"/>
      <c r="Q18" s="199">
        <f t="shared" si="0"/>
        <v>0</v>
      </c>
      <c r="S18" s="265" t="s">
        <v>76</v>
      </c>
      <c r="T18" s="265" t="s">
        <v>102</v>
      </c>
      <c r="U18" s="265" t="s">
        <v>4140</v>
      </c>
      <c r="V18" s="265">
        <v>0</v>
      </c>
      <c r="W18" s="265" t="s">
        <v>4141</v>
      </c>
      <c r="X18" s="347">
        <v>9.9000000000000005E-2</v>
      </c>
      <c r="Y18" s="347">
        <v>20</v>
      </c>
      <c r="Z18" s="347">
        <v>9.9600000000000009</v>
      </c>
      <c r="AA18" s="348">
        <v>0.5</v>
      </c>
    </row>
    <row r="19" spans="1:27" ht="14.45" customHeight="1">
      <c r="A19" s="5" t="str">
        <f>IF(O19&gt;0,COUNT($A$7:A18)+COUNT('DWV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19" s="34"/>
      <c r="C19" s="50"/>
      <c r="D19" s="137">
        <v>8115</v>
      </c>
      <c r="E19" s="1">
        <v>100026641</v>
      </c>
      <c r="F19" s="15" t="s">
        <v>4142</v>
      </c>
      <c r="G19" s="375" t="s">
        <v>4139</v>
      </c>
      <c r="H19" s="375" t="s">
        <v>4112</v>
      </c>
      <c r="I19" s="375" t="s">
        <v>4101</v>
      </c>
      <c r="J19" s="1" t="s">
        <v>4143</v>
      </c>
      <c r="K19" s="1">
        <v>50</v>
      </c>
      <c r="L19" s="1" t="s">
        <v>2803</v>
      </c>
      <c r="M19" s="138">
        <f>VLOOKUP(E19,'All Products'!$D:$H,5,0)</f>
        <v>3.59</v>
      </c>
      <c r="N19" s="212">
        <f>ROUNDUP(M19*Order_Quote!$L$21,2)</f>
        <v>17.95</v>
      </c>
      <c r="O19" s="77"/>
      <c r="P19" s="16"/>
      <c r="Q19" s="199">
        <f t="shared" si="0"/>
        <v>0</v>
      </c>
      <c r="S19" s="265" t="s">
        <v>76</v>
      </c>
      <c r="T19" s="265" t="s">
        <v>102</v>
      </c>
      <c r="U19" s="265" t="s">
        <v>4144</v>
      </c>
      <c r="V19" s="265">
        <v>0</v>
      </c>
      <c r="W19" s="265" t="s">
        <v>4145</v>
      </c>
      <c r="X19" s="347">
        <v>0.127</v>
      </c>
      <c r="Y19" s="347">
        <v>0</v>
      </c>
      <c r="Z19" s="347">
        <v>6.2</v>
      </c>
      <c r="AA19" s="348">
        <v>0</v>
      </c>
    </row>
    <row r="20" spans="1:27" ht="14.45" customHeight="1">
      <c r="A20" s="5" t="str">
        <f>IF(O20&gt;0,COUNT($A$7:A19)+COUNT('DWV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0" s="34"/>
      <c r="C20" s="50"/>
      <c r="D20" s="137">
        <v>8131</v>
      </c>
      <c r="E20" s="1">
        <v>100026645</v>
      </c>
      <c r="F20" s="15" t="s">
        <v>4146</v>
      </c>
      <c r="G20" s="375" t="s">
        <v>4139</v>
      </c>
      <c r="H20" s="375" t="s">
        <v>4112</v>
      </c>
      <c r="I20" s="375" t="s">
        <v>4101</v>
      </c>
      <c r="J20" s="1" t="s">
        <v>4147</v>
      </c>
      <c r="K20" s="1">
        <v>50</v>
      </c>
      <c r="L20" s="1">
        <v>7500</v>
      </c>
      <c r="M20" s="138">
        <f>VLOOKUP(E20,'All Products'!$D:$H,5,0)</f>
        <v>6.09</v>
      </c>
      <c r="N20" s="212">
        <f>ROUNDUP(M20*Order_Quote!$L$21,2)</f>
        <v>30.45</v>
      </c>
      <c r="O20" s="77"/>
      <c r="P20" s="16"/>
      <c r="Q20" s="199">
        <f t="shared" si="0"/>
        <v>0</v>
      </c>
      <c r="S20" s="265" t="s">
        <v>359</v>
      </c>
      <c r="T20" s="265" t="s">
        <v>77</v>
      </c>
      <c r="U20" s="265" t="s">
        <v>4148</v>
      </c>
      <c r="V20" s="265">
        <v>0</v>
      </c>
      <c r="W20" s="265" t="s">
        <v>4149</v>
      </c>
      <c r="X20" s="347">
        <v>0.24199999999999999</v>
      </c>
      <c r="Y20" s="347">
        <v>0</v>
      </c>
      <c r="Z20" s="347">
        <v>12.1</v>
      </c>
      <c r="AA20" s="348">
        <v>0.5</v>
      </c>
    </row>
    <row r="21" spans="1:27" ht="14.45" customHeight="1">
      <c r="A21" s="5" t="str">
        <f>IF(O21&gt;0,COUNT($A$7:A20)+COUNT('DWV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1" s="34"/>
      <c r="C21" s="50"/>
      <c r="D21" s="137">
        <v>8135</v>
      </c>
      <c r="E21" s="1">
        <v>100026646</v>
      </c>
      <c r="F21" s="15" t="s">
        <v>4150</v>
      </c>
      <c r="G21" s="375" t="s">
        <v>4139</v>
      </c>
      <c r="H21" s="375" t="s">
        <v>4112</v>
      </c>
      <c r="I21" s="375" t="s">
        <v>4101</v>
      </c>
      <c r="J21" s="1" t="s">
        <v>4151</v>
      </c>
      <c r="K21" s="1">
        <v>50</v>
      </c>
      <c r="L21" s="1" t="s">
        <v>2803</v>
      </c>
      <c r="M21" s="138">
        <f>VLOOKUP(E21,'All Products'!$D:$H,5,0)</f>
        <v>6.58</v>
      </c>
      <c r="N21" s="212">
        <f>ROUNDUP(M21*Order_Quote!$L$21,2)</f>
        <v>32.9</v>
      </c>
      <c r="O21" s="77"/>
      <c r="P21" s="16"/>
      <c r="Q21" s="199">
        <f t="shared" si="0"/>
        <v>0</v>
      </c>
      <c r="S21" s="265" t="s">
        <v>359</v>
      </c>
      <c r="T21" s="265" t="s">
        <v>77</v>
      </c>
      <c r="U21" s="265" t="s">
        <v>4152</v>
      </c>
      <c r="V21" s="265">
        <v>0</v>
      </c>
      <c r="W21" s="265" t="s">
        <v>4153</v>
      </c>
      <c r="X21" s="347">
        <v>0.28999999999999998</v>
      </c>
      <c r="Y21" s="347">
        <v>0</v>
      </c>
      <c r="Z21" s="347">
        <v>14.5</v>
      </c>
      <c r="AA21" s="348">
        <v>0</v>
      </c>
    </row>
    <row r="22" spans="1:27" ht="14.45" customHeight="1">
      <c r="A22" s="5" t="str">
        <f>IF(O22&gt;0,COUNT($A$7:A21)+COUNT('DWV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2" s="34"/>
      <c r="C22" s="50"/>
      <c r="D22" s="137">
        <v>8146</v>
      </c>
      <c r="E22" s="1">
        <v>100026648</v>
      </c>
      <c r="F22" s="15" t="s">
        <v>4154</v>
      </c>
      <c r="G22" s="375" t="s">
        <v>4139</v>
      </c>
      <c r="H22" s="375" t="s">
        <v>4112</v>
      </c>
      <c r="I22" s="375" t="s">
        <v>4101</v>
      </c>
      <c r="J22" s="1" t="s">
        <v>4155</v>
      </c>
      <c r="K22" s="1">
        <v>50</v>
      </c>
      <c r="L22" s="1" t="s">
        <v>2803</v>
      </c>
      <c r="M22" s="138">
        <f>VLOOKUP(E22,'All Products'!$D:$H,5,0)</f>
        <v>8.0500000000000007</v>
      </c>
      <c r="N22" s="212">
        <f>ROUNDUP(M22*Order_Quote!$L$21,2)</f>
        <v>40.25</v>
      </c>
      <c r="O22" s="77"/>
      <c r="P22" s="16"/>
      <c r="Q22" s="199">
        <f t="shared" si="0"/>
        <v>0</v>
      </c>
      <c r="S22" s="265" t="s">
        <v>359</v>
      </c>
      <c r="T22" s="265" t="s">
        <v>77</v>
      </c>
      <c r="U22" s="265" t="s">
        <v>4156</v>
      </c>
      <c r="V22" s="265">
        <v>0</v>
      </c>
      <c r="W22" s="265" t="s">
        <v>4157</v>
      </c>
      <c r="X22" s="347">
        <v>0.378</v>
      </c>
      <c r="Y22" s="347">
        <v>0</v>
      </c>
      <c r="Z22" s="347">
        <v>18.899999999999999</v>
      </c>
      <c r="AA22" s="348">
        <v>0</v>
      </c>
    </row>
    <row r="23" spans="1:27" ht="14.45" customHeight="1">
      <c r="A23" s="5" t="str">
        <f>IF(O23&gt;0,COUNT($A$7:A22)+COUNT('DWV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3" s="34"/>
      <c r="C23" s="50"/>
      <c r="D23" s="137">
        <v>8150</v>
      </c>
      <c r="E23" s="1">
        <v>100026650</v>
      </c>
      <c r="F23" s="15" t="s">
        <v>4158</v>
      </c>
      <c r="G23" s="375" t="s">
        <v>4139</v>
      </c>
      <c r="H23" s="375" t="s">
        <v>4112</v>
      </c>
      <c r="I23" s="375" t="s">
        <v>4101</v>
      </c>
      <c r="J23" s="1" t="s">
        <v>4159</v>
      </c>
      <c r="K23" s="1">
        <v>50</v>
      </c>
      <c r="L23" s="1" t="s">
        <v>2803</v>
      </c>
      <c r="M23" s="138">
        <f>VLOOKUP(E23,'All Products'!$D:$H,5,0)</f>
        <v>9.8699999999999992</v>
      </c>
      <c r="N23" s="212">
        <f>ROUNDUP(M23*Order_Quote!$L$21,2)</f>
        <v>49.35</v>
      </c>
      <c r="O23" s="77"/>
      <c r="P23" s="16"/>
      <c r="Q23" s="199">
        <f t="shared" si="0"/>
        <v>0</v>
      </c>
      <c r="S23" s="265" t="s">
        <v>359</v>
      </c>
      <c r="T23" s="265" t="s">
        <v>77</v>
      </c>
      <c r="U23" s="265" t="s">
        <v>4160</v>
      </c>
      <c r="V23" s="265">
        <v>0</v>
      </c>
      <c r="W23" s="265" t="s">
        <v>4161</v>
      </c>
      <c r="X23" s="347">
        <v>0.45200000000000001</v>
      </c>
      <c r="Y23" s="347">
        <v>0</v>
      </c>
      <c r="Z23" s="347">
        <v>22.62</v>
      </c>
      <c r="AA23" s="348">
        <v>0</v>
      </c>
    </row>
    <row r="24" spans="1:27" ht="14.45" customHeight="1">
      <c r="A24" s="5" t="str">
        <f>IF(O24&gt;0,COUNT($A$7:A23)+COUNT('DWV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4" s="34"/>
      <c r="C24" s="50"/>
      <c r="D24" s="137">
        <v>8154</v>
      </c>
      <c r="E24" s="1">
        <v>100026651</v>
      </c>
      <c r="F24" s="15" t="s">
        <v>4162</v>
      </c>
      <c r="G24" s="375" t="s">
        <v>4139</v>
      </c>
      <c r="H24" s="375" t="s">
        <v>4112</v>
      </c>
      <c r="I24" s="375" t="s">
        <v>4101</v>
      </c>
      <c r="J24" s="1" t="s">
        <v>4163</v>
      </c>
      <c r="K24" s="1">
        <v>50</v>
      </c>
      <c r="L24" s="1" t="s">
        <v>2803</v>
      </c>
      <c r="M24" s="138">
        <f>VLOOKUP(E24,'All Products'!$D:$H,5,0)</f>
        <v>11.32</v>
      </c>
      <c r="N24" s="212">
        <f>ROUNDUP(M24*Order_Quote!$L$21,2)</f>
        <v>56.6</v>
      </c>
      <c r="O24" s="77"/>
      <c r="P24" s="16"/>
      <c r="Q24" s="199">
        <f t="shared" si="0"/>
        <v>0</v>
      </c>
      <c r="S24" s="265" t="s">
        <v>359</v>
      </c>
      <c r="T24" s="265" t="s">
        <v>77</v>
      </c>
      <c r="U24" s="265" t="s">
        <v>4164</v>
      </c>
      <c r="V24" s="265">
        <v>0</v>
      </c>
      <c r="W24" s="265" t="s">
        <v>4165</v>
      </c>
      <c r="X24" s="347">
        <v>0.56399999999999995</v>
      </c>
      <c r="Y24" s="347">
        <v>0</v>
      </c>
      <c r="Z24" s="347">
        <v>28.18</v>
      </c>
      <c r="AA24" s="348">
        <v>0</v>
      </c>
    </row>
    <row r="25" spans="1:27" ht="14.45" customHeight="1">
      <c r="A25" s="5" t="str">
        <f>IF(O25&gt;0,COUNT($A$7:A24)+COUNT('DWV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5" s="34"/>
      <c r="C25" s="50"/>
      <c r="D25" s="137">
        <v>8158</v>
      </c>
      <c r="E25" s="1">
        <v>100026654</v>
      </c>
      <c r="F25" s="15" t="s">
        <v>4166</v>
      </c>
      <c r="G25" s="375" t="s">
        <v>4139</v>
      </c>
      <c r="H25" s="375" t="s">
        <v>4112</v>
      </c>
      <c r="I25" s="375" t="s">
        <v>4101</v>
      </c>
      <c r="J25" s="1" t="s">
        <v>4167</v>
      </c>
      <c r="K25" s="1">
        <v>50</v>
      </c>
      <c r="L25" s="1" t="s">
        <v>2803</v>
      </c>
      <c r="M25" s="138">
        <f>VLOOKUP(E25,'All Products'!$D:$H,5,0)</f>
        <v>14.31</v>
      </c>
      <c r="N25" s="212">
        <f>ROUNDUP(M25*Order_Quote!$L$21,2)</f>
        <v>71.55</v>
      </c>
      <c r="O25" s="77"/>
      <c r="P25" s="16"/>
      <c r="Q25" s="199">
        <f t="shared" si="0"/>
        <v>0</v>
      </c>
      <c r="S25" s="265" t="s">
        <v>359</v>
      </c>
      <c r="T25" s="265" t="s">
        <v>77</v>
      </c>
      <c r="U25" s="265" t="s">
        <v>4168</v>
      </c>
      <c r="V25" s="265">
        <v>0</v>
      </c>
      <c r="W25" s="265" t="s">
        <v>4169</v>
      </c>
      <c r="X25" s="347">
        <v>0.74199999999999999</v>
      </c>
      <c r="Y25" s="347">
        <v>0</v>
      </c>
      <c r="Z25" s="347">
        <v>37.08</v>
      </c>
      <c r="AA25" s="348">
        <v>0</v>
      </c>
    </row>
    <row r="26" spans="1:27" ht="14.45" customHeight="1">
      <c r="A26" s="5" t="str">
        <f>IF(O26&gt;0,COUNT($A$7:A25)+COUNT('DWV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6" s="34"/>
      <c r="C26" s="50"/>
      <c r="D26" s="137">
        <v>8200</v>
      </c>
      <c r="E26" s="1">
        <v>100026656</v>
      </c>
      <c r="F26" s="15" t="s">
        <v>4170</v>
      </c>
      <c r="G26" s="375" t="s">
        <v>4099</v>
      </c>
      <c r="H26" s="375" t="s">
        <v>4112</v>
      </c>
      <c r="I26" s="375" t="s">
        <v>4101</v>
      </c>
      <c r="J26" s="1" t="s">
        <v>4113</v>
      </c>
      <c r="K26" s="1">
        <v>125</v>
      </c>
      <c r="L26" s="1">
        <v>33750</v>
      </c>
      <c r="M26" s="138">
        <f>VLOOKUP(E26,'All Products'!$D:$H,5,0)</f>
        <v>1.1100000000000001</v>
      </c>
      <c r="N26" s="212">
        <f>ROUNDUP(M26*Order_Quote!$L$21,2)</f>
        <v>5.55</v>
      </c>
      <c r="O26" s="77"/>
      <c r="P26" s="16"/>
      <c r="Q26" s="199">
        <f t="shared" si="0"/>
        <v>0</v>
      </c>
      <c r="S26" s="265" t="s">
        <v>76</v>
      </c>
      <c r="T26" s="265" t="s">
        <v>102</v>
      </c>
      <c r="U26" s="265" t="s">
        <v>4171</v>
      </c>
      <c r="V26" s="265" t="s">
        <v>4172</v>
      </c>
      <c r="W26" s="265" t="s">
        <v>4173</v>
      </c>
      <c r="X26" s="347">
        <v>0.02</v>
      </c>
      <c r="Y26" s="347">
        <v>25</v>
      </c>
      <c r="Z26" s="347">
        <v>3.1</v>
      </c>
      <c r="AA26" s="348">
        <v>0.31</v>
      </c>
    </row>
    <row r="27" spans="1:27" ht="14.45" customHeight="1">
      <c r="A27" s="5" t="str">
        <f>IF(O27&gt;0,COUNT($A$7:A26)+COUNT('DWV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7" s="34"/>
      <c r="C27" s="50"/>
      <c r="D27" s="137">
        <v>8203</v>
      </c>
      <c r="E27" s="1">
        <v>100026657</v>
      </c>
      <c r="F27" s="15" t="s">
        <v>4174</v>
      </c>
      <c r="G27" s="375" t="s">
        <v>4139</v>
      </c>
      <c r="H27" s="375" t="s">
        <v>4112</v>
      </c>
      <c r="I27" s="375" t="s">
        <v>4101</v>
      </c>
      <c r="J27" s="1" t="s">
        <v>4102</v>
      </c>
      <c r="K27" s="1">
        <v>125</v>
      </c>
      <c r="L27" s="1">
        <v>33750</v>
      </c>
      <c r="M27" s="138">
        <f>VLOOKUP(E27,'All Products'!$D:$H,5,0)</f>
        <v>1.1100000000000001</v>
      </c>
      <c r="N27" s="212">
        <f>ROUNDUP(M27*Order_Quote!$L$21,2)</f>
        <v>5.55</v>
      </c>
      <c r="O27" s="77"/>
      <c r="P27" s="16"/>
      <c r="Q27" s="199">
        <f t="shared" si="0"/>
        <v>0</v>
      </c>
      <c r="S27" s="265" t="s">
        <v>76</v>
      </c>
      <c r="T27" s="265" t="s">
        <v>102</v>
      </c>
      <c r="U27" s="265" t="s">
        <v>4175</v>
      </c>
      <c r="V27" s="265" t="s">
        <v>4176</v>
      </c>
      <c r="W27" s="265" t="s">
        <v>4177</v>
      </c>
      <c r="X27" s="347">
        <v>4.2000000000000003E-2</v>
      </c>
      <c r="Y27" s="347">
        <v>25</v>
      </c>
      <c r="Z27" s="347">
        <v>5.29</v>
      </c>
      <c r="AA27" s="348">
        <v>0.31</v>
      </c>
    </row>
    <row r="28" spans="1:27" ht="14.45" customHeight="1">
      <c r="A28" s="5" t="str">
        <f>IF(O28&gt;0,COUNT($A$7:A27)+COUNT('DWV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8" s="34"/>
      <c r="C28" s="50"/>
      <c r="D28" s="137">
        <v>8205</v>
      </c>
      <c r="E28" s="1">
        <v>100026659</v>
      </c>
      <c r="F28" s="15" t="s">
        <v>4178</v>
      </c>
      <c r="G28" s="375" t="s">
        <v>4099</v>
      </c>
      <c r="H28" s="375" t="s">
        <v>4112</v>
      </c>
      <c r="I28" s="375" t="s">
        <v>4101</v>
      </c>
      <c r="J28" s="1" t="s">
        <v>4127</v>
      </c>
      <c r="K28" s="1">
        <v>100</v>
      </c>
      <c r="L28" s="1">
        <v>15000</v>
      </c>
      <c r="M28" s="138">
        <f>VLOOKUP(E28,'All Products'!$D:$H,5,0)</f>
        <v>1.32</v>
      </c>
      <c r="N28" s="212">
        <f>ROUNDUP(M28*Order_Quote!$L$21,2)</f>
        <v>6.6</v>
      </c>
      <c r="O28" s="77"/>
      <c r="P28" s="16"/>
      <c r="Q28" s="199">
        <f t="shared" si="0"/>
        <v>0</v>
      </c>
      <c r="S28" s="265" t="s">
        <v>76</v>
      </c>
      <c r="T28" s="265" t="s">
        <v>102</v>
      </c>
      <c r="U28" s="265" t="s">
        <v>4179</v>
      </c>
      <c r="V28" s="265">
        <v>0</v>
      </c>
      <c r="W28" s="265" t="s">
        <v>4180</v>
      </c>
      <c r="X28" s="347">
        <v>0.06</v>
      </c>
      <c r="Y28" s="347">
        <v>25</v>
      </c>
      <c r="Z28" s="347">
        <v>6.65</v>
      </c>
      <c r="AA28" s="348">
        <v>0.5</v>
      </c>
    </row>
    <row r="29" spans="1:27" ht="14.45" customHeight="1">
      <c r="A29" s="5" t="str">
        <f>IF(O29&gt;0,COUNT($A$7:A28)+COUNT('DWV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29" s="34"/>
      <c r="C29" s="50"/>
      <c r="D29" s="137">
        <v>8211</v>
      </c>
      <c r="E29" s="1">
        <v>100026663</v>
      </c>
      <c r="F29" s="15" t="s">
        <v>4181</v>
      </c>
      <c r="G29" s="375" t="s">
        <v>4139</v>
      </c>
      <c r="H29" s="375" t="s">
        <v>4112</v>
      </c>
      <c r="I29" s="375" t="s">
        <v>4101</v>
      </c>
      <c r="J29" s="1" t="s">
        <v>4107</v>
      </c>
      <c r="K29" s="1">
        <v>125</v>
      </c>
      <c r="L29" s="1">
        <v>15000</v>
      </c>
      <c r="M29" s="138">
        <f>VLOOKUP(E29,'All Products'!$D:$H,5,0)</f>
        <v>2.0499999999999998</v>
      </c>
      <c r="N29" s="212">
        <f>ROUNDUP(M29*Order_Quote!$L$21,2)</f>
        <v>10.25</v>
      </c>
      <c r="O29" s="77"/>
      <c r="P29" s="16"/>
      <c r="Q29" s="199">
        <f t="shared" si="0"/>
        <v>0</v>
      </c>
      <c r="S29" s="265" t="s">
        <v>76</v>
      </c>
      <c r="T29" s="265" t="s">
        <v>102</v>
      </c>
      <c r="U29" s="265" t="s">
        <v>4182</v>
      </c>
      <c r="V29" s="265">
        <v>0</v>
      </c>
      <c r="W29" s="265" t="s">
        <v>4183</v>
      </c>
      <c r="X29" s="347">
        <v>0.129</v>
      </c>
      <c r="Y29" s="347">
        <v>25</v>
      </c>
      <c r="Z29" s="347">
        <v>16.559999999999999</v>
      </c>
      <c r="AA29" s="348">
        <v>0.65</v>
      </c>
    </row>
    <row r="30" spans="1:27" ht="14.45" customHeight="1">
      <c r="A30" s="5" t="str">
        <f>IF(O30&gt;0,COUNT($A$7:A29)+COUNT('DWV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0" s="34"/>
      <c r="C30" s="50"/>
      <c r="D30" s="137">
        <v>8235</v>
      </c>
      <c r="E30" s="1">
        <v>100026670</v>
      </c>
      <c r="F30" s="15" t="s">
        <v>4184</v>
      </c>
      <c r="G30" s="375" t="s">
        <v>4139</v>
      </c>
      <c r="H30" s="375" t="s">
        <v>4112</v>
      </c>
      <c r="I30" s="375" t="s">
        <v>4101</v>
      </c>
      <c r="J30" s="1" t="s">
        <v>4151</v>
      </c>
      <c r="K30" s="1">
        <v>25</v>
      </c>
      <c r="L30" s="1">
        <v>3750</v>
      </c>
      <c r="M30" s="138">
        <f>VLOOKUP(E30,'All Products'!$D:$H,5,0)</f>
        <v>8.0399999999999991</v>
      </c>
      <c r="N30" s="212">
        <f>ROUNDUP(M30*Order_Quote!$L$21,2)</f>
        <v>40.200000000000003</v>
      </c>
      <c r="O30" s="77"/>
      <c r="P30" s="16"/>
      <c r="Q30" s="199">
        <f t="shared" si="0"/>
        <v>0</v>
      </c>
      <c r="S30" s="265" t="s">
        <v>359</v>
      </c>
      <c r="T30" s="265" t="s">
        <v>77</v>
      </c>
      <c r="U30" s="265" t="s">
        <v>4185</v>
      </c>
      <c r="V30" s="265">
        <v>0</v>
      </c>
      <c r="W30" s="265" t="s">
        <v>4186</v>
      </c>
      <c r="X30" s="347">
        <v>0.41299999999999998</v>
      </c>
      <c r="Y30" s="347">
        <v>0</v>
      </c>
      <c r="Z30" s="347">
        <v>10.32</v>
      </c>
      <c r="AA30" s="348">
        <v>0.5</v>
      </c>
    </row>
    <row r="31" spans="1:27" ht="14.45" customHeight="1">
      <c r="A31" s="5" t="str">
        <f>IF(O31&gt;0,COUNT($A$7:A30)+COUNT('DWV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1" s="34"/>
      <c r="C31" s="50"/>
      <c r="D31" s="137">
        <v>8246</v>
      </c>
      <c r="E31" s="1">
        <v>100026672</v>
      </c>
      <c r="F31" s="15" t="s">
        <v>4187</v>
      </c>
      <c r="G31" s="375" t="s">
        <v>4139</v>
      </c>
      <c r="H31" s="375" t="s">
        <v>4112</v>
      </c>
      <c r="I31" s="375" t="s">
        <v>4101</v>
      </c>
      <c r="J31" s="1" t="s">
        <v>4155</v>
      </c>
      <c r="K31" s="1">
        <v>25</v>
      </c>
      <c r="L31" s="1">
        <v>3750</v>
      </c>
      <c r="M31" s="138">
        <f>VLOOKUP(E31,'All Products'!$D:$H,5,0)</f>
        <v>10.16</v>
      </c>
      <c r="N31" s="212">
        <f>ROUNDUP(M31*Order_Quote!$L$21,2)</f>
        <v>50.8</v>
      </c>
      <c r="O31" s="77"/>
      <c r="P31" s="16"/>
      <c r="Q31" s="199">
        <f t="shared" si="0"/>
        <v>0</v>
      </c>
      <c r="S31" s="265" t="s">
        <v>359</v>
      </c>
      <c r="T31" s="265" t="s">
        <v>77</v>
      </c>
      <c r="U31" s="265" t="s">
        <v>4188</v>
      </c>
      <c r="V31" s="265">
        <v>0</v>
      </c>
      <c r="W31" s="265" t="s">
        <v>4189</v>
      </c>
      <c r="X31" s="347">
        <v>0.53700000000000003</v>
      </c>
      <c r="Y31" s="347">
        <v>0</v>
      </c>
      <c r="Z31" s="347">
        <v>13.42</v>
      </c>
      <c r="AA31" s="348">
        <v>0.5</v>
      </c>
    </row>
    <row r="32" spans="1:27" ht="14.45" customHeight="1">
      <c r="A32" s="5" t="str">
        <f>IF(O32&gt;0,COUNT($A$7:A31)+COUNT('DWV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2" s="34"/>
      <c r="C32" s="50"/>
      <c r="D32" s="137">
        <v>8254</v>
      </c>
      <c r="E32" s="1">
        <v>100026676</v>
      </c>
      <c r="F32" s="15" t="s">
        <v>4190</v>
      </c>
      <c r="G32" s="375" t="s">
        <v>4139</v>
      </c>
      <c r="H32" s="375" t="s">
        <v>4112</v>
      </c>
      <c r="I32" s="375" t="s">
        <v>4101</v>
      </c>
      <c r="J32" s="1" t="s">
        <v>4163</v>
      </c>
      <c r="K32" s="1">
        <v>25</v>
      </c>
      <c r="L32" s="1" t="s">
        <v>2803</v>
      </c>
      <c r="M32" s="138">
        <f>VLOOKUP(E32,'All Products'!$D:$H,5,0)</f>
        <v>14.98</v>
      </c>
      <c r="N32" s="212">
        <f>ROUNDUP(M32*Order_Quote!$L$21,2)</f>
        <v>74.900000000000006</v>
      </c>
      <c r="O32" s="77"/>
      <c r="P32" s="16"/>
      <c r="Q32" s="199">
        <f t="shared" ref="Q32:Q46" si="1">O32/K32</f>
        <v>0</v>
      </c>
      <c r="S32" s="265" t="s">
        <v>359</v>
      </c>
      <c r="T32" s="265" t="s">
        <v>77</v>
      </c>
      <c r="U32" s="265" t="s">
        <v>4191</v>
      </c>
      <c r="V32" s="265">
        <v>0</v>
      </c>
      <c r="W32" s="265" t="s">
        <v>4192</v>
      </c>
      <c r="X32" s="347">
        <v>0.78900000000000003</v>
      </c>
      <c r="Y32" s="347">
        <v>0</v>
      </c>
      <c r="Z32" s="347">
        <v>19.72</v>
      </c>
      <c r="AA32" s="348">
        <v>0</v>
      </c>
    </row>
    <row r="33" spans="1:27" ht="14.45" customHeight="1">
      <c r="A33" s="5" t="str">
        <f>IF(O33&gt;0,COUNT($A$7:A32)+COUNT('DWV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3" s="34"/>
      <c r="C33" s="50"/>
      <c r="D33" s="137">
        <v>8258</v>
      </c>
      <c r="E33" s="1">
        <v>100026678</v>
      </c>
      <c r="F33" s="15" t="s">
        <v>4193</v>
      </c>
      <c r="G33" s="375" t="s">
        <v>4139</v>
      </c>
      <c r="H33" s="375" t="s">
        <v>4112</v>
      </c>
      <c r="I33" s="375" t="s">
        <v>4101</v>
      </c>
      <c r="J33" s="1" t="s">
        <v>4167</v>
      </c>
      <c r="K33" s="1">
        <v>25</v>
      </c>
      <c r="L33" s="1" t="s">
        <v>2803</v>
      </c>
      <c r="M33" s="138">
        <f>VLOOKUP(E33,'All Products'!$D:$H,5,0)</f>
        <v>19.84</v>
      </c>
      <c r="N33" s="212">
        <f>ROUNDUP(M33*Order_Quote!$L$21,2)</f>
        <v>99.2</v>
      </c>
      <c r="O33" s="77"/>
      <c r="P33" s="16"/>
      <c r="Q33" s="199">
        <f t="shared" si="1"/>
        <v>0</v>
      </c>
      <c r="S33" s="265" t="s">
        <v>359</v>
      </c>
      <c r="T33" s="265" t="s">
        <v>77</v>
      </c>
      <c r="U33" s="265" t="s">
        <v>4194</v>
      </c>
      <c r="V33" s="265">
        <v>0</v>
      </c>
      <c r="W33" s="265" t="s">
        <v>4195</v>
      </c>
      <c r="X33" s="347">
        <v>1.0289999999999999</v>
      </c>
      <c r="Y33" s="347">
        <v>0</v>
      </c>
      <c r="Z33" s="347">
        <v>25.72</v>
      </c>
      <c r="AA33" s="348">
        <v>0</v>
      </c>
    </row>
    <row r="34" spans="1:27" ht="14.25" customHeight="1">
      <c r="A34" s="5" t="str">
        <f>IF(O34&gt;0,COUNT($A$7:A33)+COUNT('DWV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4" s="34"/>
      <c r="C34" s="50"/>
      <c r="D34" s="137">
        <v>8300</v>
      </c>
      <c r="E34" s="1">
        <v>100026680</v>
      </c>
      <c r="F34" s="15" t="s">
        <v>4196</v>
      </c>
      <c r="G34" s="375" t="s">
        <v>4099</v>
      </c>
      <c r="H34" s="375" t="s">
        <v>4112</v>
      </c>
      <c r="I34" s="375" t="s">
        <v>4101</v>
      </c>
      <c r="J34" s="1" t="s">
        <v>4113</v>
      </c>
      <c r="K34" s="1">
        <v>125</v>
      </c>
      <c r="L34" s="1">
        <v>33750</v>
      </c>
      <c r="M34" s="138">
        <f>VLOOKUP(E34,'All Products'!$D:$H,5,0)</f>
        <v>1.52</v>
      </c>
      <c r="N34" s="212">
        <f>ROUNDUP(M34*Order_Quote!$L$21,2)</f>
        <v>7.6</v>
      </c>
      <c r="O34" s="77"/>
      <c r="P34" s="16"/>
      <c r="Q34" s="199">
        <f t="shared" si="1"/>
        <v>0</v>
      </c>
      <c r="S34" s="265" t="s">
        <v>76</v>
      </c>
      <c r="T34" s="265" t="s">
        <v>102</v>
      </c>
      <c r="U34" s="265" t="s">
        <v>4197</v>
      </c>
      <c r="V34" s="265" t="s">
        <v>4198</v>
      </c>
      <c r="W34" s="265" t="s">
        <v>4199</v>
      </c>
      <c r="X34" s="347">
        <v>3.5999999999999997E-2</v>
      </c>
      <c r="Y34" s="347">
        <v>25</v>
      </c>
      <c r="Z34" s="347">
        <v>4.4400000000000004</v>
      </c>
      <c r="AA34" s="348">
        <v>0.31</v>
      </c>
    </row>
    <row r="35" spans="1:27" ht="14.45" customHeight="1">
      <c r="A35" s="5" t="str">
        <f>IF(O35&gt;0,COUNT($A$7:A34)+COUNT('DWV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5" s="34"/>
      <c r="C35" s="50"/>
      <c r="D35" s="137">
        <v>8307</v>
      </c>
      <c r="E35" s="1">
        <v>100026684</v>
      </c>
      <c r="F35" s="15" t="s">
        <v>4200</v>
      </c>
      <c r="G35" s="375" t="s">
        <v>4139</v>
      </c>
      <c r="H35" s="375" t="s">
        <v>4112</v>
      </c>
      <c r="I35" s="375" t="s">
        <v>4101</v>
      </c>
      <c r="J35" s="1" t="s">
        <v>4201</v>
      </c>
      <c r="K35" s="1">
        <v>50</v>
      </c>
      <c r="L35" s="1">
        <v>7500</v>
      </c>
      <c r="M35" s="138">
        <f>VLOOKUP(E35,'All Products'!$D:$H,5,0)</f>
        <v>2.31</v>
      </c>
      <c r="N35" s="212">
        <f>ROUNDUP(M35*Order_Quote!$L$21,2)</f>
        <v>11.55</v>
      </c>
      <c r="O35" s="77"/>
      <c r="P35" s="16"/>
      <c r="Q35" s="199">
        <f t="shared" si="1"/>
        <v>0</v>
      </c>
      <c r="S35" s="265" t="s">
        <v>76</v>
      </c>
      <c r="T35" s="265" t="s">
        <v>102</v>
      </c>
      <c r="U35" s="265" t="s">
        <v>4202</v>
      </c>
      <c r="V35" s="265">
        <v>0</v>
      </c>
      <c r="W35" s="265" t="s">
        <v>4203</v>
      </c>
      <c r="X35" s="347">
        <v>0.115</v>
      </c>
      <c r="Y35" s="347">
        <v>25</v>
      </c>
      <c r="Z35" s="347">
        <v>6.55</v>
      </c>
      <c r="AA35" s="348">
        <v>0.5</v>
      </c>
    </row>
    <row r="36" spans="1:27" ht="14.45" customHeight="1">
      <c r="A36" s="5" t="str">
        <f>IF(O36&gt;0,COUNT($A$7:A35)+COUNT('DWV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6" s="34"/>
      <c r="C36" s="50"/>
      <c r="D36" s="137">
        <v>8311</v>
      </c>
      <c r="E36" s="1">
        <v>100026686</v>
      </c>
      <c r="F36" s="15" t="s">
        <v>4204</v>
      </c>
      <c r="G36" s="375" t="s">
        <v>4139</v>
      </c>
      <c r="H36" s="375" t="s">
        <v>4112</v>
      </c>
      <c r="I36" s="375" t="s">
        <v>4101</v>
      </c>
      <c r="J36" s="1" t="s">
        <v>4107</v>
      </c>
      <c r="K36" s="1">
        <v>40</v>
      </c>
      <c r="L36" s="1">
        <v>10800</v>
      </c>
      <c r="M36" s="138">
        <f>VLOOKUP(E36,'All Products'!$D:$H,5,0)</f>
        <v>2.9</v>
      </c>
      <c r="N36" s="212">
        <f>ROUNDUP(M36*Order_Quote!$L$21,2)</f>
        <v>14.5</v>
      </c>
      <c r="O36" s="77"/>
      <c r="P36" s="16"/>
      <c r="Q36" s="199">
        <f t="shared" si="1"/>
        <v>0</v>
      </c>
      <c r="S36" s="265" t="s">
        <v>76</v>
      </c>
      <c r="T36" s="265" t="s">
        <v>102</v>
      </c>
      <c r="U36" s="265" t="s">
        <v>4205</v>
      </c>
      <c r="V36" s="265">
        <v>0</v>
      </c>
      <c r="W36" s="265" t="s">
        <v>4206</v>
      </c>
      <c r="X36" s="347">
        <v>0.18</v>
      </c>
      <c r="Y36" s="347">
        <v>0</v>
      </c>
      <c r="Z36" s="347">
        <v>7.37</v>
      </c>
      <c r="AA36" s="348">
        <v>0.31</v>
      </c>
    </row>
    <row r="37" spans="1:27" ht="14.45" customHeight="1">
      <c r="A37" s="5" t="str">
        <f>IF(O37&gt;0,COUNT($A$7:A36)+COUNT('DWV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7" s="34"/>
      <c r="C37" s="50"/>
      <c r="D37" s="137">
        <v>8314</v>
      </c>
      <c r="E37" s="1">
        <v>100026688</v>
      </c>
      <c r="F37" s="15" t="s">
        <v>4207</v>
      </c>
      <c r="G37" s="375" t="s">
        <v>4139</v>
      </c>
      <c r="H37" s="375" t="s">
        <v>4112</v>
      </c>
      <c r="I37" s="375" t="s">
        <v>4101</v>
      </c>
      <c r="J37" s="1" t="s">
        <v>4208</v>
      </c>
      <c r="K37" s="1">
        <v>25</v>
      </c>
      <c r="L37" s="1" t="s">
        <v>2803</v>
      </c>
      <c r="M37" s="138">
        <f>VLOOKUP(E37,'All Products'!$D:$H,5,0)</f>
        <v>5.97</v>
      </c>
      <c r="N37" s="212">
        <f>ROUNDUP(M37*Order_Quote!$L$21,2)</f>
        <v>29.85</v>
      </c>
      <c r="O37" s="77"/>
      <c r="P37" s="16"/>
      <c r="Q37" s="199">
        <f t="shared" si="1"/>
        <v>0</v>
      </c>
      <c r="S37" s="265" t="s">
        <v>359</v>
      </c>
      <c r="T37" s="265" t="s">
        <v>77</v>
      </c>
      <c r="U37" s="265" t="s">
        <v>4209</v>
      </c>
      <c r="V37" s="265">
        <v>0</v>
      </c>
      <c r="W37" s="265" t="s">
        <v>4210</v>
      </c>
      <c r="X37" s="347">
        <v>0.27200000000000002</v>
      </c>
      <c r="Y37" s="347">
        <v>0</v>
      </c>
      <c r="Z37" s="347">
        <v>6.8</v>
      </c>
      <c r="AA37" s="348">
        <v>0</v>
      </c>
    </row>
    <row r="38" spans="1:27" ht="14.45" customHeight="1">
      <c r="A38" s="5" t="str">
        <f>IF(O38&gt;0,COUNT($A$7:A37)+COUNT('DWV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8" s="34"/>
      <c r="C38" s="50"/>
      <c r="D38" s="137">
        <v>8315</v>
      </c>
      <c r="E38" s="1">
        <v>100026689</v>
      </c>
      <c r="F38" s="15" t="s">
        <v>4211</v>
      </c>
      <c r="G38" s="375" t="s">
        <v>4139</v>
      </c>
      <c r="H38" s="375" t="s">
        <v>4112</v>
      </c>
      <c r="I38" s="375" t="s">
        <v>4101</v>
      </c>
      <c r="J38" s="1" t="s">
        <v>4143</v>
      </c>
      <c r="K38" s="1">
        <v>25</v>
      </c>
      <c r="L38" s="1" t="s">
        <v>2803</v>
      </c>
      <c r="M38" s="138">
        <f>VLOOKUP(E38,'All Products'!$D:$H,5,0)</f>
        <v>6.2</v>
      </c>
      <c r="N38" s="212">
        <f>ROUNDUP(M38*Order_Quote!$L$21,2)</f>
        <v>31</v>
      </c>
      <c r="O38" s="77"/>
      <c r="P38" s="16"/>
      <c r="Q38" s="199">
        <f t="shared" si="1"/>
        <v>0</v>
      </c>
      <c r="S38" s="265" t="s">
        <v>76</v>
      </c>
      <c r="T38" s="265" t="s">
        <v>102</v>
      </c>
      <c r="U38" s="265" t="s">
        <v>4212</v>
      </c>
      <c r="V38" s="265">
        <v>0</v>
      </c>
      <c r="W38" s="265" t="s">
        <v>4213</v>
      </c>
      <c r="X38" s="347">
        <v>0.248</v>
      </c>
      <c r="Y38" s="347">
        <v>0</v>
      </c>
      <c r="Z38" s="347">
        <v>6.34</v>
      </c>
      <c r="AA38" s="348">
        <v>0</v>
      </c>
    </row>
    <row r="39" spans="1:27" ht="14.45" customHeight="1">
      <c r="A39" s="5" t="str">
        <f>IF(O39&gt;0,COUNT($A$7:A38)+COUNT('DWV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39" s="34"/>
      <c r="C39" s="50"/>
      <c r="D39" s="137">
        <v>8323</v>
      </c>
      <c r="E39" s="1">
        <v>100026691</v>
      </c>
      <c r="F39" s="15" t="s">
        <v>4214</v>
      </c>
      <c r="G39" s="375" t="s">
        <v>4139</v>
      </c>
      <c r="H39" s="375" t="s">
        <v>4112</v>
      </c>
      <c r="I39" s="375" t="s">
        <v>4101</v>
      </c>
      <c r="J39" s="1" t="s">
        <v>4215</v>
      </c>
      <c r="K39" s="1">
        <v>25</v>
      </c>
      <c r="L39" s="1">
        <v>6750</v>
      </c>
      <c r="M39" s="138">
        <f>VLOOKUP(E39,'All Products'!$D:$H,5,0)</f>
        <v>8.2200000000000006</v>
      </c>
      <c r="N39" s="212">
        <f>ROUNDUP(M39*Order_Quote!$L$21,2)</f>
        <v>41.1</v>
      </c>
      <c r="O39" s="77"/>
      <c r="P39" s="16"/>
      <c r="Q39" s="199">
        <f t="shared" si="1"/>
        <v>0</v>
      </c>
      <c r="S39" s="265" t="s">
        <v>76</v>
      </c>
      <c r="T39" s="265" t="s">
        <v>102</v>
      </c>
      <c r="U39" s="265" t="s">
        <v>4216</v>
      </c>
      <c r="V39" s="265">
        <v>0</v>
      </c>
      <c r="W39" s="265" t="s">
        <v>4217</v>
      </c>
      <c r="X39" s="347">
        <v>0.374</v>
      </c>
      <c r="Y39" s="347">
        <v>0</v>
      </c>
      <c r="Z39" s="347">
        <v>10.18</v>
      </c>
      <c r="AA39" s="348">
        <v>0.31</v>
      </c>
    </row>
    <row r="40" spans="1:27" ht="14.45" customHeight="1">
      <c r="A40" s="5" t="str">
        <f>IF(O40&gt;0,COUNT($A$7:A39)+COUNT('DWV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0" s="34"/>
      <c r="C40" s="50"/>
      <c r="D40" s="137">
        <v>8400</v>
      </c>
      <c r="E40" s="1">
        <v>100026703</v>
      </c>
      <c r="F40" s="15" t="s">
        <v>4218</v>
      </c>
      <c r="G40" s="375" t="s">
        <v>4139</v>
      </c>
      <c r="H40" s="375" t="s">
        <v>4112</v>
      </c>
      <c r="I40" s="375" t="s">
        <v>4101</v>
      </c>
      <c r="J40" s="1" t="s">
        <v>4113</v>
      </c>
      <c r="K40" s="1">
        <v>25</v>
      </c>
      <c r="L40" s="1" t="s">
        <v>2803</v>
      </c>
      <c r="M40" s="138">
        <f>VLOOKUP(E40,'All Products'!$D:$H,5,0)</f>
        <v>3.59</v>
      </c>
      <c r="N40" s="212">
        <f>ROUNDUP(M40*Order_Quote!$L$21,2)</f>
        <v>17.95</v>
      </c>
      <c r="O40" s="77"/>
      <c r="P40" s="16"/>
      <c r="Q40" s="199">
        <f t="shared" si="1"/>
        <v>0</v>
      </c>
      <c r="S40" s="265" t="s">
        <v>359</v>
      </c>
      <c r="T40" s="265" t="s">
        <v>77</v>
      </c>
      <c r="U40" s="265" t="s">
        <v>4219</v>
      </c>
      <c r="V40" s="265">
        <v>0</v>
      </c>
      <c r="W40" s="265" t="s">
        <v>4220</v>
      </c>
      <c r="X40" s="347">
        <v>7.5999999999999998E-2</v>
      </c>
      <c r="Y40" s="347">
        <v>0</v>
      </c>
      <c r="Z40" s="347">
        <v>1.9</v>
      </c>
      <c r="AA40" s="348">
        <v>0</v>
      </c>
    </row>
    <row r="41" spans="1:27" ht="14.45" customHeight="1">
      <c r="A41" s="5" t="str">
        <f>IF(O41&gt;0,COUNT($A$7:A40)+COUNT('DWV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1" s="34"/>
      <c r="C41" s="50"/>
      <c r="D41" s="137">
        <v>8403</v>
      </c>
      <c r="E41" s="1">
        <v>100026704</v>
      </c>
      <c r="F41" s="15" t="s">
        <v>4221</v>
      </c>
      <c r="G41" s="375" t="s">
        <v>4139</v>
      </c>
      <c r="H41" s="375" t="s">
        <v>4112</v>
      </c>
      <c r="I41" s="375" t="s">
        <v>4101</v>
      </c>
      <c r="J41" s="1" t="s">
        <v>4102</v>
      </c>
      <c r="K41" s="1">
        <v>25</v>
      </c>
      <c r="L41" s="1" t="s">
        <v>2803</v>
      </c>
      <c r="M41" s="138">
        <f>VLOOKUP(E41,'All Products'!$D:$H,5,0)</f>
        <v>3.8</v>
      </c>
      <c r="N41" s="212">
        <f>ROUNDUP(M41*Order_Quote!$L$21,2)</f>
        <v>19</v>
      </c>
      <c r="O41" s="77"/>
      <c r="P41" s="16"/>
      <c r="Q41" s="199">
        <f t="shared" si="1"/>
        <v>0</v>
      </c>
      <c r="S41" s="265" t="s">
        <v>359</v>
      </c>
      <c r="T41" s="265" t="s">
        <v>77</v>
      </c>
      <c r="U41" s="265" t="s">
        <v>4222</v>
      </c>
      <c r="V41" s="265">
        <v>0</v>
      </c>
      <c r="W41" s="265" t="s">
        <v>4223</v>
      </c>
      <c r="X41" s="347">
        <v>8.7999999999999995E-2</v>
      </c>
      <c r="Y41" s="347">
        <v>0</v>
      </c>
      <c r="Z41" s="347">
        <v>2.2000000000000002</v>
      </c>
      <c r="AA41" s="348">
        <v>0</v>
      </c>
    </row>
    <row r="42" spans="1:27" ht="14.45" customHeight="1">
      <c r="A42" s="5" t="str">
        <f>IF(O42&gt;0,COUNT($A$7:A41)+COUNT('DWV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2" s="34"/>
      <c r="C42" s="50"/>
      <c r="D42" s="137">
        <v>8405</v>
      </c>
      <c r="E42" s="1">
        <v>100026706</v>
      </c>
      <c r="F42" s="15" t="s">
        <v>4224</v>
      </c>
      <c r="G42" s="375" t="s">
        <v>4139</v>
      </c>
      <c r="H42" s="375" t="s">
        <v>4112</v>
      </c>
      <c r="I42" s="375" t="s">
        <v>4101</v>
      </c>
      <c r="J42" s="1" t="s">
        <v>4127</v>
      </c>
      <c r="K42" s="1">
        <v>25</v>
      </c>
      <c r="L42" s="1" t="s">
        <v>2803</v>
      </c>
      <c r="M42" s="138">
        <f>VLOOKUP(E42,'All Products'!$D:$H,5,0)</f>
        <v>5.41</v>
      </c>
      <c r="N42" s="212">
        <f>ROUNDUP(M42*Order_Quote!$L$21,2)</f>
        <v>27.05</v>
      </c>
      <c r="O42" s="77"/>
      <c r="P42" s="16"/>
      <c r="Q42" s="199">
        <f t="shared" si="1"/>
        <v>0</v>
      </c>
      <c r="S42" s="265" t="s">
        <v>359</v>
      </c>
      <c r="T42" s="265" t="s">
        <v>77</v>
      </c>
      <c r="U42" s="265" t="s">
        <v>4225</v>
      </c>
      <c r="V42" s="265">
        <v>0</v>
      </c>
      <c r="W42" s="265" t="s">
        <v>4226</v>
      </c>
      <c r="X42" s="347">
        <v>0.14199999999999999</v>
      </c>
      <c r="Y42" s="347">
        <v>0</v>
      </c>
      <c r="Z42" s="347">
        <v>3.56</v>
      </c>
      <c r="AA42" s="348">
        <v>0</v>
      </c>
    </row>
    <row r="43" spans="1:27" ht="14.45" customHeight="1">
      <c r="A43" s="5" t="str">
        <f>IF(O43&gt;0,COUNT($A$7:A42)+COUNT('DWV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3" s="34"/>
      <c r="C43" s="50"/>
      <c r="D43" s="137">
        <v>8407</v>
      </c>
      <c r="E43" s="1">
        <v>100026708</v>
      </c>
      <c r="F43" s="15" t="s">
        <v>4227</v>
      </c>
      <c r="G43" s="375" t="s">
        <v>4139</v>
      </c>
      <c r="H43" s="375" t="s">
        <v>4112</v>
      </c>
      <c r="I43" s="375" t="s">
        <v>4101</v>
      </c>
      <c r="J43" s="1" t="s">
        <v>4201</v>
      </c>
      <c r="K43" s="1">
        <v>25</v>
      </c>
      <c r="L43" s="1">
        <v>3750</v>
      </c>
      <c r="M43" s="138">
        <f>VLOOKUP(E43,'All Products'!$D:$H,5,0)</f>
        <v>6.63</v>
      </c>
      <c r="N43" s="212">
        <f>ROUNDUP(M43*Order_Quote!$L$21,2)</f>
        <v>33.15</v>
      </c>
      <c r="O43" s="77"/>
      <c r="P43" s="16"/>
      <c r="Q43" s="199">
        <f t="shared" si="1"/>
        <v>0</v>
      </c>
      <c r="S43" s="265" t="s">
        <v>359</v>
      </c>
      <c r="T43" s="265" t="s">
        <v>77</v>
      </c>
      <c r="U43" s="265" t="s">
        <v>4228</v>
      </c>
      <c r="V43" s="265">
        <v>0</v>
      </c>
      <c r="W43" s="265" t="s">
        <v>4229</v>
      </c>
      <c r="X43" s="347">
        <v>0.192</v>
      </c>
      <c r="Y43" s="347">
        <v>0</v>
      </c>
      <c r="Z43" s="347">
        <v>4.8</v>
      </c>
      <c r="AA43" s="348">
        <v>0.5</v>
      </c>
    </row>
    <row r="44" spans="1:27" ht="14.45" customHeight="1">
      <c r="A44" s="5" t="str">
        <f>IF(O44&gt;0,COUNT($A$7:A43)+COUNT('DWV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4" s="34"/>
      <c r="C44" s="50"/>
      <c r="D44" s="137">
        <v>8411</v>
      </c>
      <c r="E44" s="1">
        <v>100026710</v>
      </c>
      <c r="F44" s="15" t="s">
        <v>4230</v>
      </c>
      <c r="G44" s="375" t="s">
        <v>4139</v>
      </c>
      <c r="H44" s="375" t="s">
        <v>4112</v>
      </c>
      <c r="I44" s="375" t="s">
        <v>4101</v>
      </c>
      <c r="J44" s="1" t="s">
        <v>4107</v>
      </c>
      <c r="K44" s="1">
        <v>25</v>
      </c>
      <c r="L44" s="1" t="s">
        <v>2803</v>
      </c>
      <c r="M44" s="138">
        <f>VLOOKUP(E44,'All Products'!$D:$H,5,0)</f>
        <v>7.04</v>
      </c>
      <c r="N44" s="212">
        <f>ROUNDUP(M44*Order_Quote!$L$21,2)</f>
        <v>35.200000000000003</v>
      </c>
      <c r="O44" s="77"/>
      <c r="P44" s="16"/>
      <c r="Q44" s="199">
        <f t="shared" si="1"/>
        <v>0</v>
      </c>
      <c r="S44" s="265" t="s">
        <v>359</v>
      </c>
      <c r="T44" s="265" t="s">
        <v>77</v>
      </c>
      <c r="U44" s="265" t="s">
        <v>4231</v>
      </c>
      <c r="V44" s="265">
        <v>0</v>
      </c>
      <c r="W44" s="265" t="s">
        <v>4232</v>
      </c>
      <c r="X44" s="347">
        <v>0.27600000000000002</v>
      </c>
      <c r="Y44" s="347">
        <v>0</v>
      </c>
      <c r="Z44" s="347">
        <v>6.9</v>
      </c>
      <c r="AA44" s="348">
        <v>0</v>
      </c>
    </row>
    <row r="45" spans="1:27" ht="14.45" customHeight="1">
      <c r="A45" s="5" t="str">
        <f>IF(O45&gt;0,COUNT($A$7:A44)+COUNT('DWV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5" s="34"/>
      <c r="C45" s="50"/>
      <c r="D45" s="137">
        <v>8415</v>
      </c>
      <c r="E45" s="1">
        <v>100026711</v>
      </c>
      <c r="F45" s="15" t="s">
        <v>4233</v>
      </c>
      <c r="G45" s="375" t="s">
        <v>4139</v>
      </c>
      <c r="H45" s="375" t="s">
        <v>4112</v>
      </c>
      <c r="I45" s="375" t="s">
        <v>4101</v>
      </c>
      <c r="J45" s="1" t="s">
        <v>4143</v>
      </c>
      <c r="K45" s="1">
        <v>25</v>
      </c>
      <c r="L45" s="1" t="s">
        <v>2803</v>
      </c>
      <c r="M45" s="138">
        <f>VLOOKUP(E45,'All Products'!$D:$H,5,0)</f>
        <v>8.5</v>
      </c>
      <c r="N45" s="212">
        <f>ROUNDUP(M45*Order_Quote!$L$21,2)</f>
        <v>42.5</v>
      </c>
      <c r="O45" s="77"/>
      <c r="P45" s="16"/>
      <c r="Q45" s="199">
        <f t="shared" si="1"/>
        <v>0</v>
      </c>
      <c r="S45" s="265" t="s">
        <v>359</v>
      </c>
      <c r="T45" s="265" t="s">
        <v>77</v>
      </c>
      <c r="U45" s="265" t="s">
        <v>4234</v>
      </c>
      <c r="V45" s="265">
        <v>0</v>
      </c>
      <c r="W45" s="265" t="s">
        <v>4235</v>
      </c>
      <c r="X45" s="347">
        <v>0.372</v>
      </c>
      <c r="Y45" s="347">
        <v>0</v>
      </c>
      <c r="Z45" s="347">
        <v>9.3000000000000007</v>
      </c>
      <c r="AA45" s="348">
        <v>0</v>
      </c>
    </row>
    <row r="46" spans="1:27" ht="14.45" customHeight="1">
      <c r="A46" s="5" t="str">
        <f>IF(O46&gt;0,COUNT($A$7:A45)+COUNT('DWV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6" s="34"/>
      <c r="C46" s="50"/>
      <c r="D46" s="137">
        <v>8423</v>
      </c>
      <c r="E46" s="1">
        <v>100026714</v>
      </c>
      <c r="F46" s="15" t="s">
        <v>4236</v>
      </c>
      <c r="G46" s="375" t="s">
        <v>4139</v>
      </c>
      <c r="H46" s="375" t="s">
        <v>4112</v>
      </c>
      <c r="I46" s="375" t="s">
        <v>4101</v>
      </c>
      <c r="J46" s="1" t="s">
        <v>4215</v>
      </c>
      <c r="K46" s="1">
        <v>25</v>
      </c>
      <c r="L46" s="1" t="s">
        <v>2803</v>
      </c>
      <c r="M46" s="138">
        <f>VLOOKUP(E46,'All Products'!$D:$H,5,0)</f>
        <v>11.15</v>
      </c>
      <c r="N46" s="212">
        <f>ROUNDUP(M46*Order_Quote!$L$21,2)</f>
        <v>55.75</v>
      </c>
      <c r="O46" s="77"/>
      <c r="P46" s="16"/>
      <c r="Q46" s="199">
        <f t="shared" si="1"/>
        <v>0</v>
      </c>
      <c r="S46" s="265" t="s">
        <v>359</v>
      </c>
      <c r="T46" s="265" t="s">
        <v>77</v>
      </c>
      <c r="U46" s="265" t="s">
        <v>4237</v>
      </c>
      <c r="V46" s="265">
        <v>0</v>
      </c>
      <c r="W46" s="265" t="s">
        <v>4238</v>
      </c>
      <c r="X46" s="347">
        <v>0.56599999999999995</v>
      </c>
      <c r="Y46" s="347">
        <v>0</v>
      </c>
      <c r="Z46" s="347">
        <v>14.14</v>
      </c>
      <c r="AA46" s="348">
        <v>0</v>
      </c>
    </row>
    <row r="47" spans="1:27" ht="14.45" customHeight="1">
      <c r="A47" s="5" t="str">
        <f>IF(O47&gt;0,COUNT($A$7:A46)+COUNT('DWV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7" s="34"/>
      <c r="C47" s="50"/>
      <c r="D47" s="137">
        <v>8500</v>
      </c>
      <c r="E47" s="1">
        <v>100026724</v>
      </c>
      <c r="F47" s="15" t="s">
        <v>4239</v>
      </c>
      <c r="G47" s="375" t="s">
        <v>4139</v>
      </c>
      <c r="H47" s="375" t="s">
        <v>4112</v>
      </c>
      <c r="I47" s="375" t="s">
        <v>4101</v>
      </c>
      <c r="J47" s="1" t="s">
        <v>4113</v>
      </c>
      <c r="K47" s="1">
        <v>25</v>
      </c>
      <c r="L47" s="1">
        <v>3750</v>
      </c>
      <c r="M47" s="138">
        <f>VLOOKUP(E47,'All Products'!$D:$H,5,0)</f>
        <v>4.37</v>
      </c>
      <c r="N47" s="212">
        <f>ROUNDUP(M47*Order_Quote!$L$21,2)</f>
        <v>21.85</v>
      </c>
      <c r="O47" s="77"/>
      <c r="P47" s="16"/>
      <c r="Q47" s="199">
        <f t="shared" ref="Q47:Q63" si="2">O47/K47</f>
        <v>0</v>
      </c>
      <c r="S47" s="265" t="s">
        <v>359</v>
      </c>
      <c r="T47" s="265" t="s">
        <v>77</v>
      </c>
      <c r="U47" s="265" t="s">
        <v>4240</v>
      </c>
      <c r="V47" s="265">
        <v>0</v>
      </c>
      <c r="W47" s="265" t="s">
        <v>4241</v>
      </c>
      <c r="X47" s="347">
        <v>8.5999999999999993E-2</v>
      </c>
      <c r="Y47" s="347">
        <v>0</v>
      </c>
      <c r="Z47" s="347">
        <v>2.14</v>
      </c>
      <c r="AA47" s="348">
        <v>0.5</v>
      </c>
    </row>
    <row r="48" spans="1:27" ht="14.45" customHeight="1">
      <c r="A48" s="5" t="str">
        <f>IF(O48&gt;0,COUNT($A$7:A47)+COUNT('DWV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8" s="34"/>
      <c r="C48" s="50"/>
      <c r="D48" s="137">
        <v>8503</v>
      </c>
      <c r="E48" s="1">
        <v>100026725</v>
      </c>
      <c r="F48" s="15" t="s">
        <v>4242</v>
      </c>
      <c r="G48" s="375" t="s">
        <v>4139</v>
      </c>
      <c r="H48" s="375" t="s">
        <v>4112</v>
      </c>
      <c r="I48" s="375" t="s">
        <v>4101</v>
      </c>
      <c r="J48" s="1" t="s">
        <v>4102</v>
      </c>
      <c r="K48" s="1">
        <v>25</v>
      </c>
      <c r="L48" s="1" t="s">
        <v>2803</v>
      </c>
      <c r="M48" s="138">
        <f>VLOOKUP(E48,'All Products'!$D:$H,5,0)</f>
        <v>4.3899999999999997</v>
      </c>
      <c r="N48" s="212">
        <f>ROUNDUP(M48*Order_Quote!$L$21,2)</f>
        <v>21.95</v>
      </c>
      <c r="O48" s="77"/>
      <c r="P48" s="16"/>
      <c r="Q48" s="199">
        <f t="shared" si="2"/>
        <v>0</v>
      </c>
      <c r="S48" s="265" t="s">
        <v>359</v>
      </c>
      <c r="T48" s="265" t="s">
        <v>77</v>
      </c>
      <c r="U48" s="265" t="s">
        <v>4243</v>
      </c>
      <c r="V48" s="265">
        <v>0</v>
      </c>
      <c r="W48" s="265" t="s">
        <v>4244</v>
      </c>
      <c r="X48" s="347">
        <v>0.112</v>
      </c>
      <c r="Y48" s="347">
        <v>0</v>
      </c>
      <c r="Z48" s="347">
        <v>2.8</v>
      </c>
      <c r="AA48" s="348">
        <v>0</v>
      </c>
    </row>
    <row r="49" spans="1:27" ht="14.45" customHeight="1">
      <c r="A49" s="5" t="str">
        <f>IF(O49&gt;0,COUNT($A$7:A48)+COUNT('DWV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49" s="34"/>
      <c r="C49" s="50"/>
      <c r="D49" s="137">
        <v>8505</v>
      </c>
      <c r="E49" s="1">
        <v>100026727</v>
      </c>
      <c r="F49" s="15" t="s">
        <v>4245</v>
      </c>
      <c r="G49" s="375" t="s">
        <v>4139</v>
      </c>
      <c r="H49" s="375" t="s">
        <v>4112</v>
      </c>
      <c r="I49" s="375" t="s">
        <v>4101</v>
      </c>
      <c r="J49" s="1" t="s">
        <v>4127</v>
      </c>
      <c r="K49" s="1">
        <v>25</v>
      </c>
      <c r="L49" s="1" t="s">
        <v>2803</v>
      </c>
      <c r="M49" s="138">
        <f>VLOOKUP(E49,'All Products'!$D:$H,5,0)</f>
        <v>5.71</v>
      </c>
      <c r="N49" s="212">
        <f>ROUNDUP(M49*Order_Quote!$L$21,2)</f>
        <v>28.55</v>
      </c>
      <c r="O49" s="77"/>
      <c r="P49" s="16"/>
      <c r="Q49" s="199">
        <f t="shared" si="2"/>
        <v>0</v>
      </c>
      <c r="S49" s="265" t="s">
        <v>359</v>
      </c>
      <c r="T49" s="265" t="s">
        <v>77</v>
      </c>
      <c r="U49" s="265" t="s">
        <v>4246</v>
      </c>
      <c r="V49" s="265">
        <v>0</v>
      </c>
      <c r="W49" s="265" t="s">
        <v>4247</v>
      </c>
      <c r="X49" s="347">
        <v>0.17199999999999999</v>
      </c>
      <c r="Y49" s="347">
        <v>0</v>
      </c>
      <c r="Z49" s="347">
        <v>4.3</v>
      </c>
      <c r="AA49" s="348">
        <v>0</v>
      </c>
    </row>
    <row r="50" spans="1:27" ht="14.45" customHeight="1">
      <c r="A50" s="5" t="str">
        <f>IF(O50&gt;0,COUNT($A$7:A49)+COUNT('DWV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0" s="34"/>
      <c r="C50" s="50"/>
      <c r="D50" s="137">
        <v>8507</v>
      </c>
      <c r="E50" s="1">
        <v>100026729</v>
      </c>
      <c r="F50" s="15" t="s">
        <v>4248</v>
      </c>
      <c r="G50" s="375" t="s">
        <v>4139</v>
      </c>
      <c r="H50" s="375" t="s">
        <v>4112</v>
      </c>
      <c r="I50" s="375" t="s">
        <v>4101</v>
      </c>
      <c r="J50" s="1" t="s">
        <v>4201</v>
      </c>
      <c r="K50" s="1">
        <v>25</v>
      </c>
      <c r="L50" s="1" t="s">
        <v>2803</v>
      </c>
      <c r="M50" s="138">
        <f>VLOOKUP(E50,'All Products'!$D:$H,5,0)</f>
        <v>6.63</v>
      </c>
      <c r="N50" s="212">
        <f>ROUNDUP(M50*Order_Quote!$L$21,2)</f>
        <v>33.15</v>
      </c>
      <c r="O50" s="77"/>
      <c r="P50" s="16"/>
      <c r="Q50" s="199">
        <f t="shared" si="2"/>
        <v>0</v>
      </c>
      <c r="S50" s="265" t="s">
        <v>359</v>
      </c>
      <c r="T50" s="265" t="s">
        <v>77</v>
      </c>
      <c r="U50" s="265" t="s">
        <v>4249</v>
      </c>
      <c r="V50" s="265">
        <v>0</v>
      </c>
      <c r="W50" s="265" t="s">
        <v>4250</v>
      </c>
      <c r="X50" s="347">
        <v>0.22800000000000001</v>
      </c>
      <c r="Y50" s="347">
        <v>0</v>
      </c>
      <c r="Z50" s="347">
        <v>5.7</v>
      </c>
      <c r="AA50" s="348">
        <v>0</v>
      </c>
    </row>
    <row r="51" spans="1:27" ht="14.45" customHeight="1">
      <c r="A51" s="5" t="str">
        <f>IF(O51&gt;0,COUNT($A$7:A50)+COUNT('DWV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1" s="34"/>
      <c r="C51" s="50"/>
      <c r="D51" s="137">
        <v>8511</v>
      </c>
      <c r="E51" s="1">
        <v>100026731</v>
      </c>
      <c r="F51" s="15" t="s">
        <v>4251</v>
      </c>
      <c r="G51" s="375" t="s">
        <v>4139</v>
      </c>
      <c r="H51" s="375" t="s">
        <v>4112</v>
      </c>
      <c r="I51" s="375" t="s">
        <v>4101</v>
      </c>
      <c r="J51" s="1" t="s">
        <v>4107</v>
      </c>
      <c r="K51" s="1">
        <v>25</v>
      </c>
      <c r="L51" s="1" t="s">
        <v>2803</v>
      </c>
      <c r="M51" s="138">
        <f>VLOOKUP(E51,'All Products'!$D:$H,5,0)</f>
        <v>8.08</v>
      </c>
      <c r="N51" s="212">
        <f>ROUNDUP(M51*Order_Quote!$L$21,2)</f>
        <v>40.4</v>
      </c>
      <c r="O51" s="77"/>
      <c r="P51" s="16"/>
      <c r="Q51" s="199">
        <f t="shared" si="2"/>
        <v>0</v>
      </c>
      <c r="S51" s="265" t="s">
        <v>359</v>
      </c>
      <c r="T51" s="265" t="s">
        <v>77</v>
      </c>
      <c r="U51" s="265" t="s">
        <v>4252</v>
      </c>
      <c r="V51" s="265">
        <v>0</v>
      </c>
      <c r="W51" s="265" t="s">
        <v>4253</v>
      </c>
      <c r="X51" s="347">
        <v>0.33800000000000002</v>
      </c>
      <c r="Y51" s="347">
        <v>0</v>
      </c>
      <c r="Z51" s="347">
        <v>8.4499999999999993</v>
      </c>
      <c r="AA51" s="348">
        <v>0</v>
      </c>
    </row>
    <row r="52" spans="1:27" ht="14.45" customHeight="1">
      <c r="A52" s="5" t="str">
        <f>IF(O52&gt;0,COUNT($A$7:A51)+COUNT('DWV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2" s="34"/>
      <c r="C52" s="50"/>
      <c r="D52" s="137">
        <v>8515</v>
      </c>
      <c r="E52" s="1">
        <v>100026732</v>
      </c>
      <c r="F52" s="15" t="s">
        <v>4254</v>
      </c>
      <c r="G52" s="375" t="s">
        <v>4139</v>
      </c>
      <c r="H52" s="375" t="s">
        <v>4112</v>
      </c>
      <c r="I52" s="375" t="s">
        <v>4101</v>
      </c>
      <c r="J52" s="1" t="s">
        <v>4143</v>
      </c>
      <c r="K52" s="1">
        <v>25</v>
      </c>
      <c r="L52" s="1" t="s">
        <v>2803</v>
      </c>
      <c r="M52" s="138">
        <f>VLOOKUP(E52,'All Products'!$D:$H,5,0)</f>
        <v>9.67</v>
      </c>
      <c r="N52" s="212">
        <f>ROUNDUP(M52*Order_Quote!$L$21,2)</f>
        <v>48.35</v>
      </c>
      <c r="O52" s="77"/>
      <c r="P52" s="16"/>
      <c r="Q52" s="199">
        <f t="shared" si="2"/>
        <v>0</v>
      </c>
      <c r="S52" s="265" t="s">
        <v>359</v>
      </c>
      <c r="T52" s="265" t="s">
        <v>77</v>
      </c>
      <c r="U52" s="265" t="s">
        <v>4255</v>
      </c>
      <c r="V52" s="265">
        <v>0</v>
      </c>
      <c r="W52" s="265" t="s">
        <v>4256</v>
      </c>
      <c r="X52" s="347">
        <v>0.47</v>
      </c>
      <c r="Y52" s="347">
        <v>0</v>
      </c>
      <c r="Z52" s="347">
        <v>11.74</v>
      </c>
      <c r="AA52" s="348">
        <v>0</v>
      </c>
    </row>
    <row r="53" spans="1:27" ht="14.45" customHeight="1">
      <c r="A53" s="5" t="str">
        <f>IF(O53&gt;0,COUNT($A$7:A52)+COUNT('DWV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3" s="34"/>
      <c r="C53" s="50"/>
      <c r="D53" s="137">
        <v>8523</v>
      </c>
      <c r="E53" s="1">
        <v>100026734</v>
      </c>
      <c r="F53" s="15" t="s">
        <v>4257</v>
      </c>
      <c r="G53" s="375" t="s">
        <v>4139</v>
      </c>
      <c r="H53" s="375" t="s">
        <v>4112</v>
      </c>
      <c r="I53" s="375" t="s">
        <v>4101</v>
      </c>
      <c r="J53" s="1" t="s">
        <v>4215</v>
      </c>
      <c r="K53" s="1">
        <v>25</v>
      </c>
      <c r="L53" s="1">
        <v>3000</v>
      </c>
      <c r="M53" s="138">
        <f>VLOOKUP(E53,'All Products'!$D:$H,5,0)</f>
        <v>13.57</v>
      </c>
      <c r="N53" s="212">
        <f>ROUNDUP(M53*Order_Quote!$L$21,2)</f>
        <v>67.849999999999994</v>
      </c>
      <c r="O53" s="77"/>
      <c r="P53" s="16"/>
      <c r="Q53" s="199">
        <f t="shared" si="2"/>
        <v>0</v>
      </c>
      <c r="S53" s="265" t="s">
        <v>359</v>
      </c>
      <c r="T53" s="265" t="s">
        <v>77</v>
      </c>
      <c r="U53" s="265" t="s">
        <v>4258</v>
      </c>
      <c r="V53" s="265">
        <v>0</v>
      </c>
      <c r="W53" s="265" t="s">
        <v>4259</v>
      </c>
      <c r="X53" s="347">
        <v>0.66200000000000003</v>
      </c>
      <c r="Y53" s="347">
        <v>0</v>
      </c>
      <c r="Z53" s="347">
        <v>16.54</v>
      </c>
      <c r="AA53" s="348">
        <v>0.65</v>
      </c>
    </row>
    <row r="54" spans="1:27" ht="14.45" customHeight="1">
      <c r="A54" s="5" t="str">
        <f>IF(O54&gt;0,COUNT($A$7:A53)+COUNT('DWV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4" s="34"/>
      <c r="C54" s="50"/>
      <c r="D54" s="137">
        <v>8600</v>
      </c>
      <c r="E54" s="1">
        <v>100026744</v>
      </c>
      <c r="F54" s="15" t="s">
        <v>4260</v>
      </c>
      <c r="G54" s="375" t="s">
        <v>4139</v>
      </c>
      <c r="H54" s="375" t="s">
        <v>4112</v>
      </c>
      <c r="I54" s="375" t="s">
        <v>4101</v>
      </c>
      <c r="J54" s="1" t="s">
        <v>4113</v>
      </c>
      <c r="K54" s="1">
        <v>25</v>
      </c>
      <c r="L54" s="1" t="s">
        <v>2803</v>
      </c>
      <c r="M54" s="138">
        <f>VLOOKUP(E54,'All Products'!$D:$H,5,0)</f>
        <v>5.7</v>
      </c>
      <c r="N54" s="212">
        <f>ROUNDUP(M54*Order_Quote!$L$21,2)</f>
        <v>28.5</v>
      </c>
      <c r="O54" s="77"/>
      <c r="P54" s="16"/>
      <c r="Q54" s="199">
        <f t="shared" si="2"/>
        <v>0</v>
      </c>
      <c r="S54" s="265" t="s">
        <v>359</v>
      </c>
      <c r="T54" s="265" t="s">
        <v>77</v>
      </c>
      <c r="U54" s="265" t="s">
        <v>4261</v>
      </c>
      <c r="V54" s="265">
        <v>0</v>
      </c>
      <c r="W54" s="265" t="s">
        <v>4262</v>
      </c>
      <c r="X54" s="347">
        <v>0.153</v>
      </c>
      <c r="Y54" s="347">
        <v>0</v>
      </c>
      <c r="Z54" s="347">
        <v>3.82</v>
      </c>
      <c r="AA54" s="348">
        <v>0</v>
      </c>
    </row>
    <row r="55" spans="1:27" ht="14.45" customHeight="1">
      <c r="A55" s="5" t="str">
        <f>IF(O55&gt;0,COUNT($A$7:A54)+COUNT('DWV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5" s="34"/>
      <c r="C55" s="50"/>
      <c r="D55" s="137">
        <v>8604</v>
      </c>
      <c r="E55" s="1">
        <v>100026745</v>
      </c>
      <c r="F55" s="15" t="s">
        <v>4263</v>
      </c>
      <c r="G55" s="375" t="s">
        <v>4139</v>
      </c>
      <c r="H55" s="375" t="s">
        <v>4112</v>
      </c>
      <c r="I55" s="375" t="s">
        <v>4101</v>
      </c>
      <c r="J55" s="1" t="s">
        <v>4122</v>
      </c>
      <c r="K55" s="1">
        <v>25</v>
      </c>
      <c r="L55" s="1" t="s">
        <v>2803</v>
      </c>
      <c r="M55" s="138">
        <f>VLOOKUP(E55,'All Products'!$D:$H,5,0)</f>
        <v>5.67</v>
      </c>
      <c r="N55" s="212">
        <f>ROUNDUP(M55*Order_Quote!$L$21,2)</f>
        <v>28.35</v>
      </c>
      <c r="O55" s="77"/>
      <c r="P55" s="16"/>
      <c r="Q55" s="199">
        <f t="shared" si="2"/>
        <v>0</v>
      </c>
      <c r="S55" s="265" t="s">
        <v>359</v>
      </c>
      <c r="T55" s="265" t="s">
        <v>77</v>
      </c>
      <c r="U55" s="265" t="s">
        <v>4264</v>
      </c>
      <c r="V55" s="265">
        <v>0</v>
      </c>
      <c r="W55" s="265" t="s">
        <v>4265</v>
      </c>
      <c r="X55" s="347">
        <v>0.188</v>
      </c>
      <c r="Y55" s="347">
        <v>0</v>
      </c>
      <c r="Z55" s="347">
        <v>4.7</v>
      </c>
      <c r="AA55" s="348">
        <v>0</v>
      </c>
    </row>
    <row r="56" spans="1:27" ht="14.45" customHeight="1">
      <c r="A56" s="5" t="str">
        <f>IF(O56&gt;0,COUNT($A$7:A55)+COUNT('DWV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6" s="34"/>
      <c r="C56" s="50"/>
      <c r="D56" s="137">
        <v>8605</v>
      </c>
      <c r="E56" s="1">
        <v>100026746</v>
      </c>
      <c r="F56" s="15" t="s">
        <v>4266</v>
      </c>
      <c r="G56" s="375" t="s">
        <v>4139</v>
      </c>
      <c r="H56" s="375" t="s">
        <v>4112</v>
      </c>
      <c r="I56" s="375" t="s">
        <v>4101</v>
      </c>
      <c r="J56" s="1" t="s">
        <v>4127</v>
      </c>
      <c r="K56" s="1">
        <v>25</v>
      </c>
      <c r="L56" s="1" t="s">
        <v>2803</v>
      </c>
      <c r="M56" s="138">
        <f>VLOOKUP(E56,'All Products'!$D:$H,5,0)</f>
        <v>6.18</v>
      </c>
      <c r="N56" s="212">
        <f>ROUNDUP(M56*Order_Quote!$L$21,2)</f>
        <v>30.9</v>
      </c>
      <c r="O56" s="77"/>
      <c r="P56" s="16"/>
      <c r="Q56" s="199">
        <f t="shared" si="2"/>
        <v>0</v>
      </c>
      <c r="S56" s="265" t="s">
        <v>359</v>
      </c>
      <c r="T56" s="265" t="s">
        <v>77</v>
      </c>
      <c r="U56" s="265" t="s">
        <v>4267</v>
      </c>
      <c r="V56" s="265">
        <v>0</v>
      </c>
      <c r="W56" s="265" t="s">
        <v>4268</v>
      </c>
      <c r="X56" s="347">
        <v>0.23</v>
      </c>
      <c r="Y56" s="347">
        <v>0</v>
      </c>
      <c r="Z56" s="347">
        <v>5.75</v>
      </c>
      <c r="AA56" s="348">
        <v>0</v>
      </c>
    </row>
    <row r="57" spans="1:27" ht="14.45" customHeight="1">
      <c r="A57" s="5" t="str">
        <f>IF(O57&gt;0,COUNT($A$7:A56)+COUNT('DWV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7" s="34"/>
      <c r="C57" s="50"/>
      <c r="D57" s="137">
        <v>8607</v>
      </c>
      <c r="E57" s="1">
        <v>100026747</v>
      </c>
      <c r="F57" s="15" t="s">
        <v>4269</v>
      </c>
      <c r="G57" s="375" t="s">
        <v>4139</v>
      </c>
      <c r="H57" s="375" t="s">
        <v>4112</v>
      </c>
      <c r="I57" s="375" t="s">
        <v>4101</v>
      </c>
      <c r="J57" s="1" t="s">
        <v>4201</v>
      </c>
      <c r="K57" s="1">
        <v>25</v>
      </c>
      <c r="L57" s="1" t="s">
        <v>2803</v>
      </c>
      <c r="M57" s="138">
        <f>VLOOKUP(E57,'All Products'!$D:$H,5,0)</f>
        <v>7.83</v>
      </c>
      <c r="N57" s="212">
        <f>ROUNDUP(M57*Order_Quote!$L$21,2)</f>
        <v>39.15</v>
      </c>
      <c r="O57" s="77"/>
      <c r="P57" s="16"/>
      <c r="Q57" s="199">
        <f t="shared" si="2"/>
        <v>0</v>
      </c>
      <c r="S57" s="265" t="s">
        <v>359</v>
      </c>
      <c r="T57" s="265" t="s">
        <v>77</v>
      </c>
      <c r="U57" s="265" t="s">
        <v>4270</v>
      </c>
      <c r="V57" s="265">
        <v>0</v>
      </c>
      <c r="W57" s="265" t="s">
        <v>4271</v>
      </c>
      <c r="X57" s="347">
        <v>0.312</v>
      </c>
      <c r="Y57" s="347">
        <v>0</v>
      </c>
      <c r="Z57" s="347">
        <v>7.8</v>
      </c>
      <c r="AA57" s="348">
        <v>0</v>
      </c>
    </row>
    <row r="58" spans="1:27" ht="14.45" customHeight="1">
      <c r="A58" s="5" t="str">
        <f>IF(O58&gt;0,COUNT($A$7:A57)+COUNT('DWV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8" s="34"/>
      <c r="C58" s="50"/>
      <c r="D58" s="137">
        <v>8609</v>
      </c>
      <c r="E58" s="1">
        <v>100026748</v>
      </c>
      <c r="F58" s="15" t="s">
        <v>4272</v>
      </c>
      <c r="G58" s="375" t="s">
        <v>4139</v>
      </c>
      <c r="H58" s="375" t="s">
        <v>4112</v>
      </c>
      <c r="I58" s="375" t="s">
        <v>4101</v>
      </c>
      <c r="J58" s="1" t="s">
        <v>4135</v>
      </c>
      <c r="K58" s="1">
        <v>25</v>
      </c>
      <c r="L58" s="1" t="s">
        <v>2803</v>
      </c>
      <c r="M58" s="138">
        <f>VLOOKUP(E58,'All Products'!$D:$H,5,0)</f>
        <v>9.23</v>
      </c>
      <c r="N58" s="212">
        <f>ROUNDUP(M58*Order_Quote!$L$21,2)</f>
        <v>46.15</v>
      </c>
      <c r="O58" s="77"/>
      <c r="P58" s="16"/>
      <c r="Q58" s="199">
        <f t="shared" si="2"/>
        <v>0</v>
      </c>
      <c r="S58" s="265" t="s">
        <v>359</v>
      </c>
      <c r="T58" s="265" t="s">
        <v>77</v>
      </c>
      <c r="U58" s="265" t="s">
        <v>4273</v>
      </c>
      <c r="V58" s="265">
        <v>0</v>
      </c>
      <c r="W58" s="265" t="s">
        <v>4274</v>
      </c>
      <c r="X58" s="347">
        <v>0.378</v>
      </c>
      <c r="Y58" s="347">
        <v>0</v>
      </c>
      <c r="Z58" s="347">
        <v>9.4600000000000009</v>
      </c>
      <c r="AA58" s="348">
        <v>0</v>
      </c>
    </row>
    <row r="59" spans="1:27" ht="14.45" customHeight="1">
      <c r="A59" s="5" t="str">
        <f>IF(O59&gt;0,COUNT($A$7:A58)+COUNT('DWV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59" s="34"/>
      <c r="C59" s="50"/>
      <c r="D59" s="137">
        <v>8611</v>
      </c>
      <c r="E59" s="1">
        <v>100026749</v>
      </c>
      <c r="F59" s="15" t="s">
        <v>4275</v>
      </c>
      <c r="G59" s="375" t="s">
        <v>4139</v>
      </c>
      <c r="H59" s="375" t="s">
        <v>4112</v>
      </c>
      <c r="I59" s="375" t="s">
        <v>4101</v>
      </c>
      <c r="J59" s="1" t="s">
        <v>4107</v>
      </c>
      <c r="K59" s="1">
        <v>25</v>
      </c>
      <c r="L59" s="1" t="s">
        <v>2803</v>
      </c>
      <c r="M59" s="138">
        <f>VLOOKUP(E59,'All Products'!$D:$H,5,0)</f>
        <v>10.37</v>
      </c>
      <c r="N59" s="212">
        <f>ROUNDUP(M59*Order_Quote!$L$21,2)</f>
        <v>51.85</v>
      </c>
      <c r="O59" s="77"/>
      <c r="P59" s="16"/>
      <c r="Q59" s="199">
        <f t="shared" si="2"/>
        <v>0</v>
      </c>
      <c r="S59" s="265" t="s">
        <v>359</v>
      </c>
      <c r="T59" s="265" t="s">
        <v>77</v>
      </c>
      <c r="U59" s="265" t="s">
        <v>4276</v>
      </c>
      <c r="V59" s="265">
        <v>0</v>
      </c>
      <c r="W59" s="265" t="s">
        <v>4277</v>
      </c>
      <c r="X59" s="347">
        <v>0.45800000000000002</v>
      </c>
      <c r="Y59" s="347">
        <v>0</v>
      </c>
      <c r="Z59" s="347">
        <v>11.46</v>
      </c>
      <c r="AA59" s="348">
        <v>0</v>
      </c>
    </row>
    <row r="60" spans="1:27" ht="14.45" customHeight="1">
      <c r="A60" s="5" t="str">
        <f>IF(O60&gt;0,COUNT($A$7:A59)+COUNT('DWV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0" s="34"/>
      <c r="C60" s="50"/>
      <c r="D60" s="137">
        <v>8615</v>
      </c>
      <c r="E60" s="1">
        <v>100026750</v>
      </c>
      <c r="F60" s="15" t="s">
        <v>4278</v>
      </c>
      <c r="G60" s="375" t="s">
        <v>4139</v>
      </c>
      <c r="H60" s="375" t="s">
        <v>4112</v>
      </c>
      <c r="I60" s="375" t="s">
        <v>4101</v>
      </c>
      <c r="J60" s="1" t="s">
        <v>4143</v>
      </c>
      <c r="K60" s="1">
        <v>25</v>
      </c>
      <c r="L60" s="1" t="s">
        <v>2803</v>
      </c>
      <c r="M60" s="138">
        <f>VLOOKUP(E60,'All Products'!$D:$H,5,0)</f>
        <v>12.74</v>
      </c>
      <c r="N60" s="212">
        <f>ROUNDUP(M60*Order_Quote!$L$21,2)</f>
        <v>63.7</v>
      </c>
      <c r="O60" s="77"/>
      <c r="P60" s="16"/>
      <c r="Q60" s="199">
        <f t="shared" si="2"/>
        <v>0</v>
      </c>
      <c r="S60" s="265" t="s">
        <v>359</v>
      </c>
      <c r="T60" s="265" t="s">
        <v>77</v>
      </c>
      <c r="U60" s="265" t="s">
        <v>4279</v>
      </c>
      <c r="V60" s="265">
        <v>0</v>
      </c>
      <c r="W60" s="265" t="s">
        <v>4280</v>
      </c>
      <c r="X60" s="347">
        <v>0.64200000000000002</v>
      </c>
      <c r="Y60" s="347">
        <v>0</v>
      </c>
      <c r="Z60" s="347">
        <v>16.04</v>
      </c>
      <c r="AA60" s="348">
        <v>0</v>
      </c>
    </row>
    <row r="61" spans="1:27" ht="14.45" customHeight="1">
      <c r="A61" s="5" t="str">
        <f>IF(O61&gt;0,COUNT($A$7:A60)+COUNT('DWV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1" s="34"/>
      <c r="C61" s="50"/>
      <c r="D61" s="137">
        <v>8619</v>
      </c>
      <c r="E61" s="1">
        <v>100026751</v>
      </c>
      <c r="F61" s="15" t="s">
        <v>4281</v>
      </c>
      <c r="G61" s="375" t="s">
        <v>4139</v>
      </c>
      <c r="H61" s="375" t="s">
        <v>4112</v>
      </c>
      <c r="I61" s="375" t="s">
        <v>4101</v>
      </c>
      <c r="J61" s="1" t="s">
        <v>4282</v>
      </c>
      <c r="K61" s="1">
        <v>25</v>
      </c>
      <c r="L61" s="1" t="s">
        <v>2803</v>
      </c>
      <c r="M61" s="138">
        <f>VLOOKUP(E61,'All Products'!$D:$H,5,0)</f>
        <v>15.15</v>
      </c>
      <c r="N61" s="212">
        <f>ROUNDUP(M61*Order_Quote!$L$21,2)</f>
        <v>75.75</v>
      </c>
      <c r="O61" s="77"/>
      <c r="P61" s="16"/>
      <c r="Q61" s="199">
        <f t="shared" si="2"/>
        <v>0</v>
      </c>
      <c r="S61" s="265" t="s">
        <v>359</v>
      </c>
      <c r="T61" s="265" t="s">
        <v>77</v>
      </c>
      <c r="U61" s="265" t="s">
        <v>4283</v>
      </c>
      <c r="V61" s="265">
        <v>0</v>
      </c>
      <c r="W61" s="265" t="s">
        <v>4284</v>
      </c>
      <c r="X61" s="347">
        <v>0.79</v>
      </c>
      <c r="Y61" s="347">
        <v>0</v>
      </c>
      <c r="Z61" s="347">
        <v>19.739999999999998</v>
      </c>
      <c r="AA61" s="348">
        <v>0</v>
      </c>
    </row>
    <row r="62" spans="1:27" ht="14.45" customHeight="1">
      <c r="A62" s="5" t="str">
        <f>IF(O62&gt;0,COUNT($A$7:A61)+COUNT('DWV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2" s="34"/>
      <c r="C62" s="50"/>
      <c r="D62" s="137">
        <v>8623</v>
      </c>
      <c r="E62" s="1">
        <v>100026752</v>
      </c>
      <c r="F62" s="15" t="s">
        <v>4285</v>
      </c>
      <c r="G62" s="375" t="s">
        <v>4139</v>
      </c>
      <c r="H62" s="375" t="s">
        <v>4112</v>
      </c>
      <c r="I62" s="375" t="s">
        <v>4101</v>
      </c>
      <c r="J62" s="1" t="s">
        <v>4215</v>
      </c>
      <c r="K62" s="1">
        <v>25</v>
      </c>
      <c r="L62" s="1" t="s">
        <v>2803</v>
      </c>
      <c r="M62" s="138">
        <f>VLOOKUP(E62,'All Products'!$D:$H,5,0)</f>
        <v>17.03</v>
      </c>
      <c r="N62" s="212">
        <f>ROUNDUP(M62*Order_Quote!$L$21,2)</f>
        <v>85.15</v>
      </c>
      <c r="O62" s="77"/>
      <c r="P62" s="16"/>
      <c r="Q62" s="199">
        <f t="shared" si="2"/>
        <v>0</v>
      </c>
      <c r="S62" s="265" t="s">
        <v>359</v>
      </c>
      <c r="T62" s="265" t="s">
        <v>77</v>
      </c>
      <c r="U62" s="265" t="s">
        <v>4286</v>
      </c>
      <c r="V62" s="265">
        <v>0</v>
      </c>
      <c r="W62" s="265" t="s">
        <v>4287</v>
      </c>
      <c r="X62" s="347">
        <v>0.95799999999999996</v>
      </c>
      <c r="Y62" s="347">
        <v>0</v>
      </c>
      <c r="Z62" s="347">
        <v>23.95</v>
      </c>
      <c r="AA62" s="348">
        <v>0</v>
      </c>
    </row>
    <row r="63" spans="1:27" ht="14.45" customHeight="1">
      <c r="A63" s="5" t="str">
        <f>IF(O63&gt;0,COUNT($A$7:A62)+COUNT('DWV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3" s="34"/>
      <c r="C63" s="50"/>
      <c r="D63" s="137">
        <v>8646</v>
      </c>
      <c r="E63" s="1">
        <v>100026757</v>
      </c>
      <c r="F63" s="15" t="s">
        <v>4288</v>
      </c>
      <c r="G63" s="375" t="s">
        <v>4139</v>
      </c>
      <c r="H63" s="375" t="s">
        <v>4112</v>
      </c>
      <c r="I63" s="375" t="s">
        <v>4101</v>
      </c>
      <c r="J63" s="1" t="s">
        <v>4155</v>
      </c>
      <c r="K63" s="1">
        <v>25</v>
      </c>
      <c r="L63" s="1" t="s">
        <v>2803</v>
      </c>
      <c r="M63" s="138">
        <f>VLOOKUP(E63,'All Products'!$D:$H,5,0)</f>
        <v>32.56</v>
      </c>
      <c r="N63" s="212">
        <f>ROUNDUP(M63*Order_Quote!$L$21,2)</f>
        <v>162.80000000000001</v>
      </c>
      <c r="O63" s="77"/>
      <c r="P63" s="16"/>
      <c r="Q63" s="199">
        <f t="shared" si="2"/>
        <v>0</v>
      </c>
      <c r="S63" s="265" t="s">
        <v>359</v>
      </c>
      <c r="T63" s="265" t="s">
        <v>77</v>
      </c>
      <c r="U63" s="265" t="s">
        <v>4289</v>
      </c>
      <c r="V63" s="265">
        <v>0</v>
      </c>
      <c r="W63" s="265" t="s">
        <v>4290</v>
      </c>
      <c r="X63" s="347">
        <v>1.948</v>
      </c>
      <c r="Y63" s="347">
        <v>0</v>
      </c>
      <c r="Z63" s="347">
        <v>9.74</v>
      </c>
      <c r="AA63" s="348">
        <v>0.88</v>
      </c>
    </row>
    <row r="64" spans="1:27" ht="14.45" customHeight="1">
      <c r="A64" s="5" t="str">
        <f>IF(O64&gt;0,COUNT($A$7:A63)+COUNT('DWV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4" s="34"/>
      <c r="C64" s="50"/>
      <c r="D64" s="137">
        <v>8654</v>
      </c>
      <c r="E64" s="1">
        <v>100026761</v>
      </c>
      <c r="F64" s="15" t="s">
        <v>4291</v>
      </c>
      <c r="G64" s="375" t="s">
        <v>4139</v>
      </c>
      <c r="H64" s="375" t="s">
        <v>4112</v>
      </c>
      <c r="I64" s="375" t="s">
        <v>4101</v>
      </c>
      <c r="J64" s="1" t="s">
        <v>4163</v>
      </c>
      <c r="K64" s="1">
        <v>5</v>
      </c>
      <c r="L64" s="1" t="s">
        <v>2803</v>
      </c>
      <c r="M64" s="138">
        <f>VLOOKUP(E64,'All Products'!$D:$H,5,0)</f>
        <v>47.51</v>
      </c>
      <c r="N64" s="212">
        <f>ROUNDUP(M64*Order_Quote!$L$21,2)</f>
        <v>237.55</v>
      </c>
      <c r="O64" s="77"/>
      <c r="P64" s="16"/>
      <c r="Q64" s="199">
        <f t="shared" ref="Q64:Q74" si="3">O64/K64</f>
        <v>0</v>
      </c>
      <c r="S64" s="265" t="s">
        <v>359</v>
      </c>
      <c r="T64" s="265" t="s">
        <v>77</v>
      </c>
      <c r="U64" s="265" t="s">
        <v>4292</v>
      </c>
      <c r="V64" s="265">
        <v>0</v>
      </c>
      <c r="W64" s="265" t="s">
        <v>4293</v>
      </c>
      <c r="X64" s="347">
        <v>0.55400000000000005</v>
      </c>
      <c r="Y64" s="347">
        <v>0</v>
      </c>
      <c r="Z64" s="347">
        <v>20</v>
      </c>
      <c r="AA64" s="348">
        <v>1.33</v>
      </c>
    </row>
    <row r="65" spans="1:28" ht="14.45" customHeight="1">
      <c r="A65" s="5" t="str">
        <f>IF(O65&gt;0,COUNT($A$7:A64)+COUNT('DWV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5" s="34"/>
      <c r="C65" s="50"/>
      <c r="D65" s="137">
        <v>8711</v>
      </c>
      <c r="E65" s="1">
        <v>100026769</v>
      </c>
      <c r="F65" s="15" t="s">
        <v>4294</v>
      </c>
      <c r="G65" s="375" t="s">
        <v>4139</v>
      </c>
      <c r="H65" s="375" t="s">
        <v>4112</v>
      </c>
      <c r="I65" s="375" t="s">
        <v>4101</v>
      </c>
      <c r="J65" s="1" t="s">
        <v>4107</v>
      </c>
      <c r="K65" s="1">
        <v>25</v>
      </c>
      <c r="L65" s="1">
        <v>1875</v>
      </c>
      <c r="M65" s="138">
        <f>VLOOKUP(E65,'All Products'!$D:$H,5,0)</f>
        <v>16.75</v>
      </c>
      <c r="N65" s="212">
        <f>ROUNDUP(M65*Order_Quote!$L$21,2)</f>
        <v>83.75</v>
      </c>
      <c r="O65" s="77"/>
      <c r="P65" s="16"/>
      <c r="Q65" s="199">
        <f t="shared" si="3"/>
        <v>0</v>
      </c>
      <c r="S65" s="265" t="s">
        <v>359</v>
      </c>
      <c r="T65" s="265" t="s">
        <v>77</v>
      </c>
      <c r="U65" s="265" t="s">
        <v>4295</v>
      </c>
      <c r="V65" s="265">
        <v>0</v>
      </c>
      <c r="W65" s="265" t="s">
        <v>4296</v>
      </c>
      <c r="X65" s="347">
        <v>0.63200000000000001</v>
      </c>
      <c r="Y65" s="347">
        <v>0</v>
      </c>
      <c r="Z65" s="347">
        <v>15.8</v>
      </c>
      <c r="AA65" s="348">
        <v>0.95</v>
      </c>
    </row>
    <row r="66" spans="1:28" ht="14.45" customHeight="1">
      <c r="A66" s="5" t="str">
        <f>IF(O66&gt;0,COUNT($A$7:A65)+COUNT('DWV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6" s="34"/>
      <c r="C66" s="50"/>
      <c r="D66" s="137">
        <v>8723</v>
      </c>
      <c r="E66" s="1">
        <v>100026772</v>
      </c>
      <c r="F66" s="15" t="s">
        <v>4297</v>
      </c>
      <c r="G66" s="375" t="s">
        <v>4139</v>
      </c>
      <c r="H66" s="375" t="s">
        <v>4112</v>
      </c>
      <c r="I66" s="375" t="s">
        <v>4101</v>
      </c>
      <c r="J66" s="1" t="s">
        <v>4215</v>
      </c>
      <c r="K66" s="1">
        <v>25</v>
      </c>
      <c r="L66" s="1" t="s">
        <v>2803</v>
      </c>
      <c r="M66" s="138">
        <f>VLOOKUP(E66,'All Products'!$D:$H,5,0)</f>
        <v>27.63</v>
      </c>
      <c r="N66" s="212">
        <f>ROUNDUP(M66*Order_Quote!$L$21,2)</f>
        <v>138.15</v>
      </c>
      <c r="O66" s="77"/>
      <c r="P66" s="16"/>
      <c r="Q66" s="199">
        <f t="shared" si="3"/>
        <v>0</v>
      </c>
      <c r="S66" s="265" t="s">
        <v>359</v>
      </c>
      <c r="T66" s="265" t="s">
        <v>77</v>
      </c>
      <c r="U66" s="265" t="s">
        <v>4298</v>
      </c>
      <c r="V66" s="265">
        <v>0</v>
      </c>
      <c r="W66" s="265" t="s">
        <v>4299</v>
      </c>
      <c r="X66" s="347">
        <v>0.94799999999999995</v>
      </c>
      <c r="Y66" s="347">
        <v>0</v>
      </c>
      <c r="Z66" s="347">
        <v>23.7</v>
      </c>
      <c r="AA66" s="348">
        <v>0</v>
      </c>
    </row>
    <row r="67" spans="1:28" ht="14.45" customHeight="1">
      <c r="A67" s="5" t="str">
        <f>IF(O67&gt;0,COUNT($A$7:A66)+COUNT('DWV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7" s="34"/>
      <c r="C67" s="50"/>
      <c r="D67" s="137">
        <v>8805</v>
      </c>
      <c r="E67" s="1">
        <v>100026783</v>
      </c>
      <c r="F67" s="15" t="s">
        <v>4300</v>
      </c>
      <c r="G67" s="375" t="s">
        <v>4139</v>
      </c>
      <c r="H67" s="375" t="s">
        <v>4112</v>
      </c>
      <c r="I67" s="375" t="s">
        <v>4101</v>
      </c>
      <c r="J67" s="1" t="s">
        <v>4127</v>
      </c>
      <c r="K67" s="1">
        <v>25</v>
      </c>
      <c r="L67" s="1" t="s">
        <v>2803</v>
      </c>
      <c r="M67" s="138">
        <f>VLOOKUP(E67,'All Products'!$D:$H,5,0)</f>
        <v>13.19</v>
      </c>
      <c r="N67" s="212">
        <f>ROUNDUP(M67*Order_Quote!$L$21,2)</f>
        <v>65.95</v>
      </c>
      <c r="O67" s="77"/>
      <c r="P67" s="16"/>
      <c r="Q67" s="199">
        <f t="shared" si="3"/>
        <v>0</v>
      </c>
      <c r="S67" s="265" t="s">
        <v>359</v>
      </c>
      <c r="T67" s="265" t="s">
        <v>77</v>
      </c>
      <c r="U67" s="265" t="s">
        <v>4301</v>
      </c>
      <c r="V67" s="265">
        <v>0</v>
      </c>
      <c r="W67" s="265" t="s">
        <v>4302</v>
      </c>
      <c r="X67" s="347">
        <v>0.44900000000000001</v>
      </c>
      <c r="Y67" s="347">
        <v>0</v>
      </c>
      <c r="Z67" s="347">
        <v>11.22</v>
      </c>
      <c r="AA67" s="348">
        <v>0</v>
      </c>
    </row>
    <row r="68" spans="1:28" ht="14.45" customHeight="1">
      <c r="A68" s="5" t="str">
        <f>IF(O68&gt;0,COUNT($A$7:A67)+COUNT('DWV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8" s="34"/>
      <c r="C68" s="50"/>
      <c r="D68" s="137">
        <v>8807</v>
      </c>
      <c r="E68" s="1">
        <v>100026784</v>
      </c>
      <c r="F68" s="15" t="s">
        <v>4303</v>
      </c>
      <c r="G68" s="375" t="s">
        <v>4139</v>
      </c>
      <c r="H68" s="375" t="s">
        <v>4112</v>
      </c>
      <c r="I68" s="375" t="s">
        <v>4101</v>
      </c>
      <c r="J68" s="1" t="s">
        <v>4201</v>
      </c>
      <c r="K68" s="1">
        <v>25</v>
      </c>
      <c r="L68" s="1">
        <v>1875</v>
      </c>
      <c r="M68" s="138">
        <f>VLOOKUP(E68,'All Products'!$D:$H,5,0)</f>
        <v>15.55</v>
      </c>
      <c r="N68" s="212">
        <f>ROUNDUP(M68*Order_Quote!$L$21,2)</f>
        <v>77.75</v>
      </c>
      <c r="O68" s="77"/>
      <c r="P68" s="16"/>
      <c r="Q68" s="199">
        <f t="shared" si="3"/>
        <v>0</v>
      </c>
      <c r="S68" s="265" t="s">
        <v>359</v>
      </c>
      <c r="T68" s="265" t="s">
        <v>77</v>
      </c>
      <c r="U68" s="265" t="s">
        <v>4304</v>
      </c>
      <c r="V68" s="265">
        <v>0</v>
      </c>
      <c r="W68" s="265" t="s">
        <v>4305</v>
      </c>
      <c r="X68" s="347">
        <v>0.57699999999999996</v>
      </c>
      <c r="Y68" s="347">
        <v>0</v>
      </c>
      <c r="Z68" s="347">
        <v>14.42</v>
      </c>
      <c r="AA68" s="348">
        <v>0.95</v>
      </c>
    </row>
    <row r="69" spans="1:28" ht="14.45" customHeight="1">
      <c r="A69" s="5" t="str">
        <f>IF(O69&gt;0,COUNT($A$7:A68)+COUNT('DWV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69" s="34"/>
      <c r="C69" s="50"/>
      <c r="D69" s="137">
        <v>8811</v>
      </c>
      <c r="E69" s="1">
        <v>100026786</v>
      </c>
      <c r="F69" s="15" t="s">
        <v>4306</v>
      </c>
      <c r="G69" s="375" t="s">
        <v>4139</v>
      </c>
      <c r="H69" s="375" t="s">
        <v>4112</v>
      </c>
      <c r="I69" s="375" t="s">
        <v>4101</v>
      </c>
      <c r="J69" s="1" t="s">
        <v>4107</v>
      </c>
      <c r="K69" s="1">
        <v>25</v>
      </c>
      <c r="L69" s="1">
        <v>1875</v>
      </c>
      <c r="M69" s="138">
        <f>VLOOKUP(E69,'All Products'!$D:$H,5,0)</f>
        <v>20.51</v>
      </c>
      <c r="N69" s="212">
        <f>ROUNDUP(M69*Order_Quote!$L$21,2)</f>
        <v>102.55</v>
      </c>
      <c r="O69" s="77"/>
      <c r="P69" s="16"/>
      <c r="Q69" s="199">
        <f t="shared" si="3"/>
        <v>0</v>
      </c>
      <c r="S69" s="265" t="s">
        <v>359</v>
      </c>
      <c r="T69" s="265" t="s">
        <v>77</v>
      </c>
      <c r="U69" s="265" t="s">
        <v>4307</v>
      </c>
      <c r="V69" s="265">
        <v>0</v>
      </c>
      <c r="W69" s="265" t="s">
        <v>4308</v>
      </c>
      <c r="X69" s="347">
        <v>1.2749999999999999</v>
      </c>
      <c r="Y69" s="347">
        <v>0</v>
      </c>
      <c r="Z69" s="347">
        <v>31.88</v>
      </c>
      <c r="AA69" s="348">
        <v>0.95</v>
      </c>
    </row>
    <row r="70" spans="1:28" ht="14.45" customHeight="1">
      <c r="A70" s="5" t="str">
        <f>IF(O70&gt;0,COUNT($A$7:A69)+COUNT('DWV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0" s="34"/>
      <c r="C70" s="50"/>
      <c r="D70" s="137">
        <v>8815</v>
      </c>
      <c r="E70" s="1">
        <v>100026787</v>
      </c>
      <c r="F70" s="15" t="s">
        <v>4309</v>
      </c>
      <c r="G70" s="375" t="s">
        <v>4139</v>
      </c>
      <c r="H70" s="375" t="s">
        <v>4112</v>
      </c>
      <c r="I70" s="375" t="s">
        <v>4101</v>
      </c>
      <c r="J70" s="1" t="s">
        <v>4143</v>
      </c>
      <c r="K70" s="1">
        <v>25</v>
      </c>
      <c r="L70" s="1" t="s">
        <v>2803</v>
      </c>
      <c r="M70" s="138">
        <f>VLOOKUP(E70,'All Products'!$D:$H,5,0)</f>
        <v>25.25</v>
      </c>
      <c r="N70" s="212">
        <f>ROUNDUP(M70*Order_Quote!$L$21,2)</f>
        <v>126.25</v>
      </c>
      <c r="O70" s="77"/>
      <c r="P70" s="16"/>
      <c r="Q70" s="199">
        <f t="shared" si="3"/>
        <v>0</v>
      </c>
      <c r="S70" s="265" t="s">
        <v>359</v>
      </c>
      <c r="T70" s="265" t="s">
        <v>77</v>
      </c>
      <c r="U70" s="265" t="s">
        <v>4310</v>
      </c>
      <c r="V70" s="265">
        <v>0</v>
      </c>
      <c r="W70" s="265" t="s">
        <v>4311</v>
      </c>
      <c r="X70" s="347">
        <v>1.2</v>
      </c>
      <c r="Y70" s="347">
        <v>0</v>
      </c>
      <c r="Z70" s="347">
        <v>30</v>
      </c>
      <c r="AA70" s="348">
        <v>0</v>
      </c>
    </row>
    <row r="71" spans="1:28" ht="14.45" customHeight="1">
      <c r="A71" s="5" t="str">
        <f>IF(O71&gt;0,COUNT($A$7:A70)+COUNT('DWV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1" s="34"/>
      <c r="C71" s="50"/>
      <c r="D71" s="137">
        <v>8823</v>
      </c>
      <c r="E71" s="1">
        <v>100026789</v>
      </c>
      <c r="F71" s="15" t="s">
        <v>4312</v>
      </c>
      <c r="G71" s="375" t="s">
        <v>4139</v>
      </c>
      <c r="H71" s="375" t="s">
        <v>4112</v>
      </c>
      <c r="I71" s="375" t="s">
        <v>4101</v>
      </c>
      <c r="J71" s="1" t="s">
        <v>4215</v>
      </c>
      <c r="K71" s="1">
        <v>20</v>
      </c>
      <c r="L71" s="1">
        <v>360</v>
      </c>
      <c r="M71" s="138">
        <f>VLOOKUP(E71,'All Products'!$D:$H,5,0)</f>
        <v>34.869999999999997</v>
      </c>
      <c r="N71" s="212">
        <f>ROUNDUP(M71*Order_Quote!$L$21,2)</f>
        <v>174.35</v>
      </c>
      <c r="O71" s="77"/>
      <c r="P71" s="16"/>
      <c r="Q71" s="199">
        <f t="shared" si="3"/>
        <v>0</v>
      </c>
      <c r="S71" s="265" t="s">
        <v>359</v>
      </c>
      <c r="T71" s="265" t="s">
        <v>77</v>
      </c>
      <c r="U71" s="265" t="s">
        <v>4313</v>
      </c>
      <c r="V71" s="265">
        <v>0</v>
      </c>
      <c r="W71" s="265" t="s">
        <v>4314</v>
      </c>
      <c r="X71" s="347">
        <v>3.738</v>
      </c>
      <c r="Y71" s="347">
        <v>0</v>
      </c>
      <c r="Z71" s="347">
        <v>37.380000000000003</v>
      </c>
      <c r="AA71" s="348">
        <v>2.65</v>
      </c>
    </row>
    <row r="72" spans="1:28" ht="14.45" customHeight="1">
      <c r="A72" s="5" t="str">
        <f>IF(O72&gt;0,COUNT($A$7:A71)+COUNT('DWV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2" s="34"/>
      <c r="C72" s="50"/>
      <c r="D72" s="137">
        <v>8907</v>
      </c>
      <c r="E72" s="1">
        <v>100026800</v>
      </c>
      <c r="F72" s="15" t="s">
        <v>4315</v>
      </c>
      <c r="G72" s="375" t="s">
        <v>4139</v>
      </c>
      <c r="H72" s="375" t="s">
        <v>4112</v>
      </c>
      <c r="I72" s="375" t="s">
        <v>4101</v>
      </c>
      <c r="J72" s="1" t="s">
        <v>4201</v>
      </c>
      <c r="K72" s="1">
        <v>30</v>
      </c>
      <c r="L72" s="1" t="s">
        <v>2803</v>
      </c>
      <c r="M72" s="138">
        <f>VLOOKUP(E72,'All Products'!$D:$H,5,0)</f>
        <v>20.11</v>
      </c>
      <c r="N72" s="212">
        <f>ROUNDUP(M72*Order_Quote!$L$21,2)</f>
        <v>100.55</v>
      </c>
      <c r="O72" s="77"/>
      <c r="P72" s="16"/>
      <c r="Q72" s="199">
        <f t="shared" si="3"/>
        <v>0</v>
      </c>
      <c r="S72" s="265" t="s">
        <v>359</v>
      </c>
      <c r="T72" s="265" t="s">
        <v>77</v>
      </c>
      <c r="U72" s="265" t="s">
        <v>4316</v>
      </c>
      <c r="V72" s="265">
        <v>0</v>
      </c>
      <c r="W72" s="265" t="s">
        <v>4317</v>
      </c>
      <c r="X72" s="347">
        <v>0.83699999999999997</v>
      </c>
      <c r="Y72" s="347">
        <v>0</v>
      </c>
      <c r="Z72" s="347">
        <v>25.1</v>
      </c>
      <c r="AA72" s="348">
        <v>0</v>
      </c>
    </row>
    <row r="73" spans="1:28" ht="14.45" customHeight="1">
      <c r="A73" s="5" t="str">
        <f>IF(O73&gt;0,COUNT($A$7:A72)+COUNT('DWV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3" s="34"/>
      <c r="C73" s="50"/>
      <c r="D73" s="137">
        <v>8911</v>
      </c>
      <c r="E73" s="1">
        <v>100026802</v>
      </c>
      <c r="F73" s="15" t="s">
        <v>4318</v>
      </c>
      <c r="G73" s="375" t="s">
        <v>4139</v>
      </c>
      <c r="H73" s="375" t="s">
        <v>4112</v>
      </c>
      <c r="I73" s="375" t="s">
        <v>4101</v>
      </c>
      <c r="J73" s="1" t="s">
        <v>4107</v>
      </c>
      <c r="K73" s="1">
        <v>20</v>
      </c>
      <c r="L73" s="1" t="s">
        <v>2803</v>
      </c>
      <c r="M73" s="138">
        <f>VLOOKUP(E73,'All Products'!$D:$H,5,0)</f>
        <v>27.09</v>
      </c>
      <c r="N73" s="212">
        <f>ROUNDUP(M73*Order_Quote!$L$21,2)</f>
        <v>135.44999999999999</v>
      </c>
      <c r="O73" s="77"/>
      <c r="P73" s="16"/>
      <c r="Q73" s="199">
        <f t="shared" si="3"/>
        <v>0</v>
      </c>
      <c r="S73" s="265" t="s">
        <v>359</v>
      </c>
      <c r="T73" s="265" t="s">
        <v>77</v>
      </c>
      <c r="U73" s="265" t="s">
        <v>4319</v>
      </c>
      <c r="V73" s="265">
        <v>0</v>
      </c>
      <c r="W73" s="265" t="s">
        <v>4320</v>
      </c>
      <c r="X73" s="347">
        <v>1.268</v>
      </c>
      <c r="Y73" s="347">
        <v>0</v>
      </c>
      <c r="Z73" s="347">
        <v>25.35</v>
      </c>
      <c r="AA73" s="348">
        <v>0</v>
      </c>
    </row>
    <row r="74" spans="1:28" ht="14.45" customHeight="1">
      <c r="A74" s="5" t="str">
        <f>IF(O74&gt;0,COUNT($A$7:A73)+COUNT('DWV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4" s="23"/>
      <c r="C74" s="51"/>
      <c r="D74" s="137">
        <v>8923</v>
      </c>
      <c r="E74" s="1">
        <v>100026805</v>
      </c>
      <c r="F74" s="15" t="s">
        <v>4321</v>
      </c>
      <c r="G74" s="375" t="s">
        <v>4139</v>
      </c>
      <c r="H74" s="375" t="s">
        <v>4112</v>
      </c>
      <c r="I74" s="375" t="s">
        <v>4101</v>
      </c>
      <c r="J74" s="1" t="s">
        <v>4215</v>
      </c>
      <c r="K74" s="1">
        <v>5</v>
      </c>
      <c r="L74" s="1" t="s">
        <v>2803</v>
      </c>
      <c r="M74" s="138">
        <f>VLOOKUP(E74,'All Products'!$D:$H,5,0)</f>
        <v>48.15</v>
      </c>
      <c r="N74" s="212">
        <f>ROUNDUP(M74*Order_Quote!$L$21,2)</f>
        <v>240.75</v>
      </c>
      <c r="O74" s="77"/>
      <c r="P74" s="16"/>
      <c r="Q74" s="199">
        <f t="shared" si="3"/>
        <v>0</v>
      </c>
      <c r="S74" s="265" t="s">
        <v>359</v>
      </c>
      <c r="T74" s="265" t="s">
        <v>77</v>
      </c>
      <c r="U74" s="265" t="s">
        <v>4322</v>
      </c>
      <c r="V74" s="265">
        <v>0</v>
      </c>
      <c r="W74" s="265" t="s">
        <v>4323</v>
      </c>
      <c r="X74" s="347">
        <v>2.8</v>
      </c>
      <c r="Y74" s="347">
        <v>0</v>
      </c>
      <c r="Z74" s="347">
        <v>14</v>
      </c>
      <c r="AA74" s="348">
        <v>0</v>
      </c>
    </row>
    <row r="75" spans="1:28" ht="25.5" customHeight="1">
      <c r="A75" s="5" t="str">
        <f>IF(O75&gt;0,COUNT($A$7:A74)+COUNT('DWV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5" s="142" t="s">
        <v>4324</v>
      </c>
      <c r="C75" s="59"/>
      <c r="D75" s="59"/>
      <c r="E75" s="59"/>
      <c r="F75" s="59"/>
      <c r="G75" s="374"/>
      <c r="H75" s="374"/>
      <c r="I75" s="374"/>
      <c r="J75" s="59"/>
      <c r="K75" s="59"/>
      <c r="L75" s="59"/>
      <c r="M75" s="139"/>
      <c r="N75" s="139">
        <f>ROUNDUP(M75*Order_Quote!$L$21,2)</f>
        <v>0</v>
      </c>
      <c r="O75" s="140"/>
      <c r="P75" s="141"/>
      <c r="Q75" s="157"/>
      <c r="R75" s="157"/>
      <c r="S75" s="157"/>
      <c r="T75" s="157"/>
      <c r="U75" s="157"/>
      <c r="V75" s="157"/>
      <c r="W75" s="157"/>
      <c r="X75" s="157"/>
      <c r="Y75" s="157"/>
      <c r="Z75" s="157"/>
      <c r="AA75" s="157"/>
      <c r="AB75" s="157"/>
    </row>
    <row r="76" spans="1:28" ht="14.45" customHeight="1">
      <c r="A76" s="5" t="str">
        <f>IF(O76&gt;0,COUNT($A$7:A75)+COUNT('DWV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6" s="26"/>
      <c r="C76" s="49"/>
      <c r="D76" s="137" t="s">
        <v>4325</v>
      </c>
      <c r="E76" s="1">
        <v>100022181</v>
      </c>
      <c r="F76" s="15" t="s">
        <v>4326</v>
      </c>
      <c r="G76" s="375" t="s">
        <v>4099</v>
      </c>
      <c r="H76" s="375" t="s">
        <v>4327</v>
      </c>
      <c r="I76" s="375" t="s">
        <v>4101</v>
      </c>
      <c r="J76" s="1" t="s">
        <v>4328</v>
      </c>
      <c r="K76" s="1">
        <v>250</v>
      </c>
      <c r="L76" s="1">
        <v>37500</v>
      </c>
      <c r="M76" s="138">
        <f>VLOOKUP(E76,'All Products'!$D:$H,5,0)</f>
        <v>2.42</v>
      </c>
      <c r="N76" s="212">
        <f>ROUNDUP(M76*Order_Quote!$L$21,2)</f>
        <v>12.1</v>
      </c>
      <c r="O76" s="77"/>
      <c r="P76" s="259"/>
      <c r="Q76" s="199">
        <f t="shared" ref="Q76:Q81" si="4">O76/K76</f>
        <v>0</v>
      </c>
      <c r="S76" s="265" t="s">
        <v>76</v>
      </c>
      <c r="T76" s="265" t="s">
        <v>102</v>
      </c>
      <c r="U76" s="265" t="s">
        <v>4329</v>
      </c>
      <c r="V76" s="265" t="s">
        <v>4330</v>
      </c>
      <c r="W76" s="265" t="s">
        <v>4331</v>
      </c>
      <c r="X76" s="347">
        <v>2.8000000000000001E-2</v>
      </c>
      <c r="Y76" s="347">
        <v>25</v>
      </c>
      <c r="Z76" s="347">
        <v>9.9700000000000006</v>
      </c>
      <c r="AA76" s="348">
        <v>0.5</v>
      </c>
    </row>
    <row r="77" spans="1:28" ht="14.45" customHeight="1">
      <c r="A77" s="5" t="str">
        <f>IF(O77&gt;0,COUNT($A$7:A76)+COUNT('DWV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7" s="34"/>
      <c r="C77" s="50"/>
      <c r="D77" s="137" t="s">
        <v>4332</v>
      </c>
      <c r="E77" s="1">
        <v>100026832</v>
      </c>
      <c r="F77" s="15" t="s">
        <v>4333</v>
      </c>
      <c r="G77" s="375" t="s">
        <v>4099</v>
      </c>
      <c r="H77" s="375" t="s">
        <v>4327</v>
      </c>
      <c r="I77" s="375" t="s">
        <v>4101</v>
      </c>
      <c r="J77" s="1" t="s">
        <v>4334</v>
      </c>
      <c r="K77" s="1">
        <v>250</v>
      </c>
      <c r="L77" s="1">
        <v>30000</v>
      </c>
      <c r="M77" s="138">
        <f>VLOOKUP(E77,'All Products'!$D:$H,5,0)</f>
        <v>5.15</v>
      </c>
      <c r="N77" s="212">
        <f>ROUNDUP(M77*Order_Quote!$L$21,2)</f>
        <v>25.75</v>
      </c>
      <c r="O77" s="77"/>
      <c r="P77" s="16"/>
      <c r="Q77" s="199">
        <f t="shared" si="4"/>
        <v>0</v>
      </c>
      <c r="S77" s="265" t="s">
        <v>76</v>
      </c>
      <c r="T77" s="265" t="s">
        <v>102</v>
      </c>
      <c r="U77" s="265" t="s">
        <v>4335</v>
      </c>
      <c r="V77" s="265" t="s">
        <v>4336</v>
      </c>
      <c r="W77" s="265" t="s">
        <v>4337</v>
      </c>
      <c r="X77" s="347">
        <v>5.3999999999999999E-2</v>
      </c>
      <c r="Y77" s="347">
        <v>25</v>
      </c>
      <c r="Z77" s="347">
        <v>13.71</v>
      </c>
      <c r="AA77" s="348">
        <v>0.65</v>
      </c>
    </row>
    <row r="78" spans="1:28" ht="14.45" customHeight="1">
      <c r="A78" s="5" t="str">
        <f>IF(O78&gt;0,COUNT($A$7:A77)+COUNT('DWV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8" s="34"/>
      <c r="C78" s="50"/>
      <c r="D78" s="137" t="s">
        <v>4338</v>
      </c>
      <c r="E78" s="1">
        <v>100026833</v>
      </c>
      <c r="F78" s="15" t="s">
        <v>4339</v>
      </c>
      <c r="G78" s="375" t="s">
        <v>4099</v>
      </c>
      <c r="H78" s="375" t="s">
        <v>4327</v>
      </c>
      <c r="I78" s="375" t="s">
        <v>4101</v>
      </c>
      <c r="J78" s="1" t="s">
        <v>4340</v>
      </c>
      <c r="K78" s="1">
        <v>250</v>
      </c>
      <c r="L78" s="1">
        <v>22500</v>
      </c>
      <c r="M78" s="138">
        <f>VLOOKUP(E78,'All Products'!$D:$H,5,0)</f>
        <v>5.15</v>
      </c>
      <c r="N78" s="212">
        <f>ROUNDUP(M78*Order_Quote!$L$21,2)</f>
        <v>25.75</v>
      </c>
      <c r="O78" s="77"/>
      <c r="P78" s="16"/>
      <c r="Q78" s="199">
        <f t="shared" si="4"/>
        <v>0</v>
      </c>
      <c r="S78" s="265" t="s">
        <v>76</v>
      </c>
      <c r="T78" s="265" t="s">
        <v>102</v>
      </c>
      <c r="U78" s="265" t="s">
        <v>4341</v>
      </c>
      <c r="V78" s="265" t="s">
        <v>4342</v>
      </c>
      <c r="W78" s="265" t="s">
        <v>4343</v>
      </c>
      <c r="X78" s="347">
        <v>5.0999999999999997E-2</v>
      </c>
      <c r="Y78" s="347">
        <v>25</v>
      </c>
      <c r="Z78" s="347">
        <v>13.9</v>
      </c>
      <c r="AA78" s="348">
        <v>0.8</v>
      </c>
    </row>
    <row r="79" spans="1:28" ht="14.45" customHeight="1">
      <c r="A79" s="5" t="str">
        <f>IF(O79&gt;0,COUNT($A$7:A78)+COUNT('DWV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79" s="34"/>
      <c r="C79" s="50"/>
      <c r="D79" s="137" t="s">
        <v>4344</v>
      </c>
      <c r="E79" s="1">
        <v>100022182</v>
      </c>
      <c r="F79" s="15" t="s">
        <v>4345</v>
      </c>
      <c r="G79" s="375" t="s">
        <v>4099</v>
      </c>
      <c r="H79" s="375" t="s">
        <v>4327</v>
      </c>
      <c r="I79" s="375" t="s">
        <v>4101</v>
      </c>
      <c r="J79" s="1" t="s">
        <v>4346</v>
      </c>
      <c r="K79" s="1">
        <v>125</v>
      </c>
      <c r="L79" s="1">
        <v>15000</v>
      </c>
      <c r="M79" s="138">
        <f>VLOOKUP(E79,'All Products'!$D:$H,5,0)</f>
        <v>5.86</v>
      </c>
      <c r="N79" s="212">
        <f>ROUNDUP(M79*Order_Quote!$L$21,2)</f>
        <v>29.3</v>
      </c>
      <c r="O79" s="77"/>
      <c r="P79" s="16"/>
      <c r="Q79" s="199">
        <f t="shared" si="4"/>
        <v>0</v>
      </c>
      <c r="S79" s="265" t="s">
        <v>359</v>
      </c>
      <c r="T79" s="265" t="s">
        <v>102</v>
      </c>
      <c r="U79" s="265" t="s">
        <v>4347</v>
      </c>
      <c r="V79" s="265">
        <v>0</v>
      </c>
      <c r="W79" s="265" t="s">
        <v>4348</v>
      </c>
      <c r="X79" s="347">
        <v>8.4000000000000005E-2</v>
      </c>
      <c r="Y79" s="347">
        <v>25</v>
      </c>
      <c r="Z79" s="347">
        <v>10.5</v>
      </c>
      <c r="AA79" s="348">
        <v>0.65</v>
      </c>
    </row>
    <row r="80" spans="1:28" ht="14.45" customHeight="1">
      <c r="A80" s="5" t="str">
        <f>IF(O80&gt;0,COUNT($A$7:A79)+COUNT('DWV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80" s="34"/>
      <c r="C80" s="50"/>
      <c r="D80" s="137" t="s">
        <v>4349</v>
      </c>
      <c r="E80" s="1">
        <v>100022184</v>
      </c>
      <c r="F80" s="15" t="s">
        <v>4350</v>
      </c>
      <c r="G80" s="375" t="s">
        <v>4099</v>
      </c>
      <c r="H80" s="375" t="s">
        <v>4327</v>
      </c>
      <c r="I80" s="375" t="s">
        <v>4101</v>
      </c>
      <c r="J80" s="1" t="s">
        <v>4351</v>
      </c>
      <c r="K80" s="1">
        <v>125</v>
      </c>
      <c r="L80" s="1">
        <v>11250</v>
      </c>
      <c r="M80" s="138">
        <f>VLOOKUP(E80,'All Products'!$D:$H,5,0)</f>
        <v>8.26</v>
      </c>
      <c r="N80" s="212">
        <f>ROUNDUP(M80*Order_Quote!$L$21,2)</f>
        <v>41.3</v>
      </c>
      <c r="O80" s="77"/>
      <c r="P80" s="16"/>
      <c r="Q80" s="199">
        <f t="shared" si="4"/>
        <v>0</v>
      </c>
      <c r="S80" s="265" t="s">
        <v>76</v>
      </c>
      <c r="T80" s="265" t="s">
        <v>102</v>
      </c>
      <c r="U80" s="265" t="s">
        <v>4352</v>
      </c>
      <c r="V80" s="265">
        <v>0</v>
      </c>
      <c r="W80" s="265" t="s">
        <v>4353</v>
      </c>
      <c r="X80" s="347">
        <v>9.9000000000000005E-2</v>
      </c>
      <c r="Y80" s="347">
        <v>25</v>
      </c>
      <c r="Z80" s="347">
        <v>12.48</v>
      </c>
      <c r="AA80" s="348">
        <v>0.8</v>
      </c>
    </row>
    <row r="81" spans="1:27" ht="14.45" customHeight="1">
      <c r="A81" s="5" t="str">
        <f>IF(O81&gt;0,COUNT($A$7:A80)+COUNT('DWV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+COUNT(Drainage!$A$8:$A$91)+1,"")</f>
        <v/>
      </c>
      <c r="B81" s="23"/>
      <c r="C81" s="51"/>
      <c r="D81" s="137" t="s">
        <v>4354</v>
      </c>
      <c r="E81" s="1">
        <v>100022186</v>
      </c>
      <c r="F81" s="15" t="s">
        <v>4355</v>
      </c>
      <c r="G81" s="375" t="s">
        <v>4099</v>
      </c>
      <c r="H81" s="375" t="s">
        <v>4327</v>
      </c>
      <c r="I81" s="375" t="s">
        <v>4101</v>
      </c>
      <c r="J81" s="1" t="s">
        <v>4356</v>
      </c>
      <c r="K81" s="1">
        <v>125</v>
      </c>
      <c r="L81" s="1">
        <v>11250</v>
      </c>
      <c r="M81" s="138">
        <f>VLOOKUP(E81,'All Products'!$D:$H,5,0)</f>
        <v>8.26</v>
      </c>
      <c r="N81" s="212">
        <f>ROUNDUP(M81*Order_Quote!$L$21,2)</f>
        <v>41.3</v>
      </c>
      <c r="O81" s="77"/>
      <c r="P81" s="16"/>
      <c r="Q81" s="199">
        <f t="shared" si="4"/>
        <v>0</v>
      </c>
      <c r="S81" s="265" t="s">
        <v>76</v>
      </c>
      <c r="T81" s="265" t="s">
        <v>102</v>
      </c>
      <c r="U81" s="265" t="s">
        <v>4357</v>
      </c>
      <c r="V81" s="265" t="s">
        <v>4358</v>
      </c>
      <c r="W81" s="265" t="s">
        <v>4359</v>
      </c>
      <c r="X81" s="347">
        <v>0.10100000000000001</v>
      </c>
      <c r="Y81" s="347">
        <v>25</v>
      </c>
      <c r="Z81" s="347">
        <v>12.73</v>
      </c>
      <c r="AA81" s="348">
        <v>0.8</v>
      </c>
    </row>
    <row r="82" spans="1:27" customFormat="1" ht="14.45" customHeight="1">
      <c r="A82" s="197">
        <f>MAX(A8:A81)+1</f>
        <v>1</v>
      </c>
      <c r="G82" s="376"/>
      <c r="H82" s="376"/>
      <c r="I82" s="376"/>
      <c r="J82" s="371"/>
    </row>
  </sheetData>
  <sheetProtection algorithmName="SHA-512" hashValue="+nfyJ6/CV905CQ502rbjJDremVaLbptDEMpWOoFkaxkXIhqT2M7MiSlPBozzRro/BN98KZytPX0P9AvmSM69mQ==" saltValue="pS49EH3IdX35367KkuCnjA==" spinCount="100000" sheet="1" formatCells="0" formatColumns="0" formatRows="0" insertColumns="0" insertRows="0" insertHyperlinks="0" deleteColumns="0" deleteRows="0" sort="0" autoFilter="0" pivotTables="0"/>
  <mergeCells count="1">
    <mergeCell ref="U6:W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O6 O7:P8 O11:P11 O75:P75" xr:uid="{0235B526-8EEE-4F73-A6F7-DE18223B5952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29C1E14A-CA07-4F13-ACDA-917971C43015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O1 P1:P6 O83:P63742 O12:P32 O76:P81" xr:uid="{A0296A91-7A21-4111-9210-FDE1DAC0A516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O9:P10" xr:uid="{60842E1E-EF79-4A71-A6C3-D95B081B073A}">
      <formula1>1</formula1>
    </dataValidation>
  </dataValidations>
  <printOptions horizontalCentered="1"/>
  <pageMargins left="0.7" right="0.7" top="0.75" bottom="0.75" header="0.3" footer="0.3"/>
  <pageSetup scale="58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1" manualBreakCount="1">
    <brk id="74" max="12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47489-4D28-4DA5-8DAE-4E3F1949CE6C}">
  <sheetPr>
    <tabColor theme="0"/>
    <pageSetUpPr fitToPage="1"/>
  </sheetPr>
  <dimension ref="A1:W33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8" width="10.7109375" style="20" customWidth="1"/>
    <col min="9" max="10" width="10.7109375" style="293" customWidth="1"/>
    <col min="11" max="11" width="10.7109375" style="20" customWidth="1"/>
    <col min="12" max="12" width="1.42578125" style="20" customWidth="1"/>
    <col min="13" max="13" width="10.7109375" style="20" customWidth="1"/>
    <col min="14" max="14" width="2.28515625" style="17" customWidth="1"/>
    <col min="15" max="15" width="12" style="20" customWidth="1"/>
    <col min="16" max="16" width="10.7109375" style="20" customWidth="1"/>
    <col min="17" max="18" width="11.28515625" style="17" bestFit="1" customWidth="1"/>
    <col min="19" max="19" width="13.140625" style="17" bestFit="1" customWidth="1"/>
    <col min="20" max="23" width="10.7109375" style="20" customWidth="1"/>
    <col min="24" max="34" width="9.140625" style="17" customWidth="1"/>
    <col min="35" max="16384" width="9.140625" style="17"/>
  </cols>
  <sheetData>
    <row r="1" spans="1:23" ht="18.75">
      <c r="F1" s="173" t="s">
        <v>4360</v>
      </c>
      <c r="G1" s="236"/>
      <c r="H1" s="236"/>
      <c r="O1" s="236"/>
      <c r="P1" s="236"/>
      <c r="T1" s="236"/>
      <c r="U1" s="236"/>
      <c r="V1" s="236"/>
      <c r="W1" s="236"/>
    </row>
    <row r="2" spans="1:23" ht="14.45" customHeight="1">
      <c r="D2" s="238"/>
      <c r="E2" s="239"/>
      <c r="F2" s="236"/>
      <c r="G2" s="236"/>
      <c r="J2" s="336" t="s">
        <v>59</v>
      </c>
      <c r="K2" s="294"/>
      <c r="O2" s="17"/>
      <c r="P2" s="17"/>
      <c r="T2" s="17"/>
      <c r="U2" s="17"/>
      <c r="V2" s="17"/>
      <c r="W2" s="17"/>
    </row>
    <row r="3" spans="1:23" ht="14.45" customHeight="1">
      <c r="F3" s="436" t="s">
        <v>4361</v>
      </c>
      <c r="G3" s="4"/>
      <c r="H3" s="4"/>
      <c r="J3" s="294"/>
      <c r="K3" s="294"/>
    </row>
    <row r="4" spans="1:23" ht="14.45" customHeight="1">
      <c r="E4" s="163" t="s">
        <v>4362</v>
      </c>
      <c r="F4" s="440" t="s">
        <v>4362</v>
      </c>
      <c r="G4" s="4"/>
      <c r="H4" s="4"/>
      <c r="J4" s="215"/>
      <c r="K4" s="17"/>
    </row>
    <row r="5" spans="1:23" ht="14.45" customHeight="1">
      <c r="F5" s="438" t="s">
        <v>329</v>
      </c>
      <c r="G5" s="4"/>
      <c r="H5" s="4"/>
      <c r="J5" s="215"/>
      <c r="K5" s="17"/>
    </row>
    <row r="6" spans="1:23" ht="14.45" customHeight="1">
      <c r="J6" s="215"/>
      <c r="K6" s="17"/>
      <c r="Q6" s="576" t="s">
        <v>64</v>
      </c>
      <c r="R6" s="576"/>
      <c r="S6" s="576"/>
    </row>
    <row r="7" spans="1:23" s="20" customFormat="1" ht="30">
      <c r="A7" s="163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</row>
    <row r="8" spans="1:23" ht="25.5" customHeight="1">
      <c r="B8" s="242" t="s">
        <v>4363</v>
      </c>
      <c r="C8" s="44"/>
      <c r="D8" s="44"/>
      <c r="E8" s="44"/>
      <c r="F8" s="44"/>
      <c r="G8" s="44"/>
      <c r="H8" s="44"/>
      <c r="I8" s="245"/>
      <c r="J8" s="245"/>
      <c r="K8" s="246"/>
      <c r="L8" s="243"/>
      <c r="M8" s="157"/>
      <c r="O8" s="44"/>
      <c r="P8" s="44"/>
      <c r="Q8" s="44"/>
      <c r="R8" s="44"/>
      <c r="S8" s="44"/>
      <c r="T8" s="44"/>
      <c r="U8" s="44"/>
      <c r="V8" s="44"/>
      <c r="W8" s="44"/>
    </row>
    <row r="9" spans="1:23" ht="69.95" customHeight="1">
      <c r="A9" s="104" t="str">
        <f>IF(K9&gt;0,COUNT($A$8:A8)+COUNT('DWV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9" s="202"/>
      <c r="C9" s="203"/>
      <c r="D9" s="158" t="s">
        <v>4364</v>
      </c>
      <c r="E9" s="106">
        <v>100026337</v>
      </c>
      <c r="F9" s="159" t="s">
        <v>4365</v>
      </c>
      <c r="G9" s="106">
        <v>25</v>
      </c>
      <c r="H9" s="106">
        <v>6750</v>
      </c>
      <c r="I9" s="155">
        <f>_xlfn.XLOOKUP(E9,'All Products'!D:D,'All Products'!H:H)</f>
        <v>17.920000000000002</v>
      </c>
      <c r="J9" s="205">
        <f>ROUNDUP(I9*Order_Quote!$L$22,2)</f>
        <v>89.6</v>
      </c>
      <c r="K9" s="322"/>
      <c r="L9" s="291"/>
      <c r="M9" s="199">
        <f t="shared" ref="M9:M27" si="0">K9/G9</f>
        <v>0</v>
      </c>
      <c r="O9" s="265" t="s">
        <v>76</v>
      </c>
      <c r="P9" s="265" t="s">
        <v>102</v>
      </c>
      <c r="Q9" s="265" t="s">
        <v>4366</v>
      </c>
      <c r="R9" s="265" t="s">
        <v>4367</v>
      </c>
      <c r="S9" s="265" t="s">
        <v>4368</v>
      </c>
      <c r="T9" s="347">
        <v>0.192</v>
      </c>
      <c r="U9" s="347">
        <v>0</v>
      </c>
      <c r="V9" s="347">
        <v>5.4749999999999996</v>
      </c>
      <c r="W9" s="348">
        <v>0.31</v>
      </c>
    </row>
    <row r="10" spans="1:23" ht="69.95" customHeight="1">
      <c r="A10" s="104" t="str">
        <f>IF(K10&gt;0,COUNT($A$8:A9)+COUNT('DWV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0" s="202"/>
      <c r="C10" s="203"/>
      <c r="D10" s="158" t="s">
        <v>4369</v>
      </c>
      <c r="E10" s="106">
        <v>100026341</v>
      </c>
      <c r="F10" s="159" t="s">
        <v>4370</v>
      </c>
      <c r="G10" s="106">
        <v>20</v>
      </c>
      <c r="H10" s="106">
        <v>5400</v>
      </c>
      <c r="I10" s="155">
        <f>_xlfn.XLOOKUP(E10,'All Products'!D:D,'All Products'!H:H)</f>
        <v>17.760000000000002</v>
      </c>
      <c r="J10" s="205">
        <f>ROUNDUP(I10*Order_Quote!$L$22,2)</f>
        <v>88.8</v>
      </c>
      <c r="K10" s="78"/>
      <c r="L10" s="116"/>
      <c r="M10" s="199">
        <f t="shared" si="0"/>
        <v>0</v>
      </c>
      <c r="O10" s="265" t="s">
        <v>76</v>
      </c>
      <c r="P10" s="265" t="s">
        <v>102</v>
      </c>
      <c r="Q10" s="265" t="s">
        <v>4371</v>
      </c>
      <c r="R10" s="265" t="s">
        <v>4372</v>
      </c>
      <c r="S10" s="265" t="s">
        <v>4373</v>
      </c>
      <c r="T10" s="347">
        <v>0.26200000000000001</v>
      </c>
      <c r="U10" s="347">
        <v>0</v>
      </c>
      <c r="V10" s="347">
        <v>4.4249999999999998</v>
      </c>
      <c r="W10" s="348">
        <v>0.31</v>
      </c>
    </row>
    <row r="11" spans="1:23" ht="42.75" customHeight="1">
      <c r="A11" s="104" t="str">
        <f>IF(K11&gt;0,COUNT($A$8:A10)+COUNT('DWV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1" s="202"/>
      <c r="C11" s="203"/>
      <c r="D11" s="158" t="s">
        <v>4374</v>
      </c>
      <c r="E11" s="106">
        <v>100026338</v>
      </c>
      <c r="F11" s="159" t="s">
        <v>4375</v>
      </c>
      <c r="G11" s="106">
        <v>25</v>
      </c>
      <c r="H11" s="106">
        <v>3000</v>
      </c>
      <c r="I11" s="155">
        <f>_xlfn.XLOOKUP(E11,'All Products'!D:D,'All Products'!H:H)</f>
        <v>35.01</v>
      </c>
      <c r="J11" s="205">
        <f>ROUNDUP(I11*Order_Quote!$L$22,2)</f>
        <v>175.05</v>
      </c>
      <c r="K11" s="78"/>
      <c r="L11" s="116"/>
      <c r="M11" s="199">
        <f t="shared" si="0"/>
        <v>0</v>
      </c>
      <c r="O11" s="265" t="s">
        <v>76</v>
      </c>
      <c r="P11" s="265" t="s">
        <v>102</v>
      </c>
      <c r="Q11" s="265" t="s">
        <v>4376</v>
      </c>
      <c r="R11" s="265" t="s">
        <v>4377</v>
      </c>
      <c r="S11" s="265" t="s">
        <v>4378</v>
      </c>
      <c r="T11" s="347">
        <v>0.34300000000000003</v>
      </c>
      <c r="U11" s="347">
        <v>0</v>
      </c>
      <c r="V11" s="347">
        <v>9.3249999999999993</v>
      </c>
      <c r="W11" s="348">
        <v>0.65</v>
      </c>
    </row>
    <row r="12" spans="1:23" ht="33" customHeight="1">
      <c r="A12" s="104" t="str">
        <f>IF(K12&gt;0,COUNT($A$8:A11)+COUNT('DWV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2" s="202"/>
      <c r="C12" s="203"/>
      <c r="D12" s="158" t="s">
        <v>4379</v>
      </c>
      <c r="E12" s="106">
        <v>100026339</v>
      </c>
      <c r="F12" s="159" t="s">
        <v>4380</v>
      </c>
      <c r="G12" s="106">
        <v>25</v>
      </c>
      <c r="H12" s="106">
        <v>2250</v>
      </c>
      <c r="I12" s="155">
        <f>_xlfn.XLOOKUP(E12,'All Products'!D:D,'All Products'!H:H)</f>
        <v>52.5</v>
      </c>
      <c r="J12" s="205">
        <f>ROUNDUP(I12*Order_Quote!$L$22,2)</f>
        <v>262.5</v>
      </c>
      <c r="K12" s="78"/>
      <c r="L12" s="116"/>
      <c r="M12" s="199">
        <f t="shared" si="0"/>
        <v>0</v>
      </c>
      <c r="O12" s="265" t="s">
        <v>76</v>
      </c>
      <c r="P12" s="265" t="s">
        <v>102</v>
      </c>
      <c r="Q12" s="265" t="s">
        <v>4381</v>
      </c>
      <c r="R12" s="265" t="s">
        <v>4382</v>
      </c>
      <c r="S12" s="265" t="s">
        <v>4383</v>
      </c>
      <c r="T12" s="347">
        <v>0.49399999999999999</v>
      </c>
      <c r="U12" s="347">
        <v>0</v>
      </c>
      <c r="V12" s="347">
        <v>13.35</v>
      </c>
      <c r="W12" s="348">
        <v>0.8</v>
      </c>
    </row>
    <row r="13" spans="1:23" ht="30.75" customHeight="1">
      <c r="A13" s="104" t="str">
        <f>IF(K13&gt;0,COUNT($A$8:A12)+COUNT('DWV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3" s="202"/>
      <c r="C13" s="203"/>
      <c r="D13" s="158" t="s">
        <v>4384</v>
      </c>
      <c r="E13" s="106">
        <v>100026340</v>
      </c>
      <c r="F13" s="159" t="s">
        <v>4385</v>
      </c>
      <c r="G13" s="106">
        <v>25</v>
      </c>
      <c r="H13" s="106">
        <v>1875</v>
      </c>
      <c r="I13" s="155">
        <f>_xlfn.XLOOKUP(E13,'All Products'!D:D,'All Products'!H:H)</f>
        <v>69.86</v>
      </c>
      <c r="J13" s="205">
        <f>ROUNDUP(I13*Order_Quote!$L$22,2)</f>
        <v>349.3</v>
      </c>
      <c r="K13" s="78"/>
      <c r="L13" s="116"/>
      <c r="M13" s="199">
        <f t="shared" si="0"/>
        <v>0</v>
      </c>
      <c r="O13" s="265" t="s">
        <v>76</v>
      </c>
      <c r="P13" s="265" t="s">
        <v>102</v>
      </c>
      <c r="Q13" s="265" t="s">
        <v>4386</v>
      </c>
      <c r="R13" s="265" t="s">
        <v>4387</v>
      </c>
      <c r="S13" s="265" t="s">
        <v>4388</v>
      </c>
      <c r="T13" s="347">
        <v>0.64300000000000002</v>
      </c>
      <c r="U13" s="347">
        <v>0</v>
      </c>
      <c r="V13" s="347">
        <v>17.23</v>
      </c>
      <c r="W13" s="348">
        <v>1.1000000000000001</v>
      </c>
    </row>
    <row r="14" spans="1:23" ht="76.5" customHeight="1">
      <c r="A14" s="104" t="str">
        <f>IF(K14&gt;0,COUNT($A$8:A13)+COUNT('DWV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4" s="202"/>
      <c r="C14" s="203"/>
      <c r="D14" s="158" t="s">
        <v>4389</v>
      </c>
      <c r="E14" s="106">
        <v>100026342</v>
      </c>
      <c r="F14" s="159" t="s">
        <v>4390</v>
      </c>
      <c r="G14" s="106">
        <v>25</v>
      </c>
      <c r="H14" s="106">
        <v>6750</v>
      </c>
      <c r="I14" s="155">
        <f>_xlfn.XLOOKUP(E14,'All Products'!D:D,'All Products'!H:H)</f>
        <v>15.32</v>
      </c>
      <c r="J14" s="205">
        <f>ROUNDUP(I14*Order_Quote!$L$22,2)</f>
        <v>76.599999999999994</v>
      </c>
      <c r="K14" s="78"/>
      <c r="L14" s="116"/>
      <c r="M14" s="199">
        <f t="shared" si="0"/>
        <v>0</v>
      </c>
      <c r="O14" s="265" t="s">
        <v>76</v>
      </c>
      <c r="P14" s="265" t="s">
        <v>102</v>
      </c>
      <c r="Q14" s="265" t="s">
        <v>4391</v>
      </c>
      <c r="R14" s="265" t="s">
        <v>4392</v>
      </c>
      <c r="S14" s="265" t="s">
        <v>4393</v>
      </c>
      <c r="T14" s="347">
        <v>0.128</v>
      </c>
      <c r="U14" s="347">
        <v>0</v>
      </c>
      <c r="V14" s="347">
        <v>3.65</v>
      </c>
      <c r="W14" s="348">
        <v>0.31</v>
      </c>
    </row>
    <row r="15" spans="1:23" ht="69.95" customHeight="1">
      <c r="A15" s="104" t="str">
        <f>IF(K15&gt;0,COUNT($A$8:A14)+COUNT('DWV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5" s="202"/>
      <c r="C15" s="203"/>
      <c r="D15" s="158" t="s">
        <v>4394</v>
      </c>
      <c r="E15" s="106">
        <v>100026343</v>
      </c>
      <c r="F15" s="159" t="s">
        <v>4395</v>
      </c>
      <c r="G15" s="106">
        <v>25</v>
      </c>
      <c r="H15" s="106">
        <v>6750</v>
      </c>
      <c r="I15" s="155">
        <f>_xlfn.XLOOKUP(E15,'All Products'!D:D,'All Products'!H:H)</f>
        <v>16.899999999999999</v>
      </c>
      <c r="J15" s="205">
        <f>ROUNDUP(I15*Order_Quote!$L$22,2)</f>
        <v>84.5</v>
      </c>
      <c r="K15" s="78"/>
      <c r="L15" s="116"/>
      <c r="M15" s="199">
        <f t="shared" si="0"/>
        <v>0</v>
      </c>
      <c r="O15" s="265" t="s">
        <v>76</v>
      </c>
      <c r="P15" s="265" t="s">
        <v>102</v>
      </c>
      <c r="Q15" s="265" t="s">
        <v>4396</v>
      </c>
      <c r="R15" s="265" t="s">
        <v>4397</v>
      </c>
      <c r="S15" s="265" t="s">
        <v>4398</v>
      </c>
      <c r="T15" s="347">
        <v>0.156</v>
      </c>
      <c r="U15" s="347">
        <v>0</v>
      </c>
      <c r="V15" s="347">
        <v>4.4249999999999998</v>
      </c>
      <c r="W15" s="348">
        <v>0.31</v>
      </c>
    </row>
    <row r="16" spans="1:23" ht="69.95" customHeight="1">
      <c r="A16" s="104" t="str">
        <f>IF(K16&gt;0,COUNT($A$8:A15)+COUNT('DWV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6" s="202"/>
      <c r="C16" s="203"/>
      <c r="D16" s="158" t="s">
        <v>4399</v>
      </c>
      <c r="E16" s="106">
        <v>100026344</v>
      </c>
      <c r="F16" s="159" t="s">
        <v>4400</v>
      </c>
      <c r="G16" s="106">
        <v>25</v>
      </c>
      <c r="H16" s="106">
        <v>6750</v>
      </c>
      <c r="I16" s="155">
        <f>_xlfn.XLOOKUP(E16,'All Products'!D:D,'All Products'!H:H)</f>
        <v>14.75</v>
      </c>
      <c r="J16" s="205">
        <f>ROUNDUP(I16*Order_Quote!$L$22,2)</f>
        <v>73.75</v>
      </c>
      <c r="K16" s="78"/>
      <c r="L16" s="116"/>
      <c r="M16" s="199">
        <f t="shared" si="0"/>
        <v>0</v>
      </c>
      <c r="O16" s="265" t="s">
        <v>76</v>
      </c>
      <c r="P16" s="265" t="s">
        <v>102</v>
      </c>
      <c r="Q16" s="265" t="s">
        <v>4401</v>
      </c>
      <c r="R16" s="265" t="s">
        <v>4402</v>
      </c>
      <c r="S16" s="265" t="s">
        <v>4403</v>
      </c>
      <c r="T16" s="347">
        <v>0.218</v>
      </c>
      <c r="U16" s="347">
        <v>0</v>
      </c>
      <c r="V16" s="347">
        <v>4.4249999999999998</v>
      </c>
      <c r="W16" s="348">
        <v>0.31</v>
      </c>
    </row>
    <row r="17" spans="1:23" ht="75" customHeight="1">
      <c r="A17" s="104" t="str">
        <f>IF(K17&gt;0,COUNT($A$8:A16)+COUNT('DWV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7" s="202"/>
      <c r="C17" s="203"/>
      <c r="D17" s="158" t="s">
        <v>4404</v>
      </c>
      <c r="E17" s="106">
        <v>100026345</v>
      </c>
      <c r="F17" s="159" t="s">
        <v>4405</v>
      </c>
      <c r="G17" s="106">
        <v>15</v>
      </c>
      <c r="H17" s="106">
        <v>4050</v>
      </c>
      <c r="I17" s="155">
        <f>_xlfn.XLOOKUP(E17,'All Products'!D:D,'All Products'!H:H)</f>
        <v>23.79</v>
      </c>
      <c r="J17" s="205">
        <f>ROUNDUP(I17*Order_Quote!$L$22,2)</f>
        <v>118.95</v>
      </c>
      <c r="K17" s="78"/>
      <c r="L17" s="116"/>
      <c r="M17" s="199">
        <f t="shared" si="0"/>
        <v>0</v>
      </c>
      <c r="O17" s="265" t="s">
        <v>76</v>
      </c>
      <c r="P17" s="265" t="s">
        <v>102</v>
      </c>
      <c r="Q17" s="265" t="s">
        <v>4406</v>
      </c>
      <c r="R17" s="265" t="s">
        <v>4407</v>
      </c>
      <c r="S17" s="265" t="s">
        <v>4408</v>
      </c>
      <c r="T17" s="347">
        <v>0.248</v>
      </c>
      <c r="U17" s="347">
        <v>0</v>
      </c>
      <c r="V17" s="347">
        <v>4.37</v>
      </c>
      <c r="W17" s="348">
        <v>0.31</v>
      </c>
    </row>
    <row r="18" spans="1:23" ht="69.95" customHeight="1">
      <c r="A18" s="104" t="str">
        <f>IF(K18&gt;0,COUNT($A$8:A17)+COUNT('DWV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8" s="202"/>
      <c r="C18" s="203"/>
      <c r="D18" s="158" t="s">
        <v>4409</v>
      </c>
      <c r="E18" s="106">
        <v>100026347</v>
      </c>
      <c r="F18" s="159" t="s">
        <v>4410</v>
      </c>
      <c r="G18" s="106">
        <v>50</v>
      </c>
      <c r="H18" s="106">
        <v>13500</v>
      </c>
      <c r="I18" s="155">
        <f>_xlfn.XLOOKUP(E18,'All Products'!D:D,'All Products'!H:H)</f>
        <v>10.37</v>
      </c>
      <c r="J18" s="205">
        <f>ROUNDUP(I18*Order_Quote!$L$22,2)</f>
        <v>51.85</v>
      </c>
      <c r="K18" s="78"/>
      <c r="L18" s="116"/>
      <c r="M18" s="199">
        <f t="shared" si="0"/>
        <v>0</v>
      </c>
      <c r="O18" s="265" t="s">
        <v>359</v>
      </c>
      <c r="P18" s="265" t="s">
        <v>102</v>
      </c>
      <c r="Q18" s="265" t="s">
        <v>4411</v>
      </c>
      <c r="R18" s="265" t="s">
        <v>4412</v>
      </c>
      <c r="S18" s="265" t="s">
        <v>4413</v>
      </c>
      <c r="T18" s="347">
        <v>0.106</v>
      </c>
      <c r="U18" s="347">
        <v>0</v>
      </c>
      <c r="V18" s="347">
        <v>5.7249999999999996</v>
      </c>
      <c r="W18" s="348">
        <v>0.31</v>
      </c>
    </row>
    <row r="19" spans="1:23" ht="69.95" customHeight="1">
      <c r="A19" s="104" t="str">
        <f>IF(K19&gt;0,COUNT($A$8:A18)+COUNT('DWV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19" s="202"/>
      <c r="C19" s="203"/>
      <c r="D19" s="158" t="s">
        <v>4414</v>
      </c>
      <c r="E19" s="106">
        <v>100026349</v>
      </c>
      <c r="F19" s="159" t="s">
        <v>4415</v>
      </c>
      <c r="G19" s="106">
        <v>50</v>
      </c>
      <c r="H19" s="106">
        <v>13500</v>
      </c>
      <c r="I19" s="155">
        <f>_xlfn.XLOOKUP(E19,'All Products'!D:D,'All Products'!H:H)</f>
        <v>12.72</v>
      </c>
      <c r="J19" s="205">
        <f>ROUNDUP(I19*Order_Quote!$L$22,2)</f>
        <v>63.6</v>
      </c>
      <c r="K19" s="78"/>
      <c r="L19" s="116"/>
      <c r="M19" s="199">
        <f t="shared" si="0"/>
        <v>0</v>
      </c>
      <c r="O19" s="265" t="s">
        <v>76</v>
      </c>
      <c r="P19" s="265" t="s">
        <v>102</v>
      </c>
      <c r="Q19" s="265" t="s">
        <v>4416</v>
      </c>
      <c r="R19" s="265" t="s">
        <v>4417</v>
      </c>
      <c r="S19" s="265" t="s">
        <v>4418</v>
      </c>
      <c r="T19" s="347">
        <v>0.13</v>
      </c>
      <c r="U19" s="347">
        <v>0</v>
      </c>
      <c r="V19" s="347">
        <v>6.9249999999999998</v>
      </c>
      <c r="W19" s="348">
        <v>0.31</v>
      </c>
    </row>
    <row r="20" spans="1:23" ht="69.95" customHeight="1">
      <c r="A20" s="104" t="str">
        <f>IF(K20&gt;0,COUNT($A$8:A19)+COUNT('DWV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0" s="202"/>
      <c r="C20" s="203"/>
      <c r="D20" s="158" t="s">
        <v>4419</v>
      </c>
      <c r="E20" s="106">
        <v>100026350</v>
      </c>
      <c r="F20" s="159" t="s">
        <v>4420</v>
      </c>
      <c r="G20" s="106">
        <v>40</v>
      </c>
      <c r="H20" s="106">
        <v>10800</v>
      </c>
      <c r="I20" s="155">
        <f>_xlfn.XLOOKUP(E20,'All Products'!D:D,'All Products'!H:H)</f>
        <v>10.37</v>
      </c>
      <c r="J20" s="205">
        <f>ROUNDUP(I20*Order_Quote!$L$22,2)</f>
        <v>51.85</v>
      </c>
      <c r="K20" s="78"/>
      <c r="L20" s="116"/>
      <c r="M20" s="199">
        <f t="shared" si="0"/>
        <v>0</v>
      </c>
      <c r="O20" s="265" t="s">
        <v>76</v>
      </c>
      <c r="P20" s="265" t="s">
        <v>102</v>
      </c>
      <c r="Q20" s="265" t="s">
        <v>4421</v>
      </c>
      <c r="R20" s="265" t="s">
        <v>4422</v>
      </c>
      <c r="S20" s="265" t="s">
        <v>4423</v>
      </c>
      <c r="T20" s="347">
        <v>0.11899999999999999</v>
      </c>
      <c r="U20" s="347">
        <v>0</v>
      </c>
      <c r="V20" s="347">
        <v>5.4249999999999998</v>
      </c>
      <c r="W20" s="348">
        <v>0.31</v>
      </c>
    </row>
    <row r="21" spans="1:23" ht="69.95" customHeight="1">
      <c r="A21" s="104" t="str">
        <f>IF(K21&gt;0,COUNT($A$8:A20)+COUNT('DWV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1" s="202"/>
      <c r="C21" s="203"/>
      <c r="D21" s="158" t="s">
        <v>4424</v>
      </c>
      <c r="E21" s="106">
        <v>100026353</v>
      </c>
      <c r="F21" s="159" t="s">
        <v>4425</v>
      </c>
      <c r="G21" s="106">
        <v>50</v>
      </c>
      <c r="H21" s="106">
        <v>13500</v>
      </c>
      <c r="I21" s="155">
        <f>_xlfn.XLOOKUP(E21,'All Products'!D:D,'All Products'!H:H)</f>
        <v>11.67</v>
      </c>
      <c r="J21" s="205">
        <f>ROUNDUP(I21*Order_Quote!$L$22,2)</f>
        <v>58.35</v>
      </c>
      <c r="K21" s="78"/>
      <c r="L21" s="116"/>
      <c r="M21" s="199">
        <f t="shared" si="0"/>
        <v>0</v>
      </c>
      <c r="O21" s="265" t="s">
        <v>76</v>
      </c>
      <c r="P21" s="265" t="s">
        <v>102</v>
      </c>
      <c r="Q21" s="265" t="s">
        <v>4426</v>
      </c>
      <c r="R21" s="265" t="s">
        <v>4427</v>
      </c>
      <c r="S21" s="265" t="s">
        <v>4428</v>
      </c>
      <c r="T21" s="347">
        <v>0.108</v>
      </c>
      <c r="U21" s="347">
        <v>25</v>
      </c>
      <c r="V21" s="347">
        <v>6.1749999999999998</v>
      </c>
      <c r="W21" s="348">
        <v>0.31</v>
      </c>
    </row>
    <row r="22" spans="1:23" ht="69.95" customHeight="1">
      <c r="A22" s="104" t="str">
        <f>IF(K22&gt;0,COUNT($A$8:A21)+COUNT('DWV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2" s="202"/>
      <c r="C22" s="203"/>
      <c r="D22" s="158" t="s">
        <v>4429</v>
      </c>
      <c r="E22" s="106">
        <v>100026356</v>
      </c>
      <c r="F22" s="159" t="s">
        <v>4430</v>
      </c>
      <c r="G22" s="106">
        <v>50</v>
      </c>
      <c r="H22" s="106">
        <v>13500</v>
      </c>
      <c r="I22" s="155">
        <f>_xlfn.XLOOKUP(E22,'All Products'!D:D,'All Products'!H:H)</f>
        <v>11.24</v>
      </c>
      <c r="J22" s="205">
        <f>ROUNDUP(I22*Order_Quote!$L$22,2)</f>
        <v>56.2</v>
      </c>
      <c r="K22" s="78"/>
      <c r="L22" s="116"/>
      <c r="M22" s="199">
        <f t="shared" si="0"/>
        <v>0</v>
      </c>
      <c r="O22" s="265" t="s">
        <v>76</v>
      </c>
      <c r="P22" s="265" t="s">
        <v>102</v>
      </c>
      <c r="Q22" s="265" t="s">
        <v>4431</v>
      </c>
      <c r="R22" s="265" t="s">
        <v>4432</v>
      </c>
      <c r="S22" s="265" t="s">
        <v>4433</v>
      </c>
      <c r="T22" s="347">
        <v>9.2999999999999999E-2</v>
      </c>
      <c r="U22" s="347">
        <v>25</v>
      </c>
      <c r="V22" s="347">
        <v>5.125</v>
      </c>
      <c r="W22" s="348">
        <v>0.31</v>
      </c>
    </row>
    <row r="23" spans="1:23" ht="69.95" customHeight="1">
      <c r="A23" s="104" t="str">
        <f>IF(K23&gt;0,COUNT($A$8:A22)+COUNT('DWV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3" s="202"/>
      <c r="C23" s="203"/>
      <c r="D23" s="158" t="s">
        <v>4434</v>
      </c>
      <c r="E23" s="106">
        <v>100026359</v>
      </c>
      <c r="F23" s="159" t="s">
        <v>4435</v>
      </c>
      <c r="G23" s="106">
        <v>50</v>
      </c>
      <c r="H23" s="106">
        <v>13500</v>
      </c>
      <c r="I23" s="155">
        <f>_xlfn.XLOOKUP(E23,'All Products'!D:D,'All Products'!H:H)</f>
        <v>9.6999999999999993</v>
      </c>
      <c r="J23" s="205">
        <f>ROUNDUP(I23*Order_Quote!$L$22,2)</f>
        <v>48.5</v>
      </c>
      <c r="K23" s="78"/>
      <c r="L23" s="116"/>
      <c r="M23" s="199">
        <f t="shared" si="0"/>
        <v>0</v>
      </c>
      <c r="O23" s="265" t="s">
        <v>76</v>
      </c>
      <c r="P23" s="265" t="s">
        <v>102</v>
      </c>
      <c r="Q23" s="265" t="s">
        <v>4436</v>
      </c>
      <c r="R23" s="265" t="s">
        <v>4437</v>
      </c>
      <c r="S23" s="265" t="s">
        <v>4438</v>
      </c>
      <c r="T23" s="347">
        <v>8.8999999999999996E-2</v>
      </c>
      <c r="U23" s="347">
        <v>25</v>
      </c>
      <c r="V23" s="347">
        <v>4.9249999999999998</v>
      </c>
      <c r="W23" s="348">
        <v>0.31</v>
      </c>
    </row>
    <row r="24" spans="1:23" ht="69.95" customHeight="1">
      <c r="A24" s="104" t="str">
        <f>IF(K24&gt;0,COUNT($A$8:A23)+COUNT('DWV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4" s="202"/>
      <c r="C24" s="203"/>
      <c r="D24" s="158" t="s">
        <v>4439</v>
      </c>
      <c r="E24" s="106">
        <v>100026360</v>
      </c>
      <c r="F24" s="159" t="s">
        <v>4440</v>
      </c>
      <c r="G24" s="106">
        <v>50</v>
      </c>
      <c r="H24" s="106">
        <v>13500</v>
      </c>
      <c r="I24" s="155">
        <f>_xlfn.XLOOKUP(E24,'All Products'!D:D,'All Products'!H:H)</f>
        <v>9.8699999999999992</v>
      </c>
      <c r="J24" s="205">
        <f>ROUNDUP(I24*Order_Quote!$L$22,2)</f>
        <v>49.35</v>
      </c>
      <c r="K24" s="78"/>
      <c r="L24" s="116"/>
      <c r="M24" s="199">
        <f t="shared" si="0"/>
        <v>0</v>
      </c>
      <c r="O24" s="265" t="s">
        <v>76</v>
      </c>
      <c r="P24" s="265" t="s">
        <v>102</v>
      </c>
      <c r="Q24" s="265" t="s">
        <v>4441</v>
      </c>
      <c r="R24" s="265" t="s">
        <v>4442</v>
      </c>
      <c r="S24" s="265" t="s">
        <v>4443</v>
      </c>
      <c r="T24" s="347">
        <v>0.109</v>
      </c>
      <c r="U24" s="347">
        <v>25</v>
      </c>
      <c r="V24" s="347">
        <v>5.9249999999999998</v>
      </c>
      <c r="W24" s="348">
        <v>0.31</v>
      </c>
    </row>
    <row r="25" spans="1:23" ht="69.95" customHeight="1">
      <c r="A25" s="104" t="str">
        <f>IF(K25&gt;0,COUNT($A$8:A24)+COUNT('DWV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5" s="202"/>
      <c r="C25" s="203"/>
      <c r="D25" s="158" t="s">
        <v>4444</v>
      </c>
      <c r="E25" s="209">
        <v>100026361</v>
      </c>
      <c r="F25" s="159" t="s">
        <v>4445</v>
      </c>
      <c r="G25" s="106">
        <v>100</v>
      </c>
      <c r="H25" s="106">
        <v>27000</v>
      </c>
      <c r="I25" s="155">
        <f>_xlfn.XLOOKUP(E25,'All Products'!D:D,'All Products'!H:H)</f>
        <v>3.92</v>
      </c>
      <c r="J25" s="205">
        <f>ROUNDUP(I25*Order_Quote!$L$22,2)</f>
        <v>19.600000000000001</v>
      </c>
      <c r="K25" s="78"/>
      <c r="L25" s="116"/>
      <c r="M25" s="199">
        <f t="shared" si="0"/>
        <v>0</v>
      </c>
      <c r="O25" s="265" t="s">
        <v>76</v>
      </c>
      <c r="P25" s="265" t="s">
        <v>102</v>
      </c>
      <c r="Q25" s="265" t="s">
        <v>4446</v>
      </c>
      <c r="R25" s="265" t="s">
        <v>4447</v>
      </c>
      <c r="S25" s="265" t="s">
        <v>4448</v>
      </c>
      <c r="T25" s="347">
        <v>6.4000000000000001E-2</v>
      </c>
      <c r="U25" s="347">
        <v>25</v>
      </c>
      <c r="V25" s="347">
        <v>6.4249999999999998</v>
      </c>
      <c r="W25" s="348">
        <v>0.31</v>
      </c>
    </row>
    <row r="26" spans="1:23" ht="69.95" customHeight="1">
      <c r="A26" s="104" t="str">
        <f>IF(K26&gt;0,COUNT($A$8:A25)+COUNT('DWV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6" s="202"/>
      <c r="C26" s="203"/>
      <c r="D26" s="158" t="s">
        <v>4449</v>
      </c>
      <c r="E26" s="106">
        <v>100026333</v>
      </c>
      <c r="F26" s="159" t="s">
        <v>4450</v>
      </c>
      <c r="G26" s="106">
        <v>75</v>
      </c>
      <c r="H26" s="106">
        <v>20250</v>
      </c>
      <c r="I26" s="155">
        <f>_xlfn.XLOOKUP(E26,'All Products'!D:D,'All Products'!H:H)</f>
        <v>4.1399999999999997</v>
      </c>
      <c r="J26" s="205">
        <f>ROUNDUP(I26*Order_Quote!$L$22,2)</f>
        <v>20.7</v>
      </c>
      <c r="K26" s="78"/>
      <c r="L26" s="116"/>
      <c r="M26" s="199">
        <f t="shared" si="0"/>
        <v>0</v>
      </c>
      <c r="O26" s="265" t="s">
        <v>76</v>
      </c>
      <c r="P26" s="265" t="s">
        <v>102</v>
      </c>
      <c r="Q26" s="265" t="s">
        <v>4451</v>
      </c>
      <c r="R26" s="265" t="s">
        <v>4451</v>
      </c>
      <c r="S26" s="265" t="s">
        <v>4452</v>
      </c>
      <c r="T26" s="347">
        <v>7.0999999999999994E-2</v>
      </c>
      <c r="U26" s="347" t="e">
        <v>#N/A</v>
      </c>
      <c r="V26" s="347">
        <v>6.05</v>
      </c>
      <c r="W26" s="348">
        <v>0.31</v>
      </c>
    </row>
    <row r="27" spans="1:23" ht="69.95" customHeight="1">
      <c r="A27" s="104" t="str">
        <f>IF(K27&gt;0,COUNT($A$8:A26)+COUNT('DWV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7" s="202"/>
      <c r="C27" s="203"/>
      <c r="D27" s="158" t="s">
        <v>4453</v>
      </c>
      <c r="E27" s="106">
        <v>100026334</v>
      </c>
      <c r="F27" s="159" t="s">
        <v>4454</v>
      </c>
      <c r="G27" s="106">
        <v>75</v>
      </c>
      <c r="H27" s="106">
        <v>20250</v>
      </c>
      <c r="I27" s="155">
        <f>_xlfn.XLOOKUP(E27,'All Products'!D:D,'All Products'!H:H)</f>
        <v>4.63</v>
      </c>
      <c r="J27" s="205">
        <f>ROUNDUP(I27*Order_Quote!$L$22,2)</f>
        <v>23.15</v>
      </c>
      <c r="K27" s="78"/>
      <c r="L27" s="116"/>
      <c r="M27" s="199">
        <f t="shared" si="0"/>
        <v>0</v>
      </c>
      <c r="O27" s="265" t="s">
        <v>76</v>
      </c>
      <c r="P27" s="265" t="s">
        <v>102</v>
      </c>
      <c r="Q27" s="265" t="s">
        <v>4455</v>
      </c>
      <c r="R27" s="265" t="s">
        <v>4456</v>
      </c>
      <c r="S27" s="265" t="s">
        <v>4457</v>
      </c>
      <c r="T27" s="347">
        <v>7.0999999999999994E-2</v>
      </c>
      <c r="U27" s="347">
        <v>25</v>
      </c>
      <c r="V27" s="347">
        <v>5.3</v>
      </c>
      <c r="W27" s="348">
        <v>0.31</v>
      </c>
    </row>
    <row r="28" spans="1:23" ht="25.5" customHeight="1">
      <c r="A28" s="104" t="str">
        <f>IF(K28&gt;0,COUNT($A$8:A27)+COUNT('DWV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8" s="242" t="s">
        <v>4458</v>
      </c>
      <c r="C28" s="44"/>
      <c r="D28" s="44"/>
      <c r="E28" s="44"/>
      <c r="F28" s="44"/>
      <c r="G28" s="44"/>
      <c r="H28" s="44"/>
      <c r="I28" s="245">
        <f>_xlfn.XLOOKUP(E28,'All Products'!D:D,'All Products'!H:H)</f>
        <v>0</v>
      </c>
      <c r="J28" s="245">
        <f>ROUNDUP(I28*Order_Quote!$L$22,2)</f>
        <v>0</v>
      </c>
      <c r="K28" s="246"/>
      <c r="L28" s="243"/>
      <c r="M28" s="157"/>
      <c r="O28" s="44"/>
      <c r="P28" s="44"/>
      <c r="T28" s="349"/>
      <c r="U28" s="349"/>
      <c r="V28" s="349"/>
      <c r="W28" s="350"/>
    </row>
    <row r="29" spans="1:23" ht="39.75" customHeight="1">
      <c r="A29" s="104" t="str">
        <f>IF(K29&gt;0,COUNT($A$8:A28)+COUNT('DWV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29" s="110"/>
      <c r="C29" s="111"/>
      <c r="D29" s="158" t="s">
        <v>4459</v>
      </c>
      <c r="E29" s="106">
        <v>100026354</v>
      </c>
      <c r="F29" s="159" t="s">
        <v>4460</v>
      </c>
      <c r="G29" s="106">
        <v>20</v>
      </c>
      <c r="H29" s="106">
        <v>5400</v>
      </c>
      <c r="I29" s="155">
        <f>_xlfn.XLOOKUP(E29,'All Products'!D:D,'All Products'!H:H)</f>
        <v>18.420000000000002</v>
      </c>
      <c r="J29" s="205">
        <f>ROUNDUP(I29*Order_Quote!$L$22,2)</f>
        <v>92.1</v>
      </c>
      <c r="K29" s="78"/>
      <c r="L29" s="291"/>
      <c r="M29" s="199">
        <f>K29/G29</f>
        <v>0</v>
      </c>
      <c r="O29" s="265" t="s">
        <v>76</v>
      </c>
      <c r="P29" s="265" t="s">
        <v>102</v>
      </c>
      <c r="Q29" s="265" t="s">
        <v>4461</v>
      </c>
      <c r="R29" s="265" t="s">
        <v>4462</v>
      </c>
      <c r="S29" s="265" t="s">
        <v>4463</v>
      </c>
      <c r="T29" s="347">
        <v>0.20100000000000001</v>
      </c>
      <c r="U29" s="347">
        <v>0</v>
      </c>
      <c r="V29" s="347">
        <v>4.0250000000000004</v>
      </c>
      <c r="W29" s="348">
        <v>0.31</v>
      </c>
    </row>
    <row r="30" spans="1:23" ht="39.75" customHeight="1">
      <c r="A30" s="104" t="str">
        <f>IF(K30&gt;0,COUNT($A$8:A29)+COUNT('DWV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30" s="113"/>
      <c r="C30" s="114"/>
      <c r="D30" s="158" t="s">
        <v>4464</v>
      </c>
      <c r="E30" s="106">
        <v>100026355</v>
      </c>
      <c r="F30" s="159" t="s">
        <v>4465</v>
      </c>
      <c r="G30" s="106">
        <v>20</v>
      </c>
      <c r="H30" s="106">
        <v>5400</v>
      </c>
      <c r="I30" s="155">
        <f>_xlfn.XLOOKUP(E30,'All Products'!D:D,'All Products'!H:H)</f>
        <v>22.99</v>
      </c>
      <c r="J30" s="205">
        <f>ROUNDUP(I30*Order_Quote!$L$22,2)</f>
        <v>114.95</v>
      </c>
      <c r="K30" s="78"/>
      <c r="L30" s="116"/>
      <c r="M30" s="199">
        <f>K30/G30</f>
        <v>0</v>
      </c>
      <c r="O30" s="265" t="s">
        <v>76</v>
      </c>
      <c r="P30" s="265" t="s">
        <v>102</v>
      </c>
      <c r="Q30" s="265" t="s">
        <v>4466</v>
      </c>
      <c r="R30" s="265" t="s">
        <v>4467</v>
      </c>
      <c r="S30" s="265" t="s">
        <v>4468</v>
      </c>
      <c r="T30" s="347">
        <v>0.27600000000000002</v>
      </c>
      <c r="U30" s="347">
        <v>0</v>
      </c>
      <c r="V30" s="347">
        <v>5.5250000000000004</v>
      </c>
      <c r="W30" s="348">
        <v>0.31</v>
      </c>
    </row>
    <row r="31" spans="1:23" ht="31.5" customHeight="1">
      <c r="A31" s="104" t="str">
        <f>IF(K31&gt;0,COUNT($A$8:A30)+COUNT('DWV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31" s="110"/>
      <c r="C31" s="111"/>
      <c r="D31" s="158" t="s">
        <v>4469</v>
      </c>
      <c r="E31" s="106">
        <v>100026362</v>
      </c>
      <c r="F31" s="159" t="s">
        <v>4470</v>
      </c>
      <c r="G31" s="106">
        <v>25</v>
      </c>
      <c r="H31" s="106">
        <v>6750</v>
      </c>
      <c r="I31" s="155">
        <f>_xlfn.XLOOKUP(E31,'All Products'!D:D,'All Products'!H:H)</f>
        <v>5.31</v>
      </c>
      <c r="J31" s="205">
        <f>ROUNDUP(I31*Order_Quote!$L$22,2)</f>
        <v>26.55</v>
      </c>
      <c r="K31" s="78"/>
      <c r="L31" s="116"/>
      <c r="M31" s="199">
        <f>K31/G31</f>
        <v>0</v>
      </c>
      <c r="O31" s="265" t="s">
        <v>76</v>
      </c>
      <c r="P31" s="265" t="s">
        <v>102</v>
      </c>
      <c r="Q31" s="265" t="s">
        <v>4471</v>
      </c>
      <c r="R31" s="265" t="s">
        <v>4472</v>
      </c>
      <c r="S31" s="265" t="s">
        <v>4473</v>
      </c>
      <c r="T31" s="347">
        <v>0.122</v>
      </c>
      <c r="U31" s="347">
        <v>5</v>
      </c>
      <c r="V31" s="347">
        <v>3.05</v>
      </c>
      <c r="W31" s="348">
        <v>0.31</v>
      </c>
    </row>
    <row r="32" spans="1:23" ht="31.5" customHeight="1">
      <c r="A32" s="104" t="str">
        <f>IF(K32&gt;0,COUNT($A$8:A31)+COUNT('DWV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+COUNT(Nipples!$A$8:$A$81)+1,"")</f>
        <v/>
      </c>
      <c r="B32" s="113"/>
      <c r="C32" s="114"/>
      <c r="D32" s="158" t="s">
        <v>4474</v>
      </c>
      <c r="E32" s="106">
        <v>100026363</v>
      </c>
      <c r="F32" s="159" t="s">
        <v>4475</v>
      </c>
      <c r="G32" s="106">
        <v>25</v>
      </c>
      <c r="H32" s="106">
        <v>6750</v>
      </c>
      <c r="I32" s="155">
        <f>_xlfn.XLOOKUP(E32,'All Products'!D:D,'All Products'!H:H)</f>
        <v>5.87</v>
      </c>
      <c r="J32" s="205">
        <f>ROUNDUP(I32*Order_Quote!$L$22,2)</f>
        <v>29.35</v>
      </c>
      <c r="K32" s="78"/>
      <c r="L32" s="292"/>
      <c r="M32" s="199">
        <f>K32/G32</f>
        <v>0</v>
      </c>
      <c r="O32" s="265" t="s">
        <v>359</v>
      </c>
      <c r="P32" s="265" t="s">
        <v>102</v>
      </c>
      <c r="Q32" s="265" t="s">
        <v>4476</v>
      </c>
      <c r="R32" s="265" t="s">
        <v>4477</v>
      </c>
      <c r="S32" s="265" t="s">
        <v>4478</v>
      </c>
      <c r="T32" s="347">
        <v>0.16700000000000001</v>
      </c>
      <c r="U32" s="347">
        <v>5</v>
      </c>
      <c r="V32" s="347">
        <v>4.1749999999999998</v>
      </c>
      <c r="W32" s="348">
        <v>0.31</v>
      </c>
    </row>
    <row r="33" spans="1:9" s="152" customFormat="1" ht="15">
      <c r="A33" s="323">
        <f>MAX(A9:A32)+1</f>
        <v>1</v>
      </c>
      <c r="I33" s="154"/>
    </row>
  </sheetData>
  <sheetProtection algorithmName="SHA-512" hashValue="qCsfUDDHph7qWEtxFhwZa/QUtoLipf/WWneVyPwtC1E7eUO79mM85EOQrQhog6EeQxIgVjLeXdwGKFcdm247HQ==" saltValue="V0HMhJjBA7wExwZ1huOWAw==" spinCount="100000" sheet="1" formatCells="0" formatColumns="0" formatRows="0" insertColumns="0" insertRows="0" insertHyperlinks="0" deleteColumns="0" deleteRows="0" sort="0" autoFilter="0" pivotTables="0"/>
  <autoFilter ref="D7:W32" xr:uid="{CD047489-4D28-4DA5-8DAE-4E3F1949CE6C}"/>
  <mergeCells count="1"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 K250:L63917" xr:uid="{3474F73A-B76A-42B6-A3E7-08752CE0E2FC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1B972A25-B8CE-42E6-9A47-55B0BB389EF1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8 K28:L28" xr:uid="{C76FF823-0AC5-4DA2-8AE0-89D65AECCA9E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29:L32 K9:L27" xr:uid="{E624E192-9C60-41BF-945B-6E568D05D093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17" max="8" man="1"/>
    <brk id="24" max="8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AE599-B50D-40B2-BB17-8C14F30116D0}">
  <sheetPr>
    <tabColor theme="0"/>
    <pageSetUpPr fitToPage="1"/>
  </sheetPr>
  <dimension ref="A1:V13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197" customWidth="1"/>
    <col min="2" max="3" width="8.7109375" customWidth="1"/>
    <col min="4" max="5" width="12.7109375" customWidth="1"/>
    <col min="6" max="6" width="50.7109375" customWidth="1"/>
    <col min="7" max="11" width="10.7109375" customWidth="1"/>
    <col min="12" max="12" width="1.42578125" customWidth="1"/>
    <col min="13" max="13" width="10.7109375" customWidth="1"/>
    <col min="14" max="14" width="2.28515625" style="2" customWidth="1"/>
    <col min="15" max="15" width="8.7109375" customWidth="1"/>
    <col min="16" max="16" width="10.7109375" customWidth="1"/>
    <col min="17" max="17" width="11.28515625" bestFit="1" customWidth="1"/>
    <col min="18" max="18" width="8.7109375" customWidth="1"/>
    <col min="19" max="19" width="13.140625" bestFit="1" customWidth="1"/>
    <col min="20" max="21" width="8.7109375" customWidth="1"/>
    <col min="22" max="22" width="10.7109375" customWidth="1"/>
    <col min="23" max="34" width="9.140625" style="2" customWidth="1"/>
    <col min="35" max="16384" width="9.140625" style="2"/>
  </cols>
  <sheetData>
    <row r="1" spans="1:22" ht="15" customHeight="1">
      <c r="A1" s="5"/>
      <c r="B1" s="2"/>
      <c r="C1" s="2"/>
      <c r="D1" s="4"/>
      <c r="E1" s="4"/>
      <c r="F1" s="8"/>
      <c r="G1" s="173"/>
      <c r="H1" s="4"/>
      <c r="I1" s="170"/>
      <c r="J1" s="164"/>
      <c r="K1" s="4"/>
      <c r="L1" s="4"/>
      <c r="M1" s="20"/>
      <c r="O1" s="170"/>
      <c r="P1" s="170"/>
      <c r="Q1" s="170"/>
      <c r="R1" s="170"/>
      <c r="S1" s="170"/>
      <c r="T1" s="170"/>
      <c r="U1" s="170"/>
      <c r="V1" s="170"/>
    </row>
    <row r="2" spans="1:22" ht="15" customHeight="1">
      <c r="A2" s="5"/>
      <c r="B2" s="2"/>
      <c r="C2" s="2"/>
      <c r="D2" s="19"/>
      <c r="E2" s="29"/>
      <c r="F2" s="8"/>
      <c r="G2" s="20"/>
      <c r="H2" s="20"/>
      <c r="I2" s="20"/>
      <c r="J2" s="585" t="s">
        <v>59</v>
      </c>
      <c r="K2" s="585"/>
      <c r="L2" s="4"/>
      <c r="M2" s="20"/>
      <c r="O2" s="20"/>
      <c r="P2" s="20"/>
      <c r="Q2" s="20"/>
      <c r="R2" s="20"/>
      <c r="S2" s="20"/>
      <c r="T2" s="20"/>
      <c r="U2" s="20"/>
      <c r="V2" s="20"/>
    </row>
    <row r="3" spans="1:22" ht="15" customHeight="1">
      <c r="A3" s="5"/>
      <c r="B3" s="2"/>
      <c r="C3" s="2"/>
      <c r="D3" s="4"/>
      <c r="E3" s="4"/>
      <c r="F3" s="436" t="s">
        <v>4479</v>
      </c>
      <c r="G3" s="20"/>
      <c r="H3" s="20"/>
      <c r="I3" s="20"/>
      <c r="J3" s="585"/>
      <c r="K3" s="585"/>
      <c r="L3" s="4"/>
      <c r="M3" s="20"/>
      <c r="O3" s="20"/>
      <c r="P3" s="20"/>
      <c r="Q3" s="20"/>
      <c r="R3" s="20"/>
      <c r="S3" s="20"/>
      <c r="T3" s="20"/>
      <c r="U3" s="20"/>
      <c r="V3" s="20"/>
    </row>
    <row r="4" spans="1:22" ht="15" customHeight="1">
      <c r="A4" s="5"/>
      <c r="B4" s="2"/>
      <c r="C4" s="2"/>
      <c r="D4" s="4"/>
      <c r="E4" s="14" t="s">
        <v>4480</v>
      </c>
      <c r="F4" s="440" t="s">
        <v>4480</v>
      </c>
      <c r="G4" s="20"/>
      <c r="H4" s="20"/>
      <c r="I4" s="20"/>
      <c r="J4" s="165"/>
      <c r="K4" s="2"/>
      <c r="L4" s="4"/>
      <c r="M4" s="20"/>
      <c r="O4" s="20"/>
      <c r="P4" s="20"/>
      <c r="Q4" s="20"/>
      <c r="R4" s="20"/>
      <c r="S4" s="20"/>
      <c r="T4" s="20"/>
      <c r="U4" s="20"/>
      <c r="V4" s="20"/>
    </row>
    <row r="5" spans="1:22" ht="15" customHeight="1">
      <c r="A5" s="5"/>
      <c r="B5" s="2"/>
      <c r="C5" s="2"/>
      <c r="D5" s="4"/>
      <c r="E5" s="4"/>
      <c r="F5" s="438" t="s">
        <v>329</v>
      </c>
      <c r="G5" s="20"/>
      <c r="H5" s="20"/>
      <c r="I5" s="20"/>
      <c r="J5" s="165"/>
      <c r="K5" s="2"/>
      <c r="L5" s="4"/>
      <c r="M5" s="20"/>
      <c r="O5" s="20"/>
      <c r="P5" s="20"/>
      <c r="Q5" s="20"/>
      <c r="R5" s="20"/>
      <c r="S5" s="20"/>
      <c r="T5" s="20"/>
      <c r="U5" s="20"/>
      <c r="V5" s="20"/>
    </row>
    <row r="6" spans="1:22" ht="15" customHeight="1">
      <c r="A6" s="5"/>
      <c r="B6" s="2"/>
      <c r="C6" s="2"/>
      <c r="D6" s="4"/>
      <c r="E6" s="4"/>
      <c r="F6" s="8"/>
      <c r="G6" s="20"/>
      <c r="H6" s="4"/>
      <c r="I6" s="20"/>
      <c r="J6" s="165"/>
      <c r="K6" s="2"/>
      <c r="L6" s="4"/>
      <c r="M6" s="20"/>
      <c r="O6" s="20"/>
      <c r="P6" s="20"/>
      <c r="Q6" s="576" t="s">
        <v>64</v>
      </c>
      <c r="R6" s="576"/>
      <c r="S6" s="576"/>
      <c r="T6" s="20"/>
      <c r="U6" s="20"/>
      <c r="V6" s="20"/>
    </row>
    <row r="7" spans="1:22" s="20" customFormat="1" ht="33.75">
      <c r="A7" s="163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330</v>
      </c>
      <c r="V7" s="263" t="s">
        <v>331</v>
      </c>
    </row>
    <row r="8" spans="1:22" ht="33" customHeight="1">
      <c r="A8" s="5"/>
      <c r="B8" s="179" t="s">
        <v>4481</v>
      </c>
      <c r="C8" s="59"/>
      <c r="D8" s="59"/>
      <c r="E8" s="59"/>
      <c r="F8" s="59"/>
      <c r="G8" s="44"/>
      <c r="H8" s="59"/>
      <c r="I8" s="44"/>
      <c r="J8" s="139"/>
      <c r="K8" s="140"/>
      <c r="L8" s="141"/>
      <c r="M8" s="157"/>
      <c r="O8" s="44"/>
      <c r="P8" s="44"/>
      <c r="Q8" s="44"/>
      <c r="R8" s="44"/>
      <c r="S8" s="44"/>
      <c r="T8" s="44"/>
      <c r="U8" s="44"/>
      <c r="V8" s="44"/>
    </row>
    <row r="9" spans="1:22" ht="15" customHeight="1" thickBot="1">
      <c r="A9" s="5"/>
      <c r="B9" s="337" t="s">
        <v>40</v>
      </c>
      <c r="C9" s="338"/>
      <c r="D9" s="338"/>
      <c r="E9" s="338"/>
      <c r="F9" s="338"/>
      <c r="G9" s="339"/>
      <c r="H9" s="338"/>
      <c r="I9" s="339"/>
      <c r="J9" s="340"/>
      <c r="K9" s="341"/>
      <c r="L9" s="342"/>
      <c r="M9" s="343"/>
      <c r="O9" s="345"/>
      <c r="P9" s="339"/>
      <c r="Q9" s="339"/>
      <c r="R9" s="339"/>
      <c r="S9" s="339"/>
      <c r="T9" s="339"/>
      <c r="U9" s="339"/>
      <c r="V9" s="346"/>
    </row>
    <row r="10" spans="1:22" ht="15" customHeight="1">
      <c r="A10" s="5" t="str">
        <f>IF(K10&gt;0,COUNT($A$9:A9)+COUNT('DWV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+COUNT(Manifold!$A$8:$A$32)+1,"")</f>
        <v/>
      </c>
      <c r="B10" s="654"/>
      <c r="C10" s="655"/>
      <c r="D10" s="143" t="s">
        <v>4482</v>
      </c>
      <c r="E10" s="144">
        <v>100026151</v>
      </c>
      <c r="F10" s="145" t="s">
        <v>4483</v>
      </c>
      <c r="G10" s="150">
        <v>20</v>
      </c>
      <c r="H10" s="144" t="s">
        <v>2803</v>
      </c>
      <c r="I10" s="180">
        <f>_xlfn.XLOOKUP(E10,'All Products'!D:D,'All Products'!H:H)</f>
        <v>12.53</v>
      </c>
      <c r="J10" s="210">
        <f>ROUNDUP(I10*Order_Quote!$L$23,2)</f>
        <v>62.65</v>
      </c>
      <c r="K10" s="146"/>
      <c r="L10" s="296"/>
      <c r="M10" s="344">
        <f>K10/G10</f>
        <v>0</v>
      </c>
      <c r="O10" s="295" t="s">
        <v>76</v>
      </c>
      <c r="P10" s="265" t="s">
        <v>102</v>
      </c>
      <c r="Q10" s="334" t="s">
        <v>4484</v>
      </c>
      <c r="R10" s="334">
        <v>0</v>
      </c>
      <c r="S10" s="334" t="s">
        <v>4485</v>
      </c>
      <c r="T10" s="265">
        <v>0.34399999999999997</v>
      </c>
      <c r="U10" s="265">
        <v>7.3860000000000001</v>
      </c>
      <c r="V10" s="265">
        <v>0.27</v>
      </c>
    </row>
    <row r="11" spans="1:22" ht="15" customHeight="1">
      <c r="A11" s="5" t="str">
        <f>IF(K11&gt;0,COUNT($A$9:A10)+COUNT('DWV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+COUNT(Manifold!$A$8:$A$32)+1,"")</f>
        <v/>
      </c>
      <c r="B11" s="613"/>
      <c r="C11" s="614"/>
      <c r="D11" s="137" t="s">
        <v>4486</v>
      </c>
      <c r="E11" s="1">
        <v>100026153</v>
      </c>
      <c r="F11" s="15" t="s">
        <v>4487</v>
      </c>
      <c r="G11" s="106">
        <v>12</v>
      </c>
      <c r="H11" s="1" t="s">
        <v>2803</v>
      </c>
      <c r="I11" s="175">
        <f>_xlfn.XLOOKUP(E11,'All Products'!D:D,'All Products'!H:H)</f>
        <v>15.06</v>
      </c>
      <c r="J11" s="211">
        <f>ROUNDUP(I11*Order_Quote!$L$23,2)</f>
        <v>75.3</v>
      </c>
      <c r="K11" s="77"/>
      <c r="L11" s="16"/>
      <c r="M11" s="199">
        <f>K11/G11</f>
        <v>0</v>
      </c>
      <c r="O11" s="265" t="s">
        <v>76</v>
      </c>
      <c r="P11" s="265" t="s">
        <v>102</v>
      </c>
      <c r="Q11" s="335" t="s">
        <v>4488</v>
      </c>
      <c r="R11" s="335">
        <v>0</v>
      </c>
      <c r="S11" s="335" t="s">
        <v>4489</v>
      </c>
      <c r="T11" s="265">
        <v>0.47099999999999997</v>
      </c>
      <c r="U11" s="265">
        <v>5.9050000000000002</v>
      </c>
      <c r="V11" s="265">
        <v>0.27</v>
      </c>
    </row>
    <row r="12" spans="1:22" ht="15" customHeight="1">
      <c r="A12" s="5" t="str">
        <f>IF(K12&gt;0,COUNT($A$9:A11)+COUNT('DWV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+COUNT(Manifold!$A$8:$A$32)+1,"")</f>
        <v/>
      </c>
      <c r="B12" s="615"/>
      <c r="C12" s="616"/>
      <c r="D12" s="137" t="s">
        <v>4490</v>
      </c>
      <c r="E12" s="1">
        <v>100026155</v>
      </c>
      <c r="F12" s="15" t="s">
        <v>4491</v>
      </c>
      <c r="G12" s="106">
        <v>9</v>
      </c>
      <c r="H12" s="1" t="s">
        <v>2803</v>
      </c>
      <c r="I12" s="175">
        <f>_xlfn.XLOOKUP(E12,'All Products'!D:D,'All Products'!H:H)</f>
        <v>18.84</v>
      </c>
      <c r="J12" s="211">
        <f>ROUNDUP(I12*Order_Quote!$L$23,2)</f>
        <v>94.2</v>
      </c>
      <c r="K12" s="77"/>
      <c r="L12" s="262"/>
      <c r="M12" s="199">
        <f>K12/G12</f>
        <v>0</v>
      </c>
      <c r="O12" s="265" t="s">
        <v>76</v>
      </c>
      <c r="P12" s="265" t="s">
        <v>102</v>
      </c>
      <c r="Q12" s="335" t="s">
        <v>4492</v>
      </c>
      <c r="R12" s="335">
        <v>0</v>
      </c>
      <c r="S12" s="335" t="s">
        <v>4493</v>
      </c>
      <c r="T12" s="265">
        <v>0.81799999999999995</v>
      </c>
      <c r="U12" s="265">
        <v>7.8890000000000002</v>
      </c>
      <c r="V12" s="265">
        <v>0.27</v>
      </c>
    </row>
    <row r="13" spans="1:22" ht="15" customHeight="1">
      <c r="A13" s="197">
        <f>MAX(A8:A12)+1</f>
        <v>1</v>
      </c>
      <c r="B13" s="2"/>
    </row>
  </sheetData>
  <sheetProtection algorithmName="SHA-512" hashValue="SGI8BZZxLgcYUT5q/E6EtelbYIBzmumucT1YzIb+/fU8YuzM6TtcE4RNggkh6ksrvUrgN8dVqKvtknrmORhIwQ==" saltValue="ltECYFYGDjAKfiHY1XQe+w==" spinCount="100000" sheet="1" formatCells="0" formatColumns="0" formatRows="0" insertColumns="0" insertRows="0" insertHyperlinks="0" deleteColumns="0" deleteRows="0" sort="0" autoFilter="0" pivotTables="0"/>
  <mergeCells count="3">
    <mergeCell ref="J2:K3"/>
    <mergeCell ref="B10:C12"/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" xr:uid="{B5D2D6F8-E673-4980-8A81-B5203A5D539E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4AA9BCD1-F318-4C28-8532-D8370CF8B3AB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10:L12" xr:uid="{6004CF50-9338-4B39-8572-7DBAB9922FC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9" xr:uid="{59E3FA54-1B61-46BA-9C67-33257FE4066B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D21EF-C7CB-434A-9159-2BF5CCE004F5}">
  <sheetPr>
    <tabColor theme="0"/>
    <pageSetUpPr fitToPage="1"/>
  </sheetPr>
  <dimension ref="A1:W15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8" width="10.7109375" style="20" customWidth="1"/>
    <col min="9" max="10" width="10.7109375" style="293" customWidth="1"/>
    <col min="11" max="11" width="10.7109375" style="20" customWidth="1"/>
    <col min="12" max="12" width="1.7109375" style="20" customWidth="1"/>
    <col min="13" max="13" width="10.7109375" style="20" customWidth="1"/>
    <col min="14" max="14" width="2.28515625" style="17" customWidth="1"/>
    <col min="15" max="15" width="10.85546875" style="20" customWidth="1"/>
    <col min="16" max="16" width="10.7109375" style="20" customWidth="1"/>
    <col min="17" max="17" width="11.28515625" style="17" bestFit="1" customWidth="1"/>
    <col min="18" max="18" width="9.140625" style="17" customWidth="1"/>
    <col min="19" max="19" width="13.140625" style="17" bestFit="1" customWidth="1"/>
    <col min="20" max="21" width="10.85546875" style="20" customWidth="1"/>
    <col min="22" max="22" width="10.7109375" style="20" customWidth="1"/>
    <col min="23" max="23" width="1.7109375" style="17" customWidth="1"/>
    <col min="24" max="16384" width="9.140625" style="17" hidden="1"/>
  </cols>
  <sheetData>
    <row r="1" spans="1:22" ht="21">
      <c r="F1" s="381" t="s">
        <v>41</v>
      </c>
      <c r="G1" s="290"/>
      <c r="H1" s="290"/>
      <c r="O1" s="236"/>
      <c r="P1" s="236"/>
      <c r="T1" s="236"/>
      <c r="U1" s="236"/>
      <c r="V1" s="236"/>
    </row>
    <row r="2" spans="1:22" ht="14.45" customHeight="1">
      <c r="D2" s="238"/>
      <c r="E2" s="239"/>
      <c r="F2" s="290"/>
      <c r="G2" s="290"/>
      <c r="J2" s="336" t="s">
        <v>59</v>
      </c>
      <c r="K2" s="294"/>
    </row>
    <row r="3" spans="1:22" ht="14.45" customHeight="1">
      <c r="F3" s="436" t="s">
        <v>4494</v>
      </c>
      <c r="G3" s="4"/>
      <c r="H3" s="4"/>
      <c r="J3" s="294"/>
      <c r="K3" s="294"/>
    </row>
    <row r="4" spans="1:22" ht="14.45" customHeight="1">
      <c r="E4" s="163" t="s">
        <v>4495</v>
      </c>
      <c r="F4" s="440" t="s">
        <v>4495</v>
      </c>
      <c r="G4" s="4"/>
      <c r="H4" s="4"/>
      <c r="J4" s="215"/>
      <c r="K4" s="17"/>
    </row>
    <row r="5" spans="1:22" ht="14.45" customHeight="1">
      <c r="F5" s="438" t="s">
        <v>329</v>
      </c>
      <c r="G5" s="4"/>
      <c r="H5" s="4"/>
      <c r="J5" s="215"/>
      <c r="K5" s="17"/>
    </row>
    <row r="6" spans="1:22" ht="14.45" customHeight="1">
      <c r="J6" s="215"/>
      <c r="K6" s="17"/>
      <c r="Q6" s="576" t="s">
        <v>64</v>
      </c>
      <c r="R6" s="576"/>
      <c r="S6" s="576"/>
    </row>
    <row r="7" spans="1:22" ht="30"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330</v>
      </c>
      <c r="V7" s="263" t="s">
        <v>331</v>
      </c>
    </row>
    <row r="8" spans="1:22" ht="25.5" customHeight="1">
      <c r="B8" s="242" t="s">
        <v>4496</v>
      </c>
      <c r="C8" s="44"/>
      <c r="D8" s="44"/>
      <c r="E8" s="44"/>
      <c r="F8" s="44"/>
      <c r="G8" s="44"/>
      <c r="H8" s="44"/>
      <c r="I8" s="245"/>
      <c r="J8" s="245"/>
      <c r="K8" s="246"/>
      <c r="L8" s="243"/>
      <c r="M8" s="157"/>
      <c r="O8" s="44"/>
      <c r="P8" s="44"/>
      <c r="Q8" s="44"/>
      <c r="R8" s="44"/>
      <c r="S8" s="44"/>
      <c r="T8" s="44"/>
      <c r="U8" s="44"/>
      <c r="V8" s="44"/>
    </row>
    <row r="9" spans="1:22" ht="15">
      <c r="A9" s="104" t="str">
        <f>IF(K9&gt;0,COUNT($A$8:A8)+COUNT('DWV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9" s="110"/>
      <c r="C9" s="111"/>
      <c r="D9" s="220" t="s">
        <v>4497</v>
      </c>
      <c r="E9" s="106">
        <v>100026145</v>
      </c>
      <c r="F9" s="159" t="s">
        <v>4498</v>
      </c>
      <c r="G9" s="106">
        <v>25</v>
      </c>
      <c r="H9" s="106">
        <v>6750</v>
      </c>
      <c r="I9" s="155">
        <f>_xlfn.XLOOKUP(E9,'All Products'!D:D,'All Products'!H:H)</f>
        <v>13.55</v>
      </c>
      <c r="J9" s="205">
        <f>ROUNDUP(I9*Order_Quote!$L$24,2)</f>
        <v>67.75</v>
      </c>
      <c r="K9" s="322"/>
      <c r="L9" s="291"/>
      <c r="M9" s="199">
        <f t="shared" ref="M9:M14" si="0">K9/G9</f>
        <v>0</v>
      </c>
      <c r="O9" s="265" t="s">
        <v>76</v>
      </c>
      <c r="P9" s="265" t="s">
        <v>102</v>
      </c>
      <c r="Q9" s="265" t="s">
        <v>4499</v>
      </c>
      <c r="R9" s="265">
        <v>0</v>
      </c>
      <c r="S9" s="265" t="s">
        <v>4500</v>
      </c>
      <c r="T9" s="348">
        <v>0.222</v>
      </c>
      <c r="U9" s="348">
        <v>5.55</v>
      </c>
      <c r="V9" s="348">
        <v>0.31</v>
      </c>
    </row>
    <row r="10" spans="1:22" ht="15">
      <c r="A10" s="104" t="str">
        <f>IF(K10&gt;0,COUNT($A$8:A9)+COUNT('DWV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10" s="112"/>
      <c r="C10" s="79"/>
      <c r="D10" s="220" t="s">
        <v>4501</v>
      </c>
      <c r="E10" s="106">
        <v>100026146</v>
      </c>
      <c r="F10" s="159" t="s">
        <v>4502</v>
      </c>
      <c r="G10" s="106">
        <v>25</v>
      </c>
      <c r="H10" s="106">
        <v>6750</v>
      </c>
      <c r="I10" s="155">
        <f>_xlfn.XLOOKUP(E10,'All Products'!D:D,'All Products'!H:H)</f>
        <v>15.03</v>
      </c>
      <c r="J10" s="205">
        <f>ROUNDUP(I10*Order_Quote!$L$24,2)</f>
        <v>75.150000000000006</v>
      </c>
      <c r="K10" s="78"/>
      <c r="L10" s="116"/>
      <c r="M10" s="199">
        <f t="shared" si="0"/>
        <v>0</v>
      </c>
      <c r="O10" s="265" t="s">
        <v>76</v>
      </c>
      <c r="P10" s="265" t="s">
        <v>102</v>
      </c>
      <c r="Q10" s="265" t="s">
        <v>4503</v>
      </c>
      <c r="R10" s="265">
        <v>0</v>
      </c>
      <c r="S10" s="265" t="s">
        <v>4504</v>
      </c>
      <c r="T10" s="348">
        <v>0.29199999999999998</v>
      </c>
      <c r="U10" s="348">
        <v>7.29</v>
      </c>
      <c r="V10" s="348">
        <v>0.31</v>
      </c>
    </row>
    <row r="11" spans="1:22" ht="15">
      <c r="A11" s="104" t="str">
        <f>IF(K11&gt;0,COUNT($A$8:A10)+COUNT('DWV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11" s="112"/>
      <c r="C11" s="79"/>
      <c r="D11" s="220" t="s">
        <v>4505</v>
      </c>
      <c r="E11" s="106">
        <v>100026147</v>
      </c>
      <c r="F11" s="159" t="s">
        <v>4506</v>
      </c>
      <c r="G11" s="106">
        <v>25</v>
      </c>
      <c r="H11" s="106">
        <v>3750</v>
      </c>
      <c r="I11" s="155">
        <f>_xlfn.XLOOKUP(E11,'All Products'!D:D,'All Products'!H:H)</f>
        <v>17.600000000000001</v>
      </c>
      <c r="J11" s="205">
        <f>ROUNDUP(I11*Order_Quote!$L$24,2)</f>
        <v>88</v>
      </c>
      <c r="K11" s="78"/>
      <c r="L11" s="116"/>
      <c r="M11" s="199">
        <f t="shared" si="0"/>
        <v>0</v>
      </c>
      <c r="O11" s="265" t="s">
        <v>76</v>
      </c>
      <c r="P11" s="265" t="s">
        <v>102</v>
      </c>
      <c r="Q11" s="265" t="s">
        <v>4507</v>
      </c>
      <c r="R11" s="265">
        <v>0</v>
      </c>
      <c r="S11" s="265" t="s">
        <v>4508</v>
      </c>
      <c r="T11" s="348">
        <v>0.39500000000000002</v>
      </c>
      <c r="U11" s="348">
        <v>9.8800000000000008</v>
      </c>
      <c r="V11" s="348">
        <v>0.5</v>
      </c>
    </row>
    <row r="12" spans="1:22" ht="15">
      <c r="A12" s="104" t="str">
        <f>IF(K12&gt;0,COUNT($A$8:A11)+COUNT('DWV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12" s="112"/>
      <c r="C12" s="79"/>
      <c r="D12" s="220" t="s">
        <v>4509</v>
      </c>
      <c r="E12" s="106">
        <v>100026148</v>
      </c>
      <c r="F12" s="159" t="s">
        <v>4510</v>
      </c>
      <c r="G12" s="106">
        <v>15</v>
      </c>
      <c r="H12" s="106">
        <v>1800</v>
      </c>
      <c r="I12" s="155">
        <f>_xlfn.XLOOKUP(E12,'All Products'!D:D,'All Products'!H:H)</f>
        <v>33.11</v>
      </c>
      <c r="J12" s="205">
        <f>ROUNDUP(I12*Order_Quote!$L$24,2)</f>
        <v>165.55</v>
      </c>
      <c r="K12" s="78"/>
      <c r="L12" s="116"/>
      <c r="M12" s="199">
        <f t="shared" si="0"/>
        <v>0</v>
      </c>
      <c r="O12" s="265" t="s">
        <v>76</v>
      </c>
      <c r="P12" s="265" t="s">
        <v>102</v>
      </c>
      <c r="Q12" s="265" t="s">
        <v>4511</v>
      </c>
      <c r="R12" s="265">
        <v>0</v>
      </c>
      <c r="S12" s="265" t="s">
        <v>4512</v>
      </c>
      <c r="T12" s="348">
        <v>0.64800000000000002</v>
      </c>
      <c r="U12" s="348">
        <v>9.7200000000000006</v>
      </c>
      <c r="V12" s="348">
        <v>0.65</v>
      </c>
    </row>
    <row r="13" spans="1:22" ht="15">
      <c r="A13" s="104" t="str">
        <f>IF(K13&gt;0,COUNT($A$8:A12)+COUNT('DWV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13" s="112"/>
      <c r="C13" s="79"/>
      <c r="D13" s="220" t="s">
        <v>4513</v>
      </c>
      <c r="E13" s="106">
        <v>100026149</v>
      </c>
      <c r="F13" s="159" t="s">
        <v>4514</v>
      </c>
      <c r="G13" s="106">
        <v>15</v>
      </c>
      <c r="H13" s="106">
        <v>1800</v>
      </c>
      <c r="I13" s="155">
        <f>_xlfn.XLOOKUP(E13,'All Products'!D:D,'All Products'!H:H)</f>
        <v>33.130000000000003</v>
      </c>
      <c r="J13" s="205">
        <f>ROUNDUP(I13*Order_Quote!$L$24,2)</f>
        <v>165.65</v>
      </c>
      <c r="K13" s="78"/>
      <c r="L13" s="116"/>
      <c r="M13" s="199">
        <f t="shared" si="0"/>
        <v>0</v>
      </c>
      <c r="O13" s="265" t="s">
        <v>76</v>
      </c>
      <c r="P13" s="265" t="s">
        <v>102</v>
      </c>
      <c r="Q13" s="265" t="s">
        <v>4515</v>
      </c>
      <c r="R13" s="265">
        <v>0</v>
      </c>
      <c r="S13" s="265" t="s">
        <v>4516</v>
      </c>
      <c r="T13" s="348">
        <v>0.67200000000000004</v>
      </c>
      <c r="U13" s="348">
        <v>9.15</v>
      </c>
      <c r="V13" s="348">
        <v>0.65</v>
      </c>
    </row>
    <row r="14" spans="1:22" ht="15">
      <c r="A14" s="104" t="str">
        <f>IF(K14&gt;0,COUNT($A$8:A13)+COUNT('DWV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+COUNT(FlexibleRepairCouplings!$A$8:$A$12)+1,"")</f>
        <v/>
      </c>
      <c r="B14" s="113"/>
      <c r="C14" s="114"/>
      <c r="D14" s="220" t="s">
        <v>4517</v>
      </c>
      <c r="E14" s="106">
        <v>100026150</v>
      </c>
      <c r="F14" s="159" t="s">
        <v>4518</v>
      </c>
      <c r="G14" s="106">
        <v>10</v>
      </c>
      <c r="H14" s="106">
        <v>900</v>
      </c>
      <c r="I14" s="155">
        <f>_xlfn.XLOOKUP(E14,'All Products'!D:D,'All Products'!H:H)</f>
        <v>55.82</v>
      </c>
      <c r="J14" s="205">
        <f>ROUNDUP(I14*Order_Quote!$L$24,2)</f>
        <v>279.10000000000002</v>
      </c>
      <c r="K14" s="78"/>
      <c r="L14" s="292"/>
      <c r="M14" s="199">
        <f t="shared" si="0"/>
        <v>0</v>
      </c>
      <c r="O14" s="265" t="s">
        <v>76</v>
      </c>
      <c r="P14" s="265" t="s">
        <v>102</v>
      </c>
      <c r="Q14" s="265" t="s">
        <v>4519</v>
      </c>
      <c r="R14" s="265">
        <v>0</v>
      </c>
      <c r="S14" s="265" t="s">
        <v>4520</v>
      </c>
      <c r="T14" s="348">
        <v>1.34</v>
      </c>
      <c r="U14" s="348">
        <v>13.4</v>
      </c>
      <c r="V14" s="348">
        <v>0.8</v>
      </c>
    </row>
    <row r="15" spans="1:22" s="152" customFormat="1" ht="15">
      <c r="A15" s="323">
        <f>MAX(A9:A14)+1</f>
        <v>1</v>
      </c>
      <c r="I15" s="154"/>
    </row>
  </sheetData>
  <sheetProtection algorithmName="SHA-512" hashValue="Eps8OdNEEC6jOIT2aluk5e6DDQrJuagsQVYv+U3NrT2MOxaWScKlH1j/NRoMDlBdDFTRyQJZujv31QXLg4Dymw==" saltValue="ZaD0aaaY0y46GnDcg5nPcQ==" spinCount="100000" sheet="1" formatCells="0" formatColumns="0" formatRows="0" insertColumns="0" insertRows="0" insertHyperlinks="0" deleteColumns="0" deleteRows="0" sort="0" autoFilter="0" pivotTables="0"/>
  <mergeCells count="1"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9:L14" xr:uid="{A50D0C50-8643-4651-80A8-5E34B92B4238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8" xr:uid="{1A1E39A8-6299-464A-B00C-7A5C7D01C599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E78C045A-9D6F-4061-AFDE-CF51A40D164C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 K232:L63899" xr:uid="{79584A98-E5DD-435A-BAE2-AE934B1A24C9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512A0-A8C0-4F55-8B0E-E4307BC94384}">
  <sheetPr>
    <tabColor theme="0"/>
    <pageSetUpPr fitToPage="1"/>
  </sheetPr>
  <dimension ref="A1:AK16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5" customWidth="1"/>
    <col min="2" max="3" width="8.7109375" style="2" customWidth="1"/>
    <col min="4" max="5" width="12.7109375" style="20" customWidth="1"/>
    <col min="6" max="6" width="50.7109375" style="217" customWidth="1"/>
    <col min="7" max="8" width="10.7109375" style="4" customWidth="1"/>
    <col min="9" max="9" width="10.7109375" style="119" customWidth="1"/>
    <col min="10" max="10" width="10.7109375" style="215" customWidth="1"/>
    <col min="11" max="11" width="10.7109375" style="2" customWidth="1"/>
    <col min="12" max="12" width="1" style="2" customWidth="1"/>
    <col min="13" max="13" width="10.7109375" style="2" customWidth="1"/>
    <col min="14" max="14" width="2.28515625" style="2" customWidth="1"/>
    <col min="15" max="15" width="12.7109375" style="217" customWidth="1"/>
    <col min="16" max="16" width="10.7109375" style="217" customWidth="1"/>
    <col min="17" max="17" width="11.28515625" style="217" customWidth="1"/>
    <col min="18" max="18" width="10.7109375" style="217" customWidth="1"/>
    <col min="19" max="19" width="13.140625" style="217" customWidth="1"/>
    <col min="20" max="23" width="10.7109375" style="217" customWidth="1"/>
    <col min="24" max="24" width="9.140625" style="2" customWidth="1"/>
    <col min="25" max="25" width="2.140625" style="2" customWidth="1"/>
    <col min="26" max="26" width="0" style="11" hidden="1" customWidth="1"/>
    <col min="27" max="37" width="0" style="2" hidden="1" customWidth="1"/>
    <col min="38" max="16384" width="9.140625" style="2" hidden="1"/>
  </cols>
  <sheetData>
    <row r="1" spans="1:26" ht="18.75">
      <c r="F1" s="257" t="s">
        <v>42</v>
      </c>
      <c r="G1" s="170"/>
      <c r="H1" s="170"/>
      <c r="O1" s="170"/>
      <c r="P1" s="170"/>
      <c r="Q1" s="170"/>
      <c r="R1" s="170"/>
      <c r="S1" s="170"/>
      <c r="T1" s="170"/>
      <c r="U1" s="170"/>
      <c r="V1" s="170"/>
      <c r="W1" s="170"/>
    </row>
    <row r="2" spans="1:26" ht="15.75" customHeight="1">
      <c r="D2" s="238"/>
      <c r="E2" s="268"/>
      <c r="J2" s="585" t="s">
        <v>59</v>
      </c>
      <c r="K2" s="585"/>
    </row>
    <row r="3" spans="1:26" ht="15">
      <c r="F3" s="436" t="s">
        <v>4521</v>
      </c>
      <c r="J3" s="585"/>
      <c r="K3" s="585"/>
      <c r="O3" s="2"/>
    </row>
    <row r="4" spans="1:26" ht="15">
      <c r="E4" s="163" t="s">
        <v>334</v>
      </c>
      <c r="F4" s="440" t="s">
        <v>4522</v>
      </c>
      <c r="I4" s="120"/>
      <c r="O4" s="2"/>
      <c r="P4" s="2"/>
      <c r="Q4" s="2"/>
      <c r="R4" s="2"/>
      <c r="S4" s="2"/>
      <c r="T4" s="2"/>
      <c r="U4" s="2"/>
      <c r="V4" s="2"/>
      <c r="W4" s="2"/>
    </row>
    <row r="5" spans="1:26" ht="15">
      <c r="F5" s="438" t="s">
        <v>329</v>
      </c>
      <c r="I5" s="120"/>
      <c r="O5" s="2"/>
      <c r="P5" s="2"/>
      <c r="Q5" s="2"/>
      <c r="R5" s="2"/>
      <c r="S5" s="2"/>
      <c r="T5" s="2"/>
      <c r="U5" s="2"/>
      <c r="V5" s="2"/>
      <c r="W5" s="2"/>
    </row>
    <row r="6" spans="1:26" ht="15">
      <c r="F6" s="17"/>
      <c r="G6" s="20"/>
      <c r="H6" s="20"/>
      <c r="I6" s="120"/>
      <c r="O6" s="17"/>
      <c r="P6" s="17"/>
      <c r="Q6" s="576" t="s">
        <v>64</v>
      </c>
      <c r="R6" s="576"/>
      <c r="S6" s="576"/>
      <c r="T6" s="17"/>
      <c r="U6" s="17"/>
      <c r="V6" s="17"/>
      <c r="W6" s="17"/>
    </row>
    <row r="7" spans="1:26" s="17" customFormat="1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  <c r="Z7" s="266"/>
    </row>
    <row r="8" spans="1:26" ht="15" customHeight="1">
      <c r="A8" s="5" t="str">
        <f>IF(K8&gt;0,COUNT($A$7:A7)+COUNT('DWV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8" s="611"/>
      <c r="C8" s="612"/>
      <c r="D8" s="279" t="s">
        <v>4523</v>
      </c>
      <c r="E8" s="53">
        <v>100026070</v>
      </c>
      <c r="F8" s="55" t="s">
        <v>4524</v>
      </c>
      <c r="G8" s="282">
        <v>4</v>
      </c>
      <c r="H8" s="282">
        <v>0</v>
      </c>
      <c r="I8" s="128">
        <f>_xlfn.XLOOKUP(E8,'All Products'!D:D,'All Products'!H:H)</f>
        <v>91.74</v>
      </c>
      <c r="J8" s="216">
        <f>ROUND(I8*Order_Quote!$L$25,2)</f>
        <v>458.7</v>
      </c>
      <c r="K8" s="73"/>
      <c r="L8" s="50"/>
      <c r="M8" s="47">
        <f t="shared" ref="M8:M15" si="0">K8/G8</f>
        <v>0</v>
      </c>
      <c r="O8" s="265" t="s">
        <v>359</v>
      </c>
      <c r="P8" s="265" t="s">
        <v>77</v>
      </c>
      <c r="Q8" s="265" t="s">
        <v>4525</v>
      </c>
      <c r="R8" s="265">
        <v>0</v>
      </c>
      <c r="S8" s="265" t="s">
        <v>4526</v>
      </c>
      <c r="T8" s="347">
        <v>2.2000000000000002</v>
      </c>
      <c r="U8" s="351">
        <v>0</v>
      </c>
      <c r="V8" s="347">
        <v>12.9</v>
      </c>
      <c r="W8" s="348">
        <v>0.87</v>
      </c>
    </row>
    <row r="9" spans="1:26" ht="15" customHeight="1">
      <c r="A9" s="5" t="str">
        <f>IF(K9&gt;0,COUNT($A$7:A8)+COUNT('DWV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9" s="260"/>
      <c r="C9" s="16"/>
      <c r="D9" s="377" t="s">
        <v>4527</v>
      </c>
      <c r="E9" s="231">
        <v>100026071</v>
      </c>
      <c r="F9" s="218" t="s">
        <v>4528</v>
      </c>
      <c r="G9" s="282">
        <v>2</v>
      </c>
      <c r="H9" s="282">
        <v>0</v>
      </c>
      <c r="I9" s="128">
        <f>_xlfn.XLOOKUP(E9,'All Products'!D:D,'All Products'!H:H)</f>
        <v>137.38</v>
      </c>
      <c r="J9" s="216">
        <f>ROUND(I9*Order_Quote!$L$25,2)</f>
        <v>686.9</v>
      </c>
      <c r="K9" s="73"/>
      <c r="L9" s="50"/>
      <c r="M9" s="47">
        <f t="shared" si="0"/>
        <v>0</v>
      </c>
      <c r="O9" s="265" t="s">
        <v>359</v>
      </c>
      <c r="P9" s="265" t="s">
        <v>77</v>
      </c>
      <c r="Q9" s="265" t="s">
        <v>4529</v>
      </c>
      <c r="R9" s="265">
        <v>0</v>
      </c>
      <c r="S9" s="265" t="s">
        <v>4530</v>
      </c>
      <c r="T9" s="347">
        <v>4.8689999999999998</v>
      </c>
      <c r="U9" s="351">
        <v>0</v>
      </c>
      <c r="V9" s="347">
        <v>29.4</v>
      </c>
      <c r="W9" s="348">
        <v>0.71</v>
      </c>
    </row>
    <row r="10" spans="1:26" ht="15" customHeight="1">
      <c r="A10" s="5" t="str">
        <f>IF(K10&gt;0,COUNT($A$7:A9)+COUNT('DWV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0" s="260"/>
      <c r="C10" s="16"/>
      <c r="D10" s="377" t="s">
        <v>4531</v>
      </c>
      <c r="E10" s="231">
        <v>100026069</v>
      </c>
      <c r="F10" s="218" t="s">
        <v>4532</v>
      </c>
      <c r="G10" s="282">
        <v>10</v>
      </c>
      <c r="H10" s="282">
        <v>0</v>
      </c>
      <c r="I10" s="128">
        <f>_xlfn.XLOOKUP(E10,'All Products'!D:D,'All Products'!H:H)</f>
        <v>70.03</v>
      </c>
      <c r="J10" s="216">
        <f>ROUND(I10*Order_Quote!$L$25,2)</f>
        <v>350.15</v>
      </c>
      <c r="K10" s="73"/>
      <c r="L10" s="50"/>
      <c r="M10" s="47">
        <f t="shared" si="0"/>
        <v>0</v>
      </c>
      <c r="O10" s="265" t="s">
        <v>359</v>
      </c>
      <c r="P10" s="265" t="s">
        <v>77</v>
      </c>
      <c r="Q10" s="265" t="s">
        <v>4533</v>
      </c>
      <c r="R10" s="265">
        <v>0</v>
      </c>
      <c r="S10" s="265" t="s">
        <v>4534</v>
      </c>
      <c r="T10" s="347">
        <v>2.3290000000000002</v>
      </c>
      <c r="U10" s="351">
        <v>0</v>
      </c>
      <c r="V10" s="347">
        <v>23.29</v>
      </c>
      <c r="W10" s="348">
        <v>1.38</v>
      </c>
    </row>
    <row r="11" spans="1:26" ht="15" customHeight="1">
      <c r="A11" s="5" t="str">
        <f>IF(K11&gt;0,COUNT($A$7:A10)+COUNT('DWV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1" s="260"/>
      <c r="C11" s="16"/>
      <c r="D11" s="377" t="s">
        <v>4535</v>
      </c>
      <c r="E11" s="231">
        <v>100026068</v>
      </c>
      <c r="F11" s="55" t="s">
        <v>4536</v>
      </c>
      <c r="G11" s="282">
        <v>20</v>
      </c>
      <c r="H11" s="282">
        <v>0</v>
      </c>
      <c r="I11" s="128">
        <f>_xlfn.XLOOKUP(E11,'All Products'!D:D,'All Products'!H:H)</f>
        <v>32.79</v>
      </c>
      <c r="J11" s="216">
        <f>ROUND(I11*Order_Quote!$L$25,2)</f>
        <v>163.95</v>
      </c>
      <c r="K11" s="73"/>
      <c r="L11" s="50"/>
      <c r="M11" s="47">
        <f t="shared" si="0"/>
        <v>0</v>
      </c>
      <c r="O11" s="265" t="s">
        <v>359</v>
      </c>
      <c r="P11" s="265" t="s">
        <v>77</v>
      </c>
      <c r="Q11" s="265" t="s">
        <v>4537</v>
      </c>
      <c r="R11" s="265">
        <v>0</v>
      </c>
      <c r="S11" s="265" t="s">
        <v>4538</v>
      </c>
      <c r="T11" s="347">
        <v>2.2549999999999999</v>
      </c>
      <c r="U11" s="351">
        <v>0</v>
      </c>
      <c r="V11" s="347">
        <v>24.7</v>
      </c>
      <c r="W11" s="348">
        <v>1.45</v>
      </c>
    </row>
    <row r="12" spans="1:26" ht="15" customHeight="1">
      <c r="A12" s="5" t="str">
        <f>IF(K12&gt;0,COUNT($A$7:A11)+COUNT('DWV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2" s="260"/>
      <c r="C12" s="16"/>
      <c r="D12" s="378" t="s">
        <v>4539</v>
      </c>
      <c r="E12" s="230">
        <v>100026072</v>
      </c>
      <c r="F12" s="219" t="s">
        <v>4540</v>
      </c>
      <c r="G12" s="282">
        <v>6</v>
      </c>
      <c r="H12" s="282">
        <v>0</v>
      </c>
      <c r="I12" s="128">
        <f>_xlfn.XLOOKUP(E12,'All Products'!D:D,'All Products'!H:H)</f>
        <v>295.75</v>
      </c>
      <c r="J12" s="216">
        <f>ROUND(I12*Order_Quote!$L$25,2)</f>
        <v>1478.75</v>
      </c>
      <c r="K12" s="75"/>
      <c r="L12" s="50"/>
      <c r="M12" s="47">
        <f t="shared" si="0"/>
        <v>0</v>
      </c>
      <c r="O12" s="265" t="s">
        <v>359</v>
      </c>
      <c r="P12" s="265" t="s">
        <v>77</v>
      </c>
      <c r="Q12" s="265" t="s">
        <v>4541</v>
      </c>
      <c r="R12" s="265">
        <v>0</v>
      </c>
      <c r="S12" s="265" t="s">
        <v>4542</v>
      </c>
      <c r="T12" s="347">
        <v>7.3570000000000002</v>
      </c>
      <c r="U12" s="351">
        <v>0</v>
      </c>
      <c r="V12" s="347">
        <v>44.14</v>
      </c>
      <c r="W12" s="348">
        <v>3.51</v>
      </c>
    </row>
    <row r="13" spans="1:26" ht="15" customHeight="1">
      <c r="A13" s="5" t="str">
        <f>IF(K13&gt;0,COUNT($A$7:A12)+COUNT('DWV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3" s="613"/>
      <c r="C13" s="614"/>
      <c r="D13" s="279" t="s">
        <v>4543</v>
      </c>
      <c r="E13" s="53">
        <v>100026064</v>
      </c>
      <c r="F13" s="55" t="s">
        <v>4544</v>
      </c>
      <c r="G13" s="282">
        <v>120</v>
      </c>
      <c r="H13" s="282">
        <v>0</v>
      </c>
      <c r="I13" s="128">
        <f>_xlfn.XLOOKUP(E13,'All Products'!D:D,'All Products'!H:H)</f>
        <v>10.34</v>
      </c>
      <c r="J13" s="216">
        <f>ROUND(I13*Order_Quote!$L$25,2)</f>
        <v>51.7</v>
      </c>
      <c r="K13" s="73"/>
      <c r="L13" s="50"/>
      <c r="M13" s="47">
        <f t="shared" si="0"/>
        <v>0</v>
      </c>
      <c r="O13" s="265" t="s">
        <v>369</v>
      </c>
      <c r="P13" s="265" t="s">
        <v>77</v>
      </c>
      <c r="Q13" s="265" t="s">
        <v>4545</v>
      </c>
      <c r="R13" s="265">
        <v>0</v>
      </c>
      <c r="S13" s="265" t="s">
        <v>4546</v>
      </c>
      <c r="T13" s="347">
        <v>0.36199999999999999</v>
      </c>
      <c r="U13" s="351">
        <v>0</v>
      </c>
      <c r="V13" s="347">
        <v>31.24</v>
      </c>
      <c r="W13" s="348">
        <v>1.38</v>
      </c>
    </row>
    <row r="14" spans="1:26" ht="15" customHeight="1">
      <c r="A14" s="5" t="str">
        <f>IF(K14&gt;0,COUNT($A$7:A13)+COUNT('DWV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4" s="613"/>
      <c r="C14" s="614"/>
      <c r="D14" s="279" t="s">
        <v>4547</v>
      </c>
      <c r="E14" s="53">
        <v>100026067</v>
      </c>
      <c r="F14" s="55" t="s">
        <v>4548</v>
      </c>
      <c r="G14" s="282">
        <v>54</v>
      </c>
      <c r="H14" s="282">
        <v>0</v>
      </c>
      <c r="I14" s="128">
        <f>_xlfn.XLOOKUP(E14,'All Products'!D:D,'All Products'!H:H)</f>
        <v>23.14</v>
      </c>
      <c r="J14" s="216">
        <f>ROUND(I14*Order_Quote!$L$25,2)</f>
        <v>115.7</v>
      </c>
      <c r="K14" s="73"/>
      <c r="L14" s="50"/>
      <c r="M14" s="47">
        <f t="shared" si="0"/>
        <v>0</v>
      </c>
      <c r="O14" s="265" t="s">
        <v>369</v>
      </c>
      <c r="P14" s="265" t="s">
        <v>77</v>
      </c>
      <c r="Q14" s="265" t="s">
        <v>4549</v>
      </c>
      <c r="R14" s="265">
        <v>0</v>
      </c>
      <c r="S14" s="265" t="s">
        <v>4550</v>
      </c>
      <c r="T14" s="347">
        <v>0.877</v>
      </c>
      <c r="U14" s="351">
        <v>0</v>
      </c>
      <c r="V14" s="347">
        <v>47.375</v>
      </c>
      <c r="W14" s="348">
        <v>0</v>
      </c>
    </row>
    <row r="15" spans="1:26" ht="15" customHeight="1">
      <c r="A15" s="5" t="str">
        <f>IF(K15&gt;0,COUNT($A$7:A14)+COUNT('DWV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+COUNT(DuraFix!$A$8:$A$14)+1,"")</f>
        <v/>
      </c>
      <c r="B15" s="615"/>
      <c r="C15" s="616"/>
      <c r="D15" s="279" t="s">
        <v>4551</v>
      </c>
      <c r="E15" s="53">
        <v>100026065</v>
      </c>
      <c r="F15" s="55" t="s">
        <v>4552</v>
      </c>
      <c r="G15" s="282">
        <v>120</v>
      </c>
      <c r="H15" s="282">
        <v>0</v>
      </c>
      <c r="I15" s="128">
        <f>_xlfn.XLOOKUP(E15,'All Products'!D:D,'All Products'!H:H)</f>
        <v>13.76</v>
      </c>
      <c r="J15" s="216">
        <f>ROUND(I15*Order_Quote!$L$25,2)</f>
        <v>68.8</v>
      </c>
      <c r="K15" s="73"/>
      <c r="L15" s="50"/>
      <c r="M15" s="47">
        <f t="shared" si="0"/>
        <v>0</v>
      </c>
      <c r="O15" s="265" t="s">
        <v>369</v>
      </c>
      <c r="P15" s="265" t="s">
        <v>77</v>
      </c>
      <c r="Q15" s="265" t="s">
        <v>4553</v>
      </c>
      <c r="R15" s="265">
        <v>0</v>
      </c>
      <c r="S15" s="265" t="s">
        <v>4554</v>
      </c>
      <c r="T15" s="347">
        <v>0.47599999999999998</v>
      </c>
      <c r="U15" s="351">
        <v>0</v>
      </c>
      <c r="V15" s="347">
        <v>28.99</v>
      </c>
      <c r="W15" s="348">
        <v>1.35</v>
      </c>
    </row>
    <row r="16" spans="1:26" ht="15">
      <c r="A16" s="5">
        <f>MAX(A8:A15)+1</f>
        <v>1</v>
      </c>
      <c r="U16" s="352"/>
    </row>
  </sheetData>
  <sheetProtection algorithmName="SHA-512" hashValue="ZMjr8aXszOoOlqYt5/lBHmT7mLKZs1lF/GePkg+V2PRc8+ARne+YAPwFYwvalNP7pMADJ/P2t+r8JrwgfSt+1Q==" saltValue="gAHi11BgYiZ17h4k6x4aBQ==" spinCount="100000" sheet="1" formatCells="0" formatColumns="0" formatRows="0" insertColumns="0" insertRows="0" insertHyperlinks="0" deleteColumns="0" deleteRows="0" sort="0" autoFilter="0" pivotTables="0"/>
  <mergeCells count="4">
    <mergeCell ref="B8:C8"/>
    <mergeCell ref="J2:K3"/>
    <mergeCell ref="Q6:S6"/>
    <mergeCell ref="B13:C15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6:L65271 L1:L6 K1" xr:uid="{FF483D2C-A3EE-4E75-BA25-AFCB9BC8181C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5A13B77F-F8BF-41AE-87C2-DD42789B51F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7B2A634D-C76C-44B9-8238-22C03F88A5D5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5" xr:uid="{7B307F1D-207D-4C74-837F-D7953A48F7A9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BE1C9-27A0-4622-99CE-F0055921962C}">
  <sheetPr>
    <tabColor theme="0"/>
    <pageSetUpPr fitToPage="1"/>
  </sheetPr>
  <dimension ref="A1:AK30"/>
  <sheetViews>
    <sheetView showGridLines="0" zoomScaleNormal="100" workbookViewId="0">
      <pane xSplit="6" ySplit="7" topLeftCell="G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8" width="10.7109375" style="20" customWidth="1"/>
    <col min="9" max="9" width="10.7109375" style="120" customWidth="1"/>
    <col min="10" max="10" width="10.7109375" style="215" customWidth="1"/>
    <col min="11" max="11" width="10.7109375" style="20" customWidth="1"/>
    <col min="12" max="12" width="1" style="17" customWidth="1"/>
    <col min="13" max="13" width="10.7109375" style="17" customWidth="1"/>
    <col min="14" max="14" width="2.28515625" style="17" customWidth="1"/>
    <col min="15" max="15" width="12.7109375" style="217" customWidth="1"/>
    <col min="16" max="16" width="10.7109375" style="217" customWidth="1"/>
    <col min="17" max="17" width="11.28515625" style="217" customWidth="1"/>
    <col min="18" max="18" width="10.7109375" style="217" customWidth="1"/>
    <col min="19" max="19" width="13.140625" style="217" customWidth="1"/>
    <col min="20" max="23" width="10.7109375" style="217" customWidth="1"/>
    <col min="24" max="24" width="9.140625" style="17" customWidth="1"/>
    <col min="25" max="25" width="2.140625" style="17" customWidth="1"/>
    <col min="26" max="26" width="0" style="266" hidden="1" customWidth="1"/>
    <col min="27" max="37" width="0" style="17" hidden="1" customWidth="1"/>
    <col min="38" max="16384" width="9.140625" style="17" hidden="1"/>
  </cols>
  <sheetData>
    <row r="1" spans="1:23" ht="18.75">
      <c r="F1" s="173" t="s">
        <v>43</v>
      </c>
      <c r="G1" s="236"/>
      <c r="H1" s="236"/>
      <c r="O1" s="236"/>
      <c r="P1" s="236"/>
      <c r="Q1" s="236"/>
      <c r="R1" s="236"/>
      <c r="S1" s="236"/>
      <c r="T1" s="236"/>
      <c r="U1" s="236"/>
      <c r="V1" s="236"/>
      <c r="W1" s="236"/>
    </row>
    <row r="2" spans="1:23" ht="15.75" customHeight="1">
      <c r="D2" s="238"/>
      <c r="E2" s="268"/>
      <c r="J2" s="628" t="s">
        <v>59</v>
      </c>
      <c r="K2" s="628"/>
    </row>
    <row r="3" spans="1:23" ht="15">
      <c r="F3" s="436" t="s">
        <v>4555</v>
      </c>
      <c r="J3" s="628"/>
      <c r="K3" s="628"/>
      <c r="O3" s="17"/>
    </row>
    <row r="4" spans="1:23" ht="15">
      <c r="E4" s="163" t="s">
        <v>334</v>
      </c>
      <c r="F4" s="440" t="s">
        <v>4556</v>
      </c>
      <c r="O4" s="17"/>
      <c r="P4" s="17"/>
      <c r="Q4" s="17"/>
      <c r="R4" s="17"/>
      <c r="S4" s="17"/>
      <c r="T4" s="17"/>
      <c r="U4" s="17"/>
      <c r="V4" s="17"/>
      <c r="W4" s="17"/>
    </row>
    <row r="5" spans="1:23" ht="15">
      <c r="F5" s="438" t="s">
        <v>329</v>
      </c>
      <c r="O5" s="17"/>
      <c r="P5" s="17"/>
      <c r="Q5" s="17"/>
      <c r="R5" s="17"/>
      <c r="S5" s="17"/>
      <c r="T5" s="17"/>
      <c r="U5" s="17"/>
      <c r="V5" s="17"/>
      <c r="W5" s="17"/>
    </row>
    <row r="6" spans="1:23" ht="15">
      <c r="F6" s="17"/>
      <c r="O6" s="17"/>
      <c r="P6" s="17"/>
      <c r="Q6" s="576" t="s">
        <v>64</v>
      </c>
      <c r="R6" s="576"/>
      <c r="S6" s="576"/>
      <c r="T6" s="17"/>
      <c r="U6" s="17"/>
      <c r="V6" s="17"/>
      <c r="W6" s="17"/>
    </row>
    <row r="7" spans="1:23" ht="36" customHeight="1" thickBo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</row>
    <row r="8" spans="1:23" ht="25.5" customHeight="1">
      <c r="A8" s="104" t="str">
        <f>IF(K8&gt;0,COUNT($A$7:A7)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8" s="110"/>
      <c r="C8" s="111"/>
      <c r="D8" s="279" t="s">
        <v>4557</v>
      </c>
      <c r="E8" s="53">
        <v>100026255</v>
      </c>
      <c r="F8" s="55" t="s">
        <v>4558</v>
      </c>
      <c r="G8" s="282">
        <v>200</v>
      </c>
      <c r="H8" s="282">
        <v>24000</v>
      </c>
      <c r="I8" s="128">
        <f>_xlfn.XLOOKUP(E8,'All Products'!D:D,'All Products'!H:H)</f>
        <v>6.5</v>
      </c>
      <c r="J8" s="216">
        <f>ROUND(I8*Order_Quote!$L$25,2)</f>
        <v>32.5</v>
      </c>
      <c r="K8" s="204"/>
      <c r="L8" s="79"/>
      <c r="M8" s="117">
        <f t="shared" ref="M8:M29" si="0">K8/G8</f>
        <v>0</v>
      </c>
      <c r="N8" s="485"/>
      <c r="O8" s="265" t="s">
        <v>76</v>
      </c>
      <c r="P8" s="265" t="s">
        <v>102</v>
      </c>
      <c r="Q8" s="265" t="s">
        <v>4559</v>
      </c>
      <c r="R8" s="265" t="s">
        <v>4560</v>
      </c>
      <c r="S8" s="265" t="s">
        <v>4561</v>
      </c>
      <c r="T8" s="347">
        <v>0.08</v>
      </c>
      <c r="U8" s="351">
        <v>25</v>
      </c>
      <c r="V8" s="347">
        <v>11.7</v>
      </c>
      <c r="W8" s="348">
        <v>0.65</v>
      </c>
    </row>
    <row r="9" spans="1:23" ht="25.5" customHeight="1">
      <c r="A9" s="104" t="str">
        <f>IF(K9&gt;0,COUNT($A$7:A8)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9" s="112"/>
      <c r="C9" s="79"/>
      <c r="D9" s="279" t="s">
        <v>4562</v>
      </c>
      <c r="E9" s="53">
        <v>100026256</v>
      </c>
      <c r="F9" s="55" t="s">
        <v>4563</v>
      </c>
      <c r="G9" s="282">
        <v>200</v>
      </c>
      <c r="H9" s="282">
        <v>24000</v>
      </c>
      <c r="I9" s="128">
        <f>_xlfn.XLOOKUP(E9,'All Products'!D:D,'All Products'!H:H)</f>
        <v>6.63</v>
      </c>
      <c r="J9" s="216">
        <f>ROUND(I9*Order_Quote!$L$25,2)</f>
        <v>33.15</v>
      </c>
      <c r="K9" s="78"/>
      <c r="L9" s="79"/>
      <c r="M9" s="117">
        <f t="shared" si="0"/>
        <v>0</v>
      </c>
      <c r="N9" s="485"/>
      <c r="O9" s="265" t="s">
        <v>76</v>
      </c>
      <c r="P9" s="265" t="s">
        <v>102</v>
      </c>
      <c r="Q9" s="265" t="s">
        <v>4564</v>
      </c>
      <c r="R9" s="265" t="s">
        <v>4565</v>
      </c>
      <c r="S9" s="265" t="s">
        <v>4566</v>
      </c>
      <c r="T9" s="347">
        <v>8.5000000000000006E-2</v>
      </c>
      <c r="U9" s="351">
        <v>25</v>
      </c>
      <c r="V9" s="347">
        <v>12.65</v>
      </c>
      <c r="W9" s="348">
        <v>0.65</v>
      </c>
    </row>
    <row r="10" spans="1:23" ht="25.5" customHeight="1">
      <c r="A10" s="104" t="str">
        <f>IF(K10&gt;0,COUNT($A$7:A9)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0" s="112"/>
      <c r="C10" s="79"/>
      <c r="D10" s="279" t="s">
        <v>4567</v>
      </c>
      <c r="E10" s="53">
        <v>100026257</v>
      </c>
      <c r="F10" s="55" t="s">
        <v>4568</v>
      </c>
      <c r="G10" s="282">
        <v>200</v>
      </c>
      <c r="H10" s="282">
        <v>18000</v>
      </c>
      <c r="I10" s="128">
        <f>_xlfn.XLOOKUP(E10,'All Products'!D:D,'All Products'!H:H)</f>
        <v>6.68</v>
      </c>
      <c r="J10" s="216">
        <f>ROUND(I10*Order_Quote!$L$25,2)</f>
        <v>33.4</v>
      </c>
      <c r="K10" s="78"/>
      <c r="L10" s="79"/>
      <c r="M10" s="117">
        <f t="shared" si="0"/>
        <v>0</v>
      </c>
      <c r="N10" s="485"/>
      <c r="O10" s="265" t="s">
        <v>76</v>
      </c>
      <c r="P10" s="265" t="s">
        <v>102</v>
      </c>
      <c r="Q10" s="265" t="s">
        <v>4569</v>
      </c>
      <c r="R10" s="265" t="s">
        <v>4570</v>
      </c>
      <c r="S10" s="265" t="s">
        <v>4571</v>
      </c>
      <c r="T10" s="347">
        <v>0.1</v>
      </c>
      <c r="U10" s="351">
        <v>25</v>
      </c>
      <c r="V10" s="347">
        <v>16.2</v>
      </c>
      <c r="W10" s="348">
        <v>0.8</v>
      </c>
    </row>
    <row r="11" spans="1:23" ht="27" customHeight="1">
      <c r="A11" s="104" t="str">
        <f>IF(K11&gt;0,COUNT($A$7:A10)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1" s="379"/>
      <c r="C11" s="291"/>
      <c r="D11" s="377" t="s">
        <v>4572</v>
      </c>
      <c r="E11" s="231">
        <v>100026259</v>
      </c>
      <c r="F11" s="218" t="s">
        <v>4573</v>
      </c>
      <c r="G11" s="282">
        <v>200</v>
      </c>
      <c r="H11" s="282">
        <v>30000</v>
      </c>
      <c r="I11" s="128">
        <f>_xlfn.XLOOKUP(E11,'All Products'!D:D,'All Products'!H:H)</f>
        <v>4.3499999999999996</v>
      </c>
      <c r="J11" s="216">
        <f>ROUND(I11*Order_Quote!$L$25,2)</f>
        <v>21.75</v>
      </c>
      <c r="K11" s="78"/>
      <c r="L11" s="79"/>
      <c r="M11" s="117">
        <f t="shared" si="0"/>
        <v>0</v>
      </c>
      <c r="N11" s="485"/>
      <c r="O11" s="265" t="s">
        <v>76</v>
      </c>
      <c r="P11" s="265" t="s">
        <v>102</v>
      </c>
      <c r="Q11" s="265" t="s">
        <v>4574</v>
      </c>
      <c r="R11" s="265" t="s">
        <v>4575</v>
      </c>
      <c r="S11" s="265" t="s">
        <v>4576</v>
      </c>
      <c r="T11" s="347">
        <v>4.2000000000000003E-2</v>
      </c>
      <c r="U11" s="351">
        <v>25</v>
      </c>
      <c r="V11" s="347">
        <v>8.42</v>
      </c>
      <c r="W11" s="348">
        <v>0.5</v>
      </c>
    </row>
    <row r="12" spans="1:23" ht="27" customHeight="1">
      <c r="A12" s="104" t="str">
        <f>IF(K12&gt;0,COUNT($A$7:A11)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2" s="380"/>
      <c r="C12" s="292"/>
      <c r="D12" s="377" t="s">
        <v>4577</v>
      </c>
      <c r="E12" s="231">
        <v>100026260</v>
      </c>
      <c r="F12" s="218" t="s">
        <v>4578</v>
      </c>
      <c r="G12" s="282">
        <v>200</v>
      </c>
      <c r="H12" s="282">
        <v>24000</v>
      </c>
      <c r="I12" s="128">
        <f>_xlfn.XLOOKUP(E12,'All Products'!D:D,'All Products'!H:H)</f>
        <v>4.5599999999999996</v>
      </c>
      <c r="J12" s="216">
        <f>ROUND(I12*Order_Quote!$L$25,2)</f>
        <v>22.8</v>
      </c>
      <c r="K12" s="78"/>
      <c r="L12" s="79"/>
      <c r="M12" s="117">
        <f t="shared" si="0"/>
        <v>0</v>
      </c>
      <c r="N12" s="485"/>
      <c r="O12" s="265" t="s">
        <v>76</v>
      </c>
      <c r="P12" s="265" t="s">
        <v>102</v>
      </c>
      <c r="Q12" s="265" t="s">
        <v>4579</v>
      </c>
      <c r="R12" s="265" t="s">
        <v>4580</v>
      </c>
      <c r="S12" s="265" t="s">
        <v>4581</v>
      </c>
      <c r="T12" s="347">
        <v>4.5999999999999999E-2</v>
      </c>
      <c r="U12" s="351">
        <v>25</v>
      </c>
      <c r="V12" s="347">
        <v>9.2799999999999994</v>
      </c>
      <c r="W12" s="348">
        <v>0.65</v>
      </c>
    </row>
    <row r="13" spans="1:23" ht="15" customHeight="1">
      <c r="A13" s="104" t="str">
        <f>IF(K13&gt;0,COUNT($A$7:A12)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3" s="115"/>
      <c r="C13" s="116"/>
      <c r="D13" s="377" t="s">
        <v>4582</v>
      </c>
      <c r="E13" s="231">
        <v>100026262</v>
      </c>
      <c r="F13" s="218" t="s">
        <v>4583</v>
      </c>
      <c r="G13" s="282">
        <v>200</v>
      </c>
      <c r="H13" s="282">
        <v>30000</v>
      </c>
      <c r="I13" s="128">
        <f>_xlfn.XLOOKUP(E13,'All Products'!D:D,'All Products'!H:H)</f>
        <v>2.8</v>
      </c>
      <c r="J13" s="216">
        <f>ROUND(I13*Order_Quote!$L$25,2)</f>
        <v>14</v>
      </c>
      <c r="K13" s="78"/>
      <c r="L13" s="79"/>
      <c r="M13" s="117">
        <f t="shared" si="0"/>
        <v>0</v>
      </c>
      <c r="N13" s="485"/>
      <c r="O13" s="265" t="s">
        <v>76</v>
      </c>
      <c r="P13" s="265" t="s">
        <v>102</v>
      </c>
      <c r="Q13" s="265" t="s">
        <v>4584</v>
      </c>
      <c r="R13" s="265" t="s">
        <v>4585</v>
      </c>
      <c r="S13" s="265" t="s">
        <v>4586</v>
      </c>
      <c r="T13" s="347">
        <v>3.5999999999999997E-2</v>
      </c>
      <c r="U13" s="351">
        <v>25</v>
      </c>
      <c r="V13" s="347">
        <v>8.11</v>
      </c>
      <c r="W13" s="348">
        <v>0.5</v>
      </c>
    </row>
    <row r="14" spans="1:23" ht="15" customHeight="1">
      <c r="A14" s="104" t="str">
        <f>IF(K14&gt;0,COUNT($A$7:A13)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4" s="112"/>
      <c r="C14" s="79"/>
      <c r="D14" s="377" t="s">
        <v>4587</v>
      </c>
      <c r="E14" s="231">
        <v>100026263</v>
      </c>
      <c r="F14" s="218" t="s">
        <v>4588</v>
      </c>
      <c r="G14" s="282">
        <v>200</v>
      </c>
      <c r="H14" s="282">
        <v>30000</v>
      </c>
      <c r="I14" s="128">
        <f>_xlfn.XLOOKUP(E14,'All Products'!D:D,'All Products'!H:H)</f>
        <v>2.8</v>
      </c>
      <c r="J14" s="216">
        <f>ROUND(I14*Order_Quote!$L$25,2)</f>
        <v>14</v>
      </c>
      <c r="K14" s="78"/>
      <c r="L14" s="442"/>
      <c r="M14" s="117">
        <f t="shared" si="0"/>
        <v>0</v>
      </c>
      <c r="N14" s="485"/>
      <c r="O14" s="265" t="s">
        <v>76</v>
      </c>
      <c r="P14" s="265" t="s">
        <v>102</v>
      </c>
      <c r="Q14" s="265" t="s">
        <v>4589</v>
      </c>
      <c r="R14" s="265" t="s">
        <v>4590</v>
      </c>
      <c r="S14" s="265" t="s">
        <v>4591</v>
      </c>
      <c r="T14" s="347">
        <v>4.1000000000000002E-2</v>
      </c>
      <c r="U14" s="351">
        <v>25</v>
      </c>
      <c r="V14" s="347">
        <v>8.39</v>
      </c>
      <c r="W14" s="348">
        <v>0.5</v>
      </c>
    </row>
    <row r="15" spans="1:23" ht="15" customHeight="1">
      <c r="A15" s="104" t="str">
        <f>IF(K15&gt;0,COUNT($A$7:A14)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5" s="112"/>
      <c r="C15" s="79"/>
      <c r="D15" s="377" t="s">
        <v>4592</v>
      </c>
      <c r="E15" s="231">
        <v>100026264</v>
      </c>
      <c r="F15" s="218" t="s">
        <v>4593</v>
      </c>
      <c r="G15" s="282">
        <v>200</v>
      </c>
      <c r="H15" s="282">
        <v>24000</v>
      </c>
      <c r="I15" s="128">
        <f>_xlfn.XLOOKUP(E15,'All Products'!D:D,'All Products'!H:H)</f>
        <v>5.0199999999999996</v>
      </c>
      <c r="J15" s="216">
        <f>ROUND(I15*Order_Quote!$L$25,2)</f>
        <v>25.1</v>
      </c>
      <c r="K15" s="78"/>
      <c r="L15" s="79"/>
      <c r="M15" s="117">
        <f t="shared" si="0"/>
        <v>0</v>
      </c>
      <c r="N15" s="485"/>
      <c r="O15" s="265" t="s">
        <v>76</v>
      </c>
      <c r="P15" s="265" t="s">
        <v>102</v>
      </c>
      <c r="Q15" s="265" t="s">
        <v>4594</v>
      </c>
      <c r="R15" s="265" t="s">
        <v>4595</v>
      </c>
      <c r="S15" s="265" t="s">
        <v>4596</v>
      </c>
      <c r="T15" s="347">
        <v>5.5E-2</v>
      </c>
      <c r="U15" s="351">
        <v>25</v>
      </c>
      <c r="V15" s="347">
        <v>11.18</v>
      </c>
      <c r="W15" s="348">
        <v>0.65</v>
      </c>
    </row>
    <row r="16" spans="1:23" ht="47.25" customHeight="1">
      <c r="A16" s="104" t="str">
        <f>IF(K16&gt;0,COUNT($A$7:A15)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6" s="382"/>
      <c r="C16" s="196"/>
      <c r="D16" s="377" t="s">
        <v>4597</v>
      </c>
      <c r="E16" s="231">
        <v>100026270</v>
      </c>
      <c r="F16" s="55" t="s">
        <v>4598</v>
      </c>
      <c r="G16" s="282">
        <v>200</v>
      </c>
      <c r="H16" s="282">
        <v>15000</v>
      </c>
      <c r="I16" s="128">
        <f>_xlfn.XLOOKUP(E16,'All Products'!D:D,'All Products'!H:H)</f>
        <v>5.0199999999999996</v>
      </c>
      <c r="J16" s="216">
        <f>ROUND(I16*Order_Quote!$L$25,2)</f>
        <v>25.1</v>
      </c>
      <c r="K16" s="78"/>
      <c r="L16" s="79"/>
      <c r="M16" s="117">
        <f t="shared" si="0"/>
        <v>0</v>
      </c>
      <c r="N16" s="485"/>
      <c r="O16" s="265" t="s">
        <v>359</v>
      </c>
      <c r="P16" s="265" t="s">
        <v>102</v>
      </c>
      <c r="Q16" s="265" t="s">
        <v>4599</v>
      </c>
      <c r="R16" s="265" t="s">
        <v>4600</v>
      </c>
      <c r="S16" s="265" t="s">
        <v>4601</v>
      </c>
      <c r="T16" s="347">
        <v>8.5000000000000006E-2</v>
      </c>
      <c r="U16" s="351">
        <v>25</v>
      </c>
      <c r="V16" s="347">
        <v>17.14</v>
      </c>
      <c r="W16" s="348">
        <v>0.95</v>
      </c>
    </row>
    <row r="17" spans="1:23" ht="46.5" customHeight="1">
      <c r="A17" s="104" t="str">
        <f>IF(K17&gt;0,COUNT($A$7:A16)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7" s="202"/>
      <c r="C17" s="203"/>
      <c r="D17" s="377" t="s">
        <v>4602</v>
      </c>
      <c r="E17" s="231">
        <v>100026272</v>
      </c>
      <c r="F17" s="218" t="s">
        <v>4603</v>
      </c>
      <c r="G17" s="282">
        <v>200</v>
      </c>
      <c r="H17" s="282">
        <v>15000</v>
      </c>
      <c r="I17" s="128">
        <f>_xlfn.XLOOKUP(E17,'All Products'!D:D,'All Products'!H:H)</f>
        <v>5.85</v>
      </c>
      <c r="J17" s="216">
        <f>ROUND(I17*Order_Quote!$L$25,2)</f>
        <v>29.25</v>
      </c>
      <c r="K17" s="78"/>
      <c r="L17" s="79"/>
      <c r="M17" s="117">
        <f t="shared" si="0"/>
        <v>0</v>
      </c>
      <c r="N17" s="485"/>
      <c r="O17" s="265" t="s">
        <v>76</v>
      </c>
      <c r="P17" s="265" t="s">
        <v>102</v>
      </c>
      <c r="Q17" s="265" t="s">
        <v>4604</v>
      </c>
      <c r="R17" s="265" t="s">
        <v>4605</v>
      </c>
      <c r="S17" s="265" t="s">
        <v>4606</v>
      </c>
      <c r="T17" s="347">
        <v>0.08</v>
      </c>
      <c r="U17" s="351">
        <v>25</v>
      </c>
      <c r="V17" s="347">
        <v>17.149999999999999</v>
      </c>
      <c r="W17" s="348">
        <v>0.95</v>
      </c>
    </row>
    <row r="18" spans="1:23" ht="45.75" customHeight="1">
      <c r="A18" s="104" t="str">
        <f>IF(K18&gt;0,COUNT($A$7:A17)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8" s="202"/>
      <c r="C18" s="203"/>
      <c r="D18" s="377" t="s">
        <v>4607</v>
      </c>
      <c r="E18" s="231">
        <v>100026275</v>
      </c>
      <c r="F18" s="218" t="s">
        <v>4608</v>
      </c>
      <c r="G18" s="282">
        <v>200</v>
      </c>
      <c r="H18" s="282">
        <v>0</v>
      </c>
      <c r="I18" s="128">
        <f>_xlfn.XLOOKUP(E18,'All Products'!D:D,'All Products'!H:H)</f>
        <v>11.11</v>
      </c>
      <c r="J18" s="216">
        <f>ROUND(I18*Order_Quote!$L$25,2)</f>
        <v>55.55</v>
      </c>
      <c r="K18" s="78"/>
      <c r="L18" s="79"/>
      <c r="M18" s="117">
        <f t="shared" si="0"/>
        <v>0</v>
      </c>
      <c r="N18" s="485"/>
      <c r="O18" s="265" t="s">
        <v>76</v>
      </c>
      <c r="P18" s="265" t="s">
        <v>102</v>
      </c>
      <c r="Q18" s="265" t="s">
        <v>4609</v>
      </c>
      <c r="R18" s="265" t="s">
        <v>4610</v>
      </c>
      <c r="S18" s="265" t="s">
        <v>4611</v>
      </c>
      <c r="T18" s="347">
        <v>0.13500000000000001</v>
      </c>
      <c r="U18" s="351">
        <v>25</v>
      </c>
      <c r="V18" s="347">
        <v>17.149999999999999</v>
      </c>
      <c r="W18" s="348">
        <v>0</v>
      </c>
    </row>
    <row r="19" spans="1:23" ht="45" customHeight="1">
      <c r="A19" s="104" t="str">
        <f>IF(K19&gt;0,COUNT($A$7:A18)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19" s="202"/>
      <c r="C19" s="203"/>
      <c r="D19" s="279" t="s">
        <v>4612</v>
      </c>
      <c r="E19" s="53">
        <v>100026278</v>
      </c>
      <c r="F19" s="55" t="s">
        <v>4613</v>
      </c>
      <c r="G19" s="282">
        <v>200</v>
      </c>
      <c r="H19" s="282">
        <v>24000</v>
      </c>
      <c r="I19" s="128">
        <f>_xlfn.XLOOKUP(E19,'All Products'!D:D,'All Products'!H:H)</f>
        <v>5.14</v>
      </c>
      <c r="J19" s="216">
        <f>ROUND(I19*Order_Quote!$L$25,2)</f>
        <v>25.7</v>
      </c>
      <c r="K19" s="78"/>
      <c r="L19" s="79"/>
      <c r="M19" s="117">
        <f t="shared" si="0"/>
        <v>0</v>
      </c>
      <c r="N19" s="485"/>
      <c r="O19" s="265" t="s">
        <v>76</v>
      </c>
      <c r="P19" s="265" t="s">
        <v>102</v>
      </c>
      <c r="Q19" s="265" t="s">
        <v>4614</v>
      </c>
      <c r="R19" s="265" t="s">
        <v>4615</v>
      </c>
      <c r="S19" s="265" t="s">
        <v>4616</v>
      </c>
      <c r="T19" s="347">
        <v>7.0000000000000007E-2</v>
      </c>
      <c r="U19" s="351">
        <v>25</v>
      </c>
      <c r="V19" s="347">
        <v>10.6</v>
      </c>
      <c r="W19" s="348">
        <v>0.65</v>
      </c>
    </row>
    <row r="20" spans="1:23" ht="15" customHeight="1">
      <c r="A20" s="104" t="str">
        <f>IF(K20&gt;0,COUNT($A$7:A19)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0" s="110"/>
      <c r="C20" s="111"/>
      <c r="D20" s="279" t="s">
        <v>4617</v>
      </c>
      <c r="E20" s="53">
        <v>100026279</v>
      </c>
      <c r="F20" s="55" t="s">
        <v>4618</v>
      </c>
      <c r="G20" s="282">
        <v>200</v>
      </c>
      <c r="H20" s="282">
        <v>24000</v>
      </c>
      <c r="I20" s="128">
        <f>_xlfn.XLOOKUP(E20,'All Products'!D:D,'All Products'!H:H)</f>
        <v>5.14</v>
      </c>
      <c r="J20" s="216">
        <f>ROUND(I20*Order_Quote!$L$25,2)</f>
        <v>25.7</v>
      </c>
      <c r="K20" s="78"/>
      <c r="L20" s="79"/>
      <c r="M20" s="117">
        <f t="shared" si="0"/>
        <v>0</v>
      </c>
      <c r="N20" s="485"/>
      <c r="O20" s="265" t="s">
        <v>76</v>
      </c>
      <c r="P20" s="265" t="s">
        <v>102</v>
      </c>
      <c r="Q20" s="265" t="s">
        <v>4619</v>
      </c>
      <c r="R20" s="265" t="s">
        <v>4620</v>
      </c>
      <c r="S20" s="265" t="s">
        <v>4621</v>
      </c>
      <c r="T20" s="347">
        <v>0.08</v>
      </c>
      <c r="U20" s="351">
        <v>25</v>
      </c>
      <c r="V20" s="347">
        <v>12.7</v>
      </c>
      <c r="W20" s="348">
        <v>0.65</v>
      </c>
    </row>
    <row r="21" spans="1:23" ht="38.25" customHeight="1">
      <c r="A21" s="104" t="str">
        <f>IF(K21&gt;0,COUNT($A$7:A20)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1" s="113"/>
      <c r="C21" s="114"/>
      <c r="D21" s="279" t="s">
        <v>4622</v>
      </c>
      <c r="E21" s="53">
        <v>100026280</v>
      </c>
      <c r="F21" s="55" t="s">
        <v>4623</v>
      </c>
      <c r="G21" s="282">
        <v>200</v>
      </c>
      <c r="H21" s="282">
        <v>24000</v>
      </c>
      <c r="I21" s="128">
        <f>_xlfn.XLOOKUP(E21,'All Products'!D:D,'All Products'!H:H)</f>
        <v>5.14</v>
      </c>
      <c r="J21" s="216">
        <f>ROUND(I21*Order_Quote!$L$25,2)</f>
        <v>25.7</v>
      </c>
      <c r="K21" s="78"/>
      <c r="L21" s="79"/>
      <c r="M21" s="117">
        <f t="shared" si="0"/>
        <v>0</v>
      </c>
      <c r="N21" s="485"/>
      <c r="O21" s="265" t="s">
        <v>76</v>
      </c>
      <c r="P21" s="265" t="s">
        <v>102</v>
      </c>
      <c r="Q21" s="265" t="s">
        <v>4624</v>
      </c>
      <c r="R21" s="265" t="s">
        <v>4625</v>
      </c>
      <c r="S21" s="265" t="s">
        <v>4626</v>
      </c>
      <c r="T21" s="347">
        <v>8.2000000000000003E-2</v>
      </c>
      <c r="U21" s="351">
        <v>25</v>
      </c>
      <c r="V21" s="347">
        <v>12.6</v>
      </c>
      <c r="W21" s="348">
        <v>0.65</v>
      </c>
    </row>
    <row r="22" spans="1:23" ht="46.5" customHeight="1">
      <c r="A22" s="104" t="str">
        <f>IF(K22&gt;0,COUNT($A$7:A21)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2" s="202"/>
      <c r="C22" s="203"/>
      <c r="D22" s="279" t="s">
        <v>4627</v>
      </c>
      <c r="E22" s="53">
        <v>100026282</v>
      </c>
      <c r="F22" s="55" t="s">
        <v>4628</v>
      </c>
      <c r="G22" s="282">
        <v>200</v>
      </c>
      <c r="H22" s="282">
        <v>30000</v>
      </c>
      <c r="I22" s="128">
        <f>_xlfn.XLOOKUP(E22,'All Products'!D:D,'All Products'!H:H)</f>
        <v>4.5599999999999996</v>
      </c>
      <c r="J22" s="216">
        <f>ROUND(I22*Order_Quote!$L$25,2)</f>
        <v>22.8</v>
      </c>
      <c r="K22" s="78"/>
      <c r="L22" s="79"/>
      <c r="M22" s="117">
        <f t="shared" si="0"/>
        <v>0</v>
      </c>
      <c r="N22" s="485"/>
      <c r="O22" s="265" t="s">
        <v>76</v>
      </c>
      <c r="P22" s="265" t="s">
        <v>102</v>
      </c>
      <c r="Q22" s="265" t="s">
        <v>4629</v>
      </c>
      <c r="R22" s="265" t="s">
        <v>4630</v>
      </c>
      <c r="S22" s="265" t="s">
        <v>4631</v>
      </c>
      <c r="T22" s="347">
        <v>4.7E-2</v>
      </c>
      <c r="U22" s="351">
        <v>25</v>
      </c>
      <c r="V22" s="347">
        <v>10.08</v>
      </c>
      <c r="W22" s="348">
        <v>0.5</v>
      </c>
    </row>
    <row r="23" spans="1:23" ht="25.5" customHeight="1">
      <c r="A23" s="104" t="str">
        <f>IF(K23&gt;0,COUNT($A$7:A22)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3" s="379"/>
      <c r="C23" s="291"/>
      <c r="D23" s="377" t="s">
        <v>4632</v>
      </c>
      <c r="E23" s="231">
        <v>100026283</v>
      </c>
      <c r="F23" s="218" t="s">
        <v>4633</v>
      </c>
      <c r="G23" s="282">
        <v>200</v>
      </c>
      <c r="H23" s="282">
        <v>24000</v>
      </c>
      <c r="I23" s="128">
        <f>_xlfn.XLOOKUP(E23,'All Products'!D:D,'All Products'!H:H)</f>
        <v>5.14</v>
      </c>
      <c r="J23" s="216">
        <f>ROUND(I23*Order_Quote!$L$25,2)</f>
        <v>25.7</v>
      </c>
      <c r="K23" s="78"/>
      <c r="L23" s="79"/>
      <c r="M23" s="117">
        <f t="shared" si="0"/>
        <v>0</v>
      </c>
      <c r="N23" s="485"/>
      <c r="O23" s="265" t="s">
        <v>76</v>
      </c>
      <c r="P23" s="265" t="s">
        <v>102</v>
      </c>
      <c r="Q23" s="265" t="s">
        <v>4634</v>
      </c>
      <c r="R23" s="265" t="s">
        <v>4635</v>
      </c>
      <c r="S23" s="265" t="s">
        <v>4636</v>
      </c>
      <c r="T23" s="347">
        <v>0.108</v>
      </c>
      <c r="U23" s="351">
        <v>25</v>
      </c>
      <c r="V23" s="347">
        <v>11.6</v>
      </c>
      <c r="W23" s="348">
        <v>0.65</v>
      </c>
    </row>
    <row r="24" spans="1:23" ht="25.5" customHeight="1">
      <c r="A24" s="104" t="str">
        <f>IF(K24&gt;0,COUNT($A$7:A23)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4" s="113"/>
      <c r="C24" s="114"/>
      <c r="D24" s="279" t="s">
        <v>4637</v>
      </c>
      <c r="E24" s="53">
        <v>100026284</v>
      </c>
      <c r="F24" s="55" t="s">
        <v>4638</v>
      </c>
      <c r="G24" s="282">
        <v>200</v>
      </c>
      <c r="H24" s="282">
        <v>24000</v>
      </c>
      <c r="I24" s="128">
        <f>_xlfn.XLOOKUP(E24,'All Products'!D:D,'All Products'!H:H)</f>
        <v>5.14</v>
      </c>
      <c r="J24" s="216">
        <f>ROUND(I24*Order_Quote!$L$25,2)</f>
        <v>25.7</v>
      </c>
      <c r="K24" s="78"/>
      <c r="L24" s="79"/>
      <c r="M24" s="117">
        <f t="shared" si="0"/>
        <v>0</v>
      </c>
      <c r="N24" s="485"/>
      <c r="O24" s="265" t="s">
        <v>76</v>
      </c>
      <c r="P24" s="265" t="s">
        <v>102</v>
      </c>
      <c r="Q24" s="265" t="s">
        <v>4639</v>
      </c>
      <c r="R24" s="265" t="s">
        <v>4640</v>
      </c>
      <c r="S24" s="265" t="s">
        <v>4641</v>
      </c>
      <c r="T24" s="347">
        <v>8.2000000000000003E-2</v>
      </c>
      <c r="U24" s="351">
        <v>25</v>
      </c>
      <c r="V24" s="347">
        <v>12.6</v>
      </c>
      <c r="W24" s="348">
        <v>0.65</v>
      </c>
    </row>
    <row r="25" spans="1:23" ht="39" customHeight="1">
      <c r="A25" s="104" t="str">
        <f>IF(K25&gt;0,COUNT($A$7:A24)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5" s="115"/>
      <c r="C25" s="116"/>
      <c r="D25" s="279" t="s">
        <v>4642</v>
      </c>
      <c r="E25" s="53">
        <v>100026286</v>
      </c>
      <c r="F25" s="55" t="s">
        <v>4643</v>
      </c>
      <c r="G25" s="282">
        <v>200</v>
      </c>
      <c r="H25" s="282">
        <v>24000</v>
      </c>
      <c r="I25" s="128">
        <f>_xlfn.XLOOKUP(E25,'All Products'!D:D,'All Products'!H:H)</f>
        <v>4.78</v>
      </c>
      <c r="J25" s="216">
        <f>ROUND(I25*Order_Quote!$L$25,2)</f>
        <v>23.9</v>
      </c>
      <c r="K25" s="78"/>
      <c r="L25" s="79"/>
      <c r="M25" s="117">
        <f t="shared" si="0"/>
        <v>0</v>
      </c>
      <c r="N25" s="485"/>
      <c r="O25" s="265" t="s">
        <v>359</v>
      </c>
      <c r="P25" s="265" t="s">
        <v>102</v>
      </c>
      <c r="Q25" s="265" t="s">
        <v>4644</v>
      </c>
      <c r="R25" s="265" t="s">
        <v>4645</v>
      </c>
      <c r="S25" s="265" t="s">
        <v>4646</v>
      </c>
      <c r="T25" s="347">
        <v>7.8E-2</v>
      </c>
      <c r="U25" s="351">
        <v>25</v>
      </c>
      <c r="V25" s="347">
        <v>11.6</v>
      </c>
      <c r="W25" s="348">
        <v>0.65</v>
      </c>
    </row>
    <row r="26" spans="1:23" ht="39" customHeight="1">
      <c r="A26" s="104" t="str">
        <f>IF(K26&gt;0,COUNT($A$7:A25)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6" s="202"/>
      <c r="C26" s="203"/>
      <c r="D26" s="279" t="s">
        <v>4647</v>
      </c>
      <c r="E26" s="53">
        <v>100026288</v>
      </c>
      <c r="F26" s="55" t="s">
        <v>4648</v>
      </c>
      <c r="G26" s="282">
        <v>200</v>
      </c>
      <c r="H26" s="282">
        <v>18000</v>
      </c>
      <c r="I26" s="128">
        <f>_xlfn.XLOOKUP(E26,'All Products'!D:D,'All Products'!H:H)</f>
        <v>5.14</v>
      </c>
      <c r="J26" s="216">
        <f>ROUND(I26*Order_Quote!$L$25,2)</f>
        <v>25.7</v>
      </c>
      <c r="K26" s="78"/>
      <c r="L26" s="79"/>
      <c r="M26" s="117">
        <f t="shared" si="0"/>
        <v>0</v>
      </c>
      <c r="N26" s="485"/>
      <c r="O26" s="265" t="s">
        <v>76</v>
      </c>
      <c r="P26" s="265" t="s">
        <v>102</v>
      </c>
      <c r="Q26" s="265" t="s">
        <v>4649</v>
      </c>
      <c r="R26" s="265" t="s">
        <v>4650</v>
      </c>
      <c r="S26" s="265" t="s">
        <v>4651</v>
      </c>
      <c r="T26" s="347">
        <v>9.5000000000000001E-2</v>
      </c>
      <c r="U26" s="351">
        <v>25</v>
      </c>
      <c r="V26" s="347">
        <v>14.75</v>
      </c>
      <c r="W26" s="348">
        <v>0.8</v>
      </c>
    </row>
    <row r="27" spans="1:23" ht="28.5" customHeight="1">
      <c r="A27" s="104" t="str">
        <f>IF(K27&gt;0,COUNT($A$7:A26)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7" s="110"/>
      <c r="C27" s="111"/>
      <c r="D27" s="377" t="s">
        <v>4652</v>
      </c>
      <c r="E27" s="231">
        <v>100026290</v>
      </c>
      <c r="F27" s="218" t="s">
        <v>4653</v>
      </c>
      <c r="G27" s="282">
        <v>200</v>
      </c>
      <c r="H27" s="282">
        <v>24000</v>
      </c>
      <c r="I27" s="128">
        <f>_xlfn.XLOOKUP(E27,'All Products'!D:D,'All Products'!H:H)</f>
        <v>4.5599999999999996</v>
      </c>
      <c r="J27" s="216">
        <f>ROUND(I27*Order_Quote!$L$25,2)</f>
        <v>22.8</v>
      </c>
      <c r="K27" s="78"/>
      <c r="L27" s="79"/>
      <c r="M27" s="117">
        <f t="shared" si="0"/>
        <v>0</v>
      </c>
      <c r="N27" s="485"/>
      <c r="O27" s="265" t="s">
        <v>76</v>
      </c>
      <c r="P27" s="265" t="s">
        <v>102</v>
      </c>
      <c r="Q27" s="265" t="s">
        <v>4654</v>
      </c>
      <c r="R27" s="265" t="s">
        <v>4655</v>
      </c>
      <c r="S27" s="265" t="s">
        <v>4656</v>
      </c>
      <c r="T27" s="347">
        <v>6.0999999999999999E-2</v>
      </c>
      <c r="U27" s="351">
        <v>25</v>
      </c>
      <c r="V27" s="347">
        <v>12.35</v>
      </c>
      <c r="W27" s="348">
        <v>0.65</v>
      </c>
    </row>
    <row r="28" spans="1:23" ht="28.5" customHeight="1">
      <c r="A28" s="104" t="str">
        <f>IF(K28&gt;0,COUNT($A$7:A27)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8" s="380"/>
      <c r="C28" s="292"/>
      <c r="D28" s="377" t="s">
        <v>4657</v>
      </c>
      <c r="E28" s="231">
        <v>100026291</v>
      </c>
      <c r="F28" s="218" t="s">
        <v>4658</v>
      </c>
      <c r="G28" s="282">
        <v>125</v>
      </c>
      <c r="H28" s="282">
        <v>11250</v>
      </c>
      <c r="I28" s="128">
        <f>_xlfn.XLOOKUP(E28,'All Products'!D:D,'All Products'!H:H)</f>
        <v>5.0199999999999996</v>
      </c>
      <c r="J28" s="216">
        <f>ROUND(I28*Order_Quote!$L$25,2)</f>
        <v>25.1</v>
      </c>
      <c r="K28" s="78"/>
      <c r="L28" s="79"/>
      <c r="M28" s="117">
        <f t="shared" si="0"/>
        <v>0</v>
      </c>
      <c r="N28" s="485"/>
      <c r="O28" s="265" t="s">
        <v>76</v>
      </c>
      <c r="P28" s="265" t="s">
        <v>102</v>
      </c>
      <c r="Q28" s="265" t="s">
        <v>4659</v>
      </c>
      <c r="R28" s="265" t="s">
        <v>4660</v>
      </c>
      <c r="S28" s="265" t="s">
        <v>4661</v>
      </c>
      <c r="T28" s="347">
        <v>9.4E-2</v>
      </c>
      <c r="U28" s="351">
        <v>25</v>
      </c>
      <c r="V28" s="347">
        <v>12.47</v>
      </c>
      <c r="W28" s="348">
        <v>0.8</v>
      </c>
    </row>
    <row r="29" spans="1:23" ht="15" customHeight="1">
      <c r="A29" s="104" t="str">
        <f>IF(K29&gt;0,COUNT($A$7:A28)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+1,"")</f>
        <v/>
      </c>
      <c r="B29" s="380"/>
      <c r="C29" s="292"/>
      <c r="D29" s="377" t="s">
        <v>4662</v>
      </c>
      <c r="E29" s="231">
        <v>100026293</v>
      </c>
      <c r="F29" s="218" t="s">
        <v>4663</v>
      </c>
      <c r="G29" s="282">
        <v>200</v>
      </c>
      <c r="H29" s="282">
        <v>54000</v>
      </c>
      <c r="I29" s="128">
        <f>_xlfn.XLOOKUP(E29,'All Products'!D:D,'All Products'!H:H)</f>
        <v>2.33</v>
      </c>
      <c r="J29" s="216">
        <f>ROUND(I29*Order_Quote!$L$25,2)</f>
        <v>11.65</v>
      </c>
      <c r="K29" s="78"/>
      <c r="L29" s="79"/>
      <c r="M29" s="117">
        <f t="shared" si="0"/>
        <v>0</v>
      </c>
      <c r="N29" s="485"/>
      <c r="O29" s="265" t="s">
        <v>76</v>
      </c>
      <c r="P29" s="265" t="s">
        <v>102</v>
      </c>
      <c r="Q29" s="265" t="s">
        <v>4664</v>
      </c>
      <c r="R29" s="265" t="s">
        <v>4665</v>
      </c>
      <c r="S29" s="265" t="s">
        <v>4666</v>
      </c>
      <c r="T29" s="347">
        <v>0.08</v>
      </c>
      <c r="U29" s="351">
        <v>25</v>
      </c>
      <c r="V29" s="347">
        <v>7.3</v>
      </c>
      <c r="W29" s="348">
        <v>0.31</v>
      </c>
    </row>
    <row r="30" spans="1:23" ht="15">
      <c r="A30" s="104">
        <f>MAX(A8:A29)+1</f>
        <v>1</v>
      </c>
      <c r="U30" s="352"/>
    </row>
  </sheetData>
  <sheetProtection algorithmName="SHA-512" hashValue="hwRdFCaAlnkBTQUmyRPM4sAmf0FL0oZYB5vbpWeiiZMka56FI0uMgXLYrNfMps6q1cECbTPg/Wt1liqcJs62xg==" saltValue="RFJD2bJ2f769HmqlpdFfPA==" spinCount="100000" sheet="1" formatCells="0" formatColumns="0" formatRows="0" insertColumns="0" insertRows="0" insertHyperlinks="0" deleteColumns="0" deleteRows="0" sort="0" autoFilter="0" pivotTables="0"/>
  <mergeCells count="2">
    <mergeCell ref="J2:K3"/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8 L1:L6 K1 K30:L30" xr:uid="{C18AEC5A-0302-4720-898F-9F48CFAA431B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3ED00BB6-3E5F-4B06-8D8E-1F7A792061D4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19:L29 L9:L17 K8:K17" xr:uid="{4CAD35C5-E4A0-4FC9-B6A1-47E80C4D7A5A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7BF6D43D-8E12-489F-B4AC-0F470400FD3A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F3329-9211-4CB3-8108-EBC914B1D7F6}">
  <sheetPr>
    <tabColor theme="0"/>
    <pageSetUpPr fitToPage="1"/>
  </sheetPr>
  <dimension ref="A1:V927"/>
  <sheetViews>
    <sheetView showGridLines="0" zoomScaleNormal="100" workbookViewId="0">
      <pane xSplit="6" ySplit="7" topLeftCell="G414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8" width="10.7109375" style="20" customWidth="1"/>
    <col min="9" max="9" width="10.7109375" style="25" customWidth="1"/>
    <col min="10" max="10" width="10.7109375" style="293" customWidth="1"/>
    <col min="11" max="11" width="10.7109375" style="20" customWidth="1"/>
    <col min="12" max="12" width="1.42578125" style="20" customWidth="1"/>
    <col min="13" max="13" width="10.7109375" style="20" customWidth="1"/>
    <col min="14" max="14" width="2.28515625" style="17" customWidth="1"/>
    <col min="15" max="15" width="12.7109375" style="20" customWidth="1"/>
    <col min="16" max="16" width="10.7109375" style="20" customWidth="1"/>
    <col min="17" max="17" width="11.28515625" style="17" bestFit="1" customWidth="1"/>
    <col min="18" max="18" width="9.140625" style="17" customWidth="1"/>
    <col min="19" max="19" width="13.140625" style="17" bestFit="1" customWidth="1"/>
    <col min="20" max="32" width="9.140625" style="17" customWidth="1"/>
    <col min="33" max="16384" width="9.140625" style="17"/>
  </cols>
  <sheetData>
    <row r="1" spans="1:22" ht="18.75">
      <c r="F1" s="173" t="s">
        <v>44</v>
      </c>
      <c r="G1" s="236"/>
      <c r="H1" s="236"/>
      <c r="O1" s="236"/>
      <c r="P1" s="236"/>
    </row>
    <row r="2" spans="1:22" ht="14.45" customHeight="1">
      <c r="D2" s="238"/>
      <c r="E2" s="239"/>
      <c r="F2" s="236"/>
      <c r="G2" s="236"/>
      <c r="J2" s="336" t="s">
        <v>59</v>
      </c>
      <c r="K2" s="294"/>
    </row>
    <row r="3" spans="1:22" ht="14.45" customHeight="1">
      <c r="F3" s="436" t="s">
        <v>4667</v>
      </c>
      <c r="G3" s="4"/>
      <c r="H3" s="4"/>
      <c r="J3" s="294"/>
      <c r="K3" s="294"/>
    </row>
    <row r="4" spans="1:22" ht="14.45" customHeight="1">
      <c r="E4" s="163" t="s">
        <v>4668</v>
      </c>
      <c r="F4" s="440" t="s">
        <v>4668</v>
      </c>
      <c r="G4" s="4"/>
      <c r="H4" s="4"/>
      <c r="J4" s="215"/>
      <c r="K4" s="17"/>
    </row>
    <row r="5" spans="1:22" ht="14.45" customHeight="1">
      <c r="F5" s="438" t="s">
        <v>329</v>
      </c>
      <c r="G5" s="4"/>
      <c r="H5" s="4"/>
      <c r="J5" s="215"/>
      <c r="K5" s="17"/>
    </row>
    <row r="6" spans="1:22" ht="14.45" customHeight="1">
      <c r="J6" s="215"/>
      <c r="K6" s="17"/>
      <c r="Q6" s="629" t="s">
        <v>64</v>
      </c>
      <c r="R6" s="629"/>
      <c r="S6" s="629"/>
      <c r="T6" s="25"/>
      <c r="U6" s="25"/>
      <c r="V6" s="25"/>
    </row>
    <row r="7" spans="1:22" ht="33.75"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41" t="s">
        <v>70</v>
      </c>
      <c r="R7" s="241" t="s">
        <v>71</v>
      </c>
      <c r="S7" s="241" t="s">
        <v>72</v>
      </c>
      <c r="T7" s="263" t="s">
        <v>73</v>
      </c>
      <c r="U7" s="263" t="s">
        <v>330</v>
      </c>
      <c r="V7" s="263" t="s">
        <v>331</v>
      </c>
    </row>
    <row r="8" spans="1:22" ht="25.5" customHeight="1">
      <c r="B8" s="242" t="s">
        <v>4669</v>
      </c>
      <c r="C8" s="44"/>
      <c r="D8" s="44"/>
      <c r="E8" s="44"/>
      <c r="F8" s="44"/>
      <c r="G8" s="44"/>
      <c r="H8" s="44"/>
      <c r="I8" s="245"/>
      <c r="J8" s="245"/>
      <c r="K8" s="246"/>
      <c r="L8" s="243"/>
      <c r="M8" s="157"/>
      <c r="O8" s="44"/>
      <c r="P8" s="44"/>
      <c r="Q8" s="44"/>
      <c r="R8" s="44"/>
      <c r="S8" s="44"/>
    </row>
    <row r="9" spans="1:22" ht="14.45" customHeight="1">
      <c r="A9" s="104" t="str">
        <f>IF(K9&gt;0,COUNT($A$8:A8)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" s="110"/>
      <c r="C9" s="111"/>
      <c r="D9" s="158" t="s">
        <v>4670</v>
      </c>
      <c r="E9" s="106">
        <v>100024858</v>
      </c>
      <c r="F9" s="159" t="s">
        <v>4671</v>
      </c>
      <c r="G9" s="106">
        <v>10</v>
      </c>
      <c r="H9" s="106">
        <v>750</v>
      </c>
      <c r="I9" s="153">
        <f>_xlfn.XLOOKUP(E9,'All Products'!D:D,'All Products'!H:H)</f>
        <v>102.64</v>
      </c>
      <c r="J9" s="205">
        <f>ROUNDUP(I9*Order_Quote!$L$26,2)</f>
        <v>513.20000000000005</v>
      </c>
      <c r="K9" s="322"/>
      <c r="L9" s="291"/>
      <c r="M9" s="199">
        <f t="shared" ref="M9:M72" si="0">K9/G9</f>
        <v>0</v>
      </c>
      <c r="O9" s="265" t="s">
        <v>359</v>
      </c>
      <c r="P9" s="265" t="s">
        <v>102</v>
      </c>
      <c r="Q9" s="265" t="s">
        <v>4672</v>
      </c>
      <c r="R9" s="265">
        <v>0</v>
      </c>
      <c r="S9" s="265" t="s">
        <v>4673</v>
      </c>
      <c r="T9" s="347">
        <v>1.2490000000000001</v>
      </c>
      <c r="U9" s="347">
        <v>12.66</v>
      </c>
      <c r="V9" s="348">
        <v>1.1000000000000001</v>
      </c>
    </row>
    <row r="10" spans="1:22" ht="14.45" customHeight="1">
      <c r="A10" s="104" t="str">
        <f>IF(K10&gt;0,COUNT($A$8:A9)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" s="112"/>
      <c r="C10" s="79"/>
      <c r="D10" s="158" t="s">
        <v>4674</v>
      </c>
      <c r="E10" s="106">
        <v>100023760</v>
      </c>
      <c r="F10" s="159" t="s">
        <v>4675</v>
      </c>
      <c r="G10" s="106">
        <v>10</v>
      </c>
      <c r="H10" s="106">
        <v>600</v>
      </c>
      <c r="I10" s="153">
        <f>_xlfn.XLOOKUP(E10,'All Products'!D:D,'All Products'!H:H)</f>
        <v>113.76</v>
      </c>
      <c r="J10" s="205">
        <f>ROUNDUP(I10*Order_Quote!$L$26,2)</f>
        <v>568.79999999999995</v>
      </c>
      <c r="K10" s="78"/>
      <c r="L10" s="116"/>
      <c r="M10" s="199">
        <f t="shared" si="0"/>
        <v>0</v>
      </c>
      <c r="O10" s="265" t="s">
        <v>359</v>
      </c>
      <c r="P10" s="265" t="s">
        <v>102</v>
      </c>
      <c r="Q10" s="265" t="s">
        <v>4676</v>
      </c>
      <c r="R10" s="265">
        <v>0</v>
      </c>
      <c r="S10" s="265" t="s">
        <v>4677</v>
      </c>
      <c r="T10" s="347">
        <v>1.4279999999999999</v>
      </c>
      <c r="U10" s="347">
        <v>14.68</v>
      </c>
      <c r="V10" s="348">
        <v>1.41</v>
      </c>
    </row>
    <row r="11" spans="1:22" ht="14.45" customHeight="1">
      <c r="A11" s="104" t="str">
        <f>IF(K11&gt;0,COUNT($A$8:A10)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" s="112"/>
      <c r="C11" s="79"/>
      <c r="D11" s="158" t="s">
        <v>4678</v>
      </c>
      <c r="E11" s="106">
        <v>100029615</v>
      </c>
      <c r="F11" s="159" t="s">
        <v>4679</v>
      </c>
      <c r="G11" s="106">
        <v>1000</v>
      </c>
      <c r="H11" s="106">
        <v>75000</v>
      </c>
      <c r="I11" s="153">
        <f>_xlfn.XLOOKUP(E11,'All Products'!D:D,'All Products'!H:H)</f>
        <v>102.64</v>
      </c>
      <c r="J11" s="205">
        <f>ROUNDUP(I11*Order_Quote!$L$26,2)</f>
        <v>513.20000000000005</v>
      </c>
      <c r="K11" s="78"/>
      <c r="L11" s="116"/>
      <c r="M11" s="199">
        <f t="shared" si="0"/>
        <v>0</v>
      </c>
      <c r="O11" s="265" t="s">
        <v>359</v>
      </c>
      <c r="P11" s="265" t="s">
        <v>102</v>
      </c>
      <c r="Q11" s="265" t="s">
        <v>4680</v>
      </c>
      <c r="R11" s="265">
        <v>0</v>
      </c>
      <c r="S11" s="265" t="s">
        <v>4681</v>
      </c>
      <c r="T11" s="347">
        <v>1.2290000000000001</v>
      </c>
      <c r="U11" s="347">
        <v>12.8</v>
      </c>
      <c r="V11" s="348">
        <v>0.95</v>
      </c>
    </row>
    <row r="12" spans="1:22" ht="14.45" customHeight="1">
      <c r="A12" s="104" t="str">
        <f>IF(K12&gt;0,COUNT($A$8:A11)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" s="112"/>
      <c r="C12" s="79"/>
      <c r="D12" s="158" t="s">
        <v>4682</v>
      </c>
      <c r="E12" s="106">
        <v>100023761</v>
      </c>
      <c r="F12" s="159" t="s">
        <v>4683</v>
      </c>
      <c r="G12" s="106">
        <v>10</v>
      </c>
      <c r="H12" s="106">
        <v>750</v>
      </c>
      <c r="I12" s="153">
        <f>_xlfn.XLOOKUP(E12,'All Products'!D:D,'All Products'!H:H)</f>
        <v>102.64</v>
      </c>
      <c r="J12" s="205">
        <f>ROUNDUP(I12*Order_Quote!$L$26,2)</f>
        <v>513.20000000000005</v>
      </c>
      <c r="K12" s="78"/>
      <c r="L12" s="116"/>
      <c r="M12" s="199">
        <f t="shared" si="0"/>
        <v>0</v>
      </c>
      <c r="O12" s="265" t="s">
        <v>359</v>
      </c>
      <c r="P12" s="265" t="s">
        <v>102</v>
      </c>
      <c r="Q12" s="265" t="s">
        <v>4684</v>
      </c>
      <c r="R12" s="265">
        <v>0</v>
      </c>
      <c r="S12" s="265" t="s">
        <v>4685</v>
      </c>
      <c r="T12" s="347">
        <v>1.23</v>
      </c>
      <c r="U12" s="347">
        <v>12.565</v>
      </c>
      <c r="V12" s="348">
        <v>0.95</v>
      </c>
    </row>
    <row r="13" spans="1:22" ht="14.45" customHeight="1">
      <c r="A13" s="104" t="str">
        <f>IF(K13&gt;0,COUNT($A$8:A12)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" s="112"/>
      <c r="C13" s="79"/>
      <c r="D13" s="158" t="s">
        <v>4686</v>
      </c>
      <c r="E13" s="106">
        <v>100024859</v>
      </c>
      <c r="F13" s="159" t="s">
        <v>4687</v>
      </c>
      <c r="G13" s="106">
        <v>10</v>
      </c>
      <c r="H13" s="106">
        <v>600</v>
      </c>
      <c r="I13" s="153">
        <f>_xlfn.XLOOKUP(E13,'All Products'!D:D,'All Products'!H:H)</f>
        <v>113.76</v>
      </c>
      <c r="J13" s="205">
        <f>ROUNDUP(I13*Order_Quote!$L$26,2)</f>
        <v>568.79999999999995</v>
      </c>
      <c r="K13" s="78"/>
      <c r="L13" s="116"/>
      <c r="M13" s="199">
        <f t="shared" si="0"/>
        <v>0</v>
      </c>
      <c r="O13" s="265" t="s">
        <v>359</v>
      </c>
      <c r="P13" s="265" t="s">
        <v>102</v>
      </c>
      <c r="Q13" s="265" t="s">
        <v>4688</v>
      </c>
      <c r="R13" s="265">
        <v>0</v>
      </c>
      <c r="S13" s="265" t="s">
        <v>4689</v>
      </c>
      <c r="T13" s="347">
        <v>1.409</v>
      </c>
      <c r="U13" s="347">
        <v>14.68</v>
      </c>
      <c r="V13" s="348">
        <v>1.41</v>
      </c>
    </row>
    <row r="14" spans="1:22" ht="14.45" customHeight="1">
      <c r="A14" s="104" t="str">
        <f>IF(K14&gt;0,COUNT($A$8:A13)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" s="112"/>
      <c r="C14" s="79"/>
      <c r="D14" s="158" t="s">
        <v>4690</v>
      </c>
      <c r="E14" s="106">
        <v>100024862</v>
      </c>
      <c r="F14" s="159" t="s">
        <v>4691</v>
      </c>
      <c r="G14" s="106">
        <v>10</v>
      </c>
      <c r="H14" s="106">
        <v>750</v>
      </c>
      <c r="I14" s="153">
        <f>_xlfn.XLOOKUP(E14,'All Products'!D:D,'All Products'!H:H)</f>
        <v>102.64</v>
      </c>
      <c r="J14" s="205">
        <f>ROUNDUP(I14*Order_Quote!$L$26,2)</f>
        <v>513.20000000000005</v>
      </c>
      <c r="K14" s="78"/>
      <c r="L14" s="116"/>
      <c r="M14" s="199">
        <f t="shared" si="0"/>
        <v>0</v>
      </c>
      <c r="O14" s="265" t="s">
        <v>359</v>
      </c>
      <c r="P14" s="265" t="s">
        <v>102</v>
      </c>
      <c r="Q14" s="265" t="s">
        <v>4692</v>
      </c>
      <c r="R14" s="265">
        <v>0</v>
      </c>
      <c r="S14" s="265" t="s">
        <v>4693</v>
      </c>
      <c r="T14" s="347">
        <v>1.292</v>
      </c>
      <c r="U14" s="347">
        <v>12.85</v>
      </c>
      <c r="V14" s="348">
        <v>1.1000000000000001</v>
      </c>
    </row>
    <row r="15" spans="1:22" ht="14.45" customHeight="1">
      <c r="A15" s="104" t="str">
        <f>IF(K15&gt;0,COUNT($A$8:A14)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" s="112"/>
      <c r="C15" s="79"/>
      <c r="D15" s="158" t="s">
        <v>4694</v>
      </c>
      <c r="E15" s="106">
        <v>100030779</v>
      </c>
      <c r="F15" s="159" t="s">
        <v>4695</v>
      </c>
      <c r="G15" s="106">
        <v>10</v>
      </c>
      <c r="H15" s="106">
        <v>600</v>
      </c>
      <c r="I15" s="153">
        <f>_xlfn.XLOOKUP(E15,'All Products'!D:D,'All Products'!H:H)</f>
        <v>113.76</v>
      </c>
      <c r="J15" s="205">
        <f>ROUNDUP(I15*Order_Quote!$L$26,2)</f>
        <v>568.79999999999995</v>
      </c>
      <c r="K15" s="78"/>
      <c r="L15" s="116"/>
      <c r="M15" s="199">
        <f t="shared" si="0"/>
        <v>0</v>
      </c>
      <c r="O15" s="265" t="s">
        <v>359</v>
      </c>
      <c r="P15" s="265" t="s">
        <v>102</v>
      </c>
      <c r="Q15" s="265" t="s">
        <v>4696</v>
      </c>
      <c r="R15" s="265">
        <v>0</v>
      </c>
      <c r="S15" s="265" t="s">
        <v>4697</v>
      </c>
      <c r="T15" s="347">
        <v>1.4710000000000001</v>
      </c>
      <c r="U15" s="347">
        <v>15.1</v>
      </c>
      <c r="V15" s="348">
        <v>1.41</v>
      </c>
    </row>
    <row r="16" spans="1:22" ht="14.45" customHeight="1">
      <c r="A16" s="104" t="str">
        <f>IF(K16&gt;0,COUNT($A$8:A15)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" s="112"/>
      <c r="C16" s="79"/>
      <c r="D16" s="158" t="s">
        <v>4698</v>
      </c>
      <c r="E16" s="106">
        <v>100024865</v>
      </c>
      <c r="F16" s="159" t="s">
        <v>4699</v>
      </c>
      <c r="G16" s="106">
        <v>10</v>
      </c>
      <c r="H16" s="106">
        <v>750</v>
      </c>
      <c r="I16" s="153">
        <f>_xlfn.XLOOKUP(E16,'All Products'!D:D,'All Products'!H:H)</f>
        <v>102.64</v>
      </c>
      <c r="J16" s="205">
        <f>ROUNDUP(I16*Order_Quote!$L$26,2)</f>
        <v>513.20000000000005</v>
      </c>
      <c r="K16" s="78"/>
      <c r="L16" s="116"/>
      <c r="M16" s="199">
        <f t="shared" si="0"/>
        <v>0</v>
      </c>
      <c r="O16" s="265" t="s">
        <v>359</v>
      </c>
      <c r="P16" s="265" t="s">
        <v>102</v>
      </c>
      <c r="Q16" s="265" t="s">
        <v>4700</v>
      </c>
      <c r="R16" s="265">
        <v>0</v>
      </c>
      <c r="S16" s="265" t="s">
        <v>4701</v>
      </c>
      <c r="T16" s="347">
        <v>1.272</v>
      </c>
      <c r="U16" s="347">
        <v>12.855</v>
      </c>
      <c r="V16" s="348">
        <v>1.1000000000000001</v>
      </c>
    </row>
    <row r="17" spans="1:22" ht="14.45" customHeight="1">
      <c r="A17" s="104" t="str">
        <f>IF(K17&gt;0,COUNT($A$8:A16)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" s="112"/>
      <c r="C17" s="79"/>
      <c r="D17" s="158" t="s">
        <v>4702</v>
      </c>
      <c r="E17" s="106">
        <v>100023764</v>
      </c>
      <c r="F17" s="159" t="s">
        <v>4703</v>
      </c>
      <c r="G17" s="106">
        <v>10</v>
      </c>
      <c r="H17" s="106">
        <v>240</v>
      </c>
      <c r="I17" s="153">
        <f>_xlfn.XLOOKUP(E17,'All Products'!D:D,'All Products'!H:H)</f>
        <v>1.26</v>
      </c>
      <c r="J17" s="205">
        <f>ROUNDUP(I17*Order_Quote!$L$26,2)</f>
        <v>6.3</v>
      </c>
      <c r="K17" s="78"/>
      <c r="L17" s="116"/>
      <c r="M17" s="199">
        <f t="shared" si="0"/>
        <v>0</v>
      </c>
      <c r="O17" s="265" t="s">
        <v>359</v>
      </c>
      <c r="P17" s="265" t="s">
        <v>102</v>
      </c>
      <c r="Q17" s="265" t="s">
        <v>4704</v>
      </c>
      <c r="R17" s="265">
        <v>0</v>
      </c>
      <c r="S17" s="265" t="s">
        <v>4705</v>
      </c>
      <c r="T17" s="347">
        <v>1.901</v>
      </c>
      <c r="U17" s="347">
        <v>23.58</v>
      </c>
      <c r="V17" s="348">
        <v>2.77</v>
      </c>
    </row>
    <row r="18" spans="1:22" ht="14.45" customHeight="1">
      <c r="A18" s="104" t="str">
        <f>IF(K18&gt;0,COUNT($A$8:A17)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" s="112"/>
      <c r="C18" s="79"/>
      <c r="D18" s="158" t="s">
        <v>4706</v>
      </c>
      <c r="E18" s="106">
        <v>100024867</v>
      </c>
      <c r="F18" s="159" t="s">
        <v>4707</v>
      </c>
      <c r="G18" s="106">
        <v>10</v>
      </c>
      <c r="H18" s="106">
        <v>750</v>
      </c>
      <c r="I18" s="153">
        <f>_xlfn.XLOOKUP(E18,'All Products'!D:D,'All Products'!H:H)</f>
        <v>102.64</v>
      </c>
      <c r="J18" s="205">
        <f>ROUNDUP(I18*Order_Quote!$L$26,2)</f>
        <v>513.20000000000005</v>
      </c>
      <c r="K18" s="78"/>
      <c r="L18" s="116"/>
      <c r="M18" s="199">
        <f t="shared" si="0"/>
        <v>0</v>
      </c>
      <c r="O18" s="265" t="s">
        <v>359</v>
      </c>
      <c r="P18" s="265" t="s">
        <v>102</v>
      </c>
      <c r="Q18" s="265" t="s">
        <v>4708</v>
      </c>
      <c r="R18" s="265">
        <v>0</v>
      </c>
      <c r="S18" s="265" t="s">
        <v>4709</v>
      </c>
      <c r="T18" s="347">
        <v>1.2290000000000001</v>
      </c>
      <c r="U18" s="347">
        <v>12.565</v>
      </c>
      <c r="V18" s="348">
        <v>0.95</v>
      </c>
    </row>
    <row r="19" spans="1:22" ht="14.45" customHeight="1">
      <c r="A19" s="104" t="str">
        <f>IF(K19&gt;0,COUNT($A$8:A18)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" s="112"/>
      <c r="C19" s="79"/>
      <c r="D19" s="158" t="s">
        <v>4710</v>
      </c>
      <c r="E19" s="106">
        <v>100023766</v>
      </c>
      <c r="F19" s="159" t="s">
        <v>4711</v>
      </c>
      <c r="G19" s="106">
        <v>10</v>
      </c>
      <c r="H19" s="106">
        <v>600</v>
      </c>
      <c r="I19" s="153">
        <f>_xlfn.XLOOKUP(E19,'All Products'!D:D,'All Products'!H:H)</f>
        <v>113.76</v>
      </c>
      <c r="J19" s="205">
        <f>ROUNDUP(I19*Order_Quote!$L$26,2)</f>
        <v>568.79999999999995</v>
      </c>
      <c r="K19" s="78"/>
      <c r="L19" s="116"/>
      <c r="M19" s="199">
        <f t="shared" si="0"/>
        <v>0</v>
      </c>
      <c r="O19" s="265" t="s">
        <v>359</v>
      </c>
      <c r="P19" s="265" t="s">
        <v>102</v>
      </c>
      <c r="Q19" s="265" t="s">
        <v>4712</v>
      </c>
      <c r="R19" s="265">
        <v>0</v>
      </c>
      <c r="S19" s="265" t="s">
        <v>4713</v>
      </c>
      <c r="T19" s="347">
        <v>1.3380000000000001</v>
      </c>
      <c r="U19" s="347">
        <v>14.4</v>
      </c>
      <c r="V19" s="348">
        <v>1.25</v>
      </c>
    </row>
    <row r="20" spans="1:22" ht="14.45" customHeight="1">
      <c r="A20" s="104" t="str">
        <f>IF(K20&gt;0,COUNT($A$8:A19)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" s="112"/>
      <c r="C20" s="79"/>
      <c r="D20" s="158" t="s">
        <v>4714</v>
      </c>
      <c r="E20" s="106">
        <v>100024868</v>
      </c>
      <c r="F20" s="159" t="s">
        <v>4715</v>
      </c>
      <c r="G20" s="106">
        <v>10</v>
      </c>
      <c r="H20" s="106">
        <v>600</v>
      </c>
      <c r="I20" s="153">
        <f>_xlfn.XLOOKUP(E20,'All Products'!D:D,'All Products'!H:H)</f>
        <v>113.76</v>
      </c>
      <c r="J20" s="205">
        <f>ROUNDUP(I20*Order_Quote!$L$26,2)</f>
        <v>568.79999999999995</v>
      </c>
      <c r="K20" s="78"/>
      <c r="L20" s="116"/>
      <c r="M20" s="199">
        <f t="shared" si="0"/>
        <v>0</v>
      </c>
      <c r="O20" s="265" t="s">
        <v>359</v>
      </c>
      <c r="P20" s="265" t="s">
        <v>102</v>
      </c>
      <c r="Q20" s="265" t="s">
        <v>4716</v>
      </c>
      <c r="R20" s="265">
        <v>0</v>
      </c>
      <c r="S20" s="265" t="s">
        <v>4717</v>
      </c>
      <c r="T20" s="347">
        <v>1.4079999999999999</v>
      </c>
      <c r="U20" s="347">
        <v>14.8</v>
      </c>
      <c r="V20" s="348">
        <v>1.41</v>
      </c>
    </row>
    <row r="21" spans="1:22" ht="14.45" customHeight="1">
      <c r="A21" s="104" t="str">
        <f>IF(K21&gt;0,COUNT($A$8:A20)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" s="112"/>
      <c r="C21" s="79"/>
      <c r="D21" s="158" t="s">
        <v>4718</v>
      </c>
      <c r="E21" s="106">
        <v>100024869</v>
      </c>
      <c r="F21" s="159" t="s">
        <v>4719</v>
      </c>
      <c r="G21" s="106">
        <v>10</v>
      </c>
      <c r="H21" s="106">
        <v>750</v>
      </c>
      <c r="I21" s="153">
        <f>_xlfn.XLOOKUP(E21,'All Products'!D:D,'All Products'!H:H)</f>
        <v>102.64</v>
      </c>
      <c r="J21" s="205">
        <f>ROUNDUP(I21*Order_Quote!$L$26,2)</f>
        <v>513.20000000000005</v>
      </c>
      <c r="K21" s="78"/>
      <c r="L21" s="116"/>
      <c r="M21" s="199">
        <f t="shared" si="0"/>
        <v>0</v>
      </c>
      <c r="O21" s="265" t="s">
        <v>359</v>
      </c>
      <c r="P21" s="265" t="s">
        <v>102</v>
      </c>
      <c r="Q21" s="265" t="s">
        <v>4720</v>
      </c>
      <c r="R21" s="265">
        <v>0</v>
      </c>
      <c r="S21" s="265" t="s">
        <v>4721</v>
      </c>
      <c r="T21" s="347">
        <v>1.246</v>
      </c>
      <c r="U21" s="347">
        <v>12.755000000000001</v>
      </c>
      <c r="V21" s="348">
        <v>1.1000000000000001</v>
      </c>
    </row>
    <row r="22" spans="1:22" ht="14.45" customHeight="1">
      <c r="A22" s="104" t="str">
        <f>IF(K22&gt;0,COUNT($A$8:A21)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" s="112"/>
      <c r="C22" s="79"/>
      <c r="D22" s="158" t="s">
        <v>4722</v>
      </c>
      <c r="E22" s="106">
        <v>100023767</v>
      </c>
      <c r="F22" s="159" t="s">
        <v>4723</v>
      </c>
      <c r="G22" s="106">
        <v>10</v>
      </c>
      <c r="H22" s="106">
        <v>750</v>
      </c>
      <c r="I22" s="153">
        <f>_xlfn.XLOOKUP(E22,'All Products'!D:D,'All Products'!H:H)</f>
        <v>102.64</v>
      </c>
      <c r="J22" s="205">
        <f>ROUNDUP(I22*Order_Quote!$L$26,2)</f>
        <v>513.20000000000005</v>
      </c>
      <c r="K22" s="78"/>
      <c r="L22" s="116"/>
      <c r="M22" s="199">
        <f t="shared" si="0"/>
        <v>0</v>
      </c>
      <c r="O22" s="265" t="s">
        <v>359</v>
      </c>
      <c r="P22" s="265" t="s">
        <v>102</v>
      </c>
      <c r="Q22" s="265" t="s">
        <v>4724</v>
      </c>
      <c r="R22" s="265">
        <v>0</v>
      </c>
      <c r="S22" s="265" t="s">
        <v>4725</v>
      </c>
      <c r="T22" s="347">
        <v>1.2709999999999999</v>
      </c>
      <c r="U22" s="347">
        <v>12.77</v>
      </c>
      <c r="V22" s="348">
        <v>0.95</v>
      </c>
    </row>
    <row r="23" spans="1:22" ht="14.45" customHeight="1">
      <c r="A23" s="104" t="str">
        <f>IF(K23&gt;0,COUNT($A$8:A22)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" s="112"/>
      <c r="C23" s="79"/>
      <c r="D23" s="158" t="s">
        <v>4726</v>
      </c>
      <c r="E23" s="106">
        <v>100024870</v>
      </c>
      <c r="F23" s="159" t="s">
        <v>4727</v>
      </c>
      <c r="G23" s="106">
        <v>10</v>
      </c>
      <c r="H23" s="106">
        <v>750</v>
      </c>
      <c r="I23" s="153">
        <f>_xlfn.XLOOKUP(E23,'All Products'!D:D,'All Products'!H:H)</f>
        <v>102.64</v>
      </c>
      <c r="J23" s="205">
        <f>ROUNDUP(I23*Order_Quote!$L$26,2)</f>
        <v>513.20000000000005</v>
      </c>
      <c r="K23" s="78"/>
      <c r="L23" s="116"/>
      <c r="M23" s="199">
        <f t="shared" si="0"/>
        <v>0</v>
      </c>
      <c r="O23" s="265" t="s">
        <v>76</v>
      </c>
      <c r="P23" s="265" t="s">
        <v>102</v>
      </c>
      <c r="Q23" s="265" t="s">
        <v>4728</v>
      </c>
      <c r="R23" s="265">
        <v>0</v>
      </c>
      <c r="S23" s="265" t="s">
        <v>4729</v>
      </c>
      <c r="T23" s="347">
        <v>1.208</v>
      </c>
      <c r="U23" s="347">
        <v>12.565</v>
      </c>
      <c r="V23" s="348">
        <v>0.95</v>
      </c>
    </row>
    <row r="24" spans="1:22" ht="14.45" customHeight="1">
      <c r="A24" s="104" t="str">
        <f>IF(K24&gt;0,COUNT($A$8:A23)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" s="112"/>
      <c r="C24" s="79"/>
      <c r="D24" s="158" t="s">
        <v>4730</v>
      </c>
      <c r="E24" s="106">
        <v>100023768</v>
      </c>
      <c r="F24" s="159" t="s">
        <v>4731</v>
      </c>
      <c r="G24" s="106">
        <v>10</v>
      </c>
      <c r="H24" s="106">
        <v>600</v>
      </c>
      <c r="I24" s="153">
        <f>_xlfn.XLOOKUP(E24,'All Products'!D:D,'All Products'!H:H)</f>
        <v>113.76</v>
      </c>
      <c r="J24" s="205">
        <f>ROUNDUP(I24*Order_Quote!$L$26,2)</f>
        <v>568.79999999999995</v>
      </c>
      <c r="K24" s="78"/>
      <c r="L24" s="116"/>
      <c r="M24" s="199">
        <f t="shared" si="0"/>
        <v>0</v>
      </c>
      <c r="O24" s="265" t="s">
        <v>76</v>
      </c>
      <c r="P24" s="265" t="s">
        <v>102</v>
      </c>
      <c r="Q24" s="265" t="s">
        <v>4732</v>
      </c>
      <c r="R24" s="265">
        <v>0</v>
      </c>
      <c r="S24" s="265" t="s">
        <v>4733</v>
      </c>
      <c r="T24" s="347">
        <v>1.3169999999999999</v>
      </c>
      <c r="U24" s="347">
        <v>13.98</v>
      </c>
      <c r="V24" s="348">
        <v>1.41</v>
      </c>
    </row>
    <row r="25" spans="1:22" ht="14.45" customHeight="1">
      <c r="A25" s="104" t="str">
        <f>IF(K25&gt;0,COUNT($A$8:A24)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" s="112"/>
      <c r="C25" s="79"/>
      <c r="D25" s="158" t="s">
        <v>4734</v>
      </c>
      <c r="E25" s="106">
        <v>100024871</v>
      </c>
      <c r="F25" s="159" t="s">
        <v>4735</v>
      </c>
      <c r="G25" s="106">
        <v>10</v>
      </c>
      <c r="H25" s="106">
        <v>600</v>
      </c>
      <c r="I25" s="153">
        <f>_xlfn.XLOOKUP(E25,'All Products'!D:D,'All Products'!H:H)</f>
        <v>113.76</v>
      </c>
      <c r="J25" s="205">
        <f>ROUNDUP(I25*Order_Quote!$L$26,2)</f>
        <v>568.79999999999995</v>
      </c>
      <c r="K25" s="78"/>
      <c r="L25" s="116"/>
      <c r="M25" s="199">
        <f t="shared" si="0"/>
        <v>0</v>
      </c>
      <c r="O25" s="265" t="s">
        <v>359</v>
      </c>
      <c r="P25" s="265" t="s">
        <v>102</v>
      </c>
      <c r="Q25" s="265" t="s">
        <v>4736</v>
      </c>
      <c r="R25" s="265">
        <v>0</v>
      </c>
      <c r="S25" s="265" t="s">
        <v>4737</v>
      </c>
      <c r="T25" s="347">
        <v>1.387</v>
      </c>
      <c r="U25" s="347">
        <v>14.68</v>
      </c>
      <c r="V25" s="348">
        <v>1.41</v>
      </c>
    </row>
    <row r="26" spans="1:22" ht="14.45" customHeight="1">
      <c r="A26" s="104" t="str">
        <f>IF(K26&gt;0,COUNT($A$8:A25)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" s="112"/>
      <c r="C26" s="79"/>
      <c r="D26" s="158" t="s">
        <v>4738</v>
      </c>
      <c r="E26" s="106">
        <v>100024872</v>
      </c>
      <c r="F26" s="159" t="s">
        <v>4739</v>
      </c>
      <c r="G26" s="106">
        <v>10</v>
      </c>
      <c r="H26" s="106">
        <v>900</v>
      </c>
      <c r="I26" s="153">
        <f>_xlfn.XLOOKUP(E26,'All Products'!D:D,'All Products'!H:H)</f>
        <v>91.56</v>
      </c>
      <c r="J26" s="205">
        <f>ROUNDUP(I26*Order_Quote!$L$26,2)</f>
        <v>457.8</v>
      </c>
      <c r="K26" s="78"/>
      <c r="L26" s="116"/>
      <c r="M26" s="199">
        <f t="shared" si="0"/>
        <v>0</v>
      </c>
      <c r="O26" s="265" t="s">
        <v>76</v>
      </c>
      <c r="P26" s="265" t="s">
        <v>102</v>
      </c>
      <c r="Q26" s="265" t="s">
        <v>4740</v>
      </c>
      <c r="R26" s="265">
        <v>0</v>
      </c>
      <c r="S26" s="265" t="s">
        <v>4741</v>
      </c>
      <c r="T26" s="347">
        <v>1.0549999999999999</v>
      </c>
      <c r="U26" s="347">
        <v>11.2</v>
      </c>
      <c r="V26" s="348">
        <v>0.8</v>
      </c>
    </row>
    <row r="27" spans="1:22" ht="14.45" customHeight="1">
      <c r="A27" s="104" t="str">
        <f>IF(K27&gt;0,COUNT($A$8:A26)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" s="112"/>
      <c r="C27" s="79"/>
      <c r="D27" s="158" t="s">
        <v>4742</v>
      </c>
      <c r="E27" s="106">
        <v>100023769</v>
      </c>
      <c r="F27" s="159" t="s">
        <v>4743</v>
      </c>
      <c r="G27" s="106">
        <v>10</v>
      </c>
      <c r="H27" s="106">
        <v>900</v>
      </c>
      <c r="I27" s="153">
        <f>_xlfn.XLOOKUP(E27,'All Products'!D:D,'All Products'!H:H)</f>
        <v>102.64</v>
      </c>
      <c r="J27" s="205">
        <f>ROUNDUP(I27*Order_Quote!$L$26,2)</f>
        <v>513.20000000000005</v>
      </c>
      <c r="K27" s="78"/>
      <c r="L27" s="116"/>
      <c r="M27" s="199">
        <f t="shared" si="0"/>
        <v>0</v>
      </c>
      <c r="O27" s="265" t="s">
        <v>359</v>
      </c>
      <c r="P27" s="265" t="s">
        <v>102</v>
      </c>
      <c r="Q27" s="265" t="s">
        <v>4744</v>
      </c>
      <c r="R27" s="265">
        <v>0</v>
      </c>
      <c r="S27" s="265" t="s">
        <v>4745</v>
      </c>
      <c r="T27" s="347">
        <v>1.07</v>
      </c>
      <c r="U27" s="347">
        <v>10.7</v>
      </c>
      <c r="V27" s="348">
        <v>0.8</v>
      </c>
    </row>
    <row r="28" spans="1:22" ht="14.45" customHeight="1">
      <c r="A28" s="104" t="str">
        <f>IF(K28&gt;0,COUNT($A$8:A27)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" s="112"/>
      <c r="C28" s="79"/>
      <c r="D28" s="158" t="s">
        <v>4746</v>
      </c>
      <c r="E28" s="106">
        <v>100023773</v>
      </c>
      <c r="F28" s="159" t="s">
        <v>4747</v>
      </c>
      <c r="G28" s="106">
        <v>10</v>
      </c>
      <c r="H28" s="106">
        <v>900</v>
      </c>
      <c r="I28" s="153">
        <f>_xlfn.XLOOKUP(E28,'All Products'!D:D,'All Products'!H:H)</f>
        <v>102.64</v>
      </c>
      <c r="J28" s="205">
        <f>ROUNDUP(I28*Order_Quote!$L$26,2)</f>
        <v>513.20000000000005</v>
      </c>
      <c r="K28" s="78"/>
      <c r="L28" s="116"/>
      <c r="M28" s="199">
        <f t="shared" si="0"/>
        <v>0</v>
      </c>
      <c r="O28" s="265" t="s">
        <v>359</v>
      </c>
      <c r="P28" s="265" t="s">
        <v>102</v>
      </c>
      <c r="Q28" s="265" t="s">
        <v>4748</v>
      </c>
      <c r="R28" s="265">
        <v>0</v>
      </c>
      <c r="S28" s="265" t="s">
        <v>4749</v>
      </c>
      <c r="T28" s="347">
        <v>1.0880000000000001</v>
      </c>
      <c r="U28" s="347">
        <v>11.45</v>
      </c>
      <c r="V28" s="348">
        <v>0.8</v>
      </c>
    </row>
    <row r="29" spans="1:22" ht="14.45" customHeight="1">
      <c r="A29" s="104" t="str">
        <f>IF(K29&gt;0,COUNT($A$8:A28)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" s="112"/>
      <c r="C29" s="79"/>
      <c r="D29" s="158" t="s">
        <v>4750</v>
      </c>
      <c r="E29" s="106">
        <v>100023774</v>
      </c>
      <c r="F29" s="159" t="s">
        <v>4751</v>
      </c>
      <c r="G29" s="106">
        <v>10</v>
      </c>
      <c r="H29" s="106">
        <v>600</v>
      </c>
      <c r="I29" s="153">
        <f>_xlfn.XLOOKUP(E29,'All Products'!D:D,'All Products'!H:H)</f>
        <v>113.76</v>
      </c>
      <c r="J29" s="205">
        <f>ROUNDUP(I29*Order_Quote!$L$26,2)</f>
        <v>568.79999999999995</v>
      </c>
      <c r="K29" s="78"/>
      <c r="L29" s="116"/>
      <c r="M29" s="199">
        <f t="shared" si="0"/>
        <v>0</v>
      </c>
      <c r="O29" s="265" t="s">
        <v>359</v>
      </c>
      <c r="P29" s="265" t="s">
        <v>102</v>
      </c>
      <c r="Q29" s="265" t="s">
        <v>4752</v>
      </c>
      <c r="R29" s="265">
        <v>0</v>
      </c>
      <c r="S29" s="265" t="s">
        <v>4753</v>
      </c>
      <c r="T29" s="347">
        <v>1.2170000000000001</v>
      </c>
      <c r="U29" s="347">
        <v>12.17</v>
      </c>
      <c r="V29" s="348">
        <v>1.25</v>
      </c>
    </row>
    <row r="30" spans="1:22" ht="14.45" customHeight="1">
      <c r="A30" s="104" t="str">
        <f>IF(K30&gt;0,COUNT($A$8:A29)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" s="112"/>
      <c r="C30" s="79"/>
      <c r="D30" s="158" t="s">
        <v>4754</v>
      </c>
      <c r="E30" s="106">
        <v>100023777</v>
      </c>
      <c r="F30" s="159" t="s">
        <v>4755</v>
      </c>
      <c r="G30" s="106">
        <v>10</v>
      </c>
      <c r="H30" s="106">
        <v>600</v>
      </c>
      <c r="I30" s="153">
        <f>_xlfn.XLOOKUP(E30,'All Products'!D:D,'All Products'!H:H)</f>
        <v>113.76</v>
      </c>
      <c r="J30" s="205">
        <f>ROUNDUP(I30*Order_Quote!$L$26,2)</f>
        <v>568.79999999999995</v>
      </c>
      <c r="K30" s="78"/>
      <c r="L30" s="116"/>
      <c r="M30" s="199">
        <f t="shared" si="0"/>
        <v>0</v>
      </c>
      <c r="O30" s="265" t="s">
        <v>359</v>
      </c>
      <c r="P30" s="265" t="s">
        <v>102</v>
      </c>
      <c r="Q30" s="265" t="s">
        <v>4756</v>
      </c>
      <c r="R30" s="265">
        <v>0</v>
      </c>
      <c r="S30" s="265" t="s">
        <v>4757</v>
      </c>
      <c r="T30" s="347">
        <v>1.2669999999999999</v>
      </c>
      <c r="U30" s="347">
        <v>13.47</v>
      </c>
      <c r="V30" s="348">
        <v>1.41</v>
      </c>
    </row>
    <row r="31" spans="1:22" ht="14.45" customHeight="1">
      <c r="A31" s="104" t="str">
        <f>IF(K31&gt;0,COUNT($A$8:A30)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" s="112"/>
      <c r="C31" s="79"/>
      <c r="D31" s="158" t="s">
        <v>4758</v>
      </c>
      <c r="E31" s="106">
        <v>100023784</v>
      </c>
      <c r="F31" s="159" t="s">
        <v>4759</v>
      </c>
      <c r="G31" s="106">
        <v>10</v>
      </c>
      <c r="H31" s="106">
        <v>1200</v>
      </c>
      <c r="I31" s="153">
        <f>_xlfn.XLOOKUP(E31,'All Products'!D:D,'All Products'!H:H)</f>
        <v>91.56</v>
      </c>
      <c r="J31" s="205">
        <f>ROUNDUP(I31*Order_Quote!$L$26,2)</f>
        <v>457.8</v>
      </c>
      <c r="K31" s="78"/>
      <c r="L31" s="116"/>
      <c r="M31" s="199">
        <f t="shared" si="0"/>
        <v>0</v>
      </c>
      <c r="O31" s="265" t="s">
        <v>359</v>
      </c>
      <c r="P31" s="265" t="s">
        <v>102</v>
      </c>
      <c r="Q31" s="265" t="s">
        <v>4760</v>
      </c>
      <c r="R31" s="265">
        <v>0</v>
      </c>
      <c r="S31" s="265" t="s">
        <v>4761</v>
      </c>
      <c r="T31" s="347">
        <v>0.92500000000000004</v>
      </c>
      <c r="U31" s="347">
        <v>9.25</v>
      </c>
      <c r="V31" s="348">
        <v>0.65</v>
      </c>
    </row>
    <row r="32" spans="1:22" ht="14.45" customHeight="1">
      <c r="A32" s="104" t="str">
        <f>IF(K32&gt;0,COUNT($A$8:A31)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" s="112"/>
      <c r="C32" s="79"/>
      <c r="D32" s="158" t="s">
        <v>4762</v>
      </c>
      <c r="E32" s="106">
        <v>100023785</v>
      </c>
      <c r="F32" s="159" t="s">
        <v>4763</v>
      </c>
      <c r="G32" s="106">
        <v>10</v>
      </c>
      <c r="H32" s="106">
        <v>1200</v>
      </c>
      <c r="I32" s="153">
        <f>_xlfn.XLOOKUP(E32,'All Products'!D:D,'All Products'!H:H)</f>
        <v>91.56</v>
      </c>
      <c r="J32" s="205">
        <f>ROUNDUP(I32*Order_Quote!$L$26,2)</f>
        <v>457.8</v>
      </c>
      <c r="K32" s="78"/>
      <c r="L32" s="116"/>
      <c r="M32" s="199">
        <f t="shared" si="0"/>
        <v>0</v>
      </c>
      <c r="O32" s="265" t="s">
        <v>359</v>
      </c>
      <c r="P32" s="265" t="s">
        <v>102</v>
      </c>
      <c r="Q32" s="265" t="s">
        <v>4764</v>
      </c>
      <c r="R32" s="265">
        <v>0</v>
      </c>
      <c r="S32" s="265" t="s">
        <v>4765</v>
      </c>
      <c r="T32" s="347">
        <v>0.995</v>
      </c>
      <c r="U32" s="347">
        <v>9.9499999999999993</v>
      </c>
      <c r="V32" s="348">
        <v>0.65</v>
      </c>
    </row>
    <row r="33" spans="1:22" ht="14.45" customHeight="1">
      <c r="A33" s="104" t="str">
        <f>IF(K33&gt;0,COUNT($A$8:A32)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" s="112"/>
      <c r="C33" s="79"/>
      <c r="D33" s="158" t="s">
        <v>4766</v>
      </c>
      <c r="E33" s="106">
        <v>100023791</v>
      </c>
      <c r="F33" s="159" t="s">
        <v>4767</v>
      </c>
      <c r="G33" s="106">
        <v>10</v>
      </c>
      <c r="H33" s="106">
        <v>900</v>
      </c>
      <c r="I33" s="153">
        <f>_xlfn.XLOOKUP(E33,'All Products'!D:D,'All Products'!H:H)</f>
        <v>102.64</v>
      </c>
      <c r="J33" s="205">
        <f>ROUNDUP(I33*Order_Quote!$L$26,2)</f>
        <v>513.20000000000005</v>
      </c>
      <c r="K33" s="78"/>
      <c r="L33" s="116"/>
      <c r="M33" s="199">
        <f t="shared" si="0"/>
        <v>0</v>
      </c>
      <c r="O33" s="265" t="s">
        <v>359</v>
      </c>
      <c r="P33" s="265" t="s">
        <v>102</v>
      </c>
      <c r="Q33" s="265" t="s">
        <v>4768</v>
      </c>
      <c r="R33" s="265">
        <v>0</v>
      </c>
      <c r="S33" s="265" t="s">
        <v>4769</v>
      </c>
      <c r="T33" s="347">
        <v>1.03</v>
      </c>
      <c r="U33" s="347">
        <v>10.6</v>
      </c>
      <c r="V33" s="348">
        <v>0.8</v>
      </c>
    </row>
    <row r="34" spans="1:22" ht="14.45" customHeight="1">
      <c r="A34" s="104" t="str">
        <f>IF(K34&gt;0,COUNT($A$8:A33)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" s="112"/>
      <c r="C34" s="79"/>
      <c r="D34" s="158" t="s">
        <v>4770</v>
      </c>
      <c r="E34" s="106">
        <v>100024875</v>
      </c>
      <c r="F34" s="159" t="s">
        <v>4771</v>
      </c>
      <c r="G34" s="106">
        <v>10</v>
      </c>
      <c r="H34" s="106">
        <v>900</v>
      </c>
      <c r="I34" s="153">
        <f>_xlfn.XLOOKUP(E34,'All Products'!D:D,'All Products'!H:H)</f>
        <v>102.64</v>
      </c>
      <c r="J34" s="205">
        <f>ROUNDUP(I34*Order_Quote!$L$26,2)</f>
        <v>513.20000000000005</v>
      </c>
      <c r="K34" s="78"/>
      <c r="L34" s="116"/>
      <c r="M34" s="199">
        <f t="shared" si="0"/>
        <v>0</v>
      </c>
      <c r="O34" s="265" t="s">
        <v>76</v>
      </c>
      <c r="P34" s="265" t="s">
        <v>102</v>
      </c>
      <c r="Q34" s="265" t="s">
        <v>4772</v>
      </c>
      <c r="R34" s="265">
        <v>0</v>
      </c>
      <c r="S34" s="265" t="s">
        <v>4773</v>
      </c>
      <c r="T34" s="347">
        <v>1.1060000000000001</v>
      </c>
      <c r="U34" s="347">
        <v>11.35</v>
      </c>
      <c r="V34" s="348">
        <v>0.8</v>
      </c>
    </row>
    <row r="35" spans="1:22" ht="14.45" customHeight="1">
      <c r="A35" s="104" t="str">
        <f>IF(K35&gt;0,COUNT($A$8:A34)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" s="112"/>
      <c r="C35" s="79"/>
      <c r="D35" s="158" t="s">
        <v>4774</v>
      </c>
      <c r="E35" s="106">
        <v>100023792</v>
      </c>
      <c r="F35" s="159" t="s">
        <v>4775</v>
      </c>
      <c r="G35" s="106">
        <v>10</v>
      </c>
      <c r="H35" s="106">
        <v>600</v>
      </c>
      <c r="I35" s="153">
        <f>_xlfn.XLOOKUP(E35,'All Products'!D:D,'All Products'!H:H)</f>
        <v>113.76</v>
      </c>
      <c r="J35" s="205">
        <f>ROUNDUP(I35*Order_Quote!$L$26,2)</f>
        <v>568.79999999999995</v>
      </c>
      <c r="K35" s="78"/>
      <c r="L35" s="116"/>
      <c r="M35" s="199">
        <f t="shared" si="0"/>
        <v>0</v>
      </c>
      <c r="O35" s="265" t="s">
        <v>359</v>
      </c>
      <c r="P35" s="265" t="s">
        <v>102</v>
      </c>
      <c r="Q35" s="265" t="s">
        <v>4776</v>
      </c>
      <c r="R35" s="265">
        <v>0</v>
      </c>
      <c r="S35" s="265" t="s">
        <v>4777</v>
      </c>
      <c r="T35" s="347">
        <v>1.1499999999999999</v>
      </c>
      <c r="U35" s="347">
        <v>12.07</v>
      </c>
      <c r="V35" s="348">
        <v>1.25</v>
      </c>
    </row>
    <row r="36" spans="1:22" ht="14.45" customHeight="1">
      <c r="A36" s="104" t="str">
        <f>IF(K36&gt;0,COUNT($A$8:A35)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" s="112"/>
      <c r="C36" s="79"/>
      <c r="D36" s="158" t="s">
        <v>4778</v>
      </c>
      <c r="E36" s="106">
        <v>100023793</v>
      </c>
      <c r="F36" s="159" t="s">
        <v>4779</v>
      </c>
      <c r="G36" s="106">
        <v>10</v>
      </c>
      <c r="H36" s="106">
        <v>600</v>
      </c>
      <c r="I36" s="153">
        <f>_xlfn.XLOOKUP(E36,'All Products'!D:D,'All Products'!H:H)</f>
        <v>113.76</v>
      </c>
      <c r="J36" s="205">
        <f>ROUNDUP(I36*Order_Quote!$L$26,2)</f>
        <v>568.79999999999995</v>
      </c>
      <c r="K36" s="78"/>
      <c r="L36" s="116"/>
      <c r="M36" s="199">
        <f t="shared" si="0"/>
        <v>0</v>
      </c>
      <c r="O36" s="265" t="s">
        <v>359</v>
      </c>
      <c r="P36" s="265" t="s">
        <v>102</v>
      </c>
      <c r="Q36" s="265" t="s">
        <v>4780</v>
      </c>
      <c r="R36" s="265">
        <v>0</v>
      </c>
      <c r="S36" s="265" t="s">
        <v>4781</v>
      </c>
      <c r="T36" s="347">
        <v>1.2150000000000001</v>
      </c>
      <c r="U36" s="347">
        <v>12.78</v>
      </c>
      <c r="V36" s="348">
        <v>1.41</v>
      </c>
    </row>
    <row r="37" spans="1:22" ht="14.45" customHeight="1">
      <c r="A37" s="104" t="str">
        <f>IF(K37&gt;0,COUNT($A$8:A36)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" s="112"/>
      <c r="C37" s="79"/>
      <c r="D37" s="158" t="s">
        <v>4782</v>
      </c>
      <c r="E37" s="106">
        <v>100024876</v>
      </c>
      <c r="F37" s="159" t="s">
        <v>4783</v>
      </c>
      <c r="G37" s="106">
        <v>10</v>
      </c>
      <c r="H37" s="106">
        <v>600</v>
      </c>
      <c r="I37" s="153">
        <f>_xlfn.XLOOKUP(E37,'All Products'!D:D,'All Products'!H:H)</f>
        <v>113.76</v>
      </c>
      <c r="J37" s="205">
        <f>ROUNDUP(I37*Order_Quote!$L$26,2)</f>
        <v>568.79999999999995</v>
      </c>
      <c r="K37" s="78"/>
      <c r="L37" s="116"/>
      <c r="M37" s="199">
        <f t="shared" si="0"/>
        <v>0</v>
      </c>
      <c r="O37" s="265" t="s">
        <v>359</v>
      </c>
      <c r="P37" s="265" t="s">
        <v>102</v>
      </c>
      <c r="Q37" s="265" t="s">
        <v>4784</v>
      </c>
      <c r="R37" s="265">
        <v>0</v>
      </c>
      <c r="S37" s="265" t="s">
        <v>4785</v>
      </c>
      <c r="T37" s="347">
        <v>1.2849999999999999</v>
      </c>
      <c r="U37" s="347">
        <v>13.48</v>
      </c>
      <c r="V37" s="348">
        <v>1.41</v>
      </c>
    </row>
    <row r="38" spans="1:22" ht="14.45" customHeight="1">
      <c r="A38" s="104" t="str">
        <f>IF(K38&gt;0,COUNT($A$8:A37)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" s="112"/>
      <c r="C38" s="79"/>
      <c r="D38" s="158" t="s">
        <v>4786</v>
      </c>
      <c r="E38" s="106">
        <v>100023797</v>
      </c>
      <c r="F38" s="159" t="s">
        <v>4787</v>
      </c>
      <c r="G38" s="106">
        <v>10</v>
      </c>
      <c r="H38" s="106">
        <v>1200</v>
      </c>
      <c r="I38" s="153">
        <f>_xlfn.XLOOKUP(E38,'All Products'!D:D,'All Products'!H:H)</f>
        <v>91.56</v>
      </c>
      <c r="J38" s="205">
        <f>ROUNDUP(I38*Order_Quote!$L$26,2)</f>
        <v>457.8</v>
      </c>
      <c r="K38" s="78"/>
      <c r="L38" s="116"/>
      <c r="M38" s="199">
        <f t="shared" si="0"/>
        <v>0</v>
      </c>
      <c r="O38" s="265" t="s">
        <v>359</v>
      </c>
      <c r="P38" s="265" t="s">
        <v>102</v>
      </c>
      <c r="Q38" s="265" t="s">
        <v>4788</v>
      </c>
      <c r="R38" s="265">
        <v>0</v>
      </c>
      <c r="S38" s="265" t="s">
        <v>4789</v>
      </c>
      <c r="T38" s="347">
        <v>0.88900000000000001</v>
      </c>
      <c r="U38" s="347">
        <v>9.3000000000000007</v>
      </c>
      <c r="V38" s="348">
        <v>0.65</v>
      </c>
    </row>
    <row r="39" spans="1:22" ht="14.45" customHeight="1">
      <c r="A39" s="104" t="str">
        <f>IF(K39&gt;0,COUNT($A$8:A38)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" s="112"/>
      <c r="C39" s="79"/>
      <c r="D39" s="158" t="s">
        <v>4790</v>
      </c>
      <c r="E39" s="106">
        <v>100024888</v>
      </c>
      <c r="F39" s="159" t="s">
        <v>4791</v>
      </c>
      <c r="G39" s="106">
        <v>10</v>
      </c>
      <c r="H39" s="106">
        <v>900</v>
      </c>
      <c r="I39" s="153">
        <f>_xlfn.XLOOKUP(E39,'All Products'!D:D,'All Products'!H:H)</f>
        <v>102.64</v>
      </c>
      <c r="J39" s="205">
        <f>ROUNDUP(I39*Order_Quote!$L$26,2)</f>
        <v>513.20000000000005</v>
      </c>
      <c r="K39" s="78"/>
      <c r="L39" s="116"/>
      <c r="M39" s="199">
        <f t="shared" si="0"/>
        <v>0</v>
      </c>
      <c r="O39" s="265" t="s">
        <v>359</v>
      </c>
      <c r="P39" s="265" t="s">
        <v>102</v>
      </c>
      <c r="Q39" s="265" t="s">
        <v>4792</v>
      </c>
      <c r="R39" s="265">
        <v>0</v>
      </c>
      <c r="S39" s="265" t="s">
        <v>4793</v>
      </c>
      <c r="T39" s="347">
        <v>1.123</v>
      </c>
      <c r="U39" s="347">
        <v>11.45</v>
      </c>
      <c r="V39" s="348">
        <v>0.8</v>
      </c>
    </row>
    <row r="40" spans="1:22" ht="14.45" customHeight="1">
      <c r="A40" s="104" t="str">
        <f>IF(K40&gt;0,COUNT($A$8:A39)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" s="112"/>
      <c r="C40" s="79"/>
      <c r="D40" s="158" t="s">
        <v>4794</v>
      </c>
      <c r="E40" s="106">
        <v>100023811</v>
      </c>
      <c r="F40" s="159" t="s">
        <v>4795</v>
      </c>
      <c r="G40" s="106">
        <v>10</v>
      </c>
      <c r="H40" s="106">
        <v>600</v>
      </c>
      <c r="I40" s="153">
        <f>_xlfn.XLOOKUP(E40,'All Products'!D:D,'All Products'!H:H)</f>
        <v>113.76</v>
      </c>
      <c r="J40" s="205">
        <f>ROUNDUP(I40*Order_Quote!$L$26,2)</f>
        <v>568.79999999999995</v>
      </c>
      <c r="K40" s="78"/>
      <c r="L40" s="116"/>
      <c r="M40" s="199">
        <f t="shared" si="0"/>
        <v>0</v>
      </c>
      <c r="O40" s="265" t="s">
        <v>359</v>
      </c>
      <c r="P40" s="265" t="s">
        <v>102</v>
      </c>
      <c r="Q40" s="265" t="s">
        <v>4796</v>
      </c>
      <c r="R40" s="265">
        <v>0</v>
      </c>
      <c r="S40" s="265" t="s">
        <v>4797</v>
      </c>
      <c r="T40" s="347">
        <v>1.302</v>
      </c>
      <c r="U40" s="347">
        <v>13.7</v>
      </c>
      <c r="V40" s="348">
        <v>1.41</v>
      </c>
    </row>
    <row r="41" spans="1:22" ht="14.45" customHeight="1">
      <c r="A41" s="104" t="str">
        <f>IF(K41&gt;0,COUNT($A$8:A40)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" s="112"/>
      <c r="C41" s="79"/>
      <c r="D41" s="158" t="s">
        <v>4798</v>
      </c>
      <c r="E41" s="106">
        <v>100023818</v>
      </c>
      <c r="F41" s="159" t="s">
        <v>4799</v>
      </c>
      <c r="G41" s="106">
        <v>10</v>
      </c>
      <c r="H41" s="106">
        <v>900</v>
      </c>
      <c r="I41" s="153">
        <f>_xlfn.XLOOKUP(E41,'All Products'!D:D,'All Products'!H:H)</f>
        <v>102.64</v>
      </c>
      <c r="J41" s="205">
        <f>ROUNDUP(I41*Order_Quote!$L$26,2)</f>
        <v>513.20000000000005</v>
      </c>
      <c r="K41" s="78"/>
      <c r="L41" s="116"/>
      <c r="M41" s="199">
        <f t="shared" si="0"/>
        <v>0</v>
      </c>
      <c r="O41" s="265" t="s">
        <v>76</v>
      </c>
      <c r="P41" s="265" t="s">
        <v>102</v>
      </c>
      <c r="Q41" s="265" t="s">
        <v>4800</v>
      </c>
      <c r="R41" s="265">
        <v>0</v>
      </c>
      <c r="S41" s="265" t="s">
        <v>4801</v>
      </c>
      <c r="T41" s="347">
        <v>1.1479999999999999</v>
      </c>
      <c r="U41" s="347">
        <v>11.6</v>
      </c>
      <c r="V41" s="348">
        <v>0.8</v>
      </c>
    </row>
    <row r="42" spans="1:22" ht="14.45" customHeight="1">
      <c r="A42" s="104" t="str">
        <f>IF(K42&gt;0,COUNT($A$8:A41)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" s="112"/>
      <c r="C42" s="79"/>
      <c r="D42" s="158" t="s">
        <v>4802</v>
      </c>
      <c r="E42" s="106">
        <v>100023819</v>
      </c>
      <c r="F42" s="159" t="s">
        <v>4803</v>
      </c>
      <c r="G42" s="106">
        <v>10</v>
      </c>
      <c r="H42" s="106">
        <v>600</v>
      </c>
      <c r="I42" s="153">
        <f>_xlfn.XLOOKUP(E42,'All Products'!D:D,'All Products'!H:H)</f>
        <v>113.76</v>
      </c>
      <c r="J42" s="205">
        <f>ROUNDUP(I42*Order_Quote!$L$26,2)</f>
        <v>568.79999999999995</v>
      </c>
      <c r="K42" s="78"/>
      <c r="L42" s="116"/>
      <c r="M42" s="199">
        <f t="shared" si="0"/>
        <v>0</v>
      </c>
      <c r="O42" s="265" t="s">
        <v>359</v>
      </c>
      <c r="P42" s="265" t="s">
        <v>102</v>
      </c>
      <c r="Q42" s="265" t="s">
        <v>4804</v>
      </c>
      <c r="R42" s="265">
        <v>0</v>
      </c>
      <c r="S42" s="265" t="s">
        <v>4805</v>
      </c>
      <c r="T42" s="347">
        <v>1.2569999999999999</v>
      </c>
      <c r="U42" s="347">
        <v>12.98</v>
      </c>
      <c r="V42" s="348">
        <v>1.41</v>
      </c>
    </row>
    <row r="43" spans="1:22" ht="14.45" customHeight="1">
      <c r="A43" s="104" t="str">
        <f>IF(K43&gt;0,COUNT($A$8:A42)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" s="112"/>
      <c r="C43" s="79"/>
      <c r="D43" s="158" t="s">
        <v>4806</v>
      </c>
      <c r="E43" s="106">
        <v>100023826</v>
      </c>
      <c r="F43" s="159" t="s">
        <v>4807</v>
      </c>
      <c r="G43" s="106">
        <v>10</v>
      </c>
      <c r="H43" s="106">
        <v>600</v>
      </c>
      <c r="I43" s="153">
        <f>_xlfn.XLOOKUP(E43,'All Products'!D:D,'All Products'!H:H)</f>
        <v>102.64</v>
      </c>
      <c r="J43" s="205">
        <f>ROUNDUP(I43*Order_Quote!$L$26,2)</f>
        <v>513.20000000000005</v>
      </c>
      <c r="K43" s="78"/>
      <c r="L43" s="116"/>
      <c r="M43" s="199">
        <f t="shared" si="0"/>
        <v>0</v>
      </c>
      <c r="O43" s="265" t="s">
        <v>359</v>
      </c>
      <c r="P43" s="265" t="s">
        <v>102</v>
      </c>
      <c r="Q43" s="265" t="s">
        <v>4808</v>
      </c>
      <c r="R43" s="265">
        <v>0</v>
      </c>
      <c r="S43" s="265" t="s">
        <v>4809</v>
      </c>
      <c r="T43" s="347">
        <v>1.0549999999999999</v>
      </c>
      <c r="U43" s="347">
        <v>10.55</v>
      </c>
      <c r="V43" s="348">
        <v>1.25</v>
      </c>
    </row>
    <row r="44" spans="1:22" ht="14.45" customHeight="1">
      <c r="A44" s="104" t="str">
        <f>IF(K44&gt;0,COUNT($A$8:A43)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" s="112"/>
      <c r="C44" s="79"/>
      <c r="D44" s="158" t="s">
        <v>4810</v>
      </c>
      <c r="E44" s="106">
        <v>100023827</v>
      </c>
      <c r="F44" s="159" t="s">
        <v>4811</v>
      </c>
      <c r="G44" s="106">
        <v>10</v>
      </c>
      <c r="H44" s="106">
        <v>900</v>
      </c>
      <c r="I44" s="153">
        <f>_xlfn.XLOOKUP(E44,'All Products'!D:D,'All Products'!H:H)</f>
        <v>102.64</v>
      </c>
      <c r="J44" s="205">
        <f>ROUNDUP(I44*Order_Quote!$L$26,2)</f>
        <v>513.20000000000005</v>
      </c>
      <c r="K44" s="78"/>
      <c r="L44" s="116"/>
      <c r="M44" s="199">
        <f t="shared" si="0"/>
        <v>0</v>
      </c>
      <c r="O44" s="265" t="s">
        <v>76</v>
      </c>
      <c r="P44" s="265" t="s">
        <v>102</v>
      </c>
      <c r="Q44" s="265" t="s">
        <v>4812</v>
      </c>
      <c r="R44" s="265">
        <v>0</v>
      </c>
      <c r="S44" s="265" t="s">
        <v>4813</v>
      </c>
      <c r="T44" s="347">
        <v>1.1020000000000001</v>
      </c>
      <c r="U44" s="347">
        <v>11.65</v>
      </c>
      <c r="V44" s="348">
        <v>0.8</v>
      </c>
    </row>
    <row r="45" spans="1:22" ht="14.45" customHeight="1">
      <c r="A45" s="104" t="str">
        <f>IF(K45&gt;0,COUNT($A$8:A44)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" s="112"/>
      <c r="C45" s="79"/>
      <c r="D45" s="158" t="s">
        <v>4814</v>
      </c>
      <c r="E45" s="106">
        <v>100023828</v>
      </c>
      <c r="F45" s="159" t="s">
        <v>4815</v>
      </c>
      <c r="G45" s="106">
        <v>10</v>
      </c>
      <c r="H45" s="106">
        <v>600</v>
      </c>
      <c r="I45" s="153">
        <f>_xlfn.XLOOKUP(E45,'All Products'!D:D,'All Products'!H:H)</f>
        <v>113.76</v>
      </c>
      <c r="J45" s="205">
        <f>ROUNDUP(I45*Order_Quote!$L$26,2)</f>
        <v>568.79999999999995</v>
      </c>
      <c r="K45" s="78"/>
      <c r="L45" s="116"/>
      <c r="M45" s="199">
        <f t="shared" si="0"/>
        <v>0</v>
      </c>
      <c r="O45" s="265" t="s">
        <v>76</v>
      </c>
      <c r="P45" s="265" t="s">
        <v>102</v>
      </c>
      <c r="Q45" s="265">
        <v>0</v>
      </c>
      <c r="R45" s="265">
        <v>0</v>
      </c>
      <c r="S45" s="265" t="s">
        <v>4816</v>
      </c>
      <c r="T45" s="347">
        <v>1.2809999999999999</v>
      </c>
      <c r="U45" s="347">
        <v>13.8</v>
      </c>
      <c r="V45" s="348">
        <v>1.41</v>
      </c>
    </row>
    <row r="46" spans="1:22" ht="14.45" customHeight="1">
      <c r="A46" s="104" t="str">
        <f>IF(K46&gt;0,COUNT($A$8:A45)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" s="112"/>
      <c r="C46" s="79"/>
      <c r="D46" s="158" t="s">
        <v>4817</v>
      </c>
      <c r="E46" s="106">
        <v>100024892</v>
      </c>
      <c r="F46" s="159" t="s">
        <v>4818</v>
      </c>
      <c r="G46" s="106">
        <v>10</v>
      </c>
      <c r="H46" s="106">
        <v>900</v>
      </c>
      <c r="I46" s="153">
        <f>_xlfn.XLOOKUP(E46,'All Products'!D:D,'All Products'!H:H)</f>
        <v>102.64</v>
      </c>
      <c r="J46" s="205">
        <f>ROUNDUP(I46*Order_Quote!$L$26,2)</f>
        <v>513.20000000000005</v>
      </c>
      <c r="K46" s="78"/>
      <c r="L46" s="116"/>
      <c r="M46" s="199">
        <f t="shared" si="0"/>
        <v>0</v>
      </c>
      <c r="O46" s="265" t="s">
        <v>76</v>
      </c>
      <c r="P46" s="265" t="s">
        <v>102</v>
      </c>
      <c r="Q46" s="265" t="s">
        <v>4819</v>
      </c>
      <c r="R46" s="265">
        <v>0</v>
      </c>
      <c r="S46" s="265" t="s">
        <v>4820</v>
      </c>
      <c r="T46" s="347">
        <v>1.01</v>
      </c>
      <c r="U46" s="347">
        <v>10.65</v>
      </c>
      <c r="V46" s="348">
        <v>0.8</v>
      </c>
    </row>
    <row r="47" spans="1:22" ht="14.45" customHeight="1">
      <c r="A47" s="104" t="str">
        <f>IF(K47&gt;0,COUNT($A$8:A46)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" s="112"/>
      <c r="C47" s="79"/>
      <c r="D47" s="158" t="s">
        <v>4821</v>
      </c>
      <c r="E47" s="106">
        <v>100024895</v>
      </c>
      <c r="F47" s="159" t="s">
        <v>4822</v>
      </c>
      <c r="G47" s="106">
        <v>10</v>
      </c>
      <c r="H47" s="106">
        <v>900</v>
      </c>
      <c r="I47" s="153">
        <f>_xlfn.XLOOKUP(E47,'All Products'!D:D,'All Products'!H:H)</f>
        <v>102.64</v>
      </c>
      <c r="J47" s="205">
        <f>ROUNDUP(I47*Order_Quote!$L$26,2)</f>
        <v>513.20000000000005</v>
      </c>
      <c r="K47" s="78"/>
      <c r="L47" s="116"/>
      <c r="M47" s="199">
        <f t="shared" si="0"/>
        <v>0</v>
      </c>
      <c r="O47" s="265" t="s">
        <v>76</v>
      </c>
      <c r="P47" s="265" t="s">
        <v>102</v>
      </c>
      <c r="Q47" s="265" t="s">
        <v>4823</v>
      </c>
      <c r="R47" s="265">
        <v>0</v>
      </c>
      <c r="S47" s="265" t="s">
        <v>4824</v>
      </c>
      <c r="T47" s="347">
        <v>1.0860000000000001</v>
      </c>
      <c r="U47" s="347">
        <v>11.54</v>
      </c>
      <c r="V47" s="348">
        <v>0.8</v>
      </c>
    </row>
    <row r="48" spans="1:22" ht="14.45" customHeight="1">
      <c r="A48" s="104" t="str">
        <f>IF(K48&gt;0,COUNT($A$8:A47)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" s="112"/>
      <c r="C48" s="79"/>
      <c r="D48" s="158" t="s">
        <v>4825</v>
      </c>
      <c r="E48" s="106">
        <v>100023850</v>
      </c>
      <c r="F48" s="159" t="s">
        <v>4826</v>
      </c>
      <c r="G48" s="106">
        <v>10</v>
      </c>
      <c r="H48" s="106">
        <v>240</v>
      </c>
      <c r="I48" s="153">
        <f>_xlfn.XLOOKUP(E48,'All Products'!D:D,'All Products'!H:H)</f>
        <v>113.76</v>
      </c>
      <c r="J48" s="205">
        <f>ROUNDUP(I48*Order_Quote!$L$26,2)</f>
        <v>568.79999999999995</v>
      </c>
      <c r="K48" s="78"/>
      <c r="L48" s="116"/>
      <c r="M48" s="199">
        <f t="shared" si="0"/>
        <v>0</v>
      </c>
      <c r="O48" s="265" t="s">
        <v>359</v>
      </c>
      <c r="P48" s="265" t="s">
        <v>102</v>
      </c>
      <c r="Q48" s="265" t="s">
        <v>4827</v>
      </c>
      <c r="R48" s="265">
        <v>0</v>
      </c>
      <c r="S48" s="265" t="s">
        <v>4828</v>
      </c>
      <c r="T48" s="347">
        <v>1.1299999999999999</v>
      </c>
      <c r="U48" s="347">
        <v>11.41</v>
      </c>
      <c r="V48" s="348">
        <v>2.77</v>
      </c>
    </row>
    <row r="49" spans="1:22" ht="14.45" customHeight="1">
      <c r="A49" s="104" t="str">
        <f>IF(K49&gt;0,COUNT($A$8:A48)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" s="112"/>
      <c r="C49" s="79"/>
      <c r="D49" s="158" t="s">
        <v>4829</v>
      </c>
      <c r="E49" s="106">
        <v>100023851</v>
      </c>
      <c r="F49" s="159" t="s">
        <v>4830</v>
      </c>
      <c r="G49" s="106">
        <v>10</v>
      </c>
      <c r="H49" s="106">
        <v>600</v>
      </c>
      <c r="I49" s="153">
        <f>_xlfn.XLOOKUP(E49,'All Products'!D:D,'All Products'!H:H)</f>
        <v>113.76</v>
      </c>
      <c r="J49" s="205">
        <f>ROUNDUP(I49*Order_Quote!$L$26,2)</f>
        <v>568.79999999999995</v>
      </c>
      <c r="K49" s="78"/>
      <c r="L49" s="116"/>
      <c r="M49" s="199">
        <f t="shared" si="0"/>
        <v>0</v>
      </c>
      <c r="O49" s="265" t="s">
        <v>359</v>
      </c>
      <c r="P49" s="265" t="s">
        <v>102</v>
      </c>
      <c r="Q49" s="265" t="s">
        <v>4831</v>
      </c>
      <c r="R49" s="265">
        <v>0</v>
      </c>
      <c r="S49" s="265" t="s">
        <v>4832</v>
      </c>
      <c r="T49" s="347">
        <v>1.1950000000000001</v>
      </c>
      <c r="U49" s="347">
        <v>12.67</v>
      </c>
      <c r="V49" s="348">
        <v>1.25</v>
      </c>
    </row>
    <row r="50" spans="1:22" ht="14.45" customHeight="1">
      <c r="A50" s="104" t="str">
        <f>IF(K50&gt;0,COUNT($A$8:A49)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0" s="112"/>
      <c r="C50" s="79"/>
      <c r="D50" s="158" t="s">
        <v>4833</v>
      </c>
      <c r="E50" s="106">
        <v>100024896</v>
      </c>
      <c r="F50" s="159" t="s">
        <v>4834</v>
      </c>
      <c r="G50" s="106">
        <v>10</v>
      </c>
      <c r="H50" s="106">
        <v>600</v>
      </c>
      <c r="I50" s="153">
        <f>_xlfn.XLOOKUP(E50,'All Products'!D:D,'All Products'!H:H)</f>
        <v>113.76</v>
      </c>
      <c r="J50" s="205">
        <f>ROUNDUP(I50*Order_Quote!$L$26,2)</f>
        <v>568.79999999999995</v>
      </c>
      <c r="K50" s="78"/>
      <c r="L50" s="116"/>
      <c r="M50" s="199">
        <f t="shared" si="0"/>
        <v>0</v>
      </c>
      <c r="O50" s="265" t="s">
        <v>76</v>
      </c>
      <c r="P50" s="265" t="s">
        <v>102</v>
      </c>
      <c r="Q50" s="265" t="s">
        <v>4835</v>
      </c>
      <c r="R50" s="265">
        <v>0</v>
      </c>
      <c r="S50" s="265" t="s">
        <v>4836</v>
      </c>
      <c r="T50" s="347">
        <v>1.2649999999999999</v>
      </c>
      <c r="U50" s="347">
        <v>13.5</v>
      </c>
      <c r="V50" s="348">
        <v>1.41</v>
      </c>
    </row>
    <row r="51" spans="1:22" ht="14.45" customHeight="1">
      <c r="A51" s="104" t="str">
        <f>IF(K51&gt;0,COUNT($A$8:A50)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1" s="112"/>
      <c r="C51" s="79"/>
      <c r="D51" s="158" t="s">
        <v>4837</v>
      </c>
      <c r="E51" s="106">
        <v>100024898</v>
      </c>
      <c r="F51" s="159" t="s">
        <v>4838</v>
      </c>
      <c r="G51" s="106">
        <v>10</v>
      </c>
      <c r="H51" s="106">
        <v>1200</v>
      </c>
      <c r="I51" s="153">
        <f>_xlfn.XLOOKUP(E51,'All Products'!D:D,'All Products'!H:H)</f>
        <v>91.56</v>
      </c>
      <c r="J51" s="205">
        <f>ROUNDUP(I51*Order_Quote!$L$26,2)</f>
        <v>457.8</v>
      </c>
      <c r="K51" s="78"/>
      <c r="L51" s="116"/>
      <c r="M51" s="199">
        <f t="shared" si="0"/>
        <v>0</v>
      </c>
      <c r="O51" s="265" t="s">
        <v>359</v>
      </c>
      <c r="P51" s="265" t="s">
        <v>102</v>
      </c>
      <c r="Q51" s="265" t="s">
        <v>4839</v>
      </c>
      <c r="R51" s="265">
        <v>0</v>
      </c>
      <c r="S51" s="265" t="s">
        <v>4840</v>
      </c>
      <c r="T51" s="347">
        <v>0.86899999999999999</v>
      </c>
      <c r="U51" s="347">
        <v>9.15</v>
      </c>
      <c r="V51" s="348">
        <v>0.65</v>
      </c>
    </row>
    <row r="52" spans="1:22" ht="14.45" customHeight="1">
      <c r="A52" s="104" t="str">
        <f>IF(K52&gt;0,COUNT($A$8:A51)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2" s="112"/>
      <c r="C52" s="79"/>
      <c r="D52" s="158" t="s">
        <v>4841</v>
      </c>
      <c r="E52" s="106">
        <v>100024899</v>
      </c>
      <c r="F52" s="159" t="s">
        <v>4842</v>
      </c>
      <c r="G52" s="106">
        <v>10</v>
      </c>
      <c r="H52" s="106">
        <v>1200</v>
      </c>
      <c r="I52" s="153">
        <f>_xlfn.XLOOKUP(E52,'All Products'!D:D,'All Products'!H:H)</f>
        <v>91.56</v>
      </c>
      <c r="J52" s="205">
        <f>ROUNDUP(I52*Order_Quote!$L$26,2)</f>
        <v>457.8</v>
      </c>
      <c r="K52" s="78"/>
      <c r="L52" s="116"/>
      <c r="M52" s="199">
        <f t="shared" si="0"/>
        <v>0</v>
      </c>
      <c r="O52" s="265" t="s">
        <v>76</v>
      </c>
      <c r="P52" s="265" t="s">
        <v>102</v>
      </c>
      <c r="Q52" s="265" t="s">
        <v>4843</v>
      </c>
      <c r="R52" s="265">
        <v>0</v>
      </c>
      <c r="S52" s="265" t="s">
        <v>4844</v>
      </c>
      <c r="T52" s="347">
        <v>0.93300000000000005</v>
      </c>
      <c r="U52" s="347">
        <v>9.9499999999999993</v>
      </c>
      <c r="V52" s="348">
        <v>0.65</v>
      </c>
    </row>
    <row r="53" spans="1:22" ht="14.45" customHeight="1">
      <c r="A53" s="104" t="str">
        <f>IF(K53&gt;0,COUNT($A$8:A52)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3" s="112"/>
      <c r="C53" s="79"/>
      <c r="D53" s="158" t="s">
        <v>4845</v>
      </c>
      <c r="E53" s="106">
        <v>100023890</v>
      </c>
      <c r="F53" s="159" t="s">
        <v>4846</v>
      </c>
      <c r="G53" s="106">
        <v>10</v>
      </c>
      <c r="H53" s="106">
        <v>900</v>
      </c>
      <c r="I53" s="153">
        <f>_xlfn.XLOOKUP(E53,'All Products'!D:D,'All Products'!H:H)</f>
        <v>102.64</v>
      </c>
      <c r="J53" s="205">
        <f>ROUNDUP(I53*Order_Quote!$L$26,2)</f>
        <v>513.20000000000005</v>
      </c>
      <c r="K53" s="78"/>
      <c r="L53" s="116"/>
      <c r="M53" s="199">
        <f t="shared" si="0"/>
        <v>0</v>
      </c>
      <c r="O53" s="265" t="s">
        <v>359</v>
      </c>
      <c r="P53" s="265" t="s">
        <v>102</v>
      </c>
      <c r="Q53" s="265" t="s">
        <v>4847</v>
      </c>
      <c r="R53" s="265">
        <v>0</v>
      </c>
      <c r="S53" s="265" t="s">
        <v>4848</v>
      </c>
      <c r="T53" s="347">
        <v>1.1419999999999999</v>
      </c>
      <c r="U53" s="347">
        <v>11.9</v>
      </c>
      <c r="V53" s="348">
        <v>0.8</v>
      </c>
    </row>
    <row r="54" spans="1:22" ht="14.45" customHeight="1">
      <c r="A54" s="104" t="str">
        <f>IF(K54&gt;0,COUNT($A$8:A53)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4" s="112"/>
      <c r="C54" s="79"/>
      <c r="D54" s="158" t="s">
        <v>4849</v>
      </c>
      <c r="E54" s="106">
        <v>100023892</v>
      </c>
      <c r="F54" s="159" t="s">
        <v>4850</v>
      </c>
      <c r="G54" s="106">
        <v>10</v>
      </c>
      <c r="H54" s="106">
        <v>600</v>
      </c>
      <c r="I54" s="153">
        <f>_xlfn.XLOOKUP(E54,'All Products'!D:D,'All Products'!H:H)</f>
        <v>113.76</v>
      </c>
      <c r="J54" s="205">
        <f>ROUNDUP(I54*Order_Quote!$L$26,2)</f>
        <v>568.79999999999995</v>
      </c>
      <c r="K54" s="78"/>
      <c r="L54" s="116"/>
      <c r="M54" s="199">
        <f t="shared" si="0"/>
        <v>0</v>
      </c>
      <c r="O54" s="265" t="s">
        <v>359</v>
      </c>
      <c r="P54" s="265" t="s">
        <v>102</v>
      </c>
      <c r="Q54" s="265" t="s">
        <v>4851</v>
      </c>
      <c r="R54" s="265">
        <v>0</v>
      </c>
      <c r="S54" s="265" t="s">
        <v>4852</v>
      </c>
      <c r="T54" s="347">
        <v>1.321</v>
      </c>
      <c r="U54" s="347">
        <v>14.2</v>
      </c>
      <c r="V54" s="348">
        <v>1.41</v>
      </c>
    </row>
    <row r="55" spans="1:22" ht="14.45" customHeight="1">
      <c r="A55" s="104" t="str">
        <f>IF(K55&gt;0,COUNT($A$8:A54)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5" s="112"/>
      <c r="C55" s="79"/>
      <c r="D55" s="158" t="s">
        <v>4853</v>
      </c>
      <c r="E55" s="106">
        <v>100024913</v>
      </c>
      <c r="F55" s="159" t="s">
        <v>4854</v>
      </c>
      <c r="G55" s="106">
        <v>10</v>
      </c>
      <c r="H55" s="106">
        <v>900</v>
      </c>
      <c r="I55" s="153">
        <f>_xlfn.XLOOKUP(E55,'All Products'!D:D,'All Products'!H:H)</f>
        <v>102.64</v>
      </c>
      <c r="J55" s="205">
        <f>ROUNDUP(I55*Order_Quote!$L$26,2)</f>
        <v>513.20000000000005</v>
      </c>
      <c r="K55" s="78"/>
      <c r="L55" s="116"/>
      <c r="M55" s="199">
        <f t="shared" si="0"/>
        <v>0</v>
      </c>
      <c r="O55" s="265" t="s">
        <v>359</v>
      </c>
      <c r="P55" s="265" t="s">
        <v>102</v>
      </c>
      <c r="Q55" s="265" t="s">
        <v>4855</v>
      </c>
      <c r="R55" s="265">
        <v>0</v>
      </c>
      <c r="S55" s="265" t="s">
        <v>4856</v>
      </c>
      <c r="T55" s="347">
        <v>1.1259999999999999</v>
      </c>
      <c r="U55" s="347">
        <v>11.8</v>
      </c>
      <c r="V55" s="348">
        <v>0.8</v>
      </c>
    </row>
    <row r="56" spans="1:22" ht="14.45" customHeight="1">
      <c r="A56" s="104" t="str">
        <f>IF(K56&gt;0,COUNT($A$8:A55)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6" s="112"/>
      <c r="C56" s="79"/>
      <c r="D56" s="158" t="s">
        <v>4857</v>
      </c>
      <c r="E56" s="106">
        <v>100023939</v>
      </c>
      <c r="F56" s="159" t="s">
        <v>4858</v>
      </c>
      <c r="G56" s="106">
        <v>10</v>
      </c>
      <c r="H56" s="106">
        <v>600</v>
      </c>
      <c r="I56" s="153">
        <f>_xlfn.XLOOKUP(E56,'All Products'!D:D,'All Products'!H:H)</f>
        <v>102.64</v>
      </c>
      <c r="J56" s="205">
        <f>ROUNDUP(I56*Order_Quote!$L$26,2)</f>
        <v>513.20000000000005</v>
      </c>
      <c r="K56" s="78"/>
      <c r="L56" s="116"/>
      <c r="M56" s="199">
        <f t="shared" si="0"/>
        <v>0</v>
      </c>
      <c r="O56" s="265" t="s">
        <v>359</v>
      </c>
      <c r="P56" s="265" t="s">
        <v>102</v>
      </c>
      <c r="Q56" s="265" t="s">
        <v>4859</v>
      </c>
      <c r="R56" s="265">
        <v>0</v>
      </c>
      <c r="S56" s="265" t="s">
        <v>4860</v>
      </c>
      <c r="T56" s="347">
        <v>1.034</v>
      </c>
      <c r="U56" s="347">
        <v>10.35</v>
      </c>
      <c r="V56" s="348">
        <v>1.25</v>
      </c>
    </row>
    <row r="57" spans="1:22" ht="14.45" customHeight="1">
      <c r="A57" s="104" t="str">
        <f>IF(K57&gt;0,COUNT($A$8:A56)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7" s="112"/>
      <c r="C57" s="79"/>
      <c r="D57" s="158" t="s">
        <v>4861</v>
      </c>
      <c r="E57" s="106">
        <v>100024915</v>
      </c>
      <c r="F57" s="159" t="s">
        <v>4862</v>
      </c>
      <c r="G57" s="106">
        <v>10</v>
      </c>
      <c r="H57" s="106">
        <v>600</v>
      </c>
      <c r="I57" s="153">
        <f>_xlfn.XLOOKUP(E57,'All Products'!D:D,'All Products'!H:H)</f>
        <v>102.64</v>
      </c>
      <c r="J57" s="205">
        <f>ROUNDUP(I57*Order_Quote!$L$26,2)</f>
        <v>513.20000000000005</v>
      </c>
      <c r="K57" s="78"/>
      <c r="L57" s="116"/>
      <c r="M57" s="199">
        <f t="shared" si="0"/>
        <v>0</v>
      </c>
      <c r="O57" s="265" t="s">
        <v>359</v>
      </c>
      <c r="P57" s="265" t="s">
        <v>102</v>
      </c>
      <c r="Q57" s="265" t="s">
        <v>4863</v>
      </c>
      <c r="R57" s="265">
        <v>0</v>
      </c>
      <c r="S57" s="265" t="s">
        <v>4864</v>
      </c>
      <c r="T57" s="347">
        <v>1.1100000000000001</v>
      </c>
      <c r="U57" s="347">
        <v>11.01</v>
      </c>
      <c r="V57" s="348">
        <v>1.41</v>
      </c>
    </row>
    <row r="58" spans="1:22" ht="14.45" customHeight="1">
      <c r="A58" s="104" t="str">
        <f>IF(K58&gt;0,COUNT($A$8:A57)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8" s="112"/>
      <c r="C58" s="79"/>
      <c r="D58" s="158" t="s">
        <v>4865</v>
      </c>
      <c r="E58" s="106">
        <v>100023941</v>
      </c>
      <c r="F58" s="159" t="s">
        <v>4866</v>
      </c>
      <c r="G58" s="106">
        <v>10</v>
      </c>
      <c r="H58" s="106">
        <v>600</v>
      </c>
      <c r="I58" s="153">
        <f>_xlfn.XLOOKUP(E58,'All Products'!D:D,'All Products'!H:H)</f>
        <v>113.76</v>
      </c>
      <c r="J58" s="205">
        <f>ROUNDUP(I58*Order_Quote!$L$26,2)</f>
        <v>568.79999999999995</v>
      </c>
      <c r="K58" s="78"/>
      <c r="L58" s="116"/>
      <c r="M58" s="199">
        <f t="shared" si="0"/>
        <v>0</v>
      </c>
      <c r="O58" s="265" t="s">
        <v>359</v>
      </c>
      <c r="P58" s="265" t="s">
        <v>102</v>
      </c>
      <c r="Q58" s="265" t="s">
        <v>4867</v>
      </c>
      <c r="R58" s="265">
        <v>0</v>
      </c>
      <c r="S58" s="265" t="s">
        <v>4868</v>
      </c>
      <c r="T58" s="347">
        <v>1.2190000000000001</v>
      </c>
      <c r="U58" s="347">
        <v>14.1</v>
      </c>
      <c r="V58" s="348">
        <v>1.25</v>
      </c>
    </row>
    <row r="59" spans="1:22" ht="14.45" customHeight="1">
      <c r="A59" s="104" t="str">
        <f>IF(K59&gt;0,COUNT($A$8:A58)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59" s="112"/>
      <c r="C59" s="79"/>
      <c r="D59" s="158" t="s">
        <v>4869</v>
      </c>
      <c r="E59" s="106">
        <v>100023942</v>
      </c>
      <c r="F59" s="159" t="s">
        <v>4870</v>
      </c>
      <c r="G59" s="106">
        <v>10</v>
      </c>
      <c r="H59" s="106">
        <v>240</v>
      </c>
      <c r="I59" s="153">
        <f>_xlfn.XLOOKUP(E59,'All Products'!D:D,'All Products'!H:H)</f>
        <v>113.76</v>
      </c>
      <c r="J59" s="205">
        <f>ROUNDUP(I59*Order_Quote!$L$26,2)</f>
        <v>568.79999999999995</v>
      </c>
      <c r="K59" s="78"/>
      <c r="L59" s="116"/>
      <c r="M59" s="199">
        <f t="shared" si="0"/>
        <v>0</v>
      </c>
      <c r="O59" s="265" t="s">
        <v>359</v>
      </c>
      <c r="P59" s="265" t="s">
        <v>102</v>
      </c>
      <c r="Q59" s="265" t="s">
        <v>4871</v>
      </c>
      <c r="R59" s="265">
        <v>0</v>
      </c>
      <c r="S59" s="265" t="s">
        <v>4872</v>
      </c>
      <c r="T59" s="347">
        <v>1.2889999999999999</v>
      </c>
      <c r="U59" s="347">
        <v>22.11</v>
      </c>
      <c r="V59" s="348">
        <v>2.77</v>
      </c>
    </row>
    <row r="60" spans="1:22" ht="14.45" customHeight="1">
      <c r="A60" s="104" t="str">
        <f>IF(K60&gt;0,COUNT($A$8:A59)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0" s="112"/>
      <c r="C60" s="79"/>
      <c r="D60" s="158" t="s">
        <v>4873</v>
      </c>
      <c r="E60" s="106">
        <v>100023943</v>
      </c>
      <c r="F60" s="159" t="s">
        <v>4874</v>
      </c>
      <c r="G60" s="106">
        <v>10</v>
      </c>
      <c r="H60" s="106">
        <v>750</v>
      </c>
      <c r="I60" s="153">
        <f>_xlfn.XLOOKUP(E60,'All Products'!D:D,'All Products'!H:H)</f>
        <v>91.56</v>
      </c>
      <c r="J60" s="205">
        <f>ROUNDUP(I60*Order_Quote!$L$26,2)</f>
        <v>457.8</v>
      </c>
      <c r="K60" s="78"/>
      <c r="L60" s="116"/>
      <c r="M60" s="199">
        <f t="shared" si="0"/>
        <v>0</v>
      </c>
      <c r="O60" s="265" t="s">
        <v>359</v>
      </c>
      <c r="P60" s="265" t="s">
        <v>102</v>
      </c>
      <c r="Q60" s="265" t="s">
        <v>4875</v>
      </c>
      <c r="R60" s="265">
        <v>0</v>
      </c>
      <c r="S60" s="265" t="s">
        <v>4876</v>
      </c>
      <c r="T60" s="347">
        <v>0.89300000000000002</v>
      </c>
      <c r="U60" s="347">
        <v>8.8699999999999992</v>
      </c>
      <c r="V60" s="348">
        <v>0.95</v>
      </c>
    </row>
    <row r="61" spans="1:22" ht="14.45" customHeight="1">
      <c r="A61" s="104" t="str">
        <f>IF(K61&gt;0,COUNT($A$8:A60)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1" s="112"/>
      <c r="C61" s="79"/>
      <c r="D61" s="158" t="s">
        <v>4877</v>
      </c>
      <c r="E61" s="106">
        <v>100023944</v>
      </c>
      <c r="F61" s="159" t="s">
        <v>4878</v>
      </c>
      <c r="G61" s="106">
        <v>10</v>
      </c>
      <c r="H61" s="106">
        <v>1200</v>
      </c>
      <c r="I61" s="153">
        <f>_xlfn.XLOOKUP(E61,'All Products'!D:D,'All Products'!H:H)</f>
        <v>91.56</v>
      </c>
      <c r="J61" s="205">
        <f>ROUNDUP(I61*Order_Quote!$L$26,2)</f>
        <v>457.8</v>
      </c>
      <c r="K61" s="78"/>
      <c r="L61" s="116"/>
      <c r="M61" s="199">
        <f t="shared" si="0"/>
        <v>0</v>
      </c>
      <c r="O61" s="265" t="s">
        <v>359</v>
      </c>
      <c r="P61" s="265" t="s">
        <v>102</v>
      </c>
      <c r="Q61" s="265" t="s">
        <v>4879</v>
      </c>
      <c r="R61" s="265">
        <v>0</v>
      </c>
      <c r="S61" s="265" t="s">
        <v>4880</v>
      </c>
      <c r="T61" s="347">
        <v>0.95699999999999996</v>
      </c>
      <c r="U61" s="347">
        <v>10.1</v>
      </c>
      <c r="V61" s="348">
        <v>0.65</v>
      </c>
    </row>
    <row r="62" spans="1:22" ht="14.45" customHeight="1">
      <c r="A62" s="104" t="str">
        <f>IF(K62&gt;0,COUNT($A$8:A61)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2" s="112"/>
      <c r="C62" s="79"/>
      <c r="D62" s="158" t="s">
        <v>4881</v>
      </c>
      <c r="E62" s="106">
        <v>100023973</v>
      </c>
      <c r="F62" s="159" t="s">
        <v>4882</v>
      </c>
      <c r="G62" s="106">
        <v>10</v>
      </c>
      <c r="H62" s="106">
        <v>240</v>
      </c>
      <c r="I62" s="153">
        <f>_xlfn.XLOOKUP(E62,'All Products'!D:D,'All Products'!H:H)</f>
        <v>113.76</v>
      </c>
      <c r="J62" s="205">
        <f>ROUNDUP(I62*Order_Quote!$L$26,2)</f>
        <v>568.79999999999995</v>
      </c>
      <c r="K62" s="78"/>
      <c r="L62" s="116"/>
      <c r="M62" s="199">
        <f t="shared" si="0"/>
        <v>0</v>
      </c>
      <c r="O62" s="265" t="s">
        <v>359</v>
      </c>
      <c r="P62" s="265" t="s">
        <v>102</v>
      </c>
      <c r="Q62" s="265" t="s">
        <v>4883</v>
      </c>
      <c r="R62" s="265">
        <v>0</v>
      </c>
      <c r="S62" s="265" t="s">
        <v>4884</v>
      </c>
      <c r="T62" s="347">
        <v>1.2170000000000001</v>
      </c>
      <c r="U62" s="347">
        <v>22.25</v>
      </c>
      <c r="V62" s="348">
        <v>2.77</v>
      </c>
    </row>
    <row r="63" spans="1:22" ht="14.45" customHeight="1">
      <c r="A63" s="104" t="str">
        <f>IF(K63&gt;0,COUNT($A$8:A62)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3" s="112"/>
      <c r="C63" s="79"/>
      <c r="D63" s="158" t="s">
        <v>4885</v>
      </c>
      <c r="E63" s="106">
        <v>100023978</v>
      </c>
      <c r="F63" s="159" t="s">
        <v>4886</v>
      </c>
      <c r="G63" s="106">
        <v>10</v>
      </c>
      <c r="H63" s="106">
        <v>900</v>
      </c>
      <c r="I63" s="153">
        <f>_xlfn.XLOOKUP(E63,'All Products'!D:D,'All Products'!H:H)</f>
        <v>102.64</v>
      </c>
      <c r="J63" s="205">
        <f>ROUNDUP(I63*Order_Quote!$L$26,2)</f>
        <v>513.20000000000005</v>
      </c>
      <c r="K63" s="78"/>
      <c r="L63" s="116"/>
      <c r="M63" s="199">
        <f t="shared" si="0"/>
        <v>0</v>
      </c>
      <c r="O63" s="265" t="s">
        <v>359</v>
      </c>
      <c r="P63" s="265" t="s">
        <v>102</v>
      </c>
      <c r="Q63" s="265" t="s">
        <v>4887</v>
      </c>
      <c r="R63" s="265">
        <v>0</v>
      </c>
      <c r="S63" s="265" t="s">
        <v>4888</v>
      </c>
      <c r="T63" s="347">
        <v>1.052</v>
      </c>
      <c r="U63" s="347">
        <v>11.85</v>
      </c>
      <c r="V63" s="348">
        <v>0.8</v>
      </c>
    </row>
    <row r="64" spans="1:22" ht="14.45" customHeight="1">
      <c r="A64" s="104" t="str">
        <f>IF(K64&gt;0,COUNT($A$8:A63)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4" s="112"/>
      <c r="C64" s="79"/>
      <c r="D64" s="158" t="s">
        <v>4889</v>
      </c>
      <c r="E64" s="106">
        <v>100023979</v>
      </c>
      <c r="F64" s="159" t="s">
        <v>4890</v>
      </c>
      <c r="G64" s="106">
        <v>10</v>
      </c>
      <c r="H64" s="106">
        <v>600</v>
      </c>
      <c r="I64" s="153">
        <f>_xlfn.XLOOKUP(E64,'All Products'!D:D,'All Products'!H:H)</f>
        <v>113.76</v>
      </c>
      <c r="J64" s="205">
        <f>ROUNDUP(I64*Order_Quote!$L$26,2)</f>
        <v>568.79999999999995</v>
      </c>
      <c r="K64" s="78"/>
      <c r="L64" s="116"/>
      <c r="M64" s="199">
        <f t="shared" si="0"/>
        <v>0</v>
      </c>
      <c r="O64" s="265" t="s">
        <v>359</v>
      </c>
      <c r="P64" s="265" t="s">
        <v>102</v>
      </c>
      <c r="Q64" s="265" t="s">
        <v>4891</v>
      </c>
      <c r="R64" s="265">
        <v>0</v>
      </c>
      <c r="S64" s="265" t="s">
        <v>4892</v>
      </c>
      <c r="T64" s="347">
        <v>1.2310000000000001</v>
      </c>
      <c r="U64" s="347">
        <v>14.1</v>
      </c>
      <c r="V64" s="348">
        <v>1.41</v>
      </c>
    </row>
    <row r="65" spans="1:22" ht="14.45" customHeight="1">
      <c r="A65" s="104" t="str">
        <f>IF(K65&gt;0,COUNT($A$8:A64)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5" s="112"/>
      <c r="C65" s="79"/>
      <c r="D65" s="158" t="s">
        <v>4893</v>
      </c>
      <c r="E65" s="106">
        <v>100023980</v>
      </c>
      <c r="F65" s="159" t="s">
        <v>4894</v>
      </c>
      <c r="G65" s="106">
        <v>10</v>
      </c>
      <c r="H65" s="106">
        <v>1200</v>
      </c>
      <c r="I65" s="153">
        <f>_xlfn.XLOOKUP(E65,'All Products'!D:D,'All Products'!H:H)</f>
        <v>91.56</v>
      </c>
      <c r="J65" s="205">
        <f>ROUNDUP(I65*Order_Quote!$L$26,2)</f>
        <v>457.8</v>
      </c>
      <c r="K65" s="78"/>
      <c r="L65" s="116"/>
      <c r="M65" s="199">
        <f t="shared" si="0"/>
        <v>0</v>
      </c>
      <c r="O65" s="265" t="s">
        <v>359</v>
      </c>
      <c r="P65" s="265" t="s">
        <v>102</v>
      </c>
      <c r="Q65" s="265" t="s">
        <v>4895</v>
      </c>
      <c r="R65" s="265">
        <v>0</v>
      </c>
      <c r="S65" s="265" t="s">
        <v>4896</v>
      </c>
      <c r="T65" s="347">
        <v>0.99</v>
      </c>
      <c r="U65" s="347">
        <v>9.9</v>
      </c>
      <c r="V65" s="348">
        <v>0.65</v>
      </c>
    </row>
    <row r="66" spans="1:22" ht="14.45" customHeight="1">
      <c r="A66" s="104" t="str">
        <f>IF(K66&gt;0,COUNT($A$8:A65)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6" s="112"/>
      <c r="C66" s="79"/>
      <c r="D66" s="158" t="s">
        <v>4897</v>
      </c>
      <c r="E66" s="106">
        <v>100023983</v>
      </c>
      <c r="F66" s="159" t="s">
        <v>4898</v>
      </c>
      <c r="G66" s="106">
        <v>10</v>
      </c>
      <c r="H66" s="106">
        <v>600</v>
      </c>
      <c r="I66" s="153">
        <f>_xlfn.XLOOKUP(E66,'All Products'!D:D,'All Products'!H:H)</f>
        <v>102.64</v>
      </c>
      <c r="J66" s="205">
        <f>ROUNDUP(I66*Order_Quote!$L$26,2)</f>
        <v>513.20000000000005</v>
      </c>
      <c r="K66" s="78"/>
      <c r="L66" s="116"/>
      <c r="M66" s="199">
        <f t="shared" si="0"/>
        <v>0</v>
      </c>
      <c r="O66" s="265" t="s">
        <v>359</v>
      </c>
      <c r="P66" s="265" t="s">
        <v>102</v>
      </c>
      <c r="Q66" s="265" t="s">
        <v>4899</v>
      </c>
      <c r="R66" s="265">
        <v>0</v>
      </c>
      <c r="S66" s="265" t="s">
        <v>4900</v>
      </c>
      <c r="T66" s="347">
        <v>0.96</v>
      </c>
      <c r="U66" s="347">
        <v>10.29</v>
      </c>
      <c r="V66" s="348">
        <v>1.25</v>
      </c>
    </row>
    <row r="67" spans="1:22" ht="14.45" customHeight="1">
      <c r="A67" s="104" t="str">
        <f>IF(K67&gt;0,COUNT($A$8:A66)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7" s="112"/>
      <c r="C67" s="79"/>
      <c r="D67" s="158" t="s">
        <v>4901</v>
      </c>
      <c r="E67" s="106">
        <v>100023985</v>
      </c>
      <c r="F67" s="159" t="s">
        <v>4902</v>
      </c>
      <c r="G67" s="106">
        <v>10</v>
      </c>
      <c r="H67" s="106">
        <v>600</v>
      </c>
      <c r="I67" s="153">
        <f>_xlfn.XLOOKUP(E67,'All Products'!D:D,'All Products'!H:H)</f>
        <v>102.64</v>
      </c>
      <c r="J67" s="205">
        <f>ROUNDUP(I67*Order_Quote!$L$26,2)</f>
        <v>513.20000000000005</v>
      </c>
      <c r="K67" s="78"/>
      <c r="L67" s="116"/>
      <c r="M67" s="199">
        <f t="shared" si="0"/>
        <v>0</v>
      </c>
      <c r="O67" s="265" t="s">
        <v>359</v>
      </c>
      <c r="P67" s="265" t="s">
        <v>102</v>
      </c>
      <c r="Q67" s="265" t="s">
        <v>4903</v>
      </c>
      <c r="R67" s="265">
        <v>0</v>
      </c>
      <c r="S67" s="265" t="s">
        <v>4904</v>
      </c>
      <c r="T67" s="347">
        <v>1.036</v>
      </c>
      <c r="U67" s="347">
        <v>10.95</v>
      </c>
      <c r="V67" s="348">
        <v>1.41</v>
      </c>
    </row>
    <row r="68" spans="1:22" ht="14.45" customHeight="1">
      <c r="A68" s="104" t="str">
        <f>IF(K68&gt;0,COUNT($A$8:A67)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8" s="112"/>
      <c r="C68" s="79"/>
      <c r="D68" s="158" t="s">
        <v>4905</v>
      </c>
      <c r="E68" s="106">
        <v>100024925</v>
      </c>
      <c r="F68" s="159" t="s">
        <v>4906</v>
      </c>
      <c r="G68" s="106">
        <v>10</v>
      </c>
      <c r="H68" s="106">
        <v>900</v>
      </c>
      <c r="I68" s="153">
        <f>_xlfn.XLOOKUP(E68,'All Products'!D:D,'All Products'!H:H)</f>
        <v>102.64</v>
      </c>
      <c r="J68" s="205">
        <f>ROUNDUP(I68*Order_Quote!$L$26,2)</f>
        <v>513.20000000000005</v>
      </c>
      <c r="K68" s="78"/>
      <c r="L68" s="116"/>
      <c r="M68" s="199">
        <f t="shared" si="0"/>
        <v>0</v>
      </c>
      <c r="O68" s="265" t="s">
        <v>359</v>
      </c>
      <c r="P68" s="265" t="s">
        <v>102</v>
      </c>
      <c r="Q68" s="265" t="s">
        <v>4907</v>
      </c>
      <c r="R68" s="265">
        <v>0</v>
      </c>
      <c r="S68" s="265" t="s">
        <v>4908</v>
      </c>
      <c r="T68" s="347">
        <v>1.2070000000000001</v>
      </c>
      <c r="U68" s="347">
        <v>12.35</v>
      </c>
      <c r="V68" s="348">
        <v>0.8</v>
      </c>
    </row>
    <row r="69" spans="1:22" ht="14.45" customHeight="1">
      <c r="A69" s="104" t="str">
        <f>IF(K69&gt;0,COUNT($A$8:A68)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69" s="112"/>
      <c r="C69" s="79"/>
      <c r="D69" s="158" t="s">
        <v>4909</v>
      </c>
      <c r="E69" s="106">
        <v>100024024</v>
      </c>
      <c r="F69" s="159" t="s">
        <v>4910</v>
      </c>
      <c r="G69" s="106">
        <v>10</v>
      </c>
      <c r="H69" s="106">
        <v>900</v>
      </c>
      <c r="I69" s="153">
        <f>_xlfn.XLOOKUP(E69,'All Products'!D:D,'All Products'!H:H)</f>
        <v>102.64</v>
      </c>
      <c r="J69" s="205">
        <f>ROUNDUP(I69*Order_Quote!$L$26,2)</f>
        <v>513.20000000000005</v>
      </c>
      <c r="K69" s="78"/>
      <c r="L69" s="116"/>
      <c r="M69" s="199">
        <f t="shared" si="0"/>
        <v>0</v>
      </c>
      <c r="O69" s="265" t="s">
        <v>359</v>
      </c>
      <c r="P69" s="265" t="s">
        <v>102</v>
      </c>
      <c r="Q69" s="265" t="s">
        <v>4911</v>
      </c>
      <c r="R69" s="265">
        <v>0</v>
      </c>
      <c r="S69" s="265" t="s">
        <v>4912</v>
      </c>
      <c r="T69" s="347">
        <v>1.224</v>
      </c>
      <c r="U69" s="347">
        <v>12.45</v>
      </c>
      <c r="V69" s="348">
        <v>0.8</v>
      </c>
    </row>
    <row r="70" spans="1:22" ht="14.45" customHeight="1">
      <c r="A70" s="104" t="str">
        <f>IF(K70&gt;0,COUNT($A$8:A69)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0" s="112"/>
      <c r="C70" s="79"/>
      <c r="D70" s="158" t="s">
        <v>4913</v>
      </c>
      <c r="E70" s="106">
        <v>100024029</v>
      </c>
      <c r="F70" s="159" t="s">
        <v>4914</v>
      </c>
      <c r="G70" s="106">
        <v>10</v>
      </c>
      <c r="H70" s="106">
        <v>900</v>
      </c>
      <c r="I70" s="153">
        <f>_xlfn.XLOOKUP(E70,'All Products'!D:D,'All Products'!H:H)</f>
        <v>102.64</v>
      </c>
      <c r="J70" s="205">
        <f>ROUNDUP(I70*Order_Quote!$L$26,2)</f>
        <v>513.20000000000005</v>
      </c>
      <c r="K70" s="78"/>
      <c r="L70" s="116"/>
      <c r="M70" s="199">
        <f t="shared" si="0"/>
        <v>0</v>
      </c>
      <c r="O70" s="265" t="s">
        <v>76</v>
      </c>
      <c r="P70" s="265" t="s">
        <v>102</v>
      </c>
      <c r="Q70" s="265" t="s">
        <v>4915</v>
      </c>
      <c r="R70" s="265">
        <v>0</v>
      </c>
      <c r="S70" s="265" t="s">
        <v>4916</v>
      </c>
      <c r="T70" s="347">
        <v>1.0629999999999999</v>
      </c>
      <c r="U70" s="347">
        <v>12.35</v>
      </c>
      <c r="V70" s="348">
        <v>0.8</v>
      </c>
    </row>
    <row r="71" spans="1:22" ht="14.45" customHeight="1">
      <c r="A71" s="104" t="str">
        <f>IF(K71&gt;0,COUNT($A$8:A70)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1" s="112"/>
      <c r="C71" s="79"/>
      <c r="D71" s="158" t="s">
        <v>4917</v>
      </c>
      <c r="E71" s="106">
        <v>100024030</v>
      </c>
      <c r="F71" s="159" t="s">
        <v>4918</v>
      </c>
      <c r="G71" s="106">
        <v>10</v>
      </c>
      <c r="H71" s="106">
        <v>1200</v>
      </c>
      <c r="I71" s="153">
        <f>_xlfn.XLOOKUP(E71,'All Products'!D:D,'All Products'!H:H)</f>
        <v>113.76</v>
      </c>
      <c r="J71" s="205">
        <f>ROUNDUP(I71*Order_Quote!$L$26,2)</f>
        <v>568.79999999999995</v>
      </c>
      <c r="K71" s="78"/>
      <c r="L71" s="116"/>
      <c r="M71" s="199">
        <f t="shared" si="0"/>
        <v>0</v>
      </c>
      <c r="O71" s="265" t="s">
        <v>359</v>
      </c>
      <c r="P71" s="265" t="s">
        <v>102</v>
      </c>
      <c r="Q71" s="265" t="s">
        <v>4919</v>
      </c>
      <c r="R71" s="265">
        <v>0</v>
      </c>
      <c r="S71" s="265" t="s">
        <v>4920</v>
      </c>
      <c r="T71" s="347">
        <v>1.242</v>
      </c>
      <c r="U71" s="347">
        <v>14.9</v>
      </c>
      <c r="V71" s="348">
        <v>0.65</v>
      </c>
    </row>
    <row r="72" spans="1:22" ht="14.45" customHeight="1">
      <c r="A72" s="104" t="str">
        <f>IF(K72&gt;0,COUNT($A$8:A71)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2" s="112"/>
      <c r="C72" s="79"/>
      <c r="D72" s="158" t="s">
        <v>4921</v>
      </c>
      <c r="E72" s="106">
        <v>100024928</v>
      </c>
      <c r="F72" s="159" t="s">
        <v>4922</v>
      </c>
      <c r="G72" s="106">
        <v>10</v>
      </c>
      <c r="H72" s="106">
        <v>900</v>
      </c>
      <c r="I72" s="153">
        <f>_xlfn.XLOOKUP(E72,'All Products'!D:D,'All Products'!H:H)</f>
        <v>102.64</v>
      </c>
      <c r="J72" s="205">
        <f>ROUNDUP(I72*Order_Quote!$L$26,2)</f>
        <v>513.20000000000005</v>
      </c>
      <c r="K72" s="78"/>
      <c r="L72" s="116"/>
      <c r="M72" s="199">
        <f t="shared" si="0"/>
        <v>0</v>
      </c>
      <c r="O72" s="265" t="s">
        <v>359</v>
      </c>
      <c r="P72" s="265" t="s">
        <v>102</v>
      </c>
      <c r="Q72" s="265" t="s">
        <v>4923</v>
      </c>
      <c r="R72" s="265">
        <v>0</v>
      </c>
      <c r="S72" s="265" t="s">
        <v>4924</v>
      </c>
      <c r="T72" s="347">
        <v>1.1870000000000001</v>
      </c>
      <c r="U72" s="347">
        <v>12.35</v>
      </c>
      <c r="V72" s="348">
        <v>0.8</v>
      </c>
    </row>
    <row r="73" spans="1:22" ht="14.45" customHeight="1">
      <c r="A73" s="104" t="str">
        <f>IF(K73&gt;0,COUNT($A$8:A72)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3" s="112"/>
      <c r="C73" s="79"/>
      <c r="D73" s="158" t="s">
        <v>4925</v>
      </c>
      <c r="E73" s="106">
        <v>100024034</v>
      </c>
      <c r="F73" s="159" t="s">
        <v>4926</v>
      </c>
      <c r="G73" s="106">
        <v>10</v>
      </c>
      <c r="H73" s="106">
        <v>240</v>
      </c>
      <c r="I73" s="153">
        <f>_xlfn.XLOOKUP(E73,'All Products'!D:D,'All Products'!H:H)</f>
        <v>113.76</v>
      </c>
      <c r="J73" s="205">
        <f>ROUNDUP(I73*Order_Quote!$L$26,2)</f>
        <v>568.79999999999995</v>
      </c>
      <c r="K73" s="78"/>
      <c r="L73" s="116"/>
      <c r="M73" s="199">
        <f t="shared" ref="M73:M136" si="1">K73/G73</f>
        <v>0</v>
      </c>
      <c r="O73" s="265" t="s">
        <v>359</v>
      </c>
      <c r="P73" s="265" t="s">
        <v>102</v>
      </c>
      <c r="Q73" s="265" t="s">
        <v>4927</v>
      </c>
      <c r="R73" s="265">
        <v>0</v>
      </c>
      <c r="S73" s="265" t="s">
        <v>4928</v>
      </c>
      <c r="T73" s="347">
        <v>1.2310000000000001</v>
      </c>
      <c r="U73" s="347">
        <v>14.5</v>
      </c>
      <c r="V73" s="348">
        <v>2.77</v>
      </c>
    </row>
    <row r="74" spans="1:22" ht="14.45" customHeight="1">
      <c r="A74" s="104" t="str">
        <f>IF(K74&gt;0,COUNT($A$8:A73)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4" s="112"/>
      <c r="C74" s="79"/>
      <c r="D74" s="158" t="s">
        <v>4929</v>
      </c>
      <c r="E74" s="106">
        <v>100024035</v>
      </c>
      <c r="F74" s="159" t="s">
        <v>4930</v>
      </c>
      <c r="G74" s="106">
        <v>10</v>
      </c>
      <c r="H74" s="106">
        <v>600</v>
      </c>
      <c r="I74" s="153">
        <f>_xlfn.XLOOKUP(E74,'All Products'!D:D,'All Products'!H:H)</f>
        <v>113.76</v>
      </c>
      <c r="J74" s="205">
        <f>ROUNDUP(I74*Order_Quote!$L$26,2)</f>
        <v>568.79999999999995</v>
      </c>
      <c r="K74" s="78"/>
      <c r="L74" s="116"/>
      <c r="M74" s="199">
        <f t="shared" si="1"/>
        <v>0</v>
      </c>
      <c r="O74" s="265" t="s">
        <v>359</v>
      </c>
      <c r="P74" s="265" t="s">
        <v>102</v>
      </c>
      <c r="Q74" s="265" t="s">
        <v>4931</v>
      </c>
      <c r="R74" s="265">
        <v>0</v>
      </c>
      <c r="S74" s="265" t="s">
        <v>4932</v>
      </c>
      <c r="T74" s="347">
        <v>1.296</v>
      </c>
      <c r="U74" s="347">
        <v>13.78</v>
      </c>
      <c r="V74" s="348">
        <v>1.41</v>
      </c>
    </row>
    <row r="75" spans="1:22" ht="14.45" customHeight="1">
      <c r="A75" s="104" t="str">
        <f>IF(K75&gt;0,COUNT($A$8:A74)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5" s="112"/>
      <c r="C75" s="79"/>
      <c r="D75" s="158" t="s">
        <v>4933</v>
      </c>
      <c r="E75" s="106">
        <v>100024929</v>
      </c>
      <c r="F75" s="159" t="s">
        <v>4934</v>
      </c>
      <c r="G75" s="106">
        <v>10</v>
      </c>
      <c r="H75" s="106">
        <v>240</v>
      </c>
      <c r="I75" s="153">
        <f>_xlfn.XLOOKUP(E75,'All Products'!D:D,'All Products'!H:H)</f>
        <v>113.76</v>
      </c>
      <c r="J75" s="205">
        <f>ROUNDUP(I75*Order_Quote!$L$26,2)</f>
        <v>568.79999999999995</v>
      </c>
      <c r="K75" s="78"/>
      <c r="L75" s="116"/>
      <c r="M75" s="199">
        <f t="shared" si="1"/>
        <v>0</v>
      </c>
      <c r="O75" s="265" t="s">
        <v>359</v>
      </c>
      <c r="P75" s="265" t="s">
        <v>102</v>
      </c>
      <c r="Q75" s="265" t="s">
        <v>4935</v>
      </c>
      <c r="R75" s="265">
        <v>0</v>
      </c>
      <c r="S75" s="265" t="s">
        <v>4936</v>
      </c>
      <c r="T75" s="347">
        <v>1.3660000000000001</v>
      </c>
      <c r="U75" s="347">
        <v>15.5</v>
      </c>
      <c r="V75" s="348">
        <v>2.77</v>
      </c>
    </row>
    <row r="76" spans="1:22" ht="14.45" customHeight="1">
      <c r="A76" s="104" t="str">
        <f>IF(K76&gt;0,COUNT($A$8:A75)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6" s="112"/>
      <c r="C76" s="79"/>
      <c r="D76" s="158" t="s">
        <v>4937</v>
      </c>
      <c r="E76" s="106">
        <v>100024933</v>
      </c>
      <c r="F76" s="159" t="s">
        <v>4938</v>
      </c>
      <c r="G76" s="106">
        <v>10</v>
      </c>
      <c r="H76" s="106">
        <v>750</v>
      </c>
      <c r="I76" s="153">
        <f>_xlfn.XLOOKUP(E76,'All Products'!D:D,'All Products'!H:H)</f>
        <v>132.65</v>
      </c>
      <c r="J76" s="205">
        <f>ROUNDUP(I76*Order_Quote!$L$26,2)</f>
        <v>663.25</v>
      </c>
      <c r="K76" s="78"/>
      <c r="L76" s="116"/>
      <c r="M76" s="199">
        <f t="shared" si="1"/>
        <v>0</v>
      </c>
      <c r="O76" s="265" t="s">
        <v>359</v>
      </c>
      <c r="P76" s="265" t="s">
        <v>102</v>
      </c>
      <c r="Q76" s="265" t="s">
        <v>4939</v>
      </c>
      <c r="R76" s="265">
        <v>0</v>
      </c>
      <c r="S76" s="265" t="s">
        <v>4940</v>
      </c>
      <c r="T76" s="347">
        <v>1.5469999999999999</v>
      </c>
      <c r="U76" s="347">
        <v>14.1</v>
      </c>
      <c r="V76" s="348">
        <v>1.1000000000000001</v>
      </c>
    </row>
    <row r="77" spans="1:22" ht="14.45" customHeight="1">
      <c r="A77" s="104" t="str">
        <f>IF(K77&gt;0,COUNT($A$8:A76)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7" s="112"/>
      <c r="C77" s="79"/>
      <c r="D77" s="158" t="s">
        <v>4941</v>
      </c>
      <c r="E77" s="106">
        <v>100024934</v>
      </c>
      <c r="F77" s="159" t="s">
        <v>4942</v>
      </c>
      <c r="G77" s="106">
        <v>10</v>
      </c>
      <c r="H77" s="106">
        <v>900</v>
      </c>
      <c r="I77" s="153">
        <f>_xlfn.XLOOKUP(E77,'All Products'!D:D,'All Products'!H:H)</f>
        <v>121.5</v>
      </c>
      <c r="J77" s="205">
        <f>ROUNDUP(I77*Order_Quote!$L$26,2)</f>
        <v>607.5</v>
      </c>
      <c r="K77" s="78"/>
      <c r="L77" s="116"/>
      <c r="M77" s="199">
        <f t="shared" si="1"/>
        <v>0</v>
      </c>
      <c r="O77" s="265" t="s">
        <v>359</v>
      </c>
      <c r="P77" s="265" t="s">
        <v>102</v>
      </c>
      <c r="Q77" s="265" t="s">
        <v>4943</v>
      </c>
      <c r="R77" s="265">
        <v>0</v>
      </c>
      <c r="S77" s="265" t="s">
        <v>4944</v>
      </c>
      <c r="T77" s="347">
        <v>1.3939999999999999</v>
      </c>
      <c r="U77" s="347">
        <v>12.1</v>
      </c>
      <c r="V77" s="348">
        <v>0.8</v>
      </c>
    </row>
    <row r="78" spans="1:22" ht="14.45" customHeight="1">
      <c r="A78" s="104" t="str">
        <f>IF(K78&gt;0,COUNT($A$8:A77)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8" s="112"/>
      <c r="C78" s="79"/>
      <c r="D78" s="158" t="s">
        <v>4945</v>
      </c>
      <c r="E78" s="106">
        <v>100024047</v>
      </c>
      <c r="F78" s="159" t="s">
        <v>4946</v>
      </c>
      <c r="G78" s="106">
        <v>10</v>
      </c>
      <c r="H78" s="106">
        <v>600</v>
      </c>
      <c r="I78" s="153">
        <f>_xlfn.XLOOKUP(E78,'All Products'!D:D,'All Products'!H:H)</f>
        <v>102.64</v>
      </c>
      <c r="J78" s="205">
        <f>ROUNDUP(I78*Order_Quote!$L$26,2)</f>
        <v>513.20000000000005</v>
      </c>
      <c r="K78" s="78"/>
      <c r="L78" s="116"/>
      <c r="M78" s="199">
        <f t="shared" si="1"/>
        <v>0</v>
      </c>
      <c r="O78" s="265" t="s">
        <v>359</v>
      </c>
      <c r="P78" s="265" t="s">
        <v>102</v>
      </c>
      <c r="Q78" s="265" t="s">
        <v>4947</v>
      </c>
      <c r="R78" s="265">
        <v>0</v>
      </c>
      <c r="S78" s="265" t="s">
        <v>4948</v>
      </c>
      <c r="T78" s="347">
        <v>1.0880000000000001</v>
      </c>
      <c r="U78" s="347">
        <v>11</v>
      </c>
      <c r="V78" s="348">
        <v>1.41</v>
      </c>
    </row>
    <row r="79" spans="1:22" ht="14.45" customHeight="1">
      <c r="A79" s="104" t="str">
        <f>IF(K79&gt;0,COUNT($A$8:A78)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79" s="112"/>
      <c r="C79" s="79"/>
      <c r="D79" s="158" t="s">
        <v>4949</v>
      </c>
      <c r="E79" s="106">
        <v>100024938</v>
      </c>
      <c r="F79" s="159" t="s">
        <v>4707</v>
      </c>
      <c r="G79" s="106">
        <v>10</v>
      </c>
      <c r="H79" s="106">
        <v>900</v>
      </c>
      <c r="I79" s="153">
        <f>_xlfn.XLOOKUP(E79,'All Products'!D:D,'All Products'!H:H)</f>
        <v>102.64</v>
      </c>
      <c r="J79" s="205">
        <f>ROUNDUP(I79*Order_Quote!$L$26,2)</f>
        <v>513.20000000000005</v>
      </c>
      <c r="K79" s="78"/>
      <c r="L79" s="116"/>
      <c r="M79" s="199">
        <f t="shared" si="1"/>
        <v>0</v>
      </c>
      <c r="O79" s="265" t="s">
        <v>359</v>
      </c>
      <c r="P79" s="265" t="s">
        <v>102</v>
      </c>
      <c r="Q79" s="265" t="s">
        <v>4950</v>
      </c>
      <c r="R79" s="265">
        <v>0</v>
      </c>
      <c r="S79" s="265" t="s">
        <v>4951</v>
      </c>
      <c r="T79" s="347">
        <v>1.1060000000000001</v>
      </c>
      <c r="U79" s="347">
        <v>11.35</v>
      </c>
      <c r="V79" s="348">
        <v>0.8</v>
      </c>
    </row>
    <row r="80" spans="1:22" ht="14.45" customHeight="1">
      <c r="A80" s="104" t="str">
        <f>IF(K80&gt;0,COUNT($A$8:A79)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0" s="112"/>
      <c r="C80" s="79"/>
      <c r="D80" s="158" t="s">
        <v>4952</v>
      </c>
      <c r="E80" s="106">
        <v>100024051</v>
      </c>
      <c r="F80" s="159" t="s">
        <v>4711</v>
      </c>
      <c r="G80" s="106">
        <v>10</v>
      </c>
      <c r="H80" s="106">
        <v>600</v>
      </c>
      <c r="I80" s="153">
        <f>_xlfn.XLOOKUP(E80,'All Products'!D:D,'All Products'!H:H)</f>
        <v>113.76</v>
      </c>
      <c r="J80" s="205">
        <f>ROUNDUP(I80*Order_Quote!$L$26,2)</f>
        <v>568.79999999999995</v>
      </c>
      <c r="K80" s="78"/>
      <c r="L80" s="116"/>
      <c r="M80" s="199">
        <f t="shared" si="1"/>
        <v>0</v>
      </c>
      <c r="O80" s="265" t="s">
        <v>359</v>
      </c>
      <c r="P80" s="265" t="s">
        <v>102</v>
      </c>
      <c r="Q80" s="265" t="s">
        <v>4953</v>
      </c>
      <c r="R80" s="265">
        <v>0</v>
      </c>
      <c r="S80" s="265" t="s">
        <v>4954</v>
      </c>
      <c r="T80" s="347">
        <v>1.2150000000000001</v>
      </c>
      <c r="U80" s="347">
        <v>12.7</v>
      </c>
      <c r="V80" s="348">
        <v>1.25</v>
      </c>
    </row>
    <row r="81" spans="1:22" ht="14.45" customHeight="1">
      <c r="A81" s="104" t="str">
        <f>IF(K81&gt;0,COUNT($A$8:A80)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1" s="112"/>
      <c r="C81" s="79"/>
      <c r="D81" s="158" t="s">
        <v>4955</v>
      </c>
      <c r="E81" s="106">
        <v>100024939</v>
      </c>
      <c r="F81" s="159" t="s">
        <v>4956</v>
      </c>
      <c r="G81" s="106">
        <v>10</v>
      </c>
      <c r="H81" s="106">
        <v>600</v>
      </c>
      <c r="I81" s="153">
        <f>_xlfn.XLOOKUP(E81,'All Products'!D:D,'All Products'!H:H)</f>
        <v>113.76</v>
      </c>
      <c r="J81" s="205">
        <f>ROUNDUP(I81*Order_Quote!$L$26,2)</f>
        <v>568.79999999999995</v>
      </c>
      <c r="K81" s="78"/>
      <c r="L81" s="116"/>
      <c r="M81" s="199">
        <f t="shared" si="1"/>
        <v>0</v>
      </c>
      <c r="O81" s="265" t="s">
        <v>359</v>
      </c>
      <c r="P81" s="265" t="s">
        <v>102</v>
      </c>
      <c r="Q81" s="265" t="s">
        <v>4957</v>
      </c>
      <c r="R81" s="265">
        <v>0</v>
      </c>
      <c r="S81" s="265" t="s">
        <v>4958</v>
      </c>
      <c r="T81" s="347">
        <v>1.2849999999999999</v>
      </c>
      <c r="U81" s="347">
        <v>13.48</v>
      </c>
      <c r="V81" s="348">
        <v>1.41</v>
      </c>
    </row>
    <row r="82" spans="1:22" ht="14.45" customHeight="1">
      <c r="A82" s="104" t="str">
        <f>IF(K82&gt;0,COUNT($A$8:A81)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2" s="112"/>
      <c r="C82" s="79"/>
      <c r="D82" s="158" t="s">
        <v>4959</v>
      </c>
      <c r="E82" s="106">
        <v>100024054</v>
      </c>
      <c r="F82" s="159" t="s">
        <v>4960</v>
      </c>
      <c r="G82" s="106">
        <v>10</v>
      </c>
      <c r="H82" s="106" t="s">
        <v>2803</v>
      </c>
      <c r="I82" s="153">
        <f>_xlfn.XLOOKUP(E82,'All Products'!D:D,'All Products'!H:H)</f>
        <v>102.64</v>
      </c>
      <c r="J82" s="205">
        <f>ROUNDUP(I82*Order_Quote!$L$26,2)</f>
        <v>513.20000000000005</v>
      </c>
      <c r="K82" s="78"/>
      <c r="L82" s="116"/>
      <c r="M82" s="199">
        <f t="shared" si="1"/>
        <v>0</v>
      </c>
      <c r="O82" s="265" t="s">
        <v>76</v>
      </c>
      <c r="P82" s="265" t="s">
        <v>102</v>
      </c>
      <c r="Q82" s="265" t="s">
        <v>4961</v>
      </c>
      <c r="R82" s="265">
        <v>0</v>
      </c>
      <c r="S82" s="265" t="s">
        <v>4962</v>
      </c>
      <c r="T82" s="347">
        <v>1.0469999999999999</v>
      </c>
      <c r="U82" s="347">
        <v>10.95</v>
      </c>
      <c r="V82" s="348">
        <v>0</v>
      </c>
    </row>
    <row r="83" spans="1:22" ht="14.45" customHeight="1">
      <c r="A83" s="104" t="str">
        <f>IF(K83&gt;0,COUNT($A$8:A82)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3" s="112"/>
      <c r="C83" s="79"/>
      <c r="D83" s="158" t="s">
        <v>4963</v>
      </c>
      <c r="E83" s="106">
        <v>100024055</v>
      </c>
      <c r="F83" s="159" t="s">
        <v>4964</v>
      </c>
      <c r="G83" s="106">
        <v>10</v>
      </c>
      <c r="H83" s="106">
        <v>900</v>
      </c>
      <c r="I83" s="153">
        <f>_xlfn.XLOOKUP(E83,'All Products'!D:D,'All Products'!H:H)</f>
        <v>102.64</v>
      </c>
      <c r="J83" s="205">
        <f>ROUNDUP(I83*Order_Quote!$L$26,2)</f>
        <v>513.20000000000005</v>
      </c>
      <c r="K83" s="78"/>
      <c r="L83" s="116"/>
      <c r="M83" s="199">
        <f t="shared" si="1"/>
        <v>0</v>
      </c>
      <c r="O83" s="265" t="s">
        <v>359</v>
      </c>
      <c r="P83" s="265" t="s">
        <v>102</v>
      </c>
      <c r="Q83" s="265" t="s">
        <v>4965</v>
      </c>
      <c r="R83" s="265">
        <v>0</v>
      </c>
      <c r="S83" s="265" t="s">
        <v>4966</v>
      </c>
      <c r="T83" s="347">
        <v>1.123</v>
      </c>
      <c r="U83" s="347">
        <v>11.45</v>
      </c>
      <c r="V83" s="348">
        <v>0.8</v>
      </c>
    </row>
    <row r="84" spans="1:22" ht="14.45" customHeight="1">
      <c r="A84" s="104" t="str">
        <f>IF(K84&gt;0,COUNT($A$8:A83)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4" s="112"/>
      <c r="C84" s="79"/>
      <c r="D84" s="158" t="s">
        <v>4967</v>
      </c>
      <c r="E84" s="106">
        <v>100024058</v>
      </c>
      <c r="F84" s="159" t="s">
        <v>4968</v>
      </c>
      <c r="G84" s="106">
        <v>10</v>
      </c>
      <c r="H84" s="106">
        <v>1200</v>
      </c>
      <c r="I84" s="153">
        <f>_xlfn.XLOOKUP(E84,'All Products'!D:D,'All Products'!H:H)</f>
        <v>91.56</v>
      </c>
      <c r="J84" s="205">
        <f>ROUNDUP(I84*Order_Quote!$L$26,2)</f>
        <v>457.8</v>
      </c>
      <c r="K84" s="78"/>
      <c r="L84" s="116"/>
      <c r="M84" s="199">
        <f t="shared" si="1"/>
        <v>0</v>
      </c>
      <c r="O84" s="265" t="s">
        <v>359</v>
      </c>
      <c r="P84" s="265" t="s">
        <v>102</v>
      </c>
      <c r="Q84" s="265" t="s">
        <v>4969</v>
      </c>
      <c r="R84" s="265">
        <v>0</v>
      </c>
      <c r="S84" s="265" t="s">
        <v>4970</v>
      </c>
      <c r="T84" s="347">
        <v>0.90600000000000003</v>
      </c>
      <c r="U84" s="347">
        <v>9.25</v>
      </c>
      <c r="V84" s="348">
        <v>0.65</v>
      </c>
    </row>
    <row r="85" spans="1:22" ht="14.45" customHeight="1">
      <c r="A85" s="104" t="str">
        <f>IF(K85&gt;0,COUNT($A$8:A84)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5" s="112"/>
      <c r="C85" s="79"/>
      <c r="D85" s="158" t="s">
        <v>4971</v>
      </c>
      <c r="E85" s="106">
        <v>100024061</v>
      </c>
      <c r="F85" s="159" t="s">
        <v>4972</v>
      </c>
      <c r="G85" s="106">
        <v>10</v>
      </c>
      <c r="H85" s="106">
        <v>900</v>
      </c>
      <c r="I85" s="153">
        <f>_xlfn.XLOOKUP(E85,'All Products'!D:D,'All Products'!H:H)</f>
        <v>102.64</v>
      </c>
      <c r="J85" s="205">
        <f>ROUNDUP(I85*Order_Quote!$L$26,2)</f>
        <v>513.20000000000005</v>
      </c>
      <c r="K85" s="78"/>
      <c r="L85" s="116"/>
      <c r="M85" s="199">
        <f t="shared" si="1"/>
        <v>0</v>
      </c>
      <c r="O85" s="265" t="s">
        <v>359</v>
      </c>
      <c r="P85" s="265" t="s">
        <v>102</v>
      </c>
      <c r="Q85" s="265" t="s">
        <v>4973</v>
      </c>
      <c r="R85" s="265">
        <v>0</v>
      </c>
      <c r="S85" s="265" t="s">
        <v>4974</v>
      </c>
      <c r="T85" s="347">
        <v>1.1479999999999999</v>
      </c>
      <c r="U85" s="347">
        <v>11.55</v>
      </c>
      <c r="V85" s="348">
        <v>0.8</v>
      </c>
    </row>
    <row r="86" spans="1:22" ht="14.45" customHeight="1">
      <c r="A86" s="104" t="str">
        <f>IF(K86&gt;0,COUNT($A$8:A85)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6" s="112"/>
      <c r="C86" s="79"/>
      <c r="D86" s="158" t="s">
        <v>4975</v>
      </c>
      <c r="E86" s="106">
        <v>100024062</v>
      </c>
      <c r="F86" s="159" t="s">
        <v>4976</v>
      </c>
      <c r="G86" s="106">
        <v>10</v>
      </c>
      <c r="H86" s="106">
        <v>1200</v>
      </c>
      <c r="I86" s="153">
        <f>_xlfn.XLOOKUP(E86,'All Products'!D:D,'All Products'!H:H)</f>
        <v>91.56</v>
      </c>
      <c r="J86" s="205">
        <f>ROUNDUP(I86*Order_Quote!$L$26,2)</f>
        <v>457.8</v>
      </c>
      <c r="K86" s="78"/>
      <c r="L86" s="116"/>
      <c r="M86" s="199">
        <f t="shared" si="1"/>
        <v>0</v>
      </c>
      <c r="O86" s="265" t="s">
        <v>359</v>
      </c>
      <c r="P86" s="265" t="s">
        <v>102</v>
      </c>
      <c r="Q86" s="265" t="s">
        <v>4977</v>
      </c>
      <c r="R86" s="265">
        <v>0</v>
      </c>
      <c r="S86" s="265" t="s">
        <v>4978</v>
      </c>
      <c r="T86" s="347">
        <v>0.93100000000000005</v>
      </c>
      <c r="U86" s="347">
        <v>9.35</v>
      </c>
      <c r="V86" s="348">
        <v>0.65</v>
      </c>
    </row>
    <row r="87" spans="1:22" ht="14.45" customHeight="1">
      <c r="A87" s="104" t="str">
        <f>IF(K87&gt;0,COUNT($A$8:A86)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7" s="112"/>
      <c r="C87" s="79"/>
      <c r="D87" s="158" t="s">
        <v>4979</v>
      </c>
      <c r="E87" s="106">
        <v>100024942</v>
      </c>
      <c r="F87" s="159" t="s">
        <v>4727</v>
      </c>
      <c r="G87" s="106">
        <v>10</v>
      </c>
      <c r="H87" s="106">
        <v>900</v>
      </c>
      <c r="I87" s="153">
        <f>_xlfn.XLOOKUP(E87,'All Products'!D:D,'All Products'!H:H)</f>
        <v>102.64</v>
      </c>
      <c r="J87" s="205">
        <f>ROUNDUP(I87*Order_Quote!$L$26,2)</f>
        <v>513.20000000000005</v>
      </c>
      <c r="K87" s="78"/>
      <c r="L87" s="116"/>
      <c r="M87" s="199">
        <f t="shared" si="1"/>
        <v>0</v>
      </c>
      <c r="O87" s="265" t="s">
        <v>76</v>
      </c>
      <c r="P87" s="265" t="s">
        <v>102</v>
      </c>
      <c r="Q87" s="265" t="s">
        <v>4980</v>
      </c>
      <c r="R87" s="265">
        <v>0</v>
      </c>
      <c r="S87" s="265" t="s">
        <v>4981</v>
      </c>
      <c r="T87" s="347">
        <v>1.085</v>
      </c>
      <c r="U87" s="347">
        <v>11</v>
      </c>
      <c r="V87" s="348">
        <v>0.8</v>
      </c>
    </row>
    <row r="88" spans="1:22" ht="14.45" customHeight="1">
      <c r="A88" s="104" t="str">
        <f>IF(K88&gt;0,COUNT($A$8:A87)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8" s="112"/>
      <c r="C88" s="79"/>
      <c r="D88" s="158" t="s">
        <v>4982</v>
      </c>
      <c r="E88" s="106">
        <v>100024069</v>
      </c>
      <c r="F88" s="159" t="s">
        <v>4983</v>
      </c>
      <c r="G88" s="106">
        <v>10</v>
      </c>
      <c r="H88" s="106">
        <v>750</v>
      </c>
      <c r="I88" s="153">
        <f>_xlfn.XLOOKUP(E88,'All Products'!D:D,'All Products'!H:H)</f>
        <v>113.76</v>
      </c>
      <c r="J88" s="205">
        <f>ROUNDUP(I88*Order_Quote!$L$26,2)</f>
        <v>568.79999999999995</v>
      </c>
      <c r="K88" s="78"/>
      <c r="L88" s="116"/>
      <c r="M88" s="199">
        <f t="shared" si="1"/>
        <v>0</v>
      </c>
      <c r="O88" s="265" t="s">
        <v>359</v>
      </c>
      <c r="P88" s="265" t="s">
        <v>102</v>
      </c>
      <c r="Q88" s="265" t="s">
        <v>4984</v>
      </c>
      <c r="R88" s="265">
        <v>0</v>
      </c>
      <c r="S88" s="265" t="s">
        <v>4985</v>
      </c>
      <c r="T88" s="347">
        <v>1.129</v>
      </c>
      <c r="U88" s="347">
        <v>12.055</v>
      </c>
      <c r="V88" s="348">
        <v>1.1000000000000001</v>
      </c>
    </row>
    <row r="89" spans="1:22" ht="14.45" customHeight="1">
      <c r="A89" s="104" t="str">
        <f>IF(K89&gt;0,COUNT($A$8:A88)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89" s="112"/>
      <c r="C89" s="79"/>
      <c r="D89" s="158" t="s">
        <v>4986</v>
      </c>
      <c r="E89" s="106">
        <v>100024070</v>
      </c>
      <c r="F89" s="159" t="s">
        <v>4731</v>
      </c>
      <c r="G89" s="106">
        <v>10</v>
      </c>
      <c r="H89" s="106">
        <v>600</v>
      </c>
      <c r="I89" s="153">
        <f>_xlfn.XLOOKUP(E89,'All Products'!D:D,'All Products'!H:H)</f>
        <v>113.76</v>
      </c>
      <c r="J89" s="205">
        <f>ROUNDUP(I89*Order_Quote!$L$26,2)</f>
        <v>568.79999999999995</v>
      </c>
      <c r="K89" s="78"/>
      <c r="L89" s="116"/>
      <c r="M89" s="199">
        <f t="shared" si="1"/>
        <v>0</v>
      </c>
      <c r="O89" s="265" t="s">
        <v>359</v>
      </c>
      <c r="P89" s="265" t="s">
        <v>102</v>
      </c>
      <c r="Q89" s="265" t="s">
        <v>4987</v>
      </c>
      <c r="R89" s="265">
        <v>0</v>
      </c>
      <c r="S89" s="265" t="s">
        <v>4988</v>
      </c>
      <c r="T89" s="347">
        <v>1.194</v>
      </c>
      <c r="U89" s="347">
        <v>12.67</v>
      </c>
      <c r="V89" s="348">
        <v>1.25</v>
      </c>
    </row>
    <row r="90" spans="1:22" ht="14.45" customHeight="1">
      <c r="A90" s="104" t="str">
        <f>IF(K90&gt;0,COUNT($A$8:A89)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0" s="112"/>
      <c r="C90" s="79"/>
      <c r="D90" s="158" t="s">
        <v>4989</v>
      </c>
      <c r="E90" s="106">
        <v>100024943</v>
      </c>
      <c r="F90" s="159" t="s">
        <v>4990</v>
      </c>
      <c r="G90" s="106">
        <v>10</v>
      </c>
      <c r="H90" s="106">
        <v>600</v>
      </c>
      <c r="I90" s="153">
        <f>_xlfn.XLOOKUP(E90,'All Products'!D:D,'All Products'!H:H)</f>
        <v>113.76</v>
      </c>
      <c r="J90" s="205">
        <f>ROUNDUP(I90*Order_Quote!$L$26,2)</f>
        <v>568.79999999999995</v>
      </c>
      <c r="K90" s="78"/>
      <c r="L90" s="116"/>
      <c r="M90" s="199">
        <f t="shared" si="1"/>
        <v>0</v>
      </c>
      <c r="O90" s="265" t="s">
        <v>359</v>
      </c>
      <c r="P90" s="265" t="s">
        <v>102</v>
      </c>
      <c r="Q90" s="265" t="s">
        <v>4991</v>
      </c>
      <c r="R90" s="265">
        <v>0</v>
      </c>
      <c r="S90" s="265" t="s">
        <v>4992</v>
      </c>
      <c r="T90" s="347">
        <v>1.264</v>
      </c>
      <c r="U90" s="347">
        <v>13.48</v>
      </c>
      <c r="V90" s="348">
        <v>1.41</v>
      </c>
    </row>
    <row r="91" spans="1:22" ht="14.45" customHeight="1">
      <c r="A91" s="104" t="str">
        <f>IF(K91&gt;0,COUNT($A$8:A90)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1" s="112"/>
      <c r="C91" s="79"/>
      <c r="D91" s="158" t="s">
        <v>4993</v>
      </c>
      <c r="E91" s="106">
        <v>100024944</v>
      </c>
      <c r="F91" s="159" t="s">
        <v>4994</v>
      </c>
      <c r="G91" s="106">
        <v>10</v>
      </c>
      <c r="H91" s="106">
        <v>1200</v>
      </c>
      <c r="I91" s="153">
        <f>_xlfn.XLOOKUP(E91,'All Products'!D:D,'All Products'!H:H)</f>
        <v>91.56</v>
      </c>
      <c r="J91" s="205">
        <f>ROUNDUP(I91*Order_Quote!$L$26,2)</f>
        <v>457.8</v>
      </c>
      <c r="K91" s="78"/>
      <c r="L91" s="116"/>
      <c r="M91" s="199">
        <f t="shared" si="1"/>
        <v>0</v>
      </c>
      <c r="O91" s="265" t="s">
        <v>76</v>
      </c>
      <c r="P91" s="265" t="s">
        <v>102</v>
      </c>
      <c r="Q91" s="265" t="s">
        <v>4995</v>
      </c>
      <c r="R91" s="265">
        <v>0</v>
      </c>
      <c r="S91" s="265" t="s">
        <v>4996</v>
      </c>
      <c r="T91" s="347">
        <v>0.86799999999999999</v>
      </c>
      <c r="U91" s="347">
        <v>9.35</v>
      </c>
      <c r="V91" s="348">
        <v>0.65</v>
      </c>
    </row>
    <row r="92" spans="1:22" ht="14.45" customHeight="1">
      <c r="A92" s="104" t="str">
        <f>IF(K92&gt;0,COUNT($A$8:A91)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2" s="112"/>
      <c r="C92" s="79"/>
      <c r="D92" s="158" t="s">
        <v>4997</v>
      </c>
      <c r="E92" s="106">
        <v>100024945</v>
      </c>
      <c r="F92" s="159" t="s">
        <v>4998</v>
      </c>
      <c r="G92" s="106">
        <v>10</v>
      </c>
      <c r="H92" s="106">
        <v>1200</v>
      </c>
      <c r="I92" s="153">
        <f>_xlfn.XLOOKUP(E92,'All Products'!D:D,'All Products'!H:H)</f>
        <v>91.56</v>
      </c>
      <c r="J92" s="205">
        <f>ROUNDUP(I92*Order_Quote!$L$26,2)</f>
        <v>457.8</v>
      </c>
      <c r="K92" s="78"/>
      <c r="L92" s="116"/>
      <c r="M92" s="199">
        <f t="shared" si="1"/>
        <v>0</v>
      </c>
      <c r="O92" s="265" t="s">
        <v>359</v>
      </c>
      <c r="P92" s="265" t="s">
        <v>102</v>
      </c>
      <c r="Q92" s="265" t="s">
        <v>4999</v>
      </c>
      <c r="R92" s="265">
        <v>0</v>
      </c>
      <c r="S92" s="265" t="s">
        <v>5000</v>
      </c>
      <c r="T92" s="347">
        <v>0.93200000000000005</v>
      </c>
      <c r="U92" s="347">
        <v>9.85</v>
      </c>
      <c r="V92" s="348">
        <v>0.65</v>
      </c>
    </row>
    <row r="93" spans="1:22" ht="14.45" customHeight="1">
      <c r="A93" s="104" t="str">
        <f>IF(K93&gt;0,COUNT($A$8:A92)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3" s="112"/>
      <c r="C93" s="79"/>
      <c r="D93" s="158" t="s">
        <v>5001</v>
      </c>
      <c r="E93" s="106">
        <v>100024079</v>
      </c>
      <c r="F93" s="159" t="s">
        <v>5002</v>
      </c>
      <c r="G93" s="106">
        <v>10</v>
      </c>
      <c r="H93" s="106">
        <v>900</v>
      </c>
      <c r="I93" s="153">
        <f>_xlfn.XLOOKUP(E93,'All Products'!D:D,'All Products'!H:H)</f>
        <v>102.64</v>
      </c>
      <c r="J93" s="205">
        <f>ROUNDUP(I93*Order_Quote!$L$26,2)</f>
        <v>513.20000000000005</v>
      </c>
      <c r="K93" s="78"/>
      <c r="L93" s="116"/>
      <c r="M93" s="199">
        <f t="shared" si="1"/>
        <v>0</v>
      </c>
      <c r="O93" s="265" t="s">
        <v>359</v>
      </c>
      <c r="P93" s="265" t="s">
        <v>102</v>
      </c>
      <c r="Q93" s="265" t="s">
        <v>5003</v>
      </c>
      <c r="R93" s="265">
        <v>0</v>
      </c>
      <c r="S93" s="265" t="s">
        <v>5004</v>
      </c>
      <c r="T93" s="347">
        <v>1.157</v>
      </c>
      <c r="U93" s="347">
        <v>11.9</v>
      </c>
      <c r="V93" s="348">
        <v>0.8</v>
      </c>
    </row>
    <row r="94" spans="1:22" ht="14.45" customHeight="1">
      <c r="A94" s="104" t="str">
        <f>IF(K94&gt;0,COUNT($A$8:A93)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4" s="112"/>
      <c r="C94" s="79"/>
      <c r="D94" s="158" t="s">
        <v>5005</v>
      </c>
      <c r="E94" s="106">
        <v>100024947</v>
      </c>
      <c r="F94" s="159" t="s">
        <v>5006</v>
      </c>
      <c r="G94" s="106">
        <v>10</v>
      </c>
      <c r="H94" s="106">
        <v>900</v>
      </c>
      <c r="I94" s="153">
        <f>_xlfn.XLOOKUP(E94,'All Products'!D:D,'All Products'!H:H)</f>
        <v>102.64</v>
      </c>
      <c r="J94" s="205">
        <f>ROUNDUP(I94*Order_Quote!$L$26,2)</f>
        <v>513.20000000000005</v>
      </c>
      <c r="K94" s="78"/>
      <c r="L94" s="116"/>
      <c r="M94" s="199">
        <f t="shared" si="1"/>
        <v>0</v>
      </c>
      <c r="O94" s="265" t="s">
        <v>359</v>
      </c>
      <c r="P94" s="265" t="s">
        <v>102</v>
      </c>
      <c r="Q94" s="265" t="s">
        <v>5007</v>
      </c>
      <c r="R94" s="265">
        <v>0</v>
      </c>
      <c r="S94" s="265" t="s">
        <v>5008</v>
      </c>
      <c r="T94" s="347">
        <v>1.0860000000000001</v>
      </c>
      <c r="U94" s="347">
        <v>11.35</v>
      </c>
      <c r="V94" s="348">
        <v>0.8</v>
      </c>
    </row>
    <row r="95" spans="1:22" ht="14.45" customHeight="1">
      <c r="A95" s="104" t="str">
        <f>IF(K95&gt;0,COUNT($A$8:A94)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5" s="112"/>
      <c r="C95" s="79"/>
      <c r="D95" s="158" t="s">
        <v>5009</v>
      </c>
      <c r="E95" s="106">
        <v>100024091</v>
      </c>
      <c r="F95" s="159" t="s">
        <v>5010</v>
      </c>
      <c r="G95" s="106">
        <v>10</v>
      </c>
      <c r="H95" s="106">
        <v>900</v>
      </c>
      <c r="I95" s="153">
        <f>_xlfn.XLOOKUP(E95,'All Products'!D:D,'All Products'!H:H)</f>
        <v>102.64</v>
      </c>
      <c r="J95" s="205">
        <f>ROUNDUP(I95*Order_Quote!$L$26,2)</f>
        <v>513.20000000000005</v>
      </c>
      <c r="K95" s="78"/>
      <c r="L95" s="116"/>
      <c r="M95" s="199">
        <f t="shared" si="1"/>
        <v>0</v>
      </c>
      <c r="O95" s="265" t="s">
        <v>359</v>
      </c>
      <c r="P95" s="265" t="s">
        <v>102</v>
      </c>
      <c r="Q95" s="265" t="s">
        <v>5011</v>
      </c>
      <c r="R95" s="265">
        <v>0</v>
      </c>
      <c r="S95" s="265" t="s">
        <v>5012</v>
      </c>
      <c r="T95" s="347">
        <v>1.1100000000000001</v>
      </c>
      <c r="U95" s="347">
        <v>11.6</v>
      </c>
      <c r="V95" s="348">
        <v>0.8</v>
      </c>
    </row>
    <row r="96" spans="1:22" ht="14.45" customHeight="1">
      <c r="A96" s="104" t="str">
        <f>IF(K96&gt;0,COUNT($A$8:A95)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6" s="112"/>
      <c r="C96" s="79"/>
      <c r="D96" s="158" t="s">
        <v>5013</v>
      </c>
      <c r="E96" s="106">
        <v>100024095</v>
      </c>
      <c r="F96" s="159" t="s">
        <v>5014</v>
      </c>
      <c r="G96" s="106">
        <v>10</v>
      </c>
      <c r="H96" s="106">
        <v>900</v>
      </c>
      <c r="I96" s="153">
        <f>_xlfn.XLOOKUP(E96,'All Products'!D:D,'All Products'!H:H)</f>
        <v>102.64</v>
      </c>
      <c r="J96" s="205">
        <f>ROUNDUP(I96*Order_Quote!$L$26,2)</f>
        <v>513.20000000000005</v>
      </c>
      <c r="K96" s="78"/>
      <c r="L96" s="116"/>
      <c r="M96" s="199">
        <f t="shared" si="1"/>
        <v>0</v>
      </c>
      <c r="O96" s="265" t="s">
        <v>359</v>
      </c>
      <c r="P96" s="265" t="s">
        <v>102</v>
      </c>
      <c r="Q96" s="265" t="s">
        <v>5015</v>
      </c>
      <c r="R96" s="265">
        <v>0</v>
      </c>
      <c r="S96" s="265" t="s">
        <v>5016</v>
      </c>
      <c r="T96" s="347">
        <v>1.127</v>
      </c>
      <c r="U96" s="347">
        <v>11.7</v>
      </c>
      <c r="V96" s="348">
        <v>0.8</v>
      </c>
    </row>
    <row r="97" spans="1:22" ht="14.45" customHeight="1">
      <c r="A97" s="104" t="str">
        <f>IF(K97&gt;0,COUNT($A$8:A96)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7" s="112"/>
      <c r="C97" s="79"/>
      <c r="D97" s="158" t="s">
        <v>5017</v>
      </c>
      <c r="E97" s="106">
        <v>100024096</v>
      </c>
      <c r="F97" s="159" t="s">
        <v>5018</v>
      </c>
      <c r="G97" s="106">
        <v>10</v>
      </c>
      <c r="H97" s="106">
        <v>900</v>
      </c>
      <c r="I97" s="153">
        <f>_xlfn.XLOOKUP(E97,'All Products'!D:D,'All Products'!H:H)</f>
        <v>102.64</v>
      </c>
      <c r="J97" s="205">
        <f>ROUNDUP(I97*Order_Quote!$L$26,2)</f>
        <v>513.20000000000005</v>
      </c>
      <c r="K97" s="78"/>
      <c r="L97" s="116"/>
      <c r="M97" s="199">
        <f t="shared" si="1"/>
        <v>0</v>
      </c>
      <c r="O97" s="265" t="s">
        <v>359</v>
      </c>
      <c r="P97" s="265" t="s">
        <v>102</v>
      </c>
      <c r="Q97" s="265" t="s">
        <v>5019</v>
      </c>
      <c r="R97" s="265">
        <v>0</v>
      </c>
      <c r="S97" s="265" t="s">
        <v>5020</v>
      </c>
      <c r="T97" s="347">
        <v>0.96599999999999997</v>
      </c>
      <c r="U97" s="347">
        <v>11.6</v>
      </c>
      <c r="V97" s="348">
        <v>0.8</v>
      </c>
    </row>
    <row r="98" spans="1:22" ht="14.45" customHeight="1">
      <c r="A98" s="104" t="str">
        <f>IF(K98&gt;0,COUNT($A$8:A97)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8" s="112"/>
      <c r="C98" s="79"/>
      <c r="D98" s="158" t="s">
        <v>5021</v>
      </c>
      <c r="E98" s="106">
        <v>100024099</v>
      </c>
      <c r="F98" s="159" t="s">
        <v>5022</v>
      </c>
      <c r="G98" s="106">
        <v>10</v>
      </c>
      <c r="H98" s="106">
        <v>900</v>
      </c>
      <c r="I98" s="153">
        <f>_xlfn.XLOOKUP(E98,'All Products'!D:D,'All Products'!H:H)</f>
        <v>102.64</v>
      </c>
      <c r="J98" s="205">
        <f>ROUNDUP(I98*Order_Quote!$L$26,2)</f>
        <v>513.20000000000005</v>
      </c>
      <c r="K98" s="78"/>
      <c r="L98" s="116"/>
      <c r="M98" s="199">
        <f t="shared" si="1"/>
        <v>0</v>
      </c>
      <c r="O98" s="265" t="s">
        <v>359</v>
      </c>
      <c r="P98" s="265" t="s">
        <v>102</v>
      </c>
      <c r="Q98" s="265" t="s">
        <v>5023</v>
      </c>
      <c r="R98" s="265">
        <v>0</v>
      </c>
      <c r="S98" s="265" t="s">
        <v>5024</v>
      </c>
      <c r="T98" s="347">
        <v>1.161</v>
      </c>
      <c r="U98" s="347">
        <v>12.15</v>
      </c>
      <c r="V98" s="348">
        <v>0.8</v>
      </c>
    </row>
    <row r="99" spans="1:22" ht="14.45" customHeight="1">
      <c r="A99" s="104" t="str">
        <f>IF(K99&gt;0,COUNT($A$8:A98)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99" s="112"/>
      <c r="C99" s="79"/>
      <c r="D99" s="158" t="s">
        <v>5025</v>
      </c>
      <c r="E99" s="106">
        <v>100024100</v>
      </c>
      <c r="F99" s="159" t="s">
        <v>5026</v>
      </c>
      <c r="G99" s="106">
        <v>10</v>
      </c>
      <c r="H99" s="106">
        <v>900</v>
      </c>
      <c r="I99" s="153">
        <f>_xlfn.XLOOKUP(E99,'All Products'!D:D,'All Products'!H:H)</f>
        <v>102.64</v>
      </c>
      <c r="J99" s="205">
        <f>ROUNDUP(I99*Order_Quote!$L$26,2)</f>
        <v>513.20000000000005</v>
      </c>
      <c r="K99" s="78"/>
      <c r="L99" s="116"/>
      <c r="M99" s="199">
        <f t="shared" si="1"/>
        <v>0</v>
      </c>
      <c r="O99" s="265" t="s">
        <v>359</v>
      </c>
      <c r="P99" s="265" t="s">
        <v>102</v>
      </c>
      <c r="Q99" s="265" t="s">
        <v>5027</v>
      </c>
      <c r="R99" s="265">
        <v>0</v>
      </c>
      <c r="S99" s="265" t="s">
        <v>5028</v>
      </c>
      <c r="T99" s="347">
        <v>1.0900000000000001</v>
      </c>
      <c r="U99" s="347">
        <v>11.6</v>
      </c>
      <c r="V99" s="348">
        <v>0.8</v>
      </c>
    </row>
    <row r="100" spans="1:22" ht="14.45" customHeight="1">
      <c r="A100" s="104" t="str">
        <f>IF(K100&gt;0,COUNT($A$8:A99)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0" s="112"/>
      <c r="C100" s="79"/>
      <c r="D100" s="158" t="s">
        <v>5029</v>
      </c>
      <c r="E100" s="106">
        <v>100024953</v>
      </c>
      <c r="F100" s="159" t="s">
        <v>5030</v>
      </c>
      <c r="G100" s="106">
        <v>10</v>
      </c>
      <c r="H100" s="106">
        <v>900</v>
      </c>
      <c r="I100" s="153">
        <f>_xlfn.XLOOKUP(E100,'All Products'!D:D,'All Products'!H:H)</f>
        <v>102.64</v>
      </c>
      <c r="J100" s="205">
        <f>ROUNDUP(I100*Order_Quote!$L$26,2)</f>
        <v>513.20000000000005</v>
      </c>
      <c r="K100" s="78"/>
      <c r="L100" s="116"/>
      <c r="M100" s="199">
        <f t="shared" si="1"/>
        <v>0</v>
      </c>
      <c r="O100" s="265" t="s">
        <v>359</v>
      </c>
      <c r="P100" s="265" t="s">
        <v>102</v>
      </c>
      <c r="Q100" s="265" t="s">
        <v>5031</v>
      </c>
      <c r="R100" s="265">
        <v>0</v>
      </c>
      <c r="S100" s="265" t="s">
        <v>5032</v>
      </c>
      <c r="T100" s="347">
        <v>1.1140000000000001</v>
      </c>
      <c r="U100" s="347">
        <v>11.65</v>
      </c>
      <c r="V100" s="348">
        <v>0.8</v>
      </c>
    </row>
    <row r="101" spans="1:22" ht="14.45" customHeight="1">
      <c r="A101" s="104" t="str">
        <f>IF(K101&gt;0,COUNT($A$8:A100)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1" s="112"/>
      <c r="C101" s="79"/>
      <c r="D101" s="158" t="s">
        <v>5033</v>
      </c>
      <c r="E101" s="106">
        <v>100024112</v>
      </c>
      <c r="F101" s="159" t="s">
        <v>5034</v>
      </c>
      <c r="G101" s="106">
        <v>10</v>
      </c>
      <c r="H101" s="106">
        <v>900</v>
      </c>
      <c r="I101" s="153">
        <f>_xlfn.XLOOKUP(E101,'All Products'!D:D,'All Products'!H:H)</f>
        <v>102.64</v>
      </c>
      <c r="J101" s="205">
        <f>ROUNDUP(I101*Order_Quote!$L$26,2)</f>
        <v>513.20000000000005</v>
      </c>
      <c r="K101" s="78"/>
      <c r="L101" s="116"/>
      <c r="M101" s="199">
        <f t="shared" si="1"/>
        <v>0</v>
      </c>
      <c r="O101" s="265" t="s">
        <v>359</v>
      </c>
      <c r="P101" s="265" t="s">
        <v>102</v>
      </c>
      <c r="Q101" s="265" t="s">
        <v>5035</v>
      </c>
      <c r="R101" s="265">
        <v>0</v>
      </c>
      <c r="S101" s="265" t="s">
        <v>5036</v>
      </c>
      <c r="T101" s="347">
        <v>1.093</v>
      </c>
      <c r="U101" s="347">
        <v>11.65</v>
      </c>
      <c r="V101" s="348">
        <v>0.8</v>
      </c>
    </row>
    <row r="102" spans="1:22" ht="14.45" customHeight="1">
      <c r="A102" s="104" t="str">
        <f>IF(K102&gt;0,COUNT($A$8:A101)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2" s="112"/>
      <c r="C102" s="79"/>
      <c r="D102" s="158" t="s">
        <v>5037</v>
      </c>
      <c r="E102" s="106">
        <v>100024113</v>
      </c>
      <c r="F102" s="159" t="s">
        <v>5038</v>
      </c>
      <c r="G102" s="106">
        <v>10</v>
      </c>
      <c r="H102" s="106">
        <v>600</v>
      </c>
      <c r="I102" s="153">
        <f>_xlfn.XLOOKUP(E102,'All Products'!D:D,'All Products'!H:H)</f>
        <v>102.64</v>
      </c>
      <c r="J102" s="205">
        <f>ROUNDUP(I102*Order_Quote!$L$26,2)</f>
        <v>513.20000000000005</v>
      </c>
      <c r="K102" s="78"/>
      <c r="L102" s="116"/>
      <c r="M102" s="199">
        <f t="shared" si="1"/>
        <v>0</v>
      </c>
      <c r="O102" s="265" t="s">
        <v>359</v>
      </c>
      <c r="P102" s="265" t="s">
        <v>102</v>
      </c>
      <c r="Q102" s="265" t="s">
        <v>5039</v>
      </c>
      <c r="R102" s="265">
        <v>0</v>
      </c>
      <c r="S102" s="265" t="s">
        <v>5040</v>
      </c>
      <c r="T102" s="347">
        <v>1.0940000000000001</v>
      </c>
      <c r="U102" s="347">
        <v>11.01</v>
      </c>
      <c r="V102" s="348">
        <v>1.41</v>
      </c>
    </row>
    <row r="103" spans="1:22" ht="14.45" customHeight="1">
      <c r="A103" s="104" t="str">
        <f>IF(K103&gt;0,COUNT($A$8:A102)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3" s="112"/>
      <c r="C103" s="79"/>
      <c r="D103" s="158" t="s">
        <v>5041</v>
      </c>
      <c r="E103" s="106">
        <v>100024114</v>
      </c>
      <c r="F103" s="159" t="s">
        <v>5042</v>
      </c>
      <c r="G103" s="106">
        <v>10</v>
      </c>
      <c r="H103" s="106" t="s">
        <v>2803</v>
      </c>
      <c r="I103" s="153">
        <f>_xlfn.XLOOKUP(E103,'All Products'!D:D,'All Products'!H:H)</f>
        <v>136.21</v>
      </c>
      <c r="J103" s="205">
        <f>ROUNDUP(I103*Order_Quote!$L$26,2)</f>
        <v>681.05</v>
      </c>
      <c r="K103" s="78"/>
      <c r="L103" s="116"/>
      <c r="M103" s="199">
        <f t="shared" si="1"/>
        <v>0</v>
      </c>
      <c r="O103" s="265" t="s">
        <v>359</v>
      </c>
      <c r="P103" s="265" t="s">
        <v>102</v>
      </c>
      <c r="Q103" s="265" t="s">
        <v>5043</v>
      </c>
      <c r="R103" s="265">
        <v>0</v>
      </c>
      <c r="S103" s="265" t="s">
        <v>5044</v>
      </c>
      <c r="T103" s="347">
        <v>1.7789999999999999</v>
      </c>
      <c r="U103" s="347">
        <v>17.43</v>
      </c>
      <c r="V103" s="348">
        <v>0</v>
      </c>
    </row>
    <row r="104" spans="1:22" ht="14.45" customHeight="1">
      <c r="A104" s="104" t="str">
        <f>IF(K104&gt;0,COUNT($A$8:A103)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4" s="112"/>
      <c r="C104" s="79"/>
      <c r="D104" s="158" t="s">
        <v>5045</v>
      </c>
      <c r="E104" s="106">
        <v>100024954</v>
      </c>
      <c r="F104" s="159" t="s">
        <v>5046</v>
      </c>
      <c r="G104" s="106">
        <v>10</v>
      </c>
      <c r="H104" s="106">
        <v>600</v>
      </c>
      <c r="I104" s="153">
        <f>_xlfn.XLOOKUP(E104,'All Products'!D:D,'All Products'!H:H)</f>
        <v>136.21</v>
      </c>
      <c r="J104" s="205">
        <f>ROUNDUP(I104*Order_Quote!$L$26,2)</f>
        <v>681.05</v>
      </c>
      <c r="K104" s="78"/>
      <c r="L104" s="116"/>
      <c r="M104" s="199">
        <f t="shared" si="1"/>
        <v>0</v>
      </c>
      <c r="O104" s="265" t="s">
        <v>359</v>
      </c>
      <c r="P104" s="265" t="s">
        <v>102</v>
      </c>
      <c r="Q104" s="265" t="s">
        <v>5047</v>
      </c>
      <c r="R104" s="265">
        <v>0</v>
      </c>
      <c r="S104" s="265" t="s">
        <v>5048</v>
      </c>
      <c r="T104" s="347">
        <v>1.8109999999999999</v>
      </c>
      <c r="U104" s="347">
        <v>17.78</v>
      </c>
      <c r="V104" s="348">
        <v>1.41</v>
      </c>
    </row>
    <row r="105" spans="1:22" ht="14.45" customHeight="1">
      <c r="A105" s="104" t="str">
        <f>IF(K105&gt;0,COUNT($A$8:A104)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5" s="112"/>
      <c r="C105" s="79"/>
      <c r="D105" s="158" t="s">
        <v>5049</v>
      </c>
      <c r="E105" s="106">
        <v>100024115</v>
      </c>
      <c r="F105" s="159" t="s">
        <v>5050</v>
      </c>
      <c r="G105" s="106">
        <v>10</v>
      </c>
      <c r="H105" s="106">
        <v>1200</v>
      </c>
      <c r="I105" s="153">
        <f>_xlfn.XLOOKUP(E105,'All Products'!D:D,'All Products'!H:H)</f>
        <v>147.31</v>
      </c>
      <c r="J105" s="205">
        <f>ROUNDUP(I105*Order_Quote!$L$26,2)</f>
        <v>736.55</v>
      </c>
      <c r="K105" s="78"/>
      <c r="L105" s="116"/>
      <c r="M105" s="199">
        <f t="shared" si="1"/>
        <v>0</v>
      </c>
      <c r="O105" s="265" t="s">
        <v>359</v>
      </c>
      <c r="P105" s="265" t="s">
        <v>102</v>
      </c>
      <c r="Q105" s="265" t="s">
        <v>5051</v>
      </c>
      <c r="R105" s="265">
        <v>0</v>
      </c>
      <c r="S105" s="265" t="s">
        <v>5052</v>
      </c>
      <c r="T105" s="347">
        <v>2.085</v>
      </c>
      <c r="U105" s="347">
        <v>21.7</v>
      </c>
      <c r="V105" s="348">
        <v>0.65</v>
      </c>
    </row>
    <row r="106" spans="1:22" ht="14.45" customHeight="1">
      <c r="A106" s="104" t="str">
        <f>IF(K106&gt;0,COUNT($A$8:A105)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6" s="112"/>
      <c r="C106" s="79"/>
      <c r="D106" s="158" t="s">
        <v>5053</v>
      </c>
      <c r="E106" s="106">
        <v>100024958</v>
      </c>
      <c r="F106" s="159" t="s">
        <v>5054</v>
      </c>
      <c r="G106" s="106">
        <v>10</v>
      </c>
      <c r="H106" s="106">
        <v>600</v>
      </c>
      <c r="I106" s="153">
        <f>_xlfn.XLOOKUP(E106,'All Products'!D:D,'All Products'!H:H)</f>
        <v>136.21</v>
      </c>
      <c r="J106" s="205">
        <f>ROUNDUP(I106*Order_Quote!$L$26,2)</f>
        <v>681.05</v>
      </c>
      <c r="K106" s="78"/>
      <c r="L106" s="116"/>
      <c r="M106" s="199">
        <f t="shared" si="1"/>
        <v>0</v>
      </c>
      <c r="O106" s="265" t="s">
        <v>76</v>
      </c>
      <c r="P106" s="265" t="s">
        <v>102</v>
      </c>
      <c r="Q106" s="265" t="s">
        <v>5055</v>
      </c>
      <c r="R106" s="265">
        <v>0</v>
      </c>
      <c r="S106" s="265" t="s">
        <v>5056</v>
      </c>
      <c r="T106" s="347">
        <v>1.766</v>
      </c>
      <c r="U106" s="347">
        <v>17.399999999999999</v>
      </c>
      <c r="V106" s="348">
        <v>1.41</v>
      </c>
    </row>
    <row r="107" spans="1:22" ht="14.45" customHeight="1">
      <c r="A107" s="104" t="str">
        <f>IF(K107&gt;0,COUNT($A$8:A106)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7" s="112"/>
      <c r="C107" s="79"/>
      <c r="D107" s="158" t="s">
        <v>5057</v>
      </c>
      <c r="E107" s="106">
        <v>100024116</v>
      </c>
      <c r="F107" s="159" t="s">
        <v>5058</v>
      </c>
      <c r="G107" s="106">
        <v>10</v>
      </c>
      <c r="H107" s="106">
        <v>600</v>
      </c>
      <c r="I107" s="153">
        <f>_xlfn.XLOOKUP(E107,'All Products'!D:D,'All Products'!H:H)</f>
        <v>136.21</v>
      </c>
      <c r="J107" s="205">
        <f>ROUNDUP(I107*Order_Quote!$L$26,2)</f>
        <v>681.05</v>
      </c>
      <c r="K107" s="78"/>
      <c r="L107" s="116"/>
      <c r="M107" s="199">
        <f t="shared" si="1"/>
        <v>0</v>
      </c>
      <c r="O107" s="265" t="s">
        <v>359</v>
      </c>
      <c r="P107" s="265" t="s">
        <v>102</v>
      </c>
      <c r="Q107" s="265" t="s">
        <v>5059</v>
      </c>
      <c r="R107" s="265">
        <v>0</v>
      </c>
      <c r="S107" s="265" t="s">
        <v>5060</v>
      </c>
      <c r="T107" s="347">
        <v>1.742</v>
      </c>
      <c r="U107" s="347">
        <v>17.12</v>
      </c>
      <c r="V107" s="348">
        <v>1.25</v>
      </c>
    </row>
    <row r="108" spans="1:22" ht="14.45" customHeight="1">
      <c r="A108" s="104" t="str">
        <f>IF(K108&gt;0,COUNT($A$8:A107)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8" s="112"/>
      <c r="C108" s="79"/>
      <c r="D108" s="158" t="s">
        <v>5061</v>
      </c>
      <c r="E108" s="106">
        <v>100024959</v>
      </c>
      <c r="F108" s="159" t="s">
        <v>5062</v>
      </c>
      <c r="G108" s="106">
        <v>10</v>
      </c>
      <c r="H108" s="106">
        <v>600</v>
      </c>
      <c r="I108" s="153">
        <f>_xlfn.XLOOKUP(E108,'All Products'!D:D,'All Products'!H:H)</f>
        <v>136.21</v>
      </c>
      <c r="J108" s="205">
        <f>ROUNDUP(I108*Order_Quote!$L$26,2)</f>
        <v>681.05</v>
      </c>
      <c r="K108" s="78"/>
      <c r="L108" s="116"/>
      <c r="M108" s="199">
        <f t="shared" si="1"/>
        <v>0</v>
      </c>
      <c r="O108" s="265" t="s">
        <v>76</v>
      </c>
      <c r="P108" s="265" t="s">
        <v>102</v>
      </c>
      <c r="Q108" s="265" t="s">
        <v>5063</v>
      </c>
      <c r="R108" s="265">
        <v>0</v>
      </c>
      <c r="S108" s="265" t="s">
        <v>5064</v>
      </c>
      <c r="T108" s="347">
        <v>1.774</v>
      </c>
      <c r="U108" s="347">
        <v>17.47</v>
      </c>
      <c r="V108" s="348">
        <v>1.25</v>
      </c>
    </row>
    <row r="109" spans="1:22" ht="14.45" customHeight="1">
      <c r="A109" s="104" t="str">
        <f>IF(K109&gt;0,COUNT($A$8:A108)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09" s="112"/>
      <c r="C109" s="79"/>
      <c r="D109" s="158" t="s">
        <v>5065</v>
      </c>
      <c r="E109" s="106">
        <v>100024960</v>
      </c>
      <c r="F109" s="159" t="s">
        <v>5066</v>
      </c>
      <c r="G109" s="106">
        <v>10</v>
      </c>
      <c r="H109" s="106">
        <v>600</v>
      </c>
      <c r="I109" s="153">
        <f>_xlfn.XLOOKUP(E109,'All Products'!D:D,'All Products'!H:H)</f>
        <v>136.21</v>
      </c>
      <c r="J109" s="205">
        <f>ROUNDUP(I109*Order_Quote!$L$26,2)</f>
        <v>681.05</v>
      </c>
      <c r="K109" s="78"/>
      <c r="L109" s="116"/>
      <c r="M109" s="199">
        <f t="shared" si="1"/>
        <v>0</v>
      </c>
      <c r="O109" s="265" t="s">
        <v>76</v>
      </c>
      <c r="P109" s="265" t="s">
        <v>102</v>
      </c>
      <c r="Q109" s="265" t="s">
        <v>5067</v>
      </c>
      <c r="R109" s="265">
        <v>0</v>
      </c>
      <c r="S109" s="265" t="s">
        <v>5068</v>
      </c>
      <c r="T109" s="347">
        <v>1.7290000000000001</v>
      </c>
      <c r="U109" s="347">
        <v>16.97</v>
      </c>
      <c r="V109" s="348">
        <v>1.25</v>
      </c>
    </row>
    <row r="110" spans="1:22" ht="14.45" customHeight="1">
      <c r="A110" s="104" t="str">
        <f>IF(K110&gt;0,COUNT($A$8:A109)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0" s="112"/>
      <c r="C110" s="79"/>
      <c r="D110" s="158" t="s">
        <v>5069</v>
      </c>
      <c r="E110" s="106">
        <v>100024961</v>
      </c>
      <c r="F110" s="159" t="s">
        <v>5070</v>
      </c>
      <c r="G110" s="106">
        <v>10</v>
      </c>
      <c r="H110" s="106">
        <v>750</v>
      </c>
      <c r="I110" s="153">
        <f>_xlfn.XLOOKUP(E110,'All Products'!D:D,'All Products'!H:H)</f>
        <v>136.21</v>
      </c>
      <c r="J110" s="205">
        <f>ROUNDUP(I110*Order_Quote!$L$26,2)</f>
        <v>681.05</v>
      </c>
      <c r="K110" s="78"/>
      <c r="L110" s="116"/>
      <c r="M110" s="199">
        <f t="shared" si="1"/>
        <v>0</v>
      </c>
      <c r="O110" s="265" t="s">
        <v>359</v>
      </c>
      <c r="P110" s="265" t="s">
        <v>102</v>
      </c>
      <c r="Q110" s="265" t="s">
        <v>5071</v>
      </c>
      <c r="R110" s="265">
        <v>0</v>
      </c>
      <c r="S110" s="265" t="s">
        <v>5072</v>
      </c>
      <c r="T110" s="347">
        <v>1.593</v>
      </c>
      <c r="U110" s="347">
        <v>15.81</v>
      </c>
      <c r="V110" s="348">
        <v>1.1000000000000001</v>
      </c>
    </row>
    <row r="111" spans="1:22" ht="14.45" customHeight="1">
      <c r="A111" s="104" t="str">
        <f>IF(K111&gt;0,COUNT($A$8:A110)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1" s="112"/>
      <c r="C111" s="79"/>
      <c r="D111" s="158" t="s">
        <v>5073</v>
      </c>
      <c r="E111" s="106">
        <v>100024962</v>
      </c>
      <c r="F111" s="159" t="s">
        <v>5074</v>
      </c>
      <c r="G111" s="106">
        <v>10</v>
      </c>
      <c r="H111" s="106">
        <v>240</v>
      </c>
      <c r="I111" s="153">
        <f>_xlfn.XLOOKUP(E111,'All Products'!D:D,'All Products'!H:H)</f>
        <v>147.31</v>
      </c>
      <c r="J111" s="205">
        <f>ROUNDUP(I111*Order_Quote!$L$26,2)</f>
        <v>736.55</v>
      </c>
      <c r="K111" s="78"/>
      <c r="L111" s="116"/>
      <c r="M111" s="199">
        <f t="shared" si="1"/>
        <v>0</v>
      </c>
      <c r="O111" s="265" t="s">
        <v>359</v>
      </c>
      <c r="P111" s="265" t="s">
        <v>102</v>
      </c>
      <c r="Q111" s="265" t="s">
        <v>5075</v>
      </c>
      <c r="R111" s="265">
        <v>0</v>
      </c>
      <c r="S111" s="265" t="s">
        <v>5076</v>
      </c>
      <c r="T111" s="347">
        <v>1.867</v>
      </c>
      <c r="U111" s="347">
        <v>19.55</v>
      </c>
      <c r="V111" s="348">
        <v>2.77</v>
      </c>
    </row>
    <row r="112" spans="1:22" ht="14.45" customHeight="1">
      <c r="A112" s="104" t="str">
        <f>IF(K112&gt;0,COUNT($A$8:A111)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2" s="112"/>
      <c r="C112" s="79"/>
      <c r="D112" s="158" t="s">
        <v>5077</v>
      </c>
      <c r="E112" s="106">
        <v>100024963</v>
      </c>
      <c r="F112" s="159" t="s">
        <v>5078</v>
      </c>
      <c r="G112" s="106">
        <v>10</v>
      </c>
      <c r="H112" s="106">
        <v>750</v>
      </c>
      <c r="I112" s="153">
        <f>_xlfn.XLOOKUP(E112,'All Products'!D:D,'All Products'!H:H)</f>
        <v>136.21</v>
      </c>
      <c r="J112" s="205">
        <f>ROUNDUP(I112*Order_Quote!$L$26,2)</f>
        <v>681.05</v>
      </c>
      <c r="K112" s="78"/>
      <c r="L112" s="116"/>
      <c r="M112" s="199">
        <f t="shared" si="1"/>
        <v>0</v>
      </c>
      <c r="O112" s="265" t="s">
        <v>359</v>
      </c>
      <c r="P112" s="265" t="s">
        <v>102</v>
      </c>
      <c r="Q112" s="265" t="s">
        <v>5079</v>
      </c>
      <c r="R112" s="265">
        <v>0</v>
      </c>
      <c r="S112" s="265" t="s">
        <v>5080</v>
      </c>
      <c r="T112" s="347">
        <v>1.569</v>
      </c>
      <c r="U112" s="347">
        <v>15.75</v>
      </c>
      <c r="V112" s="348">
        <v>1.1000000000000001</v>
      </c>
    </row>
    <row r="113" spans="1:22" ht="14.45" customHeight="1">
      <c r="A113" s="104" t="str">
        <f>IF(K113&gt;0,COUNT($A$8:A112)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3" s="112"/>
      <c r="C113" s="79"/>
      <c r="D113" s="158" t="s">
        <v>5081</v>
      </c>
      <c r="E113" s="106">
        <v>100024125</v>
      </c>
      <c r="F113" s="159" t="s">
        <v>5082</v>
      </c>
      <c r="G113" s="106">
        <v>10</v>
      </c>
      <c r="H113" s="106">
        <v>240</v>
      </c>
      <c r="I113" s="153">
        <f>_xlfn.XLOOKUP(E113,'All Products'!D:D,'All Products'!H:H)</f>
        <v>147.31</v>
      </c>
      <c r="J113" s="205">
        <f>ROUNDUP(I113*Order_Quote!$L$26,2)</f>
        <v>736.55</v>
      </c>
      <c r="K113" s="78"/>
      <c r="L113" s="116"/>
      <c r="M113" s="199">
        <f t="shared" si="1"/>
        <v>0</v>
      </c>
      <c r="O113" s="265" t="s">
        <v>359</v>
      </c>
      <c r="P113" s="265" t="s">
        <v>102</v>
      </c>
      <c r="Q113" s="265" t="s">
        <v>5083</v>
      </c>
      <c r="R113" s="265">
        <v>0</v>
      </c>
      <c r="S113" s="265" t="s">
        <v>5084</v>
      </c>
      <c r="T113" s="347">
        <v>1.843</v>
      </c>
      <c r="U113" s="347">
        <v>19.5</v>
      </c>
      <c r="V113" s="348">
        <v>2.77</v>
      </c>
    </row>
    <row r="114" spans="1:22" ht="14.45" customHeight="1">
      <c r="A114" s="104" t="str">
        <f>IF(K114&gt;0,COUNT($A$8:A113)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4" s="112"/>
      <c r="C114" s="79"/>
      <c r="D114" s="158" t="s">
        <v>5085</v>
      </c>
      <c r="E114" s="106">
        <v>100024964</v>
      </c>
      <c r="F114" s="159" t="s">
        <v>5086</v>
      </c>
      <c r="G114" s="106">
        <v>10</v>
      </c>
      <c r="H114" s="106">
        <v>750</v>
      </c>
      <c r="I114" s="153">
        <f>_xlfn.XLOOKUP(E114,'All Products'!D:D,'All Products'!H:H)</f>
        <v>136.21</v>
      </c>
      <c r="J114" s="205">
        <f>ROUNDUP(I114*Order_Quote!$L$26,2)</f>
        <v>681.05</v>
      </c>
      <c r="K114" s="78"/>
      <c r="L114" s="116"/>
      <c r="M114" s="199">
        <f t="shared" si="1"/>
        <v>0</v>
      </c>
      <c r="O114" s="265" t="s">
        <v>359</v>
      </c>
      <c r="P114" s="265" t="s">
        <v>102</v>
      </c>
      <c r="Q114" s="265" t="s">
        <v>5087</v>
      </c>
      <c r="R114" s="265">
        <v>0</v>
      </c>
      <c r="S114" s="265" t="s">
        <v>5088</v>
      </c>
      <c r="T114" s="347">
        <v>1.601</v>
      </c>
      <c r="U114" s="347">
        <v>16.100000000000001</v>
      </c>
      <c r="V114" s="348">
        <v>1.1000000000000001</v>
      </c>
    </row>
    <row r="115" spans="1:22" ht="14.45" customHeight="1">
      <c r="A115" s="104" t="str">
        <f>IF(K115&gt;0,COUNT($A$8:A114)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5" s="112"/>
      <c r="C115" s="79"/>
      <c r="D115" s="158" t="s">
        <v>5089</v>
      </c>
      <c r="E115" s="106">
        <v>100024130</v>
      </c>
      <c r="F115" s="159" t="s">
        <v>5090</v>
      </c>
      <c r="G115" s="106">
        <v>10</v>
      </c>
      <c r="H115" s="106">
        <v>240</v>
      </c>
      <c r="I115" s="153">
        <f>_xlfn.XLOOKUP(E115,'All Products'!D:D,'All Products'!H:H)</f>
        <v>147.31</v>
      </c>
      <c r="J115" s="205">
        <f>ROUNDUP(I115*Order_Quote!$L$26,2)</f>
        <v>736.55</v>
      </c>
      <c r="K115" s="78"/>
      <c r="L115" s="116"/>
      <c r="M115" s="199">
        <f t="shared" si="1"/>
        <v>0</v>
      </c>
      <c r="O115" s="265" t="s">
        <v>359</v>
      </c>
      <c r="P115" s="265" t="s">
        <v>102</v>
      </c>
      <c r="Q115" s="265" t="s">
        <v>5091</v>
      </c>
      <c r="R115" s="265">
        <v>0</v>
      </c>
      <c r="S115" s="265" t="s">
        <v>5092</v>
      </c>
      <c r="T115" s="347">
        <v>1.875</v>
      </c>
      <c r="U115" s="347">
        <v>19.899999999999999</v>
      </c>
      <c r="V115" s="348">
        <v>2.77</v>
      </c>
    </row>
    <row r="116" spans="1:22" ht="14.45" customHeight="1">
      <c r="A116" s="104" t="str">
        <f>IF(K116&gt;0,COUNT($A$8:A115)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6" s="112"/>
      <c r="C116" s="79"/>
      <c r="D116" s="158" t="s">
        <v>5093</v>
      </c>
      <c r="E116" s="106">
        <v>100024137</v>
      </c>
      <c r="F116" s="159" t="s">
        <v>5094</v>
      </c>
      <c r="G116" s="106">
        <v>10</v>
      </c>
      <c r="H116" s="106" t="s">
        <v>2803</v>
      </c>
      <c r="I116" s="153">
        <f>_xlfn.XLOOKUP(E116,'All Products'!D:D,'All Products'!H:H)</f>
        <v>136.21</v>
      </c>
      <c r="J116" s="205">
        <f>ROUNDUP(I116*Order_Quote!$L$26,2)</f>
        <v>681.05</v>
      </c>
      <c r="K116" s="78"/>
      <c r="L116" s="116"/>
      <c r="M116" s="199">
        <f t="shared" si="1"/>
        <v>0</v>
      </c>
      <c r="O116" s="265" t="s">
        <v>359</v>
      </c>
      <c r="P116" s="265" t="s">
        <v>102</v>
      </c>
      <c r="Q116" s="265" t="s">
        <v>5095</v>
      </c>
      <c r="R116" s="265">
        <v>0</v>
      </c>
      <c r="S116" s="265" t="s">
        <v>5096</v>
      </c>
      <c r="T116" s="347">
        <v>1.1659999999999999</v>
      </c>
      <c r="U116" s="347">
        <v>14.55</v>
      </c>
      <c r="V116" s="348">
        <v>0</v>
      </c>
    </row>
    <row r="117" spans="1:22" ht="14.45" customHeight="1">
      <c r="A117" s="104" t="str">
        <f>IF(K117&gt;0,COUNT($A$8:A116)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7" s="112"/>
      <c r="C117" s="79"/>
      <c r="D117" s="158" t="s">
        <v>5097</v>
      </c>
      <c r="E117" s="106">
        <v>100024965</v>
      </c>
      <c r="F117" s="159" t="s">
        <v>5098</v>
      </c>
      <c r="G117" s="106">
        <v>10</v>
      </c>
      <c r="H117" s="106" t="s">
        <v>2803</v>
      </c>
      <c r="I117" s="153">
        <f>_xlfn.XLOOKUP(E117,'All Products'!D:D,'All Products'!H:H)</f>
        <v>136.21</v>
      </c>
      <c r="J117" s="205">
        <f>ROUNDUP(I117*Order_Quote!$L$26,2)</f>
        <v>681.05</v>
      </c>
      <c r="K117" s="78"/>
      <c r="L117" s="116"/>
      <c r="M117" s="199">
        <f t="shared" si="1"/>
        <v>0</v>
      </c>
      <c r="O117" s="265" t="s">
        <v>76</v>
      </c>
      <c r="P117" s="265" t="s">
        <v>102</v>
      </c>
      <c r="Q117" s="265" t="s">
        <v>5099</v>
      </c>
      <c r="R117" s="265">
        <v>0</v>
      </c>
      <c r="S117" s="265" t="s">
        <v>5100</v>
      </c>
      <c r="T117" s="347">
        <v>1.5529999999999999</v>
      </c>
      <c r="U117" s="347">
        <v>15.44</v>
      </c>
      <c r="V117" s="348">
        <v>2.11</v>
      </c>
    </row>
    <row r="118" spans="1:22" ht="14.45" customHeight="1">
      <c r="A118" s="104" t="str">
        <f>IF(K118&gt;0,COUNT($A$8:A117)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8" s="112"/>
      <c r="C118" s="79"/>
      <c r="D118" s="158" t="s">
        <v>5101</v>
      </c>
      <c r="E118" s="106">
        <v>100024140</v>
      </c>
      <c r="F118" s="159" t="s">
        <v>5102</v>
      </c>
      <c r="G118" s="106">
        <v>10</v>
      </c>
      <c r="H118" s="106">
        <v>240</v>
      </c>
      <c r="I118" s="153">
        <f>_xlfn.XLOOKUP(E118,'All Products'!D:D,'All Products'!H:H)</f>
        <v>147.31</v>
      </c>
      <c r="J118" s="205">
        <f>ROUNDUP(I118*Order_Quote!$L$26,2)</f>
        <v>736.55</v>
      </c>
      <c r="K118" s="78"/>
      <c r="L118" s="116"/>
      <c r="M118" s="199">
        <f t="shared" si="1"/>
        <v>0</v>
      </c>
      <c r="O118" s="265" t="s">
        <v>359</v>
      </c>
      <c r="P118" s="265" t="s">
        <v>102</v>
      </c>
      <c r="Q118" s="265" t="s">
        <v>5103</v>
      </c>
      <c r="R118" s="265">
        <v>0</v>
      </c>
      <c r="S118" s="265" t="s">
        <v>5104</v>
      </c>
      <c r="T118" s="347">
        <v>1.827</v>
      </c>
      <c r="U118" s="347">
        <v>19.350000000000001</v>
      </c>
      <c r="V118" s="348">
        <v>2.77</v>
      </c>
    </row>
    <row r="119" spans="1:22" ht="14.45" customHeight="1">
      <c r="A119" s="104" t="str">
        <f>IF(K119&gt;0,COUNT($A$8:A118)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19" s="112"/>
      <c r="C119" s="79"/>
      <c r="D119" s="158" t="s">
        <v>5105</v>
      </c>
      <c r="E119" s="106">
        <v>100024142</v>
      </c>
      <c r="F119" s="159" t="s">
        <v>5106</v>
      </c>
      <c r="G119" s="106">
        <v>10</v>
      </c>
      <c r="H119" s="106">
        <v>750</v>
      </c>
      <c r="I119" s="153">
        <f>_xlfn.XLOOKUP(E119,'All Products'!D:D,'All Products'!H:H)</f>
        <v>125</v>
      </c>
      <c r="J119" s="205">
        <f>ROUNDUP(I119*Order_Quote!$L$26,2)</f>
        <v>625</v>
      </c>
      <c r="K119" s="78"/>
      <c r="L119" s="116"/>
      <c r="M119" s="199">
        <f t="shared" si="1"/>
        <v>0</v>
      </c>
      <c r="O119" s="265" t="s">
        <v>359</v>
      </c>
      <c r="P119" s="265" t="s">
        <v>102</v>
      </c>
      <c r="Q119" s="265" t="s">
        <v>5107</v>
      </c>
      <c r="R119" s="265">
        <v>0</v>
      </c>
      <c r="S119" s="265" t="s">
        <v>5108</v>
      </c>
      <c r="T119" s="347">
        <v>1.371</v>
      </c>
      <c r="U119" s="347">
        <v>13.57</v>
      </c>
      <c r="V119" s="348">
        <v>0.95</v>
      </c>
    </row>
    <row r="120" spans="1:22" ht="14.45" customHeight="1">
      <c r="A120" s="104" t="str">
        <f>IF(K120&gt;0,COUNT($A$8:A119)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0" s="112"/>
      <c r="C120" s="79"/>
      <c r="D120" s="158" t="s">
        <v>5109</v>
      </c>
      <c r="E120" s="106">
        <v>100024966</v>
      </c>
      <c r="F120" s="159" t="s">
        <v>5110</v>
      </c>
      <c r="G120" s="106">
        <v>10</v>
      </c>
      <c r="H120" s="106">
        <v>750</v>
      </c>
      <c r="I120" s="153">
        <f>_xlfn.XLOOKUP(E120,'All Products'!D:D,'All Products'!H:H)</f>
        <v>136.21</v>
      </c>
      <c r="J120" s="205">
        <f>ROUNDUP(I120*Order_Quote!$L$26,2)</f>
        <v>681.05</v>
      </c>
      <c r="K120" s="78"/>
      <c r="L120" s="116"/>
      <c r="M120" s="199">
        <f t="shared" si="1"/>
        <v>0</v>
      </c>
      <c r="O120" s="265" t="s">
        <v>359</v>
      </c>
      <c r="P120" s="265" t="s">
        <v>102</v>
      </c>
      <c r="Q120" s="265" t="s">
        <v>5111</v>
      </c>
      <c r="R120" s="265">
        <v>0</v>
      </c>
      <c r="S120" s="265" t="s">
        <v>5112</v>
      </c>
      <c r="T120" s="347">
        <v>1.631</v>
      </c>
      <c r="U120" s="347">
        <v>16.36</v>
      </c>
      <c r="V120" s="348">
        <v>1.1000000000000001</v>
      </c>
    </row>
    <row r="121" spans="1:22" ht="14.45" customHeight="1">
      <c r="A121" s="104" t="str">
        <f>IF(K121&gt;0,COUNT($A$8:A120)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1" s="112"/>
      <c r="C121" s="79"/>
      <c r="D121" s="158" t="s">
        <v>5113</v>
      </c>
      <c r="E121" s="106">
        <v>100024152</v>
      </c>
      <c r="F121" s="159" t="s">
        <v>5114</v>
      </c>
      <c r="G121" s="106">
        <v>10</v>
      </c>
      <c r="H121" s="106">
        <v>240</v>
      </c>
      <c r="I121" s="153">
        <f>_xlfn.XLOOKUP(E121,'All Products'!D:D,'All Products'!H:H)</f>
        <v>147.31</v>
      </c>
      <c r="J121" s="205">
        <f>ROUNDUP(I121*Order_Quote!$L$26,2)</f>
        <v>736.55</v>
      </c>
      <c r="K121" s="78"/>
      <c r="L121" s="116"/>
      <c r="M121" s="199">
        <f t="shared" si="1"/>
        <v>0</v>
      </c>
      <c r="O121" s="265" t="s">
        <v>359</v>
      </c>
      <c r="P121" s="265" t="s">
        <v>102</v>
      </c>
      <c r="Q121" s="265" t="s">
        <v>5115</v>
      </c>
      <c r="R121" s="265">
        <v>0</v>
      </c>
      <c r="S121" s="265" t="s">
        <v>5116</v>
      </c>
      <c r="T121" s="347">
        <v>1.905</v>
      </c>
      <c r="U121" s="347">
        <v>20.5</v>
      </c>
      <c r="V121" s="348">
        <v>2.77</v>
      </c>
    </row>
    <row r="122" spans="1:22" ht="14.45" customHeight="1">
      <c r="A122" s="104" t="str">
        <f>IF(K122&gt;0,COUNT($A$8:A121)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2" s="112"/>
      <c r="C122" s="79"/>
      <c r="D122" s="158" t="s">
        <v>5117</v>
      </c>
      <c r="E122" s="106">
        <v>100024156</v>
      </c>
      <c r="F122" s="159" t="s">
        <v>5118</v>
      </c>
      <c r="G122" s="106">
        <v>10</v>
      </c>
      <c r="H122" s="106">
        <v>750</v>
      </c>
      <c r="I122" s="153">
        <f>_xlfn.XLOOKUP(E122,'All Products'!D:D,'All Products'!H:H)</f>
        <v>136.21</v>
      </c>
      <c r="J122" s="205">
        <f>ROUNDUP(I122*Order_Quote!$L$26,2)</f>
        <v>681.05</v>
      </c>
      <c r="K122" s="78"/>
      <c r="L122" s="116"/>
      <c r="M122" s="199">
        <f t="shared" si="1"/>
        <v>0</v>
      </c>
      <c r="O122" s="265" t="s">
        <v>359</v>
      </c>
      <c r="P122" s="265" t="s">
        <v>102</v>
      </c>
      <c r="Q122" s="265">
        <v>0</v>
      </c>
      <c r="R122" s="265">
        <v>0</v>
      </c>
      <c r="S122" s="265">
        <v>0</v>
      </c>
      <c r="T122" s="347">
        <v>1.173</v>
      </c>
      <c r="U122" s="347">
        <v>14.57</v>
      </c>
      <c r="V122" s="348">
        <v>0.95</v>
      </c>
    </row>
    <row r="123" spans="1:22" ht="14.45" customHeight="1">
      <c r="A123" s="104" t="str">
        <f>IF(K123&gt;0,COUNT($A$8:A122)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3" s="112"/>
      <c r="C123" s="79"/>
      <c r="D123" s="158" t="s">
        <v>5119</v>
      </c>
      <c r="E123" s="106">
        <v>100024967</v>
      </c>
      <c r="F123" s="159" t="s">
        <v>5120</v>
      </c>
      <c r="G123" s="106">
        <v>10</v>
      </c>
      <c r="H123" s="106">
        <v>750</v>
      </c>
      <c r="I123" s="153">
        <f>_xlfn.XLOOKUP(E123,'All Products'!D:D,'All Products'!H:H)</f>
        <v>136.21</v>
      </c>
      <c r="J123" s="205">
        <f>ROUNDUP(I123*Order_Quote!$L$26,2)</f>
        <v>681.05</v>
      </c>
      <c r="K123" s="78"/>
      <c r="L123" s="116"/>
      <c r="M123" s="199">
        <f t="shared" si="1"/>
        <v>0</v>
      </c>
      <c r="O123" s="265" t="s">
        <v>359</v>
      </c>
      <c r="P123" s="265" t="s">
        <v>102</v>
      </c>
      <c r="Q123" s="265" t="s">
        <v>5121</v>
      </c>
      <c r="R123" s="265">
        <v>0</v>
      </c>
      <c r="S123" s="265" t="s">
        <v>5122</v>
      </c>
      <c r="T123" s="347">
        <v>1.56</v>
      </c>
      <c r="U123" s="347">
        <v>15.75</v>
      </c>
      <c r="V123" s="348">
        <v>1.1000000000000001</v>
      </c>
    </row>
    <row r="124" spans="1:22" ht="14.45" customHeight="1">
      <c r="A124" s="104" t="str">
        <f>IF(K124&gt;0,COUNT($A$8:A123)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4" s="112"/>
      <c r="C124" s="79"/>
      <c r="D124" s="158" t="s">
        <v>5123</v>
      </c>
      <c r="E124" s="106">
        <v>100024157</v>
      </c>
      <c r="F124" s="159" t="s">
        <v>5124</v>
      </c>
      <c r="G124" s="106">
        <v>10</v>
      </c>
      <c r="H124" s="106" t="s">
        <v>2803</v>
      </c>
      <c r="I124" s="153">
        <f>_xlfn.XLOOKUP(E124,'All Products'!D:D,'All Products'!H:H)</f>
        <v>147.31</v>
      </c>
      <c r="J124" s="205">
        <f>ROUNDUP(I124*Order_Quote!$L$26,2)</f>
        <v>736.55</v>
      </c>
      <c r="K124" s="78"/>
      <c r="L124" s="116"/>
      <c r="M124" s="199">
        <f t="shared" si="1"/>
        <v>0</v>
      </c>
      <c r="O124" s="265" t="s">
        <v>359</v>
      </c>
      <c r="P124" s="265" t="s">
        <v>102</v>
      </c>
      <c r="Q124" s="265" t="s">
        <v>5125</v>
      </c>
      <c r="R124" s="265">
        <v>0</v>
      </c>
      <c r="S124" s="265" t="s">
        <v>5126</v>
      </c>
      <c r="T124" s="347">
        <v>1.599</v>
      </c>
      <c r="U124" s="347">
        <v>33.22</v>
      </c>
      <c r="V124" s="348">
        <v>2.11</v>
      </c>
    </row>
    <row r="125" spans="1:22" ht="14.45" customHeight="1">
      <c r="A125" s="104" t="str">
        <f>IF(K125&gt;0,COUNT($A$8:A124)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5" s="112"/>
      <c r="C125" s="79"/>
      <c r="D125" s="158" t="s">
        <v>5127</v>
      </c>
      <c r="E125" s="106">
        <v>100024158</v>
      </c>
      <c r="F125" s="159" t="s">
        <v>5128</v>
      </c>
      <c r="G125" s="106">
        <v>10</v>
      </c>
      <c r="H125" s="106">
        <v>180</v>
      </c>
      <c r="I125" s="153">
        <f>_xlfn.XLOOKUP(E125,'All Products'!D:D,'All Products'!H:H)</f>
        <v>147.31</v>
      </c>
      <c r="J125" s="205">
        <f>ROUNDUP(I125*Order_Quote!$L$26,2)</f>
        <v>736.55</v>
      </c>
      <c r="K125" s="78"/>
      <c r="L125" s="116"/>
      <c r="M125" s="199">
        <f t="shared" si="1"/>
        <v>0</v>
      </c>
      <c r="O125" s="265" t="s">
        <v>359</v>
      </c>
      <c r="P125" s="265" t="s">
        <v>102</v>
      </c>
      <c r="Q125" s="265" t="s">
        <v>5129</v>
      </c>
      <c r="R125" s="265">
        <v>0</v>
      </c>
      <c r="S125" s="265" t="s">
        <v>5130</v>
      </c>
      <c r="T125" s="347">
        <v>1.8340000000000001</v>
      </c>
      <c r="U125" s="347">
        <v>18.100000000000001</v>
      </c>
      <c r="V125" s="348">
        <v>2.65</v>
      </c>
    </row>
    <row r="126" spans="1:22" ht="14.45" customHeight="1">
      <c r="A126" s="104" t="str">
        <f>IF(K126&gt;0,COUNT($A$8:A125)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6" s="112"/>
      <c r="C126" s="79"/>
      <c r="D126" s="158" t="s">
        <v>5131</v>
      </c>
      <c r="E126" s="106">
        <v>100024164</v>
      </c>
      <c r="F126" s="159" t="s">
        <v>5132</v>
      </c>
      <c r="G126" s="106">
        <v>10</v>
      </c>
      <c r="H126" s="106">
        <v>750</v>
      </c>
      <c r="I126" s="153">
        <f>_xlfn.XLOOKUP(E126,'All Products'!D:D,'All Products'!H:H)</f>
        <v>136.21</v>
      </c>
      <c r="J126" s="205">
        <f>ROUNDUP(I126*Order_Quote!$L$26,2)</f>
        <v>681.05</v>
      </c>
      <c r="K126" s="78"/>
      <c r="L126" s="116"/>
      <c r="M126" s="199">
        <f t="shared" si="1"/>
        <v>0</v>
      </c>
      <c r="O126" s="265" t="s">
        <v>359</v>
      </c>
      <c r="P126" s="265" t="s">
        <v>102</v>
      </c>
      <c r="Q126" s="265" t="s">
        <v>5133</v>
      </c>
      <c r="R126" s="265">
        <v>0</v>
      </c>
      <c r="S126" s="265" t="s">
        <v>5134</v>
      </c>
      <c r="T126" s="347">
        <v>1.6180000000000001</v>
      </c>
      <c r="U126" s="347">
        <v>16.11</v>
      </c>
      <c r="V126" s="348">
        <v>1.1000000000000001</v>
      </c>
    </row>
    <row r="127" spans="1:22" ht="14.45" customHeight="1">
      <c r="A127" s="104" t="str">
        <f>IF(K127&gt;0,COUNT($A$8:A126)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7" s="112"/>
      <c r="C127" s="79"/>
      <c r="D127" s="158" t="s">
        <v>5135</v>
      </c>
      <c r="E127" s="106">
        <v>100024174</v>
      </c>
      <c r="F127" s="159" t="s">
        <v>5136</v>
      </c>
      <c r="G127" s="106">
        <v>10</v>
      </c>
      <c r="H127" s="106">
        <v>750</v>
      </c>
      <c r="I127" s="153">
        <f>_xlfn.XLOOKUP(E127,'All Products'!D:D,'All Products'!H:H)</f>
        <v>136.21</v>
      </c>
      <c r="J127" s="205">
        <f>ROUNDUP(I127*Order_Quote!$L$26,2)</f>
        <v>681.05</v>
      </c>
      <c r="K127" s="78"/>
      <c r="L127" s="116"/>
      <c r="M127" s="199">
        <f t="shared" si="1"/>
        <v>0</v>
      </c>
      <c r="O127" s="265" t="s">
        <v>359</v>
      </c>
      <c r="P127" s="265" t="s">
        <v>102</v>
      </c>
      <c r="Q127" s="265" t="s">
        <v>5137</v>
      </c>
      <c r="R127" s="265">
        <v>0</v>
      </c>
      <c r="S127" s="265" t="s">
        <v>5138</v>
      </c>
      <c r="T127" s="347">
        <v>1.5940000000000001</v>
      </c>
      <c r="U127" s="347">
        <v>16.055</v>
      </c>
      <c r="V127" s="348">
        <v>1.1000000000000001</v>
      </c>
    </row>
    <row r="128" spans="1:22" ht="14.45" customHeight="1">
      <c r="A128" s="104" t="str">
        <f>IF(K128&gt;0,COUNT($A$8:A127)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8" s="112"/>
      <c r="C128" s="79"/>
      <c r="D128" s="158" t="s">
        <v>5139</v>
      </c>
      <c r="E128" s="106">
        <v>100024206</v>
      </c>
      <c r="F128" s="159" t="s">
        <v>5140</v>
      </c>
      <c r="G128" s="106">
        <v>10</v>
      </c>
      <c r="H128" s="106" t="s">
        <v>2803</v>
      </c>
      <c r="I128" s="153">
        <f>_xlfn.XLOOKUP(E128,'All Products'!D:D,'All Products'!H:H)</f>
        <v>136.21</v>
      </c>
      <c r="J128" s="205">
        <f>ROUNDUP(I128*Order_Quote!$L$26,2)</f>
        <v>681.05</v>
      </c>
      <c r="K128" s="78"/>
      <c r="L128" s="116"/>
      <c r="M128" s="199">
        <f t="shared" si="1"/>
        <v>0</v>
      </c>
      <c r="O128" s="265" t="s">
        <v>359</v>
      </c>
      <c r="P128" s="265" t="s">
        <v>102</v>
      </c>
      <c r="Q128" s="265" t="s">
        <v>5141</v>
      </c>
      <c r="R128" s="265">
        <v>0</v>
      </c>
      <c r="S128" s="265" t="s">
        <v>5142</v>
      </c>
      <c r="T128" s="347">
        <v>1.5780000000000001</v>
      </c>
      <c r="U128" s="347">
        <v>16.18</v>
      </c>
      <c r="V128" s="348">
        <v>2.11</v>
      </c>
    </row>
    <row r="129" spans="1:22" ht="14.45" customHeight="1">
      <c r="A129" s="104" t="str">
        <f>IF(K129&gt;0,COUNT($A$8:A128)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29" s="112"/>
      <c r="C129" s="79"/>
      <c r="D129" s="158" t="s">
        <v>5143</v>
      </c>
      <c r="E129" s="106">
        <v>100024208</v>
      </c>
      <c r="F129" s="159" t="s">
        <v>5144</v>
      </c>
      <c r="G129" s="106">
        <v>10</v>
      </c>
      <c r="H129" s="106" t="s">
        <v>2803</v>
      </c>
      <c r="I129" s="153">
        <f>_xlfn.XLOOKUP(E129,'All Products'!D:D,'All Products'!H:H)</f>
        <v>125</v>
      </c>
      <c r="J129" s="205">
        <f>ROUNDUP(I129*Order_Quote!$L$26,2)</f>
        <v>625</v>
      </c>
      <c r="K129" s="78"/>
      <c r="L129" s="116"/>
      <c r="M129" s="199">
        <f t="shared" si="1"/>
        <v>0</v>
      </c>
      <c r="O129" s="265" t="s">
        <v>359</v>
      </c>
      <c r="P129" s="265" t="s">
        <v>102</v>
      </c>
      <c r="Q129" s="265" t="s">
        <v>5145</v>
      </c>
      <c r="R129" s="265">
        <v>0</v>
      </c>
      <c r="S129" s="265" t="s">
        <v>5146</v>
      </c>
      <c r="T129" s="347">
        <v>1.3959999999999999</v>
      </c>
      <c r="U129" s="347">
        <v>28.35</v>
      </c>
      <c r="V129" s="348">
        <v>2.11</v>
      </c>
    </row>
    <row r="130" spans="1:22" ht="14.45" customHeight="1">
      <c r="A130" s="104" t="str">
        <f>IF(K130&gt;0,COUNT($A$8:A129)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0" s="112"/>
      <c r="C130" s="79"/>
      <c r="D130" s="158" t="s">
        <v>5147</v>
      </c>
      <c r="E130" s="106">
        <v>100024239</v>
      </c>
      <c r="F130" s="159" t="s">
        <v>5148</v>
      </c>
      <c r="G130" s="106">
        <v>10</v>
      </c>
      <c r="H130" s="106">
        <v>240</v>
      </c>
      <c r="I130" s="153">
        <f>_xlfn.XLOOKUP(E130,'All Products'!D:D,'All Products'!H:H)</f>
        <v>147.31</v>
      </c>
      <c r="J130" s="205">
        <f>ROUNDUP(I130*Order_Quote!$L$26,2)</f>
        <v>736.55</v>
      </c>
      <c r="K130" s="78"/>
      <c r="L130" s="116"/>
      <c r="M130" s="199">
        <f t="shared" si="1"/>
        <v>0</v>
      </c>
      <c r="O130" s="265" t="s">
        <v>359</v>
      </c>
      <c r="P130" s="265" t="s">
        <v>102</v>
      </c>
      <c r="Q130" s="265" t="s">
        <v>5149</v>
      </c>
      <c r="R130" s="265">
        <v>0</v>
      </c>
      <c r="S130" s="265" t="s">
        <v>5150</v>
      </c>
      <c r="T130" s="347">
        <v>1.859</v>
      </c>
      <c r="U130" s="347">
        <v>19.8</v>
      </c>
      <c r="V130" s="348">
        <v>2.77</v>
      </c>
    </row>
    <row r="131" spans="1:22" ht="14.45" customHeight="1">
      <c r="A131" s="104" t="str">
        <f>IF(K131&gt;0,COUNT($A$8:A130)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1" s="112"/>
      <c r="C131" s="79"/>
      <c r="D131" s="158" t="s">
        <v>5151</v>
      </c>
      <c r="E131" s="106">
        <v>100024253</v>
      </c>
      <c r="F131" s="159" t="s">
        <v>5152</v>
      </c>
      <c r="G131" s="106">
        <v>10</v>
      </c>
      <c r="H131" s="106">
        <v>750</v>
      </c>
      <c r="I131" s="153">
        <f>_xlfn.XLOOKUP(E131,'All Products'!D:D,'All Products'!H:H)</f>
        <v>136.21</v>
      </c>
      <c r="J131" s="205">
        <f>ROUNDUP(I131*Order_Quote!$L$26,2)</f>
        <v>681.05</v>
      </c>
      <c r="K131" s="78"/>
      <c r="L131" s="116"/>
      <c r="M131" s="199">
        <f t="shared" si="1"/>
        <v>0</v>
      </c>
      <c r="O131" s="265" t="s">
        <v>359</v>
      </c>
      <c r="P131" s="265" t="s">
        <v>102</v>
      </c>
      <c r="Q131" s="265" t="s">
        <v>5153</v>
      </c>
      <c r="R131" s="265">
        <v>0</v>
      </c>
      <c r="S131" s="265" t="s">
        <v>5154</v>
      </c>
      <c r="T131" s="347">
        <v>1.61</v>
      </c>
      <c r="U131" s="347">
        <v>16.899999999999999</v>
      </c>
      <c r="V131" s="348">
        <v>1.1000000000000001</v>
      </c>
    </row>
    <row r="132" spans="1:22" ht="14.45" customHeight="1">
      <c r="A132" s="104" t="str">
        <f>IF(K132&gt;0,COUNT($A$8:A131)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2" s="112"/>
      <c r="C132" s="79"/>
      <c r="D132" s="158" t="s">
        <v>5155</v>
      </c>
      <c r="E132" s="106">
        <v>100024255</v>
      </c>
      <c r="F132" s="159" t="s">
        <v>5156</v>
      </c>
      <c r="G132" s="106">
        <v>10</v>
      </c>
      <c r="H132" s="106">
        <v>750</v>
      </c>
      <c r="I132" s="153">
        <f>_xlfn.XLOOKUP(E132,'All Products'!D:D,'All Products'!H:H)</f>
        <v>136.21</v>
      </c>
      <c r="J132" s="205">
        <f>ROUNDUP(I132*Order_Quote!$L$26,2)</f>
        <v>681.05</v>
      </c>
      <c r="K132" s="78"/>
      <c r="L132" s="116"/>
      <c r="M132" s="199">
        <f t="shared" si="1"/>
        <v>0</v>
      </c>
      <c r="O132" s="265" t="s">
        <v>359</v>
      </c>
      <c r="P132" s="265" t="s">
        <v>102</v>
      </c>
      <c r="Q132" s="265" t="s">
        <v>5157</v>
      </c>
      <c r="R132" s="265">
        <v>0</v>
      </c>
      <c r="S132" s="265" t="s">
        <v>5158</v>
      </c>
      <c r="T132" s="347">
        <v>1.623</v>
      </c>
      <c r="U132" s="347">
        <v>16.5</v>
      </c>
      <c r="V132" s="348">
        <v>1.1000000000000001</v>
      </c>
    </row>
    <row r="133" spans="1:22" ht="14.45" customHeight="1">
      <c r="A133" s="104" t="str">
        <f>IF(K133&gt;0,COUNT($A$8:A132)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3" s="112"/>
      <c r="C133" s="79"/>
      <c r="D133" s="158" t="s">
        <v>5159</v>
      </c>
      <c r="E133" s="106">
        <v>100024981</v>
      </c>
      <c r="F133" s="159" t="s">
        <v>5160</v>
      </c>
      <c r="G133" s="106">
        <v>10</v>
      </c>
      <c r="H133" s="106">
        <v>600</v>
      </c>
      <c r="I133" s="153">
        <f>_xlfn.XLOOKUP(E133,'All Products'!D:D,'All Products'!H:H)</f>
        <v>136.21</v>
      </c>
      <c r="J133" s="205">
        <f>ROUNDUP(I133*Order_Quote!$L$26,2)</f>
        <v>681.05</v>
      </c>
      <c r="K133" s="78"/>
      <c r="L133" s="116"/>
      <c r="M133" s="199">
        <f t="shared" si="1"/>
        <v>0</v>
      </c>
      <c r="O133" s="265" t="s">
        <v>359</v>
      </c>
      <c r="P133" s="265" t="s">
        <v>102</v>
      </c>
      <c r="Q133" s="265" t="s">
        <v>5161</v>
      </c>
      <c r="R133" s="265">
        <v>0</v>
      </c>
      <c r="S133" s="265" t="s">
        <v>5162</v>
      </c>
      <c r="T133" s="347">
        <v>1.724</v>
      </c>
      <c r="U133" s="347">
        <v>17.18</v>
      </c>
      <c r="V133" s="348">
        <v>1.41</v>
      </c>
    </row>
    <row r="134" spans="1:22" ht="14.45" customHeight="1">
      <c r="A134" s="104" t="str">
        <f>IF(K134&gt;0,COUNT($A$8:A133)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4" s="112"/>
      <c r="C134" s="79"/>
      <c r="D134" s="158" t="s">
        <v>5163</v>
      </c>
      <c r="E134" s="106">
        <v>100024982</v>
      </c>
      <c r="F134" s="159" t="s">
        <v>5164</v>
      </c>
      <c r="G134" s="106">
        <v>10</v>
      </c>
      <c r="H134" s="106">
        <v>240</v>
      </c>
      <c r="I134" s="153">
        <f>_xlfn.XLOOKUP(E134,'All Products'!D:D,'All Products'!H:H)</f>
        <v>147.31</v>
      </c>
      <c r="J134" s="205">
        <f>ROUNDUP(I134*Order_Quote!$L$26,2)</f>
        <v>736.55</v>
      </c>
      <c r="K134" s="78"/>
      <c r="L134" s="116"/>
      <c r="M134" s="199">
        <f t="shared" si="1"/>
        <v>0</v>
      </c>
      <c r="O134" s="265" t="s">
        <v>359</v>
      </c>
      <c r="P134" s="265" t="s">
        <v>102</v>
      </c>
      <c r="Q134" s="265" t="s">
        <v>5165</v>
      </c>
      <c r="R134" s="265">
        <v>0</v>
      </c>
      <c r="S134" s="265" t="s">
        <v>5166</v>
      </c>
      <c r="T134" s="347">
        <v>1.998</v>
      </c>
      <c r="U134" s="347">
        <v>20.8</v>
      </c>
      <c r="V134" s="348">
        <v>2.77</v>
      </c>
    </row>
    <row r="135" spans="1:22" ht="14.45" customHeight="1">
      <c r="A135" s="104" t="str">
        <f>IF(K135&gt;0,COUNT($A$8:A134)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5" s="112"/>
      <c r="C135" s="79"/>
      <c r="D135" s="158" t="s">
        <v>5167</v>
      </c>
      <c r="E135" s="106">
        <v>100024297</v>
      </c>
      <c r="F135" s="159" t="s">
        <v>5168</v>
      </c>
      <c r="G135" s="106">
        <v>10</v>
      </c>
      <c r="H135" s="106">
        <v>900</v>
      </c>
      <c r="I135" s="153">
        <f>_xlfn.XLOOKUP(E135,'All Products'!D:D,'All Products'!H:H)</f>
        <v>136.21</v>
      </c>
      <c r="J135" s="205">
        <f>ROUNDUP(I135*Order_Quote!$L$26,2)</f>
        <v>681.05</v>
      </c>
      <c r="K135" s="78"/>
      <c r="L135" s="116"/>
      <c r="M135" s="199">
        <f t="shared" si="1"/>
        <v>0</v>
      </c>
      <c r="O135" s="265" t="s">
        <v>359</v>
      </c>
      <c r="P135" s="265" t="s">
        <v>102</v>
      </c>
      <c r="Q135" s="265" t="s">
        <v>5169</v>
      </c>
      <c r="R135" s="265">
        <v>0</v>
      </c>
      <c r="S135" s="265" t="s">
        <v>5170</v>
      </c>
      <c r="T135" s="347">
        <v>1.7</v>
      </c>
      <c r="U135" s="347">
        <v>34</v>
      </c>
      <c r="V135" s="348">
        <v>0.8</v>
      </c>
    </row>
    <row r="136" spans="1:22" ht="14.45" customHeight="1">
      <c r="A136" s="104" t="str">
        <f>IF(K136&gt;0,COUNT($A$8:A135)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6" s="112"/>
      <c r="C136" s="79"/>
      <c r="D136" s="158" t="s">
        <v>5171</v>
      </c>
      <c r="E136" s="106">
        <v>100024300</v>
      </c>
      <c r="F136" s="159" t="s">
        <v>5172</v>
      </c>
      <c r="G136" s="106">
        <v>10</v>
      </c>
      <c r="H136" s="106">
        <v>600</v>
      </c>
      <c r="I136" s="153">
        <f>_xlfn.XLOOKUP(E136,'All Products'!D:D,'All Products'!H:H)</f>
        <v>136.21</v>
      </c>
      <c r="J136" s="205">
        <f>ROUNDUP(I136*Order_Quote!$L$26,2)</f>
        <v>681.05</v>
      </c>
      <c r="K136" s="78"/>
      <c r="L136" s="116"/>
      <c r="M136" s="199">
        <f t="shared" si="1"/>
        <v>0</v>
      </c>
      <c r="O136" s="265" t="s">
        <v>359</v>
      </c>
      <c r="P136" s="265" t="s">
        <v>102</v>
      </c>
      <c r="Q136" s="265" t="s">
        <v>5173</v>
      </c>
      <c r="R136" s="265">
        <v>0</v>
      </c>
      <c r="S136" s="265" t="s">
        <v>5174</v>
      </c>
      <c r="T136" s="347">
        <v>1.732</v>
      </c>
      <c r="U136" s="347">
        <v>17.48</v>
      </c>
      <c r="V136" s="348">
        <v>1.41</v>
      </c>
    </row>
    <row r="137" spans="1:22" ht="14.45" customHeight="1">
      <c r="A137" s="104" t="str">
        <f>IF(K137&gt;0,COUNT($A$8:A136)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7" s="112"/>
      <c r="C137" s="79"/>
      <c r="D137" s="158" t="s">
        <v>5175</v>
      </c>
      <c r="E137" s="106">
        <v>100024304</v>
      </c>
      <c r="F137" s="159" t="s">
        <v>5176</v>
      </c>
      <c r="G137" s="106">
        <v>10</v>
      </c>
      <c r="H137" s="106" t="s">
        <v>2803</v>
      </c>
      <c r="I137" s="153">
        <f>_xlfn.XLOOKUP(E137,'All Products'!D:D,'All Products'!H:H)</f>
        <v>136.21</v>
      </c>
      <c r="J137" s="205">
        <f>ROUNDUP(I137*Order_Quote!$L$26,2)</f>
        <v>681.05</v>
      </c>
      <c r="K137" s="78"/>
      <c r="L137" s="116"/>
      <c r="M137" s="199">
        <f t="shared" ref="M137:M200" si="2">K137/G137</f>
        <v>0</v>
      </c>
      <c r="O137" s="265" t="s">
        <v>359</v>
      </c>
      <c r="P137" s="265" t="s">
        <v>102</v>
      </c>
      <c r="Q137" s="265" t="s">
        <v>5177</v>
      </c>
      <c r="R137" s="265">
        <v>0</v>
      </c>
      <c r="S137" s="265" t="s">
        <v>5178</v>
      </c>
      <c r="T137" s="347">
        <v>1.2969999999999999</v>
      </c>
      <c r="U137" s="347">
        <v>16</v>
      </c>
      <c r="V137" s="348">
        <v>2.11</v>
      </c>
    </row>
    <row r="138" spans="1:22" ht="14.45" customHeight="1">
      <c r="A138" s="104" t="str">
        <f>IF(K138&gt;0,COUNT($A$8:A137)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8" s="112"/>
      <c r="C138" s="79"/>
      <c r="D138" s="158" t="s">
        <v>5179</v>
      </c>
      <c r="E138" s="106">
        <v>100024305</v>
      </c>
      <c r="F138" s="159" t="s">
        <v>5180</v>
      </c>
      <c r="G138" s="106">
        <v>10</v>
      </c>
      <c r="H138" s="106" t="s">
        <v>2803</v>
      </c>
      <c r="I138" s="153">
        <f>_xlfn.XLOOKUP(E138,'All Products'!D:D,'All Products'!H:H)</f>
        <v>136.21</v>
      </c>
      <c r="J138" s="205">
        <f>ROUNDUP(I138*Order_Quote!$L$26,2)</f>
        <v>681.05</v>
      </c>
      <c r="K138" s="78"/>
      <c r="L138" s="116"/>
      <c r="M138" s="199">
        <f t="shared" si="2"/>
        <v>0</v>
      </c>
      <c r="O138" s="265" t="s">
        <v>359</v>
      </c>
      <c r="P138" s="265" t="s">
        <v>102</v>
      </c>
      <c r="Q138" s="265" t="s">
        <v>5181</v>
      </c>
      <c r="R138" s="265">
        <v>0</v>
      </c>
      <c r="S138" s="265" t="s">
        <v>5182</v>
      </c>
      <c r="T138" s="347">
        <v>1.6839999999999999</v>
      </c>
      <c r="U138" s="347">
        <v>16.5</v>
      </c>
      <c r="V138" s="348">
        <v>0</v>
      </c>
    </row>
    <row r="139" spans="1:22" ht="14.45" customHeight="1">
      <c r="A139" s="104" t="str">
        <f>IF(K139&gt;0,COUNT($A$8:A138)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39" s="112"/>
      <c r="C139" s="79"/>
      <c r="D139" s="158" t="s">
        <v>5183</v>
      </c>
      <c r="E139" s="106">
        <v>100024986</v>
      </c>
      <c r="F139" s="159" t="s">
        <v>4922</v>
      </c>
      <c r="G139" s="106">
        <v>10</v>
      </c>
      <c r="H139" s="106">
        <v>180</v>
      </c>
      <c r="I139" s="153">
        <f>_xlfn.XLOOKUP(E139,'All Products'!D:D,'All Products'!H:H)</f>
        <v>136.21</v>
      </c>
      <c r="J139" s="205">
        <f>ROUNDUP(I139*Order_Quote!$L$26,2)</f>
        <v>681.05</v>
      </c>
      <c r="K139" s="78"/>
      <c r="L139" s="116"/>
      <c r="M139" s="199">
        <f t="shared" si="2"/>
        <v>0</v>
      </c>
      <c r="O139" s="265" t="s">
        <v>359</v>
      </c>
      <c r="P139" s="265" t="s">
        <v>102</v>
      </c>
      <c r="Q139" s="265" t="s">
        <v>5184</v>
      </c>
      <c r="R139" s="265">
        <v>0</v>
      </c>
      <c r="S139" s="265" t="s">
        <v>5185</v>
      </c>
      <c r="T139" s="347">
        <v>1.6910000000000001</v>
      </c>
      <c r="U139" s="347">
        <v>17.739999999999998</v>
      </c>
      <c r="V139" s="348">
        <v>2.65</v>
      </c>
    </row>
    <row r="140" spans="1:22" ht="14.45" customHeight="1">
      <c r="A140" s="104" t="str">
        <f>IF(K140&gt;0,COUNT($A$8:A139)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0" s="112"/>
      <c r="C140" s="79"/>
      <c r="D140" s="158" t="s">
        <v>5186</v>
      </c>
      <c r="E140" s="106">
        <v>100024988</v>
      </c>
      <c r="F140" s="159" t="s">
        <v>4938</v>
      </c>
      <c r="G140" s="106">
        <v>10</v>
      </c>
      <c r="H140" s="106">
        <v>600</v>
      </c>
      <c r="I140" s="153">
        <f>_xlfn.XLOOKUP(E140,'All Products'!D:D,'All Products'!H:H)</f>
        <v>173.7</v>
      </c>
      <c r="J140" s="205">
        <f>ROUNDUP(I140*Order_Quote!$L$26,2)</f>
        <v>868.5</v>
      </c>
      <c r="K140" s="78"/>
      <c r="L140" s="116"/>
      <c r="M140" s="199">
        <f t="shared" si="2"/>
        <v>0</v>
      </c>
      <c r="O140" s="265" t="s">
        <v>359</v>
      </c>
      <c r="P140" s="265" t="s">
        <v>102</v>
      </c>
      <c r="Q140" s="265" t="s">
        <v>5187</v>
      </c>
      <c r="R140" s="265">
        <v>0</v>
      </c>
      <c r="S140" s="265" t="s">
        <v>5188</v>
      </c>
      <c r="T140" s="347">
        <v>2.1040000000000001</v>
      </c>
      <c r="U140" s="347">
        <v>17.2</v>
      </c>
      <c r="V140" s="348">
        <v>1.41</v>
      </c>
    </row>
    <row r="141" spans="1:22" ht="14.45" customHeight="1">
      <c r="A141" s="104" t="str">
        <f>IF(K141&gt;0,COUNT($A$8:A140)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1" s="112"/>
      <c r="C141" s="79"/>
      <c r="D141" s="158" t="s">
        <v>5189</v>
      </c>
      <c r="E141" s="106">
        <v>100024989</v>
      </c>
      <c r="F141" s="159" t="s">
        <v>4942</v>
      </c>
      <c r="G141" s="106">
        <v>10</v>
      </c>
      <c r="H141" s="106">
        <v>750</v>
      </c>
      <c r="I141" s="153">
        <f>_xlfn.XLOOKUP(E141,'All Products'!D:D,'All Products'!H:H)</f>
        <v>162.63</v>
      </c>
      <c r="J141" s="205">
        <f>ROUNDUP(I141*Order_Quote!$L$26,2)</f>
        <v>813.15</v>
      </c>
      <c r="K141" s="78"/>
      <c r="L141" s="116"/>
      <c r="M141" s="199">
        <f t="shared" si="2"/>
        <v>0</v>
      </c>
      <c r="O141" s="265" t="s">
        <v>359</v>
      </c>
      <c r="P141" s="265" t="s">
        <v>102</v>
      </c>
      <c r="Q141" s="265" t="s">
        <v>5190</v>
      </c>
      <c r="R141" s="265">
        <v>0</v>
      </c>
      <c r="S141" s="265" t="s">
        <v>5191</v>
      </c>
      <c r="T141" s="347">
        <v>1.9219999999999999</v>
      </c>
      <c r="U141" s="347">
        <v>15.1</v>
      </c>
      <c r="V141" s="348">
        <v>1.1000000000000001</v>
      </c>
    </row>
    <row r="142" spans="1:22" ht="14.45" customHeight="1">
      <c r="A142" s="104" t="str">
        <f>IF(K142&gt;0,COUNT($A$8:A141)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2" s="112"/>
      <c r="C142" s="79"/>
      <c r="D142" s="158" t="s">
        <v>5192</v>
      </c>
      <c r="E142" s="106">
        <v>100024990</v>
      </c>
      <c r="F142" s="159" t="s">
        <v>5193</v>
      </c>
      <c r="G142" s="106">
        <v>10</v>
      </c>
      <c r="H142" s="106">
        <v>180</v>
      </c>
      <c r="I142" s="153">
        <f>_xlfn.XLOOKUP(E142,'All Products'!D:D,'All Products'!H:H)</f>
        <v>237.55</v>
      </c>
      <c r="J142" s="205">
        <f>ROUNDUP(I142*Order_Quote!$L$26,2)</f>
        <v>1187.75</v>
      </c>
      <c r="K142" s="78"/>
      <c r="L142" s="116"/>
      <c r="M142" s="199">
        <f t="shared" si="2"/>
        <v>0</v>
      </c>
      <c r="O142" s="265" t="s">
        <v>359</v>
      </c>
      <c r="P142" s="265" t="s">
        <v>102</v>
      </c>
      <c r="Q142" s="265" t="s">
        <v>5194</v>
      </c>
      <c r="R142" s="265">
        <v>0</v>
      </c>
      <c r="S142" s="265" t="s">
        <v>5195</v>
      </c>
      <c r="T142" s="347">
        <v>2.1040000000000001</v>
      </c>
      <c r="U142" s="347">
        <v>24.7</v>
      </c>
      <c r="V142" s="348">
        <v>2.65</v>
      </c>
    </row>
    <row r="143" spans="1:22" ht="14.45" customHeight="1">
      <c r="A143" s="104" t="str">
        <f>IF(K143&gt;0,COUNT($A$8:A142)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3" s="112"/>
      <c r="C143" s="79"/>
      <c r="D143" s="158" t="s">
        <v>5196</v>
      </c>
      <c r="E143" s="106">
        <v>100024991</v>
      </c>
      <c r="F143" s="159" t="s">
        <v>5197</v>
      </c>
      <c r="G143" s="106">
        <v>10</v>
      </c>
      <c r="H143" s="106">
        <v>180</v>
      </c>
      <c r="I143" s="153">
        <f>_xlfn.XLOOKUP(E143,'All Products'!D:D,'All Products'!H:H)</f>
        <v>226.46</v>
      </c>
      <c r="J143" s="205">
        <f>ROUNDUP(I143*Order_Quote!$L$26,2)</f>
        <v>1132.3</v>
      </c>
      <c r="K143" s="78"/>
      <c r="L143" s="116"/>
      <c r="M143" s="199">
        <f t="shared" si="2"/>
        <v>0</v>
      </c>
      <c r="O143" s="265" t="s">
        <v>359</v>
      </c>
      <c r="P143" s="265" t="s">
        <v>102</v>
      </c>
      <c r="Q143" s="265" t="s">
        <v>5198</v>
      </c>
      <c r="R143" s="265">
        <v>0</v>
      </c>
      <c r="S143" s="265" t="s">
        <v>5199</v>
      </c>
      <c r="T143" s="347">
        <v>2.698</v>
      </c>
      <c r="U143" s="347">
        <v>22.7</v>
      </c>
      <c r="V143" s="348">
        <v>2.65</v>
      </c>
    </row>
    <row r="144" spans="1:22" ht="14.45" customHeight="1">
      <c r="A144" s="104" t="str">
        <f>IF(K144&gt;0,COUNT($A$8:A143)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4" s="112"/>
      <c r="C144" s="79"/>
      <c r="D144" s="158" t="s">
        <v>5200</v>
      </c>
      <c r="E144" s="106">
        <v>100024992</v>
      </c>
      <c r="F144" s="159" t="s">
        <v>5201</v>
      </c>
      <c r="G144" s="106">
        <v>10</v>
      </c>
      <c r="H144" s="106" t="s">
        <v>2803</v>
      </c>
      <c r="I144" s="153">
        <f>_xlfn.XLOOKUP(E144,'All Products'!D:D,'All Products'!H:H)</f>
        <v>136.21</v>
      </c>
      <c r="J144" s="205">
        <f>ROUNDUP(I144*Order_Quote!$L$26,2)</f>
        <v>681.05</v>
      </c>
      <c r="K144" s="78"/>
      <c r="L144" s="116"/>
      <c r="M144" s="199">
        <f t="shared" si="2"/>
        <v>0</v>
      </c>
      <c r="O144" s="265" t="s">
        <v>359</v>
      </c>
      <c r="P144" s="265" t="s">
        <v>102</v>
      </c>
      <c r="Q144" s="265" t="s">
        <v>5202</v>
      </c>
      <c r="R144" s="265">
        <v>0</v>
      </c>
      <c r="S144" s="265" t="s">
        <v>5203</v>
      </c>
      <c r="T144" s="347">
        <v>1.595</v>
      </c>
      <c r="U144" s="347">
        <v>0</v>
      </c>
      <c r="V144" s="348">
        <v>0</v>
      </c>
    </row>
    <row r="145" spans="1:22" ht="14.45" customHeight="1">
      <c r="A145" s="104" t="str">
        <f>IF(K145&gt;0,COUNT($A$8:A144)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5" s="112"/>
      <c r="C145" s="79"/>
      <c r="D145" s="158" t="s">
        <v>5204</v>
      </c>
      <c r="E145" s="106">
        <v>100024316</v>
      </c>
      <c r="F145" s="159" t="s">
        <v>5205</v>
      </c>
      <c r="G145" s="106">
        <v>10</v>
      </c>
      <c r="H145" s="106">
        <v>750</v>
      </c>
      <c r="I145" s="153">
        <f>_xlfn.XLOOKUP(E145,'All Products'!D:D,'All Products'!H:H)</f>
        <v>136.21</v>
      </c>
      <c r="J145" s="205">
        <f>ROUNDUP(I145*Order_Quote!$L$26,2)</f>
        <v>681.05</v>
      </c>
      <c r="K145" s="78"/>
      <c r="L145" s="116"/>
      <c r="M145" s="199">
        <f t="shared" si="2"/>
        <v>0</v>
      </c>
      <c r="O145" s="265" t="s">
        <v>359</v>
      </c>
      <c r="P145" s="265" t="s">
        <v>102</v>
      </c>
      <c r="Q145" s="265" t="s">
        <v>5206</v>
      </c>
      <c r="R145" s="265">
        <v>0</v>
      </c>
      <c r="S145" s="265" t="s">
        <v>5207</v>
      </c>
      <c r="T145" s="347">
        <v>1.571</v>
      </c>
      <c r="U145" s="347">
        <v>15.755000000000001</v>
      </c>
      <c r="V145" s="348">
        <v>1.1000000000000001</v>
      </c>
    </row>
    <row r="146" spans="1:22" ht="14.45" customHeight="1">
      <c r="A146" s="104" t="str">
        <f>IF(K146&gt;0,COUNT($A$8:A145)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6" s="112"/>
      <c r="C146" s="79"/>
      <c r="D146" s="158" t="s">
        <v>5208</v>
      </c>
      <c r="E146" s="106">
        <v>100024318</v>
      </c>
      <c r="F146" s="159" t="s">
        <v>5062</v>
      </c>
      <c r="G146" s="106">
        <v>10</v>
      </c>
      <c r="H146" s="106">
        <v>750</v>
      </c>
      <c r="I146" s="153">
        <f>_xlfn.XLOOKUP(E146,'All Products'!D:D,'All Products'!H:H)</f>
        <v>136.21</v>
      </c>
      <c r="J146" s="205">
        <f>ROUNDUP(I146*Order_Quote!$L$26,2)</f>
        <v>681.05</v>
      </c>
      <c r="K146" s="78"/>
      <c r="L146" s="116"/>
      <c r="M146" s="199">
        <f t="shared" si="2"/>
        <v>0</v>
      </c>
      <c r="O146" s="265" t="s">
        <v>359</v>
      </c>
      <c r="P146" s="265" t="s">
        <v>102</v>
      </c>
      <c r="Q146" s="265" t="s">
        <v>5209</v>
      </c>
      <c r="R146" s="265">
        <v>0</v>
      </c>
      <c r="S146" s="265" t="s">
        <v>5210</v>
      </c>
      <c r="T146" s="347">
        <v>1.603</v>
      </c>
      <c r="U146" s="347">
        <v>16.105</v>
      </c>
      <c r="V146" s="348">
        <v>1.1000000000000001</v>
      </c>
    </row>
    <row r="147" spans="1:22" ht="14.45" customHeight="1">
      <c r="A147" s="104" t="str">
        <f>IF(K147&gt;0,COUNT($A$8:A146)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7" s="112"/>
      <c r="C147" s="79"/>
      <c r="D147" s="158" t="s">
        <v>5211</v>
      </c>
      <c r="E147" s="106">
        <v>100024321</v>
      </c>
      <c r="F147" s="159" t="s">
        <v>5212</v>
      </c>
      <c r="G147" s="106">
        <v>10</v>
      </c>
      <c r="H147" s="106">
        <v>750</v>
      </c>
      <c r="I147" s="153">
        <f>_xlfn.XLOOKUP(E147,'All Products'!D:D,'All Products'!H:H)</f>
        <v>136.21</v>
      </c>
      <c r="J147" s="205">
        <f>ROUNDUP(I147*Order_Quote!$L$26,2)</f>
        <v>681.05</v>
      </c>
      <c r="K147" s="78"/>
      <c r="L147" s="116"/>
      <c r="M147" s="199">
        <f t="shared" si="2"/>
        <v>0</v>
      </c>
      <c r="O147" s="265" t="s">
        <v>76</v>
      </c>
      <c r="P147" s="265" t="s">
        <v>102</v>
      </c>
      <c r="Q147" s="265" t="s">
        <v>5213</v>
      </c>
      <c r="R147" s="265">
        <v>0</v>
      </c>
      <c r="S147" s="265" t="s">
        <v>5214</v>
      </c>
      <c r="T147" s="347">
        <v>1.5580000000000001</v>
      </c>
      <c r="U147" s="347">
        <v>15.61</v>
      </c>
      <c r="V147" s="348">
        <v>1.1000000000000001</v>
      </c>
    </row>
    <row r="148" spans="1:22" ht="14.45" customHeight="1">
      <c r="A148" s="104" t="str">
        <f>IF(K148&gt;0,COUNT($A$8:A147)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8" s="112"/>
      <c r="C148" s="79"/>
      <c r="D148" s="158" t="s">
        <v>5215</v>
      </c>
      <c r="E148" s="106">
        <v>100024326</v>
      </c>
      <c r="F148" s="159" t="s">
        <v>5216</v>
      </c>
      <c r="G148" s="106">
        <v>10</v>
      </c>
      <c r="H148" s="106">
        <v>750</v>
      </c>
      <c r="I148" s="153">
        <f>_xlfn.XLOOKUP(E148,'All Products'!D:D,'All Products'!H:H)</f>
        <v>136.21</v>
      </c>
      <c r="J148" s="205">
        <f>ROUNDUP(I148*Order_Quote!$L$26,2)</f>
        <v>681.05</v>
      </c>
      <c r="K148" s="78"/>
      <c r="L148" s="116"/>
      <c r="M148" s="199">
        <f t="shared" si="2"/>
        <v>0</v>
      </c>
      <c r="O148" s="265" t="s">
        <v>359</v>
      </c>
      <c r="P148" s="265" t="s">
        <v>102</v>
      </c>
      <c r="Q148" s="265" t="s">
        <v>5217</v>
      </c>
      <c r="R148" s="265">
        <v>0</v>
      </c>
      <c r="S148" s="265" t="s">
        <v>5218</v>
      </c>
      <c r="T148" s="347">
        <v>1.38</v>
      </c>
      <c r="U148" s="347">
        <v>16.399999999999999</v>
      </c>
      <c r="V148" s="348">
        <v>1.1000000000000001</v>
      </c>
    </row>
    <row r="149" spans="1:22" ht="14.45" customHeight="1">
      <c r="A149" s="104" t="str">
        <f>IF(K149&gt;0,COUNT($A$8:A148)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49" s="112"/>
      <c r="C149" s="79"/>
      <c r="D149" s="158" t="s">
        <v>5219</v>
      </c>
      <c r="E149" s="106">
        <v>100024328</v>
      </c>
      <c r="F149" s="159" t="s">
        <v>5220</v>
      </c>
      <c r="G149" s="106">
        <v>10</v>
      </c>
      <c r="H149" s="106">
        <v>750</v>
      </c>
      <c r="I149" s="153">
        <f>_xlfn.XLOOKUP(E149,'All Products'!D:D,'All Products'!H:H)</f>
        <v>136.21</v>
      </c>
      <c r="J149" s="205">
        <f>ROUNDUP(I149*Order_Quote!$L$26,2)</f>
        <v>681.05</v>
      </c>
      <c r="K149" s="78"/>
      <c r="L149" s="116"/>
      <c r="M149" s="199">
        <f t="shared" si="2"/>
        <v>0</v>
      </c>
      <c r="O149" s="265" t="s">
        <v>359</v>
      </c>
      <c r="P149" s="265" t="s">
        <v>102</v>
      </c>
      <c r="Q149" s="265" t="s">
        <v>5221</v>
      </c>
      <c r="R149" s="265">
        <v>0</v>
      </c>
      <c r="S149" s="265" t="s">
        <v>5222</v>
      </c>
      <c r="T149" s="347">
        <v>1.54</v>
      </c>
      <c r="U149" s="347">
        <v>15.76</v>
      </c>
      <c r="V149" s="348">
        <v>1.1000000000000001</v>
      </c>
    </row>
    <row r="150" spans="1:22" ht="14.45" customHeight="1">
      <c r="A150" s="104" t="str">
        <f>IF(K150&gt;0,COUNT($A$8:A149)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0" s="112"/>
      <c r="C150" s="79"/>
      <c r="D150" s="158" t="s">
        <v>5223</v>
      </c>
      <c r="E150" s="106">
        <v>100024335</v>
      </c>
      <c r="F150" s="159" t="s">
        <v>5224</v>
      </c>
      <c r="G150" s="106">
        <v>10</v>
      </c>
      <c r="H150" s="106">
        <v>750</v>
      </c>
      <c r="I150" s="153">
        <f>_xlfn.XLOOKUP(E150,'All Products'!D:D,'All Products'!H:H)</f>
        <v>136.21</v>
      </c>
      <c r="J150" s="205">
        <f>ROUNDUP(I150*Order_Quote!$L$26,2)</f>
        <v>681.05</v>
      </c>
      <c r="K150" s="78"/>
      <c r="L150" s="116"/>
      <c r="M150" s="199">
        <f t="shared" si="2"/>
        <v>0</v>
      </c>
      <c r="O150" s="265" t="s">
        <v>359</v>
      </c>
      <c r="P150" s="265" t="s">
        <v>102</v>
      </c>
      <c r="Q150" s="265" t="s">
        <v>5225</v>
      </c>
      <c r="R150" s="265">
        <v>0</v>
      </c>
      <c r="S150" s="265" t="s">
        <v>5226</v>
      </c>
      <c r="T150" s="347">
        <v>1.569</v>
      </c>
      <c r="U150" s="347">
        <v>15.9</v>
      </c>
      <c r="V150" s="348">
        <v>1.1000000000000001</v>
      </c>
    </row>
    <row r="151" spans="1:22" ht="14.45" customHeight="1">
      <c r="A151" s="104" t="str">
        <f>IF(K151&gt;0,COUNT($A$8:A150)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1" s="112"/>
      <c r="C151" s="79"/>
      <c r="D151" s="158" t="s">
        <v>5227</v>
      </c>
      <c r="E151" s="106">
        <v>100024996</v>
      </c>
      <c r="F151" s="159" t="s">
        <v>5228</v>
      </c>
      <c r="G151" s="106">
        <v>10</v>
      </c>
      <c r="H151" s="106">
        <v>180</v>
      </c>
      <c r="I151" s="153">
        <f>_xlfn.XLOOKUP(E151,'All Products'!D:D,'All Products'!H:H)</f>
        <v>165.57</v>
      </c>
      <c r="J151" s="205">
        <f>ROUNDUP(I151*Order_Quote!$L$26,2)</f>
        <v>827.85</v>
      </c>
      <c r="K151" s="78"/>
      <c r="L151" s="116"/>
      <c r="M151" s="199">
        <f t="shared" si="2"/>
        <v>0</v>
      </c>
      <c r="O151" s="265" t="s">
        <v>359</v>
      </c>
      <c r="P151" s="265" t="s">
        <v>102</v>
      </c>
      <c r="Q151" s="265" t="s">
        <v>5229</v>
      </c>
      <c r="R151" s="265">
        <v>0</v>
      </c>
      <c r="S151" s="265" t="s">
        <v>5230</v>
      </c>
      <c r="T151" s="347">
        <v>2.1989999999999998</v>
      </c>
      <c r="U151" s="347">
        <v>22.59</v>
      </c>
      <c r="V151" s="348">
        <v>2.65</v>
      </c>
    </row>
    <row r="152" spans="1:22" ht="14.45" customHeight="1">
      <c r="A152" s="104" t="str">
        <f>IF(K152&gt;0,COUNT($A$8:A151)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2" s="112"/>
      <c r="C152" s="79"/>
      <c r="D152" s="158" t="s">
        <v>5231</v>
      </c>
      <c r="E152" s="106">
        <v>100024997</v>
      </c>
      <c r="F152" s="159" t="s">
        <v>5232</v>
      </c>
      <c r="G152" s="106">
        <v>10</v>
      </c>
      <c r="H152" s="106">
        <v>240</v>
      </c>
      <c r="I152" s="153">
        <f>_xlfn.XLOOKUP(E152,'All Products'!D:D,'All Products'!H:H)</f>
        <v>176.71</v>
      </c>
      <c r="J152" s="205">
        <f>ROUNDUP(I152*Order_Quote!$L$26,2)</f>
        <v>883.55</v>
      </c>
      <c r="K152" s="78"/>
      <c r="L152" s="116"/>
      <c r="M152" s="199">
        <f t="shared" si="2"/>
        <v>0</v>
      </c>
      <c r="O152" s="265" t="s">
        <v>359</v>
      </c>
      <c r="P152" s="265" t="s">
        <v>102</v>
      </c>
      <c r="Q152" s="265" t="s">
        <v>5233</v>
      </c>
      <c r="R152" s="265">
        <v>0</v>
      </c>
      <c r="S152" s="265" t="s">
        <v>5234</v>
      </c>
      <c r="T152" s="347">
        <v>2.5129999999999999</v>
      </c>
      <c r="U152" s="347">
        <v>28.5</v>
      </c>
      <c r="V152" s="348">
        <v>2.77</v>
      </c>
    </row>
    <row r="153" spans="1:22" ht="14.45" customHeight="1">
      <c r="A153" s="104" t="str">
        <f>IF(K153&gt;0,COUNT($A$8:A152)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3" s="112"/>
      <c r="C153" s="79"/>
      <c r="D153" s="158" t="s">
        <v>5235</v>
      </c>
      <c r="E153" s="106">
        <v>100024998</v>
      </c>
      <c r="F153" s="159" t="s">
        <v>5236</v>
      </c>
      <c r="G153" s="106">
        <v>10</v>
      </c>
      <c r="H153" s="106">
        <v>600</v>
      </c>
      <c r="I153" s="153">
        <f>_xlfn.XLOOKUP(E153,'All Products'!D:D,'All Products'!H:H)</f>
        <v>154.49</v>
      </c>
      <c r="J153" s="205">
        <f>ROUNDUP(I153*Order_Quote!$L$26,2)</f>
        <v>772.45</v>
      </c>
      <c r="K153" s="78"/>
      <c r="L153" s="116"/>
      <c r="M153" s="199">
        <f t="shared" si="2"/>
        <v>0</v>
      </c>
      <c r="O153" s="265" t="s">
        <v>359</v>
      </c>
      <c r="P153" s="265" t="s">
        <v>102</v>
      </c>
      <c r="Q153" s="265" t="s">
        <v>5237</v>
      </c>
      <c r="R153" s="265">
        <v>0</v>
      </c>
      <c r="S153" s="265" t="s">
        <v>5238</v>
      </c>
      <c r="T153" s="347">
        <v>1.988</v>
      </c>
      <c r="U153" s="347">
        <v>19.68</v>
      </c>
      <c r="V153" s="348">
        <v>1.41</v>
      </c>
    </row>
    <row r="154" spans="1:22" ht="14.45" customHeight="1">
      <c r="A154" s="104" t="str">
        <f>IF(K154&gt;0,COUNT($A$8:A153)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4" s="112"/>
      <c r="C154" s="79"/>
      <c r="D154" s="158" t="s">
        <v>5239</v>
      </c>
      <c r="E154" s="106">
        <v>100025000</v>
      </c>
      <c r="F154" s="159" t="s">
        <v>5240</v>
      </c>
      <c r="G154" s="106">
        <v>10</v>
      </c>
      <c r="H154" s="106">
        <v>180</v>
      </c>
      <c r="I154" s="153">
        <f>_xlfn.XLOOKUP(E154,'All Products'!D:D,'All Products'!H:H)</f>
        <v>165.57</v>
      </c>
      <c r="J154" s="205">
        <f>ROUNDUP(I154*Order_Quote!$L$26,2)</f>
        <v>827.85</v>
      </c>
      <c r="K154" s="78"/>
      <c r="L154" s="116"/>
      <c r="M154" s="199">
        <f t="shared" si="2"/>
        <v>0</v>
      </c>
      <c r="O154" s="265" t="s">
        <v>359</v>
      </c>
      <c r="P154" s="265" t="s">
        <v>102</v>
      </c>
      <c r="Q154" s="265" t="s">
        <v>5241</v>
      </c>
      <c r="R154" s="265">
        <v>0</v>
      </c>
      <c r="S154" s="265" t="s">
        <v>5242</v>
      </c>
      <c r="T154" s="347">
        <v>2.149</v>
      </c>
      <c r="U154" s="347">
        <v>22.7</v>
      </c>
      <c r="V154" s="348">
        <v>2.65</v>
      </c>
    </row>
    <row r="155" spans="1:22" ht="14.45" customHeight="1">
      <c r="A155" s="104" t="str">
        <f>IF(K155&gt;0,COUNT($A$8:A154)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5" s="112"/>
      <c r="C155" s="79"/>
      <c r="D155" s="158" t="s">
        <v>5243</v>
      </c>
      <c r="E155" s="106">
        <v>100025001</v>
      </c>
      <c r="F155" s="159" t="s">
        <v>5244</v>
      </c>
      <c r="G155" s="106">
        <v>10</v>
      </c>
      <c r="H155" s="106">
        <v>180</v>
      </c>
      <c r="I155" s="153">
        <f>_xlfn.XLOOKUP(E155,'All Products'!D:D,'All Products'!H:H)</f>
        <v>165.57</v>
      </c>
      <c r="J155" s="205">
        <f>ROUNDUP(I155*Order_Quote!$L$26,2)</f>
        <v>827.85</v>
      </c>
      <c r="K155" s="78"/>
      <c r="L155" s="116"/>
      <c r="M155" s="199">
        <f t="shared" si="2"/>
        <v>0</v>
      </c>
      <c r="O155" s="265" t="s">
        <v>359</v>
      </c>
      <c r="P155" s="265" t="s">
        <v>102</v>
      </c>
      <c r="Q155" s="265" t="s">
        <v>5245</v>
      </c>
      <c r="R155" s="265">
        <v>0</v>
      </c>
      <c r="S155" s="265" t="s">
        <v>5246</v>
      </c>
      <c r="T155" s="347">
        <v>2.1440000000000001</v>
      </c>
      <c r="U155" s="347">
        <v>22.9</v>
      </c>
      <c r="V155" s="348">
        <v>2.65</v>
      </c>
    </row>
    <row r="156" spans="1:22" ht="14.45" customHeight="1">
      <c r="A156" s="104" t="str">
        <f>IF(K156&gt;0,COUNT($A$8:A155)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6" s="112"/>
      <c r="C156" s="79"/>
      <c r="D156" s="158" t="s">
        <v>5247</v>
      </c>
      <c r="E156" s="106">
        <v>100025003</v>
      </c>
      <c r="F156" s="159" t="s">
        <v>5248</v>
      </c>
      <c r="G156" s="106">
        <v>10</v>
      </c>
      <c r="H156" s="106">
        <v>180</v>
      </c>
      <c r="I156" s="153">
        <f>_xlfn.XLOOKUP(E156,'All Products'!D:D,'All Products'!H:H)</f>
        <v>320.88</v>
      </c>
      <c r="J156" s="205">
        <f>ROUNDUP(I156*Order_Quote!$L$26,2)</f>
        <v>1604.4</v>
      </c>
      <c r="K156" s="78"/>
      <c r="L156" s="116"/>
      <c r="M156" s="199">
        <f t="shared" si="2"/>
        <v>0</v>
      </c>
      <c r="O156" s="265" t="s">
        <v>359</v>
      </c>
      <c r="P156" s="265" t="s">
        <v>102</v>
      </c>
      <c r="Q156" s="265" t="s">
        <v>5249</v>
      </c>
      <c r="R156" s="265">
        <v>0</v>
      </c>
      <c r="S156" s="265" t="s">
        <v>5250</v>
      </c>
      <c r="T156" s="347">
        <v>2.9079999999999999</v>
      </c>
      <c r="U156" s="347">
        <v>30.1</v>
      </c>
      <c r="V156" s="348">
        <v>2.65</v>
      </c>
    </row>
    <row r="157" spans="1:22" ht="14.45" customHeight="1">
      <c r="A157" s="104" t="str">
        <f>IF(K157&gt;0,COUNT($A$8:A156)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7" s="112"/>
      <c r="C157" s="79"/>
      <c r="D157" s="158" t="s">
        <v>5251</v>
      </c>
      <c r="E157" s="106">
        <v>100025004</v>
      </c>
      <c r="F157" s="159" t="s">
        <v>5252</v>
      </c>
      <c r="G157" s="106">
        <v>10</v>
      </c>
      <c r="H157" s="106" t="s">
        <v>2803</v>
      </c>
      <c r="I157" s="153">
        <f>_xlfn.XLOOKUP(E157,'All Products'!D:D,'All Products'!H:H)</f>
        <v>335.89</v>
      </c>
      <c r="J157" s="205">
        <f>ROUNDUP(I157*Order_Quote!$L$26,2)</f>
        <v>1679.45</v>
      </c>
      <c r="K157" s="78"/>
      <c r="L157" s="116"/>
      <c r="M157" s="199">
        <f t="shared" si="2"/>
        <v>0</v>
      </c>
      <c r="O157" s="265" t="s">
        <v>359</v>
      </c>
      <c r="P157" s="265" t="s">
        <v>102</v>
      </c>
      <c r="Q157" s="265" t="s">
        <v>5253</v>
      </c>
      <c r="R157" s="265">
        <v>0</v>
      </c>
      <c r="S157" s="265" t="s">
        <v>5254</v>
      </c>
      <c r="T157" s="347">
        <v>3.2229999999999999</v>
      </c>
      <c r="U157" s="347">
        <v>31</v>
      </c>
      <c r="V157" s="348">
        <v>0</v>
      </c>
    </row>
    <row r="158" spans="1:22" ht="14.45" customHeight="1">
      <c r="A158" s="104" t="str">
        <f>IF(K158&gt;0,COUNT($A$8:A157)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8" s="112"/>
      <c r="C158" s="79"/>
      <c r="D158" s="158" t="s">
        <v>5255</v>
      </c>
      <c r="E158" s="106">
        <v>100025005</v>
      </c>
      <c r="F158" s="159" t="s">
        <v>5256</v>
      </c>
      <c r="G158" s="106">
        <v>10</v>
      </c>
      <c r="H158" s="106">
        <v>180</v>
      </c>
      <c r="I158" s="153">
        <f>_xlfn.XLOOKUP(E158,'All Products'!D:D,'All Products'!H:H)</f>
        <v>165.57</v>
      </c>
      <c r="J158" s="205">
        <f>ROUNDUP(I158*Order_Quote!$L$26,2)</f>
        <v>827.85</v>
      </c>
      <c r="K158" s="78"/>
      <c r="L158" s="116"/>
      <c r="M158" s="199">
        <f t="shared" si="2"/>
        <v>0</v>
      </c>
      <c r="O158" s="265" t="s">
        <v>359</v>
      </c>
      <c r="P158" s="265" t="s">
        <v>102</v>
      </c>
      <c r="Q158" s="265" t="s">
        <v>5257</v>
      </c>
      <c r="R158" s="265">
        <v>0</v>
      </c>
      <c r="S158" s="265" t="s">
        <v>5258</v>
      </c>
      <c r="T158" s="347">
        <v>2.149</v>
      </c>
      <c r="U158" s="347">
        <v>22.64</v>
      </c>
      <c r="V158" s="348">
        <v>2.65</v>
      </c>
    </row>
    <row r="159" spans="1:22" ht="14.45" customHeight="1">
      <c r="A159" s="104" t="str">
        <f>IF(K159&gt;0,COUNT($A$8:A158)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59" s="112"/>
      <c r="C159" s="79"/>
      <c r="D159" s="158" t="s">
        <v>5259</v>
      </c>
      <c r="E159" s="106">
        <v>100024342</v>
      </c>
      <c r="F159" s="159" t="s">
        <v>5260</v>
      </c>
      <c r="G159" s="106">
        <v>10</v>
      </c>
      <c r="H159" s="106">
        <v>240</v>
      </c>
      <c r="I159" s="153">
        <f>_xlfn.XLOOKUP(E159,'All Products'!D:D,'All Products'!H:H)</f>
        <v>176.71</v>
      </c>
      <c r="J159" s="205">
        <f>ROUNDUP(I159*Order_Quote!$L$26,2)</f>
        <v>883.55</v>
      </c>
      <c r="K159" s="78"/>
      <c r="L159" s="116"/>
      <c r="M159" s="199">
        <f t="shared" si="2"/>
        <v>0</v>
      </c>
      <c r="O159" s="265" t="s">
        <v>359</v>
      </c>
      <c r="P159" s="265" t="s">
        <v>102</v>
      </c>
      <c r="Q159" s="265" t="s">
        <v>5261</v>
      </c>
      <c r="R159" s="265">
        <v>0</v>
      </c>
      <c r="S159" s="265" t="s">
        <v>5262</v>
      </c>
      <c r="T159" s="347">
        <v>2.3679999999999999</v>
      </c>
      <c r="U159" s="347">
        <v>25.1</v>
      </c>
      <c r="V159" s="348">
        <v>2.77</v>
      </c>
    </row>
    <row r="160" spans="1:22" ht="14.45" customHeight="1">
      <c r="A160" s="104" t="str">
        <f>IF(K160&gt;0,COUNT($A$8:A159)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0" s="112"/>
      <c r="C160" s="79"/>
      <c r="D160" s="158" t="s">
        <v>5263</v>
      </c>
      <c r="E160" s="106">
        <v>100025006</v>
      </c>
      <c r="F160" s="159" t="s">
        <v>5264</v>
      </c>
      <c r="G160" s="106">
        <v>10</v>
      </c>
      <c r="H160" s="106">
        <v>240</v>
      </c>
      <c r="I160" s="153">
        <f>_xlfn.XLOOKUP(E160,'All Products'!D:D,'All Products'!H:H)</f>
        <v>176.71</v>
      </c>
      <c r="J160" s="205">
        <f>ROUNDUP(I160*Order_Quote!$L$26,2)</f>
        <v>883.55</v>
      </c>
      <c r="K160" s="78"/>
      <c r="L160" s="116"/>
      <c r="M160" s="199">
        <f t="shared" si="2"/>
        <v>0</v>
      </c>
      <c r="O160" s="265" t="s">
        <v>359</v>
      </c>
      <c r="P160" s="265" t="s">
        <v>102</v>
      </c>
      <c r="Q160" s="265" t="s">
        <v>5265</v>
      </c>
      <c r="R160" s="265">
        <v>0</v>
      </c>
      <c r="S160" s="265" t="s">
        <v>5266</v>
      </c>
      <c r="T160" s="347">
        <v>2.464</v>
      </c>
      <c r="U160" s="347">
        <v>25.3</v>
      </c>
      <c r="V160" s="348">
        <v>2.77</v>
      </c>
    </row>
    <row r="161" spans="1:22" ht="14.45" customHeight="1">
      <c r="A161" s="104" t="str">
        <f>IF(K161&gt;0,COUNT($A$8:A160)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1" s="112"/>
      <c r="C161" s="79"/>
      <c r="D161" s="158" t="s">
        <v>5267</v>
      </c>
      <c r="E161" s="106">
        <v>100025007</v>
      </c>
      <c r="F161" s="159" t="s">
        <v>5268</v>
      </c>
      <c r="G161" s="106">
        <v>10</v>
      </c>
      <c r="H161" s="106">
        <v>180</v>
      </c>
      <c r="I161" s="153">
        <f>_xlfn.XLOOKUP(E161,'All Products'!D:D,'All Products'!H:H)</f>
        <v>165.57</v>
      </c>
      <c r="J161" s="205">
        <f>ROUNDUP(I161*Order_Quote!$L$26,2)</f>
        <v>827.85</v>
      </c>
      <c r="K161" s="78"/>
      <c r="L161" s="116"/>
      <c r="M161" s="199">
        <f t="shared" si="2"/>
        <v>0</v>
      </c>
      <c r="O161" s="265" t="s">
        <v>76</v>
      </c>
      <c r="P161" s="265" t="s">
        <v>102</v>
      </c>
      <c r="Q161" s="265" t="s">
        <v>5269</v>
      </c>
      <c r="R161" s="265">
        <v>0</v>
      </c>
      <c r="S161" s="265" t="s">
        <v>5270</v>
      </c>
      <c r="T161" s="347">
        <v>2.0990000000000002</v>
      </c>
      <c r="U161" s="347">
        <v>22.69</v>
      </c>
      <c r="V161" s="348">
        <v>2.65</v>
      </c>
    </row>
    <row r="162" spans="1:22" ht="14.45" customHeight="1">
      <c r="A162" s="104" t="str">
        <f>IF(K162&gt;0,COUNT($A$8:A161)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2" s="112"/>
      <c r="C162" s="79"/>
      <c r="D162" s="158" t="s">
        <v>5271</v>
      </c>
      <c r="E162" s="106">
        <v>100024344</v>
      </c>
      <c r="F162" s="159" t="s">
        <v>5272</v>
      </c>
      <c r="G162" s="106">
        <v>10</v>
      </c>
      <c r="H162" s="106">
        <v>180</v>
      </c>
      <c r="I162" s="153">
        <f>_xlfn.XLOOKUP(E162,'All Products'!D:D,'All Products'!H:H)</f>
        <v>165.57</v>
      </c>
      <c r="J162" s="205">
        <f>ROUNDUP(I162*Order_Quote!$L$26,2)</f>
        <v>827.85</v>
      </c>
      <c r="K162" s="78"/>
      <c r="L162" s="116"/>
      <c r="M162" s="199">
        <f t="shared" si="2"/>
        <v>0</v>
      </c>
      <c r="O162" s="265" t="s">
        <v>359</v>
      </c>
      <c r="P162" s="265" t="s">
        <v>102</v>
      </c>
      <c r="Q162" s="265" t="s">
        <v>5273</v>
      </c>
      <c r="R162" s="265">
        <v>0</v>
      </c>
      <c r="S162" s="265" t="s">
        <v>5274</v>
      </c>
      <c r="T162" s="347">
        <v>2.1640000000000001</v>
      </c>
      <c r="U162" s="347">
        <v>23.2</v>
      </c>
      <c r="V162" s="348">
        <v>2.65</v>
      </c>
    </row>
    <row r="163" spans="1:22" ht="14.45" customHeight="1">
      <c r="A163" s="104" t="str">
        <f>IF(K163&gt;0,COUNT($A$8:A162)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3" s="112"/>
      <c r="C163" s="79"/>
      <c r="D163" s="158" t="s">
        <v>5275</v>
      </c>
      <c r="E163" s="106">
        <v>100024351</v>
      </c>
      <c r="F163" s="159" t="s">
        <v>5276</v>
      </c>
      <c r="G163" s="106">
        <v>10</v>
      </c>
      <c r="H163" s="106" t="s">
        <v>2803</v>
      </c>
      <c r="I163" s="153">
        <f>_xlfn.XLOOKUP(E163,'All Products'!D:D,'All Products'!H:H)</f>
        <v>165.57</v>
      </c>
      <c r="J163" s="205">
        <f>ROUNDUP(I163*Order_Quote!$L$26,2)</f>
        <v>827.85</v>
      </c>
      <c r="K163" s="78"/>
      <c r="L163" s="116"/>
      <c r="M163" s="199">
        <f t="shared" si="2"/>
        <v>0</v>
      </c>
      <c r="O163" s="265" t="s">
        <v>359</v>
      </c>
      <c r="P163" s="265" t="s">
        <v>102</v>
      </c>
      <c r="Q163" s="265" t="s">
        <v>5277</v>
      </c>
      <c r="R163" s="265">
        <v>0</v>
      </c>
      <c r="S163" s="265" t="s">
        <v>5278</v>
      </c>
      <c r="T163" s="347">
        <v>1.994</v>
      </c>
      <c r="U163" s="347">
        <v>0</v>
      </c>
      <c r="V163" s="348">
        <v>0</v>
      </c>
    </row>
    <row r="164" spans="1:22" ht="14.45" customHeight="1">
      <c r="A164" s="104" t="str">
        <f>IF(K164&gt;0,COUNT($A$8:A163)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4" s="112"/>
      <c r="C164" s="79"/>
      <c r="D164" s="158" t="s">
        <v>5279</v>
      </c>
      <c r="E164" s="106">
        <v>100024354</v>
      </c>
      <c r="F164" s="159" t="s">
        <v>5280</v>
      </c>
      <c r="G164" s="106">
        <v>10</v>
      </c>
      <c r="H164" s="106">
        <v>600</v>
      </c>
      <c r="I164" s="153">
        <f>_xlfn.XLOOKUP(E164,'All Products'!D:D,'All Products'!H:H)</f>
        <v>165.57</v>
      </c>
      <c r="J164" s="205">
        <f>ROUNDUP(I164*Order_Quote!$L$26,2)</f>
        <v>827.85</v>
      </c>
      <c r="K164" s="78"/>
      <c r="L164" s="116"/>
      <c r="M164" s="199">
        <f t="shared" si="2"/>
        <v>0</v>
      </c>
      <c r="O164" s="265" t="s">
        <v>359</v>
      </c>
      <c r="P164" s="265" t="s">
        <v>102</v>
      </c>
      <c r="Q164" s="265" t="s">
        <v>5281</v>
      </c>
      <c r="R164" s="265">
        <v>0</v>
      </c>
      <c r="S164" s="265" t="s">
        <v>5282</v>
      </c>
      <c r="T164" s="347">
        <v>1.927</v>
      </c>
      <c r="U164" s="347">
        <v>20.48</v>
      </c>
      <c r="V164" s="348">
        <v>1.41</v>
      </c>
    </row>
    <row r="165" spans="1:22" ht="14.45" customHeight="1">
      <c r="A165" s="104" t="str">
        <f>IF(K165&gt;0,COUNT($A$8:A164)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5" s="112"/>
      <c r="C165" s="79"/>
      <c r="D165" s="158" t="s">
        <v>5283</v>
      </c>
      <c r="E165" s="106">
        <v>100025008</v>
      </c>
      <c r="F165" s="159" t="s">
        <v>5284</v>
      </c>
      <c r="G165" s="106">
        <v>10</v>
      </c>
      <c r="H165" s="106">
        <v>600</v>
      </c>
      <c r="I165" s="153">
        <f>_xlfn.XLOOKUP(E165,'All Products'!D:D,'All Products'!H:H)</f>
        <v>165.57</v>
      </c>
      <c r="J165" s="205">
        <f>ROUNDUP(I165*Order_Quote!$L$26,2)</f>
        <v>827.85</v>
      </c>
      <c r="K165" s="78"/>
      <c r="L165" s="116"/>
      <c r="M165" s="199">
        <f t="shared" si="2"/>
        <v>0</v>
      </c>
      <c r="O165" s="265" t="s">
        <v>76</v>
      </c>
      <c r="P165" s="265" t="s">
        <v>102</v>
      </c>
      <c r="Q165" s="265" t="s">
        <v>5285</v>
      </c>
      <c r="R165" s="265">
        <v>0</v>
      </c>
      <c r="S165" s="265" t="s">
        <v>5286</v>
      </c>
      <c r="T165" s="347">
        <v>1.966</v>
      </c>
      <c r="U165" s="347">
        <v>20.2</v>
      </c>
      <c r="V165" s="348">
        <v>1.41</v>
      </c>
    </row>
    <row r="166" spans="1:22" ht="14.45" customHeight="1">
      <c r="A166" s="104" t="str">
        <f>IF(K166&gt;0,COUNT($A$8:A165)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6" s="112"/>
      <c r="C166" s="79"/>
      <c r="D166" s="158" t="s">
        <v>5287</v>
      </c>
      <c r="E166" s="106">
        <v>100024368</v>
      </c>
      <c r="F166" s="159" t="s">
        <v>5288</v>
      </c>
      <c r="G166" s="106">
        <v>10</v>
      </c>
      <c r="H166" s="106">
        <v>240</v>
      </c>
      <c r="I166" s="153">
        <f>_xlfn.XLOOKUP(E166,'All Products'!D:D,'All Products'!H:H)</f>
        <v>176.71</v>
      </c>
      <c r="J166" s="205">
        <f>ROUNDUP(I166*Order_Quote!$L$26,2)</f>
        <v>883.55</v>
      </c>
      <c r="K166" s="78"/>
      <c r="L166" s="116"/>
      <c r="M166" s="199">
        <f t="shared" si="2"/>
        <v>0</v>
      </c>
      <c r="O166" s="265" t="s">
        <v>359</v>
      </c>
      <c r="P166" s="265" t="s">
        <v>102</v>
      </c>
      <c r="Q166" s="265" t="s">
        <v>5289</v>
      </c>
      <c r="R166" s="265">
        <v>0</v>
      </c>
      <c r="S166" s="265" t="s">
        <v>5290</v>
      </c>
      <c r="T166" s="347">
        <v>2.1850000000000001</v>
      </c>
      <c r="U166" s="347">
        <v>23.1</v>
      </c>
      <c r="V166" s="348">
        <v>2.77</v>
      </c>
    </row>
    <row r="167" spans="1:22" ht="14.45" customHeight="1">
      <c r="A167" s="104" t="str">
        <f>IF(K167&gt;0,COUNT($A$8:A166)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7" s="112"/>
      <c r="C167" s="79"/>
      <c r="D167" s="158" t="s">
        <v>5291</v>
      </c>
      <c r="E167" s="106">
        <v>100025010</v>
      </c>
      <c r="F167" s="159" t="s">
        <v>5292</v>
      </c>
      <c r="G167" s="106">
        <v>10</v>
      </c>
      <c r="H167" s="106">
        <v>240</v>
      </c>
      <c r="I167" s="153">
        <f>_xlfn.XLOOKUP(E167,'All Products'!D:D,'All Products'!H:H)</f>
        <v>176.71</v>
      </c>
      <c r="J167" s="205">
        <f>ROUNDUP(I167*Order_Quote!$L$26,2)</f>
        <v>883.55</v>
      </c>
      <c r="K167" s="78"/>
      <c r="L167" s="116"/>
      <c r="M167" s="199">
        <f t="shared" si="2"/>
        <v>0</v>
      </c>
      <c r="O167" s="265" t="s">
        <v>359</v>
      </c>
      <c r="P167" s="265" t="s">
        <v>102</v>
      </c>
      <c r="Q167" s="265" t="s">
        <v>5293</v>
      </c>
      <c r="R167" s="265">
        <v>0</v>
      </c>
      <c r="S167" s="265" t="s">
        <v>5294</v>
      </c>
      <c r="T167" s="347">
        <v>2.2810000000000001</v>
      </c>
      <c r="U167" s="347">
        <v>24.35</v>
      </c>
      <c r="V167" s="348">
        <v>2.77</v>
      </c>
    </row>
    <row r="168" spans="1:22" ht="14.45" customHeight="1">
      <c r="A168" s="104" t="str">
        <f>IF(K168&gt;0,COUNT($A$8:A167)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8" s="112"/>
      <c r="C168" s="79"/>
      <c r="D168" s="158" t="s">
        <v>5295</v>
      </c>
      <c r="E168" s="106">
        <v>100024372</v>
      </c>
      <c r="F168" s="159" t="s">
        <v>5296</v>
      </c>
      <c r="G168" s="106">
        <v>10</v>
      </c>
      <c r="H168" s="106">
        <v>750</v>
      </c>
      <c r="I168" s="153">
        <f>_xlfn.XLOOKUP(E168,'All Products'!D:D,'All Products'!H:H)</f>
        <v>154.49</v>
      </c>
      <c r="J168" s="205">
        <f>ROUNDUP(I168*Order_Quote!$L$26,2)</f>
        <v>772.45</v>
      </c>
      <c r="K168" s="78"/>
      <c r="L168" s="116"/>
      <c r="M168" s="199">
        <f t="shared" si="2"/>
        <v>0</v>
      </c>
      <c r="O168" s="265" t="s">
        <v>359</v>
      </c>
      <c r="P168" s="265" t="s">
        <v>102</v>
      </c>
      <c r="Q168" s="265" t="s">
        <v>5297</v>
      </c>
      <c r="R168" s="265">
        <v>0</v>
      </c>
      <c r="S168" s="265" t="s">
        <v>5298</v>
      </c>
      <c r="T168" s="347">
        <v>1.645</v>
      </c>
      <c r="U168" s="347">
        <v>16.86</v>
      </c>
      <c r="V168" s="348">
        <v>1.1000000000000001</v>
      </c>
    </row>
    <row r="169" spans="1:22" ht="14.45" customHeight="1">
      <c r="A169" s="104" t="str">
        <f>IF(K169&gt;0,COUNT($A$8:A168)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69" s="112"/>
      <c r="C169" s="79"/>
      <c r="D169" s="158" t="s">
        <v>5299</v>
      </c>
      <c r="E169" s="106">
        <v>100024389</v>
      </c>
      <c r="F169" s="159" t="s">
        <v>5300</v>
      </c>
      <c r="G169" s="106">
        <v>10</v>
      </c>
      <c r="H169" s="106">
        <v>180</v>
      </c>
      <c r="I169" s="153">
        <f>_xlfn.XLOOKUP(E169,'All Products'!D:D,'All Products'!H:H)</f>
        <v>165.57</v>
      </c>
      <c r="J169" s="205">
        <f>ROUNDUP(I169*Order_Quote!$L$26,2)</f>
        <v>827.85</v>
      </c>
      <c r="K169" s="78"/>
      <c r="L169" s="116"/>
      <c r="M169" s="199">
        <f t="shared" si="2"/>
        <v>0</v>
      </c>
      <c r="O169" s="265" t="s">
        <v>359</v>
      </c>
      <c r="P169" s="265" t="s">
        <v>102</v>
      </c>
      <c r="Q169" s="265" t="s">
        <v>5301</v>
      </c>
      <c r="R169" s="265">
        <v>0</v>
      </c>
      <c r="S169" s="265" t="s">
        <v>5302</v>
      </c>
      <c r="T169" s="347">
        <v>1.8049999999999999</v>
      </c>
      <c r="U169" s="347">
        <v>19</v>
      </c>
      <c r="V169" s="348">
        <v>2.65</v>
      </c>
    </row>
    <row r="170" spans="1:22" ht="14.45" customHeight="1">
      <c r="A170" s="104" t="str">
        <f>IF(K170&gt;0,COUNT($A$8:A169)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0" s="112"/>
      <c r="C170" s="79"/>
      <c r="D170" s="158" t="s">
        <v>5303</v>
      </c>
      <c r="E170" s="106">
        <v>100025014</v>
      </c>
      <c r="F170" s="159" t="s">
        <v>5304</v>
      </c>
      <c r="G170" s="106">
        <v>10</v>
      </c>
      <c r="H170" s="106">
        <v>600</v>
      </c>
      <c r="I170" s="153">
        <f>_xlfn.XLOOKUP(E170,'All Products'!D:D,'All Products'!H:H)</f>
        <v>165.57</v>
      </c>
      <c r="J170" s="205">
        <f>ROUNDUP(I170*Order_Quote!$L$26,2)</f>
        <v>827.85</v>
      </c>
      <c r="K170" s="78"/>
      <c r="L170" s="116"/>
      <c r="M170" s="199">
        <f t="shared" si="2"/>
        <v>0</v>
      </c>
      <c r="O170" s="265" t="s">
        <v>76</v>
      </c>
      <c r="P170" s="265" t="s">
        <v>102</v>
      </c>
      <c r="Q170" s="265" t="s">
        <v>5305</v>
      </c>
      <c r="R170" s="265">
        <v>0</v>
      </c>
      <c r="S170" s="265" t="s">
        <v>5306</v>
      </c>
      <c r="T170" s="347">
        <v>1.911</v>
      </c>
      <c r="U170" s="347">
        <v>20.399999999999999</v>
      </c>
      <c r="V170" s="348">
        <v>1.41</v>
      </c>
    </row>
    <row r="171" spans="1:22" ht="14.45" customHeight="1">
      <c r="A171" s="104" t="str">
        <f>IF(K171&gt;0,COUNT($A$8:A170)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1" s="112"/>
      <c r="C171" s="79"/>
      <c r="D171" s="158" t="s">
        <v>5307</v>
      </c>
      <c r="E171" s="106">
        <v>100024390</v>
      </c>
      <c r="F171" s="159" t="s">
        <v>5308</v>
      </c>
      <c r="G171" s="106">
        <v>10</v>
      </c>
      <c r="H171" s="106">
        <v>180</v>
      </c>
      <c r="I171" s="153">
        <f>_xlfn.XLOOKUP(E171,'All Products'!D:D,'All Products'!H:H)</f>
        <v>176.71</v>
      </c>
      <c r="J171" s="205">
        <f>ROUNDUP(I171*Order_Quote!$L$26,2)</f>
        <v>883.55</v>
      </c>
      <c r="K171" s="78"/>
      <c r="L171" s="116"/>
      <c r="M171" s="199">
        <f t="shared" si="2"/>
        <v>0</v>
      </c>
      <c r="O171" s="265" t="s">
        <v>359</v>
      </c>
      <c r="P171" s="265" t="s">
        <v>102</v>
      </c>
      <c r="Q171" s="265" t="s">
        <v>5309</v>
      </c>
      <c r="R171" s="265">
        <v>0</v>
      </c>
      <c r="S171" s="265" t="s">
        <v>5310</v>
      </c>
      <c r="T171" s="347">
        <v>2</v>
      </c>
      <c r="U171" s="347">
        <v>21.15</v>
      </c>
      <c r="V171" s="348">
        <v>2.65</v>
      </c>
    </row>
    <row r="172" spans="1:22" ht="14.45" customHeight="1">
      <c r="A172" s="104" t="str">
        <f>IF(K172&gt;0,COUNT($A$8:A171)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2" s="112"/>
      <c r="C172" s="79"/>
      <c r="D172" s="158" t="s">
        <v>5311</v>
      </c>
      <c r="E172" s="106">
        <v>100024391</v>
      </c>
      <c r="F172" s="159" t="s">
        <v>5312</v>
      </c>
      <c r="G172" s="106">
        <v>10</v>
      </c>
      <c r="H172" s="106">
        <v>180</v>
      </c>
      <c r="I172" s="153">
        <f>_xlfn.XLOOKUP(E172,'All Products'!D:D,'All Products'!H:H)</f>
        <v>176.71</v>
      </c>
      <c r="J172" s="205">
        <f>ROUNDUP(I172*Order_Quote!$L$26,2)</f>
        <v>883.55</v>
      </c>
      <c r="K172" s="78"/>
      <c r="L172" s="116"/>
      <c r="M172" s="199">
        <f t="shared" si="2"/>
        <v>0</v>
      </c>
      <c r="O172" s="265" t="s">
        <v>359</v>
      </c>
      <c r="P172" s="265" t="s">
        <v>102</v>
      </c>
      <c r="Q172" s="265" t="s">
        <v>5313</v>
      </c>
      <c r="R172" s="265">
        <v>0</v>
      </c>
      <c r="S172" s="265" t="s">
        <v>5314</v>
      </c>
      <c r="T172" s="347">
        <v>2.13</v>
      </c>
      <c r="U172" s="347">
        <v>22.45</v>
      </c>
      <c r="V172" s="348">
        <v>4.38</v>
      </c>
    </row>
    <row r="173" spans="1:22" ht="14.45" customHeight="1">
      <c r="A173" s="104" t="str">
        <f>IF(K173&gt;0,COUNT($A$8:A172)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3" s="112"/>
      <c r="C173" s="79"/>
      <c r="D173" s="158" t="s">
        <v>5315</v>
      </c>
      <c r="E173" s="106">
        <v>100025015</v>
      </c>
      <c r="F173" s="159" t="s">
        <v>5316</v>
      </c>
      <c r="G173" s="106">
        <v>10</v>
      </c>
      <c r="H173" s="106">
        <v>240</v>
      </c>
      <c r="I173" s="153">
        <f>_xlfn.XLOOKUP(E173,'All Products'!D:D,'All Products'!H:H)</f>
        <v>176.71</v>
      </c>
      <c r="J173" s="205">
        <f>ROUNDUP(I173*Order_Quote!$L$26,2)</f>
        <v>883.55</v>
      </c>
      <c r="K173" s="78"/>
      <c r="L173" s="116"/>
      <c r="M173" s="199">
        <f t="shared" si="2"/>
        <v>0</v>
      </c>
      <c r="O173" s="265" t="s">
        <v>359</v>
      </c>
      <c r="P173" s="265" t="s">
        <v>102</v>
      </c>
      <c r="Q173" s="265" t="s">
        <v>5317</v>
      </c>
      <c r="R173" s="265">
        <v>0</v>
      </c>
      <c r="S173" s="265" t="s">
        <v>5318</v>
      </c>
      <c r="T173" s="347">
        <v>2.226</v>
      </c>
      <c r="U173" s="347">
        <v>24.5</v>
      </c>
      <c r="V173" s="348">
        <v>2.77</v>
      </c>
    </row>
    <row r="174" spans="1:22" ht="14.45" customHeight="1">
      <c r="A174" s="104" t="str">
        <f>IF(K174&gt;0,COUNT($A$8:A173)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4" s="112"/>
      <c r="C174" s="79"/>
      <c r="D174" s="158" t="s">
        <v>5319</v>
      </c>
      <c r="E174" s="106">
        <v>100024393</v>
      </c>
      <c r="F174" s="159" t="s">
        <v>5320</v>
      </c>
      <c r="G174" s="106">
        <v>10</v>
      </c>
      <c r="H174" s="106">
        <v>180</v>
      </c>
      <c r="I174" s="153">
        <f>_xlfn.XLOOKUP(E174,'All Products'!D:D,'All Products'!H:H)</f>
        <v>154.49</v>
      </c>
      <c r="J174" s="205">
        <f>ROUNDUP(I174*Order_Quote!$L$26,2)</f>
        <v>772.45</v>
      </c>
      <c r="K174" s="78"/>
      <c r="L174" s="116"/>
      <c r="M174" s="199">
        <f t="shared" si="2"/>
        <v>0</v>
      </c>
      <c r="O174" s="265" t="s">
        <v>359</v>
      </c>
      <c r="P174" s="265" t="s">
        <v>102</v>
      </c>
      <c r="Q174" s="265" t="s">
        <v>5321</v>
      </c>
      <c r="R174" s="265">
        <v>0</v>
      </c>
      <c r="S174" s="265" t="s">
        <v>5322</v>
      </c>
      <c r="T174" s="347">
        <v>1.7</v>
      </c>
      <c r="U174" s="347">
        <v>17.8</v>
      </c>
      <c r="V174" s="348">
        <v>2.65</v>
      </c>
    </row>
    <row r="175" spans="1:22" ht="14.45" customHeight="1">
      <c r="A175" s="104" t="str">
        <f>IF(K175&gt;0,COUNT($A$8:A174)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5" s="112"/>
      <c r="C175" s="79"/>
      <c r="D175" s="158" t="s">
        <v>5323</v>
      </c>
      <c r="E175" s="106">
        <v>100024404</v>
      </c>
      <c r="F175" s="159" t="s">
        <v>5324</v>
      </c>
      <c r="G175" s="106">
        <v>10</v>
      </c>
      <c r="H175" s="106" t="s">
        <v>2803</v>
      </c>
      <c r="I175" s="153">
        <f>_xlfn.XLOOKUP(E175,'All Products'!D:D,'All Products'!H:H)</f>
        <v>165.57</v>
      </c>
      <c r="J175" s="205">
        <f>ROUNDUP(I175*Order_Quote!$L$26,2)</f>
        <v>827.85</v>
      </c>
      <c r="K175" s="78"/>
      <c r="L175" s="116"/>
      <c r="M175" s="199">
        <f t="shared" si="2"/>
        <v>0</v>
      </c>
      <c r="O175" s="265" t="s">
        <v>359</v>
      </c>
      <c r="P175" s="265" t="s">
        <v>102</v>
      </c>
      <c r="Q175" s="265" t="s">
        <v>5325</v>
      </c>
      <c r="R175" s="265">
        <v>0</v>
      </c>
      <c r="S175" s="265" t="s">
        <v>5326</v>
      </c>
      <c r="T175" s="347">
        <v>1.9259999999999999</v>
      </c>
      <c r="U175" s="347">
        <v>0</v>
      </c>
      <c r="V175" s="348">
        <v>0</v>
      </c>
    </row>
    <row r="176" spans="1:22" ht="14.45" customHeight="1">
      <c r="A176" s="104" t="str">
        <f>IF(K176&gt;0,COUNT($A$8:A175)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6" s="112"/>
      <c r="C176" s="79"/>
      <c r="D176" s="158" t="s">
        <v>5327</v>
      </c>
      <c r="E176" s="106">
        <v>100024409</v>
      </c>
      <c r="F176" s="159" t="s">
        <v>5328</v>
      </c>
      <c r="G176" s="106">
        <v>10</v>
      </c>
      <c r="H176" s="106">
        <v>180</v>
      </c>
      <c r="I176" s="153">
        <f>_xlfn.XLOOKUP(E176,'All Products'!D:D,'All Products'!H:H)</f>
        <v>165.57</v>
      </c>
      <c r="J176" s="205">
        <f>ROUNDUP(I176*Order_Quote!$L$26,2)</f>
        <v>827.85</v>
      </c>
      <c r="K176" s="78"/>
      <c r="L176" s="116"/>
      <c r="M176" s="199">
        <f t="shared" si="2"/>
        <v>0</v>
      </c>
      <c r="O176" s="265" t="s">
        <v>359</v>
      </c>
      <c r="P176" s="265" t="s">
        <v>102</v>
      </c>
      <c r="Q176" s="265" t="s">
        <v>5329</v>
      </c>
      <c r="R176" s="265">
        <v>0</v>
      </c>
      <c r="S176" s="265" t="s">
        <v>5330</v>
      </c>
      <c r="T176" s="347">
        <v>1.9359999999999999</v>
      </c>
      <c r="U176" s="347">
        <v>19.899999999999999</v>
      </c>
      <c r="V176" s="348">
        <v>2.65</v>
      </c>
    </row>
    <row r="177" spans="1:22" ht="14.45" customHeight="1">
      <c r="A177" s="104" t="str">
        <f>IF(K177&gt;0,COUNT($A$8:A176)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7" s="112"/>
      <c r="C177" s="79"/>
      <c r="D177" s="158" t="s">
        <v>5331</v>
      </c>
      <c r="E177" s="106">
        <v>100024411</v>
      </c>
      <c r="F177" s="159" t="s">
        <v>5332</v>
      </c>
      <c r="G177" s="106">
        <v>10</v>
      </c>
      <c r="H177" s="106">
        <v>180</v>
      </c>
      <c r="I177" s="153">
        <f>_xlfn.XLOOKUP(E177,'All Products'!D:D,'All Products'!H:H)</f>
        <v>176.71</v>
      </c>
      <c r="J177" s="205">
        <f>ROUNDUP(I177*Order_Quote!$L$26,2)</f>
        <v>883.55</v>
      </c>
      <c r="K177" s="78"/>
      <c r="L177" s="116"/>
      <c r="M177" s="199">
        <f t="shared" si="2"/>
        <v>0</v>
      </c>
      <c r="O177" s="265" t="s">
        <v>359</v>
      </c>
      <c r="P177" s="265" t="s">
        <v>102</v>
      </c>
      <c r="Q177" s="265" t="s">
        <v>5333</v>
      </c>
      <c r="R177" s="265">
        <v>0</v>
      </c>
      <c r="S177" s="265" t="s">
        <v>5334</v>
      </c>
      <c r="T177" s="347">
        <v>2.2509999999999999</v>
      </c>
      <c r="U177" s="347">
        <v>24.62</v>
      </c>
      <c r="V177" s="348">
        <v>4.38</v>
      </c>
    </row>
    <row r="178" spans="1:22" ht="14.45" customHeight="1">
      <c r="A178" s="104" t="str">
        <f>IF(K178&gt;0,COUNT($A$8:A177)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8" s="112"/>
      <c r="C178" s="79"/>
      <c r="D178" s="158" t="s">
        <v>5335</v>
      </c>
      <c r="E178" s="106">
        <v>100025019</v>
      </c>
      <c r="F178" s="159" t="s">
        <v>5336</v>
      </c>
      <c r="G178" s="106">
        <v>10</v>
      </c>
      <c r="H178" s="106" t="s">
        <v>2803</v>
      </c>
      <c r="I178" s="153">
        <f>_xlfn.XLOOKUP(E178,'All Products'!D:D,'All Products'!H:H)</f>
        <v>165.57</v>
      </c>
      <c r="J178" s="205">
        <f>ROUNDUP(I178*Order_Quote!$L$26,2)</f>
        <v>827.85</v>
      </c>
      <c r="K178" s="78"/>
      <c r="L178" s="116"/>
      <c r="M178" s="199">
        <f t="shared" si="2"/>
        <v>0</v>
      </c>
      <c r="O178" s="265" t="s">
        <v>359</v>
      </c>
      <c r="P178" s="265" t="s">
        <v>102</v>
      </c>
      <c r="Q178" s="265" t="s">
        <v>5337</v>
      </c>
      <c r="R178" s="265">
        <v>0</v>
      </c>
      <c r="S178" s="265" t="s">
        <v>5338</v>
      </c>
      <c r="T178" s="347">
        <v>1.984</v>
      </c>
      <c r="U178" s="347">
        <v>19</v>
      </c>
      <c r="V178" s="348">
        <v>0</v>
      </c>
    </row>
    <row r="179" spans="1:22" ht="14.45" customHeight="1">
      <c r="A179" s="104" t="str">
        <f>IF(K179&gt;0,COUNT($A$8:A178)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79" s="112"/>
      <c r="C179" s="79"/>
      <c r="D179" s="158" t="s">
        <v>5339</v>
      </c>
      <c r="E179" s="106">
        <v>100025020</v>
      </c>
      <c r="F179" s="159" t="s">
        <v>5340</v>
      </c>
      <c r="G179" s="106">
        <v>10</v>
      </c>
      <c r="H179" s="106">
        <v>180</v>
      </c>
      <c r="I179" s="153">
        <f>_xlfn.XLOOKUP(E179,'All Products'!D:D,'All Products'!H:H)</f>
        <v>165.57</v>
      </c>
      <c r="J179" s="205">
        <f>ROUNDUP(I179*Order_Quote!$L$26,2)</f>
        <v>827.85</v>
      </c>
      <c r="K179" s="78"/>
      <c r="L179" s="116"/>
      <c r="M179" s="199">
        <f t="shared" si="2"/>
        <v>0</v>
      </c>
      <c r="O179" s="265" t="s">
        <v>359</v>
      </c>
      <c r="P179" s="265" t="s">
        <v>102</v>
      </c>
      <c r="Q179" s="265" t="s">
        <v>5341</v>
      </c>
      <c r="R179" s="265">
        <v>0</v>
      </c>
      <c r="S179" s="265" t="s">
        <v>5342</v>
      </c>
      <c r="T179" s="347">
        <v>1.929</v>
      </c>
      <c r="U179" s="347">
        <v>20.27</v>
      </c>
      <c r="V179" s="348">
        <v>2.65</v>
      </c>
    </row>
    <row r="180" spans="1:22" ht="14.45" customHeight="1">
      <c r="A180" s="104" t="str">
        <f>IF(K180&gt;0,COUNT($A$8:A179)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0" s="112"/>
      <c r="C180" s="79"/>
      <c r="D180" s="158" t="s">
        <v>5343</v>
      </c>
      <c r="E180" s="106">
        <v>100024429</v>
      </c>
      <c r="F180" s="159" t="s">
        <v>5344</v>
      </c>
      <c r="G180" s="106">
        <v>10</v>
      </c>
      <c r="H180" s="106">
        <v>180</v>
      </c>
      <c r="I180" s="153">
        <f>_xlfn.XLOOKUP(E180,'All Products'!D:D,'All Products'!H:H)</f>
        <v>176.71</v>
      </c>
      <c r="J180" s="205">
        <f>ROUNDUP(I180*Order_Quote!$L$26,2)</f>
        <v>883.55</v>
      </c>
      <c r="K180" s="78"/>
      <c r="L180" s="116"/>
      <c r="M180" s="199">
        <f t="shared" si="2"/>
        <v>0</v>
      </c>
      <c r="O180" s="265" t="s">
        <v>359</v>
      </c>
      <c r="P180" s="265" t="s">
        <v>102</v>
      </c>
      <c r="Q180" s="265" t="s">
        <v>5345</v>
      </c>
      <c r="R180" s="265">
        <v>0</v>
      </c>
      <c r="S180" s="265" t="s">
        <v>5346</v>
      </c>
      <c r="T180" s="347">
        <v>2.2440000000000002</v>
      </c>
      <c r="U180" s="347">
        <v>24</v>
      </c>
      <c r="V180" s="348">
        <v>4.38</v>
      </c>
    </row>
    <row r="181" spans="1:22" ht="14.45" customHeight="1">
      <c r="A181" s="104" t="str">
        <f>IF(K181&gt;0,COUNT($A$8:A180)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1" s="112"/>
      <c r="C181" s="79"/>
      <c r="D181" s="158" t="s">
        <v>5347</v>
      </c>
      <c r="E181" s="106">
        <v>100025021</v>
      </c>
      <c r="F181" s="159" t="s">
        <v>5348</v>
      </c>
      <c r="G181" s="106">
        <v>10</v>
      </c>
      <c r="H181" s="106">
        <v>600</v>
      </c>
      <c r="I181" s="153">
        <f>_xlfn.XLOOKUP(E181,'All Products'!D:D,'All Products'!H:H)</f>
        <v>165.57</v>
      </c>
      <c r="J181" s="205">
        <f>ROUNDUP(I181*Order_Quote!$L$26,2)</f>
        <v>827.85</v>
      </c>
      <c r="K181" s="78"/>
      <c r="L181" s="116"/>
      <c r="M181" s="199">
        <f t="shared" si="2"/>
        <v>0</v>
      </c>
      <c r="O181" s="265" t="s">
        <v>359</v>
      </c>
      <c r="P181" s="265" t="s">
        <v>102</v>
      </c>
      <c r="Q181" s="265" t="s">
        <v>5349</v>
      </c>
      <c r="R181" s="265">
        <v>0</v>
      </c>
      <c r="S181" s="265" t="s">
        <v>5350</v>
      </c>
      <c r="T181" s="347">
        <v>1.8340000000000001</v>
      </c>
      <c r="U181" s="347">
        <v>20.8</v>
      </c>
      <c r="V181" s="348">
        <v>1.41</v>
      </c>
    </row>
    <row r="182" spans="1:22" ht="14.45" customHeight="1">
      <c r="A182" s="104" t="str">
        <f>IF(K182&gt;0,COUNT($A$8:A181)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2" s="112"/>
      <c r="C182" s="79"/>
      <c r="D182" s="158" t="s">
        <v>5351</v>
      </c>
      <c r="E182" s="106">
        <v>100024469</v>
      </c>
      <c r="F182" s="159" t="s">
        <v>5352</v>
      </c>
      <c r="G182" s="106">
        <v>10</v>
      </c>
      <c r="H182" s="106">
        <v>180</v>
      </c>
      <c r="I182" s="153">
        <f>_xlfn.XLOOKUP(E182,'All Products'!D:D,'All Products'!H:H)</f>
        <v>165.57</v>
      </c>
      <c r="J182" s="205">
        <f>ROUNDUP(I182*Order_Quote!$L$26,2)</f>
        <v>827.85</v>
      </c>
      <c r="K182" s="78"/>
      <c r="L182" s="116"/>
      <c r="M182" s="199">
        <f t="shared" si="2"/>
        <v>0</v>
      </c>
      <c r="O182" s="265" t="s">
        <v>359</v>
      </c>
      <c r="P182" s="265" t="s">
        <v>102</v>
      </c>
      <c r="Q182" s="265" t="s">
        <v>5353</v>
      </c>
      <c r="R182" s="265">
        <v>0</v>
      </c>
      <c r="S182" s="265" t="s">
        <v>5354</v>
      </c>
      <c r="T182" s="347">
        <v>1.7789999999999999</v>
      </c>
      <c r="U182" s="347">
        <v>20.350000000000001</v>
      </c>
      <c r="V182" s="348">
        <v>2.65</v>
      </c>
    </row>
    <row r="183" spans="1:22" ht="14.45" customHeight="1">
      <c r="A183" s="104" t="str">
        <f>IF(K183&gt;0,COUNT($A$8:A182)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3" s="112"/>
      <c r="C183" s="79"/>
      <c r="D183" s="158" t="s">
        <v>5355</v>
      </c>
      <c r="E183" s="106">
        <v>100024501</v>
      </c>
      <c r="F183" s="159" t="s">
        <v>5356</v>
      </c>
      <c r="G183" s="106">
        <v>10</v>
      </c>
      <c r="H183" s="106" t="s">
        <v>2803</v>
      </c>
      <c r="I183" s="153">
        <f>_xlfn.XLOOKUP(E183,'All Products'!D:D,'All Products'!H:H)</f>
        <v>176.71</v>
      </c>
      <c r="J183" s="205">
        <f>ROUNDUP(I183*Order_Quote!$L$26,2)</f>
        <v>883.55</v>
      </c>
      <c r="K183" s="78"/>
      <c r="L183" s="116"/>
      <c r="M183" s="199">
        <f t="shared" si="2"/>
        <v>0</v>
      </c>
      <c r="O183" s="265" t="s">
        <v>359</v>
      </c>
      <c r="P183" s="265" t="s">
        <v>102</v>
      </c>
      <c r="Q183" s="265" t="s">
        <v>5357</v>
      </c>
      <c r="R183" s="265">
        <v>0</v>
      </c>
      <c r="S183" s="265" t="s">
        <v>5358</v>
      </c>
      <c r="T183" s="347">
        <v>2.339</v>
      </c>
      <c r="U183" s="347">
        <v>13.1</v>
      </c>
      <c r="V183" s="348">
        <v>0</v>
      </c>
    </row>
    <row r="184" spans="1:22" ht="14.45" customHeight="1">
      <c r="A184" s="104" t="str">
        <f>IF(K184&gt;0,COUNT($A$8:A183)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4" s="112"/>
      <c r="C184" s="79"/>
      <c r="D184" s="158" t="s">
        <v>5359</v>
      </c>
      <c r="E184" s="106">
        <v>100024507</v>
      </c>
      <c r="F184" s="159" t="s">
        <v>5360</v>
      </c>
      <c r="G184" s="106">
        <v>10</v>
      </c>
      <c r="H184" s="106">
        <v>600</v>
      </c>
      <c r="I184" s="153">
        <f>_xlfn.XLOOKUP(E184,'All Products'!D:D,'All Products'!H:H)</f>
        <v>165.57</v>
      </c>
      <c r="J184" s="205">
        <f>ROUNDUP(I184*Order_Quote!$L$26,2)</f>
        <v>827.85</v>
      </c>
      <c r="K184" s="78"/>
      <c r="L184" s="116"/>
      <c r="M184" s="199">
        <f t="shared" si="2"/>
        <v>0</v>
      </c>
      <c r="O184" s="265" t="s">
        <v>359</v>
      </c>
      <c r="P184" s="265" t="s">
        <v>102</v>
      </c>
      <c r="Q184" s="265" t="s">
        <v>5361</v>
      </c>
      <c r="R184" s="265">
        <v>0</v>
      </c>
      <c r="S184" s="265" t="s">
        <v>5362</v>
      </c>
      <c r="T184" s="347">
        <v>1.944</v>
      </c>
      <c r="U184" s="347">
        <v>20.58</v>
      </c>
      <c r="V184" s="348">
        <v>1.41</v>
      </c>
    </row>
    <row r="185" spans="1:22" ht="14.45" customHeight="1">
      <c r="A185" s="104" t="str">
        <f>IF(K185&gt;0,COUNT($A$8:A184)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5" s="112"/>
      <c r="C185" s="79"/>
      <c r="D185" s="158" t="s">
        <v>5363</v>
      </c>
      <c r="E185" s="106">
        <v>100024520</v>
      </c>
      <c r="F185" s="159" t="s">
        <v>5364</v>
      </c>
      <c r="G185" s="106">
        <v>10</v>
      </c>
      <c r="H185" s="106">
        <v>600</v>
      </c>
      <c r="I185" s="153">
        <f>_xlfn.XLOOKUP(E185,'All Products'!D:D,'All Products'!H:H)</f>
        <v>165.57</v>
      </c>
      <c r="J185" s="205">
        <f>ROUNDUP(I185*Order_Quote!$L$26,2)</f>
        <v>827.85</v>
      </c>
      <c r="K185" s="78"/>
      <c r="L185" s="116"/>
      <c r="M185" s="199">
        <f t="shared" si="2"/>
        <v>0</v>
      </c>
      <c r="O185" s="265" t="s">
        <v>359</v>
      </c>
      <c r="P185" s="265" t="s">
        <v>102</v>
      </c>
      <c r="Q185" s="265" t="s">
        <v>5365</v>
      </c>
      <c r="R185" s="265">
        <v>0</v>
      </c>
      <c r="S185" s="265" t="s">
        <v>5366</v>
      </c>
      <c r="T185" s="347">
        <v>2.0089999999999999</v>
      </c>
      <c r="U185" s="347">
        <v>20.63</v>
      </c>
      <c r="V185" s="348">
        <v>1.41</v>
      </c>
    </row>
    <row r="186" spans="1:22" ht="14.45" customHeight="1">
      <c r="A186" s="104" t="str">
        <f>IF(K186&gt;0,COUNT($A$8:A185)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6" s="112"/>
      <c r="C186" s="79"/>
      <c r="D186" s="158" t="s">
        <v>5367</v>
      </c>
      <c r="E186" s="106">
        <v>100025034</v>
      </c>
      <c r="F186" s="159" t="s">
        <v>5172</v>
      </c>
      <c r="G186" s="106">
        <v>10</v>
      </c>
      <c r="H186" s="106">
        <v>180</v>
      </c>
      <c r="I186" s="153">
        <f>_xlfn.XLOOKUP(E186,'All Products'!D:D,'All Products'!H:H)</f>
        <v>165.57</v>
      </c>
      <c r="J186" s="205">
        <f>ROUNDUP(I186*Order_Quote!$L$26,2)</f>
        <v>827.85</v>
      </c>
      <c r="K186" s="78"/>
      <c r="L186" s="116"/>
      <c r="M186" s="199">
        <f t="shared" si="2"/>
        <v>0</v>
      </c>
      <c r="O186" s="265" t="s">
        <v>359</v>
      </c>
      <c r="P186" s="265" t="s">
        <v>102</v>
      </c>
      <c r="Q186" s="265" t="s">
        <v>5368</v>
      </c>
      <c r="R186" s="265">
        <v>0</v>
      </c>
      <c r="S186" s="265" t="s">
        <v>5369</v>
      </c>
      <c r="T186" s="347">
        <v>2.0990000000000002</v>
      </c>
      <c r="U186" s="347">
        <v>21.94</v>
      </c>
      <c r="V186" s="348">
        <v>2.65</v>
      </c>
    </row>
    <row r="187" spans="1:22" ht="14.45" customHeight="1">
      <c r="A187" s="104" t="str">
        <f>IF(K187&gt;0,COUNT($A$8:A186)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7" s="112"/>
      <c r="C187" s="79"/>
      <c r="D187" s="158" t="s">
        <v>5370</v>
      </c>
      <c r="E187" s="106">
        <v>100024534</v>
      </c>
      <c r="F187" s="159" t="s">
        <v>5371</v>
      </c>
      <c r="G187" s="106">
        <v>10</v>
      </c>
      <c r="H187" s="106">
        <v>240</v>
      </c>
      <c r="I187" s="153">
        <f>_xlfn.XLOOKUP(E187,'All Products'!D:D,'All Products'!H:H)</f>
        <v>176.71</v>
      </c>
      <c r="J187" s="205">
        <f>ROUNDUP(I187*Order_Quote!$L$26,2)</f>
        <v>883.55</v>
      </c>
      <c r="K187" s="78"/>
      <c r="L187" s="116"/>
      <c r="M187" s="199">
        <f t="shared" si="2"/>
        <v>0</v>
      </c>
      <c r="O187" s="265" t="s">
        <v>359</v>
      </c>
      <c r="P187" s="265" t="s">
        <v>102</v>
      </c>
      <c r="Q187" s="265" t="s">
        <v>5372</v>
      </c>
      <c r="R187" s="265">
        <v>0</v>
      </c>
      <c r="S187" s="265" t="s">
        <v>5373</v>
      </c>
      <c r="T187" s="347">
        <v>2.4140000000000001</v>
      </c>
      <c r="U187" s="347">
        <v>25.55</v>
      </c>
      <c r="V187" s="348">
        <v>2.77</v>
      </c>
    </row>
    <row r="188" spans="1:22" ht="14.45" customHeight="1">
      <c r="A188" s="104" t="str">
        <f>IF(K188&gt;0,COUNT($A$8:A187)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8" s="112"/>
      <c r="C188" s="79"/>
      <c r="D188" s="158" t="s">
        <v>5374</v>
      </c>
      <c r="E188" s="106">
        <v>100025036</v>
      </c>
      <c r="F188" s="159" t="s">
        <v>5375</v>
      </c>
      <c r="G188" s="106">
        <v>10</v>
      </c>
      <c r="H188" s="106">
        <v>180</v>
      </c>
      <c r="I188" s="153">
        <f>_xlfn.XLOOKUP(E188,'All Products'!D:D,'All Products'!H:H)</f>
        <v>165.57</v>
      </c>
      <c r="J188" s="205">
        <f>ROUNDUP(I188*Order_Quote!$L$26,2)</f>
        <v>827.85</v>
      </c>
      <c r="K188" s="78"/>
      <c r="L188" s="116"/>
      <c r="M188" s="199">
        <f t="shared" si="2"/>
        <v>0</v>
      </c>
      <c r="O188" s="265" t="s">
        <v>359</v>
      </c>
      <c r="P188" s="265" t="s">
        <v>102</v>
      </c>
      <c r="Q188" s="265" t="s">
        <v>5376</v>
      </c>
      <c r="R188" s="265">
        <v>0</v>
      </c>
      <c r="S188" s="265" t="s">
        <v>5377</v>
      </c>
      <c r="T188" s="347">
        <v>2.044</v>
      </c>
      <c r="U188" s="347">
        <v>22.5</v>
      </c>
      <c r="V188" s="348">
        <v>2.65</v>
      </c>
    </row>
    <row r="189" spans="1:22" ht="14.45" customHeight="1">
      <c r="A189" s="104" t="str">
        <f>IF(K189&gt;0,COUNT($A$8:A188)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89" s="112"/>
      <c r="C189" s="79"/>
      <c r="D189" s="158" t="s">
        <v>5378</v>
      </c>
      <c r="E189" s="106">
        <v>100024539</v>
      </c>
      <c r="F189" s="159" t="s">
        <v>5379</v>
      </c>
      <c r="G189" s="106">
        <v>10</v>
      </c>
      <c r="H189" s="106">
        <v>240</v>
      </c>
      <c r="I189" s="153">
        <f>_xlfn.XLOOKUP(E189,'All Products'!D:D,'All Products'!H:H)</f>
        <v>176.71</v>
      </c>
      <c r="J189" s="205">
        <f>ROUNDUP(I189*Order_Quote!$L$26,2)</f>
        <v>883.55</v>
      </c>
      <c r="K189" s="78"/>
      <c r="L189" s="116"/>
      <c r="M189" s="199">
        <f t="shared" si="2"/>
        <v>0</v>
      </c>
      <c r="O189" s="265" t="s">
        <v>359</v>
      </c>
      <c r="P189" s="265" t="s">
        <v>102</v>
      </c>
      <c r="Q189" s="265" t="s">
        <v>5380</v>
      </c>
      <c r="R189" s="265">
        <v>0</v>
      </c>
      <c r="S189" s="265" t="s">
        <v>5381</v>
      </c>
      <c r="T189" s="347">
        <v>2.133</v>
      </c>
      <c r="U189" s="347">
        <v>23.3</v>
      </c>
      <c r="V189" s="348">
        <v>2.77</v>
      </c>
    </row>
    <row r="190" spans="1:22" ht="14.45" customHeight="1">
      <c r="A190" s="104" t="str">
        <f>IF(K190&gt;0,COUNT($A$8:A189)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0" s="112"/>
      <c r="C190" s="79"/>
      <c r="D190" s="158" t="s">
        <v>5382</v>
      </c>
      <c r="E190" s="106">
        <v>100024540</v>
      </c>
      <c r="F190" s="159" t="s">
        <v>5383</v>
      </c>
      <c r="G190" s="106">
        <v>10</v>
      </c>
      <c r="H190" s="106">
        <v>240</v>
      </c>
      <c r="I190" s="153">
        <f>_xlfn.XLOOKUP(E190,'All Products'!D:D,'All Products'!H:H)</f>
        <v>176.71</v>
      </c>
      <c r="J190" s="205">
        <f>ROUNDUP(I190*Order_Quote!$L$26,2)</f>
        <v>883.55</v>
      </c>
      <c r="K190" s="78"/>
      <c r="L190" s="116"/>
      <c r="M190" s="199">
        <f t="shared" si="2"/>
        <v>0</v>
      </c>
      <c r="O190" s="265" t="s">
        <v>359</v>
      </c>
      <c r="P190" s="265" t="s">
        <v>102</v>
      </c>
      <c r="Q190" s="265" t="s">
        <v>5384</v>
      </c>
      <c r="R190" s="265">
        <v>0</v>
      </c>
      <c r="S190" s="265" t="s">
        <v>5385</v>
      </c>
      <c r="T190" s="347">
        <v>2.2629999999999999</v>
      </c>
      <c r="U190" s="347">
        <v>24.3</v>
      </c>
      <c r="V190" s="348">
        <v>2.77</v>
      </c>
    </row>
    <row r="191" spans="1:22" ht="14.45" customHeight="1">
      <c r="A191" s="104" t="str">
        <f>IF(K191&gt;0,COUNT($A$8:A190)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1" s="112"/>
      <c r="C191" s="79"/>
      <c r="D191" s="158" t="s">
        <v>5386</v>
      </c>
      <c r="E191" s="106">
        <v>100024541</v>
      </c>
      <c r="F191" s="159" t="s">
        <v>5387</v>
      </c>
      <c r="G191" s="106">
        <v>10</v>
      </c>
      <c r="H191" s="106">
        <v>240</v>
      </c>
      <c r="I191" s="153">
        <f>_xlfn.XLOOKUP(E191,'All Products'!D:D,'All Products'!H:H)</f>
        <v>176.71</v>
      </c>
      <c r="J191" s="205">
        <f>ROUNDUP(I191*Order_Quote!$L$26,2)</f>
        <v>883.55</v>
      </c>
      <c r="K191" s="78"/>
      <c r="L191" s="116"/>
      <c r="M191" s="199">
        <f t="shared" si="2"/>
        <v>0</v>
      </c>
      <c r="O191" s="265" t="s">
        <v>359</v>
      </c>
      <c r="P191" s="265" t="s">
        <v>102</v>
      </c>
      <c r="Q191" s="265" t="s">
        <v>5388</v>
      </c>
      <c r="R191" s="265">
        <v>0</v>
      </c>
      <c r="S191" s="265" t="s">
        <v>5389</v>
      </c>
      <c r="T191" s="347">
        <v>2.359</v>
      </c>
      <c r="U191" s="347">
        <v>25.6</v>
      </c>
      <c r="V191" s="348">
        <v>2.77</v>
      </c>
    </row>
    <row r="192" spans="1:22" ht="14.45" customHeight="1">
      <c r="A192" s="104" t="str">
        <f>IF(K192&gt;0,COUNT($A$8:A191)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2" s="112"/>
      <c r="C192" s="79"/>
      <c r="D192" s="158" t="s">
        <v>5390</v>
      </c>
      <c r="E192" s="106">
        <v>100025048</v>
      </c>
      <c r="F192" s="159" t="s">
        <v>5391</v>
      </c>
      <c r="G192" s="106">
        <v>10</v>
      </c>
      <c r="H192" s="106">
        <v>180</v>
      </c>
      <c r="I192" s="153">
        <f>_xlfn.XLOOKUP(E192,'All Products'!D:D,'All Products'!H:H)</f>
        <v>210.6</v>
      </c>
      <c r="J192" s="205">
        <f>ROUNDUP(I192*Order_Quote!$L$26,2)</f>
        <v>1053</v>
      </c>
      <c r="K192" s="78"/>
      <c r="L192" s="116"/>
      <c r="M192" s="199">
        <f t="shared" si="2"/>
        <v>0</v>
      </c>
      <c r="O192" s="265" t="s">
        <v>359</v>
      </c>
      <c r="P192" s="265" t="s">
        <v>102</v>
      </c>
      <c r="Q192" s="265" t="s">
        <v>5392</v>
      </c>
      <c r="R192" s="265">
        <v>0</v>
      </c>
      <c r="S192" s="265" t="s">
        <v>5393</v>
      </c>
      <c r="T192" s="347">
        <v>2.444</v>
      </c>
      <c r="U192" s="347">
        <v>20.9</v>
      </c>
      <c r="V192" s="348">
        <v>2.65</v>
      </c>
    </row>
    <row r="193" spans="1:22" ht="14.45" customHeight="1">
      <c r="A193" s="104" t="str">
        <f>IF(K193&gt;0,COUNT($A$8:A192)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3" s="112"/>
      <c r="C193" s="79"/>
      <c r="D193" s="158" t="s">
        <v>5394</v>
      </c>
      <c r="E193" s="106">
        <v>100025049</v>
      </c>
      <c r="F193" s="159" t="s">
        <v>5395</v>
      </c>
      <c r="G193" s="106">
        <v>10</v>
      </c>
      <c r="H193" s="106">
        <v>180</v>
      </c>
      <c r="I193" s="153">
        <f>_xlfn.XLOOKUP(E193,'All Products'!D:D,'All Products'!H:H)</f>
        <v>343.34</v>
      </c>
      <c r="J193" s="205">
        <f>ROUNDUP(I193*Order_Quote!$L$26,2)</f>
        <v>1716.7</v>
      </c>
      <c r="K193" s="78"/>
      <c r="L193" s="116"/>
      <c r="M193" s="199">
        <f t="shared" si="2"/>
        <v>0</v>
      </c>
      <c r="O193" s="265" t="s">
        <v>359</v>
      </c>
      <c r="P193" s="265" t="s">
        <v>102</v>
      </c>
      <c r="Q193" s="265" t="s">
        <v>5396</v>
      </c>
      <c r="R193" s="265">
        <v>0</v>
      </c>
      <c r="S193" s="265" t="s">
        <v>5397</v>
      </c>
      <c r="T193" s="347">
        <v>3.153</v>
      </c>
      <c r="U193" s="347">
        <v>29.1</v>
      </c>
      <c r="V193" s="348">
        <v>2.65</v>
      </c>
    </row>
    <row r="194" spans="1:22" ht="14.45" customHeight="1">
      <c r="A194" s="104" t="str">
        <f>IF(K194&gt;0,COUNT($A$8:A193)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4" s="112"/>
      <c r="C194" s="79"/>
      <c r="D194" s="158" t="s">
        <v>5398</v>
      </c>
      <c r="E194" s="106">
        <v>100025050</v>
      </c>
      <c r="F194" s="159" t="s">
        <v>5399</v>
      </c>
      <c r="G194" s="106">
        <v>10</v>
      </c>
      <c r="H194" s="106">
        <v>240</v>
      </c>
      <c r="I194" s="153">
        <f>_xlfn.XLOOKUP(E194,'All Products'!D:D,'All Products'!H:H)</f>
        <v>358.21</v>
      </c>
      <c r="J194" s="205">
        <f>ROUNDUP(I194*Order_Quote!$L$26,2)</f>
        <v>1791.05</v>
      </c>
      <c r="K194" s="78"/>
      <c r="L194" s="116"/>
      <c r="M194" s="199">
        <f t="shared" si="2"/>
        <v>0</v>
      </c>
      <c r="O194" s="265" t="s">
        <v>359</v>
      </c>
      <c r="P194" s="265" t="s">
        <v>102</v>
      </c>
      <c r="Q194" s="265" t="s">
        <v>5400</v>
      </c>
      <c r="R194" s="265">
        <v>0</v>
      </c>
      <c r="S194" s="265" t="s">
        <v>5401</v>
      </c>
      <c r="T194" s="347">
        <v>3.468</v>
      </c>
      <c r="U194" s="347">
        <v>32.799999999999997</v>
      </c>
      <c r="V194" s="348">
        <v>2.77</v>
      </c>
    </row>
    <row r="195" spans="1:22" ht="14.45" customHeight="1">
      <c r="A195" s="104" t="str">
        <f>IF(K195&gt;0,COUNT($A$8:A194)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5" s="112"/>
      <c r="C195" s="79"/>
      <c r="D195" s="158" t="s">
        <v>5402</v>
      </c>
      <c r="E195" s="106">
        <v>100025051</v>
      </c>
      <c r="F195" s="159" t="s">
        <v>5403</v>
      </c>
      <c r="G195" s="106">
        <v>10</v>
      </c>
      <c r="H195" s="106">
        <v>600</v>
      </c>
      <c r="I195" s="153">
        <f>_xlfn.XLOOKUP(E195,'All Products'!D:D,'All Products'!H:H)</f>
        <v>199.54</v>
      </c>
      <c r="J195" s="205">
        <f>ROUNDUP(I195*Order_Quote!$L$26,2)</f>
        <v>997.7</v>
      </c>
      <c r="K195" s="78"/>
      <c r="L195" s="116"/>
      <c r="M195" s="199">
        <f t="shared" si="2"/>
        <v>0</v>
      </c>
      <c r="O195" s="265" t="s">
        <v>359</v>
      </c>
      <c r="P195" s="265" t="s">
        <v>102</v>
      </c>
      <c r="Q195" s="265" t="s">
        <v>5404</v>
      </c>
      <c r="R195" s="265">
        <v>0</v>
      </c>
      <c r="S195" s="265" t="s">
        <v>5405</v>
      </c>
      <c r="T195" s="347">
        <v>2.2330000000000001</v>
      </c>
      <c r="U195" s="347">
        <v>18.100000000000001</v>
      </c>
      <c r="V195" s="348">
        <v>1.41</v>
      </c>
    </row>
    <row r="196" spans="1:22" ht="14.45" customHeight="1">
      <c r="A196" s="104" t="str">
        <f>IF(K196&gt;0,COUNT($A$8:A195)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6" s="112"/>
      <c r="C196" s="79"/>
      <c r="D196" s="158" t="s">
        <v>5406</v>
      </c>
      <c r="E196" s="106">
        <v>100024562</v>
      </c>
      <c r="F196" s="159" t="s">
        <v>5407</v>
      </c>
      <c r="G196" s="106">
        <v>10</v>
      </c>
      <c r="H196" s="106">
        <v>600</v>
      </c>
      <c r="I196" s="153">
        <f>_xlfn.XLOOKUP(E196,'All Products'!D:D,'All Products'!H:H)</f>
        <v>165.57</v>
      </c>
      <c r="J196" s="205">
        <f>ROUNDUP(I196*Order_Quote!$L$26,2)</f>
        <v>827.85</v>
      </c>
      <c r="K196" s="78"/>
      <c r="L196" s="116"/>
      <c r="M196" s="199">
        <f t="shared" si="2"/>
        <v>0</v>
      </c>
      <c r="O196" s="265" t="s">
        <v>359</v>
      </c>
      <c r="P196" s="265" t="s">
        <v>102</v>
      </c>
      <c r="Q196" s="265" t="s">
        <v>5408</v>
      </c>
      <c r="R196" s="265">
        <v>0</v>
      </c>
      <c r="S196" s="265" t="s">
        <v>5409</v>
      </c>
      <c r="T196" s="347">
        <v>1.99</v>
      </c>
      <c r="U196" s="347">
        <v>20.18</v>
      </c>
      <c r="V196" s="348">
        <v>1.41</v>
      </c>
    </row>
    <row r="197" spans="1:22" ht="14.45" customHeight="1">
      <c r="A197" s="104" t="str">
        <f>IF(K197&gt;0,COUNT($A$8:A196)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7" s="112"/>
      <c r="C197" s="79"/>
      <c r="D197" s="158" t="s">
        <v>5410</v>
      </c>
      <c r="E197" s="106">
        <v>100024563</v>
      </c>
      <c r="F197" s="159" t="s">
        <v>5411</v>
      </c>
      <c r="G197" s="106">
        <v>10</v>
      </c>
      <c r="H197" s="106">
        <v>600</v>
      </c>
      <c r="I197" s="153">
        <f>_xlfn.XLOOKUP(E197,'All Products'!D:D,'All Products'!H:H)</f>
        <v>165.57</v>
      </c>
      <c r="J197" s="205">
        <f>ROUNDUP(I197*Order_Quote!$L$26,2)</f>
        <v>827.85</v>
      </c>
      <c r="K197" s="78"/>
      <c r="L197" s="116"/>
      <c r="M197" s="199">
        <f t="shared" si="2"/>
        <v>0</v>
      </c>
      <c r="O197" s="265" t="s">
        <v>359</v>
      </c>
      <c r="P197" s="265" t="s">
        <v>102</v>
      </c>
      <c r="Q197" s="265" t="s">
        <v>5412</v>
      </c>
      <c r="R197" s="265">
        <v>0</v>
      </c>
      <c r="S197" s="265" t="s">
        <v>5413</v>
      </c>
      <c r="T197" s="347">
        <v>1.923</v>
      </c>
      <c r="U197" s="347">
        <v>20.58</v>
      </c>
      <c r="V197" s="348">
        <v>1.41</v>
      </c>
    </row>
    <row r="198" spans="1:22" ht="14.45" customHeight="1">
      <c r="A198" s="104" t="str">
        <f>IF(K198&gt;0,COUNT($A$8:A197)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8" s="112"/>
      <c r="C198" s="79"/>
      <c r="D198" s="158" t="s">
        <v>5414</v>
      </c>
      <c r="E198" s="106">
        <v>100024564</v>
      </c>
      <c r="F198" s="159" t="s">
        <v>5415</v>
      </c>
      <c r="G198" s="106">
        <v>10</v>
      </c>
      <c r="H198" s="106">
        <v>750</v>
      </c>
      <c r="I198" s="153">
        <f>_xlfn.XLOOKUP(E198,'All Products'!D:D,'All Products'!H:H)</f>
        <v>154.49</v>
      </c>
      <c r="J198" s="205">
        <f>ROUNDUP(I198*Order_Quote!$L$26,2)</f>
        <v>772.45</v>
      </c>
      <c r="K198" s="78"/>
      <c r="L198" s="116"/>
      <c r="M198" s="199">
        <f t="shared" si="2"/>
        <v>0</v>
      </c>
      <c r="O198" s="265" t="s">
        <v>359</v>
      </c>
      <c r="P198" s="265" t="s">
        <v>102</v>
      </c>
      <c r="Q198" s="265" t="s">
        <v>5416</v>
      </c>
      <c r="R198" s="265">
        <v>0</v>
      </c>
      <c r="S198" s="265" t="s">
        <v>5417</v>
      </c>
      <c r="T198" s="347">
        <v>1.6020000000000001</v>
      </c>
      <c r="U198" s="347">
        <v>17.21</v>
      </c>
      <c r="V198" s="348">
        <v>1.1000000000000001</v>
      </c>
    </row>
    <row r="199" spans="1:22" ht="14.45" customHeight="1">
      <c r="A199" s="104" t="str">
        <f>IF(K199&gt;0,COUNT($A$8:A198)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199" s="112"/>
      <c r="C199" s="79"/>
      <c r="D199" s="158" t="s">
        <v>5418</v>
      </c>
      <c r="E199" s="106">
        <v>100025054</v>
      </c>
      <c r="F199" s="159" t="s">
        <v>5419</v>
      </c>
      <c r="G199" s="106">
        <v>10</v>
      </c>
      <c r="H199" s="106">
        <v>600</v>
      </c>
      <c r="I199" s="153">
        <f>_xlfn.XLOOKUP(E199,'All Products'!D:D,'All Products'!H:H)</f>
        <v>165.57</v>
      </c>
      <c r="J199" s="205">
        <f>ROUNDUP(I199*Order_Quote!$L$26,2)</f>
        <v>827.85</v>
      </c>
      <c r="K199" s="78"/>
      <c r="L199" s="116"/>
      <c r="M199" s="199">
        <f t="shared" si="2"/>
        <v>0</v>
      </c>
      <c r="O199" s="265" t="s">
        <v>359</v>
      </c>
      <c r="P199" s="265" t="s">
        <v>102</v>
      </c>
      <c r="Q199" s="265" t="s">
        <v>5420</v>
      </c>
      <c r="R199" s="265">
        <v>0</v>
      </c>
      <c r="S199" s="265" t="s">
        <v>5421</v>
      </c>
      <c r="T199" s="347">
        <v>1.962</v>
      </c>
      <c r="U199" s="347">
        <v>20.58</v>
      </c>
      <c r="V199" s="348">
        <v>1.41</v>
      </c>
    </row>
    <row r="200" spans="1:22" ht="14.45" customHeight="1">
      <c r="A200" s="104" t="str">
        <f>IF(K200&gt;0,COUNT($A$8:A199)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0" s="112"/>
      <c r="C200" s="79"/>
      <c r="D200" s="158" t="s">
        <v>5422</v>
      </c>
      <c r="E200" s="106">
        <v>100024568</v>
      </c>
      <c r="F200" s="159" t="s">
        <v>5423</v>
      </c>
      <c r="G200" s="106">
        <v>10</v>
      </c>
      <c r="H200" s="106">
        <v>180</v>
      </c>
      <c r="I200" s="153">
        <f>_xlfn.XLOOKUP(E200,'All Products'!D:D,'All Products'!H:H)</f>
        <v>176.71</v>
      </c>
      <c r="J200" s="205">
        <f>ROUNDUP(I200*Order_Quote!$L$26,2)</f>
        <v>883.55</v>
      </c>
      <c r="K200" s="78"/>
      <c r="L200" s="116"/>
      <c r="M200" s="199">
        <f t="shared" si="2"/>
        <v>0</v>
      </c>
      <c r="O200" s="265" t="s">
        <v>359</v>
      </c>
      <c r="P200" s="265" t="s">
        <v>102</v>
      </c>
      <c r="Q200" s="265" t="s">
        <v>5424</v>
      </c>
      <c r="R200" s="265">
        <v>0</v>
      </c>
      <c r="S200" s="265" t="s">
        <v>5425</v>
      </c>
      <c r="T200" s="347">
        <v>2.0510000000000002</v>
      </c>
      <c r="U200" s="347">
        <v>21.65</v>
      </c>
      <c r="V200" s="348">
        <v>2.65</v>
      </c>
    </row>
    <row r="201" spans="1:22" ht="14.45" customHeight="1">
      <c r="A201" s="104" t="str">
        <f>IF(K201&gt;0,COUNT($A$8:A200)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1" s="112"/>
      <c r="C201" s="79"/>
      <c r="D201" s="158" t="s">
        <v>5426</v>
      </c>
      <c r="E201" s="106">
        <v>100024569</v>
      </c>
      <c r="F201" s="159" t="s">
        <v>5260</v>
      </c>
      <c r="G201" s="106">
        <v>10</v>
      </c>
      <c r="H201" s="106">
        <v>240</v>
      </c>
      <c r="I201" s="153">
        <f>_xlfn.XLOOKUP(E201,'All Products'!D:D,'All Products'!H:H)</f>
        <v>176.71</v>
      </c>
      <c r="J201" s="205">
        <f>ROUNDUP(I201*Order_Quote!$L$26,2)</f>
        <v>883.55</v>
      </c>
      <c r="K201" s="78"/>
      <c r="L201" s="116"/>
      <c r="M201" s="199">
        <f t="shared" ref="M201:M215" si="3">K201/G201</f>
        <v>0</v>
      </c>
      <c r="O201" s="265" t="s">
        <v>359</v>
      </c>
      <c r="P201" s="265" t="s">
        <v>102</v>
      </c>
      <c r="Q201" s="265" t="s">
        <v>5427</v>
      </c>
      <c r="R201" s="265">
        <v>0</v>
      </c>
      <c r="S201" s="265" t="s">
        <v>5428</v>
      </c>
      <c r="T201" s="347">
        <v>2.181</v>
      </c>
      <c r="U201" s="347">
        <v>23.3</v>
      </c>
      <c r="V201" s="348">
        <v>2.77</v>
      </c>
    </row>
    <row r="202" spans="1:22" ht="14.45" customHeight="1">
      <c r="A202" s="104" t="str">
        <f>IF(K202&gt;0,COUNT($A$8:A201)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2" s="112"/>
      <c r="C202" s="79"/>
      <c r="D202" s="158" t="s">
        <v>5429</v>
      </c>
      <c r="E202" s="106">
        <v>100025055</v>
      </c>
      <c r="F202" s="159" t="s">
        <v>5430</v>
      </c>
      <c r="G202" s="106">
        <v>10</v>
      </c>
      <c r="H202" s="106">
        <v>240</v>
      </c>
      <c r="I202" s="153">
        <f>_xlfn.XLOOKUP(E202,'All Products'!D:D,'All Products'!H:H)</f>
        <v>176.71</v>
      </c>
      <c r="J202" s="205">
        <f>ROUNDUP(I202*Order_Quote!$L$26,2)</f>
        <v>883.55</v>
      </c>
      <c r="K202" s="78"/>
      <c r="L202" s="116"/>
      <c r="M202" s="199">
        <f t="shared" si="3"/>
        <v>0</v>
      </c>
      <c r="O202" s="265" t="s">
        <v>359</v>
      </c>
      <c r="P202" s="265" t="s">
        <v>102</v>
      </c>
      <c r="Q202" s="265" t="s">
        <v>5431</v>
      </c>
      <c r="R202" s="265">
        <v>0</v>
      </c>
      <c r="S202" s="265" t="s">
        <v>5432</v>
      </c>
      <c r="T202" s="347">
        <v>2.2770000000000001</v>
      </c>
      <c r="U202" s="347">
        <v>24.41</v>
      </c>
      <c r="V202" s="348">
        <v>2.77</v>
      </c>
    </row>
    <row r="203" spans="1:22" ht="14.45" customHeight="1">
      <c r="A203" s="104" t="str">
        <f>IF(K203&gt;0,COUNT($A$8:A202)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3" s="112"/>
      <c r="C203" s="79"/>
      <c r="D203" s="158" t="s">
        <v>5433</v>
      </c>
      <c r="E203" s="106">
        <v>100024571</v>
      </c>
      <c r="F203" s="159" t="s">
        <v>5434</v>
      </c>
      <c r="G203" s="106">
        <v>10</v>
      </c>
      <c r="H203" s="106">
        <v>750</v>
      </c>
      <c r="I203" s="153">
        <f>_xlfn.XLOOKUP(E203,'All Products'!D:D,'All Products'!H:H)</f>
        <v>154.49</v>
      </c>
      <c r="J203" s="205">
        <f>ROUNDUP(I203*Order_Quote!$L$26,2)</f>
        <v>772.45</v>
      </c>
      <c r="K203" s="78"/>
      <c r="L203" s="116"/>
      <c r="M203" s="199">
        <f t="shared" si="3"/>
        <v>0</v>
      </c>
      <c r="O203" s="265" t="s">
        <v>359</v>
      </c>
      <c r="P203" s="265" t="s">
        <v>102</v>
      </c>
      <c r="Q203" s="265" t="s">
        <v>5435</v>
      </c>
      <c r="R203" s="265">
        <v>0</v>
      </c>
      <c r="S203" s="265" t="s">
        <v>5436</v>
      </c>
      <c r="T203" s="347">
        <v>1.641</v>
      </c>
      <c r="U203" s="347">
        <v>16.91</v>
      </c>
      <c r="V203" s="348">
        <v>1.1000000000000001</v>
      </c>
    </row>
    <row r="204" spans="1:22" ht="14.45" customHeight="1">
      <c r="A204" s="104" t="str">
        <f>IF(K204&gt;0,COUNT($A$8:A203)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4" s="112"/>
      <c r="C204" s="79"/>
      <c r="D204" s="158" t="s">
        <v>5437</v>
      </c>
      <c r="E204" s="106">
        <v>100025059</v>
      </c>
      <c r="F204" s="159" t="s">
        <v>5438</v>
      </c>
      <c r="G204" s="106">
        <v>10</v>
      </c>
      <c r="H204" s="106">
        <v>600</v>
      </c>
      <c r="I204" s="153">
        <f>_xlfn.XLOOKUP(E204,'All Products'!D:D,'All Products'!H:H)</f>
        <v>165.57</v>
      </c>
      <c r="J204" s="205">
        <f>ROUNDUP(I204*Order_Quote!$L$26,2)</f>
        <v>827.85</v>
      </c>
      <c r="K204" s="78"/>
      <c r="L204" s="116"/>
      <c r="M204" s="199">
        <f t="shared" si="3"/>
        <v>0</v>
      </c>
      <c r="O204" s="265" t="s">
        <v>76</v>
      </c>
      <c r="P204" s="265" t="s">
        <v>102</v>
      </c>
      <c r="Q204" s="265" t="s">
        <v>5439</v>
      </c>
      <c r="R204" s="265">
        <v>0</v>
      </c>
      <c r="S204" s="265" t="s">
        <v>5440</v>
      </c>
      <c r="T204" s="347">
        <v>1.9119999999999999</v>
      </c>
      <c r="U204" s="347">
        <v>20.18</v>
      </c>
      <c r="V204" s="348">
        <v>1.41</v>
      </c>
    </row>
    <row r="205" spans="1:22" ht="14.45" customHeight="1">
      <c r="A205" s="104" t="str">
        <f>IF(K205&gt;0,COUNT($A$8:A204)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5" s="112"/>
      <c r="C205" s="79"/>
      <c r="D205" s="158" t="s">
        <v>5441</v>
      </c>
      <c r="E205" s="106">
        <v>100024575</v>
      </c>
      <c r="F205" s="159" t="s">
        <v>5442</v>
      </c>
      <c r="G205" s="106">
        <v>10</v>
      </c>
      <c r="H205" s="106">
        <v>240</v>
      </c>
      <c r="I205" s="153">
        <f>_xlfn.XLOOKUP(E205,'All Products'!D:D,'All Products'!H:H)</f>
        <v>176.71</v>
      </c>
      <c r="J205" s="205">
        <f>ROUNDUP(I205*Order_Quote!$L$26,2)</f>
        <v>883.55</v>
      </c>
      <c r="K205" s="78"/>
      <c r="L205" s="116"/>
      <c r="M205" s="199">
        <f t="shared" si="3"/>
        <v>0</v>
      </c>
      <c r="O205" s="265" t="s">
        <v>359</v>
      </c>
      <c r="P205" s="265" t="s">
        <v>102</v>
      </c>
      <c r="Q205" s="265" t="s">
        <v>5443</v>
      </c>
      <c r="R205" s="265">
        <v>0</v>
      </c>
      <c r="S205" s="265" t="s">
        <v>5444</v>
      </c>
      <c r="T205" s="347">
        <v>2.1309999999999998</v>
      </c>
      <c r="U205" s="347">
        <v>23.15</v>
      </c>
      <c r="V205" s="348">
        <v>2.77</v>
      </c>
    </row>
    <row r="206" spans="1:22" ht="14.45" customHeight="1">
      <c r="A206" s="104" t="str">
        <f>IF(K206&gt;0,COUNT($A$8:A205)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6" s="112"/>
      <c r="C206" s="79"/>
      <c r="D206" s="158" t="s">
        <v>5445</v>
      </c>
      <c r="E206" s="106">
        <v>100025060</v>
      </c>
      <c r="F206" s="159" t="s">
        <v>5446</v>
      </c>
      <c r="G206" s="106">
        <v>10</v>
      </c>
      <c r="H206" s="106">
        <v>240</v>
      </c>
      <c r="I206" s="153">
        <f>_xlfn.XLOOKUP(E206,'All Products'!D:D,'All Products'!H:H)</f>
        <v>176.71</v>
      </c>
      <c r="J206" s="205">
        <f>ROUNDUP(I206*Order_Quote!$L$26,2)</f>
        <v>883.55</v>
      </c>
      <c r="K206" s="78"/>
      <c r="L206" s="116"/>
      <c r="M206" s="199">
        <f t="shared" si="3"/>
        <v>0</v>
      </c>
      <c r="O206" s="265" t="s">
        <v>76</v>
      </c>
      <c r="P206" s="265" t="s">
        <v>102</v>
      </c>
      <c r="Q206" s="265" t="s">
        <v>5447</v>
      </c>
      <c r="R206" s="265">
        <v>0</v>
      </c>
      <c r="S206" s="265" t="s">
        <v>5448</v>
      </c>
      <c r="T206" s="347">
        <v>2.2269999999999999</v>
      </c>
      <c r="U206" s="347">
        <v>24.4</v>
      </c>
      <c r="V206" s="348">
        <v>2.77</v>
      </c>
    </row>
    <row r="207" spans="1:22" ht="14.45" customHeight="1">
      <c r="A207" s="104" t="str">
        <f>IF(K207&gt;0,COUNT($A$8:A206)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7" s="112"/>
      <c r="C207" s="79"/>
      <c r="D207" s="158" t="s">
        <v>5449</v>
      </c>
      <c r="E207" s="106">
        <v>100024576</v>
      </c>
      <c r="F207" s="159" t="s">
        <v>5450</v>
      </c>
      <c r="G207" s="106">
        <v>10</v>
      </c>
      <c r="H207" s="106">
        <v>750</v>
      </c>
      <c r="I207" s="153">
        <f>_xlfn.XLOOKUP(E207,'All Products'!D:D,'All Products'!H:H)</f>
        <v>154.49</v>
      </c>
      <c r="J207" s="205">
        <f>ROUNDUP(I207*Order_Quote!$L$26,2)</f>
        <v>772.45</v>
      </c>
      <c r="K207" s="78"/>
      <c r="L207" s="116"/>
      <c r="M207" s="199">
        <f t="shared" si="3"/>
        <v>0</v>
      </c>
      <c r="O207" s="265" t="s">
        <v>359</v>
      </c>
      <c r="P207" s="265" t="s">
        <v>102</v>
      </c>
      <c r="Q207" s="265" t="s">
        <v>5451</v>
      </c>
      <c r="R207" s="265">
        <v>0</v>
      </c>
      <c r="S207" s="265" t="s">
        <v>5452</v>
      </c>
      <c r="T207" s="347">
        <v>1.591</v>
      </c>
      <c r="U207" s="347">
        <v>16.905000000000001</v>
      </c>
      <c r="V207" s="348">
        <v>1.1000000000000001</v>
      </c>
    </row>
    <row r="208" spans="1:22" ht="14.45" customHeight="1">
      <c r="A208" s="104" t="str">
        <f>IF(K208&gt;0,COUNT($A$8:A207)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8" s="112"/>
      <c r="C208" s="79"/>
      <c r="D208" s="158" t="s">
        <v>5453</v>
      </c>
      <c r="E208" s="106">
        <v>100025061</v>
      </c>
      <c r="F208" s="159" t="s">
        <v>5454</v>
      </c>
      <c r="G208" s="106">
        <v>10</v>
      </c>
      <c r="H208" s="106">
        <v>180</v>
      </c>
      <c r="I208" s="153">
        <f>_xlfn.XLOOKUP(E208,'All Products'!D:D,'All Products'!H:H)</f>
        <v>154.49</v>
      </c>
      <c r="J208" s="205">
        <f>ROUNDUP(I208*Order_Quote!$L$26,2)</f>
        <v>772.45</v>
      </c>
      <c r="K208" s="78"/>
      <c r="L208" s="116"/>
      <c r="M208" s="199">
        <f t="shared" si="3"/>
        <v>0</v>
      </c>
      <c r="O208" s="265" t="s">
        <v>359</v>
      </c>
      <c r="P208" s="265" t="s">
        <v>102</v>
      </c>
      <c r="Q208" s="265" t="s">
        <v>5455</v>
      </c>
      <c r="R208" s="265">
        <v>0</v>
      </c>
      <c r="S208" s="265" t="s">
        <v>5456</v>
      </c>
      <c r="T208" s="347">
        <v>1.7010000000000001</v>
      </c>
      <c r="U208" s="347">
        <v>35.6</v>
      </c>
      <c r="V208" s="348">
        <v>2.65</v>
      </c>
    </row>
    <row r="209" spans="1:22" ht="14.45" customHeight="1">
      <c r="A209" s="104" t="str">
        <f>IF(K209&gt;0,COUNT($A$8:A208)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09" s="112"/>
      <c r="C209" s="79"/>
      <c r="D209" s="158" t="s">
        <v>5457</v>
      </c>
      <c r="E209" s="106">
        <v>100024585</v>
      </c>
      <c r="F209" s="159" t="s">
        <v>5458</v>
      </c>
      <c r="G209" s="106">
        <v>10</v>
      </c>
      <c r="H209" s="106">
        <v>750</v>
      </c>
      <c r="I209" s="153">
        <f>_xlfn.XLOOKUP(E209,'All Products'!D:D,'All Products'!H:H)</f>
        <v>154.49</v>
      </c>
      <c r="J209" s="205">
        <f>ROUNDUP(I209*Order_Quote!$L$26,2)</f>
        <v>772.45</v>
      </c>
      <c r="K209" s="78"/>
      <c r="L209" s="116"/>
      <c r="M209" s="199">
        <f t="shared" si="3"/>
        <v>0</v>
      </c>
      <c r="O209" s="265" t="s">
        <v>359</v>
      </c>
      <c r="P209" s="265" t="s">
        <v>102</v>
      </c>
      <c r="Q209" s="265" t="s">
        <v>5459</v>
      </c>
      <c r="R209" s="265">
        <v>0</v>
      </c>
      <c r="S209" s="265" t="s">
        <v>5460</v>
      </c>
      <c r="T209" s="347">
        <v>1.79</v>
      </c>
      <c r="U209" s="347">
        <v>17.899999999999999</v>
      </c>
      <c r="V209" s="348">
        <v>1.1000000000000001</v>
      </c>
    </row>
    <row r="210" spans="1:22" ht="14.45" customHeight="1">
      <c r="A210" s="104" t="str">
        <f>IF(K210&gt;0,COUNT($A$8:A209)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0" s="112"/>
      <c r="C210" s="79"/>
      <c r="D210" s="158" t="s">
        <v>5461</v>
      </c>
      <c r="E210" s="106">
        <v>100024587</v>
      </c>
      <c r="F210" s="159" t="s">
        <v>5462</v>
      </c>
      <c r="G210" s="106">
        <v>10</v>
      </c>
      <c r="H210" s="106">
        <v>180</v>
      </c>
      <c r="I210" s="153">
        <f>_xlfn.XLOOKUP(E210,'All Products'!D:D,'All Products'!H:H)</f>
        <v>165.57</v>
      </c>
      <c r="J210" s="205">
        <f>ROUNDUP(I210*Order_Quote!$L$26,2)</f>
        <v>827.85</v>
      </c>
      <c r="K210" s="78"/>
      <c r="L210" s="116"/>
      <c r="M210" s="199">
        <f t="shared" si="3"/>
        <v>0</v>
      </c>
      <c r="O210" s="265" t="s">
        <v>359</v>
      </c>
      <c r="P210" s="265" t="s">
        <v>102</v>
      </c>
      <c r="Q210" s="265" t="s">
        <v>5463</v>
      </c>
      <c r="R210" s="265">
        <v>0</v>
      </c>
      <c r="S210" s="265" t="s">
        <v>5464</v>
      </c>
      <c r="T210" s="347">
        <v>1.907</v>
      </c>
      <c r="U210" s="347">
        <v>20</v>
      </c>
      <c r="V210" s="348">
        <v>2.65</v>
      </c>
    </row>
    <row r="211" spans="1:22" ht="14.45" customHeight="1">
      <c r="A211" s="104" t="str">
        <f>IF(K211&gt;0,COUNT($A$8:A210)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1" s="112"/>
      <c r="C211" s="79"/>
      <c r="D211" s="158" t="s">
        <v>5465</v>
      </c>
      <c r="E211" s="106">
        <v>100024588</v>
      </c>
      <c r="F211" s="159" t="s">
        <v>5466</v>
      </c>
      <c r="G211" s="106">
        <v>10</v>
      </c>
      <c r="H211" s="106" t="s">
        <v>2803</v>
      </c>
      <c r="I211" s="153">
        <f>_xlfn.XLOOKUP(E211,'All Products'!D:D,'All Products'!H:H)</f>
        <v>176.71</v>
      </c>
      <c r="J211" s="205">
        <f>ROUNDUP(I211*Order_Quote!$L$26,2)</f>
        <v>883.55</v>
      </c>
      <c r="K211" s="78"/>
      <c r="L211" s="116"/>
      <c r="M211" s="199">
        <f t="shared" si="3"/>
        <v>0</v>
      </c>
      <c r="O211" s="265" t="s">
        <v>359</v>
      </c>
      <c r="P211" s="265" t="s">
        <v>102</v>
      </c>
      <c r="Q211" s="265" t="s">
        <v>5467</v>
      </c>
      <c r="R211" s="265">
        <v>0</v>
      </c>
      <c r="S211" s="265" t="s">
        <v>5468</v>
      </c>
      <c r="T211" s="347">
        <v>2.222</v>
      </c>
      <c r="U211" s="347">
        <v>19.100000000000001</v>
      </c>
      <c r="V211" s="348">
        <v>0</v>
      </c>
    </row>
    <row r="212" spans="1:22" ht="14.45" customHeight="1">
      <c r="A212" s="104" t="str">
        <f>IF(K212&gt;0,COUNT($A$8:A211)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2" s="112"/>
      <c r="C212" s="79"/>
      <c r="D212" s="158" t="s">
        <v>5469</v>
      </c>
      <c r="E212" s="106">
        <v>100024591</v>
      </c>
      <c r="F212" s="159" t="s">
        <v>5470</v>
      </c>
      <c r="G212" s="106">
        <v>10</v>
      </c>
      <c r="H212" s="106">
        <v>600</v>
      </c>
      <c r="I212" s="153">
        <f>_xlfn.XLOOKUP(E212,'All Products'!D:D,'All Products'!H:H)</f>
        <v>165.57</v>
      </c>
      <c r="J212" s="205">
        <f>ROUNDUP(I212*Order_Quote!$L$26,2)</f>
        <v>827.85</v>
      </c>
      <c r="K212" s="78"/>
      <c r="L212" s="116"/>
      <c r="M212" s="199">
        <f t="shared" si="3"/>
        <v>0</v>
      </c>
      <c r="O212" s="265" t="s">
        <v>359</v>
      </c>
      <c r="P212" s="265" t="s">
        <v>102</v>
      </c>
      <c r="Q212" s="265" t="s">
        <v>5471</v>
      </c>
      <c r="R212" s="265">
        <v>0</v>
      </c>
      <c r="S212" s="265" t="s">
        <v>5472</v>
      </c>
      <c r="T212" s="347">
        <v>1.9830000000000001</v>
      </c>
      <c r="U212" s="347">
        <v>20.43</v>
      </c>
      <c r="V212" s="348">
        <v>1.41</v>
      </c>
    </row>
    <row r="213" spans="1:22" ht="14.45" customHeight="1">
      <c r="A213" s="104" t="str">
        <f>IF(K213&gt;0,COUNT($A$8:A212)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3" s="112"/>
      <c r="C213" s="79"/>
      <c r="D213" s="158" t="s">
        <v>5473</v>
      </c>
      <c r="E213" s="106">
        <v>100024598</v>
      </c>
      <c r="F213" s="159" t="s">
        <v>5474</v>
      </c>
      <c r="G213" s="106">
        <v>10</v>
      </c>
      <c r="H213" s="106">
        <v>180</v>
      </c>
      <c r="I213" s="153">
        <f>_xlfn.XLOOKUP(E213,'All Products'!D:D,'All Products'!H:H)</f>
        <v>165.57</v>
      </c>
      <c r="J213" s="205">
        <f>ROUNDUP(I213*Order_Quote!$L$26,2)</f>
        <v>827.85</v>
      </c>
      <c r="K213" s="78"/>
      <c r="L213" s="116"/>
      <c r="M213" s="199">
        <f t="shared" si="3"/>
        <v>0</v>
      </c>
      <c r="O213" s="265" t="s">
        <v>359</v>
      </c>
      <c r="P213" s="265" t="s">
        <v>102</v>
      </c>
      <c r="Q213" s="265" t="s">
        <v>5475</v>
      </c>
      <c r="R213" s="265">
        <v>0</v>
      </c>
      <c r="S213" s="265" t="s">
        <v>5476</v>
      </c>
      <c r="T213" s="347">
        <v>1.9279999999999999</v>
      </c>
      <c r="U213" s="347">
        <v>20.260000000000002</v>
      </c>
      <c r="V213" s="348">
        <v>2.65</v>
      </c>
    </row>
    <row r="214" spans="1:22" ht="14.45" customHeight="1">
      <c r="A214" s="104" t="str">
        <f>IF(K214&gt;0,COUNT($A$8:A213)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4" s="112"/>
      <c r="C214" s="79"/>
      <c r="D214" s="158" t="s">
        <v>5477</v>
      </c>
      <c r="E214" s="106">
        <v>100025063</v>
      </c>
      <c r="F214" s="159" t="s">
        <v>5478</v>
      </c>
      <c r="G214" s="106">
        <v>10</v>
      </c>
      <c r="H214" s="106">
        <v>600</v>
      </c>
      <c r="I214" s="153">
        <f>_xlfn.XLOOKUP(E214,'All Products'!D:D,'All Products'!H:H)</f>
        <v>165.57</v>
      </c>
      <c r="J214" s="205">
        <f>ROUNDUP(I214*Order_Quote!$L$26,2)</f>
        <v>827.85</v>
      </c>
      <c r="K214" s="78"/>
      <c r="L214" s="116"/>
      <c r="M214" s="199">
        <f t="shared" si="3"/>
        <v>0</v>
      </c>
      <c r="O214" s="265" t="s">
        <v>359</v>
      </c>
      <c r="P214" s="265" t="s">
        <v>102</v>
      </c>
      <c r="Q214" s="265" t="s">
        <v>5479</v>
      </c>
      <c r="R214" s="265">
        <v>0</v>
      </c>
      <c r="S214" s="265" t="s">
        <v>5480</v>
      </c>
      <c r="T214" s="347">
        <v>2.0190000000000001</v>
      </c>
      <c r="U214" s="347">
        <v>20.53</v>
      </c>
      <c r="V214" s="348">
        <v>1.41</v>
      </c>
    </row>
    <row r="215" spans="1:22" ht="14.45" customHeight="1">
      <c r="A215" s="104" t="str">
        <f>IF(K215&gt;0,COUNT($A$8:A214)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5" s="113"/>
      <c r="C215" s="114"/>
      <c r="D215" s="158" t="s">
        <v>5481</v>
      </c>
      <c r="E215" s="106">
        <v>100024606</v>
      </c>
      <c r="F215" s="159" t="s">
        <v>5482</v>
      </c>
      <c r="G215" s="106">
        <v>10</v>
      </c>
      <c r="H215" s="106">
        <v>600</v>
      </c>
      <c r="I215" s="153">
        <f>_xlfn.XLOOKUP(E215,'All Products'!D:D,'All Products'!H:H)</f>
        <v>165.57</v>
      </c>
      <c r="J215" s="205">
        <f>ROUNDUP(I215*Order_Quote!$L$26,2)</f>
        <v>827.85</v>
      </c>
      <c r="K215" s="78"/>
      <c r="L215" s="292"/>
      <c r="M215" s="199">
        <f t="shared" si="3"/>
        <v>0</v>
      </c>
      <c r="O215" s="265" t="s">
        <v>359</v>
      </c>
      <c r="P215" s="265" t="s">
        <v>102</v>
      </c>
      <c r="Q215" s="265" t="s">
        <v>5483</v>
      </c>
      <c r="R215" s="265">
        <v>0</v>
      </c>
      <c r="S215" s="265" t="s">
        <v>5484</v>
      </c>
      <c r="T215" s="347">
        <v>1.958</v>
      </c>
      <c r="U215" s="347">
        <v>20.58</v>
      </c>
      <c r="V215" s="348">
        <v>1.41</v>
      </c>
    </row>
    <row r="216" spans="1:22" ht="25.5" customHeight="1">
      <c r="A216" s="104" t="str">
        <f>IF(K216&gt;0,COUNT($A$8:A215)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6" s="242" t="s">
        <v>5485</v>
      </c>
      <c r="C216" s="44"/>
      <c r="D216" s="44"/>
      <c r="E216" s="44"/>
      <c r="F216" s="44"/>
      <c r="G216" s="44"/>
      <c r="H216" s="44"/>
      <c r="I216" s="245">
        <f>_xlfn.XLOOKUP(E216,'All Products'!D:D,'All Products'!H:H)</f>
        <v>0</v>
      </c>
      <c r="J216" s="245">
        <f>ROUNDUP(I216*Order_Quote!$L$26,2)</f>
        <v>0</v>
      </c>
      <c r="K216" s="246"/>
      <c r="L216" s="243"/>
      <c r="M216" s="157"/>
      <c r="O216" s="44"/>
      <c r="P216" s="44"/>
    </row>
    <row r="217" spans="1:22" ht="14.45" customHeight="1">
      <c r="A217" s="104" t="str">
        <f>IF(K217&gt;0,COUNT($A$8:A216)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7" s="110"/>
      <c r="C217" s="111"/>
      <c r="D217" s="158" t="s">
        <v>5486</v>
      </c>
      <c r="E217" s="106">
        <v>100023783</v>
      </c>
      <c r="F217" s="159" t="s">
        <v>5487</v>
      </c>
      <c r="G217" s="106">
        <v>10</v>
      </c>
      <c r="H217" s="106">
        <v>1200</v>
      </c>
      <c r="I217" s="153">
        <f>_xlfn.XLOOKUP(E217,'All Products'!D:D,'All Products'!H:H)</f>
        <v>85.85</v>
      </c>
      <c r="J217" s="205">
        <f>ROUNDUP(I217*Order_Quote!$L$26,2)</f>
        <v>429.25</v>
      </c>
      <c r="K217" s="78"/>
      <c r="L217" s="291"/>
      <c r="M217" s="199">
        <f t="shared" ref="M217:M256" si="4">K217/G217</f>
        <v>0</v>
      </c>
      <c r="O217" s="265" t="s">
        <v>359</v>
      </c>
      <c r="P217" s="265" t="s">
        <v>102</v>
      </c>
      <c r="Q217" s="265" t="s">
        <v>5488</v>
      </c>
      <c r="R217" s="265">
        <v>0</v>
      </c>
      <c r="S217" s="265" t="s">
        <v>5489</v>
      </c>
      <c r="T217" s="347">
        <v>0.82199999999999995</v>
      </c>
      <c r="U217" s="347">
        <v>8.6</v>
      </c>
      <c r="V217" s="348">
        <v>0.65</v>
      </c>
    </row>
    <row r="218" spans="1:22" ht="14.45" customHeight="1">
      <c r="A218" s="104" t="str">
        <f>IF(K218&gt;0,COUNT($A$8:A217)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8" s="112"/>
      <c r="C218" s="79"/>
      <c r="D218" s="158" t="s">
        <v>5490</v>
      </c>
      <c r="E218" s="106">
        <v>100024877</v>
      </c>
      <c r="F218" s="159" t="s">
        <v>5491</v>
      </c>
      <c r="G218" s="106">
        <v>10</v>
      </c>
      <c r="H218" s="106">
        <v>900</v>
      </c>
      <c r="I218" s="153">
        <f>_xlfn.XLOOKUP(E218,'All Products'!D:D,'All Products'!H:H)</f>
        <v>93.54</v>
      </c>
      <c r="J218" s="205">
        <f>ROUNDUP(I218*Order_Quote!$L$26,2)</f>
        <v>467.7</v>
      </c>
      <c r="K218" s="78"/>
      <c r="L218" s="116"/>
      <c r="M218" s="199">
        <f t="shared" si="4"/>
        <v>0</v>
      </c>
      <c r="O218" s="265" t="s">
        <v>76</v>
      </c>
      <c r="P218" s="265" t="s">
        <v>102</v>
      </c>
      <c r="Q218" s="265" t="s">
        <v>5492</v>
      </c>
      <c r="R218" s="265">
        <v>0</v>
      </c>
      <c r="S218" s="265" t="s">
        <v>5493</v>
      </c>
      <c r="T218" s="347">
        <v>0.99199999999999999</v>
      </c>
      <c r="U218" s="347">
        <v>10.23</v>
      </c>
      <c r="V218" s="348">
        <v>0.8</v>
      </c>
    </row>
    <row r="219" spans="1:22" ht="14.45" customHeight="1">
      <c r="A219" s="104" t="str">
        <f>IF(K219&gt;0,COUNT($A$8:A218)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19" s="112"/>
      <c r="C219" s="79"/>
      <c r="D219" s="158" t="s">
        <v>5494</v>
      </c>
      <c r="E219" s="106">
        <v>100024878</v>
      </c>
      <c r="F219" s="159" t="s">
        <v>5495</v>
      </c>
      <c r="G219" s="106">
        <v>10</v>
      </c>
      <c r="H219" s="106">
        <v>600</v>
      </c>
      <c r="I219" s="153">
        <f>_xlfn.XLOOKUP(E219,'All Products'!D:D,'All Products'!H:H)</f>
        <v>104.64</v>
      </c>
      <c r="J219" s="205">
        <f>ROUNDUP(I219*Order_Quote!$L$26,2)</f>
        <v>523.20000000000005</v>
      </c>
      <c r="K219" s="78"/>
      <c r="L219" s="116"/>
      <c r="M219" s="199">
        <f t="shared" si="4"/>
        <v>0</v>
      </c>
      <c r="O219" s="265" t="s">
        <v>359</v>
      </c>
      <c r="P219" s="265" t="s">
        <v>102</v>
      </c>
      <c r="Q219" s="265" t="s">
        <v>5496</v>
      </c>
      <c r="R219" s="265">
        <v>0</v>
      </c>
      <c r="S219" s="265" t="s">
        <v>5497</v>
      </c>
      <c r="T219" s="347">
        <v>1.171</v>
      </c>
      <c r="U219" s="347">
        <v>12.13</v>
      </c>
      <c r="V219" s="348">
        <v>1.41</v>
      </c>
    </row>
    <row r="220" spans="1:22" ht="14.45" customHeight="1">
      <c r="A220" s="104" t="str">
        <f>IF(K220&gt;0,COUNT($A$8:A219)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0" s="112"/>
      <c r="C220" s="79"/>
      <c r="D220" s="158" t="s">
        <v>5498</v>
      </c>
      <c r="E220" s="106">
        <v>100023822</v>
      </c>
      <c r="F220" s="159" t="s">
        <v>5499</v>
      </c>
      <c r="G220" s="106">
        <v>10</v>
      </c>
      <c r="H220" s="106">
        <v>900</v>
      </c>
      <c r="I220" s="153">
        <f>_xlfn.XLOOKUP(E220,'All Products'!D:D,'All Products'!H:H)</f>
        <v>93.54</v>
      </c>
      <c r="J220" s="205">
        <f>ROUNDUP(I220*Order_Quote!$L$26,2)</f>
        <v>467.7</v>
      </c>
      <c r="K220" s="78"/>
      <c r="L220" s="116"/>
      <c r="M220" s="199">
        <f t="shared" si="4"/>
        <v>0</v>
      </c>
      <c r="O220" s="265" t="s">
        <v>359</v>
      </c>
      <c r="P220" s="265" t="s">
        <v>102</v>
      </c>
      <c r="Q220" s="265" t="s">
        <v>5500</v>
      </c>
      <c r="R220" s="265">
        <v>0</v>
      </c>
      <c r="S220" s="265" t="s">
        <v>5501</v>
      </c>
      <c r="T220" s="347">
        <v>1.0349999999999999</v>
      </c>
      <c r="U220" s="347">
        <v>9.3000000000000007</v>
      </c>
      <c r="V220" s="348">
        <v>0.8</v>
      </c>
    </row>
    <row r="221" spans="1:22" ht="14.45" customHeight="1">
      <c r="A221" s="104" t="str">
        <f>IF(K221&gt;0,COUNT($A$8:A220)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1" s="112"/>
      <c r="C221" s="79"/>
      <c r="D221" s="158" t="s">
        <v>5502</v>
      </c>
      <c r="E221" s="106">
        <v>100024897</v>
      </c>
      <c r="F221" s="159" t="s">
        <v>5503</v>
      </c>
      <c r="G221" s="106">
        <v>10</v>
      </c>
      <c r="H221" s="106">
        <v>900</v>
      </c>
      <c r="I221" s="153">
        <f>_xlfn.XLOOKUP(E221,'All Products'!D:D,'All Products'!H:H)</f>
        <v>93.54</v>
      </c>
      <c r="J221" s="205">
        <f>ROUNDUP(I221*Order_Quote!$L$26,2)</f>
        <v>467.7</v>
      </c>
      <c r="K221" s="78"/>
      <c r="L221" s="116"/>
      <c r="M221" s="199">
        <f t="shared" si="4"/>
        <v>0</v>
      </c>
      <c r="O221" s="265" t="s">
        <v>359</v>
      </c>
      <c r="P221" s="265" t="s">
        <v>102</v>
      </c>
      <c r="Q221" s="265" t="s">
        <v>5504</v>
      </c>
      <c r="R221" s="265">
        <v>0</v>
      </c>
      <c r="S221" s="265" t="s">
        <v>5505</v>
      </c>
      <c r="T221" s="347">
        <v>0.97299999999999998</v>
      </c>
      <c r="U221" s="347">
        <v>10</v>
      </c>
      <c r="V221" s="348">
        <v>0.8</v>
      </c>
    </row>
    <row r="222" spans="1:22" ht="14.45" customHeight="1">
      <c r="A222" s="104" t="str">
        <f>IF(K222&gt;0,COUNT($A$8:A221)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2" s="112"/>
      <c r="C222" s="79"/>
      <c r="D222" s="158" t="s">
        <v>5506</v>
      </c>
      <c r="E222" s="106">
        <v>100023858</v>
      </c>
      <c r="F222" s="159" t="s">
        <v>4687</v>
      </c>
      <c r="G222" s="106">
        <v>10</v>
      </c>
      <c r="H222" s="106">
        <v>600</v>
      </c>
      <c r="I222" s="153">
        <f>_xlfn.XLOOKUP(E222,'All Products'!D:D,'All Products'!H:H)</f>
        <v>104.64</v>
      </c>
      <c r="J222" s="205">
        <f>ROUNDUP(I222*Order_Quote!$L$26,2)</f>
        <v>523.20000000000005</v>
      </c>
      <c r="K222" s="78"/>
      <c r="L222" s="116"/>
      <c r="M222" s="199">
        <f t="shared" si="4"/>
        <v>0</v>
      </c>
      <c r="O222" s="265" t="s">
        <v>359</v>
      </c>
      <c r="P222" s="265" t="s">
        <v>102</v>
      </c>
      <c r="Q222" s="265" t="s">
        <v>5507</v>
      </c>
      <c r="R222" s="265">
        <v>0</v>
      </c>
      <c r="S222" s="265" t="s">
        <v>5508</v>
      </c>
      <c r="T222" s="347">
        <v>1.1519999999999999</v>
      </c>
      <c r="U222" s="347">
        <v>12.13</v>
      </c>
      <c r="V222" s="348">
        <v>1.41</v>
      </c>
    </row>
    <row r="223" spans="1:22" ht="14.45" customHeight="1">
      <c r="A223" s="104" t="str">
        <f>IF(K223&gt;0,COUNT($A$8:A222)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3" s="112"/>
      <c r="C223" s="79"/>
      <c r="D223" s="158" t="s">
        <v>5509</v>
      </c>
      <c r="E223" s="106">
        <v>100024904</v>
      </c>
      <c r="F223" s="159" t="s">
        <v>5510</v>
      </c>
      <c r="G223" s="106">
        <v>10</v>
      </c>
      <c r="H223" s="106">
        <v>750</v>
      </c>
      <c r="I223" s="153">
        <f>_xlfn.XLOOKUP(E223,'All Products'!D:D,'All Products'!H:H)</f>
        <v>191.49</v>
      </c>
      <c r="J223" s="205">
        <f>ROUNDUP(I223*Order_Quote!$L$26,2)</f>
        <v>957.45</v>
      </c>
      <c r="K223" s="78"/>
      <c r="L223" s="116"/>
      <c r="M223" s="199">
        <f t="shared" si="4"/>
        <v>0</v>
      </c>
      <c r="O223" s="265" t="s">
        <v>359</v>
      </c>
      <c r="P223" s="265" t="s">
        <v>102</v>
      </c>
      <c r="Q223" s="265" t="s">
        <v>5511</v>
      </c>
      <c r="R223" s="265">
        <v>0</v>
      </c>
      <c r="S223" s="265" t="s">
        <v>5512</v>
      </c>
      <c r="T223" s="347">
        <v>1.643</v>
      </c>
      <c r="U223" s="347">
        <v>17.309999999999999</v>
      </c>
      <c r="V223" s="348">
        <v>1.1000000000000001</v>
      </c>
    </row>
    <row r="224" spans="1:22" ht="14.45" customHeight="1">
      <c r="A224" s="104" t="str">
        <f>IF(K224&gt;0,COUNT($A$8:A223)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4" s="112"/>
      <c r="C224" s="79"/>
      <c r="D224" s="158" t="s">
        <v>5513</v>
      </c>
      <c r="E224" s="106">
        <v>100024905</v>
      </c>
      <c r="F224" s="159" t="s">
        <v>5514</v>
      </c>
      <c r="G224" s="106">
        <v>10</v>
      </c>
      <c r="H224" s="106">
        <v>240</v>
      </c>
      <c r="I224" s="153">
        <f>_xlfn.XLOOKUP(E224,'All Products'!D:D,'All Products'!H:H)</f>
        <v>198.47</v>
      </c>
      <c r="J224" s="205">
        <f>ROUNDUP(I224*Order_Quote!$L$26,2)</f>
        <v>992.35</v>
      </c>
      <c r="K224" s="78"/>
      <c r="L224" s="116"/>
      <c r="M224" s="199">
        <f t="shared" si="4"/>
        <v>0</v>
      </c>
      <c r="O224" s="265" t="s">
        <v>359</v>
      </c>
      <c r="P224" s="265" t="s">
        <v>102</v>
      </c>
      <c r="Q224" s="265" t="s">
        <v>5515</v>
      </c>
      <c r="R224" s="265">
        <v>0</v>
      </c>
      <c r="S224" s="265" t="s">
        <v>5516</v>
      </c>
      <c r="T224" s="347">
        <v>1.8220000000000001</v>
      </c>
      <c r="U224" s="347">
        <v>20.350000000000001</v>
      </c>
      <c r="V224" s="348">
        <v>2.77</v>
      </c>
    </row>
    <row r="225" spans="1:22" ht="14.45" customHeight="1">
      <c r="A225" s="104" t="str">
        <f>IF(K225&gt;0,COUNT($A$8:A224)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5" s="112"/>
      <c r="C225" s="79"/>
      <c r="D225" s="158" t="s">
        <v>5517</v>
      </c>
      <c r="E225" s="106">
        <v>100023960</v>
      </c>
      <c r="F225" s="159" t="s">
        <v>5046</v>
      </c>
      <c r="G225" s="106">
        <v>10</v>
      </c>
      <c r="H225" s="106">
        <v>900</v>
      </c>
      <c r="I225" s="153">
        <f>_xlfn.XLOOKUP(E225,'All Products'!D:D,'All Products'!H:H)</f>
        <v>93.54</v>
      </c>
      <c r="J225" s="205">
        <f>ROUNDUP(I225*Order_Quote!$L$26,2)</f>
        <v>467.7</v>
      </c>
      <c r="K225" s="78"/>
      <c r="L225" s="116"/>
      <c r="M225" s="199">
        <f t="shared" si="4"/>
        <v>0</v>
      </c>
      <c r="O225" s="265" t="s">
        <v>359</v>
      </c>
      <c r="P225" s="265" t="s">
        <v>102</v>
      </c>
      <c r="Q225" s="265" t="s">
        <v>5518</v>
      </c>
      <c r="R225" s="265">
        <v>0</v>
      </c>
      <c r="S225" s="265" t="s">
        <v>5519</v>
      </c>
      <c r="T225" s="347">
        <v>1.0349999999999999</v>
      </c>
      <c r="U225" s="347">
        <v>10.199999999999999</v>
      </c>
      <c r="V225" s="348">
        <v>0.8</v>
      </c>
    </row>
    <row r="226" spans="1:22" ht="14.45" customHeight="1">
      <c r="A226" s="104" t="str">
        <f>IF(K226&gt;0,COUNT($A$8:A225)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6" s="112"/>
      <c r="C226" s="79"/>
      <c r="D226" s="158" t="s">
        <v>5520</v>
      </c>
      <c r="E226" s="106">
        <v>100024918</v>
      </c>
      <c r="F226" s="159" t="s">
        <v>5521</v>
      </c>
      <c r="G226" s="106">
        <v>10</v>
      </c>
      <c r="H226" s="106">
        <v>900</v>
      </c>
      <c r="I226" s="153">
        <f>_xlfn.XLOOKUP(E226,'All Products'!D:D,'All Products'!H:H)</f>
        <v>93.54</v>
      </c>
      <c r="J226" s="205">
        <f>ROUNDUP(I226*Order_Quote!$L$26,2)</f>
        <v>467.7</v>
      </c>
      <c r="K226" s="78"/>
      <c r="L226" s="116"/>
      <c r="M226" s="199">
        <f t="shared" si="4"/>
        <v>0</v>
      </c>
      <c r="O226" s="265" t="s">
        <v>76</v>
      </c>
      <c r="P226" s="265" t="s">
        <v>102</v>
      </c>
      <c r="Q226" s="265" t="s">
        <v>5522</v>
      </c>
      <c r="R226" s="265">
        <v>0</v>
      </c>
      <c r="S226" s="265" t="s">
        <v>5523</v>
      </c>
      <c r="T226" s="347">
        <v>1.0349999999999999</v>
      </c>
      <c r="U226" s="347">
        <v>10.97</v>
      </c>
      <c r="V226" s="348">
        <v>0.8</v>
      </c>
    </row>
    <row r="227" spans="1:22" ht="14.45" customHeight="1">
      <c r="A227" s="104" t="str">
        <f>IF(K227&gt;0,COUNT($A$8:A226)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7" s="112"/>
      <c r="C227" s="79"/>
      <c r="D227" s="158" t="s">
        <v>5524</v>
      </c>
      <c r="E227" s="106">
        <v>100024919</v>
      </c>
      <c r="F227" s="159" t="s">
        <v>5050</v>
      </c>
      <c r="G227" s="106">
        <v>10</v>
      </c>
      <c r="H227" s="106">
        <v>600</v>
      </c>
      <c r="I227" s="153">
        <f>_xlfn.XLOOKUP(E227,'All Products'!D:D,'All Products'!H:H)</f>
        <v>104.64</v>
      </c>
      <c r="J227" s="205">
        <f>ROUNDUP(I227*Order_Quote!$L$26,2)</f>
        <v>523.20000000000005</v>
      </c>
      <c r="K227" s="78"/>
      <c r="L227" s="116"/>
      <c r="M227" s="199">
        <f t="shared" si="4"/>
        <v>0</v>
      </c>
      <c r="O227" s="265" t="s">
        <v>359</v>
      </c>
      <c r="P227" s="265" t="s">
        <v>102</v>
      </c>
      <c r="Q227" s="265" t="s">
        <v>5525</v>
      </c>
      <c r="R227" s="265">
        <v>0</v>
      </c>
      <c r="S227" s="265" t="s">
        <v>5526</v>
      </c>
      <c r="T227" s="347">
        <v>1.214</v>
      </c>
      <c r="U227" s="347">
        <v>13</v>
      </c>
      <c r="V227" s="348">
        <v>1.41</v>
      </c>
    </row>
    <row r="228" spans="1:22" ht="14.45" customHeight="1">
      <c r="A228" s="104" t="str">
        <f>IF(K228&gt;0,COUNT($A$8:A227)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8" s="112"/>
      <c r="C228" s="79"/>
      <c r="D228" s="158" t="s">
        <v>5527</v>
      </c>
      <c r="E228" s="106">
        <v>100024005</v>
      </c>
      <c r="F228" s="159" t="s">
        <v>5528</v>
      </c>
      <c r="G228" s="106">
        <v>10</v>
      </c>
      <c r="H228" s="106">
        <v>1200</v>
      </c>
      <c r="I228" s="153">
        <f>_xlfn.XLOOKUP(E228,'All Products'!D:D,'All Products'!H:H)</f>
        <v>85.85</v>
      </c>
      <c r="J228" s="205">
        <f>ROUNDUP(I228*Order_Quote!$L$26,2)</f>
        <v>429.25</v>
      </c>
      <c r="K228" s="78"/>
      <c r="L228" s="116"/>
      <c r="M228" s="199">
        <f t="shared" si="4"/>
        <v>0</v>
      </c>
      <c r="O228" s="265" t="s">
        <v>359</v>
      </c>
      <c r="P228" s="265" t="s">
        <v>102</v>
      </c>
      <c r="Q228" s="265" t="s">
        <v>5529</v>
      </c>
      <c r="R228" s="265">
        <v>0</v>
      </c>
      <c r="S228" s="265" t="s">
        <v>5530</v>
      </c>
      <c r="T228" s="347">
        <v>0.88200000000000001</v>
      </c>
      <c r="U228" s="347">
        <v>8.6999999999999993</v>
      </c>
      <c r="V228" s="348">
        <v>0.65</v>
      </c>
    </row>
    <row r="229" spans="1:22" ht="14.45" customHeight="1">
      <c r="A229" s="104" t="str">
        <f>IF(K229&gt;0,COUNT($A$8:A228)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29" s="112"/>
      <c r="C229" s="79"/>
      <c r="D229" s="158" t="s">
        <v>5531</v>
      </c>
      <c r="E229" s="106">
        <v>100024920</v>
      </c>
      <c r="F229" s="159" t="s">
        <v>5532</v>
      </c>
      <c r="G229" s="106">
        <v>10</v>
      </c>
      <c r="H229" s="106">
        <v>900</v>
      </c>
      <c r="I229" s="153">
        <f>_xlfn.XLOOKUP(E229,'All Products'!D:D,'All Products'!H:H)</f>
        <v>93.54</v>
      </c>
      <c r="J229" s="205">
        <f>ROUNDUP(I229*Order_Quote!$L$26,2)</f>
        <v>467.7</v>
      </c>
      <c r="K229" s="78"/>
      <c r="L229" s="116"/>
      <c r="M229" s="199">
        <f t="shared" si="4"/>
        <v>0</v>
      </c>
      <c r="O229" s="265" t="s">
        <v>359</v>
      </c>
      <c r="P229" s="265" t="s">
        <v>102</v>
      </c>
      <c r="Q229" s="265" t="s">
        <v>5533</v>
      </c>
      <c r="R229" s="265">
        <v>0</v>
      </c>
      <c r="S229" s="265" t="s">
        <v>5534</v>
      </c>
      <c r="T229" s="347">
        <v>1.0149999999999999</v>
      </c>
      <c r="U229" s="347">
        <v>10.199999999999999</v>
      </c>
      <c r="V229" s="348">
        <v>0.8</v>
      </c>
    </row>
    <row r="230" spans="1:22" ht="14.45" customHeight="1">
      <c r="A230" s="104" t="str">
        <f>IF(K230&gt;0,COUNT($A$8:A229)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0" s="112"/>
      <c r="C230" s="79"/>
      <c r="D230" s="158" t="s">
        <v>5535</v>
      </c>
      <c r="E230" s="106">
        <v>100024009</v>
      </c>
      <c r="F230" s="159" t="s">
        <v>5536</v>
      </c>
      <c r="G230" s="106">
        <v>10</v>
      </c>
      <c r="H230" s="106">
        <v>600</v>
      </c>
      <c r="I230" s="153">
        <f>_xlfn.XLOOKUP(E230,'All Products'!D:D,'All Products'!H:H)</f>
        <v>104.64</v>
      </c>
      <c r="J230" s="205">
        <f>ROUNDUP(I230*Order_Quote!$L$26,2)</f>
        <v>523.20000000000005</v>
      </c>
      <c r="K230" s="78"/>
      <c r="L230" s="116"/>
      <c r="M230" s="199">
        <f t="shared" si="4"/>
        <v>0</v>
      </c>
      <c r="O230" s="265" t="s">
        <v>76</v>
      </c>
      <c r="P230" s="265" t="s">
        <v>102</v>
      </c>
      <c r="Q230" s="265" t="s">
        <v>5537</v>
      </c>
      <c r="R230" s="265">
        <v>0</v>
      </c>
      <c r="S230" s="265" t="s">
        <v>5538</v>
      </c>
      <c r="T230" s="347">
        <v>1.194</v>
      </c>
      <c r="U230" s="347">
        <v>12.33</v>
      </c>
      <c r="V230" s="348">
        <v>1.41</v>
      </c>
    </row>
    <row r="231" spans="1:22" ht="14.45" customHeight="1">
      <c r="A231" s="104" t="str">
        <f>IF(K231&gt;0,COUNT($A$8:A230)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1" s="112"/>
      <c r="C231" s="79"/>
      <c r="D231" s="158" t="s">
        <v>5539</v>
      </c>
      <c r="E231" s="106">
        <v>100024921</v>
      </c>
      <c r="F231" s="159" t="s">
        <v>5540</v>
      </c>
      <c r="G231" s="106">
        <v>10</v>
      </c>
      <c r="H231" s="106">
        <v>750</v>
      </c>
      <c r="I231" s="153">
        <f>_xlfn.XLOOKUP(E231,'All Products'!D:D,'All Products'!H:H)</f>
        <v>191.49</v>
      </c>
      <c r="J231" s="205">
        <f>ROUNDUP(I231*Order_Quote!$L$26,2)</f>
        <v>957.45</v>
      </c>
      <c r="K231" s="78"/>
      <c r="L231" s="116"/>
      <c r="M231" s="199">
        <f t="shared" si="4"/>
        <v>0</v>
      </c>
      <c r="O231" s="265" t="s">
        <v>359</v>
      </c>
      <c r="P231" s="265" t="s">
        <v>102</v>
      </c>
      <c r="Q231" s="265" t="s">
        <v>5541</v>
      </c>
      <c r="R231" s="265">
        <v>0</v>
      </c>
      <c r="S231" s="265" t="s">
        <v>5542</v>
      </c>
      <c r="T231" s="347">
        <v>1.6850000000000001</v>
      </c>
      <c r="U231" s="347">
        <v>17.510000000000002</v>
      </c>
      <c r="V231" s="348">
        <v>1.1000000000000001</v>
      </c>
    </row>
    <row r="232" spans="1:22" ht="14.45" customHeight="1">
      <c r="A232" s="104" t="str">
        <f>IF(K232&gt;0,COUNT($A$8:A231)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2" s="112"/>
      <c r="C232" s="79"/>
      <c r="D232" s="158" t="s">
        <v>5543</v>
      </c>
      <c r="E232" s="106">
        <v>100024922</v>
      </c>
      <c r="F232" s="159" t="s">
        <v>5544</v>
      </c>
      <c r="G232" s="106">
        <v>10</v>
      </c>
      <c r="H232" s="106">
        <v>240</v>
      </c>
      <c r="I232" s="153">
        <f>_xlfn.XLOOKUP(E232,'All Products'!D:D,'All Products'!H:H)</f>
        <v>198.47</v>
      </c>
      <c r="J232" s="205">
        <f>ROUNDUP(I232*Order_Quote!$L$26,2)</f>
        <v>992.35</v>
      </c>
      <c r="K232" s="78"/>
      <c r="L232" s="116"/>
      <c r="M232" s="199">
        <f t="shared" si="4"/>
        <v>0</v>
      </c>
      <c r="O232" s="265" t="s">
        <v>359</v>
      </c>
      <c r="P232" s="265" t="s">
        <v>102</v>
      </c>
      <c r="Q232" s="265" t="s">
        <v>5545</v>
      </c>
      <c r="R232" s="265">
        <v>0</v>
      </c>
      <c r="S232" s="265" t="s">
        <v>5546</v>
      </c>
      <c r="T232" s="347">
        <v>1.8640000000000001</v>
      </c>
      <c r="U232" s="347">
        <v>20.55</v>
      </c>
      <c r="V232" s="348">
        <v>2.77</v>
      </c>
    </row>
    <row r="233" spans="1:22" ht="14.45" customHeight="1">
      <c r="A233" s="104" t="str">
        <f>IF(K233&gt;0,COUNT($A$8:A232)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3" s="112"/>
      <c r="C233" s="79"/>
      <c r="D233" s="158" t="s">
        <v>5547</v>
      </c>
      <c r="E233" s="106">
        <v>100024257</v>
      </c>
      <c r="F233" s="159" t="s">
        <v>5548</v>
      </c>
      <c r="G233" s="106">
        <v>10</v>
      </c>
      <c r="H233" s="106">
        <v>750</v>
      </c>
      <c r="I233" s="153">
        <f>_xlfn.XLOOKUP(E233,'All Products'!D:D,'All Products'!H:H)</f>
        <v>129.27000000000001</v>
      </c>
      <c r="J233" s="205">
        <f>ROUNDUP(I233*Order_Quote!$L$26,2)</f>
        <v>646.35</v>
      </c>
      <c r="K233" s="78"/>
      <c r="L233" s="116"/>
      <c r="M233" s="199">
        <f t="shared" si="4"/>
        <v>0</v>
      </c>
      <c r="O233" s="265" t="s">
        <v>359</v>
      </c>
      <c r="P233" s="265" t="s">
        <v>102</v>
      </c>
      <c r="Q233" s="265" t="s">
        <v>5549</v>
      </c>
      <c r="R233" s="265">
        <v>0</v>
      </c>
      <c r="S233" s="265" t="s">
        <v>5550</v>
      </c>
      <c r="T233" s="347">
        <v>1.423</v>
      </c>
      <c r="U233" s="347">
        <v>13.1</v>
      </c>
      <c r="V233" s="348">
        <v>1.1000000000000001</v>
      </c>
    </row>
    <row r="234" spans="1:22" ht="14.45" customHeight="1">
      <c r="A234" s="104" t="str">
        <f>IF(K234&gt;0,COUNT($A$8:A233)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4" s="112"/>
      <c r="C234" s="79"/>
      <c r="D234" s="158" t="s">
        <v>5551</v>
      </c>
      <c r="E234" s="106">
        <v>100024262</v>
      </c>
      <c r="F234" s="159" t="s">
        <v>5552</v>
      </c>
      <c r="G234" s="106">
        <v>10</v>
      </c>
      <c r="H234" s="106">
        <v>750</v>
      </c>
      <c r="I234" s="153">
        <f>_xlfn.XLOOKUP(E234,'All Products'!D:D,'All Products'!H:H)</f>
        <v>129.27000000000001</v>
      </c>
      <c r="J234" s="205">
        <f>ROUNDUP(I234*Order_Quote!$L$26,2)</f>
        <v>646.35</v>
      </c>
      <c r="K234" s="78"/>
      <c r="L234" s="116"/>
      <c r="M234" s="199">
        <f t="shared" si="4"/>
        <v>0</v>
      </c>
      <c r="O234" s="265" t="s">
        <v>359</v>
      </c>
      <c r="P234" s="265" t="s">
        <v>102</v>
      </c>
      <c r="Q234" s="265" t="s">
        <v>5553</v>
      </c>
      <c r="R234" s="265">
        <v>0</v>
      </c>
      <c r="S234" s="265" t="s">
        <v>5554</v>
      </c>
      <c r="T234" s="347">
        <v>1.391</v>
      </c>
      <c r="U234" s="347">
        <v>13.904999999999999</v>
      </c>
      <c r="V234" s="348">
        <v>1.1000000000000001</v>
      </c>
    </row>
    <row r="235" spans="1:22" ht="14.45" customHeight="1">
      <c r="A235" s="104" t="str">
        <f>IF(K235&gt;0,COUNT($A$8:A234)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5" s="112"/>
      <c r="C235" s="79"/>
      <c r="D235" s="158" t="s">
        <v>5555</v>
      </c>
      <c r="E235" s="106">
        <v>100024267</v>
      </c>
      <c r="F235" s="159" t="s">
        <v>5556</v>
      </c>
      <c r="G235" s="106">
        <v>10</v>
      </c>
      <c r="H235" s="106">
        <v>750</v>
      </c>
      <c r="I235" s="153">
        <f>_xlfn.XLOOKUP(E235,'All Products'!D:D,'All Products'!H:H)</f>
        <v>129.27000000000001</v>
      </c>
      <c r="J235" s="205">
        <f>ROUNDUP(I235*Order_Quote!$L$26,2)</f>
        <v>646.35</v>
      </c>
      <c r="K235" s="78"/>
      <c r="L235" s="116"/>
      <c r="M235" s="199">
        <f t="shared" si="4"/>
        <v>0</v>
      </c>
      <c r="O235" s="265" t="s">
        <v>359</v>
      </c>
      <c r="P235" s="265" t="s">
        <v>102</v>
      </c>
      <c r="Q235" s="265" t="s">
        <v>5557</v>
      </c>
      <c r="R235" s="265">
        <v>0</v>
      </c>
      <c r="S235" s="265" t="s">
        <v>5558</v>
      </c>
      <c r="T235" s="347">
        <v>1.3660000000000001</v>
      </c>
      <c r="U235" s="347">
        <v>13.85</v>
      </c>
      <c r="V235" s="348">
        <v>1.1000000000000001</v>
      </c>
    </row>
    <row r="236" spans="1:22" ht="14.45" customHeight="1">
      <c r="A236" s="104" t="str">
        <f>IF(K236&gt;0,COUNT($A$8:A235)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6" s="112"/>
      <c r="C236" s="79"/>
      <c r="D236" s="158" t="s">
        <v>5559</v>
      </c>
      <c r="E236" s="106">
        <v>100024273</v>
      </c>
      <c r="F236" s="159" t="s">
        <v>5560</v>
      </c>
      <c r="G236" s="106">
        <v>10</v>
      </c>
      <c r="H236" s="106">
        <v>750</v>
      </c>
      <c r="I236" s="153">
        <f>_xlfn.XLOOKUP(E236,'All Products'!D:D,'All Products'!H:H)</f>
        <v>129.27000000000001</v>
      </c>
      <c r="J236" s="205">
        <f>ROUNDUP(I236*Order_Quote!$L$26,2)</f>
        <v>646.35</v>
      </c>
      <c r="K236" s="78"/>
      <c r="L236" s="116"/>
      <c r="M236" s="199">
        <f t="shared" si="4"/>
        <v>0</v>
      </c>
      <c r="O236" s="265" t="s">
        <v>359</v>
      </c>
      <c r="P236" s="265" t="s">
        <v>102</v>
      </c>
      <c r="Q236" s="265" t="s">
        <v>5561</v>
      </c>
      <c r="R236" s="265">
        <v>0</v>
      </c>
      <c r="S236" s="265" t="s">
        <v>5562</v>
      </c>
      <c r="T236" s="347">
        <v>1.399</v>
      </c>
      <c r="U236" s="347">
        <v>13</v>
      </c>
      <c r="V236" s="348">
        <v>1.1000000000000001</v>
      </c>
    </row>
    <row r="237" spans="1:22" ht="14.45" customHeight="1">
      <c r="A237" s="104" t="str">
        <f>IF(K237&gt;0,COUNT($A$8:A236)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7" s="112"/>
      <c r="C237" s="79"/>
      <c r="D237" s="158" t="s">
        <v>5563</v>
      </c>
      <c r="E237" s="106">
        <v>100024277</v>
      </c>
      <c r="F237" s="159" t="s">
        <v>5564</v>
      </c>
      <c r="G237" s="106">
        <v>10</v>
      </c>
      <c r="H237" s="106">
        <v>750</v>
      </c>
      <c r="I237" s="153">
        <f>_xlfn.XLOOKUP(E237,'All Products'!D:D,'All Products'!H:H)</f>
        <v>129.27000000000001</v>
      </c>
      <c r="J237" s="205">
        <f>ROUNDUP(I237*Order_Quote!$L$26,2)</f>
        <v>646.35</v>
      </c>
      <c r="K237" s="78"/>
      <c r="L237" s="116"/>
      <c r="M237" s="199">
        <f t="shared" si="4"/>
        <v>0</v>
      </c>
      <c r="O237" s="265" t="s">
        <v>359</v>
      </c>
      <c r="P237" s="265" t="s">
        <v>102</v>
      </c>
      <c r="Q237" s="265" t="s">
        <v>5565</v>
      </c>
      <c r="R237" s="265">
        <v>0</v>
      </c>
      <c r="S237" s="265" t="s">
        <v>5566</v>
      </c>
      <c r="T237" s="347">
        <v>1.351</v>
      </c>
      <c r="U237" s="347">
        <v>16.8</v>
      </c>
      <c r="V237" s="348">
        <v>1.1000000000000001</v>
      </c>
    </row>
    <row r="238" spans="1:22" ht="14.45" customHeight="1">
      <c r="A238" s="104" t="str">
        <f>IF(K238&gt;0,COUNT($A$8:A237)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8" s="112"/>
      <c r="C238" s="79"/>
      <c r="D238" s="158" t="s">
        <v>5567</v>
      </c>
      <c r="E238" s="106">
        <v>100024975</v>
      </c>
      <c r="F238" s="159" t="s">
        <v>5521</v>
      </c>
      <c r="G238" s="106">
        <v>10</v>
      </c>
      <c r="H238" s="106">
        <v>750</v>
      </c>
      <c r="I238" s="153">
        <f>_xlfn.XLOOKUP(E238,'All Products'!D:D,'All Products'!H:H)</f>
        <v>129.27000000000001</v>
      </c>
      <c r="J238" s="205">
        <f>ROUNDUP(I238*Order_Quote!$L$26,2)</f>
        <v>646.35</v>
      </c>
      <c r="K238" s="78"/>
      <c r="L238" s="116"/>
      <c r="M238" s="199">
        <f t="shared" si="4"/>
        <v>0</v>
      </c>
      <c r="O238" s="265" t="s">
        <v>76</v>
      </c>
      <c r="P238" s="265" t="s">
        <v>102</v>
      </c>
      <c r="Q238" s="265" t="s">
        <v>5568</v>
      </c>
      <c r="R238" s="265">
        <v>0</v>
      </c>
      <c r="S238" s="265" t="s">
        <v>5569</v>
      </c>
      <c r="T238" s="347">
        <v>1.423</v>
      </c>
      <c r="U238" s="347">
        <v>14.255000000000001</v>
      </c>
      <c r="V238" s="348">
        <v>1.1000000000000001</v>
      </c>
    </row>
    <row r="239" spans="1:22" ht="14.45" customHeight="1">
      <c r="A239" s="104" t="str">
        <f>IF(K239&gt;0,COUNT($A$8:A238)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39" s="112"/>
      <c r="C239" s="79"/>
      <c r="D239" s="158" t="s">
        <v>5570</v>
      </c>
      <c r="E239" s="106">
        <v>100024976</v>
      </c>
      <c r="F239" s="159" t="s">
        <v>5050</v>
      </c>
      <c r="G239" s="106">
        <v>10</v>
      </c>
      <c r="H239" s="106">
        <v>240</v>
      </c>
      <c r="I239" s="153">
        <f>_xlfn.XLOOKUP(E239,'All Products'!D:D,'All Products'!H:H)</f>
        <v>140.13</v>
      </c>
      <c r="J239" s="205">
        <f>ROUNDUP(I239*Order_Quote!$L$26,2)</f>
        <v>700.65</v>
      </c>
      <c r="K239" s="78"/>
      <c r="L239" s="116"/>
      <c r="M239" s="199">
        <f t="shared" si="4"/>
        <v>0</v>
      </c>
      <c r="O239" s="265" t="s">
        <v>359</v>
      </c>
      <c r="P239" s="265" t="s">
        <v>102</v>
      </c>
      <c r="Q239" s="265" t="s">
        <v>5571</v>
      </c>
      <c r="R239" s="265">
        <v>0</v>
      </c>
      <c r="S239" s="265" t="s">
        <v>5572</v>
      </c>
      <c r="T239" s="347">
        <v>1.6970000000000001</v>
      </c>
      <c r="U239" s="347">
        <v>17.8</v>
      </c>
      <c r="V239" s="348">
        <v>2.77</v>
      </c>
    </row>
    <row r="240" spans="1:22" ht="14.45" customHeight="1">
      <c r="A240" s="104" t="str">
        <f>IF(K240&gt;0,COUNT($A$8:A239)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0" s="112"/>
      <c r="C240" s="79"/>
      <c r="D240" s="158" t="s">
        <v>5573</v>
      </c>
      <c r="E240" s="106">
        <v>100024290</v>
      </c>
      <c r="F240" s="159" t="s">
        <v>5574</v>
      </c>
      <c r="G240" s="106">
        <v>10</v>
      </c>
      <c r="H240" s="106">
        <v>900</v>
      </c>
      <c r="I240" s="153">
        <f>_xlfn.XLOOKUP(E240,'All Products'!D:D,'All Products'!H:H)</f>
        <v>95.77</v>
      </c>
      <c r="J240" s="205">
        <f>ROUNDUP(I240*Order_Quote!$L$26,2)</f>
        <v>478.85</v>
      </c>
      <c r="K240" s="78"/>
      <c r="L240" s="116"/>
      <c r="M240" s="199">
        <f t="shared" si="4"/>
        <v>0</v>
      </c>
      <c r="O240" s="265" t="s">
        <v>359</v>
      </c>
      <c r="P240" s="265" t="s">
        <v>102</v>
      </c>
      <c r="Q240" s="265" t="s">
        <v>5575</v>
      </c>
      <c r="R240" s="265">
        <v>0</v>
      </c>
      <c r="S240" s="265" t="s">
        <v>5576</v>
      </c>
      <c r="T240" s="347">
        <v>1.2410000000000001</v>
      </c>
      <c r="U240" s="347">
        <v>12.75</v>
      </c>
      <c r="V240" s="348">
        <v>0.8</v>
      </c>
    </row>
    <row r="241" spans="1:22" ht="14.45" customHeight="1">
      <c r="A241" s="104" t="str">
        <f>IF(K241&gt;0,COUNT($A$8:A240)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1" s="112"/>
      <c r="C241" s="79"/>
      <c r="D241" s="158" t="s">
        <v>5577</v>
      </c>
      <c r="E241" s="106">
        <v>100024292</v>
      </c>
      <c r="F241" s="159" t="s">
        <v>5228</v>
      </c>
      <c r="G241" s="106">
        <v>10</v>
      </c>
      <c r="H241" s="106">
        <v>750</v>
      </c>
      <c r="I241" s="153">
        <f>_xlfn.XLOOKUP(E241,'All Products'!D:D,'All Products'!H:H)</f>
        <v>129.27000000000001</v>
      </c>
      <c r="J241" s="205">
        <f>ROUNDUP(I241*Order_Quote!$L$26,2)</f>
        <v>646.35</v>
      </c>
      <c r="K241" s="78"/>
      <c r="L241" s="116"/>
      <c r="M241" s="199">
        <f t="shared" si="4"/>
        <v>0</v>
      </c>
      <c r="O241" s="265" t="s">
        <v>359</v>
      </c>
      <c r="P241" s="265" t="s">
        <v>102</v>
      </c>
      <c r="Q241" s="265" t="s">
        <v>5578</v>
      </c>
      <c r="R241" s="265">
        <v>0</v>
      </c>
      <c r="S241" s="265" t="s">
        <v>5579</v>
      </c>
      <c r="T241" s="347">
        <v>1.028</v>
      </c>
      <c r="U241" s="347">
        <v>13.3</v>
      </c>
      <c r="V241" s="348">
        <v>1.1000000000000001</v>
      </c>
    </row>
    <row r="242" spans="1:22" ht="14.45" customHeight="1">
      <c r="A242" s="104" t="str">
        <f>IF(K242&gt;0,COUNT($A$8:A241)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2" s="112"/>
      <c r="C242" s="79"/>
      <c r="D242" s="158" t="s">
        <v>5580</v>
      </c>
      <c r="E242" s="106">
        <v>100024980</v>
      </c>
      <c r="F242" s="159" t="s">
        <v>5581</v>
      </c>
      <c r="G242" s="106">
        <v>10</v>
      </c>
      <c r="H242" s="106">
        <v>750</v>
      </c>
      <c r="I242" s="153">
        <f>_xlfn.XLOOKUP(E242,'All Products'!D:D,'All Products'!H:H)</f>
        <v>129.27000000000001</v>
      </c>
      <c r="J242" s="205">
        <f>ROUNDUP(I242*Order_Quote!$L$26,2)</f>
        <v>646.35</v>
      </c>
      <c r="K242" s="78"/>
      <c r="L242" s="116"/>
      <c r="M242" s="199">
        <f t="shared" si="4"/>
        <v>0</v>
      </c>
      <c r="O242" s="265" t="s">
        <v>359</v>
      </c>
      <c r="P242" s="265" t="s">
        <v>102</v>
      </c>
      <c r="Q242" s="265" t="s">
        <v>5582</v>
      </c>
      <c r="R242" s="265">
        <v>0</v>
      </c>
      <c r="S242" s="265" t="s">
        <v>5583</v>
      </c>
      <c r="T242" s="347">
        <v>1.39</v>
      </c>
      <c r="U242" s="347">
        <v>14.25</v>
      </c>
      <c r="V242" s="348">
        <v>1.1000000000000001</v>
      </c>
    </row>
    <row r="243" spans="1:22" ht="14.45" customHeight="1">
      <c r="A243" s="104" t="str">
        <f>IF(K243&gt;0,COUNT($A$8:A242)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3" s="112"/>
      <c r="C243" s="79"/>
      <c r="D243" s="158" t="s">
        <v>5584</v>
      </c>
      <c r="E243" s="106">
        <v>100024498</v>
      </c>
      <c r="F243" s="159" t="s">
        <v>5585</v>
      </c>
      <c r="G243" s="106">
        <v>10</v>
      </c>
      <c r="H243" s="106">
        <v>180</v>
      </c>
      <c r="I243" s="153">
        <f>_xlfn.XLOOKUP(E243,'All Products'!D:D,'All Products'!H:H)</f>
        <v>290.89999999999998</v>
      </c>
      <c r="J243" s="205">
        <f>ROUNDUP(I243*Order_Quote!$L$26,2)</f>
        <v>1454.5</v>
      </c>
      <c r="K243" s="78"/>
      <c r="L243" s="116"/>
      <c r="M243" s="199">
        <f t="shared" si="4"/>
        <v>0</v>
      </c>
      <c r="O243" s="265" t="s">
        <v>359</v>
      </c>
      <c r="P243" s="265" t="s">
        <v>102</v>
      </c>
      <c r="Q243" s="265" t="s">
        <v>5586</v>
      </c>
      <c r="R243" s="265">
        <v>0</v>
      </c>
      <c r="S243" s="265" t="s">
        <v>5587</v>
      </c>
      <c r="T243" s="347">
        <v>2.782</v>
      </c>
      <c r="U243" s="347">
        <v>0</v>
      </c>
      <c r="V243" s="348">
        <v>0</v>
      </c>
    </row>
    <row r="244" spans="1:22" ht="14.45" customHeight="1">
      <c r="A244" s="104" t="str">
        <f>IF(K244&gt;0,COUNT($A$8:A243)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4" s="112"/>
      <c r="C244" s="79"/>
      <c r="D244" s="158" t="s">
        <v>5588</v>
      </c>
      <c r="E244" s="106">
        <v>100024530</v>
      </c>
      <c r="F244" s="159" t="s">
        <v>5548</v>
      </c>
      <c r="G244" s="106">
        <v>10</v>
      </c>
      <c r="H244" s="106">
        <v>600</v>
      </c>
      <c r="I244" s="153">
        <f>_xlfn.XLOOKUP(E244,'All Products'!D:D,'All Products'!H:H)</f>
        <v>156.46</v>
      </c>
      <c r="J244" s="205">
        <f>ROUNDUP(I244*Order_Quote!$L$26,2)</f>
        <v>782.3</v>
      </c>
      <c r="K244" s="78"/>
      <c r="L244" s="116"/>
      <c r="M244" s="199">
        <f t="shared" si="4"/>
        <v>0</v>
      </c>
      <c r="O244" s="265" t="s">
        <v>359</v>
      </c>
      <c r="P244" s="265" t="s">
        <v>102</v>
      </c>
      <c r="Q244" s="265" t="s">
        <v>5589</v>
      </c>
      <c r="R244" s="265">
        <v>0</v>
      </c>
      <c r="S244" s="265" t="s">
        <v>5590</v>
      </c>
      <c r="T244" s="347">
        <v>1.758</v>
      </c>
      <c r="U244" s="347">
        <v>18</v>
      </c>
      <c r="V244" s="348">
        <v>1.41</v>
      </c>
    </row>
    <row r="245" spans="1:22" ht="14.45" customHeight="1">
      <c r="A245" s="104" t="str">
        <f>IF(K245&gt;0,COUNT($A$8:A244)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5" s="112"/>
      <c r="C245" s="79"/>
      <c r="D245" s="158" t="s">
        <v>5591</v>
      </c>
      <c r="E245" s="106">
        <v>100025038</v>
      </c>
      <c r="F245" s="159" t="s">
        <v>5046</v>
      </c>
      <c r="G245" s="106">
        <v>10</v>
      </c>
      <c r="H245" s="106">
        <v>600</v>
      </c>
      <c r="I245" s="153">
        <f>_xlfn.XLOOKUP(E245,'All Products'!D:D,'All Products'!H:H)</f>
        <v>156.46</v>
      </c>
      <c r="J245" s="205">
        <f>ROUNDUP(I245*Order_Quote!$L$26,2)</f>
        <v>782.3</v>
      </c>
      <c r="K245" s="78"/>
      <c r="L245" s="116"/>
      <c r="M245" s="199">
        <f t="shared" si="4"/>
        <v>0</v>
      </c>
      <c r="O245" s="265" t="s">
        <v>359</v>
      </c>
      <c r="P245" s="265" t="s">
        <v>102</v>
      </c>
      <c r="Q245" s="265" t="s">
        <v>5592</v>
      </c>
      <c r="R245" s="265">
        <v>0</v>
      </c>
      <c r="S245" s="265" t="s">
        <v>5593</v>
      </c>
      <c r="T245" s="347">
        <v>1.758</v>
      </c>
      <c r="U245" s="347">
        <v>18.3</v>
      </c>
      <c r="V245" s="348">
        <v>1.41</v>
      </c>
    </row>
    <row r="246" spans="1:22" ht="14.45" customHeight="1">
      <c r="A246" s="104" t="str">
        <f>IF(K246&gt;0,COUNT($A$8:A245)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6" s="112"/>
      <c r="C246" s="79"/>
      <c r="D246" s="158" t="s">
        <v>5594</v>
      </c>
      <c r="E246" s="106">
        <v>100024544</v>
      </c>
      <c r="F246" s="159" t="s">
        <v>5595</v>
      </c>
      <c r="G246" s="106">
        <v>10</v>
      </c>
      <c r="H246" s="106">
        <v>180</v>
      </c>
      <c r="I246" s="153">
        <f>_xlfn.XLOOKUP(E246,'All Products'!D:D,'All Products'!H:H)</f>
        <v>156.46</v>
      </c>
      <c r="J246" s="205">
        <f>ROUNDUP(I246*Order_Quote!$L$26,2)</f>
        <v>782.3</v>
      </c>
      <c r="K246" s="78"/>
      <c r="L246" s="116"/>
      <c r="M246" s="199">
        <f t="shared" si="4"/>
        <v>0</v>
      </c>
      <c r="O246" s="265" t="s">
        <v>359</v>
      </c>
      <c r="P246" s="265" t="s">
        <v>102</v>
      </c>
      <c r="Q246" s="265" t="s">
        <v>5596</v>
      </c>
      <c r="R246" s="265">
        <v>0</v>
      </c>
      <c r="S246" s="265" t="s">
        <v>5597</v>
      </c>
      <c r="T246" s="347">
        <v>1.6910000000000001</v>
      </c>
      <c r="U246" s="347">
        <v>17.48</v>
      </c>
      <c r="V246" s="348">
        <v>2.65</v>
      </c>
    </row>
    <row r="247" spans="1:22" ht="14.45" customHeight="1">
      <c r="A247" s="104" t="str">
        <f>IF(K247&gt;0,COUNT($A$8:A246)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7" s="112"/>
      <c r="C247" s="79"/>
      <c r="D247" s="158" t="s">
        <v>5598</v>
      </c>
      <c r="E247" s="106">
        <v>100025040</v>
      </c>
      <c r="F247" s="159" t="s">
        <v>5228</v>
      </c>
      <c r="G247" s="106">
        <v>10</v>
      </c>
      <c r="H247" s="106">
        <v>600</v>
      </c>
      <c r="I247" s="153">
        <f>_xlfn.XLOOKUP(E247,'All Products'!D:D,'All Products'!H:H)</f>
        <v>156.46</v>
      </c>
      <c r="J247" s="205">
        <f>ROUNDUP(I247*Order_Quote!$L$26,2)</f>
        <v>782.3</v>
      </c>
      <c r="K247" s="78"/>
      <c r="L247" s="116"/>
      <c r="M247" s="199">
        <f t="shared" si="4"/>
        <v>0</v>
      </c>
      <c r="O247" s="265" t="s">
        <v>76</v>
      </c>
      <c r="P247" s="265" t="s">
        <v>102</v>
      </c>
      <c r="Q247" s="265" t="s">
        <v>5599</v>
      </c>
      <c r="R247" s="265">
        <v>0</v>
      </c>
      <c r="S247" s="265" t="s">
        <v>5600</v>
      </c>
      <c r="T247" s="347">
        <v>1.73</v>
      </c>
      <c r="U247" s="347">
        <v>20.5</v>
      </c>
      <c r="V247" s="348">
        <v>1.41</v>
      </c>
    </row>
    <row r="248" spans="1:22" ht="14.45" customHeight="1">
      <c r="A248" s="104" t="str">
        <f>IF(K248&gt;0,COUNT($A$8:A247)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8" s="112"/>
      <c r="C248" s="79"/>
      <c r="D248" s="158" t="s">
        <v>5601</v>
      </c>
      <c r="E248" s="106">
        <v>100025041</v>
      </c>
      <c r="F248" s="159" t="s">
        <v>5232</v>
      </c>
      <c r="G248" s="106">
        <v>10</v>
      </c>
      <c r="H248" s="106">
        <v>240</v>
      </c>
      <c r="I248" s="153">
        <f>_xlfn.XLOOKUP(E248,'All Products'!D:D,'All Products'!H:H)</f>
        <v>167.52</v>
      </c>
      <c r="J248" s="205">
        <f>ROUNDUP(I248*Order_Quote!$L$26,2)</f>
        <v>837.6</v>
      </c>
      <c r="K248" s="78"/>
      <c r="L248" s="116"/>
      <c r="M248" s="199">
        <f t="shared" si="4"/>
        <v>0</v>
      </c>
      <c r="O248" s="265" t="s">
        <v>359</v>
      </c>
      <c r="P248" s="265" t="s">
        <v>102</v>
      </c>
      <c r="Q248" s="265" t="s">
        <v>5602</v>
      </c>
      <c r="R248" s="265">
        <v>0</v>
      </c>
      <c r="S248" s="265" t="s">
        <v>5603</v>
      </c>
      <c r="T248" s="347">
        <v>2.044</v>
      </c>
      <c r="U248" s="347">
        <v>22.15</v>
      </c>
      <c r="V248" s="348">
        <v>2.77</v>
      </c>
    </row>
    <row r="249" spans="1:22" ht="14.45" customHeight="1">
      <c r="A249" s="104" t="str">
        <f>IF(K249&gt;0,COUNT($A$8:A248)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49" s="112"/>
      <c r="C249" s="79"/>
      <c r="D249" s="158" t="s">
        <v>5604</v>
      </c>
      <c r="E249" s="106">
        <v>100024550</v>
      </c>
      <c r="F249" s="159" t="s">
        <v>5236</v>
      </c>
      <c r="G249" s="106">
        <v>10</v>
      </c>
      <c r="H249" s="106">
        <v>750</v>
      </c>
      <c r="I249" s="153">
        <f>_xlfn.XLOOKUP(E249,'All Products'!D:D,'All Products'!H:H)</f>
        <v>145.36000000000001</v>
      </c>
      <c r="J249" s="205">
        <f>ROUNDUP(I249*Order_Quote!$L$26,2)</f>
        <v>726.8</v>
      </c>
      <c r="K249" s="78"/>
      <c r="L249" s="116"/>
      <c r="M249" s="199">
        <f t="shared" si="4"/>
        <v>0</v>
      </c>
      <c r="O249" s="265" t="s">
        <v>359</v>
      </c>
      <c r="P249" s="265" t="s">
        <v>102</v>
      </c>
      <c r="Q249" s="265" t="s">
        <v>5605</v>
      </c>
      <c r="R249" s="265">
        <v>0</v>
      </c>
      <c r="S249" s="265" t="s">
        <v>5606</v>
      </c>
      <c r="T249" s="347">
        <v>1.518</v>
      </c>
      <c r="U249" s="347">
        <v>15.3</v>
      </c>
      <c r="V249" s="348">
        <v>1.1000000000000001</v>
      </c>
    </row>
    <row r="250" spans="1:22" ht="14.45" customHeight="1">
      <c r="A250" s="104" t="str">
        <f>IF(K250&gt;0,COUNT($A$8:A249)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0" s="112"/>
      <c r="C250" s="79"/>
      <c r="D250" s="158" t="s">
        <v>5607</v>
      </c>
      <c r="E250" s="106">
        <v>100024553</v>
      </c>
      <c r="F250" s="159" t="s">
        <v>5608</v>
      </c>
      <c r="G250" s="106">
        <v>10</v>
      </c>
      <c r="H250" s="106">
        <v>600</v>
      </c>
      <c r="I250" s="153">
        <f>_xlfn.XLOOKUP(E250,'All Products'!D:D,'All Products'!H:H)</f>
        <v>156.46</v>
      </c>
      <c r="J250" s="205">
        <f>ROUNDUP(I250*Order_Quote!$L$26,2)</f>
        <v>782.3</v>
      </c>
      <c r="K250" s="78"/>
      <c r="L250" s="116"/>
      <c r="M250" s="199">
        <f t="shared" si="4"/>
        <v>0</v>
      </c>
      <c r="O250" s="265" t="s">
        <v>359</v>
      </c>
      <c r="P250" s="265" t="s">
        <v>102</v>
      </c>
      <c r="Q250" s="265" t="s">
        <v>5609</v>
      </c>
      <c r="R250" s="265">
        <v>0</v>
      </c>
      <c r="S250" s="265" t="s">
        <v>5610</v>
      </c>
      <c r="T250" s="347">
        <v>1.68</v>
      </c>
      <c r="U250" s="347">
        <v>17.32</v>
      </c>
      <c r="V250" s="348">
        <v>1.41</v>
      </c>
    </row>
    <row r="251" spans="1:22" ht="14.45" customHeight="1">
      <c r="A251" s="104" t="str">
        <f>IF(K251&gt;0,COUNT($A$8:A250)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1" s="112"/>
      <c r="C251" s="79"/>
      <c r="D251" s="158" t="s">
        <v>5611</v>
      </c>
      <c r="E251" s="106">
        <v>100025043</v>
      </c>
      <c r="F251" s="159" t="s">
        <v>5244</v>
      </c>
      <c r="G251" s="106">
        <v>10</v>
      </c>
      <c r="H251" s="106">
        <v>600</v>
      </c>
      <c r="I251" s="153">
        <f>_xlfn.XLOOKUP(E251,'All Products'!D:D,'All Products'!H:H)</f>
        <v>156.46</v>
      </c>
      <c r="J251" s="205">
        <f>ROUNDUP(I251*Order_Quote!$L$26,2)</f>
        <v>782.3</v>
      </c>
      <c r="K251" s="78"/>
      <c r="L251" s="116"/>
      <c r="M251" s="199">
        <f t="shared" si="4"/>
        <v>0</v>
      </c>
      <c r="O251" s="265" t="s">
        <v>76</v>
      </c>
      <c r="P251" s="265" t="s">
        <v>102</v>
      </c>
      <c r="Q251" s="265" t="s">
        <v>5612</v>
      </c>
      <c r="R251" s="265">
        <v>0</v>
      </c>
      <c r="S251" s="265" t="s">
        <v>5613</v>
      </c>
      <c r="T251" s="347">
        <v>1.675</v>
      </c>
      <c r="U251" s="347">
        <v>17.329999999999998</v>
      </c>
      <c r="V251" s="348">
        <v>1.41</v>
      </c>
    </row>
    <row r="252" spans="1:22" ht="14.45" customHeight="1">
      <c r="A252" s="104" t="str">
        <f>IF(K252&gt;0,COUNT($A$8:A251)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2" s="112"/>
      <c r="C252" s="79"/>
      <c r="D252" s="158" t="s">
        <v>5614</v>
      </c>
      <c r="E252" s="106">
        <v>100024557</v>
      </c>
      <c r="F252" s="159" t="s">
        <v>5615</v>
      </c>
      <c r="G252" s="106">
        <v>10</v>
      </c>
      <c r="H252" s="106">
        <v>600</v>
      </c>
      <c r="I252" s="153">
        <f>_xlfn.XLOOKUP(E252,'All Products'!D:D,'All Products'!H:H)</f>
        <v>167.52</v>
      </c>
      <c r="J252" s="205">
        <f>ROUNDUP(I252*Order_Quote!$L$26,2)</f>
        <v>837.6</v>
      </c>
      <c r="K252" s="78"/>
      <c r="L252" s="116"/>
      <c r="M252" s="199">
        <f t="shared" si="4"/>
        <v>0</v>
      </c>
      <c r="O252" s="265" t="s">
        <v>359</v>
      </c>
      <c r="P252" s="265" t="s">
        <v>102</v>
      </c>
      <c r="Q252" s="265" t="s">
        <v>5616</v>
      </c>
      <c r="R252" s="265">
        <v>0</v>
      </c>
      <c r="S252" s="265" t="s">
        <v>5617</v>
      </c>
      <c r="T252" s="347">
        <v>1.99</v>
      </c>
      <c r="U252" s="347">
        <v>21.2</v>
      </c>
      <c r="V252" s="348">
        <v>1.41</v>
      </c>
    </row>
    <row r="253" spans="1:22" ht="14.45" customHeight="1">
      <c r="A253" s="104" t="str">
        <f>IF(K253&gt;0,COUNT($A$8:A252)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3" s="112"/>
      <c r="C253" s="79"/>
      <c r="D253" s="158" t="s">
        <v>5618</v>
      </c>
      <c r="E253" s="106">
        <v>100024558</v>
      </c>
      <c r="F253" s="159" t="s">
        <v>5619</v>
      </c>
      <c r="G253" s="106">
        <v>10</v>
      </c>
      <c r="H253" s="106">
        <v>750</v>
      </c>
      <c r="I253" s="153">
        <f>_xlfn.XLOOKUP(E253,'All Products'!D:D,'All Products'!H:H)</f>
        <v>145.36000000000001</v>
      </c>
      <c r="J253" s="205">
        <f>ROUNDUP(I253*Order_Quote!$L$26,2)</f>
        <v>726.8</v>
      </c>
      <c r="K253" s="78"/>
      <c r="L253" s="116"/>
      <c r="M253" s="199">
        <f t="shared" si="4"/>
        <v>0</v>
      </c>
      <c r="O253" s="265" t="s">
        <v>359</v>
      </c>
      <c r="P253" s="265" t="s">
        <v>102</v>
      </c>
      <c r="Q253" s="265" t="s">
        <v>5620</v>
      </c>
      <c r="R253" s="265">
        <v>0</v>
      </c>
      <c r="S253" s="265" t="s">
        <v>5621</v>
      </c>
      <c r="T253" s="347">
        <v>1.464</v>
      </c>
      <c r="U253" s="347">
        <v>15.1</v>
      </c>
      <c r="V253" s="348">
        <v>1.1000000000000001</v>
      </c>
    </row>
    <row r="254" spans="1:22" ht="14.45" customHeight="1">
      <c r="A254" s="104" t="str">
        <f>IF(K254&gt;0,COUNT($A$8:A253)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4" s="112"/>
      <c r="C254" s="79"/>
      <c r="D254" s="158" t="s">
        <v>5622</v>
      </c>
      <c r="E254" s="106">
        <v>100024560</v>
      </c>
      <c r="F254" s="159" t="s">
        <v>5581</v>
      </c>
      <c r="G254" s="106">
        <v>10</v>
      </c>
      <c r="H254" s="106">
        <v>600</v>
      </c>
      <c r="I254" s="153">
        <f>_xlfn.XLOOKUP(E254,'All Products'!D:D,'All Products'!H:H)</f>
        <v>156.46</v>
      </c>
      <c r="J254" s="205">
        <f>ROUNDUP(I254*Order_Quote!$L$26,2)</f>
        <v>782.3</v>
      </c>
      <c r="K254" s="78"/>
      <c r="L254" s="116"/>
      <c r="M254" s="199">
        <f t="shared" si="4"/>
        <v>0</v>
      </c>
      <c r="O254" s="265" t="s">
        <v>359</v>
      </c>
      <c r="P254" s="265" t="s">
        <v>102</v>
      </c>
      <c r="Q254" s="265" t="s">
        <v>5623</v>
      </c>
      <c r="R254" s="265">
        <v>0</v>
      </c>
      <c r="S254" s="265" t="s">
        <v>5624</v>
      </c>
      <c r="T254" s="347">
        <v>1.69</v>
      </c>
      <c r="U254" s="347">
        <v>17.38</v>
      </c>
      <c r="V254" s="348">
        <v>1.41</v>
      </c>
    </row>
    <row r="255" spans="1:22" ht="14.45" customHeight="1">
      <c r="A255" s="104" t="str">
        <f>IF(K255&gt;0,COUNT($A$8:A254)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5" s="112"/>
      <c r="C255" s="79"/>
      <c r="D255" s="158" t="s">
        <v>5625</v>
      </c>
      <c r="E255" s="106">
        <v>100025046</v>
      </c>
      <c r="F255" s="159" t="s">
        <v>5626</v>
      </c>
      <c r="G255" s="106">
        <v>10</v>
      </c>
      <c r="H255" s="106">
        <v>180</v>
      </c>
      <c r="I255" s="153">
        <f>_xlfn.XLOOKUP(E255,'All Products'!D:D,'All Products'!H:H)</f>
        <v>298.91000000000003</v>
      </c>
      <c r="J255" s="205">
        <f>ROUNDUP(I255*Order_Quote!$L$26,2)</f>
        <v>1494.55</v>
      </c>
      <c r="K255" s="78"/>
      <c r="L255" s="116"/>
      <c r="M255" s="199">
        <f t="shared" si="4"/>
        <v>0</v>
      </c>
      <c r="O255" s="265" t="s">
        <v>359</v>
      </c>
      <c r="P255" s="265" t="s">
        <v>102</v>
      </c>
      <c r="Q255" s="265" t="s">
        <v>5627</v>
      </c>
      <c r="R255" s="265">
        <v>0</v>
      </c>
      <c r="S255" s="265" t="s">
        <v>5628</v>
      </c>
      <c r="T255" s="347">
        <v>2.4390000000000001</v>
      </c>
      <c r="U255" s="347">
        <v>26.29</v>
      </c>
      <c r="V255" s="348">
        <v>2.65</v>
      </c>
    </row>
    <row r="256" spans="1:22" ht="14.45" customHeight="1">
      <c r="A256" s="104" t="str">
        <f>IF(K256&gt;0,COUNT($A$8:A255)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6" s="113"/>
      <c r="C256" s="114"/>
      <c r="D256" s="158" t="s">
        <v>5629</v>
      </c>
      <c r="E256" s="106">
        <v>100025047</v>
      </c>
      <c r="F256" s="159" t="s">
        <v>5630</v>
      </c>
      <c r="G256" s="106">
        <v>10</v>
      </c>
      <c r="H256" s="106">
        <v>240</v>
      </c>
      <c r="I256" s="153">
        <f>_xlfn.XLOOKUP(E256,'All Products'!D:D,'All Products'!H:H)</f>
        <v>290.89999999999998</v>
      </c>
      <c r="J256" s="205">
        <f>ROUNDUP(I256*Order_Quote!$L$26,2)</f>
        <v>1454.5</v>
      </c>
      <c r="K256" s="78"/>
      <c r="L256" s="292"/>
      <c r="M256" s="199">
        <f t="shared" si="4"/>
        <v>0</v>
      </c>
      <c r="O256" s="265" t="s">
        <v>359</v>
      </c>
      <c r="P256" s="265" t="s">
        <v>102</v>
      </c>
      <c r="Q256" s="265" t="s">
        <v>5631</v>
      </c>
      <c r="R256" s="265">
        <v>0</v>
      </c>
      <c r="S256" s="265" t="s">
        <v>5632</v>
      </c>
      <c r="T256" s="347">
        <v>2.754</v>
      </c>
      <c r="U256" s="347">
        <v>27.7</v>
      </c>
      <c r="V256" s="348">
        <v>2.77</v>
      </c>
    </row>
    <row r="257" spans="1:22" ht="25.5" customHeight="1">
      <c r="A257" s="104" t="str">
        <f>IF(K257&gt;0,COUNT($A$8:A256)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7" s="242" t="s">
        <v>5633</v>
      </c>
      <c r="C257" s="44"/>
      <c r="D257" s="44"/>
      <c r="E257" s="44"/>
      <c r="F257" s="44"/>
      <c r="G257" s="44"/>
      <c r="H257" s="44"/>
      <c r="I257" s="245">
        <f>_xlfn.XLOOKUP(E257,'All Products'!D:D,'All Products'!H:H)</f>
        <v>0</v>
      </c>
      <c r="J257" s="245">
        <f>ROUNDUP(I257*Order_Quote!$L$26,2)</f>
        <v>0</v>
      </c>
      <c r="K257" s="246"/>
      <c r="L257" s="243"/>
      <c r="M257" s="157"/>
      <c r="O257" s="44"/>
      <c r="P257" s="44"/>
    </row>
    <row r="258" spans="1:22" ht="14.45" customHeight="1">
      <c r="A258" s="104" t="str">
        <f>IF(K258&gt;0,COUNT($A$8:A257)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8" s="110"/>
      <c r="C258" s="111"/>
      <c r="D258" s="158" t="s">
        <v>5634</v>
      </c>
      <c r="E258" s="106">
        <v>100029467</v>
      </c>
      <c r="F258" s="159" t="s">
        <v>5635</v>
      </c>
      <c r="G258" s="106">
        <v>10</v>
      </c>
      <c r="H258" s="106">
        <v>750</v>
      </c>
      <c r="I258" s="153">
        <f>_xlfn.XLOOKUP(E258,'All Products'!D:D,'All Products'!H:H)</f>
        <v>184.23</v>
      </c>
      <c r="J258" s="205">
        <f>ROUNDUP(I258*Order_Quote!$L$26,2)</f>
        <v>921.15</v>
      </c>
      <c r="K258" s="78"/>
      <c r="L258" s="291"/>
      <c r="M258" s="199">
        <f t="shared" ref="M258:M289" si="5">K258/G258</f>
        <v>0</v>
      </c>
      <c r="O258" s="265" t="s">
        <v>359</v>
      </c>
      <c r="P258" s="265" t="s">
        <v>102</v>
      </c>
      <c r="Q258" s="265" t="s">
        <v>5636</v>
      </c>
      <c r="R258" s="265">
        <v>0</v>
      </c>
      <c r="S258" s="265" t="s">
        <v>5637</v>
      </c>
      <c r="T258" s="347">
        <v>1.764</v>
      </c>
      <c r="U258" s="347">
        <v>17.899999999999999</v>
      </c>
      <c r="V258" s="348">
        <v>1.1000000000000001</v>
      </c>
    </row>
    <row r="259" spans="1:22" ht="14.45" customHeight="1">
      <c r="A259" s="104" t="str">
        <f>IF(K259&gt;0,COUNT($A$8:A258)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59" s="112"/>
      <c r="C259" s="79"/>
      <c r="D259" s="158" t="s">
        <v>5638</v>
      </c>
      <c r="E259" s="106">
        <v>100024864</v>
      </c>
      <c r="F259" s="159" t="s">
        <v>5639</v>
      </c>
      <c r="G259" s="106">
        <v>10</v>
      </c>
      <c r="H259" s="106">
        <v>600</v>
      </c>
      <c r="I259" s="153">
        <f>_xlfn.XLOOKUP(E259,'All Products'!D:D,'All Products'!H:H)</f>
        <v>159.15</v>
      </c>
      <c r="J259" s="205">
        <f>ROUNDUP(I259*Order_Quote!$L$26,2)</f>
        <v>795.75</v>
      </c>
      <c r="K259" s="78"/>
      <c r="L259" s="116"/>
      <c r="M259" s="199">
        <f t="shared" si="5"/>
        <v>0</v>
      </c>
      <c r="O259" s="265" t="s">
        <v>359</v>
      </c>
      <c r="P259" s="265" t="s">
        <v>102</v>
      </c>
      <c r="Q259" s="265" t="s">
        <v>5640</v>
      </c>
      <c r="R259" s="265">
        <v>0</v>
      </c>
      <c r="S259" s="265" t="s">
        <v>5641</v>
      </c>
      <c r="T259" s="347">
        <v>1.806</v>
      </c>
      <c r="U259" s="347">
        <v>18.079999999999998</v>
      </c>
      <c r="V259" s="348">
        <v>1.41</v>
      </c>
    </row>
    <row r="260" spans="1:22" ht="14.45" customHeight="1">
      <c r="A260" s="104" t="str">
        <f>IF(K260&gt;0,COUNT($A$8:A259)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0" s="112"/>
      <c r="C260" s="79"/>
      <c r="D260" s="158" t="s">
        <v>5642</v>
      </c>
      <c r="E260" s="106">
        <v>100024883</v>
      </c>
      <c r="F260" s="159" t="s">
        <v>5643</v>
      </c>
      <c r="G260" s="106">
        <v>10</v>
      </c>
      <c r="H260" s="106">
        <v>750</v>
      </c>
      <c r="I260" s="153">
        <f>_xlfn.XLOOKUP(E260,'All Products'!D:D,'All Products'!H:H)</f>
        <v>159.15</v>
      </c>
      <c r="J260" s="205">
        <f>ROUNDUP(I260*Order_Quote!$L$26,2)</f>
        <v>795.75</v>
      </c>
      <c r="K260" s="78"/>
      <c r="L260" s="116"/>
      <c r="M260" s="199">
        <f t="shared" si="5"/>
        <v>0</v>
      </c>
      <c r="O260" s="265" t="s">
        <v>76</v>
      </c>
      <c r="P260" s="265" t="s">
        <v>102</v>
      </c>
      <c r="Q260" s="265" t="s">
        <v>5644</v>
      </c>
      <c r="R260" s="265">
        <v>0</v>
      </c>
      <c r="S260" s="265" t="s">
        <v>5645</v>
      </c>
      <c r="T260" s="347">
        <v>1.62</v>
      </c>
      <c r="U260" s="347">
        <v>16.649999999999999</v>
      </c>
      <c r="V260" s="348">
        <v>1.1000000000000001</v>
      </c>
    </row>
    <row r="261" spans="1:22" ht="14.45" customHeight="1">
      <c r="A261" s="104" t="str">
        <f>IF(K261&gt;0,COUNT($A$8:A260)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1" s="112"/>
      <c r="C261" s="79"/>
      <c r="D261" s="158" t="s">
        <v>5646</v>
      </c>
      <c r="E261" s="106">
        <v>100023870</v>
      </c>
      <c r="F261" s="159" t="s">
        <v>5647</v>
      </c>
      <c r="G261" s="106">
        <v>10</v>
      </c>
      <c r="H261" s="106">
        <v>750</v>
      </c>
      <c r="I261" s="153">
        <f>_xlfn.XLOOKUP(E261,'All Products'!D:D,'All Products'!H:H)</f>
        <v>159.15</v>
      </c>
      <c r="J261" s="205">
        <f>ROUNDUP(I261*Order_Quote!$L$26,2)</f>
        <v>795.75</v>
      </c>
      <c r="K261" s="78"/>
      <c r="L261" s="116"/>
      <c r="M261" s="199">
        <f t="shared" si="5"/>
        <v>0</v>
      </c>
      <c r="O261" s="265" t="s">
        <v>359</v>
      </c>
      <c r="P261" s="265" t="s">
        <v>102</v>
      </c>
      <c r="Q261" s="265" t="s">
        <v>5648</v>
      </c>
      <c r="R261" s="265">
        <v>0</v>
      </c>
      <c r="S261" s="265" t="s">
        <v>5649</v>
      </c>
      <c r="T261" s="347">
        <v>1.524</v>
      </c>
      <c r="U261" s="347">
        <v>15.2</v>
      </c>
      <c r="V261" s="348">
        <v>1.1000000000000001</v>
      </c>
    </row>
    <row r="262" spans="1:22" ht="14.45" customHeight="1">
      <c r="A262" s="104" t="str">
        <f>IF(K262&gt;0,COUNT($A$8:A261)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2" s="112"/>
      <c r="C262" s="79"/>
      <c r="D262" s="158" t="s">
        <v>5650</v>
      </c>
      <c r="E262" s="106">
        <v>100024901</v>
      </c>
      <c r="F262" s="159" t="s">
        <v>5651</v>
      </c>
      <c r="G262" s="106">
        <v>10</v>
      </c>
      <c r="H262" s="106">
        <v>750</v>
      </c>
      <c r="I262" s="153">
        <f>_xlfn.XLOOKUP(E262,'All Products'!D:D,'All Products'!H:H)</f>
        <v>159.15</v>
      </c>
      <c r="J262" s="205">
        <f>ROUNDUP(I262*Order_Quote!$L$26,2)</f>
        <v>795.75</v>
      </c>
      <c r="K262" s="78"/>
      <c r="L262" s="116"/>
      <c r="M262" s="199">
        <f t="shared" si="5"/>
        <v>0</v>
      </c>
      <c r="O262" s="265" t="s">
        <v>76</v>
      </c>
      <c r="P262" s="265" t="s">
        <v>102</v>
      </c>
      <c r="Q262" s="265" t="s">
        <v>5652</v>
      </c>
      <c r="R262" s="265">
        <v>0</v>
      </c>
      <c r="S262" s="265" t="s">
        <v>5653</v>
      </c>
      <c r="T262" s="347">
        <v>1.6</v>
      </c>
      <c r="U262" s="347">
        <v>16.559999999999999</v>
      </c>
      <c r="V262" s="348">
        <v>1.1000000000000001</v>
      </c>
    </row>
    <row r="263" spans="1:22" ht="14.45" customHeight="1">
      <c r="A263" s="104" t="str">
        <f>IF(K263&gt;0,COUNT($A$8:A262)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3" s="112"/>
      <c r="C263" s="79"/>
      <c r="D263" s="158" t="s">
        <v>5654</v>
      </c>
      <c r="E263" s="106">
        <v>100024902</v>
      </c>
      <c r="F263" s="159" t="s">
        <v>5655</v>
      </c>
      <c r="G263" s="106">
        <v>10</v>
      </c>
      <c r="H263" s="106">
        <v>240</v>
      </c>
      <c r="I263" s="153">
        <f>_xlfn.XLOOKUP(E263,'All Products'!D:D,'All Products'!H:H)</f>
        <v>170.28</v>
      </c>
      <c r="J263" s="205">
        <f>ROUNDUP(I263*Order_Quote!$L$26,2)</f>
        <v>851.4</v>
      </c>
      <c r="K263" s="78"/>
      <c r="L263" s="116"/>
      <c r="M263" s="199">
        <f t="shared" si="5"/>
        <v>0</v>
      </c>
      <c r="O263" s="265" t="s">
        <v>359</v>
      </c>
      <c r="P263" s="265" t="s">
        <v>102</v>
      </c>
      <c r="Q263" s="265" t="s">
        <v>5656</v>
      </c>
      <c r="R263" s="265">
        <v>0</v>
      </c>
      <c r="S263" s="265" t="s">
        <v>5657</v>
      </c>
      <c r="T263" s="347">
        <v>1.7789999999999999</v>
      </c>
      <c r="U263" s="347">
        <v>20</v>
      </c>
      <c r="V263" s="348">
        <v>2.77</v>
      </c>
    </row>
    <row r="264" spans="1:22" ht="14.45" customHeight="1">
      <c r="A264" s="104" t="str">
        <f>IF(K264&gt;0,COUNT($A$8:A263)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4" s="112"/>
      <c r="C264" s="79"/>
      <c r="D264" s="158" t="s">
        <v>5658</v>
      </c>
      <c r="E264" s="106">
        <v>100023873</v>
      </c>
      <c r="F264" s="159" t="s">
        <v>5659</v>
      </c>
      <c r="G264" s="106">
        <v>10</v>
      </c>
      <c r="H264" s="106">
        <v>900</v>
      </c>
      <c r="I264" s="153">
        <f>_xlfn.XLOOKUP(E264,'All Products'!D:D,'All Products'!H:H)</f>
        <v>148.18</v>
      </c>
      <c r="J264" s="205">
        <f>ROUNDUP(I264*Order_Quote!$L$26,2)</f>
        <v>740.9</v>
      </c>
      <c r="K264" s="78"/>
      <c r="L264" s="116"/>
      <c r="M264" s="199">
        <f t="shared" si="5"/>
        <v>0</v>
      </c>
      <c r="O264" s="265" t="s">
        <v>359</v>
      </c>
      <c r="P264" s="265" t="s">
        <v>102</v>
      </c>
      <c r="Q264" s="265" t="s">
        <v>5660</v>
      </c>
      <c r="R264" s="265">
        <v>0</v>
      </c>
      <c r="S264" s="265" t="s">
        <v>5661</v>
      </c>
      <c r="T264" s="347">
        <v>1.383</v>
      </c>
      <c r="U264" s="347">
        <v>14.4</v>
      </c>
      <c r="V264" s="348">
        <v>0.8</v>
      </c>
    </row>
    <row r="265" spans="1:22" ht="14.45" customHeight="1">
      <c r="A265" s="104" t="str">
        <f>IF(K265&gt;0,COUNT($A$8:A264)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5" s="112"/>
      <c r="C265" s="79"/>
      <c r="D265" s="158" t="s">
        <v>5662</v>
      </c>
      <c r="E265" s="106">
        <v>100023874</v>
      </c>
      <c r="F265" s="159" t="s">
        <v>5663</v>
      </c>
      <c r="G265" s="106">
        <v>10</v>
      </c>
      <c r="H265" s="106">
        <v>750</v>
      </c>
      <c r="I265" s="153">
        <f>_xlfn.XLOOKUP(E265,'All Products'!D:D,'All Products'!H:H)</f>
        <v>148.18</v>
      </c>
      <c r="J265" s="205">
        <f>ROUNDUP(I265*Order_Quote!$L$26,2)</f>
        <v>740.9</v>
      </c>
      <c r="K265" s="78"/>
      <c r="L265" s="116"/>
      <c r="M265" s="199">
        <f t="shared" si="5"/>
        <v>0</v>
      </c>
      <c r="O265" s="265" t="s">
        <v>359</v>
      </c>
      <c r="P265" s="265" t="s">
        <v>102</v>
      </c>
      <c r="Q265" s="265" t="s">
        <v>5664</v>
      </c>
      <c r="R265" s="265">
        <v>0</v>
      </c>
      <c r="S265" s="265" t="s">
        <v>5665</v>
      </c>
      <c r="T265" s="347">
        <v>1.4470000000000001</v>
      </c>
      <c r="U265" s="347">
        <v>15.12</v>
      </c>
      <c r="V265" s="348">
        <v>0.95</v>
      </c>
    </row>
    <row r="266" spans="1:22" ht="14.45" customHeight="1">
      <c r="A266" s="104" t="str">
        <f>IF(K266&gt;0,COUNT($A$8:A265)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6" s="112"/>
      <c r="C266" s="79"/>
      <c r="D266" s="158" t="s">
        <v>5666</v>
      </c>
      <c r="E266" s="106">
        <v>100023919</v>
      </c>
      <c r="F266" s="159" t="s">
        <v>5667</v>
      </c>
      <c r="G266" s="106">
        <v>10</v>
      </c>
      <c r="H266" s="106">
        <v>750</v>
      </c>
      <c r="I266" s="153">
        <f>_xlfn.XLOOKUP(E266,'All Products'!D:D,'All Products'!H:H)</f>
        <v>159.15</v>
      </c>
      <c r="J266" s="205">
        <f>ROUNDUP(I266*Order_Quote!$L$26,2)</f>
        <v>795.75</v>
      </c>
      <c r="K266" s="78"/>
      <c r="L266" s="116"/>
      <c r="M266" s="199">
        <f t="shared" si="5"/>
        <v>0</v>
      </c>
      <c r="O266" s="265" t="s">
        <v>359</v>
      </c>
      <c r="P266" s="265" t="s">
        <v>102</v>
      </c>
      <c r="Q266" s="265" t="s">
        <v>5668</v>
      </c>
      <c r="R266" s="265">
        <v>0</v>
      </c>
      <c r="S266" s="265" t="s">
        <v>5669</v>
      </c>
      <c r="T266" s="347">
        <v>1.6439999999999999</v>
      </c>
      <c r="U266" s="347">
        <v>16.805</v>
      </c>
      <c r="V266" s="348">
        <v>1.1000000000000001</v>
      </c>
    </row>
    <row r="267" spans="1:22" ht="14.45" customHeight="1">
      <c r="A267" s="104" t="str">
        <f>IF(K267&gt;0,COUNT($A$8:A266)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7" s="112"/>
      <c r="C267" s="79"/>
      <c r="D267" s="158" t="s">
        <v>5670</v>
      </c>
      <c r="E267" s="106">
        <v>100023946</v>
      </c>
      <c r="F267" s="159" t="s">
        <v>5671</v>
      </c>
      <c r="G267" s="106">
        <v>10</v>
      </c>
      <c r="H267" s="106">
        <v>750</v>
      </c>
      <c r="I267" s="153">
        <f>_xlfn.XLOOKUP(E267,'All Products'!D:D,'All Products'!H:H)</f>
        <v>159.15</v>
      </c>
      <c r="J267" s="205">
        <f>ROUNDUP(I267*Order_Quote!$L$26,2)</f>
        <v>795.75</v>
      </c>
      <c r="K267" s="78"/>
      <c r="L267" s="116"/>
      <c r="M267" s="199">
        <f t="shared" si="5"/>
        <v>0</v>
      </c>
      <c r="O267" s="265" t="s">
        <v>359</v>
      </c>
      <c r="P267" s="265" t="s">
        <v>102</v>
      </c>
      <c r="Q267" s="265" t="s">
        <v>5672</v>
      </c>
      <c r="R267" s="265">
        <v>0</v>
      </c>
      <c r="S267" s="265" t="s">
        <v>5673</v>
      </c>
      <c r="T267" s="347">
        <v>1.6240000000000001</v>
      </c>
      <c r="U267" s="347">
        <v>16</v>
      </c>
      <c r="V267" s="348">
        <v>1.1000000000000001</v>
      </c>
    </row>
    <row r="268" spans="1:22" ht="14.45" customHeight="1">
      <c r="A268" s="104" t="str">
        <f>IF(K268&gt;0,COUNT($A$8:A267)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8" s="112"/>
      <c r="C268" s="79"/>
      <c r="D268" s="158" t="s">
        <v>5674</v>
      </c>
      <c r="E268" s="106">
        <v>100023947</v>
      </c>
      <c r="F268" s="159" t="s">
        <v>5675</v>
      </c>
      <c r="G268" s="106">
        <v>10</v>
      </c>
      <c r="H268" s="106">
        <v>600</v>
      </c>
      <c r="I268" s="153">
        <f>_xlfn.XLOOKUP(E268,'All Products'!D:D,'All Products'!H:H)</f>
        <v>170.28</v>
      </c>
      <c r="J268" s="205">
        <f>ROUNDUP(I268*Order_Quote!$L$26,2)</f>
        <v>851.4</v>
      </c>
      <c r="K268" s="78"/>
      <c r="L268" s="116"/>
      <c r="M268" s="199">
        <f t="shared" si="5"/>
        <v>0</v>
      </c>
      <c r="O268" s="265" t="s">
        <v>359</v>
      </c>
      <c r="P268" s="265" t="s">
        <v>102</v>
      </c>
      <c r="Q268" s="265" t="s">
        <v>5676</v>
      </c>
      <c r="R268" s="265">
        <v>0</v>
      </c>
      <c r="S268" s="265" t="s">
        <v>5677</v>
      </c>
      <c r="T268" s="347">
        <v>1.6679999999999999</v>
      </c>
      <c r="U268" s="347">
        <v>15.1</v>
      </c>
      <c r="V268" s="348">
        <v>1.41</v>
      </c>
    </row>
    <row r="269" spans="1:22" ht="14.45" customHeight="1">
      <c r="A269" s="104" t="str">
        <f>IF(K269&gt;0,COUNT($A$8:A268)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69" s="112"/>
      <c r="C269" s="79"/>
      <c r="D269" s="158" t="s">
        <v>5678</v>
      </c>
      <c r="E269" s="106">
        <v>100023976</v>
      </c>
      <c r="F269" s="159" t="s">
        <v>5679</v>
      </c>
      <c r="G269" s="106">
        <v>10</v>
      </c>
      <c r="H269" s="106">
        <v>750</v>
      </c>
      <c r="I269" s="153">
        <f>_xlfn.XLOOKUP(E269,'All Products'!D:D,'All Products'!H:H)</f>
        <v>159.15</v>
      </c>
      <c r="J269" s="205">
        <f>ROUNDUP(I269*Order_Quote!$L$26,2)</f>
        <v>795.75</v>
      </c>
      <c r="K269" s="78"/>
      <c r="L269" s="116"/>
      <c r="M269" s="199">
        <f t="shared" si="5"/>
        <v>0</v>
      </c>
      <c r="O269" s="265" t="s">
        <v>359</v>
      </c>
      <c r="P269" s="265" t="s">
        <v>102</v>
      </c>
      <c r="Q269" s="265" t="s">
        <v>5680</v>
      </c>
      <c r="R269" s="265">
        <v>0</v>
      </c>
      <c r="S269" s="265" t="s">
        <v>5681</v>
      </c>
      <c r="T269" s="347">
        <v>1.552</v>
      </c>
      <c r="U269" s="347">
        <v>16.28</v>
      </c>
      <c r="V269" s="348">
        <v>1.1000000000000001</v>
      </c>
    </row>
    <row r="270" spans="1:22" ht="14.45" customHeight="1">
      <c r="A270" s="104" t="str">
        <f>IF(K270&gt;0,COUNT($A$8:A269)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0" s="112"/>
      <c r="C270" s="79"/>
      <c r="D270" s="158" t="s">
        <v>5682</v>
      </c>
      <c r="E270" s="106">
        <v>100023990</v>
      </c>
      <c r="F270" s="159" t="s">
        <v>5683</v>
      </c>
      <c r="G270" s="106">
        <v>10</v>
      </c>
      <c r="H270" s="106">
        <v>750</v>
      </c>
      <c r="I270" s="153">
        <f>_xlfn.XLOOKUP(E270,'All Products'!D:D,'All Products'!H:H)</f>
        <v>159.15</v>
      </c>
      <c r="J270" s="205">
        <f>ROUNDUP(I270*Order_Quote!$L$26,2)</f>
        <v>795.75</v>
      </c>
      <c r="K270" s="78"/>
      <c r="L270" s="116"/>
      <c r="M270" s="199">
        <f t="shared" si="5"/>
        <v>0</v>
      </c>
      <c r="O270" s="265" t="s">
        <v>359</v>
      </c>
      <c r="P270" s="265" t="s">
        <v>102</v>
      </c>
      <c r="Q270" s="265" t="s">
        <v>5684</v>
      </c>
      <c r="R270" s="265">
        <v>0</v>
      </c>
      <c r="S270" s="265" t="s">
        <v>5685</v>
      </c>
      <c r="T270" s="347">
        <v>1.55</v>
      </c>
      <c r="U270" s="347">
        <v>16.559999999999999</v>
      </c>
      <c r="V270" s="348">
        <v>1.1000000000000001</v>
      </c>
    </row>
    <row r="271" spans="1:22" ht="14.45" customHeight="1">
      <c r="A271" s="104" t="str">
        <f>IF(K271&gt;0,COUNT($A$8:A270)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1" s="112"/>
      <c r="C271" s="79"/>
      <c r="D271" s="158" t="s">
        <v>5686</v>
      </c>
      <c r="E271" s="106">
        <v>100023991</v>
      </c>
      <c r="F271" s="159" t="s">
        <v>5687</v>
      </c>
      <c r="G271" s="106">
        <v>10</v>
      </c>
      <c r="H271" s="106">
        <v>600</v>
      </c>
      <c r="I271" s="153">
        <f>_xlfn.XLOOKUP(E271,'All Products'!D:D,'All Products'!H:H)</f>
        <v>170.28</v>
      </c>
      <c r="J271" s="205">
        <f>ROUNDUP(I271*Order_Quote!$L$26,2)</f>
        <v>851.4</v>
      </c>
      <c r="K271" s="78"/>
      <c r="L271" s="116"/>
      <c r="M271" s="199">
        <f t="shared" si="5"/>
        <v>0</v>
      </c>
      <c r="O271" s="265" t="s">
        <v>359</v>
      </c>
      <c r="P271" s="265" t="s">
        <v>102</v>
      </c>
      <c r="Q271" s="265" t="s">
        <v>5688</v>
      </c>
      <c r="R271" s="265">
        <v>0</v>
      </c>
      <c r="S271" s="265" t="s">
        <v>5689</v>
      </c>
      <c r="T271" s="347">
        <v>1.5940000000000001</v>
      </c>
      <c r="U271" s="347">
        <v>15.3</v>
      </c>
      <c r="V271" s="348">
        <v>1.41</v>
      </c>
    </row>
    <row r="272" spans="1:22" ht="14.45" customHeight="1">
      <c r="A272" s="104" t="str">
        <f>IF(K272&gt;0,COUNT($A$8:A271)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2" s="112"/>
      <c r="C272" s="79"/>
      <c r="D272" s="158" t="s">
        <v>5690</v>
      </c>
      <c r="E272" s="106">
        <v>100024023</v>
      </c>
      <c r="F272" s="159" t="s">
        <v>5691</v>
      </c>
      <c r="G272" s="106">
        <v>10</v>
      </c>
      <c r="H272" s="106" t="s">
        <v>2803</v>
      </c>
      <c r="I272" s="153">
        <f>_xlfn.XLOOKUP(E272,'All Products'!D:D,'All Products'!H:H)</f>
        <v>148.18</v>
      </c>
      <c r="J272" s="205">
        <f>ROUNDUP(I272*Order_Quote!$L$26,2)</f>
        <v>740.9</v>
      </c>
      <c r="K272" s="78"/>
      <c r="L272" s="116"/>
      <c r="M272" s="199">
        <f t="shared" si="5"/>
        <v>0</v>
      </c>
      <c r="O272" s="265" t="s">
        <v>359</v>
      </c>
      <c r="P272" s="265" t="s">
        <v>102</v>
      </c>
      <c r="Q272" s="265" t="s">
        <v>5692</v>
      </c>
      <c r="R272" s="265">
        <v>0</v>
      </c>
      <c r="S272" s="265" t="s">
        <v>5693</v>
      </c>
      <c r="T272" s="347">
        <v>1.5680000000000001</v>
      </c>
      <c r="U272" s="347">
        <v>15.5</v>
      </c>
      <c r="V272" s="348">
        <v>0</v>
      </c>
    </row>
    <row r="273" spans="1:22" ht="14.45" customHeight="1">
      <c r="A273" s="104" t="str">
        <f>IF(K273&gt;0,COUNT($A$8:A272)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3" s="112"/>
      <c r="C273" s="79"/>
      <c r="D273" s="158" t="s">
        <v>5694</v>
      </c>
      <c r="E273" s="106">
        <v>100024930</v>
      </c>
      <c r="F273" s="159" t="s">
        <v>5695</v>
      </c>
      <c r="G273" s="106">
        <v>10</v>
      </c>
      <c r="H273" s="106">
        <v>750</v>
      </c>
      <c r="I273" s="153">
        <f>_xlfn.XLOOKUP(E273,'All Products'!D:D,'All Products'!H:H)</f>
        <v>159.15</v>
      </c>
      <c r="J273" s="205">
        <f>ROUNDUP(I273*Order_Quote!$L$26,2)</f>
        <v>795.75</v>
      </c>
      <c r="K273" s="78"/>
      <c r="L273" s="116"/>
      <c r="M273" s="199">
        <f t="shared" si="5"/>
        <v>0</v>
      </c>
      <c r="O273" s="265" t="s">
        <v>359</v>
      </c>
      <c r="P273" s="265" t="s">
        <v>102</v>
      </c>
      <c r="Q273" s="265" t="s">
        <v>5696</v>
      </c>
      <c r="R273" s="265">
        <v>0</v>
      </c>
      <c r="S273" s="265" t="s">
        <v>5697</v>
      </c>
      <c r="T273" s="347">
        <v>1.7010000000000001</v>
      </c>
      <c r="U273" s="347">
        <v>17.55</v>
      </c>
      <c r="V273" s="348">
        <v>1.1000000000000001</v>
      </c>
    </row>
    <row r="274" spans="1:22" ht="14.45" customHeight="1">
      <c r="A274" s="104" t="str">
        <f>IF(K274&gt;0,COUNT($A$8:A273)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4" s="112"/>
      <c r="C274" s="79"/>
      <c r="D274" s="158" t="s">
        <v>5698</v>
      </c>
      <c r="E274" s="106">
        <v>100024940</v>
      </c>
      <c r="F274" s="159" t="s">
        <v>5699</v>
      </c>
      <c r="G274" s="106">
        <v>10</v>
      </c>
      <c r="H274" s="106">
        <v>750</v>
      </c>
      <c r="I274" s="153">
        <f>_xlfn.XLOOKUP(E274,'All Products'!D:D,'All Products'!H:H)</f>
        <v>159.15</v>
      </c>
      <c r="J274" s="205">
        <f>ROUNDUP(I274*Order_Quote!$L$26,2)</f>
        <v>795.75</v>
      </c>
      <c r="K274" s="78"/>
      <c r="L274" s="116"/>
      <c r="M274" s="199">
        <f t="shared" si="5"/>
        <v>0</v>
      </c>
      <c r="O274" s="265" t="s">
        <v>359</v>
      </c>
      <c r="P274" s="265" t="s">
        <v>102</v>
      </c>
      <c r="Q274" s="265" t="s">
        <v>5700</v>
      </c>
      <c r="R274" s="265">
        <v>0</v>
      </c>
      <c r="S274" s="265" t="s">
        <v>5701</v>
      </c>
      <c r="T274" s="347">
        <v>1.62</v>
      </c>
      <c r="U274" s="347">
        <v>16.55</v>
      </c>
      <c r="V274" s="348">
        <v>1.1000000000000001</v>
      </c>
    </row>
    <row r="275" spans="1:22" ht="14.45" customHeight="1">
      <c r="A275" s="104" t="str">
        <f>IF(K275&gt;0,COUNT($A$8:A274)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5" s="112"/>
      <c r="C275" s="79"/>
      <c r="D275" s="158" t="s">
        <v>5702</v>
      </c>
      <c r="E275" s="106">
        <v>100024053</v>
      </c>
      <c r="F275" s="159" t="s">
        <v>5703</v>
      </c>
      <c r="G275" s="106">
        <v>10</v>
      </c>
      <c r="H275" s="106">
        <v>240</v>
      </c>
      <c r="I275" s="153">
        <f>_xlfn.XLOOKUP(E275,'All Products'!D:D,'All Products'!H:H)</f>
        <v>170.28</v>
      </c>
      <c r="J275" s="205">
        <f>ROUNDUP(I275*Order_Quote!$L$26,2)</f>
        <v>851.4</v>
      </c>
      <c r="K275" s="78"/>
      <c r="L275" s="116"/>
      <c r="M275" s="199">
        <f t="shared" si="5"/>
        <v>0</v>
      </c>
      <c r="O275" s="265" t="s">
        <v>359</v>
      </c>
      <c r="P275" s="265" t="s">
        <v>102</v>
      </c>
      <c r="Q275" s="265" t="s">
        <v>5704</v>
      </c>
      <c r="R275" s="265">
        <v>0</v>
      </c>
      <c r="S275" s="265" t="s">
        <v>5705</v>
      </c>
      <c r="T275" s="347">
        <v>1.7989999999999999</v>
      </c>
      <c r="U275" s="347">
        <v>19.7</v>
      </c>
      <c r="V275" s="348">
        <v>2.77</v>
      </c>
    </row>
    <row r="276" spans="1:22" ht="14.45" customHeight="1">
      <c r="A276" s="104" t="str">
        <f>IF(K276&gt;0,COUNT($A$8:A275)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6" s="112"/>
      <c r="C276" s="79"/>
      <c r="D276" s="158" t="s">
        <v>5706</v>
      </c>
      <c r="E276" s="106">
        <v>100024946</v>
      </c>
      <c r="F276" s="159" t="s">
        <v>5707</v>
      </c>
      <c r="G276" s="106">
        <v>10</v>
      </c>
      <c r="H276" s="106">
        <v>750</v>
      </c>
      <c r="I276" s="153">
        <f>_xlfn.XLOOKUP(E276,'All Products'!D:D,'All Products'!H:H)</f>
        <v>159.15</v>
      </c>
      <c r="J276" s="205">
        <f>ROUNDUP(I276*Order_Quote!$L$26,2)</f>
        <v>795.75</v>
      </c>
      <c r="K276" s="78"/>
      <c r="L276" s="116"/>
      <c r="M276" s="199">
        <f t="shared" si="5"/>
        <v>0</v>
      </c>
      <c r="O276" s="265" t="s">
        <v>359</v>
      </c>
      <c r="P276" s="265" t="s">
        <v>102</v>
      </c>
      <c r="Q276" s="265" t="s">
        <v>5708</v>
      </c>
      <c r="R276" s="265">
        <v>0</v>
      </c>
      <c r="S276" s="265" t="s">
        <v>5709</v>
      </c>
      <c r="T276" s="347">
        <v>1.6020000000000001</v>
      </c>
      <c r="U276" s="347">
        <v>16.559999999999999</v>
      </c>
      <c r="V276" s="348">
        <v>1.1000000000000001</v>
      </c>
    </row>
    <row r="277" spans="1:22" ht="14.45" customHeight="1">
      <c r="A277" s="104" t="str">
        <f>IF(K277&gt;0,COUNT($A$8:A276)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7" s="112"/>
      <c r="C277" s="79"/>
      <c r="D277" s="158" t="s">
        <v>5710</v>
      </c>
      <c r="E277" s="106">
        <v>100024074</v>
      </c>
      <c r="F277" s="159" t="s">
        <v>5711</v>
      </c>
      <c r="G277" s="106">
        <v>10</v>
      </c>
      <c r="H277" s="106">
        <v>240</v>
      </c>
      <c r="I277" s="153">
        <f>_xlfn.XLOOKUP(E277,'All Products'!D:D,'All Products'!H:H)</f>
        <v>170.28</v>
      </c>
      <c r="J277" s="205">
        <f>ROUNDUP(I277*Order_Quote!$L$26,2)</f>
        <v>851.4</v>
      </c>
      <c r="K277" s="78"/>
      <c r="L277" s="116"/>
      <c r="M277" s="199">
        <f t="shared" si="5"/>
        <v>0</v>
      </c>
      <c r="O277" s="265" t="s">
        <v>359</v>
      </c>
      <c r="P277" s="265" t="s">
        <v>102</v>
      </c>
      <c r="Q277" s="265" t="s">
        <v>5712</v>
      </c>
      <c r="R277" s="265">
        <v>0</v>
      </c>
      <c r="S277" s="265" t="s">
        <v>5713</v>
      </c>
      <c r="T277" s="347">
        <v>1.778</v>
      </c>
      <c r="U277" s="347">
        <v>19</v>
      </c>
      <c r="V277" s="348">
        <v>2.77</v>
      </c>
    </row>
    <row r="278" spans="1:22" ht="14.45" customHeight="1">
      <c r="A278" s="104" t="str">
        <f>IF(K278&gt;0,COUNT($A$8:A277)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8" s="112"/>
      <c r="C278" s="79"/>
      <c r="D278" s="158" t="s">
        <v>5714</v>
      </c>
      <c r="E278" s="106">
        <v>100024105</v>
      </c>
      <c r="F278" s="159" t="s">
        <v>5715</v>
      </c>
      <c r="G278" s="106">
        <v>10</v>
      </c>
      <c r="H278" s="106">
        <v>750</v>
      </c>
      <c r="I278" s="153">
        <f>_xlfn.XLOOKUP(E278,'All Products'!D:D,'All Products'!H:H)</f>
        <v>159.15</v>
      </c>
      <c r="J278" s="205">
        <f>ROUNDUP(I278*Order_Quote!$L$26,2)</f>
        <v>795.75</v>
      </c>
      <c r="K278" s="78"/>
      <c r="L278" s="116"/>
      <c r="M278" s="199">
        <f t="shared" si="5"/>
        <v>0</v>
      </c>
      <c r="O278" s="265" t="s">
        <v>359</v>
      </c>
      <c r="P278" s="265" t="s">
        <v>102</v>
      </c>
      <c r="Q278" s="265" t="s">
        <v>5716</v>
      </c>
      <c r="R278" s="265">
        <v>0</v>
      </c>
      <c r="S278" s="265" t="s">
        <v>5717</v>
      </c>
      <c r="T278" s="347">
        <v>1.5580000000000001</v>
      </c>
      <c r="U278" s="347">
        <v>16.86</v>
      </c>
      <c r="V278" s="348">
        <v>1.1000000000000001</v>
      </c>
    </row>
    <row r="279" spans="1:22" ht="14.45" customHeight="1">
      <c r="A279" s="104" t="str">
        <f>IF(K279&gt;0,COUNT($A$8:A278)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79" s="112"/>
      <c r="C279" s="79"/>
      <c r="D279" s="158" t="s">
        <v>5718</v>
      </c>
      <c r="E279" s="106">
        <v>100024110</v>
      </c>
      <c r="F279" s="159" t="s">
        <v>5719</v>
      </c>
      <c r="G279" s="106">
        <v>10</v>
      </c>
      <c r="H279" s="106">
        <v>750</v>
      </c>
      <c r="I279" s="153">
        <f>_xlfn.XLOOKUP(E279,'All Products'!D:D,'All Products'!H:H)</f>
        <v>159.15</v>
      </c>
      <c r="J279" s="205">
        <f>ROUNDUP(I279*Order_Quote!$L$26,2)</f>
        <v>795.75</v>
      </c>
      <c r="K279" s="78"/>
      <c r="L279" s="116"/>
      <c r="M279" s="199">
        <f t="shared" si="5"/>
        <v>0</v>
      </c>
      <c r="O279" s="265" t="s">
        <v>359</v>
      </c>
      <c r="P279" s="265" t="s">
        <v>102</v>
      </c>
      <c r="Q279" s="265" t="s">
        <v>5720</v>
      </c>
      <c r="R279" s="265">
        <v>0</v>
      </c>
      <c r="S279" s="265" t="s">
        <v>5721</v>
      </c>
      <c r="T279" s="347">
        <v>1.6279999999999999</v>
      </c>
      <c r="U279" s="347">
        <v>16.86</v>
      </c>
      <c r="V279" s="348">
        <v>1.1000000000000001</v>
      </c>
    </row>
    <row r="280" spans="1:22" ht="14.45" customHeight="1">
      <c r="A280" s="104" t="str">
        <f>IF(K280&gt;0,COUNT($A$8:A279)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0" s="112"/>
      <c r="C280" s="79"/>
      <c r="D280" s="158" t="s">
        <v>5722</v>
      </c>
      <c r="E280" s="106">
        <v>100024956</v>
      </c>
      <c r="F280" s="159" t="s">
        <v>5639</v>
      </c>
      <c r="G280" s="106">
        <v>10</v>
      </c>
      <c r="H280" s="106">
        <v>180</v>
      </c>
      <c r="I280" s="153">
        <f>_xlfn.XLOOKUP(E280,'All Products'!D:D,'All Products'!H:H)</f>
        <v>200.04</v>
      </c>
      <c r="J280" s="205">
        <f>ROUNDUP(I280*Order_Quote!$L$26,2)</f>
        <v>1000.2</v>
      </c>
      <c r="K280" s="78"/>
      <c r="L280" s="116"/>
      <c r="M280" s="199">
        <f t="shared" si="5"/>
        <v>0</v>
      </c>
      <c r="O280" s="265" t="s">
        <v>359</v>
      </c>
      <c r="P280" s="265" t="s">
        <v>102</v>
      </c>
      <c r="Q280" s="265" t="s">
        <v>5723</v>
      </c>
      <c r="R280" s="265">
        <v>0</v>
      </c>
      <c r="S280" s="265" t="s">
        <v>5724</v>
      </c>
      <c r="T280" s="347">
        <v>2.5870000000000002</v>
      </c>
      <c r="U280" s="347">
        <v>25.3</v>
      </c>
      <c r="V280" s="348">
        <v>2.65</v>
      </c>
    </row>
    <row r="281" spans="1:22" ht="14.45" customHeight="1">
      <c r="A281" s="104" t="str">
        <f>IF(K281&gt;0,COUNT($A$8:A280)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1" s="112"/>
      <c r="C281" s="79"/>
      <c r="D281" s="158" t="s">
        <v>5725</v>
      </c>
      <c r="E281" s="106">
        <v>100024957</v>
      </c>
      <c r="F281" s="159" t="s">
        <v>5726</v>
      </c>
      <c r="G281" s="106">
        <v>10</v>
      </c>
      <c r="H281" s="106">
        <v>600</v>
      </c>
      <c r="I281" s="153">
        <f>_xlfn.XLOOKUP(E281,'All Products'!D:D,'All Products'!H:H)</f>
        <v>188.94</v>
      </c>
      <c r="J281" s="205">
        <f>ROUNDUP(I281*Order_Quote!$L$26,2)</f>
        <v>944.7</v>
      </c>
      <c r="K281" s="78"/>
      <c r="L281" s="116"/>
      <c r="M281" s="199">
        <f t="shared" si="5"/>
        <v>0</v>
      </c>
      <c r="O281" s="265" t="s">
        <v>359</v>
      </c>
      <c r="P281" s="265" t="s">
        <v>102</v>
      </c>
      <c r="Q281" s="265" t="s">
        <v>5727</v>
      </c>
      <c r="R281" s="265">
        <v>0</v>
      </c>
      <c r="S281" s="265" t="s">
        <v>5728</v>
      </c>
      <c r="T281" s="347">
        <v>2.4049999999999998</v>
      </c>
      <c r="U281" s="347">
        <v>23.25</v>
      </c>
      <c r="V281" s="348">
        <v>1.41</v>
      </c>
    </row>
    <row r="282" spans="1:22" ht="14.45" customHeight="1">
      <c r="A282" s="104" t="str">
        <f>IF(K282&gt;0,COUNT($A$8:A281)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2" s="112"/>
      <c r="C282" s="79"/>
      <c r="D282" s="158" t="s">
        <v>5729</v>
      </c>
      <c r="E282" s="106">
        <v>100024128</v>
      </c>
      <c r="F282" s="159" t="s">
        <v>5730</v>
      </c>
      <c r="G282" s="106">
        <v>10</v>
      </c>
      <c r="H282" s="106">
        <v>180</v>
      </c>
      <c r="I282" s="153">
        <f>_xlfn.XLOOKUP(E282,'All Products'!D:D,'All Products'!H:H)</f>
        <v>200.04</v>
      </c>
      <c r="J282" s="205">
        <f>ROUNDUP(I282*Order_Quote!$L$26,2)</f>
        <v>1000.2</v>
      </c>
      <c r="K282" s="78"/>
      <c r="L282" s="116"/>
      <c r="M282" s="199">
        <f t="shared" si="5"/>
        <v>0</v>
      </c>
      <c r="O282" s="265" t="s">
        <v>359</v>
      </c>
      <c r="P282" s="265" t="s">
        <v>102</v>
      </c>
      <c r="Q282" s="265" t="s">
        <v>5731</v>
      </c>
      <c r="R282" s="265">
        <v>0</v>
      </c>
      <c r="S282" s="265" t="s">
        <v>5732</v>
      </c>
      <c r="T282" s="347">
        <v>2.3450000000000002</v>
      </c>
      <c r="U282" s="347">
        <v>23.3</v>
      </c>
      <c r="V282" s="348">
        <v>2.65</v>
      </c>
    </row>
    <row r="283" spans="1:22" ht="14.45" customHeight="1">
      <c r="A283" s="104" t="str">
        <f>IF(K283&gt;0,COUNT($A$8:A282)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3" s="112"/>
      <c r="C283" s="79"/>
      <c r="D283" s="158" t="s">
        <v>5733</v>
      </c>
      <c r="E283" s="106">
        <v>100024132</v>
      </c>
      <c r="F283" s="159" t="s">
        <v>5734</v>
      </c>
      <c r="G283" s="106">
        <v>10</v>
      </c>
      <c r="H283" s="106">
        <v>600</v>
      </c>
      <c r="I283" s="153">
        <f>_xlfn.XLOOKUP(E283,'All Products'!D:D,'All Products'!H:H)</f>
        <v>200.04</v>
      </c>
      <c r="J283" s="205">
        <f>ROUNDUP(I283*Order_Quote!$L$26,2)</f>
        <v>1000.2</v>
      </c>
      <c r="K283" s="78"/>
      <c r="L283" s="116"/>
      <c r="M283" s="199">
        <f t="shared" si="5"/>
        <v>0</v>
      </c>
      <c r="O283" s="265" t="s">
        <v>359</v>
      </c>
      <c r="P283" s="265" t="s">
        <v>102</v>
      </c>
      <c r="Q283" s="265" t="s">
        <v>5735</v>
      </c>
      <c r="R283" s="265">
        <v>0</v>
      </c>
      <c r="S283" s="265" t="s">
        <v>5736</v>
      </c>
      <c r="T283" s="347">
        <v>2.3769999999999998</v>
      </c>
      <c r="U283" s="347">
        <v>20.2</v>
      </c>
      <c r="V283" s="348">
        <v>1.41</v>
      </c>
    </row>
    <row r="284" spans="1:22" ht="14.45" customHeight="1">
      <c r="A284" s="104" t="str">
        <f>IF(K284&gt;0,COUNT($A$8:A283)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4" s="112"/>
      <c r="C284" s="79"/>
      <c r="D284" s="158" t="s">
        <v>5737</v>
      </c>
      <c r="E284" s="106">
        <v>100024144</v>
      </c>
      <c r="F284" s="159" t="s">
        <v>5738</v>
      </c>
      <c r="G284" s="106">
        <v>10</v>
      </c>
      <c r="H284" s="106">
        <v>600</v>
      </c>
      <c r="I284" s="153">
        <f>_xlfn.XLOOKUP(E284,'All Products'!D:D,'All Products'!H:H)</f>
        <v>200.04</v>
      </c>
      <c r="J284" s="205">
        <f>ROUNDUP(I284*Order_Quote!$L$26,2)</f>
        <v>1000.2</v>
      </c>
      <c r="K284" s="78"/>
      <c r="L284" s="116"/>
      <c r="M284" s="199">
        <f t="shared" si="5"/>
        <v>0</v>
      </c>
      <c r="O284" s="265" t="s">
        <v>359</v>
      </c>
      <c r="P284" s="265" t="s">
        <v>102</v>
      </c>
      <c r="Q284" s="265" t="s">
        <v>5739</v>
      </c>
      <c r="R284" s="265">
        <v>0</v>
      </c>
      <c r="S284" s="265" t="s">
        <v>5740</v>
      </c>
      <c r="T284" s="347">
        <v>2.3290000000000002</v>
      </c>
      <c r="U284" s="347">
        <v>22.92</v>
      </c>
      <c r="V284" s="348">
        <v>1.41</v>
      </c>
    </row>
    <row r="285" spans="1:22" ht="14.45" customHeight="1">
      <c r="A285" s="104" t="str">
        <f>IF(K285&gt;0,COUNT($A$8:A284)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5" s="112"/>
      <c r="C285" s="79"/>
      <c r="D285" s="158" t="s">
        <v>5741</v>
      </c>
      <c r="E285" s="106">
        <v>100024147</v>
      </c>
      <c r="F285" s="159" t="s">
        <v>5742</v>
      </c>
      <c r="G285" s="106">
        <v>10</v>
      </c>
      <c r="H285" s="106">
        <v>600</v>
      </c>
      <c r="I285" s="153">
        <f>_xlfn.XLOOKUP(E285,'All Products'!D:D,'All Products'!H:H)</f>
        <v>188.94</v>
      </c>
      <c r="J285" s="205">
        <f>ROUNDUP(I285*Order_Quote!$L$26,2)</f>
        <v>944.7</v>
      </c>
      <c r="K285" s="78"/>
      <c r="L285" s="116"/>
      <c r="M285" s="199">
        <f t="shared" si="5"/>
        <v>0</v>
      </c>
      <c r="O285" s="265" t="s">
        <v>359</v>
      </c>
      <c r="P285" s="265" t="s">
        <v>102</v>
      </c>
      <c r="Q285" s="265" t="s">
        <v>5743</v>
      </c>
      <c r="R285" s="265">
        <v>0</v>
      </c>
      <c r="S285" s="265" t="s">
        <v>5744</v>
      </c>
      <c r="T285" s="347">
        <v>2.1469999999999998</v>
      </c>
      <c r="U285" s="347">
        <v>20.94</v>
      </c>
      <c r="V285" s="348">
        <v>1.25</v>
      </c>
    </row>
    <row r="286" spans="1:22" ht="14.45" customHeight="1">
      <c r="A286" s="104" t="str">
        <f>IF(K286&gt;0,COUNT($A$8:A285)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6" s="112"/>
      <c r="C286" s="79"/>
      <c r="D286" s="158" t="s">
        <v>5745</v>
      </c>
      <c r="E286" s="106">
        <v>100024212</v>
      </c>
      <c r="F286" s="159" t="s">
        <v>5746</v>
      </c>
      <c r="G286" s="106">
        <v>10</v>
      </c>
      <c r="H286" s="106">
        <v>180</v>
      </c>
      <c r="I286" s="153">
        <f>_xlfn.XLOOKUP(E286,'All Products'!D:D,'All Products'!H:H)</f>
        <v>200.04</v>
      </c>
      <c r="J286" s="205">
        <f>ROUNDUP(I286*Order_Quote!$L$26,2)</f>
        <v>1000.2</v>
      </c>
      <c r="K286" s="78"/>
      <c r="L286" s="116"/>
      <c r="M286" s="199">
        <f t="shared" si="5"/>
        <v>0</v>
      </c>
      <c r="O286" s="265" t="s">
        <v>359</v>
      </c>
      <c r="P286" s="265" t="s">
        <v>102</v>
      </c>
      <c r="Q286" s="265" t="s">
        <v>5747</v>
      </c>
      <c r="R286" s="265">
        <v>0</v>
      </c>
      <c r="S286" s="265" t="s">
        <v>5748</v>
      </c>
      <c r="T286" s="347">
        <v>2.3540000000000001</v>
      </c>
      <c r="U286" s="347">
        <v>23.45</v>
      </c>
      <c r="V286" s="348">
        <v>2.65</v>
      </c>
    </row>
    <row r="287" spans="1:22" ht="14.45" customHeight="1">
      <c r="A287" s="104" t="str">
        <f>IF(K287&gt;0,COUNT($A$8:A286)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7" s="112"/>
      <c r="C287" s="79"/>
      <c r="D287" s="158" t="s">
        <v>5749</v>
      </c>
      <c r="E287" s="106">
        <v>100024232</v>
      </c>
      <c r="F287" s="159" t="s">
        <v>5750</v>
      </c>
      <c r="G287" s="106">
        <v>10</v>
      </c>
      <c r="H287" s="106">
        <v>180</v>
      </c>
      <c r="I287" s="153">
        <f>_xlfn.XLOOKUP(E287,'All Products'!D:D,'All Products'!H:H)</f>
        <v>200.04</v>
      </c>
      <c r="J287" s="205">
        <f>ROUNDUP(I287*Order_Quote!$L$26,2)</f>
        <v>1000.2</v>
      </c>
      <c r="K287" s="78"/>
      <c r="L287" s="116"/>
      <c r="M287" s="199">
        <f t="shared" si="5"/>
        <v>0</v>
      </c>
      <c r="O287" s="265" t="s">
        <v>359</v>
      </c>
      <c r="P287" s="265" t="s">
        <v>102</v>
      </c>
      <c r="Q287" s="265" t="s">
        <v>5751</v>
      </c>
      <c r="R287" s="265">
        <v>0</v>
      </c>
      <c r="S287" s="265" t="s">
        <v>5752</v>
      </c>
      <c r="T287" s="347">
        <v>2.4319999999999999</v>
      </c>
      <c r="U287" s="347">
        <v>24.2</v>
      </c>
      <c r="V287" s="348">
        <v>2.65</v>
      </c>
    </row>
    <row r="288" spans="1:22" ht="14.45" customHeight="1">
      <c r="A288" s="104" t="str">
        <f>IF(K288&gt;0,COUNT($A$8:A287)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8" s="112"/>
      <c r="C288" s="79"/>
      <c r="D288" s="158" t="s">
        <v>5753</v>
      </c>
      <c r="E288" s="106">
        <v>100024247</v>
      </c>
      <c r="F288" s="159" t="s">
        <v>5754</v>
      </c>
      <c r="G288" s="106">
        <v>10</v>
      </c>
      <c r="H288" s="106">
        <v>600</v>
      </c>
      <c r="I288" s="153">
        <f>_xlfn.XLOOKUP(E288,'All Products'!D:D,'All Products'!H:H)</f>
        <v>200.04</v>
      </c>
      <c r="J288" s="205">
        <f>ROUNDUP(I288*Order_Quote!$L$26,2)</f>
        <v>1000.2</v>
      </c>
      <c r="K288" s="78"/>
      <c r="L288" s="116"/>
      <c r="M288" s="199">
        <f t="shared" si="5"/>
        <v>0</v>
      </c>
      <c r="O288" s="265" t="s">
        <v>359</v>
      </c>
      <c r="P288" s="265" t="s">
        <v>102</v>
      </c>
      <c r="Q288" s="265" t="s">
        <v>5755</v>
      </c>
      <c r="R288" s="265">
        <v>0</v>
      </c>
      <c r="S288" s="265" t="s">
        <v>5756</v>
      </c>
      <c r="T288" s="347">
        <v>2.3610000000000002</v>
      </c>
      <c r="U288" s="347">
        <v>24.44</v>
      </c>
      <c r="V288" s="348">
        <v>1.41</v>
      </c>
    </row>
    <row r="289" spans="1:22" ht="14.45" customHeight="1">
      <c r="A289" s="104" t="str">
        <f>IF(K289&gt;0,COUNT($A$8:A288)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89" s="112"/>
      <c r="C289" s="79"/>
      <c r="D289" s="158" t="s">
        <v>5757</v>
      </c>
      <c r="E289" s="106">
        <v>100024983</v>
      </c>
      <c r="F289" s="159" t="s">
        <v>5758</v>
      </c>
      <c r="G289" s="106">
        <v>10</v>
      </c>
      <c r="H289" s="106">
        <v>180</v>
      </c>
      <c r="I289" s="153">
        <f>_xlfn.XLOOKUP(E289,'All Products'!D:D,'All Products'!H:H)</f>
        <v>200.04</v>
      </c>
      <c r="J289" s="205">
        <f>ROUNDUP(I289*Order_Quote!$L$26,2)</f>
        <v>1000.2</v>
      </c>
      <c r="K289" s="78"/>
      <c r="L289" s="116"/>
      <c r="M289" s="199">
        <f t="shared" si="5"/>
        <v>0</v>
      </c>
      <c r="O289" s="265" t="s">
        <v>359</v>
      </c>
      <c r="P289" s="265" t="s">
        <v>102</v>
      </c>
      <c r="Q289" s="265" t="s">
        <v>5759</v>
      </c>
      <c r="R289" s="265">
        <v>0</v>
      </c>
      <c r="S289" s="265" t="s">
        <v>5760</v>
      </c>
      <c r="T289" s="347">
        <v>2.5</v>
      </c>
      <c r="U289" s="347">
        <v>24.59</v>
      </c>
      <c r="V289" s="348">
        <v>2.65</v>
      </c>
    </row>
    <row r="290" spans="1:22" ht="14.45" customHeight="1">
      <c r="A290" s="104" t="str">
        <f>IF(K290&gt;0,COUNT($A$8:A289)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0" s="112"/>
      <c r="C290" s="79"/>
      <c r="D290" s="158" t="s">
        <v>5761</v>
      </c>
      <c r="E290" s="106">
        <v>100024295</v>
      </c>
      <c r="F290" s="159" t="s">
        <v>5762</v>
      </c>
      <c r="G290" s="106">
        <v>10</v>
      </c>
      <c r="H290" s="106">
        <v>240</v>
      </c>
      <c r="I290" s="153">
        <f>_xlfn.XLOOKUP(E290,'All Products'!D:D,'All Products'!H:H)</f>
        <v>211.05</v>
      </c>
      <c r="J290" s="205">
        <f>ROUNDUP(I290*Order_Quote!$L$26,2)</f>
        <v>1055.25</v>
      </c>
      <c r="K290" s="78"/>
      <c r="L290" s="116"/>
      <c r="M290" s="199">
        <f t="shared" ref="M290:M320" si="6">K290/G290</f>
        <v>0</v>
      </c>
      <c r="O290" s="265" t="s">
        <v>359</v>
      </c>
      <c r="P290" s="265" t="s">
        <v>102</v>
      </c>
      <c r="Q290" s="265" t="s">
        <v>5763</v>
      </c>
      <c r="R290" s="265">
        <v>0</v>
      </c>
      <c r="S290" s="265" t="s">
        <v>5764</v>
      </c>
      <c r="T290" s="347">
        <v>2.774</v>
      </c>
      <c r="U290" s="347">
        <v>27.6</v>
      </c>
      <c r="V290" s="348">
        <v>2.77</v>
      </c>
    </row>
    <row r="291" spans="1:22" ht="14.45" customHeight="1">
      <c r="A291" s="104" t="str">
        <f>IF(K291&gt;0,COUNT($A$8:A290)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1" s="112"/>
      <c r="C291" s="79"/>
      <c r="D291" s="158" t="s">
        <v>5765</v>
      </c>
      <c r="E291" s="106">
        <v>100024994</v>
      </c>
      <c r="F291" s="159" t="s">
        <v>5766</v>
      </c>
      <c r="G291" s="106">
        <v>10</v>
      </c>
      <c r="H291" s="106">
        <v>600</v>
      </c>
      <c r="I291" s="153">
        <f>_xlfn.XLOOKUP(E291,'All Products'!D:D,'All Products'!H:H)</f>
        <v>200.04</v>
      </c>
      <c r="J291" s="205">
        <f>ROUNDUP(I291*Order_Quote!$L$26,2)</f>
        <v>1000.2</v>
      </c>
      <c r="K291" s="78"/>
      <c r="L291" s="116"/>
      <c r="M291" s="199">
        <f t="shared" si="6"/>
        <v>0</v>
      </c>
      <c r="O291" s="265" t="s">
        <v>359</v>
      </c>
      <c r="P291" s="265" t="s">
        <v>102</v>
      </c>
      <c r="Q291" s="265" t="s">
        <v>5767</v>
      </c>
      <c r="R291" s="265">
        <v>0</v>
      </c>
      <c r="S291" s="265" t="s">
        <v>5768</v>
      </c>
      <c r="T291" s="347">
        <v>2.371</v>
      </c>
      <c r="U291" s="347">
        <v>22.1</v>
      </c>
      <c r="V291" s="348">
        <v>1.41</v>
      </c>
    </row>
    <row r="292" spans="1:22" ht="14.45" customHeight="1">
      <c r="A292" s="104" t="str">
        <f>IF(K292&gt;0,COUNT($A$8:A291)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2" s="112"/>
      <c r="C292" s="79"/>
      <c r="D292" s="158" t="s">
        <v>5769</v>
      </c>
      <c r="E292" s="106">
        <v>100024999</v>
      </c>
      <c r="F292" s="159" t="s">
        <v>5770</v>
      </c>
      <c r="G292" s="106">
        <v>10</v>
      </c>
      <c r="H292" s="106">
        <v>180</v>
      </c>
      <c r="I292" s="153">
        <f>_xlfn.XLOOKUP(E292,'All Products'!D:D,'All Products'!H:H)</f>
        <v>275.58</v>
      </c>
      <c r="J292" s="205">
        <f>ROUNDUP(I292*Order_Quote!$L$26,2)</f>
        <v>1377.9</v>
      </c>
      <c r="K292" s="78"/>
      <c r="L292" s="116"/>
      <c r="M292" s="199">
        <f t="shared" si="6"/>
        <v>0</v>
      </c>
      <c r="O292" s="265" t="s">
        <v>359</v>
      </c>
      <c r="P292" s="265" t="s">
        <v>102</v>
      </c>
      <c r="Q292" s="265" t="s">
        <v>5771</v>
      </c>
      <c r="R292" s="265">
        <v>0</v>
      </c>
      <c r="S292" s="265" t="s">
        <v>5772</v>
      </c>
      <c r="T292" s="347">
        <v>3.1360000000000001</v>
      </c>
      <c r="U292" s="347">
        <v>32</v>
      </c>
      <c r="V292" s="348">
        <v>2.65</v>
      </c>
    </row>
    <row r="293" spans="1:22" ht="14.45" customHeight="1">
      <c r="A293" s="104" t="str">
        <f>IF(K293&gt;0,COUNT($A$8:A292)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3" s="112"/>
      <c r="C293" s="79"/>
      <c r="D293" s="158" t="s">
        <v>5773</v>
      </c>
      <c r="E293" s="106">
        <v>100024338</v>
      </c>
      <c r="F293" s="159" t="s">
        <v>5774</v>
      </c>
      <c r="G293" s="106">
        <v>10</v>
      </c>
      <c r="H293" s="106">
        <v>180</v>
      </c>
      <c r="I293" s="153">
        <f>_xlfn.XLOOKUP(E293,'All Products'!D:D,'All Products'!H:H)</f>
        <v>229.35</v>
      </c>
      <c r="J293" s="205">
        <f>ROUNDUP(I293*Order_Quote!$L$26,2)</f>
        <v>1146.75</v>
      </c>
      <c r="K293" s="78"/>
      <c r="L293" s="116"/>
      <c r="M293" s="199">
        <f t="shared" si="6"/>
        <v>0</v>
      </c>
      <c r="O293" s="265" t="s">
        <v>359</v>
      </c>
      <c r="P293" s="265" t="s">
        <v>102</v>
      </c>
      <c r="Q293" s="265" t="s">
        <v>5775</v>
      </c>
      <c r="R293" s="265">
        <v>0</v>
      </c>
      <c r="S293" s="265" t="s">
        <v>5776</v>
      </c>
      <c r="T293" s="347">
        <v>2.9249999999999998</v>
      </c>
      <c r="U293" s="347">
        <v>30</v>
      </c>
      <c r="V293" s="348">
        <v>2.65</v>
      </c>
    </row>
    <row r="294" spans="1:22" ht="14.45" customHeight="1">
      <c r="A294" s="104" t="str">
        <f>IF(K294&gt;0,COUNT($A$8:A293)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4" s="112"/>
      <c r="C294" s="79"/>
      <c r="D294" s="158" t="s">
        <v>5777</v>
      </c>
      <c r="E294" s="106">
        <v>100024340</v>
      </c>
      <c r="F294" s="159" t="s">
        <v>5778</v>
      </c>
      <c r="G294" s="106">
        <v>10</v>
      </c>
      <c r="H294" s="106">
        <v>180</v>
      </c>
      <c r="I294" s="153">
        <f>_xlfn.XLOOKUP(E294,'All Products'!D:D,'All Products'!H:H)</f>
        <v>275.58</v>
      </c>
      <c r="J294" s="205">
        <f>ROUNDUP(I294*Order_Quote!$L$26,2)</f>
        <v>1377.9</v>
      </c>
      <c r="K294" s="78"/>
      <c r="L294" s="116"/>
      <c r="M294" s="199">
        <f t="shared" si="6"/>
        <v>0</v>
      </c>
      <c r="O294" s="265" t="s">
        <v>359</v>
      </c>
      <c r="P294" s="265" t="s">
        <v>102</v>
      </c>
      <c r="Q294" s="265" t="s">
        <v>5779</v>
      </c>
      <c r="R294" s="265">
        <v>0</v>
      </c>
      <c r="S294" s="265" t="s">
        <v>5780</v>
      </c>
      <c r="T294" s="347">
        <v>3.0819999999999999</v>
      </c>
      <c r="U294" s="347">
        <v>27.5</v>
      </c>
      <c r="V294" s="348">
        <v>2.65</v>
      </c>
    </row>
    <row r="295" spans="1:22" ht="14.45" customHeight="1">
      <c r="A295" s="104" t="str">
        <f>IF(K295&gt;0,COUNT($A$8:A294)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5" s="112"/>
      <c r="C295" s="79"/>
      <c r="D295" s="158" t="s">
        <v>5781</v>
      </c>
      <c r="E295" s="106">
        <v>100025012</v>
      </c>
      <c r="F295" s="159" t="s">
        <v>5782</v>
      </c>
      <c r="G295" s="106">
        <v>10</v>
      </c>
      <c r="H295" s="106">
        <v>180</v>
      </c>
      <c r="I295" s="153">
        <f>_xlfn.XLOOKUP(E295,'All Products'!D:D,'All Products'!H:H)</f>
        <v>240.47</v>
      </c>
      <c r="J295" s="205">
        <f>ROUNDUP(I295*Order_Quote!$L$26,2)</f>
        <v>1202.3499999999999</v>
      </c>
      <c r="K295" s="78"/>
      <c r="L295" s="116"/>
      <c r="M295" s="199">
        <f t="shared" si="6"/>
        <v>0</v>
      </c>
      <c r="O295" s="265" t="s">
        <v>76</v>
      </c>
      <c r="P295" s="265" t="s">
        <v>102</v>
      </c>
      <c r="Q295" s="265" t="s">
        <v>5783</v>
      </c>
      <c r="R295" s="265">
        <v>0</v>
      </c>
      <c r="S295" s="265" t="s">
        <v>5784</v>
      </c>
      <c r="T295" s="347">
        <v>2.9039999999999999</v>
      </c>
      <c r="U295" s="347">
        <v>30.3</v>
      </c>
      <c r="V295" s="348">
        <v>2.65</v>
      </c>
    </row>
    <row r="296" spans="1:22" ht="14.45" customHeight="1">
      <c r="A296" s="104" t="str">
        <f>IF(K296&gt;0,COUNT($A$8:A295)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6" s="112"/>
      <c r="C296" s="79"/>
      <c r="D296" s="158" t="s">
        <v>5785</v>
      </c>
      <c r="E296" s="106">
        <v>100025013</v>
      </c>
      <c r="F296" s="159" t="s">
        <v>5786</v>
      </c>
      <c r="G296" s="106">
        <v>10</v>
      </c>
      <c r="H296" s="106">
        <v>240</v>
      </c>
      <c r="I296" s="153">
        <f>_xlfn.XLOOKUP(E296,'All Products'!D:D,'All Products'!H:H)</f>
        <v>251.51</v>
      </c>
      <c r="J296" s="205">
        <f>ROUNDUP(I296*Order_Quote!$L$26,2)</f>
        <v>1257.55</v>
      </c>
      <c r="K296" s="78"/>
      <c r="L296" s="116"/>
      <c r="M296" s="199">
        <f t="shared" si="6"/>
        <v>0</v>
      </c>
      <c r="O296" s="265" t="s">
        <v>359</v>
      </c>
      <c r="P296" s="265" t="s">
        <v>102</v>
      </c>
      <c r="Q296" s="265" t="s">
        <v>5787</v>
      </c>
      <c r="R296" s="265">
        <v>0</v>
      </c>
      <c r="S296" s="265" t="s">
        <v>5788</v>
      </c>
      <c r="T296" s="347">
        <v>3.2189999999999999</v>
      </c>
      <c r="U296" s="347">
        <v>33.75</v>
      </c>
      <c r="V296" s="348">
        <v>2.77</v>
      </c>
    </row>
    <row r="297" spans="1:22" ht="14.45" customHeight="1">
      <c r="A297" s="104" t="str">
        <f>IF(K297&gt;0,COUNT($A$8:A296)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7" s="112"/>
      <c r="C297" s="79"/>
      <c r="D297" s="158" t="s">
        <v>5789</v>
      </c>
      <c r="E297" s="106">
        <v>100024381</v>
      </c>
      <c r="F297" s="159" t="s">
        <v>5790</v>
      </c>
      <c r="G297" s="106">
        <v>10</v>
      </c>
      <c r="H297" s="106">
        <v>900</v>
      </c>
      <c r="I297" s="153">
        <f>_xlfn.XLOOKUP(E297,'All Products'!D:D,'All Products'!H:H)</f>
        <v>229.35</v>
      </c>
      <c r="J297" s="205">
        <f>ROUNDUP(I297*Order_Quote!$L$26,2)</f>
        <v>1146.75</v>
      </c>
      <c r="K297" s="78"/>
      <c r="L297" s="116"/>
      <c r="M297" s="199">
        <f t="shared" si="6"/>
        <v>0</v>
      </c>
      <c r="O297" s="265" t="s">
        <v>359</v>
      </c>
      <c r="P297" s="265" t="s">
        <v>102</v>
      </c>
      <c r="Q297" s="265" t="s">
        <v>5791</v>
      </c>
      <c r="R297" s="265">
        <v>0</v>
      </c>
      <c r="S297" s="265" t="s">
        <v>5792</v>
      </c>
      <c r="T297" s="347">
        <v>2.6930000000000001</v>
      </c>
      <c r="U297" s="347">
        <v>27.6</v>
      </c>
      <c r="V297" s="348">
        <v>0.8</v>
      </c>
    </row>
    <row r="298" spans="1:22" ht="14.45" customHeight="1">
      <c r="A298" s="104" t="str">
        <f>IF(K298&gt;0,COUNT($A$8:A297)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8" s="112"/>
      <c r="C298" s="79"/>
      <c r="D298" s="158" t="s">
        <v>5793</v>
      </c>
      <c r="E298" s="106">
        <v>100024394</v>
      </c>
      <c r="F298" s="159" t="s">
        <v>5794</v>
      </c>
      <c r="G298" s="106">
        <v>10</v>
      </c>
      <c r="H298" s="106">
        <v>180</v>
      </c>
      <c r="I298" s="153">
        <f>_xlfn.XLOOKUP(E298,'All Products'!D:D,'All Products'!H:H)</f>
        <v>240.47</v>
      </c>
      <c r="J298" s="205">
        <f>ROUNDUP(I298*Order_Quote!$L$26,2)</f>
        <v>1202.3499999999999</v>
      </c>
      <c r="K298" s="78"/>
      <c r="L298" s="116"/>
      <c r="M298" s="199">
        <f t="shared" si="6"/>
        <v>0</v>
      </c>
      <c r="O298" s="265" t="s">
        <v>359</v>
      </c>
      <c r="P298" s="265" t="s">
        <v>102</v>
      </c>
      <c r="Q298" s="265" t="s">
        <v>5795</v>
      </c>
      <c r="R298" s="265">
        <v>0</v>
      </c>
      <c r="S298" s="265" t="s">
        <v>5796</v>
      </c>
      <c r="T298" s="347">
        <v>2.7429999999999999</v>
      </c>
      <c r="U298" s="347">
        <v>25</v>
      </c>
      <c r="V298" s="348">
        <v>2.65</v>
      </c>
    </row>
    <row r="299" spans="1:22" ht="14.45" customHeight="1">
      <c r="A299" s="104" t="str">
        <f>IF(K299&gt;0,COUNT($A$8:A298)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299" s="112"/>
      <c r="C299" s="79"/>
      <c r="D299" s="158" t="s">
        <v>5797</v>
      </c>
      <c r="E299" s="106">
        <v>100025016</v>
      </c>
      <c r="F299" s="159" t="s">
        <v>5798</v>
      </c>
      <c r="G299" s="106">
        <v>10</v>
      </c>
      <c r="H299" s="106">
        <v>180</v>
      </c>
      <c r="I299" s="153">
        <f>_xlfn.XLOOKUP(E299,'All Products'!D:D,'All Products'!H:H)</f>
        <v>240.47</v>
      </c>
      <c r="J299" s="205">
        <f>ROUNDUP(I299*Order_Quote!$L$26,2)</f>
        <v>1202.3499999999999</v>
      </c>
      <c r="K299" s="78"/>
      <c r="L299" s="116"/>
      <c r="M299" s="199">
        <f t="shared" si="6"/>
        <v>0</v>
      </c>
      <c r="O299" s="265" t="s">
        <v>359</v>
      </c>
      <c r="P299" s="265" t="s">
        <v>102</v>
      </c>
      <c r="Q299" s="265" t="s">
        <v>5799</v>
      </c>
      <c r="R299" s="265">
        <v>0</v>
      </c>
      <c r="S299" s="265" t="s">
        <v>5800</v>
      </c>
      <c r="T299" s="347">
        <v>2.8490000000000002</v>
      </c>
      <c r="U299" s="347">
        <v>30.14</v>
      </c>
      <c r="V299" s="348">
        <v>2.65</v>
      </c>
    </row>
    <row r="300" spans="1:22" ht="14.45" customHeight="1">
      <c r="A300" s="104" t="str">
        <f>IF(K300&gt;0,COUNT($A$8:A299)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0" s="112"/>
      <c r="C300" s="79"/>
      <c r="D300" s="158" t="s">
        <v>5801</v>
      </c>
      <c r="E300" s="106">
        <v>100024395</v>
      </c>
      <c r="F300" s="159" t="s">
        <v>5802</v>
      </c>
      <c r="G300" s="106">
        <v>10</v>
      </c>
      <c r="H300" s="106">
        <v>180</v>
      </c>
      <c r="I300" s="153">
        <f>_xlfn.XLOOKUP(E300,'All Products'!D:D,'All Products'!H:H)</f>
        <v>251.51</v>
      </c>
      <c r="J300" s="205">
        <f>ROUNDUP(I300*Order_Quote!$L$26,2)</f>
        <v>1257.55</v>
      </c>
      <c r="K300" s="78"/>
      <c r="L300" s="116"/>
      <c r="M300" s="199">
        <f t="shared" si="6"/>
        <v>0</v>
      </c>
      <c r="O300" s="265" t="s">
        <v>359</v>
      </c>
      <c r="P300" s="265" t="s">
        <v>102</v>
      </c>
      <c r="Q300" s="265" t="s">
        <v>5803</v>
      </c>
      <c r="R300" s="265">
        <v>0</v>
      </c>
      <c r="S300" s="265" t="s">
        <v>5804</v>
      </c>
      <c r="T300" s="347">
        <v>2.9380000000000002</v>
      </c>
      <c r="U300" s="347">
        <v>32</v>
      </c>
      <c r="V300" s="348">
        <v>2.65</v>
      </c>
    </row>
    <row r="301" spans="1:22" ht="14.45" customHeight="1">
      <c r="A301" s="104" t="str">
        <f>IF(K301&gt;0,COUNT($A$8:A300)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1" s="112"/>
      <c r="C301" s="79"/>
      <c r="D301" s="158" t="s">
        <v>5805</v>
      </c>
      <c r="E301" s="106">
        <v>100024396</v>
      </c>
      <c r="F301" s="159" t="s">
        <v>5806</v>
      </c>
      <c r="G301" s="106">
        <v>10</v>
      </c>
      <c r="H301" s="106">
        <v>180</v>
      </c>
      <c r="I301" s="153">
        <f>_xlfn.XLOOKUP(E301,'All Products'!D:D,'All Products'!H:H)</f>
        <v>251.51</v>
      </c>
      <c r="J301" s="205">
        <f>ROUNDUP(I301*Order_Quote!$L$26,2)</f>
        <v>1257.55</v>
      </c>
      <c r="K301" s="78"/>
      <c r="L301" s="116"/>
      <c r="M301" s="199">
        <f t="shared" si="6"/>
        <v>0</v>
      </c>
      <c r="O301" s="265" t="s">
        <v>359</v>
      </c>
      <c r="P301" s="265" t="s">
        <v>102</v>
      </c>
      <c r="Q301" s="265" t="s">
        <v>5807</v>
      </c>
      <c r="R301" s="265">
        <v>0</v>
      </c>
      <c r="S301" s="265" t="s">
        <v>5808</v>
      </c>
      <c r="T301" s="347">
        <v>3.0680000000000001</v>
      </c>
      <c r="U301" s="347">
        <v>32.700000000000003</v>
      </c>
      <c r="V301" s="348">
        <v>4.38</v>
      </c>
    </row>
    <row r="302" spans="1:22" ht="14.45" customHeight="1">
      <c r="A302" s="104" t="str">
        <f>IF(K302&gt;0,COUNT($A$8:A301)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2" s="112"/>
      <c r="C302" s="79"/>
      <c r="D302" s="158" t="s">
        <v>5809</v>
      </c>
      <c r="E302" s="106">
        <v>100025017</v>
      </c>
      <c r="F302" s="159" t="s">
        <v>5810</v>
      </c>
      <c r="G302" s="106">
        <v>10</v>
      </c>
      <c r="H302" s="106">
        <v>180</v>
      </c>
      <c r="I302" s="153">
        <f>_xlfn.XLOOKUP(E302,'All Products'!D:D,'All Products'!H:H)</f>
        <v>251.51</v>
      </c>
      <c r="J302" s="205">
        <f>ROUNDUP(I302*Order_Quote!$L$26,2)</f>
        <v>1257.55</v>
      </c>
      <c r="K302" s="78"/>
      <c r="L302" s="116"/>
      <c r="M302" s="199">
        <f t="shared" si="6"/>
        <v>0</v>
      </c>
      <c r="O302" s="265" t="s">
        <v>359</v>
      </c>
      <c r="P302" s="265" t="s">
        <v>102</v>
      </c>
      <c r="Q302" s="265" t="s">
        <v>5811</v>
      </c>
      <c r="R302" s="265">
        <v>0</v>
      </c>
      <c r="S302" s="265" t="s">
        <v>5812</v>
      </c>
      <c r="T302" s="347">
        <v>3.1640000000000001</v>
      </c>
      <c r="U302" s="347">
        <v>33.44</v>
      </c>
      <c r="V302" s="348">
        <v>4.38</v>
      </c>
    </row>
    <row r="303" spans="1:22" ht="14.45" customHeight="1">
      <c r="A303" s="104" t="str">
        <f>IF(K303&gt;0,COUNT($A$8:A302)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3" s="112"/>
      <c r="C303" s="79"/>
      <c r="D303" s="158" t="s">
        <v>5813</v>
      </c>
      <c r="E303" s="106">
        <v>100025018</v>
      </c>
      <c r="F303" s="159" t="s">
        <v>5814</v>
      </c>
      <c r="G303" s="106">
        <v>10</v>
      </c>
      <c r="H303" s="106">
        <v>180</v>
      </c>
      <c r="I303" s="153">
        <f>_xlfn.XLOOKUP(E303,'All Products'!D:D,'All Products'!H:H)</f>
        <v>240.47</v>
      </c>
      <c r="J303" s="205">
        <f>ROUNDUP(I303*Order_Quote!$L$26,2)</f>
        <v>1202.3499999999999</v>
      </c>
      <c r="K303" s="78"/>
      <c r="L303" s="116"/>
      <c r="M303" s="199">
        <f t="shared" si="6"/>
        <v>0</v>
      </c>
      <c r="O303" s="265" t="s">
        <v>359</v>
      </c>
      <c r="P303" s="265" t="s">
        <v>102</v>
      </c>
      <c r="Q303" s="265" t="s">
        <v>5815</v>
      </c>
      <c r="R303" s="265">
        <v>0</v>
      </c>
      <c r="S303" s="265" t="s">
        <v>5816</v>
      </c>
      <c r="T303" s="347">
        <v>2.8639999999999999</v>
      </c>
      <c r="U303" s="347">
        <v>29.7</v>
      </c>
      <c r="V303" s="348">
        <v>2.65</v>
      </c>
    </row>
    <row r="304" spans="1:22" ht="14.45" customHeight="1">
      <c r="A304" s="104" t="str">
        <f>IF(K304&gt;0,COUNT($A$8:A303)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4" s="112"/>
      <c r="C304" s="79"/>
      <c r="D304" s="158" t="s">
        <v>5817</v>
      </c>
      <c r="E304" s="106">
        <v>100024421</v>
      </c>
      <c r="F304" s="159" t="s">
        <v>5818</v>
      </c>
      <c r="G304" s="106">
        <v>10</v>
      </c>
      <c r="H304" s="106">
        <v>180</v>
      </c>
      <c r="I304" s="153">
        <f>_xlfn.XLOOKUP(E304,'All Products'!D:D,'All Products'!H:H)</f>
        <v>240.47</v>
      </c>
      <c r="J304" s="205">
        <f>ROUNDUP(I304*Order_Quote!$L$26,2)</f>
        <v>1202.3499999999999</v>
      </c>
      <c r="K304" s="78"/>
      <c r="L304" s="116"/>
      <c r="M304" s="199">
        <f t="shared" si="6"/>
        <v>0</v>
      </c>
      <c r="O304" s="265" t="s">
        <v>359</v>
      </c>
      <c r="P304" s="265" t="s">
        <v>102</v>
      </c>
      <c r="Q304" s="265" t="s">
        <v>5819</v>
      </c>
      <c r="R304" s="265">
        <v>0</v>
      </c>
      <c r="S304" s="265" t="s">
        <v>5820</v>
      </c>
      <c r="T304" s="347">
        <v>2.9220000000000002</v>
      </c>
      <c r="U304" s="347">
        <v>30.1</v>
      </c>
      <c r="V304" s="348">
        <v>2.65</v>
      </c>
    </row>
    <row r="305" spans="1:22" ht="14.45" customHeight="1">
      <c r="A305" s="104" t="str">
        <f>IF(K305&gt;0,COUNT($A$8:A304)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5" s="112"/>
      <c r="C305" s="79"/>
      <c r="D305" s="158" t="s">
        <v>5821</v>
      </c>
      <c r="E305" s="106">
        <v>100024432</v>
      </c>
      <c r="F305" s="159" t="s">
        <v>5822</v>
      </c>
      <c r="G305" s="106">
        <v>10</v>
      </c>
      <c r="H305" s="106">
        <v>180</v>
      </c>
      <c r="I305" s="153">
        <f>_xlfn.XLOOKUP(E305,'All Products'!D:D,'All Products'!H:H)</f>
        <v>240.47</v>
      </c>
      <c r="J305" s="205">
        <f>ROUNDUP(I305*Order_Quote!$L$26,2)</f>
        <v>1202.3499999999999</v>
      </c>
      <c r="K305" s="78"/>
      <c r="L305" s="116"/>
      <c r="M305" s="199">
        <f t="shared" si="6"/>
        <v>0</v>
      </c>
      <c r="O305" s="265" t="s">
        <v>359</v>
      </c>
      <c r="P305" s="265" t="s">
        <v>102</v>
      </c>
      <c r="Q305" s="265" t="s">
        <v>5823</v>
      </c>
      <c r="R305" s="265">
        <v>0</v>
      </c>
      <c r="S305" s="265" t="s">
        <v>5824</v>
      </c>
      <c r="T305" s="347">
        <v>2.7610000000000001</v>
      </c>
      <c r="U305" s="347">
        <v>29.42</v>
      </c>
      <c r="V305" s="348">
        <v>2.65</v>
      </c>
    </row>
    <row r="306" spans="1:22" ht="14.45" customHeight="1">
      <c r="A306" s="104" t="str">
        <f>IF(K306&gt;0,COUNT($A$8:A305)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6" s="112"/>
      <c r="C306" s="79"/>
      <c r="D306" s="158" t="s">
        <v>5825</v>
      </c>
      <c r="E306" s="106">
        <v>100024433</v>
      </c>
      <c r="F306" s="159" t="s">
        <v>5826</v>
      </c>
      <c r="G306" s="106">
        <v>10</v>
      </c>
      <c r="H306" s="106">
        <v>180</v>
      </c>
      <c r="I306" s="153">
        <f>_xlfn.XLOOKUP(E306,'All Products'!D:D,'All Products'!H:H)</f>
        <v>240.47</v>
      </c>
      <c r="J306" s="205">
        <f>ROUNDUP(I306*Order_Quote!$L$26,2)</f>
        <v>1202.3499999999999</v>
      </c>
      <c r="K306" s="78"/>
      <c r="L306" s="116"/>
      <c r="M306" s="199">
        <f t="shared" si="6"/>
        <v>0</v>
      </c>
      <c r="O306" s="265" t="s">
        <v>359</v>
      </c>
      <c r="P306" s="265" t="s">
        <v>102</v>
      </c>
      <c r="Q306" s="265" t="s">
        <v>5827</v>
      </c>
      <c r="R306" s="265">
        <v>0</v>
      </c>
      <c r="S306" s="265" t="s">
        <v>5828</v>
      </c>
      <c r="T306" s="347">
        <v>2.867</v>
      </c>
      <c r="U306" s="347">
        <v>31</v>
      </c>
      <c r="V306" s="348">
        <v>2.65</v>
      </c>
    </row>
    <row r="307" spans="1:22" ht="14.45" customHeight="1">
      <c r="A307" s="104" t="str">
        <f>IF(K307&gt;0,COUNT($A$8:A306)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7" s="112"/>
      <c r="C307" s="79"/>
      <c r="D307" s="158" t="s">
        <v>5829</v>
      </c>
      <c r="E307" s="106">
        <v>100024480</v>
      </c>
      <c r="F307" s="159" t="s">
        <v>5830</v>
      </c>
      <c r="G307" s="106">
        <v>10</v>
      </c>
      <c r="H307" s="106">
        <v>180</v>
      </c>
      <c r="I307" s="153">
        <f>_xlfn.XLOOKUP(E307,'All Products'!D:D,'All Products'!H:H)</f>
        <v>240.47</v>
      </c>
      <c r="J307" s="205">
        <f>ROUNDUP(I307*Order_Quote!$L$26,2)</f>
        <v>1202.3499999999999</v>
      </c>
      <c r="K307" s="78"/>
      <c r="L307" s="116"/>
      <c r="M307" s="199">
        <f t="shared" si="6"/>
        <v>0</v>
      </c>
      <c r="O307" s="265" t="s">
        <v>359</v>
      </c>
      <c r="P307" s="265" t="s">
        <v>102</v>
      </c>
      <c r="Q307" s="265" t="s">
        <v>5831</v>
      </c>
      <c r="R307" s="265">
        <v>0</v>
      </c>
      <c r="S307" s="265" t="s">
        <v>5832</v>
      </c>
      <c r="T307" s="347">
        <v>2.7170000000000001</v>
      </c>
      <c r="U307" s="347">
        <v>30</v>
      </c>
      <c r="V307" s="348">
        <v>2.65</v>
      </c>
    </row>
    <row r="308" spans="1:22" ht="14.45" customHeight="1">
      <c r="A308" s="104" t="str">
        <f>IF(K308&gt;0,COUNT($A$8:A307)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8" s="112"/>
      <c r="C308" s="79"/>
      <c r="D308" s="158" t="s">
        <v>5833</v>
      </c>
      <c r="E308" s="106">
        <v>100024481</v>
      </c>
      <c r="F308" s="159" t="s">
        <v>5834</v>
      </c>
      <c r="G308" s="106">
        <v>10</v>
      </c>
      <c r="H308" s="106" t="s">
        <v>2803</v>
      </c>
      <c r="I308" s="153">
        <f>_xlfn.XLOOKUP(E308,'All Products'!D:D,'All Products'!H:H)</f>
        <v>251.51</v>
      </c>
      <c r="J308" s="205">
        <f>ROUNDUP(I308*Order_Quote!$L$26,2)</f>
        <v>1257.55</v>
      </c>
      <c r="K308" s="78"/>
      <c r="L308" s="116"/>
      <c r="M308" s="199">
        <f t="shared" si="6"/>
        <v>0</v>
      </c>
      <c r="O308" s="265" t="s">
        <v>359</v>
      </c>
      <c r="P308" s="265" t="s">
        <v>102</v>
      </c>
      <c r="Q308" s="265" t="s">
        <v>5835</v>
      </c>
      <c r="R308" s="265">
        <v>0</v>
      </c>
      <c r="S308" s="265" t="s">
        <v>5836</v>
      </c>
      <c r="T308" s="347">
        <v>3.032</v>
      </c>
      <c r="U308" s="347">
        <v>34</v>
      </c>
      <c r="V308" s="348">
        <v>0</v>
      </c>
    </row>
    <row r="309" spans="1:22" ht="14.45" customHeight="1">
      <c r="A309" s="104" t="str">
        <f>IF(K309&gt;0,COUNT($A$8:A308)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09" s="112"/>
      <c r="C309" s="79"/>
      <c r="D309" s="158" t="s">
        <v>5837</v>
      </c>
      <c r="E309" s="106">
        <v>100024502</v>
      </c>
      <c r="F309" s="159" t="s">
        <v>5838</v>
      </c>
      <c r="G309" s="106">
        <v>10</v>
      </c>
      <c r="H309" s="106">
        <v>180</v>
      </c>
      <c r="I309" s="153">
        <f>_xlfn.XLOOKUP(E309,'All Products'!D:D,'All Products'!H:H)</f>
        <v>251.51</v>
      </c>
      <c r="J309" s="205">
        <f>ROUNDUP(I309*Order_Quote!$L$26,2)</f>
        <v>1257.55</v>
      </c>
      <c r="K309" s="78"/>
      <c r="L309" s="116"/>
      <c r="M309" s="199">
        <f t="shared" si="6"/>
        <v>0</v>
      </c>
      <c r="O309" s="265" t="s">
        <v>359</v>
      </c>
      <c r="P309" s="265" t="s">
        <v>102</v>
      </c>
      <c r="Q309" s="265" t="s">
        <v>5839</v>
      </c>
      <c r="R309" s="265">
        <v>0</v>
      </c>
      <c r="S309" s="265" t="s">
        <v>5840</v>
      </c>
      <c r="T309" s="347">
        <v>3.2770000000000001</v>
      </c>
      <c r="U309" s="347">
        <v>35</v>
      </c>
      <c r="V309" s="348">
        <v>4.38</v>
      </c>
    </row>
    <row r="310" spans="1:22" ht="14.45" customHeight="1">
      <c r="A310" s="104" t="str">
        <f>IF(K310&gt;0,COUNT($A$8:A309)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0" s="112"/>
      <c r="C310" s="79"/>
      <c r="D310" s="158" t="s">
        <v>5841</v>
      </c>
      <c r="E310" s="106">
        <v>100024511</v>
      </c>
      <c r="F310" s="159" t="s">
        <v>5842</v>
      </c>
      <c r="G310" s="106">
        <v>10</v>
      </c>
      <c r="H310" s="106">
        <v>180</v>
      </c>
      <c r="I310" s="153">
        <f>_xlfn.XLOOKUP(E310,'All Products'!D:D,'All Products'!H:H)</f>
        <v>240.47</v>
      </c>
      <c r="J310" s="205">
        <f>ROUNDUP(I310*Order_Quote!$L$26,2)</f>
        <v>1202.3499999999999</v>
      </c>
      <c r="K310" s="78"/>
      <c r="L310" s="116"/>
      <c r="M310" s="199">
        <f t="shared" si="6"/>
        <v>0</v>
      </c>
      <c r="O310" s="265" t="s">
        <v>359</v>
      </c>
      <c r="P310" s="265" t="s">
        <v>102</v>
      </c>
      <c r="Q310" s="265" t="s">
        <v>5843</v>
      </c>
      <c r="R310" s="265">
        <v>0</v>
      </c>
      <c r="S310" s="265" t="s">
        <v>5844</v>
      </c>
      <c r="T310" s="347">
        <v>2.8820000000000001</v>
      </c>
      <c r="U310" s="347">
        <v>30.6</v>
      </c>
      <c r="V310" s="348">
        <v>2.65</v>
      </c>
    </row>
    <row r="311" spans="1:22" ht="14.45" customHeight="1">
      <c r="A311" s="104" t="str">
        <f>IF(K311&gt;0,COUNT($A$8:A310)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1" s="112"/>
      <c r="C311" s="79"/>
      <c r="D311" s="158" t="s">
        <v>5845</v>
      </c>
      <c r="E311" s="106">
        <v>100024512</v>
      </c>
      <c r="F311" s="159" t="s">
        <v>5846</v>
      </c>
      <c r="G311" s="106">
        <v>10</v>
      </c>
      <c r="H311" s="106" t="s">
        <v>2803</v>
      </c>
      <c r="I311" s="153">
        <f>_xlfn.XLOOKUP(E311,'All Products'!D:D,'All Products'!H:H)</f>
        <v>251.51</v>
      </c>
      <c r="J311" s="205">
        <f>ROUNDUP(I311*Order_Quote!$L$26,2)</f>
        <v>1257.55</v>
      </c>
      <c r="K311" s="78"/>
      <c r="L311" s="116"/>
      <c r="M311" s="199">
        <f t="shared" si="6"/>
        <v>0</v>
      </c>
      <c r="O311" s="265" t="s">
        <v>359</v>
      </c>
      <c r="P311" s="265" t="s">
        <v>102</v>
      </c>
      <c r="Q311" s="265" t="s">
        <v>5847</v>
      </c>
      <c r="R311" s="265">
        <v>0</v>
      </c>
      <c r="S311" s="265" t="s">
        <v>5848</v>
      </c>
      <c r="T311" s="347">
        <v>3.101</v>
      </c>
      <c r="U311" s="347">
        <v>32.700000000000003</v>
      </c>
      <c r="V311" s="348">
        <v>0</v>
      </c>
    </row>
    <row r="312" spans="1:22" ht="14.45" customHeight="1">
      <c r="A312" s="104" t="str">
        <f>IF(K312&gt;0,COUNT($A$8:A311)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2" s="112"/>
      <c r="C312" s="79"/>
      <c r="D312" s="158" t="s">
        <v>5849</v>
      </c>
      <c r="E312" s="106">
        <v>100025035</v>
      </c>
      <c r="F312" s="159" t="s">
        <v>5850</v>
      </c>
      <c r="G312" s="106">
        <v>10</v>
      </c>
      <c r="H312" s="106">
        <v>180</v>
      </c>
      <c r="I312" s="153">
        <f>_xlfn.XLOOKUP(E312,'All Products'!D:D,'All Products'!H:H)</f>
        <v>240.47</v>
      </c>
      <c r="J312" s="205">
        <f>ROUNDUP(I312*Order_Quote!$L$26,2)</f>
        <v>1202.3499999999999</v>
      </c>
      <c r="K312" s="78"/>
      <c r="L312" s="116"/>
      <c r="M312" s="199">
        <f t="shared" si="6"/>
        <v>0</v>
      </c>
      <c r="O312" s="265" t="s">
        <v>359</v>
      </c>
      <c r="P312" s="265" t="s">
        <v>102</v>
      </c>
      <c r="Q312" s="265" t="s">
        <v>5851</v>
      </c>
      <c r="R312" s="265">
        <v>0</v>
      </c>
      <c r="S312" s="265" t="s">
        <v>5852</v>
      </c>
      <c r="T312" s="347">
        <v>3.0369999999999999</v>
      </c>
      <c r="U312" s="347">
        <v>31.35</v>
      </c>
      <c r="V312" s="348">
        <v>2.65</v>
      </c>
    </row>
    <row r="313" spans="1:22" ht="14.45" customHeight="1">
      <c r="A313" s="104" t="str">
        <f>IF(K313&gt;0,COUNT($A$8:A312)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3" s="112"/>
      <c r="C313" s="79"/>
      <c r="D313" s="158" t="s">
        <v>5853</v>
      </c>
      <c r="E313" s="106">
        <v>100024536</v>
      </c>
      <c r="F313" s="159" t="s">
        <v>5854</v>
      </c>
      <c r="G313" s="106">
        <v>10</v>
      </c>
      <c r="H313" s="106">
        <v>240</v>
      </c>
      <c r="I313" s="153">
        <f>_xlfn.XLOOKUP(E313,'All Products'!D:D,'All Products'!H:H)</f>
        <v>251.51</v>
      </c>
      <c r="J313" s="205">
        <f>ROUNDUP(I313*Order_Quote!$L$26,2)</f>
        <v>1257.55</v>
      </c>
      <c r="K313" s="78"/>
      <c r="L313" s="116"/>
      <c r="M313" s="199">
        <f t="shared" si="6"/>
        <v>0</v>
      </c>
      <c r="O313" s="265" t="s">
        <v>359</v>
      </c>
      <c r="P313" s="265" t="s">
        <v>102</v>
      </c>
      <c r="Q313" s="265" t="s">
        <v>5855</v>
      </c>
      <c r="R313" s="265">
        <v>0</v>
      </c>
      <c r="S313" s="265" t="s">
        <v>5856</v>
      </c>
      <c r="T313" s="347">
        <v>3.3519999999999999</v>
      </c>
      <c r="U313" s="347">
        <v>34.5</v>
      </c>
      <c r="V313" s="348">
        <v>2.77</v>
      </c>
    </row>
    <row r="314" spans="1:22" ht="14.45" customHeight="1">
      <c r="A314" s="104" t="str">
        <f>IF(K314&gt;0,COUNT($A$8:A313)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4" s="112"/>
      <c r="C314" s="79"/>
      <c r="D314" s="158" t="s">
        <v>5857</v>
      </c>
      <c r="E314" s="106">
        <v>100025037</v>
      </c>
      <c r="F314" s="159" t="s">
        <v>5858</v>
      </c>
      <c r="G314" s="106">
        <v>10</v>
      </c>
      <c r="H314" s="106">
        <v>180</v>
      </c>
      <c r="I314" s="153">
        <f>_xlfn.XLOOKUP(E314,'All Products'!D:D,'All Products'!H:H)</f>
        <v>240.47</v>
      </c>
      <c r="J314" s="205">
        <f>ROUNDUP(I314*Order_Quote!$L$26,2)</f>
        <v>1202.3499999999999</v>
      </c>
      <c r="K314" s="78"/>
      <c r="L314" s="116"/>
      <c r="M314" s="199">
        <f t="shared" si="6"/>
        <v>0</v>
      </c>
      <c r="O314" s="265" t="s">
        <v>359</v>
      </c>
      <c r="P314" s="265" t="s">
        <v>102</v>
      </c>
      <c r="Q314" s="265" t="s">
        <v>5859</v>
      </c>
      <c r="R314" s="265">
        <v>0</v>
      </c>
      <c r="S314" s="265" t="s">
        <v>5860</v>
      </c>
      <c r="T314" s="347">
        <v>2.9820000000000002</v>
      </c>
      <c r="U314" s="347">
        <v>22</v>
      </c>
      <c r="V314" s="348">
        <v>2.65</v>
      </c>
    </row>
    <row r="315" spans="1:22" ht="14.45" customHeight="1">
      <c r="A315" s="104" t="str">
        <f>IF(K315&gt;0,COUNT($A$8:A314)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5" s="112"/>
      <c r="C315" s="79"/>
      <c r="D315" s="158" t="s">
        <v>5861</v>
      </c>
      <c r="E315" s="106">
        <v>100024542</v>
      </c>
      <c r="F315" s="159" t="s">
        <v>5862</v>
      </c>
      <c r="G315" s="106">
        <v>10</v>
      </c>
      <c r="H315" s="106">
        <v>240</v>
      </c>
      <c r="I315" s="153">
        <f>_xlfn.XLOOKUP(E315,'All Products'!D:D,'All Products'!H:H)</f>
        <v>251.51</v>
      </c>
      <c r="J315" s="205">
        <f>ROUNDUP(I315*Order_Quote!$L$26,2)</f>
        <v>1257.55</v>
      </c>
      <c r="K315" s="78"/>
      <c r="L315" s="116"/>
      <c r="M315" s="199">
        <f t="shared" si="6"/>
        <v>0</v>
      </c>
      <c r="O315" s="265" t="s">
        <v>359</v>
      </c>
      <c r="P315" s="265" t="s">
        <v>102</v>
      </c>
      <c r="Q315" s="265" t="s">
        <v>5863</v>
      </c>
      <c r="R315" s="265">
        <v>0</v>
      </c>
      <c r="S315" s="265" t="s">
        <v>5864</v>
      </c>
      <c r="T315" s="347">
        <v>3.2970000000000002</v>
      </c>
      <c r="U315" s="347">
        <v>35</v>
      </c>
      <c r="V315" s="348">
        <v>2.77</v>
      </c>
    </row>
    <row r="316" spans="1:22" ht="14.45" customHeight="1">
      <c r="A316" s="104" t="str">
        <f>IF(K316&gt;0,COUNT($A$8:A315)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6" s="112"/>
      <c r="C316" s="79"/>
      <c r="D316" s="158" t="s">
        <v>5865</v>
      </c>
      <c r="E316" s="106">
        <v>100025057</v>
      </c>
      <c r="F316" s="159" t="s">
        <v>5866</v>
      </c>
      <c r="G316" s="106">
        <v>10</v>
      </c>
      <c r="H316" s="106">
        <v>180</v>
      </c>
      <c r="I316" s="153">
        <f>_xlfn.XLOOKUP(E316,'All Products'!D:D,'All Products'!H:H)</f>
        <v>240.47</v>
      </c>
      <c r="J316" s="205">
        <f>ROUNDUP(I316*Order_Quote!$L$26,2)</f>
        <v>1202.3499999999999</v>
      </c>
      <c r="K316" s="78"/>
      <c r="L316" s="116"/>
      <c r="M316" s="199">
        <f t="shared" si="6"/>
        <v>0</v>
      </c>
      <c r="O316" s="265" t="s">
        <v>359</v>
      </c>
      <c r="P316" s="265" t="s">
        <v>102</v>
      </c>
      <c r="Q316" s="265" t="s">
        <v>5867</v>
      </c>
      <c r="R316" s="265">
        <v>0</v>
      </c>
      <c r="S316" s="265" t="s">
        <v>5868</v>
      </c>
      <c r="T316" s="347">
        <v>2.9</v>
      </c>
      <c r="U316" s="347">
        <v>30.15</v>
      </c>
      <c r="V316" s="348">
        <v>2.65</v>
      </c>
    </row>
    <row r="317" spans="1:22" ht="14.45" customHeight="1">
      <c r="A317" s="104" t="str">
        <f>IF(K317&gt;0,COUNT($A$8:A316)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7" s="112"/>
      <c r="C317" s="79"/>
      <c r="D317" s="158" t="s">
        <v>5869</v>
      </c>
      <c r="E317" s="106">
        <v>100024572</v>
      </c>
      <c r="F317" s="159" t="s">
        <v>5870</v>
      </c>
      <c r="G317" s="106">
        <v>10</v>
      </c>
      <c r="H317" s="106">
        <v>240</v>
      </c>
      <c r="I317" s="153">
        <f>_xlfn.XLOOKUP(E317,'All Products'!D:D,'All Products'!H:H)</f>
        <v>251.51</v>
      </c>
      <c r="J317" s="205">
        <f>ROUNDUP(I317*Order_Quote!$L$26,2)</f>
        <v>1257.55</v>
      </c>
      <c r="K317" s="78"/>
      <c r="L317" s="116"/>
      <c r="M317" s="199">
        <f t="shared" si="6"/>
        <v>0</v>
      </c>
      <c r="O317" s="265" t="s">
        <v>359</v>
      </c>
      <c r="P317" s="265" t="s">
        <v>102</v>
      </c>
      <c r="Q317" s="265" t="s">
        <v>5871</v>
      </c>
      <c r="R317" s="265">
        <v>0</v>
      </c>
      <c r="S317" s="265" t="s">
        <v>5872</v>
      </c>
      <c r="T317" s="347">
        <v>3.2149999999999999</v>
      </c>
      <c r="U317" s="347">
        <v>33.799999999999997</v>
      </c>
      <c r="V317" s="348">
        <v>2.77</v>
      </c>
    </row>
    <row r="318" spans="1:22" ht="14.45" customHeight="1">
      <c r="A318" s="104" t="str">
        <f>IF(K318&gt;0,COUNT($A$8:A317)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8" s="112"/>
      <c r="C318" s="79"/>
      <c r="D318" s="158" t="s">
        <v>5873</v>
      </c>
      <c r="E318" s="106">
        <v>100025062</v>
      </c>
      <c r="F318" s="159" t="s">
        <v>5874</v>
      </c>
      <c r="G318" s="106">
        <v>10</v>
      </c>
      <c r="H318" s="106">
        <v>180</v>
      </c>
      <c r="I318" s="153">
        <f>_xlfn.XLOOKUP(E318,'All Products'!D:D,'All Products'!H:H)</f>
        <v>240.47</v>
      </c>
      <c r="J318" s="205">
        <f>ROUNDUP(I318*Order_Quote!$L$26,2)</f>
        <v>1202.3499999999999</v>
      </c>
      <c r="K318" s="78"/>
      <c r="L318" s="116"/>
      <c r="M318" s="199">
        <f t="shared" si="6"/>
        <v>0</v>
      </c>
      <c r="O318" s="265" t="s">
        <v>76</v>
      </c>
      <c r="P318" s="265" t="s">
        <v>102</v>
      </c>
      <c r="Q318" s="265" t="s">
        <v>5875</v>
      </c>
      <c r="R318" s="265">
        <v>0</v>
      </c>
      <c r="S318" s="265" t="s">
        <v>5876</v>
      </c>
      <c r="T318" s="347">
        <v>2.85</v>
      </c>
      <c r="U318" s="347">
        <v>30.2</v>
      </c>
      <c r="V318" s="348">
        <v>2.65</v>
      </c>
    </row>
    <row r="319" spans="1:22" ht="14.45" customHeight="1">
      <c r="A319" s="104" t="str">
        <f>IF(K319&gt;0,COUNT($A$8:A318)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19" s="112"/>
      <c r="C319" s="79"/>
      <c r="D319" s="158" t="s">
        <v>5877</v>
      </c>
      <c r="E319" s="106">
        <v>100024580</v>
      </c>
      <c r="F319" s="159" t="s">
        <v>5878</v>
      </c>
      <c r="G319" s="106">
        <v>10</v>
      </c>
      <c r="H319" s="106" t="s">
        <v>2803</v>
      </c>
      <c r="I319" s="153">
        <f>_xlfn.XLOOKUP(E319,'All Products'!D:D,'All Products'!H:H)</f>
        <v>251.51</v>
      </c>
      <c r="J319" s="205">
        <f>ROUNDUP(I319*Order_Quote!$L$26,2)</f>
        <v>1257.55</v>
      </c>
      <c r="K319" s="78"/>
      <c r="L319" s="116"/>
      <c r="M319" s="199">
        <f t="shared" si="6"/>
        <v>0</v>
      </c>
      <c r="O319" s="265" t="s">
        <v>359</v>
      </c>
      <c r="P319" s="265" t="s">
        <v>102</v>
      </c>
      <c r="Q319" s="265" t="s">
        <v>5879</v>
      </c>
      <c r="R319" s="265">
        <v>0</v>
      </c>
      <c r="S319" s="265" t="s">
        <v>5880</v>
      </c>
      <c r="T319" s="347">
        <v>3.1320000000000001</v>
      </c>
      <c r="U319" s="347">
        <v>0</v>
      </c>
      <c r="V319" s="348">
        <v>0</v>
      </c>
    </row>
    <row r="320" spans="1:22" ht="14.45" customHeight="1">
      <c r="A320" s="104" t="str">
        <f>IF(K320&gt;0,COUNT($A$8:A319)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0" s="113"/>
      <c r="C320" s="114"/>
      <c r="D320" s="158" t="s">
        <v>5881</v>
      </c>
      <c r="E320" s="106">
        <v>100024605</v>
      </c>
      <c r="F320" s="159" t="s">
        <v>5882</v>
      </c>
      <c r="G320" s="106">
        <v>10</v>
      </c>
      <c r="H320" s="106">
        <v>180</v>
      </c>
      <c r="I320" s="153">
        <f>_xlfn.XLOOKUP(E320,'All Products'!D:D,'All Products'!H:H)</f>
        <v>240.47</v>
      </c>
      <c r="J320" s="205">
        <f>ROUNDUP(I320*Order_Quote!$L$26,2)</f>
        <v>1202.3499999999999</v>
      </c>
      <c r="K320" s="78"/>
      <c r="L320" s="292"/>
      <c r="M320" s="199">
        <f t="shared" si="6"/>
        <v>0</v>
      </c>
      <c r="O320" s="265" t="s">
        <v>359</v>
      </c>
      <c r="P320" s="265" t="s">
        <v>102</v>
      </c>
      <c r="Q320" s="265" t="s">
        <v>5883</v>
      </c>
      <c r="R320" s="265">
        <v>0</v>
      </c>
      <c r="S320" s="265" t="s">
        <v>5884</v>
      </c>
      <c r="T320" s="347">
        <v>2.9569999999999999</v>
      </c>
      <c r="U320" s="347">
        <v>30.55</v>
      </c>
      <c r="V320" s="348">
        <v>2.65</v>
      </c>
    </row>
    <row r="321" spans="1:22" ht="25.5" customHeight="1">
      <c r="A321" s="104" t="str">
        <f>IF(K321&gt;0,COUNT($A$8:A320)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1" s="242" t="s">
        <v>5885</v>
      </c>
      <c r="C321" s="44"/>
      <c r="D321" s="44"/>
      <c r="E321" s="44"/>
      <c r="F321" s="44"/>
      <c r="G321" s="44"/>
      <c r="H321" s="44"/>
      <c r="I321" s="245">
        <f>_xlfn.XLOOKUP(E321,'All Products'!D:D,'All Products'!H:H)</f>
        <v>0</v>
      </c>
      <c r="J321" s="245">
        <f>ROUNDUP(I321*Order_Quote!$L$26,2)</f>
        <v>0</v>
      </c>
      <c r="K321" s="246"/>
      <c r="L321" s="243"/>
      <c r="M321" s="157"/>
      <c r="O321" s="44"/>
      <c r="P321" s="44"/>
    </row>
    <row r="322" spans="1:22" ht="14.45" customHeight="1">
      <c r="A322" s="104" t="str">
        <f>IF(K322&gt;0,COUNT($A$8:A321)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2" s="110"/>
      <c r="C322" s="111"/>
      <c r="D322" s="158" t="s">
        <v>5886</v>
      </c>
      <c r="E322" s="106">
        <v>100024608</v>
      </c>
      <c r="F322" s="159" t="s">
        <v>5887</v>
      </c>
      <c r="G322" s="106">
        <v>1</v>
      </c>
      <c r="H322" s="106" t="s">
        <v>2803</v>
      </c>
      <c r="I322" s="153">
        <f>_xlfn.XLOOKUP(E322,'All Products'!D:D,'All Products'!H:H)</f>
        <v>49.13</v>
      </c>
      <c r="J322" s="205">
        <f>ROUNDUP(I322*Order_Quote!$L$26,2)</f>
        <v>245.65</v>
      </c>
      <c r="K322" s="78"/>
      <c r="L322" s="291"/>
      <c r="M322" s="199">
        <f t="shared" ref="M322:M338" si="7">K322/G322</f>
        <v>0</v>
      </c>
      <c r="O322" s="265" t="s">
        <v>359</v>
      </c>
      <c r="P322" s="265" t="s">
        <v>102</v>
      </c>
      <c r="Q322" s="265" t="s">
        <v>5888</v>
      </c>
      <c r="R322" s="265">
        <v>0</v>
      </c>
      <c r="S322" s="265" t="s">
        <v>5889</v>
      </c>
      <c r="T322" s="347">
        <v>0.255</v>
      </c>
      <c r="U322" s="347">
        <v>0.255</v>
      </c>
      <c r="V322" s="348">
        <v>0</v>
      </c>
    </row>
    <row r="323" spans="1:22" ht="14.45" customHeight="1">
      <c r="A323" s="104" t="str">
        <f>IF(K323&gt;0,COUNT($A$8:A322)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3" s="112"/>
      <c r="C323" s="79"/>
      <c r="D323" s="208" t="s">
        <v>5890</v>
      </c>
      <c r="E323" s="171">
        <v>100024609</v>
      </c>
      <c r="F323" s="289" t="s">
        <v>5891</v>
      </c>
      <c r="G323" s="171">
        <v>25</v>
      </c>
      <c r="H323" s="171">
        <v>2250</v>
      </c>
      <c r="I323" s="370">
        <f>_xlfn.XLOOKUP(E323,'All Products'!D:D,'All Products'!H:H)</f>
        <v>58.63</v>
      </c>
      <c r="J323" s="316">
        <f>ROUNDUP(I323*Order_Quote!$L$26,2)</f>
        <v>293.14999999999998</v>
      </c>
      <c r="K323" s="184"/>
      <c r="L323" s="116"/>
      <c r="M323" s="298">
        <f t="shared" si="7"/>
        <v>0</v>
      </c>
      <c r="O323" s="265" t="s">
        <v>359</v>
      </c>
      <c r="P323" s="265" t="s">
        <v>102</v>
      </c>
      <c r="Q323" s="265" t="s">
        <v>5892</v>
      </c>
      <c r="R323" s="265">
        <v>0</v>
      </c>
      <c r="S323" s="265" t="s">
        <v>5893</v>
      </c>
      <c r="T323" s="347">
        <v>0.41899999999999998</v>
      </c>
      <c r="U323" s="347">
        <v>11.24</v>
      </c>
      <c r="V323" s="348">
        <v>0.8</v>
      </c>
    </row>
    <row r="324" spans="1:22" ht="14.45" customHeight="1">
      <c r="A324" s="104" t="str">
        <f>IF(K324&gt;0,COUNT($A$8:A323)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4" s="112"/>
      <c r="C324" s="79"/>
      <c r="D324" s="208" t="s">
        <v>5894</v>
      </c>
      <c r="E324" s="171">
        <v>100025064</v>
      </c>
      <c r="F324" s="289" t="s">
        <v>5895</v>
      </c>
      <c r="G324" s="171">
        <v>25</v>
      </c>
      <c r="H324" s="171">
        <v>1875</v>
      </c>
      <c r="I324" s="370">
        <f>_xlfn.XLOOKUP(E324,'All Products'!D:D,'All Products'!H:H)</f>
        <v>60.52</v>
      </c>
      <c r="J324" s="316">
        <f>ROUNDUP(I324*Order_Quote!$L$26,2)</f>
        <v>302.60000000000002</v>
      </c>
      <c r="K324" s="184"/>
      <c r="L324" s="116"/>
      <c r="M324" s="298">
        <f t="shared" si="7"/>
        <v>0</v>
      </c>
      <c r="O324" s="265" t="s">
        <v>359</v>
      </c>
      <c r="P324" s="265" t="s">
        <v>102</v>
      </c>
      <c r="Q324" s="265" t="s">
        <v>5896</v>
      </c>
      <c r="R324" s="265">
        <v>0</v>
      </c>
      <c r="S324" s="265" t="s">
        <v>5897</v>
      </c>
      <c r="T324" s="347">
        <v>0.438</v>
      </c>
      <c r="U324" s="347">
        <v>12.02</v>
      </c>
      <c r="V324" s="348">
        <v>0.95</v>
      </c>
    </row>
    <row r="325" spans="1:22" ht="14.45" customHeight="1">
      <c r="A325" s="104" t="str">
        <f>IF(K325&gt;0,COUNT($A$8:A324)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5" s="112"/>
      <c r="C325" s="79"/>
      <c r="D325" s="208" t="s">
        <v>5898</v>
      </c>
      <c r="E325" s="171">
        <v>100024610</v>
      </c>
      <c r="F325" s="289" t="s">
        <v>5899</v>
      </c>
      <c r="G325" s="171">
        <v>25</v>
      </c>
      <c r="H325" s="171">
        <v>3750</v>
      </c>
      <c r="I325" s="370">
        <f>_xlfn.XLOOKUP(E325,'All Products'!D:D,'All Products'!H:H)</f>
        <v>53.17</v>
      </c>
      <c r="J325" s="316">
        <f>ROUNDUP(I325*Order_Quote!$L$26,2)</f>
        <v>265.85000000000002</v>
      </c>
      <c r="K325" s="184"/>
      <c r="L325" s="116"/>
      <c r="M325" s="298">
        <f t="shared" si="7"/>
        <v>0</v>
      </c>
      <c r="O325" s="265" t="s">
        <v>359</v>
      </c>
      <c r="P325" s="265" t="s">
        <v>102</v>
      </c>
      <c r="Q325" s="265" t="s">
        <v>5900</v>
      </c>
      <c r="R325" s="265">
        <v>0</v>
      </c>
      <c r="S325" s="265" t="s">
        <v>5901</v>
      </c>
      <c r="T325" s="347">
        <v>0.313</v>
      </c>
      <c r="U325" s="347">
        <v>3.65</v>
      </c>
      <c r="V325" s="348">
        <v>0.5</v>
      </c>
    </row>
    <row r="326" spans="1:22" ht="14.45" customHeight="1">
      <c r="A326" s="104" t="str">
        <f>IF(K326&gt;0,COUNT($A$8:A325)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6" s="112"/>
      <c r="C326" s="79"/>
      <c r="D326" s="208" t="s">
        <v>5902</v>
      </c>
      <c r="E326" s="171">
        <v>100025065</v>
      </c>
      <c r="F326" s="289" t="s">
        <v>5903</v>
      </c>
      <c r="G326" s="171">
        <v>25</v>
      </c>
      <c r="H326" s="171">
        <v>2250</v>
      </c>
      <c r="I326" s="370">
        <f>_xlfn.XLOOKUP(E326,'All Products'!D:D,'All Products'!H:H)</f>
        <v>58.63</v>
      </c>
      <c r="J326" s="316">
        <f>ROUNDUP(I326*Order_Quote!$L$26,2)</f>
        <v>293.14999999999998</v>
      </c>
      <c r="K326" s="184"/>
      <c r="L326" s="116"/>
      <c r="M326" s="298">
        <f t="shared" si="7"/>
        <v>0</v>
      </c>
      <c r="O326" s="265" t="s">
        <v>359</v>
      </c>
      <c r="P326" s="265" t="s">
        <v>102</v>
      </c>
      <c r="Q326" s="265" t="s">
        <v>5904</v>
      </c>
      <c r="R326" s="265">
        <v>0</v>
      </c>
      <c r="S326" s="265" t="s">
        <v>5905</v>
      </c>
      <c r="T326" s="347">
        <v>0.40400000000000003</v>
      </c>
      <c r="U326" s="347">
        <v>11.88</v>
      </c>
      <c r="V326" s="348">
        <v>0.8</v>
      </c>
    </row>
    <row r="327" spans="1:22" ht="14.45" customHeight="1">
      <c r="A327" s="104" t="str">
        <f>IF(K327&gt;0,COUNT($A$8:A326)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7" s="112"/>
      <c r="C327" s="79"/>
      <c r="D327" s="208" t="s">
        <v>5906</v>
      </c>
      <c r="E327" s="171">
        <v>100025066</v>
      </c>
      <c r="F327" s="289" t="s">
        <v>5907</v>
      </c>
      <c r="G327" s="171">
        <v>25</v>
      </c>
      <c r="H327" s="171">
        <v>1875</v>
      </c>
      <c r="I327" s="370">
        <f>_xlfn.XLOOKUP(E327,'All Products'!D:D,'All Products'!H:H)</f>
        <v>60.52</v>
      </c>
      <c r="J327" s="316">
        <f>ROUNDUP(I327*Order_Quote!$L$26,2)</f>
        <v>302.60000000000002</v>
      </c>
      <c r="K327" s="184"/>
      <c r="L327" s="116"/>
      <c r="M327" s="298">
        <f t="shared" si="7"/>
        <v>0</v>
      </c>
      <c r="O327" s="265" t="s">
        <v>359</v>
      </c>
      <c r="P327" s="265" t="s">
        <v>102</v>
      </c>
      <c r="Q327" s="265" t="s">
        <v>5908</v>
      </c>
      <c r="R327" s="265">
        <v>0</v>
      </c>
      <c r="S327" s="265" t="s">
        <v>5909</v>
      </c>
      <c r="T327" s="347">
        <v>0.42299999999999999</v>
      </c>
      <c r="U327" s="347">
        <v>11.515000000000001</v>
      </c>
      <c r="V327" s="348">
        <v>0.95</v>
      </c>
    </row>
    <row r="328" spans="1:22" ht="14.45" customHeight="1">
      <c r="A328" s="104" t="str">
        <f>IF(K328&gt;0,COUNT($A$8:A327)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8" s="112"/>
      <c r="C328" s="79"/>
      <c r="D328" s="208" t="s">
        <v>5910</v>
      </c>
      <c r="E328" s="171">
        <v>100024612</v>
      </c>
      <c r="F328" s="289" t="s">
        <v>5911</v>
      </c>
      <c r="G328" s="171">
        <v>25</v>
      </c>
      <c r="H328" s="171">
        <v>3750</v>
      </c>
      <c r="I328" s="370">
        <f>_xlfn.XLOOKUP(E328,'All Products'!D:D,'All Products'!H:H)</f>
        <v>53.17</v>
      </c>
      <c r="J328" s="316">
        <f>ROUNDUP(I328*Order_Quote!$L$26,2)</f>
        <v>265.85000000000002</v>
      </c>
      <c r="K328" s="184"/>
      <c r="L328" s="116"/>
      <c r="M328" s="298">
        <f t="shared" si="7"/>
        <v>0</v>
      </c>
      <c r="O328" s="265" t="s">
        <v>359</v>
      </c>
      <c r="P328" s="265" t="s">
        <v>102</v>
      </c>
      <c r="Q328" s="265" t="s">
        <v>5912</v>
      </c>
      <c r="R328" s="265">
        <v>0</v>
      </c>
      <c r="S328" s="265" t="s">
        <v>5913</v>
      </c>
      <c r="T328" s="347">
        <v>0.29799999999999999</v>
      </c>
      <c r="U328" s="347">
        <v>7.93</v>
      </c>
      <c r="V328" s="348">
        <v>0.5</v>
      </c>
    </row>
    <row r="329" spans="1:22" ht="14.45" customHeight="1">
      <c r="A329" s="104" t="str">
        <f>IF(K329&gt;0,COUNT($A$8:A328)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29" s="112"/>
      <c r="C329" s="79"/>
      <c r="D329" s="208" t="s">
        <v>5914</v>
      </c>
      <c r="E329" s="171">
        <v>100025068</v>
      </c>
      <c r="F329" s="289" t="s">
        <v>5915</v>
      </c>
      <c r="G329" s="171">
        <v>25</v>
      </c>
      <c r="H329" s="171">
        <v>2250</v>
      </c>
      <c r="I329" s="370">
        <f>_xlfn.XLOOKUP(E329,'All Products'!D:D,'All Products'!H:H)</f>
        <v>66.77</v>
      </c>
      <c r="J329" s="316">
        <f>ROUNDUP(I329*Order_Quote!$L$26,2)</f>
        <v>333.85</v>
      </c>
      <c r="K329" s="184"/>
      <c r="L329" s="116"/>
      <c r="M329" s="298">
        <f t="shared" si="7"/>
        <v>0</v>
      </c>
      <c r="O329" s="265" t="s">
        <v>359</v>
      </c>
      <c r="P329" s="265" t="s">
        <v>102</v>
      </c>
      <c r="Q329" s="265" t="s">
        <v>5916</v>
      </c>
      <c r="R329" s="265">
        <v>0</v>
      </c>
      <c r="S329" s="265" t="s">
        <v>5917</v>
      </c>
      <c r="T329" s="347">
        <v>0.56100000000000005</v>
      </c>
      <c r="U329" s="347">
        <v>14.02</v>
      </c>
      <c r="V329" s="348">
        <v>0.8</v>
      </c>
    </row>
    <row r="330" spans="1:22" ht="14.45" customHeight="1">
      <c r="A330" s="104" t="str">
        <f>IF(K330&gt;0,COUNT($A$8:A329)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0" s="112"/>
      <c r="C330" s="79"/>
      <c r="D330" s="208" t="s">
        <v>5918</v>
      </c>
      <c r="E330" s="171">
        <v>100025069</v>
      </c>
      <c r="F330" s="289" t="s">
        <v>5919</v>
      </c>
      <c r="G330" s="171">
        <v>25</v>
      </c>
      <c r="H330" s="171">
        <v>1875</v>
      </c>
      <c r="I330" s="370">
        <f>_xlfn.XLOOKUP(E330,'All Products'!D:D,'All Products'!H:H)</f>
        <v>68.98</v>
      </c>
      <c r="J330" s="316">
        <f>ROUNDUP(I330*Order_Quote!$L$26,2)</f>
        <v>344.9</v>
      </c>
      <c r="K330" s="184"/>
      <c r="L330" s="116"/>
      <c r="M330" s="298">
        <f t="shared" si="7"/>
        <v>0</v>
      </c>
      <c r="O330" s="265" t="s">
        <v>359</v>
      </c>
      <c r="P330" s="265" t="s">
        <v>102</v>
      </c>
      <c r="Q330" s="265" t="s">
        <v>5920</v>
      </c>
      <c r="R330" s="265">
        <v>0</v>
      </c>
      <c r="S330" s="265" t="s">
        <v>5921</v>
      </c>
      <c r="T330" s="347">
        <v>0.61399999999999999</v>
      </c>
      <c r="U330" s="347">
        <v>15.355</v>
      </c>
      <c r="V330" s="348">
        <v>1.1000000000000001</v>
      </c>
    </row>
    <row r="331" spans="1:22" ht="14.45" customHeight="1">
      <c r="A331" s="104" t="str">
        <f>IF(K331&gt;0,COUNT($A$8:A330)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1" s="112"/>
      <c r="C331" s="79"/>
      <c r="D331" s="208" t="s">
        <v>5922</v>
      </c>
      <c r="E331" s="171">
        <v>100024614</v>
      </c>
      <c r="F331" s="289" t="s">
        <v>5923</v>
      </c>
      <c r="G331" s="171">
        <v>25</v>
      </c>
      <c r="H331" s="171">
        <v>3000</v>
      </c>
      <c r="I331" s="370">
        <f>_xlfn.XLOOKUP(E331,'All Products'!D:D,'All Products'!H:H)</f>
        <v>60.04</v>
      </c>
      <c r="J331" s="316">
        <f>ROUNDUP(I331*Order_Quote!$L$26,2)</f>
        <v>300.2</v>
      </c>
      <c r="K331" s="184"/>
      <c r="L331" s="116"/>
      <c r="M331" s="298">
        <f t="shared" si="7"/>
        <v>0</v>
      </c>
      <c r="O331" s="265" t="s">
        <v>359</v>
      </c>
      <c r="P331" s="265" t="s">
        <v>102</v>
      </c>
      <c r="Q331" s="265" t="s">
        <v>5924</v>
      </c>
      <c r="R331" s="265">
        <v>0</v>
      </c>
      <c r="S331" s="265" t="s">
        <v>5925</v>
      </c>
      <c r="T331" s="347">
        <v>0.50600000000000001</v>
      </c>
      <c r="U331" s="347">
        <v>10.6</v>
      </c>
      <c r="V331" s="348">
        <v>0.65</v>
      </c>
    </row>
    <row r="332" spans="1:22" ht="14.45" customHeight="1">
      <c r="A332" s="104" t="str">
        <f>IF(K332&gt;0,COUNT($A$8:A331)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2" s="112"/>
      <c r="C332" s="79"/>
      <c r="D332" s="208" t="s">
        <v>5926</v>
      </c>
      <c r="E332" s="171">
        <v>100025070</v>
      </c>
      <c r="F332" s="289" t="s">
        <v>5927</v>
      </c>
      <c r="G332" s="171">
        <v>25</v>
      </c>
      <c r="H332" s="171">
        <v>2250</v>
      </c>
      <c r="I332" s="370">
        <f>_xlfn.XLOOKUP(E332,'All Products'!D:D,'All Products'!H:H)</f>
        <v>64.48</v>
      </c>
      <c r="J332" s="316">
        <f>ROUNDUP(I332*Order_Quote!$L$26,2)</f>
        <v>322.39999999999998</v>
      </c>
      <c r="K332" s="184"/>
      <c r="L332" s="116"/>
      <c r="M332" s="298">
        <f t="shared" si="7"/>
        <v>0</v>
      </c>
      <c r="O332" s="265" t="s">
        <v>359</v>
      </c>
      <c r="P332" s="265" t="s">
        <v>102</v>
      </c>
      <c r="Q332" s="265" t="s">
        <v>5928</v>
      </c>
      <c r="R332" s="265">
        <v>0</v>
      </c>
      <c r="S332" s="265" t="s">
        <v>5929</v>
      </c>
      <c r="T332" s="347">
        <v>0.52</v>
      </c>
      <c r="U332" s="347">
        <v>13</v>
      </c>
      <c r="V332" s="348">
        <v>0.8</v>
      </c>
    </row>
    <row r="333" spans="1:22" ht="14.45" customHeight="1">
      <c r="A333" s="104" t="str">
        <f>IF(K333&gt;0,COUNT($A$8:A332)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3" s="112"/>
      <c r="C333" s="79"/>
      <c r="D333" s="208" t="s">
        <v>5930</v>
      </c>
      <c r="E333" s="171">
        <v>100024615</v>
      </c>
      <c r="F333" s="289" t="s">
        <v>5931</v>
      </c>
      <c r="G333" s="171">
        <v>1</v>
      </c>
      <c r="H333" s="171" t="s">
        <v>2803</v>
      </c>
      <c r="I333" s="370">
        <f>_xlfn.XLOOKUP(E333,'All Products'!D:D,'All Products'!H:H)</f>
        <v>55.51</v>
      </c>
      <c r="J333" s="316">
        <f>ROUNDUP(I333*Order_Quote!$L$26,2)</f>
        <v>277.55</v>
      </c>
      <c r="K333" s="184"/>
      <c r="L333" s="116"/>
      <c r="M333" s="298">
        <f t="shared" si="7"/>
        <v>0</v>
      </c>
      <c r="O333" s="265" t="s">
        <v>359</v>
      </c>
      <c r="P333" s="265" t="s">
        <v>102</v>
      </c>
      <c r="Q333" s="265" t="s">
        <v>5932</v>
      </c>
      <c r="R333" s="265">
        <v>0</v>
      </c>
      <c r="S333" s="265" t="s">
        <v>5933</v>
      </c>
      <c r="T333" s="347">
        <v>0.307</v>
      </c>
      <c r="U333" s="347">
        <v>0.3</v>
      </c>
      <c r="V333" s="348">
        <v>0</v>
      </c>
    </row>
    <row r="334" spans="1:22" ht="14.45" customHeight="1">
      <c r="A334" s="104" t="str">
        <f>IF(K334&gt;0,COUNT($A$8:A333)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4" s="112"/>
      <c r="C334" s="79"/>
      <c r="D334" s="208" t="s">
        <v>5934</v>
      </c>
      <c r="E334" s="171">
        <v>100025071</v>
      </c>
      <c r="F334" s="289" t="s">
        <v>5935</v>
      </c>
      <c r="G334" s="171">
        <v>25</v>
      </c>
      <c r="H334" s="171">
        <v>1875</v>
      </c>
      <c r="I334" s="370">
        <f>_xlfn.XLOOKUP(E334,'All Products'!D:D,'All Products'!H:H)</f>
        <v>66.77</v>
      </c>
      <c r="J334" s="316">
        <f>ROUNDUP(I334*Order_Quote!$L$26,2)</f>
        <v>333.85</v>
      </c>
      <c r="K334" s="184"/>
      <c r="L334" s="116"/>
      <c r="M334" s="298">
        <f t="shared" si="7"/>
        <v>0</v>
      </c>
      <c r="O334" s="265" t="s">
        <v>359</v>
      </c>
      <c r="P334" s="265" t="s">
        <v>102</v>
      </c>
      <c r="Q334" s="265" t="s">
        <v>5936</v>
      </c>
      <c r="R334" s="265">
        <v>0</v>
      </c>
      <c r="S334" s="265" t="s">
        <v>5937</v>
      </c>
      <c r="T334" s="347">
        <v>0.54</v>
      </c>
      <c r="U334" s="347">
        <v>13.5</v>
      </c>
      <c r="V334" s="348">
        <v>0.95</v>
      </c>
    </row>
    <row r="335" spans="1:22" ht="14.45" customHeight="1">
      <c r="A335" s="104" t="str">
        <f>IF(K335&gt;0,COUNT($A$8:A334)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5" s="112"/>
      <c r="C335" s="79"/>
      <c r="D335" s="208" t="s">
        <v>5938</v>
      </c>
      <c r="E335" s="171">
        <v>100025072</v>
      </c>
      <c r="F335" s="289" t="s">
        <v>5939</v>
      </c>
      <c r="G335" s="171">
        <v>25</v>
      </c>
      <c r="H335" s="171">
        <v>1875</v>
      </c>
      <c r="I335" s="370">
        <f>_xlfn.XLOOKUP(E335,'All Products'!D:D,'All Products'!H:H)</f>
        <v>68.98</v>
      </c>
      <c r="J335" s="316">
        <f>ROUNDUP(I335*Order_Quote!$L$26,2)</f>
        <v>344.9</v>
      </c>
      <c r="K335" s="184"/>
      <c r="L335" s="116"/>
      <c r="M335" s="298">
        <f t="shared" si="7"/>
        <v>0</v>
      </c>
      <c r="O335" s="265" t="s">
        <v>76</v>
      </c>
      <c r="P335" s="265" t="s">
        <v>102</v>
      </c>
      <c r="Q335" s="265" t="s">
        <v>5940</v>
      </c>
      <c r="R335" s="265">
        <v>0</v>
      </c>
      <c r="S335" s="265" t="s">
        <v>5941</v>
      </c>
      <c r="T335" s="347">
        <v>0.61599999999999999</v>
      </c>
      <c r="U335" s="347">
        <v>15.4</v>
      </c>
      <c r="V335" s="348">
        <v>1.1000000000000001</v>
      </c>
    </row>
    <row r="336" spans="1:22" ht="14.45" customHeight="1">
      <c r="A336" s="104" t="str">
        <f>IF(K336&gt;0,COUNT($A$8:A335)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6" s="112"/>
      <c r="C336" s="79"/>
      <c r="D336" s="208" t="s">
        <v>5942</v>
      </c>
      <c r="E336" s="171">
        <v>100025073</v>
      </c>
      <c r="F336" s="289" t="s">
        <v>5943</v>
      </c>
      <c r="G336" s="171">
        <v>25</v>
      </c>
      <c r="H336" s="171">
        <v>1875</v>
      </c>
      <c r="I336" s="370">
        <f>_xlfn.XLOOKUP(E336,'All Products'!D:D,'All Products'!H:H)</f>
        <v>68.98</v>
      </c>
      <c r="J336" s="316">
        <f>ROUNDUP(I336*Order_Quote!$L$26,2)</f>
        <v>344.9</v>
      </c>
      <c r="K336" s="184"/>
      <c r="L336" s="116"/>
      <c r="M336" s="298">
        <f t="shared" si="7"/>
        <v>0</v>
      </c>
      <c r="O336" s="265" t="s">
        <v>76</v>
      </c>
      <c r="P336" s="265" t="s">
        <v>102</v>
      </c>
      <c r="Q336" s="265" t="s">
        <v>5944</v>
      </c>
      <c r="R336" s="265">
        <v>0</v>
      </c>
      <c r="S336" s="265" t="s">
        <v>5945</v>
      </c>
      <c r="T336" s="347">
        <v>0.629</v>
      </c>
      <c r="U336" s="347">
        <v>15.73</v>
      </c>
      <c r="V336" s="348">
        <v>1.1000000000000001</v>
      </c>
    </row>
    <row r="337" spans="1:22" ht="14.45" customHeight="1">
      <c r="A337" s="104" t="str">
        <f>IF(K337&gt;0,COUNT($A$8:A336)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7" s="112"/>
      <c r="C337" s="79"/>
      <c r="D337" s="208" t="s">
        <v>5946</v>
      </c>
      <c r="E337" s="171">
        <v>100024617</v>
      </c>
      <c r="F337" s="289" t="s">
        <v>5947</v>
      </c>
      <c r="G337" s="171">
        <v>25</v>
      </c>
      <c r="H337" s="171">
        <v>3000</v>
      </c>
      <c r="I337" s="370">
        <f>_xlfn.XLOOKUP(E337,'All Products'!D:D,'All Products'!H:H)</f>
        <v>60.04</v>
      </c>
      <c r="J337" s="316">
        <f>ROUNDUP(I337*Order_Quote!$L$26,2)</f>
        <v>300.2</v>
      </c>
      <c r="K337" s="184"/>
      <c r="L337" s="116"/>
      <c r="M337" s="298">
        <f t="shared" si="7"/>
        <v>0</v>
      </c>
      <c r="O337" s="265" t="s">
        <v>359</v>
      </c>
      <c r="P337" s="265" t="s">
        <v>102</v>
      </c>
      <c r="Q337" s="265" t="s">
        <v>5948</v>
      </c>
      <c r="R337" s="265">
        <v>0</v>
      </c>
      <c r="S337" s="265" t="s">
        <v>5949</v>
      </c>
      <c r="T337" s="347">
        <v>0.48799999999999999</v>
      </c>
      <c r="U337" s="347">
        <v>10.050000000000001</v>
      </c>
      <c r="V337" s="348">
        <v>0.65</v>
      </c>
    </row>
    <row r="338" spans="1:22" ht="14.45" customHeight="1">
      <c r="A338" s="104" t="str">
        <f>IF(K338&gt;0,COUNT($A$8:A337)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8" s="113"/>
      <c r="C338" s="114"/>
      <c r="D338" s="158" t="s">
        <v>5950</v>
      </c>
      <c r="E338" s="106">
        <v>100025074</v>
      </c>
      <c r="F338" s="159" t="s">
        <v>5951</v>
      </c>
      <c r="G338" s="106">
        <v>25</v>
      </c>
      <c r="H338" s="106">
        <v>2250</v>
      </c>
      <c r="I338" s="153">
        <f>_xlfn.XLOOKUP(E338,'All Products'!D:D,'All Products'!H:H)</f>
        <v>64.48</v>
      </c>
      <c r="J338" s="205">
        <f>ROUNDUP(I338*Order_Quote!$L$26,2)</f>
        <v>322.39999999999998</v>
      </c>
      <c r="K338" s="78"/>
      <c r="L338" s="292"/>
      <c r="M338" s="199">
        <f t="shared" si="7"/>
        <v>0</v>
      </c>
      <c r="O338" s="265" t="s">
        <v>76</v>
      </c>
      <c r="P338" s="265" t="s">
        <v>102</v>
      </c>
      <c r="Q338" s="265" t="s">
        <v>5952</v>
      </c>
      <c r="R338" s="265">
        <v>0</v>
      </c>
      <c r="S338" s="265" t="s">
        <v>5953</v>
      </c>
      <c r="T338" s="347">
        <v>0.5</v>
      </c>
      <c r="U338" s="347">
        <v>12.5</v>
      </c>
      <c r="V338" s="348">
        <v>0.8</v>
      </c>
    </row>
    <row r="339" spans="1:22" ht="25.5" customHeight="1">
      <c r="A339" s="104" t="str">
        <f>IF(K339&gt;0,COUNT($A$8:A338)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39" s="242" t="s">
        <v>5954</v>
      </c>
      <c r="C339" s="44"/>
      <c r="D339" s="44"/>
      <c r="E339" s="44"/>
      <c r="F339" s="44"/>
      <c r="G339" s="44"/>
      <c r="H339" s="44"/>
      <c r="I339" s="245">
        <f>_xlfn.XLOOKUP(E339,'All Products'!D:D,'All Products'!H:H)</f>
        <v>0</v>
      </c>
      <c r="J339" s="245">
        <f>ROUNDUP(I339*Order_Quote!$L$26,2)</f>
        <v>0</v>
      </c>
      <c r="K339" s="246"/>
      <c r="L339" s="243"/>
      <c r="M339" s="157"/>
      <c r="O339" s="44"/>
      <c r="P339" s="44"/>
    </row>
    <row r="340" spans="1:22" ht="14.45" customHeight="1">
      <c r="A340" s="104" t="str">
        <f>IF(K340&gt;0,COUNT($A$8:A339)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0" s="110"/>
      <c r="C340" s="111"/>
      <c r="D340" s="158" t="s">
        <v>5955</v>
      </c>
      <c r="E340" s="106">
        <v>100024880</v>
      </c>
      <c r="F340" s="159" t="s">
        <v>5956</v>
      </c>
      <c r="G340" s="106">
        <v>10</v>
      </c>
      <c r="H340" s="106" t="s">
        <v>2803</v>
      </c>
      <c r="I340" s="153">
        <f>_xlfn.XLOOKUP(E340,'All Products'!D:D,'All Products'!H:H)</f>
        <v>159.97999999999999</v>
      </c>
      <c r="J340" s="205">
        <f>ROUNDUP(I340*Order_Quote!$L$26,2)</f>
        <v>799.9</v>
      </c>
      <c r="K340" s="78"/>
      <c r="L340" s="291"/>
      <c r="M340" s="199">
        <f t="shared" ref="M340:M376" si="8">K340/G340</f>
        <v>0</v>
      </c>
      <c r="O340" s="265" t="s">
        <v>359</v>
      </c>
      <c r="P340" s="265" t="s">
        <v>102</v>
      </c>
      <c r="Q340" s="265" t="s">
        <v>5957</v>
      </c>
      <c r="R340" s="265">
        <v>0</v>
      </c>
      <c r="S340" s="265" t="s">
        <v>5958</v>
      </c>
      <c r="T340" s="347">
        <v>1.796</v>
      </c>
      <c r="U340" s="347">
        <v>0</v>
      </c>
      <c r="V340" s="348">
        <v>0</v>
      </c>
    </row>
    <row r="341" spans="1:22" ht="14.45" customHeight="1">
      <c r="A341" s="104" t="str">
        <f>IF(K341&gt;0,COUNT($A$8:A340)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1" s="112"/>
      <c r="C341" s="79"/>
      <c r="D341" s="158" t="s">
        <v>5959</v>
      </c>
      <c r="E341" s="106">
        <v>100024881</v>
      </c>
      <c r="F341" s="159" t="s">
        <v>5960</v>
      </c>
      <c r="G341" s="106">
        <v>10</v>
      </c>
      <c r="H341" s="106">
        <v>240</v>
      </c>
      <c r="I341" s="153">
        <f>_xlfn.XLOOKUP(E341,'All Products'!D:D,'All Products'!H:H)</f>
        <v>171.06</v>
      </c>
      <c r="J341" s="205">
        <f>ROUNDUP(I341*Order_Quote!$L$26,2)</f>
        <v>855.3</v>
      </c>
      <c r="K341" s="78"/>
      <c r="L341" s="116"/>
      <c r="M341" s="199">
        <f t="shared" si="8"/>
        <v>0</v>
      </c>
      <c r="O341" s="265" t="s">
        <v>359</v>
      </c>
      <c r="P341" s="265" t="s">
        <v>102</v>
      </c>
      <c r="Q341" s="265" t="s">
        <v>5961</v>
      </c>
      <c r="R341" s="265">
        <v>0</v>
      </c>
      <c r="S341" s="265" t="s">
        <v>5962</v>
      </c>
      <c r="T341" s="347">
        <v>1.9750000000000001</v>
      </c>
      <c r="U341" s="347">
        <v>22.5</v>
      </c>
      <c r="V341" s="348">
        <v>2.77</v>
      </c>
    </row>
    <row r="342" spans="1:22" ht="14.45" customHeight="1">
      <c r="A342" s="104" t="str">
        <f>IF(K342&gt;0,COUNT($A$8:A341)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2" s="112"/>
      <c r="C342" s="79"/>
      <c r="D342" s="158" t="s">
        <v>5963</v>
      </c>
      <c r="E342" s="106">
        <v>100023833</v>
      </c>
      <c r="F342" s="159" t="s">
        <v>5964</v>
      </c>
      <c r="G342" s="106">
        <v>10</v>
      </c>
      <c r="H342" s="106">
        <v>600</v>
      </c>
      <c r="I342" s="153">
        <f>_xlfn.XLOOKUP(E342,'All Products'!D:D,'All Products'!H:H)</f>
        <v>159.97999999999999</v>
      </c>
      <c r="J342" s="205">
        <f>ROUNDUP(I342*Order_Quote!$L$26,2)</f>
        <v>799.9</v>
      </c>
      <c r="K342" s="78"/>
      <c r="L342" s="116"/>
      <c r="M342" s="199">
        <f t="shared" si="8"/>
        <v>0</v>
      </c>
      <c r="O342" s="265" t="s">
        <v>359</v>
      </c>
      <c r="P342" s="265" t="s">
        <v>102</v>
      </c>
      <c r="Q342" s="265" t="s">
        <v>5965</v>
      </c>
      <c r="R342" s="265">
        <v>0</v>
      </c>
      <c r="S342" s="265" t="s">
        <v>5966</v>
      </c>
      <c r="T342" s="347">
        <v>1.9590000000000001</v>
      </c>
      <c r="U342" s="347">
        <v>19.59</v>
      </c>
      <c r="V342" s="348">
        <v>1.41</v>
      </c>
    </row>
    <row r="343" spans="1:22" ht="14.45" customHeight="1">
      <c r="A343" s="104" t="str">
        <f>IF(K343&gt;0,COUNT($A$8:A342)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3" s="112"/>
      <c r="C343" s="79"/>
      <c r="D343" s="158" t="s">
        <v>5967</v>
      </c>
      <c r="E343" s="106">
        <v>100023834</v>
      </c>
      <c r="F343" s="159" t="s">
        <v>5968</v>
      </c>
      <c r="G343" s="106">
        <v>10</v>
      </c>
      <c r="H343" s="106">
        <v>600</v>
      </c>
      <c r="I343" s="153">
        <f>_xlfn.XLOOKUP(E343,'All Products'!D:D,'All Products'!H:H)</f>
        <v>159.97999999999999</v>
      </c>
      <c r="J343" s="205">
        <f>ROUNDUP(I343*Order_Quote!$L$26,2)</f>
        <v>799.9</v>
      </c>
      <c r="K343" s="78"/>
      <c r="L343" s="116"/>
      <c r="M343" s="199">
        <f t="shared" si="8"/>
        <v>0</v>
      </c>
      <c r="O343" s="265" t="s">
        <v>359</v>
      </c>
      <c r="P343" s="265" t="s">
        <v>102</v>
      </c>
      <c r="Q343" s="265" t="s">
        <v>5969</v>
      </c>
      <c r="R343" s="265">
        <v>0</v>
      </c>
      <c r="S343" s="265" t="s">
        <v>5970</v>
      </c>
      <c r="T343" s="347">
        <v>1.792</v>
      </c>
      <c r="U343" s="347">
        <v>19.73</v>
      </c>
      <c r="V343" s="348">
        <v>1.41</v>
      </c>
    </row>
    <row r="344" spans="1:22" ht="14.45" customHeight="1">
      <c r="A344" s="104" t="str">
        <f>IF(K344&gt;0,COUNT($A$8:A343)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4" s="112"/>
      <c r="C344" s="79"/>
      <c r="D344" s="158" t="s">
        <v>5971</v>
      </c>
      <c r="E344" s="106">
        <v>100024889</v>
      </c>
      <c r="F344" s="159" t="s">
        <v>5972</v>
      </c>
      <c r="G344" s="106">
        <v>10</v>
      </c>
      <c r="H344" s="106">
        <v>600</v>
      </c>
      <c r="I344" s="153">
        <f>_xlfn.XLOOKUP(E344,'All Products'!D:D,'All Products'!H:H)</f>
        <v>148.88</v>
      </c>
      <c r="J344" s="205">
        <f>ROUNDUP(I344*Order_Quote!$L$26,2)</f>
        <v>744.4</v>
      </c>
      <c r="K344" s="78"/>
      <c r="L344" s="116"/>
      <c r="M344" s="199">
        <f t="shared" si="8"/>
        <v>0</v>
      </c>
      <c r="O344" s="265" t="s">
        <v>359</v>
      </c>
      <c r="P344" s="265" t="s">
        <v>102</v>
      </c>
      <c r="Q344" s="265" t="s">
        <v>5973</v>
      </c>
      <c r="R344" s="265">
        <v>0</v>
      </c>
      <c r="S344" s="265" t="s">
        <v>5974</v>
      </c>
      <c r="T344" s="347">
        <v>1.9</v>
      </c>
      <c r="U344" s="347">
        <v>19</v>
      </c>
      <c r="V344" s="348">
        <v>1.41</v>
      </c>
    </row>
    <row r="345" spans="1:22" ht="14.45" customHeight="1">
      <c r="A345" s="104" t="str">
        <f>IF(K345&gt;0,COUNT($A$8:A344)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5" s="112"/>
      <c r="C345" s="79"/>
      <c r="D345" s="158" t="s">
        <v>5975</v>
      </c>
      <c r="E345" s="106">
        <v>100024900</v>
      </c>
      <c r="F345" s="159" t="s">
        <v>5976</v>
      </c>
      <c r="G345" s="106">
        <v>10</v>
      </c>
      <c r="H345" s="106">
        <v>600</v>
      </c>
      <c r="I345" s="153">
        <f>_xlfn.XLOOKUP(E345,'All Products'!D:D,'All Products'!H:H)</f>
        <v>159.97999999999999</v>
      </c>
      <c r="J345" s="205">
        <f>ROUNDUP(I345*Order_Quote!$L$26,2)</f>
        <v>799.9</v>
      </c>
      <c r="K345" s="78"/>
      <c r="L345" s="116"/>
      <c r="M345" s="199">
        <f t="shared" si="8"/>
        <v>0</v>
      </c>
      <c r="O345" s="265" t="s">
        <v>359</v>
      </c>
      <c r="P345" s="265" t="s">
        <v>102</v>
      </c>
      <c r="Q345" s="265" t="s">
        <v>5977</v>
      </c>
      <c r="R345" s="265">
        <v>0</v>
      </c>
      <c r="S345" s="265" t="s">
        <v>5978</v>
      </c>
      <c r="T345" s="347">
        <v>1.776</v>
      </c>
      <c r="U345" s="347">
        <v>20.14</v>
      </c>
      <c r="V345" s="348">
        <v>1.41</v>
      </c>
    </row>
    <row r="346" spans="1:22" ht="14.45" customHeight="1">
      <c r="A346" s="104" t="str">
        <f>IF(K346&gt;0,COUNT($A$8:A345)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6" s="112"/>
      <c r="C346" s="79"/>
      <c r="D346" s="158" t="s">
        <v>5979</v>
      </c>
      <c r="E346" s="106">
        <v>100023864</v>
      </c>
      <c r="F346" s="159" t="s">
        <v>5980</v>
      </c>
      <c r="G346" s="106">
        <v>10</v>
      </c>
      <c r="H346" s="106">
        <v>240</v>
      </c>
      <c r="I346" s="153">
        <f>_xlfn.XLOOKUP(E346,'All Products'!D:D,'All Products'!H:H)</f>
        <v>171.06</v>
      </c>
      <c r="J346" s="205">
        <f>ROUNDUP(I346*Order_Quote!$L$26,2)</f>
        <v>855.3</v>
      </c>
      <c r="K346" s="78"/>
      <c r="L346" s="116"/>
      <c r="M346" s="199">
        <f t="shared" si="8"/>
        <v>0</v>
      </c>
      <c r="O346" s="265" t="s">
        <v>359</v>
      </c>
      <c r="P346" s="265" t="s">
        <v>102</v>
      </c>
      <c r="Q346" s="265" t="s">
        <v>5981</v>
      </c>
      <c r="R346" s="265">
        <v>0</v>
      </c>
      <c r="S346" s="265" t="s">
        <v>5982</v>
      </c>
      <c r="T346" s="347">
        <v>1.9550000000000001</v>
      </c>
      <c r="U346" s="347">
        <v>22.6</v>
      </c>
      <c r="V346" s="348">
        <v>2.77</v>
      </c>
    </row>
    <row r="347" spans="1:22" ht="14.45" customHeight="1">
      <c r="A347" s="104" t="str">
        <f>IF(K347&gt;0,COUNT($A$8:A346)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7" s="112"/>
      <c r="C347" s="79"/>
      <c r="D347" s="158" t="s">
        <v>5983</v>
      </c>
      <c r="E347" s="106">
        <v>100023865</v>
      </c>
      <c r="F347" s="159" t="s">
        <v>5984</v>
      </c>
      <c r="G347" s="106">
        <v>10</v>
      </c>
      <c r="H347" s="106">
        <v>600</v>
      </c>
      <c r="I347" s="153">
        <f>_xlfn.XLOOKUP(E347,'All Products'!D:D,'All Products'!H:H)</f>
        <v>148.88</v>
      </c>
      <c r="J347" s="205">
        <f>ROUNDUP(I347*Order_Quote!$L$26,2)</f>
        <v>744.4</v>
      </c>
      <c r="K347" s="78"/>
      <c r="L347" s="116"/>
      <c r="M347" s="199">
        <f t="shared" si="8"/>
        <v>0</v>
      </c>
      <c r="O347" s="265" t="s">
        <v>359</v>
      </c>
      <c r="P347" s="265" t="s">
        <v>102</v>
      </c>
      <c r="Q347" s="265" t="s">
        <v>5985</v>
      </c>
      <c r="R347" s="265">
        <v>0</v>
      </c>
      <c r="S347" s="265" t="s">
        <v>5986</v>
      </c>
      <c r="T347" s="347">
        <v>1.5589999999999999</v>
      </c>
      <c r="U347" s="347">
        <v>17.45</v>
      </c>
      <c r="V347" s="348">
        <v>1.41</v>
      </c>
    </row>
    <row r="348" spans="1:22" ht="14.45" customHeight="1">
      <c r="A348" s="104" t="str">
        <f>IF(K348&gt;0,COUNT($A$8:A347)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8" s="112"/>
      <c r="C348" s="79"/>
      <c r="D348" s="158" t="s">
        <v>5987</v>
      </c>
      <c r="E348" s="106">
        <v>100023866</v>
      </c>
      <c r="F348" s="159" t="s">
        <v>5988</v>
      </c>
      <c r="G348" s="106">
        <v>10</v>
      </c>
      <c r="H348" s="106">
        <v>240</v>
      </c>
      <c r="I348" s="153">
        <f>_xlfn.XLOOKUP(E348,'All Products'!D:D,'All Products'!H:H)</f>
        <v>148.88</v>
      </c>
      <c r="J348" s="205">
        <f>ROUNDUP(I348*Order_Quote!$L$26,2)</f>
        <v>744.4</v>
      </c>
      <c r="K348" s="78"/>
      <c r="L348" s="116"/>
      <c r="M348" s="199">
        <f t="shared" si="8"/>
        <v>0</v>
      </c>
      <c r="O348" s="265" t="s">
        <v>359</v>
      </c>
      <c r="P348" s="265" t="s">
        <v>102</v>
      </c>
      <c r="Q348" s="265" t="s">
        <v>5989</v>
      </c>
      <c r="R348" s="265">
        <v>0</v>
      </c>
      <c r="S348" s="265" t="s">
        <v>5990</v>
      </c>
      <c r="T348" s="347">
        <v>1.623</v>
      </c>
      <c r="U348" s="347">
        <v>19.100000000000001</v>
      </c>
      <c r="V348" s="348">
        <v>2.77</v>
      </c>
    </row>
    <row r="349" spans="1:22" ht="14.45" customHeight="1">
      <c r="A349" s="104" t="str">
        <f>IF(K349&gt;0,COUNT($A$8:A348)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49" s="112"/>
      <c r="C349" s="79"/>
      <c r="D349" s="158" t="s">
        <v>5991</v>
      </c>
      <c r="E349" s="106">
        <v>100024906</v>
      </c>
      <c r="F349" s="159" t="s">
        <v>5992</v>
      </c>
      <c r="G349" s="106">
        <v>10</v>
      </c>
      <c r="H349" s="106">
        <v>180</v>
      </c>
      <c r="I349" s="153">
        <f>_xlfn.XLOOKUP(E349,'All Products'!D:D,'All Products'!H:H)</f>
        <v>243.53</v>
      </c>
      <c r="J349" s="205">
        <f>ROUNDUP(I349*Order_Quote!$L$26,2)</f>
        <v>1217.6500000000001</v>
      </c>
      <c r="K349" s="78"/>
      <c r="L349" s="116"/>
      <c r="M349" s="199">
        <f t="shared" si="8"/>
        <v>0</v>
      </c>
      <c r="O349" s="265" t="s">
        <v>76</v>
      </c>
      <c r="P349" s="265" t="s">
        <v>102</v>
      </c>
      <c r="Q349" s="265" t="s">
        <v>5993</v>
      </c>
      <c r="R349" s="265">
        <v>0</v>
      </c>
      <c r="S349" s="265" t="s">
        <v>5994</v>
      </c>
      <c r="T349" s="347">
        <v>2.4460000000000002</v>
      </c>
      <c r="U349" s="347">
        <v>27.34</v>
      </c>
      <c r="V349" s="348">
        <v>2.65</v>
      </c>
    </row>
    <row r="350" spans="1:22" ht="14.45" customHeight="1">
      <c r="A350" s="104" t="str">
        <f>IF(K350&gt;0,COUNT($A$8:A349)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0" s="112"/>
      <c r="C350" s="79"/>
      <c r="D350" s="158" t="s">
        <v>5995</v>
      </c>
      <c r="E350" s="106">
        <v>100024907</v>
      </c>
      <c r="F350" s="159" t="s">
        <v>5996</v>
      </c>
      <c r="G350" s="106">
        <v>10</v>
      </c>
      <c r="H350" s="106">
        <v>240</v>
      </c>
      <c r="I350" s="153">
        <f>_xlfn.XLOOKUP(E350,'All Products'!D:D,'All Products'!H:H)</f>
        <v>250.53</v>
      </c>
      <c r="J350" s="205">
        <f>ROUNDUP(I350*Order_Quote!$L$26,2)</f>
        <v>1252.6500000000001</v>
      </c>
      <c r="K350" s="78"/>
      <c r="L350" s="116"/>
      <c r="M350" s="199">
        <f t="shared" si="8"/>
        <v>0</v>
      </c>
      <c r="O350" s="265" t="s">
        <v>76</v>
      </c>
      <c r="P350" s="265" t="s">
        <v>102</v>
      </c>
      <c r="Q350" s="265" t="s">
        <v>5997</v>
      </c>
      <c r="R350" s="265">
        <v>0</v>
      </c>
      <c r="S350" s="265" t="s">
        <v>5998</v>
      </c>
      <c r="T350" s="347">
        <v>2.6269999999999998</v>
      </c>
      <c r="U350" s="347">
        <v>29.65</v>
      </c>
      <c r="V350" s="348">
        <v>2.77</v>
      </c>
    </row>
    <row r="351" spans="1:22" ht="14.45" customHeight="1">
      <c r="A351" s="104" t="str">
        <f>IF(K351&gt;0,COUNT($A$8:A350)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1" s="112"/>
      <c r="C351" s="79"/>
      <c r="D351" s="158" t="s">
        <v>5999</v>
      </c>
      <c r="E351" s="106">
        <v>100024948</v>
      </c>
      <c r="F351" s="159" t="s">
        <v>6000</v>
      </c>
      <c r="G351" s="106">
        <v>10</v>
      </c>
      <c r="H351" s="106" t="s">
        <v>2803</v>
      </c>
      <c r="I351" s="153">
        <f>_xlfn.XLOOKUP(E351,'All Products'!D:D,'All Products'!H:H)</f>
        <v>159.97999999999999</v>
      </c>
      <c r="J351" s="205">
        <f>ROUNDUP(I351*Order_Quote!$L$26,2)</f>
        <v>799.9</v>
      </c>
      <c r="K351" s="78"/>
      <c r="L351" s="116"/>
      <c r="M351" s="199">
        <f t="shared" si="8"/>
        <v>0</v>
      </c>
      <c r="O351" s="265" t="s">
        <v>359</v>
      </c>
      <c r="P351" s="265" t="s">
        <v>102</v>
      </c>
      <c r="Q351" s="265" t="s">
        <v>6001</v>
      </c>
      <c r="R351" s="265">
        <v>0</v>
      </c>
      <c r="S351" s="265" t="s">
        <v>6002</v>
      </c>
      <c r="T351" s="347">
        <v>1.784</v>
      </c>
      <c r="U351" s="347">
        <v>0</v>
      </c>
      <c r="V351" s="348">
        <v>0</v>
      </c>
    </row>
    <row r="352" spans="1:22" ht="14.45" customHeight="1">
      <c r="A352" s="104" t="str">
        <f>IF(K352&gt;0,COUNT($A$8:A351)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2" s="112"/>
      <c r="C352" s="79"/>
      <c r="D352" s="158" t="s">
        <v>6003</v>
      </c>
      <c r="E352" s="106">
        <v>100024949</v>
      </c>
      <c r="F352" s="159" t="s">
        <v>6004</v>
      </c>
      <c r="G352" s="106">
        <v>10</v>
      </c>
      <c r="H352" s="106" t="s">
        <v>2803</v>
      </c>
      <c r="I352" s="153">
        <f>_xlfn.XLOOKUP(E352,'All Products'!D:D,'All Products'!H:H)</f>
        <v>171.06</v>
      </c>
      <c r="J352" s="205">
        <f>ROUNDUP(I352*Order_Quote!$L$26,2)</f>
        <v>855.3</v>
      </c>
      <c r="K352" s="78"/>
      <c r="L352" s="116"/>
      <c r="M352" s="199">
        <f t="shared" si="8"/>
        <v>0</v>
      </c>
      <c r="O352" s="265" t="s">
        <v>359</v>
      </c>
      <c r="P352" s="265" t="s">
        <v>102</v>
      </c>
      <c r="Q352" s="265" t="s">
        <v>6005</v>
      </c>
      <c r="R352" s="265">
        <v>0</v>
      </c>
      <c r="S352" s="265" t="s">
        <v>6006</v>
      </c>
      <c r="T352" s="347">
        <v>1.9630000000000001</v>
      </c>
      <c r="U352" s="347">
        <v>0</v>
      </c>
      <c r="V352" s="348">
        <v>0</v>
      </c>
    </row>
    <row r="353" spans="1:22" ht="14.45" customHeight="1">
      <c r="A353" s="104" t="str">
        <f>IF(K353&gt;0,COUNT($A$8:A352)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3" s="112"/>
      <c r="C353" s="79"/>
      <c r="D353" s="158" t="s">
        <v>6007</v>
      </c>
      <c r="E353" s="106">
        <v>100024098</v>
      </c>
      <c r="F353" s="159" t="s">
        <v>6008</v>
      </c>
      <c r="G353" s="106">
        <v>10</v>
      </c>
      <c r="H353" s="106">
        <v>240</v>
      </c>
      <c r="I353" s="153">
        <f>_xlfn.XLOOKUP(E353,'All Products'!D:D,'All Products'!H:H)</f>
        <v>171.06</v>
      </c>
      <c r="J353" s="205">
        <f>ROUNDUP(I353*Order_Quote!$L$26,2)</f>
        <v>855.3</v>
      </c>
      <c r="K353" s="78"/>
      <c r="L353" s="116"/>
      <c r="M353" s="199">
        <f t="shared" si="8"/>
        <v>0</v>
      </c>
      <c r="O353" s="265" t="s">
        <v>359</v>
      </c>
      <c r="P353" s="265" t="s">
        <v>102</v>
      </c>
      <c r="Q353" s="265" t="s">
        <v>6009</v>
      </c>
      <c r="R353" s="265">
        <v>0</v>
      </c>
      <c r="S353" s="265" t="s">
        <v>6010</v>
      </c>
      <c r="T353" s="347">
        <v>1.9419999999999999</v>
      </c>
      <c r="U353" s="347">
        <v>22.5</v>
      </c>
      <c r="V353" s="348">
        <v>2.77</v>
      </c>
    </row>
    <row r="354" spans="1:22" ht="14.45" customHeight="1">
      <c r="A354" s="104" t="str">
        <f>IF(K354&gt;0,COUNT($A$8:A353)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4" s="112"/>
      <c r="C354" s="79"/>
      <c r="D354" s="158" t="s">
        <v>6011</v>
      </c>
      <c r="E354" s="106">
        <v>100024103</v>
      </c>
      <c r="F354" s="159" t="s">
        <v>6012</v>
      </c>
      <c r="G354" s="106">
        <v>10</v>
      </c>
      <c r="H354" s="106">
        <v>240</v>
      </c>
      <c r="I354" s="153">
        <f>_xlfn.XLOOKUP(E354,'All Products'!D:D,'All Products'!H:H)</f>
        <v>4.42</v>
      </c>
      <c r="J354" s="205">
        <f>ROUNDUP(I354*Order_Quote!$L$26,2)</f>
        <v>22.1</v>
      </c>
      <c r="K354" s="78"/>
      <c r="L354" s="116"/>
      <c r="M354" s="199">
        <f t="shared" si="8"/>
        <v>0</v>
      </c>
      <c r="O354" s="265" t="s">
        <v>359</v>
      </c>
      <c r="P354" s="265" t="s">
        <v>102</v>
      </c>
      <c r="Q354" s="265" t="s">
        <v>6013</v>
      </c>
      <c r="R354" s="265">
        <v>0</v>
      </c>
      <c r="S354" s="265" t="s">
        <v>6014</v>
      </c>
      <c r="T354" s="347">
        <v>1.9430000000000001</v>
      </c>
      <c r="U354" s="347">
        <v>23</v>
      </c>
      <c r="V354" s="348">
        <v>2.77</v>
      </c>
    </row>
    <row r="355" spans="1:22" ht="14.45" customHeight="1">
      <c r="A355" s="104" t="str">
        <f>IF(K355&gt;0,COUNT($A$8:A354)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5" s="112"/>
      <c r="C355" s="79"/>
      <c r="D355" s="158" t="s">
        <v>6015</v>
      </c>
      <c r="E355" s="106">
        <v>100024950</v>
      </c>
      <c r="F355" s="159" t="s">
        <v>6016</v>
      </c>
      <c r="G355" s="106">
        <v>10</v>
      </c>
      <c r="H355" s="106">
        <v>180</v>
      </c>
      <c r="I355" s="153">
        <f>_xlfn.XLOOKUP(E355,'All Products'!D:D,'All Products'!H:H)</f>
        <v>243.53</v>
      </c>
      <c r="J355" s="205">
        <f>ROUNDUP(I355*Order_Quote!$L$26,2)</f>
        <v>1217.6500000000001</v>
      </c>
      <c r="K355" s="78"/>
      <c r="L355" s="116"/>
      <c r="M355" s="199">
        <f t="shared" si="8"/>
        <v>0</v>
      </c>
      <c r="O355" s="265" t="s">
        <v>359</v>
      </c>
      <c r="P355" s="265" t="s">
        <v>102</v>
      </c>
      <c r="Q355" s="265" t="s">
        <v>6017</v>
      </c>
      <c r="R355" s="265">
        <v>0</v>
      </c>
      <c r="S355" s="265" t="s">
        <v>6018</v>
      </c>
      <c r="T355" s="347">
        <v>2.4340000000000002</v>
      </c>
      <c r="U355" s="347">
        <v>27.1</v>
      </c>
      <c r="V355" s="348">
        <v>2.65</v>
      </c>
    </row>
    <row r="356" spans="1:22" ht="14.45" customHeight="1">
      <c r="A356" s="104" t="str">
        <f>IF(K356&gt;0,COUNT($A$8:A355)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6" s="112"/>
      <c r="C356" s="79"/>
      <c r="D356" s="158" t="s">
        <v>6019</v>
      </c>
      <c r="E356" s="106">
        <v>100024951</v>
      </c>
      <c r="F356" s="159" t="s">
        <v>6020</v>
      </c>
      <c r="G356" s="106">
        <v>10</v>
      </c>
      <c r="H356" s="106">
        <v>240</v>
      </c>
      <c r="I356" s="153">
        <f>_xlfn.XLOOKUP(E356,'All Products'!D:D,'All Products'!H:H)</f>
        <v>250.53</v>
      </c>
      <c r="J356" s="205">
        <f>ROUNDUP(I356*Order_Quote!$L$26,2)</f>
        <v>1252.6500000000001</v>
      </c>
      <c r="K356" s="78"/>
      <c r="L356" s="116"/>
      <c r="M356" s="199">
        <f t="shared" si="8"/>
        <v>0</v>
      </c>
      <c r="O356" s="265" t="s">
        <v>359</v>
      </c>
      <c r="P356" s="265" t="s">
        <v>102</v>
      </c>
      <c r="Q356" s="265" t="s">
        <v>6021</v>
      </c>
      <c r="R356" s="265">
        <v>0</v>
      </c>
      <c r="S356" s="265" t="s">
        <v>6022</v>
      </c>
      <c r="T356" s="347">
        <v>2.613</v>
      </c>
      <c r="U356" s="347">
        <v>29.8</v>
      </c>
      <c r="V356" s="348">
        <v>2.77</v>
      </c>
    </row>
    <row r="357" spans="1:22" ht="14.45" customHeight="1">
      <c r="A357" s="104" t="str">
        <f>IF(K357&gt;0,COUNT($A$8:A356)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7" s="112"/>
      <c r="C357" s="79"/>
      <c r="D357" s="158" t="s">
        <v>6023</v>
      </c>
      <c r="E357" s="106">
        <v>100024968</v>
      </c>
      <c r="F357" s="159" t="s">
        <v>6024</v>
      </c>
      <c r="G357" s="106">
        <v>10</v>
      </c>
      <c r="H357" s="106">
        <v>180</v>
      </c>
      <c r="I357" s="153">
        <f>_xlfn.XLOOKUP(E357,'All Products'!D:D,'All Products'!H:H)</f>
        <v>193.51</v>
      </c>
      <c r="J357" s="205">
        <f>ROUNDUP(I357*Order_Quote!$L$26,2)</f>
        <v>967.55</v>
      </c>
      <c r="K357" s="78"/>
      <c r="L357" s="116"/>
      <c r="M357" s="199">
        <f t="shared" si="8"/>
        <v>0</v>
      </c>
      <c r="O357" s="265" t="s">
        <v>359</v>
      </c>
      <c r="P357" s="265" t="s">
        <v>102</v>
      </c>
      <c r="Q357" s="265" t="s">
        <v>6025</v>
      </c>
      <c r="R357" s="265">
        <v>0</v>
      </c>
      <c r="S357" s="265" t="s">
        <v>6026</v>
      </c>
      <c r="T357" s="347">
        <v>2.3839999999999999</v>
      </c>
      <c r="U357" s="347">
        <v>25.5</v>
      </c>
      <c r="V357" s="348">
        <v>2.65</v>
      </c>
    </row>
    <row r="358" spans="1:22" ht="14.45" customHeight="1">
      <c r="A358" s="104" t="str">
        <f>IF(K358&gt;0,COUNT($A$8:A357)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8" s="112"/>
      <c r="C358" s="79"/>
      <c r="D358" s="158" t="s">
        <v>6027</v>
      </c>
      <c r="E358" s="106">
        <v>100024969</v>
      </c>
      <c r="F358" s="159" t="s">
        <v>6028</v>
      </c>
      <c r="G358" s="106">
        <v>10</v>
      </c>
      <c r="H358" s="106">
        <v>180</v>
      </c>
      <c r="I358" s="153">
        <f>_xlfn.XLOOKUP(E358,'All Products'!D:D,'All Products'!H:H)</f>
        <v>182.38</v>
      </c>
      <c r="J358" s="205">
        <f>ROUNDUP(I358*Order_Quote!$L$26,2)</f>
        <v>911.9</v>
      </c>
      <c r="K358" s="78"/>
      <c r="L358" s="116"/>
      <c r="M358" s="199">
        <f t="shared" si="8"/>
        <v>0</v>
      </c>
      <c r="O358" s="265" t="s">
        <v>76</v>
      </c>
      <c r="P358" s="265" t="s">
        <v>102</v>
      </c>
      <c r="Q358" s="265" t="s">
        <v>6029</v>
      </c>
      <c r="R358" s="265">
        <v>0</v>
      </c>
      <c r="S358" s="265" t="s">
        <v>6030</v>
      </c>
      <c r="T358" s="347">
        <v>2.202</v>
      </c>
      <c r="U358" s="347">
        <v>22.7</v>
      </c>
      <c r="V358" s="348">
        <v>2.65</v>
      </c>
    </row>
    <row r="359" spans="1:22" ht="14.45" customHeight="1">
      <c r="A359" s="104" t="str">
        <f>IF(K359&gt;0,COUNT($A$8:A358)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59" s="112"/>
      <c r="C359" s="79"/>
      <c r="D359" s="158" t="s">
        <v>6031</v>
      </c>
      <c r="E359" s="106">
        <v>100024179</v>
      </c>
      <c r="F359" s="159" t="s">
        <v>6032</v>
      </c>
      <c r="G359" s="106">
        <v>10</v>
      </c>
      <c r="H359" s="106">
        <v>180</v>
      </c>
      <c r="I359" s="153">
        <f>_xlfn.XLOOKUP(E359,'All Products'!D:D,'All Products'!H:H)</f>
        <v>193.51</v>
      </c>
      <c r="J359" s="205">
        <f>ROUNDUP(I359*Order_Quote!$L$26,2)</f>
        <v>967.55</v>
      </c>
      <c r="K359" s="78"/>
      <c r="L359" s="116"/>
      <c r="M359" s="199">
        <f t="shared" si="8"/>
        <v>0</v>
      </c>
      <c r="O359" s="265" t="s">
        <v>359</v>
      </c>
      <c r="P359" s="265" t="s">
        <v>102</v>
      </c>
      <c r="Q359" s="265" t="s">
        <v>6033</v>
      </c>
      <c r="R359" s="265">
        <v>0</v>
      </c>
      <c r="S359" s="265" t="s">
        <v>6034</v>
      </c>
      <c r="T359" s="347">
        <v>2.36</v>
      </c>
      <c r="U359" s="347">
        <v>25.9</v>
      </c>
      <c r="V359" s="348">
        <v>2.65</v>
      </c>
    </row>
    <row r="360" spans="1:22" ht="14.45" customHeight="1">
      <c r="A360" s="104" t="str">
        <f>IF(K360&gt;0,COUNT($A$8:A359)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0" s="112"/>
      <c r="C360" s="79"/>
      <c r="D360" s="158" t="s">
        <v>6035</v>
      </c>
      <c r="E360" s="106">
        <v>100024180</v>
      </c>
      <c r="F360" s="159" t="s">
        <v>6036</v>
      </c>
      <c r="G360" s="106">
        <v>10</v>
      </c>
      <c r="H360" s="106">
        <v>240</v>
      </c>
      <c r="I360" s="153">
        <f>_xlfn.XLOOKUP(E360,'All Products'!D:D,'All Products'!H:H)</f>
        <v>204.52</v>
      </c>
      <c r="J360" s="205">
        <f>ROUNDUP(I360*Order_Quote!$L$26,2)</f>
        <v>1022.6</v>
      </c>
      <c r="K360" s="78"/>
      <c r="L360" s="116"/>
      <c r="M360" s="199">
        <f t="shared" si="8"/>
        <v>0</v>
      </c>
      <c r="O360" s="265" t="s">
        <v>359</v>
      </c>
      <c r="P360" s="265" t="s">
        <v>102</v>
      </c>
      <c r="Q360" s="265" t="s">
        <v>6037</v>
      </c>
      <c r="R360" s="265">
        <v>0</v>
      </c>
      <c r="S360" s="265" t="s">
        <v>6038</v>
      </c>
      <c r="T360" s="347">
        <v>2.6339999999999999</v>
      </c>
      <c r="U360" s="347">
        <v>29.1</v>
      </c>
      <c r="V360" s="348">
        <v>2.77</v>
      </c>
    </row>
    <row r="361" spans="1:22" ht="14.45" customHeight="1">
      <c r="A361" s="104" t="str">
        <f>IF(K361&gt;0,COUNT($A$8:A360)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1" s="112"/>
      <c r="C361" s="79"/>
      <c r="D361" s="158" t="s">
        <v>6039</v>
      </c>
      <c r="E361" s="106">
        <v>100024188</v>
      </c>
      <c r="F361" s="159" t="s">
        <v>6040</v>
      </c>
      <c r="G361" s="106">
        <v>10</v>
      </c>
      <c r="H361" s="106" t="s">
        <v>2803</v>
      </c>
      <c r="I361" s="153">
        <f>_xlfn.XLOOKUP(E361,'All Products'!D:D,'All Products'!H:H)</f>
        <v>193.51</v>
      </c>
      <c r="J361" s="205">
        <f>ROUNDUP(I361*Order_Quote!$L$26,2)</f>
        <v>967.55</v>
      </c>
      <c r="K361" s="78"/>
      <c r="L361" s="116"/>
      <c r="M361" s="199">
        <f t="shared" si="8"/>
        <v>0</v>
      </c>
      <c r="O361" s="265" t="s">
        <v>359</v>
      </c>
      <c r="P361" s="265" t="s">
        <v>102</v>
      </c>
      <c r="Q361" s="265" t="s">
        <v>6041</v>
      </c>
      <c r="R361" s="265">
        <v>0</v>
      </c>
      <c r="S361" s="265" t="s">
        <v>6042</v>
      </c>
      <c r="T361" s="347">
        <v>2.3919999999999999</v>
      </c>
      <c r="U361" s="347">
        <v>0</v>
      </c>
      <c r="V361" s="348">
        <v>0</v>
      </c>
    </row>
    <row r="362" spans="1:22" ht="14.45" customHeight="1">
      <c r="A362" s="104" t="str">
        <f>IF(K362&gt;0,COUNT($A$8:A361)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2" s="112"/>
      <c r="C362" s="79"/>
      <c r="D362" s="158" t="s">
        <v>6043</v>
      </c>
      <c r="E362" s="106">
        <v>100024209</v>
      </c>
      <c r="F362" s="159" t="s">
        <v>6044</v>
      </c>
      <c r="G362" s="106">
        <v>10</v>
      </c>
      <c r="H362" s="106">
        <v>180</v>
      </c>
      <c r="I362" s="153">
        <f>_xlfn.XLOOKUP(E362,'All Products'!D:D,'All Products'!H:H)</f>
        <v>193.51</v>
      </c>
      <c r="J362" s="205">
        <f>ROUNDUP(I362*Order_Quote!$L$26,2)</f>
        <v>967.55</v>
      </c>
      <c r="K362" s="78"/>
      <c r="L362" s="116"/>
      <c r="M362" s="199">
        <f t="shared" si="8"/>
        <v>0</v>
      </c>
      <c r="O362" s="265" t="s">
        <v>359</v>
      </c>
      <c r="P362" s="265" t="s">
        <v>102</v>
      </c>
      <c r="Q362" s="265" t="s">
        <v>6045</v>
      </c>
      <c r="R362" s="265">
        <v>0</v>
      </c>
      <c r="S362" s="265" t="s">
        <v>6046</v>
      </c>
      <c r="T362" s="347">
        <v>1.9570000000000001</v>
      </c>
      <c r="U362" s="347">
        <v>24.15</v>
      </c>
      <c r="V362" s="348">
        <v>2.65</v>
      </c>
    </row>
    <row r="363" spans="1:22" ht="14.45" customHeight="1">
      <c r="A363" s="104" t="str">
        <f>IF(K363&gt;0,COUNT($A$8:A362)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3" s="112"/>
      <c r="C363" s="79"/>
      <c r="D363" s="158" t="s">
        <v>6047</v>
      </c>
      <c r="E363" s="106">
        <v>100024229</v>
      </c>
      <c r="F363" s="159" t="s">
        <v>6048</v>
      </c>
      <c r="G363" s="106">
        <v>10</v>
      </c>
      <c r="H363" s="106" t="s">
        <v>2803</v>
      </c>
      <c r="I363" s="153">
        <f>_xlfn.XLOOKUP(E363,'All Products'!D:D,'All Products'!H:H)</f>
        <v>182.38</v>
      </c>
      <c r="J363" s="205">
        <f>ROUNDUP(I363*Order_Quote!$L$26,2)</f>
        <v>911.9</v>
      </c>
      <c r="K363" s="78"/>
      <c r="L363" s="116"/>
      <c r="M363" s="199">
        <f t="shared" si="8"/>
        <v>0</v>
      </c>
      <c r="O363" s="265" t="s">
        <v>359</v>
      </c>
      <c r="P363" s="265" t="s">
        <v>102</v>
      </c>
      <c r="Q363" s="265" t="s">
        <v>6049</v>
      </c>
      <c r="R363" s="265">
        <v>0</v>
      </c>
      <c r="S363" s="265" t="s">
        <v>6050</v>
      </c>
      <c r="T363" s="347">
        <v>2.1429999999999998</v>
      </c>
      <c r="U363" s="347">
        <v>22</v>
      </c>
      <c r="V363" s="348">
        <v>0</v>
      </c>
    </row>
    <row r="364" spans="1:22" ht="14.45" customHeight="1">
      <c r="A364" s="104" t="str">
        <f>IF(K364&gt;0,COUNT($A$8:A363)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4" s="112"/>
      <c r="C364" s="79"/>
      <c r="D364" s="158" t="s">
        <v>6051</v>
      </c>
      <c r="E364" s="106">
        <v>100024240</v>
      </c>
      <c r="F364" s="159" t="s">
        <v>5976</v>
      </c>
      <c r="G364" s="106">
        <v>10</v>
      </c>
      <c r="H364" s="106">
        <v>180</v>
      </c>
      <c r="I364" s="153">
        <f>_xlfn.XLOOKUP(E364,'All Products'!D:D,'All Products'!H:H)</f>
        <v>193.51</v>
      </c>
      <c r="J364" s="205">
        <f>ROUNDUP(I364*Order_Quote!$L$26,2)</f>
        <v>967.55</v>
      </c>
      <c r="K364" s="78"/>
      <c r="L364" s="116"/>
      <c r="M364" s="199">
        <f t="shared" si="8"/>
        <v>0</v>
      </c>
      <c r="O364" s="265" t="s">
        <v>359</v>
      </c>
      <c r="P364" s="265" t="s">
        <v>102</v>
      </c>
      <c r="Q364" s="265" t="s">
        <v>6052</v>
      </c>
      <c r="R364" s="265">
        <v>0</v>
      </c>
      <c r="S364" s="265" t="s">
        <v>6053</v>
      </c>
      <c r="T364" s="347">
        <v>2.351</v>
      </c>
      <c r="U364" s="347">
        <v>28.5</v>
      </c>
      <c r="V364" s="348">
        <v>2.65</v>
      </c>
    </row>
    <row r="365" spans="1:22" ht="14.45" customHeight="1">
      <c r="A365" s="104" t="str">
        <f>IF(K365&gt;0,COUNT($A$8:A364)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5" s="112"/>
      <c r="C365" s="79"/>
      <c r="D365" s="158" t="s">
        <v>6054</v>
      </c>
      <c r="E365" s="106">
        <v>100024243</v>
      </c>
      <c r="F365" s="159" t="s">
        <v>6055</v>
      </c>
      <c r="G365" s="106">
        <v>10</v>
      </c>
      <c r="H365" s="106">
        <v>180</v>
      </c>
      <c r="I365" s="153">
        <f>_xlfn.XLOOKUP(E365,'All Products'!D:D,'All Products'!H:H)</f>
        <v>182.38</v>
      </c>
      <c r="J365" s="205">
        <f>ROUNDUP(I365*Order_Quote!$L$26,2)</f>
        <v>911.9</v>
      </c>
      <c r="K365" s="78"/>
      <c r="L365" s="116"/>
      <c r="M365" s="199">
        <f t="shared" si="8"/>
        <v>0</v>
      </c>
      <c r="O365" s="265" t="s">
        <v>359</v>
      </c>
      <c r="P365" s="265" t="s">
        <v>102</v>
      </c>
      <c r="Q365" s="265" t="s">
        <v>6056</v>
      </c>
      <c r="R365" s="265">
        <v>0</v>
      </c>
      <c r="S365" s="265" t="s">
        <v>6057</v>
      </c>
      <c r="T365" s="347">
        <v>2.169</v>
      </c>
      <c r="U365" s="347">
        <v>23.45</v>
      </c>
      <c r="V365" s="348">
        <v>2.65</v>
      </c>
    </row>
    <row r="366" spans="1:22" ht="14.45" customHeight="1">
      <c r="A366" s="104" t="str">
        <f>IF(K366&gt;0,COUNT($A$8:A365)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6" s="112"/>
      <c r="C366" s="79"/>
      <c r="D366" s="158" t="s">
        <v>6058</v>
      </c>
      <c r="E366" s="106">
        <v>100024441</v>
      </c>
      <c r="F366" s="159" t="s">
        <v>6059</v>
      </c>
      <c r="G366" s="106">
        <v>10</v>
      </c>
      <c r="H366" s="106">
        <v>180</v>
      </c>
      <c r="I366" s="153">
        <f>_xlfn.XLOOKUP(E366,'All Products'!D:D,'All Products'!H:H)</f>
        <v>222.84</v>
      </c>
      <c r="J366" s="205">
        <f>ROUNDUP(I366*Order_Quote!$L$26,2)</f>
        <v>1114.2</v>
      </c>
      <c r="K366" s="78"/>
      <c r="L366" s="116"/>
      <c r="M366" s="199">
        <f t="shared" si="8"/>
        <v>0</v>
      </c>
      <c r="O366" s="265" t="s">
        <v>359</v>
      </c>
      <c r="P366" s="265" t="s">
        <v>102</v>
      </c>
      <c r="Q366" s="265" t="s">
        <v>6060</v>
      </c>
      <c r="R366" s="265">
        <v>0</v>
      </c>
      <c r="S366" s="265" t="s">
        <v>6061</v>
      </c>
      <c r="T366" s="347">
        <v>2.851</v>
      </c>
      <c r="U366" s="347">
        <v>31.2</v>
      </c>
      <c r="V366" s="348">
        <v>2.65</v>
      </c>
    </row>
    <row r="367" spans="1:22" ht="14.45" customHeight="1">
      <c r="A367" s="104" t="str">
        <f>IF(K367&gt;0,COUNT($A$8:A366)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7" s="112"/>
      <c r="C367" s="79"/>
      <c r="D367" s="158" t="s">
        <v>6062</v>
      </c>
      <c r="E367" s="106">
        <v>100025022</v>
      </c>
      <c r="F367" s="159" t="s">
        <v>6063</v>
      </c>
      <c r="G367" s="106">
        <v>10</v>
      </c>
      <c r="H367" s="106">
        <v>180</v>
      </c>
      <c r="I367" s="153">
        <f>_xlfn.XLOOKUP(E367,'All Products'!D:D,'All Products'!H:H)</f>
        <v>222.84</v>
      </c>
      <c r="J367" s="205">
        <f>ROUNDUP(I367*Order_Quote!$L$26,2)</f>
        <v>1114.2</v>
      </c>
      <c r="K367" s="78"/>
      <c r="L367" s="116"/>
      <c r="M367" s="199">
        <f t="shared" si="8"/>
        <v>0</v>
      </c>
      <c r="O367" s="265" t="s">
        <v>359</v>
      </c>
      <c r="P367" s="265" t="s">
        <v>102</v>
      </c>
      <c r="Q367" s="265" t="s">
        <v>6064</v>
      </c>
      <c r="R367" s="265">
        <v>0</v>
      </c>
      <c r="S367" s="265" t="s">
        <v>6065</v>
      </c>
      <c r="T367" s="347">
        <v>2.8260000000000001</v>
      </c>
      <c r="U367" s="347">
        <v>30.35</v>
      </c>
      <c r="V367" s="348">
        <v>2.65</v>
      </c>
    </row>
    <row r="368" spans="1:22" ht="14.45" customHeight="1">
      <c r="A368" s="104" t="str">
        <f>IF(K368&gt;0,COUNT($A$8:A367)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8" s="112"/>
      <c r="C368" s="79"/>
      <c r="D368" s="158" t="s">
        <v>6066</v>
      </c>
      <c r="E368" s="106">
        <v>100024456</v>
      </c>
      <c r="F368" s="159" t="s">
        <v>6067</v>
      </c>
      <c r="G368" s="106">
        <v>10</v>
      </c>
      <c r="H368" s="106">
        <v>240</v>
      </c>
      <c r="I368" s="153">
        <f>_xlfn.XLOOKUP(E368,'All Products'!D:D,'All Products'!H:H)</f>
        <v>233.88</v>
      </c>
      <c r="J368" s="205">
        <f>ROUNDUP(I368*Order_Quote!$L$26,2)</f>
        <v>1169.4000000000001</v>
      </c>
      <c r="K368" s="78"/>
      <c r="L368" s="116"/>
      <c r="M368" s="199">
        <f t="shared" si="8"/>
        <v>0</v>
      </c>
      <c r="O368" s="265" t="s">
        <v>359</v>
      </c>
      <c r="P368" s="265" t="s">
        <v>102</v>
      </c>
      <c r="Q368" s="265" t="s">
        <v>6068</v>
      </c>
      <c r="R368" s="265">
        <v>0</v>
      </c>
      <c r="S368" s="265" t="s">
        <v>6069</v>
      </c>
      <c r="T368" s="347">
        <v>3.141</v>
      </c>
      <c r="U368" s="347">
        <v>29.5</v>
      </c>
      <c r="V368" s="348">
        <v>2.77</v>
      </c>
    </row>
    <row r="369" spans="1:22" ht="14.45" customHeight="1">
      <c r="A369" s="104" t="str">
        <f>IF(K369&gt;0,COUNT($A$8:A368)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69" s="112"/>
      <c r="C369" s="79"/>
      <c r="D369" s="158" t="s">
        <v>6070</v>
      </c>
      <c r="E369" s="106">
        <v>100025023</v>
      </c>
      <c r="F369" s="159" t="s">
        <v>6071</v>
      </c>
      <c r="G369" s="106">
        <v>10</v>
      </c>
      <c r="H369" s="106">
        <v>180</v>
      </c>
      <c r="I369" s="153">
        <f>_xlfn.XLOOKUP(E369,'All Products'!D:D,'All Products'!H:H)</f>
        <v>211.78</v>
      </c>
      <c r="J369" s="205">
        <f>ROUNDUP(I369*Order_Quote!$L$26,2)</f>
        <v>1058.9000000000001</v>
      </c>
      <c r="K369" s="78"/>
      <c r="L369" s="116"/>
      <c r="M369" s="199">
        <f t="shared" si="8"/>
        <v>0</v>
      </c>
      <c r="O369" s="265" t="s">
        <v>359</v>
      </c>
      <c r="P369" s="265" t="s">
        <v>102</v>
      </c>
      <c r="Q369" s="265" t="s">
        <v>6072</v>
      </c>
      <c r="R369" s="265">
        <v>0</v>
      </c>
      <c r="S369" s="265" t="s">
        <v>6073</v>
      </c>
      <c r="T369" s="347">
        <v>2.6150000000000002</v>
      </c>
      <c r="U369" s="347">
        <v>28.04</v>
      </c>
      <c r="V369" s="348">
        <v>2.65</v>
      </c>
    </row>
    <row r="370" spans="1:22" ht="14.45" customHeight="1">
      <c r="A370" s="104" t="str">
        <f>IF(K370&gt;0,COUNT($A$8:A369)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0" s="112"/>
      <c r="C370" s="79"/>
      <c r="D370" s="158" t="s">
        <v>6074</v>
      </c>
      <c r="E370" s="106">
        <v>100024467</v>
      </c>
      <c r="F370" s="159" t="s">
        <v>6075</v>
      </c>
      <c r="G370" s="106">
        <v>10</v>
      </c>
      <c r="H370" s="106">
        <v>900</v>
      </c>
      <c r="I370" s="153">
        <f>_xlfn.XLOOKUP(E370,'All Products'!D:D,'All Products'!H:H)</f>
        <v>211.78</v>
      </c>
      <c r="J370" s="205">
        <f>ROUNDUP(I370*Order_Quote!$L$26,2)</f>
        <v>1058.9000000000001</v>
      </c>
      <c r="K370" s="78"/>
      <c r="L370" s="116"/>
      <c r="M370" s="199">
        <f t="shared" si="8"/>
        <v>0</v>
      </c>
      <c r="O370" s="265" t="s">
        <v>359</v>
      </c>
      <c r="P370" s="265" t="s">
        <v>102</v>
      </c>
      <c r="Q370" s="265" t="s">
        <v>6076</v>
      </c>
      <c r="R370" s="265">
        <v>0</v>
      </c>
      <c r="S370" s="265" t="s">
        <v>6077</v>
      </c>
      <c r="T370" s="347">
        <v>2.5649999999999999</v>
      </c>
      <c r="U370" s="347">
        <v>29.15</v>
      </c>
      <c r="V370" s="348">
        <v>0.8</v>
      </c>
    </row>
    <row r="371" spans="1:22" ht="14.45" customHeight="1">
      <c r="A371" s="104" t="str">
        <f>IF(K371&gt;0,COUNT($A$8:A370)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1" s="112"/>
      <c r="C371" s="79"/>
      <c r="D371" s="158" t="s">
        <v>6078</v>
      </c>
      <c r="E371" s="106">
        <v>100025029</v>
      </c>
      <c r="F371" s="159" t="s">
        <v>6079</v>
      </c>
      <c r="G371" s="106">
        <v>10</v>
      </c>
      <c r="H371" s="106">
        <v>180</v>
      </c>
      <c r="I371" s="153">
        <f>_xlfn.XLOOKUP(E371,'All Products'!D:D,'All Products'!H:H)</f>
        <v>222.84</v>
      </c>
      <c r="J371" s="205">
        <f>ROUNDUP(I371*Order_Quote!$L$26,2)</f>
        <v>1114.2</v>
      </c>
      <c r="K371" s="78"/>
      <c r="L371" s="116"/>
      <c r="M371" s="199">
        <f t="shared" si="8"/>
        <v>0</v>
      </c>
      <c r="O371" s="265" t="s">
        <v>359</v>
      </c>
      <c r="P371" s="265" t="s">
        <v>102</v>
      </c>
      <c r="Q371" s="265" t="s">
        <v>6080</v>
      </c>
      <c r="R371" s="265">
        <v>0</v>
      </c>
      <c r="S371" s="265" t="s">
        <v>6081</v>
      </c>
      <c r="T371" s="347">
        <v>2.7709999999999999</v>
      </c>
      <c r="U371" s="347">
        <v>30.4</v>
      </c>
      <c r="V371" s="348">
        <v>2.65</v>
      </c>
    </row>
    <row r="372" spans="1:22" ht="14.45" customHeight="1">
      <c r="A372" s="104" t="str">
        <f>IF(K372&gt;0,COUNT($A$8:A371)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2" s="112"/>
      <c r="C372" s="79"/>
      <c r="D372" s="158" t="s">
        <v>6082</v>
      </c>
      <c r="E372" s="106">
        <v>100024474</v>
      </c>
      <c r="F372" s="159" t="s">
        <v>6083</v>
      </c>
      <c r="G372" s="106">
        <v>10</v>
      </c>
      <c r="H372" s="106">
        <v>180</v>
      </c>
      <c r="I372" s="153">
        <f>_xlfn.XLOOKUP(E372,'All Products'!D:D,'All Products'!H:H)</f>
        <v>211.78</v>
      </c>
      <c r="J372" s="205">
        <f>ROUNDUP(I372*Order_Quote!$L$26,2)</f>
        <v>1058.9000000000001</v>
      </c>
      <c r="K372" s="78"/>
      <c r="L372" s="116"/>
      <c r="M372" s="199">
        <f t="shared" si="8"/>
        <v>0</v>
      </c>
      <c r="O372" s="265" t="s">
        <v>359</v>
      </c>
      <c r="P372" s="265" t="s">
        <v>102</v>
      </c>
      <c r="Q372" s="265" t="s">
        <v>6084</v>
      </c>
      <c r="R372" s="265">
        <v>0</v>
      </c>
      <c r="S372" s="265" t="s">
        <v>6085</v>
      </c>
      <c r="T372" s="347">
        <v>2.4500000000000002</v>
      </c>
      <c r="U372" s="347">
        <v>27.3</v>
      </c>
      <c r="V372" s="348">
        <v>2.65</v>
      </c>
    </row>
    <row r="373" spans="1:22" ht="14.45" customHeight="1">
      <c r="A373" s="104" t="str">
        <f>IF(K373&gt;0,COUNT($A$8:A372)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3" s="112"/>
      <c r="C373" s="79"/>
      <c r="D373" s="158" t="s">
        <v>6086</v>
      </c>
      <c r="E373" s="106">
        <v>100024499</v>
      </c>
      <c r="F373" s="159" t="s">
        <v>6087</v>
      </c>
      <c r="G373" s="106">
        <v>10</v>
      </c>
      <c r="H373" s="106">
        <v>180</v>
      </c>
      <c r="I373" s="153">
        <f>_xlfn.XLOOKUP(E373,'All Products'!D:D,'All Products'!H:H)</f>
        <v>363.61</v>
      </c>
      <c r="J373" s="205">
        <f>ROUNDUP(I373*Order_Quote!$L$26,2)</f>
        <v>1818.05</v>
      </c>
      <c r="K373" s="78"/>
      <c r="L373" s="116"/>
      <c r="M373" s="199">
        <f t="shared" si="8"/>
        <v>0</v>
      </c>
      <c r="O373" s="265" t="s">
        <v>359</v>
      </c>
      <c r="P373" s="265" t="s">
        <v>102</v>
      </c>
      <c r="Q373" s="265" t="s">
        <v>6088</v>
      </c>
      <c r="R373" s="265">
        <v>0</v>
      </c>
      <c r="S373" s="265" t="s">
        <v>6089</v>
      </c>
      <c r="T373" s="347">
        <v>3.5350000000000001</v>
      </c>
      <c r="U373" s="347">
        <v>38.75</v>
      </c>
      <c r="V373" s="348">
        <v>2.65</v>
      </c>
    </row>
    <row r="374" spans="1:22" ht="14.45" customHeight="1">
      <c r="A374" s="104" t="str">
        <f>IF(K374&gt;0,COUNT($A$8:A373)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4" s="112"/>
      <c r="C374" s="79"/>
      <c r="D374" s="158" t="s">
        <v>6090</v>
      </c>
      <c r="E374" s="106">
        <v>100024592</v>
      </c>
      <c r="F374" s="159" t="s">
        <v>6091</v>
      </c>
      <c r="G374" s="106">
        <v>10</v>
      </c>
      <c r="H374" s="106" t="s">
        <v>2803</v>
      </c>
      <c r="I374" s="153">
        <f>_xlfn.XLOOKUP(E374,'All Products'!D:D,'All Products'!H:H)</f>
        <v>222.84</v>
      </c>
      <c r="J374" s="205">
        <f>ROUNDUP(I374*Order_Quote!$L$26,2)</f>
        <v>1114.2</v>
      </c>
      <c r="K374" s="78"/>
      <c r="L374" s="116"/>
      <c r="M374" s="199">
        <f t="shared" si="8"/>
        <v>0</v>
      </c>
      <c r="O374" s="265" t="s">
        <v>359</v>
      </c>
      <c r="P374" s="265" t="s">
        <v>102</v>
      </c>
      <c r="Q374" s="265" t="s">
        <v>6092</v>
      </c>
      <c r="R374" s="265">
        <v>0</v>
      </c>
      <c r="S374" s="265" t="s">
        <v>6093</v>
      </c>
      <c r="T374" s="347">
        <v>2.8069999999999999</v>
      </c>
      <c r="U374" s="347">
        <v>0</v>
      </c>
      <c r="V374" s="348">
        <v>0</v>
      </c>
    </row>
    <row r="375" spans="1:22" ht="14.45" customHeight="1">
      <c r="A375" s="104" t="str">
        <f>IF(K375&gt;0,COUNT($A$8:A374)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5" s="112"/>
      <c r="C375" s="79"/>
      <c r="D375" s="158" t="s">
        <v>6094</v>
      </c>
      <c r="E375" s="106">
        <v>100024593</v>
      </c>
      <c r="F375" s="159" t="s">
        <v>6095</v>
      </c>
      <c r="G375" s="106">
        <v>10</v>
      </c>
      <c r="H375" s="106">
        <v>240</v>
      </c>
      <c r="I375" s="153">
        <f>_xlfn.XLOOKUP(E375,'All Products'!D:D,'All Products'!H:H)</f>
        <v>233.88</v>
      </c>
      <c r="J375" s="205">
        <f>ROUNDUP(I375*Order_Quote!$L$26,2)</f>
        <v>1169.4000000000001</v>
      </c>
      <c r="K375" s="78"/>
      <c r="L375" s="116"/>
      <c r="M375" s="199">
        <f t="shared" si="8"/>
        <v>0</v>
      </c>
      <c r="O375" s="265" t="s">
        <v>359</v>
      </c>
      <c r="P375" s="265" t="s">
        <v>102</v>
      </c>
      <c r="Q375" s="265" t="s">
        <v>6096</v>
      </c>
      <c r="R375" s="265">
        <v>0</v>
      </c>
      <c r="S375" s="265" t="s">
        <v>6097</v>
      </c>
      <c r="T375" s="347">
        <v>3.1219999999999999</v>
      </c>
      <c r="U375" s="347">
        <v>34.200000000000003</v>
      </c>
      <c r="V375" s="348">
        <v>2.77</v>
      </c>
    </row>
    <row r="376" spans="1:22" ht="14.45" customHeight="1">
      <c r="A376" s="104" t="str">
        <f>IF(K376&gt;0,COUNT($A$8:A375)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6" s="113"/>
      <c r="C376" s="114"/>
      <c r="D376" s="158" t="s">
        <v>6098</v>
      </c>
      <c r="E376" s="106">
        <v>100024596</v>
      </c>
      <c r="F376" s="159" t="s">
        <v>6099</v>
      </c>
      <c r="G376" s="106">
        <v>10</v>
      </c>
      <c r="H376" s="106">
        <v>180</v>
      </c>
      <c r="I376" s="153">
        <f>_xlfn.XLOOKUP(E376,'All Products'!D:D,'All Products'!H:H)</f>
        <v>222.84</v>
      </c>
      <c r="J376" s="205">
        <f>ROUNDUP(I376*Order_Quote!$L$26,2)</f>
        <v>1114.2</v>
      </c>
      <c r="K376" s="78"/>
      <c r="L376" s="292"/>
      <c r="M376" s="199">
        <f t="shared" si="8"/>
        <v>0</v>
      </c>
      <c r="O376" s="265" t="s">
        <v>359</v>
      </c>
      <c r="P376" s="265" t="s">
        <v>102</v>
      </c>
      <c r="Q376" s="265" t="s">
        <v>6100</v>
      </c>
      <c r="R376" s="265">
        <v>0</v>
      </c>
      <c r="S376" s="265" t="s">
        <v>6101</v>
      </c>
      <c r="T376" s="347">
        <v>2.7789999999999999</v>
      </c>
      <c r="U376" s="347">
        <v>30.4</v>
      </c>
      <c r="V376" s="348">
        <v>2.65</v>
      </c>
    </row>
    <row r="377" spans="1:22" ht="25.5" customHeight="1">
      <c r="A377" s="104" t="str">
        <f>IF(K377&gt;0,COUNT($A$8:A376)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7" s="242" t="s">
        <v>6102</v>
      </c>
      <c r="C377" s="44"/>
      <c r="D377" s="44"/>
      <c r="E377" s="44"/>
      <c r="F377" s="44"/>
      <c r="G377" s="44"/>
      <c r="H377" s="44"/>
      <c r="I377" s="245">
        <f>_xlfn.XLOOKUP(E377,'All Products'!D:D,'All Products'!H:H)</f>
        <v>0</v>
      </c>
      <c r="J377" s="245">
        <f>ROUNDUP(I377*Order_Quote!$L$26,2)</f>
        <v>0</v>
      </c>
      <c r="K377" s="246"/>
      <c r="L377" s="243"/>
      <c r="M377" s="157"/>
      <c r="O377" s="44"/>
      <c r="P377" s="44"/>
    </row>
    <row r="378" spans="1:22" ht="14.45" customHeight="1">
      <c r="A378" s="104" t="str">
        <f>IF(K378&gt;0,COUNT($A$8:A377)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8" s="110"/>
      <c r="C378" s="111"/>
      <c r="D378" s="158" t="s">
        <v>6103</v>
      </c>
      <c r="E378" s="106">
        <v>100024857</v>
      </c>
      <c r="F378" s="159" t="s">
        <v>6104</v>
      </c>
      <c r="G378" s="106">
        <v>20</v>
      </c>
      <c r="H378" s="106">
        <v>1200</v>
      </c>
      <c r="I378" s="153">
        <f>_xlfn.XLOOKUP(E378,'All Products'!D:D,'All Products'!H:H)</f>
        <v>191.49</v>
      </c>
      <c r="J378" s="205">
        <f>ROUNDUP(I378*Order_Quote!$L$26,2)</f>
        <v>957.45</v>
      </c>
      <c r="K378" s="78"/>
      <c r="L378" s="291"/>
      <c r="M378" s="199">
        <f t="shared" ref="M378:M415" si="9">K378/G378</f>
        <v>0</v>
      </c>
      <c r="O378" s="265" t="s">
        <v>359</v>
      </c>
      <c r="P378" s="265" t="s">
        <v>102</v>
      </c>
      <c r="Q378" s="265" t="s">
        <v>6105</v>
      </c>
      <c r="R378" s="265">
        <v>0</v>
      </c>
      <c r="S378" s="265" t="s">
        <v>6106</v>
      </c>
      <c r="T378" s="347">
        <v>1.9</v>
      </c>
      <c r="U378" s="347">
        <v>19.899999999999999</v>
      </c>
      <c r="V378" s="348">
        <v>1.41</v>
      </c>
    </row>
    <row r="379" spans="1:22" ht="14.45" customHeight="1">
      <c r="A379" s="104" t="str">
        <f>IF(K379&gt;0,COUNT($A$8:A378)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79" s="112"/>
      <c r="C379" s="79"/>
      <c r="D379" s="158" t="s">
        <v>6107</v>
      </c>
      <c r="E379" s="106">
        <v>100023759</v>
      </c>
      <c r="F379" s="159" t="s">
        <v>6108</v>
      </c>
      <c r="G379" s="106">
        <v>10</v>
      </c>
      <c r="H379" s="106">
        <v>240</v>
      </c>
      <c r="I379" s="153">
        <f>_xlfn.XLOOKUP(E379,'All Products'!D:D,'All Products'!H:H)</f>
        <v>198.47</v>
      </c>
      <c r="J379" s="205">
        <f>ROUNDUP(I379*Order_Quote!$L$26,2)</f>
        <v>992.35</v>
      </c>
      <c r="K379" s="78"/>
      <c r="L379" s="116"/>
      <c r="M379" s="199">
        <f t="shared" si="9"/>
        <v>0</v>
      </c>
      <c r="O379" s="265" t="s">
        <v>359</v>
      </c>
      <c r="P379" s="265" t="s">
        <v>102</v>
      </c>
      <c r="Q379" s="265" t="s">
        <v>6109</v>
      </c>
      <c r="R379" s="265">
        <v>0</v>
      </c>
      <c r="S379" s="265" t="s">
        <v>6110</v>
      </c>
      <c r="T379" s="347">
        <v>2.0790000000000002</v>
      </c>
      <c r="U379" s="347">
        <v>24.1</v>
      </c>
      <c r="V379" s="348">
        <v>2.77</v>
      </c>
    </row>
    <row r="380" spans="1:22" ht="14.45" customHeight="1">
      <c r="A380" s="104" t="str">
        <f>IF(K380&gt;0,COUNT($A$8:A379)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0" s="112"/>
      <c r="C380" s="79"/>
      <c r="D380" s="158" t="s">
        <v>6111</v>
      </c>
      <c r="E380" s="106">
        <v>100024860</v>
      </c>
      <c r="F380" s="159" t="s">
        <v>6112</v>
      </c>
      <c r="G380" s="106">
        <v>10</v>
      </c>
      <c r="H380" s="106">
        <v>600</v>
      </c>
      <c r="I380" s="153">
        <f>_xlfn.XLOOKUP(E380,'All Products'!D:D,'All Products'!H:H)</f>
        <v>191.49</v>
      </c>
      <c r="J380" s="205">
        <f>ROUNDUP(I380*Order_Quote!$L$26,2)</f>
        <v>957.45</v>
      </c>
      <c r="K380" s="78"/>
      <c r="L380" s="116"/>
      <c r="M380" s="199">
        <f t="shared" si="9"/>
        <v>0</v>
      </c>
      <c r="O380" s="265" t="s">
        <v>359</v>
      </c>
      <c r="P380" s="265" t="s">
        <v>102</v>
      </c>
      <c r="Q380" s="265" t="s">
        <v>6113</v>
      </c>
      <c r="R380" s="265">
        <v>0</v>
      </c>
      <c r="S380" s="265" t="s">
        <v>6114</v>
      </c>
      <c r="T380" s="347">
        <v>1.9430000000000001</v>
      </c>
      <c r="U380" s="347">
        <v>17.98</v>
      </c>
      <c r="V380" s="348">
        <v>1.41</v>
      </c>
    </row>
    <row r="381" spans="1:22" ht="14.45" customHeight="1">
      <c r="A381" s="104" t="str">
        <f>IF(K381&gt;0,COUNT($A$8:A380)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1" s="112"/>
      <c r="C381" s="79"/>
      <c r="D381" s="158" t="s">
        <v>6115</v>
      </c>
      <c r="E381" s="106">
        <v>100024866</v>
      </c>
      <c r="F381" s="159" t="s">
        <v>6116</v>
      </c>
      <c r="G381" s="106">
        <v>20</v>
      </c>
      <c r="H381" s="106" t="s">
        <v>2803</v>
      </c>
      <c r="I381" s="153">
        <f>_xlfn.XLOOKUP(E381,'All Products'!D:D,'All Products'!H:H)</f>
        <v>191.49</v>
      </c>
      <c r="J381" s="205">
        <f>ROUNDUP(I381*Order_Quote!$L$26,2)</f>
        <v>957.45</v>
      </c>
      <c r="K381" s="78"/>
      <c r="L381" s="116"/>
      <c r="M381" s="199">
        <f t="shared" si="9"/>
        <v>0</v>
      </c>
      <c r="O381" s="265" t="s">
        <v>76</v>
      </c>
      <c r="P381" s="265" t="s">
        <v>102</v>
      </c>
      <c r="Q381" s="265" t="s">
        <v>6117</v>
      </c>
      <c r="R381" s="265">
        <v>0</v>
      </c>
      <c r="S381" s="265" t="s">
        <v>6118</v>
      </c>
      <c r="T381" s="347">
        <v>1.879</v>
      </c>
      <c r="U381" s="347">
        <v>0</v>
      </c>
      <c r="V381" s="348">
        <v>0</v>
      </c>
    </row>
    <row r="382" spans="1:22" ht="14.45" customHeight="1">
      <c r="A382" s="104" t="str">
        <f>IF(K382&gt;0,COUNT($A$8:A381)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2" s="112"/>
      <c r="C382" s="79"/>
      <c r="D382" s="158" t="s">
        <v>6119</v>
      </c>
      <c r="E382" s="106">
        <v>100023770</v>
      </c>
      <c r="F382" s="159" t="s">
        <v>6120</v>
      </c>
      <c r="G382" s="106">
        <v>10</v>
      </c>
      <c r="H382" s="106">
        <v>750</v>
      </c>
      <c r="I382" s="153">
        <f>_xlfn.XLOOKUP(E382,'All Products'!D:D,'All Products'!H:H)</f>
        <v>191.49</v>
      </c>
      <c r="J382" s="205">
        <f>ROUNDUP(I382*Order_Quote!$L$26,2)</f>
        <v>957.45</v>
      </c>
      <c r="K382" s="78"/>
      <c r="L382" s="116"/>
      <c r="M382" s="199">
        <f t="shared" si="9"/>
        <v>0</v>
      </c>
      <c r="O382" s="265" t="s">
        <v>359</v>
      </c>
      <c r="P382" s="265" t="s">
        <v>102</v>
      </c>
      <c r="Q382" s="265" t="s">
        <v>6121</v>
      </c>
      <c r="R382" s="265">
        <v>0</v>
      </c>
      <c r="S382" s="265" t="s">
        <v>6122</v>
      </c>
      <c r="T382" s="347">
        <v>1.79</v>
      </c>
      <c r="U382" s="347">
        <v>17.899999999999999</v>
      </c>
      <c r="V382" s="348">
        <v>1.1000000000000001</v>
      </c>
    </row>
    <row r="383" spans="1:22" ht="14.45" customHeight="1">
      <c r="A383" s="104" t="str">
        <f>IF(K383&gt;0,COUNT($A$8:A382)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3" s="112"/>
      <c r="C383" s="79"/>
      <c r="D383" s="158" t="s">
        <v>6123</v>
      </c>
      <c r="E383" s="106">
        <v>100024873</v>
      </c>
      <c r="F383" s="159" t="s">
        <v>6124</v>
      </c>
      <c r="G383" s="106">
        <v>10</v>
      </c>
      <c r="H383" s="106">
        <v>750</v>
      </c>
      <c r="I383" s="153">
        <f>_xlfn.XLOOKUP(E383,'All Products'!D:D,'All Products'!H:H)</f>
        <v>191.49</v>
      </c>
      <c r="J383" s="205">
        <f>ROUNDUP(I383*Order_Quote!$L$26,2)</f>
        <v>957.45</v>
      </c>
      <c r="K383" s="78"/>
      <c r="L383" s="116"/>
      <c r="M383" s="199">
        <f t="shared" si="9"/>
        <v>0</v>
      </c>
      <c r="O383" s="265" t="s">
        <v>76</v>
      </c>
      <c r="P383" s="265" t="s">
        <v>102</v>
      </c>
      <c r="Q383" s="265" t="s">
        <v>6125</v>
      </c>
      <c r="R383" s="265">
        <v>0</v>
      </c>
      <c r="S383" s="265" t="s">
        <v>6126</v>
      </c>
      <c r="T383" s="347">
        <v>1.756</v>
      </c>
      <c r="U383" s="347">
        <v>18.79</v>
      </c>
      <c r="V383" s="348">
        <v>1.1000000000000001</v>
      </c>
    </row>
    <row r="384" spans="1:22" ht="14.45" customHeight="1">
      <c r="A384" s="104" t="str">
        <f>IF(K384&gt;0,COUNT($A$8:A383)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4" s="112"/>
      <c r="C384" s="79"/>
      <c r="D384" s="158" t="s">
        <v>6127</v>
      </c>
      <c r="E384" s="106">
        <v>100023771</v>
      </c>
      <c r="F384" s="159" t="s">
        <v>6128</v>
      </c>
      <c r="G384" s="106">
        <v>10</v>
      </c>
      <c r="H384" s="106">
        <v>600</v>
      </c>
      <c r="I384" s="153">
        <f>_xlfn.XLOOKUP(E384,'All Products'!D:D,'All Products'!H:H)</f>
        <v>198.47</v>
      </c>
      <c r="J384" s="205">
        <f>ROUNDUP(I384*Order_Quote!$L$26,2)</f>
        <v>992.35</v>
      </c>
      <c r="K384" s="78"/>
      <c r="L384" s="116"/>
      <c r="M384" s="199">
        <f t="shared" si="9"/>
        <v>0</v>
      </c>
      <c r="O384" s="265" t="s">
        <v>359</v>
      </c>
      <c r="P384" s="265" t="s">
        <v>102</v>
      </c>
      <c r="Q384" s="265" t="s">
        <v>6129</v>
      </c>
      <c r="R384" s="265">
        <v>0</v>
      </c>
      <c r="S384" s="265" t="s">
        <v>6130</v>
      </c>
      <c r="T384" s="347">
        <v>1.9379999999999999</v>
      </c>
      <c r="U384" s="347">
        <v>19.38</v>
      </c>
      <c r="V384" s="348">
        <v>1.41</v>
      </c>
    </row>
    <row r="385" spans="1:22" ht="14.45" customHeight="1">
      <c r="A385" s="104" t="str">
        <f>IF(K385&gt;0,COUNT($A$8:A384)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5" s="112"/>
      <c r="C385" s="79"/>
      <c r="D385" s="158" t="s">
        <v>6131</v>
      </c>
      <c r="E385" s="106">
        <v>100023772</v>
      </c>
      <c r="F385" s="159" t="s">
        <v>6132</v>
      </c>
      <c r="G385" s="106">
        <v>10</v>
      </c>
      <c r="H385" s="106">
        <v>240</v>
      </c>
      <c r="I385" s="153">
        <f>_xlfn.XLOOKUP(E385,'All Products'!D:D,'All Products'!H:H)</f>
        <v>198.47</v>
      </c>
      <c r="J385" s="205">
        <f>ROUNDUP(I385*Order_Quote!$L$26,2)</f>
        <v>992.35</v>
      </c>
      <c r="K385" s="78"/>
      <c r="L385" s="116"/>
      <c r="M385" s="199">
        <f t="shared" si="9"/>
        <v>0</v>
      </c>
      <c r="O385" s="265" t="s">
        <v>359</v>
      </c>
      <c r="P385" s="265" t="s">
        <v>102</v>
      </c>
      <c r="Q385" s="265" t="s">
        <v>6133</v>
      </c>
      <c r="R385" s="265">
        <v>0</v>
      </c>
      <c r="S385" s="265" t="s">
        <v>6134</v>
      </c>
      <c r="T385" s="347">
        <v>2.1</v>
      </c>
      <c r="U385" s="347">
        <v>21</v>
      </c>
      <c r="V385" s="348">
        <v>2.77</v>
      </c>
    </row>
    <row r="386" spans="1:22" ht="14.45" customHeight="1">
      <c r="A386" s="104" t="str">
        <f>IF(K386&gt;0,COUNT($A$8:A385)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6" s="112"/>
      <c r="C386" s="79"/>
      <c r="D386" s="158" t="s">
        <v>6135</v>
      </c>
      <c r="E386" s="106">
        <v>100024874</v>
      </c>
      <c r="F386" s="159" t="s">
        <v>6136</v>
      </c>
      <c r="G386" s="106">
        <v>10</v>
      </c>
      <c r="H386" s="106">
        <v>240</v>
      </c>
      <c r="I386" s="153">
        <f>_xlfn.XLOOKUP(E386,'All Products'!D:D,'All Products'!H:H)</f>
        <v>198.47</v>
      </c>
      <c r="J386" s="205">
        <f>ROUNDUP(I386*Order_Quote!$L$26,2)</f>
        <v>992.35</v>
      </c>
      <c r="K386" s="78"/>
      <c r="L386" s="116"/>
      <c r="M386" s="199">
        <f t="shared" si="9"/>
        <v>0</v>
      </c>
      <c r="O386" s="265" t="s">
        <v>76</v>
      </c>
      <c r="P386" s="265" t="s">
        <v>102</v>
      </c>
      <c r="Q386" s="265" t="s">
        <v>6137</v>
      </c>
      <c r="R386" s="265">
        <v>0</v>
      </c>
      <c r="S386" s="265" t="s">
        <v>6138</v>
      </c>
      <c r="T386" s="347">
        <v>1.9350000000000001</v>
      </c>
      <c r="U386" s="347">
        <v>21.91</v>
      </c>
      <c r="V386" s="348">
        <v>2.77</v>
      </c>
    </row>
    <row r="387" spans="1:22" ht="14.45" customHeight="1">
      <c r="A387" s="104" t="str">
        <f>IF(K387&gt;0,COUNT($A$8:A386)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7" s="112"/>
      <c r="C387" s="79"/>
      <c r="D387" s="158" t="s">
        <v>6139</v>
      </c>
      <c r="E387" s="106">
        <v>100023775</v>
      </c>
      <c r="F387" s="159" t="s">
        <v>6140</v>
      </c>
      <c r="G387" s="106">
        <v>10</v>
      </c>
      <c r="H387" s="106">
        <v>750</v>
      </c>
      <c r="I387" s="153">
        <f>_xlfn.XLOOKUP(E387,'All Products'!D:D,'All Products'!H:H)</f>
        <v>180.98</v>
      </c>
      <c r="J387" s="205">
        <f>ROUNDUP(I387*Order_Quote!$L$26,2)</f>
        <v>904.9</v>
      </c>
      <c r="K387" s="78"/>
      <c r="L387" s="116"/>
      <c r="M387" s="199">
        <f t="shared" si="9"/>
        <v>0</v>
      </c>
      <c r="O387" s="265" t="s">
        <v>359</v>
      </c>
      <c r="P387" s="265" t="s">
        <v>102</v>
      </c>
      <c r="Q387" s="265" t="s">
        <v>6141</v>
      </c>
      <c r="R387" s="265">
        <v>0</v>
      </c>
      <c r="S387" s="265" t="s">
        <v>6142</v>
      </c>
      <c r="T387" s="347">
        <v>1.6519999999999999</v>
      </c>
      <c r="U387" s="347">
        <v>16.515000000000001</v>
      </c>
      <c r="V387" s="348">
        <v>0.95</v>
      </c>
    </row>
    <row r="388" spans="1:22" ht="14.45" customHeight="1">
      <c r="A388" s="104" t="str">
        <f>IF(K388&gt;0,COUNT($A$8:A387)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8" s="112"/>
      <c r="C388" s="79"/>
      <c r="D388" s="158" t="s">
        <v>6143</v>
      </c>
      <c r="E388" s="106">
        <v>100023776</v>
      </c>
      <c r="F388" s="159" t="s">
        <v>6144</v>
      </c>
      <c r="G388" s="106">
        <v>10</v>
      </c>
      <c r="H388" s="106">
        <v>750</v>
      </c>
      <c r="I388" s="153">
        <f>_xlfn.XLOOKUP(E388,'All Products'!D:D,'All Products'!H:H)</f>
        <v>180.98</v>
      </c>
      <c r="J388" s="205">
        <f>ROUNDUP(I388*Order_Quote!$L$26,2)</f>
        <v>904.9</v>
      </c>
      <c r="K388" s="78"/>
      <c r="L388" s="116"/>
      <c r="M388" s="199">
        <f t="shared" si="9"/>
        <v>0</v>
      </c>
      <c r="O388" s="265" t="s">
        <v>76</v>
      </c>
      <c r="P388" s="265" t="s">
        <v>102</v>
      </c>
      <c r="Q388" s="265" t="s">
        <v>6145</v>
      </c>
      <c r="R388" s="265">
        <v>0</v>
      </c>
      <c r="S388" s="265" t="s">
        <v>6146</v>
      </c>
      <c r="T388" s="347">
        <v>1.7310000000000001</v>
      </c>
      <c r="U388" s="347">
        <v>17.309999999999999</v>
      </c>
      <c r="V388" s="348">
        <v>1.1000000000000001</v>
      </c>
    </row>
    <row r="389" spans="1:22" ht="14.45" customHeight="1">
      <c r="A389" s="104" t="str">
        <f>IF(K389&gt;0,COUNT($A$8:A388)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89" s="112"/>
      <c r="C389" s="79"/>
      <c r="D389" s="158" t="s">
        <v>6147</v>
      </c>
      <c r="E389" s="106">
        <v>100024893</v>
      </c>
      <c r="F389" s="159" t="s">
        <v>6148</v>
      </c>
      <c r="G389" s="106">
        <v>10</v>
      </c>
      <c r="H389" s="106">
        <v>750</v>
      </c>
      <c r="I389" s="153">
        <f>_xlfn.XLOOKUP(E389,'All Products'!D:D,'All Products'!H:H)</f>
        <v>191.49</v>
      </c>
      <c r="J389" s="205">
        <f>ROUNDUP(I389*Order_Quote!$L$26,2)</f>
        <v>957.45</v>
      </c>
      <c r="K389" s="78"/>
      <c r="L389" s="116"/>
      <c r="M389" s="199">
        <f t="shared" si="9"/>
        <v>0</v>
      </c>
      <c r="O389" s="265" t="s">
        <v>359</v>
      </c>
      <c r="P389" s="265" t="s">
        <v>102</v>
      </c>
      <c r="Q389" s="265" t="s">
        <v>6149</v>
      </c>
      <c r="R389" s="265">
        <v>0</v>
      </c>
      <c r="S389" s="265">
        <v>0</v>
      </c>
      <c r="T389" s="347">
        <v>1.756</v>
      </c>
      <c r="U389" s="347">
        <v>17.355</v>
      </c>
      <c r="V389" s="348">
        <v>1.1000000000000001</v>
      </c>
    </row>
    <row r="390" spans="1:22" ht="14.45" customHeight="1">
      <c r="A390" s="104" t="str">
        <f>IF(K390&gt;0,COUNT($A$8:A389)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0" s="112"/>
      <c r="C390" s="79"/>
      <c r="D390" s="158" t="s">
        <v>6150</v>
      </c>
      <c r="E390" s="106">
        <v>100023849</v>
      </c>
      <c r="F390" s="159" t="s">
        <v>6151</v>
      </c>
      <c r="G390" s="106">
        <v>10</v>
      </c>
      <c r="H390" s="106">
        <v>180</v>
      </c>
      <c r="I390" s="153">
        <f>_xlfn.XLOOKUP(E390,'All Products'!D:D,'All Products'!H:H)</f>
        <v>198.47</v>
      </c>
      <c r="J390" s="205">
        <f>ROUNDUP(I390*Order_Quote!$L$26,2)</f>
        <v>992.35</v>
      </c>
      <c r="K390" s="78"/>
      <c r="L390" s="116"/>
      <c r="M390" s="199">
        <f t="shared" si="9"/>
        <v>0</v>
      </c>
      <c r="O390" s="265" t="s">
        <v>359</v>
      </c>
      <c r="P390" s="265" t="s">
        <v>102</v>
      </c>
      <c r="Q390" s="265" t="s">
        <v>6152</v>
      </c>
      <c r="R390" s="265">
        <v>0</v>
      </c>
      <c r="S390" s="265" t="s">
        <v>6153</v>
      </c>
      <c r="T390" s="347">
        <v>1.77</v>
      </c>
      <c r="U390" s="347">
        <v>17.7</v>
      </c>
      <c r="V390" s="348">
        <v>2.65</v>
      </c>
    </row>
    <row r="391" spans="1:22" ht="14.45" customHeight="1">
      <c r="A391" s="104" t="str">
        <f>IF(K391&gt;0,COUNT($A$8:A390)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1" s="112"/>
      <c r="C391" s="79"/>
      <c r="D391" s="158" t="s">
        <v>6154</v>
      </c>
      <c r="E391" s="106">
        <v>100024894</v>
      </c>
      <c r="F391" s="159" t="s">
        <v>6155</v>
      </c>
      <c r="G391" s="106">
        <v>10</v>
      </c>
      <c r="H391" s="106">
        <v>240</v>
      </c>
      <c r="I391" s="153">
        <f>_xlfn.XLOOKUP(E391,'All Products'!D:D,'All Products'!H:H)</f>
        <v>198.47</v>
      </c>
      <c r="J391" s="205">
        <f>ROUNDUP(I391*Order_Quote!$L$26,2)</f>
        <v>992.35</v>
      </c>
      <c r="K391" s="78"/>
      <c r="L391" s="116"/>
      <c r="M391" s="199">
        <f t="shared" si="9"/>
        <v>0</v>
      </c>
      <c r="O391" s="265" t="s">
        <v>359</v>
      </c>
      <c r="P391" s="265" t="s">
        <v>102</v>
      </c>
      <c r="Q391" s="265" t="s">
        <v>6156</v>
      </c>
      <c r="R391" s="265">
        <v>0</v>
      </c>
      <c r="S391" s="265" t="s">
        <v>6157</v>
      </c>
      <c r="T391" s="347">
        <v>1.9350000000000001</v>
      </c>
      <c r="U391" s="347">
        <v>21.9</v>
      </c>
      <c r="V391" s="348">
        <v>2.77</v>
      </c>
    </row>
    <row r="392" spans="1:22" ht="14.45" customHeight="1">
      <c r="A392" s="104" t="str">
        <f>IF(K392&gt;0,COUNT($A$8:A391)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2" s="112"/>
      <c r="C392" s="79"/>
      <c r="D392" s="158" t="s">
        <v>6158</v>
      </c>
      <c r="E392" s="106">
        <v>100024910</v>
      </c>
      <c r="F392" s="159" t="s">
        <v>6159</v>
      </c>
      <c r="G392" s="106">
        <v>10</v>
      </c>
      <c r="H392" s="106">
        <v>750</v>
      </c>
      <c r="I392" s="153">
        <f>_xlfn.XLOOKUP(E392,'All Products'!D:D,'All Products'!H:H)</f>
        <v>191.49</v>
      </c>
      <c r="J392" s="205">
        <f>ROUNDUP(I392*Order_Quote!$L$26,2)</f>
        <v>957.45</v>
      </c>
      <c r="K392" s="78"/>
      <c r="L392" s="116"/>
      <c r="M392" s="199">
        <f t="shared" si="9"/>
        <v>0</v>
      </c>
      <c r="O392" s="265" t="s">
        <v>76</v>
      </c>
      <c r="P392" s="265" t="s">
        <v>102</v>
      </c>
      <c r="Q392" s="265" t="s">
        <v>6160</v>
      </c>
      <c r="R392" s="265">
        <v>0</v>
      </c>
      <c r="S392" s="265" t="s">
        <v>6161</v>
      </c>
      <c r="T392" s="347">
        <v>1.8160000000000001</v>
      </c>
      <c r="U392" s="347">
        <v>18.16</v>
      </c>
      <c r="V392" s="348">
        <v>1.1000000000000001</v>
      </c>
    </row>
    <row r="393" spans="1:22" ht="14.45" customHeight="1">
      <c r="A393" s="104" t="str">
        <f>IF(K393&gt;0,COUNT($A$8:A392)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3" s="112"/>
      <c r="C393" s="79"/>
      <c r="D393" s="158" t="s">
        <v>6162</v>
      </c>
      <c r="E393" s="106">
        <v>100024911</v>
      </c>
      <c r="F393" s="159" t="s">
        <v>6163</v>
      </c>
      <c r="G393" s="106">
        <v>10</v>
      </c>
      <c r="H393" s="106">
        <v>750</v>
      </c>
      <c r="I393" s="153">
        <f>_xlfn.XLOOKUP(E393,'All Products'!D:D,'All Products'!H:H)</f>
        <v>191.49</v>
      </c>
      <c r="J393" s="205">
        <f>ROUNDUP(I393*Order_Quote!$L$26,2)</f>
        <v>957.45</v>
      </c>
      <c r="K393" s="78"/>
      <c r="L393" s="116"/>
      <c r="M393" s="199">
        <f t="shared" si="9"/>
        <v>0</v>
      </c>
      <c r="O393" s="265" t="s">
        <v>359</v>
      </c>
      <c r="P393" s="265" t="s">
        <v>102</v>
      </c>
      <c r="Q393" s="265" t="s">
        <v>6164</v>
      </c>
      <c r="R393" s="265">
        <v>0</v>
      </c>
      <c r="S393" s="265" t="s">
        <v>6165</v>
      </c>
      <c r="T393" s="347">
        <v>1.78</v>
      </c>
      <c r="U393" s="347">
        <v>18.91</v>
      </c>
      <c r="V393" s="348">
        <v>1.1000000000000001</v>
      </c>
    </row>
    <row r="394" spans="1:22" ht="14.45" customHeight="1">
      <c r="A394" s="104" t="str">
        <f>IF(K394&gt;0,COUNT($A$8:A393)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4" s="112"/>
      <c r="C394" s="79"/>
      <c r="D394" s="158" t="s">
        <v>6166</v>
      </c>
      <c r="E394" s="106">
        <v>100024912</v>
      </c>
      <c r="F394" s="159" t="s">
        <v>6167</v>
      </c>
      <c r="G394" s="106">
        <v>10</v>
      </c>
      <c r="H394" s="106">
        <v>240</v>
      </c>
      <c r="I394" s="153">
        <f>_xlfn.XLOOKUP(E394,'All Products'!D:D,'All Products'!H:H)</f>
        <v>198.47</v>
      </c>
      <c r="J394" s="205">
        <f>ROUNDUP(I394*Order_Quote!$L$26,2)</f>
        <v>992.35</v>
      </c>
      <c r="K394" s="78"/>
      <c r="L394" s="116"/>
      <c r="M394" s="199">
        <f t="shared" si="9"/>
        <v>0</v>
      </c>
      <c r="O394" s="265" t="s">
        <v>359</v>
      </c>
      <c r="P394" s="265" t="s">
        <v>102</v>
      </c>
      <c r="Q394" s="265" t="s">
        <v>6168</v>
      </c>
      <c r="R394" s="265">
        <v>0</v>
      </c>
      <c r="S394" s="265" t="s">
        <v>6169</v>
      </c>
      <c r="T394" s="347">
        <v>1.9590000000000001</v>
      </c>
      <c r="U394" s="347">
        <v>19.850000000000001</v>
      </c>
      <c r="V394" s="348">
        <v>2.77</v>
      </c>
    </row>
    <row r="395" spans="1:22" ht="14.45" customHeight="1">
      <c r="A395" s="104" t="str">
        <f>IF(K395&gt;0,COUNT($A$8:A394)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5" s="112"/>
      <c r="C395" s="79"/>
      <c r="D395" s="158" t="s">
        <v>6170</v>
      </c>
      <c r="E395" s="106">
        <v>100023905</v>
      </c>
      <c r="F395" s="159" t="s">
        <v>6171</v>
      </c>
      <c r="G395" s="106">
        <v>10</v>
      </c>
      <c r="H395" s="106">
        <v>750</v>
      </c>
      <c r="I395" s="153">
        <f>_xlfn.XLOOKUP(E395,'All Products'!D:D,'All Products'!H:H)</f>
        <v>180.98</v>
      </c>
      <c r="J395" s="205">
        <f>ROUNDUP(I395*Order_Quote!$L$26,2)</f>
        <v>904.9</v>
      </c>
      <c r="K395" s="78"/>
      <c r="L395" s="116"/>
      <c r="M395" s="199">
        <f t="shared" si="9"/>
        <v>0</v>
      </c>
      <c r="O395" s="265" t="s">
        <v>359</v>
      </c>
      <c r="P395" s="265" t="s">
        <v>102</v>
      </c>
      <c r="Q395" s="265" t="s">
        <v>6172</v>
      </c>
      <c r="R395" s="265">
        <v>0</v>
      </c>
      <c r="S395" s="265" t="s">
        <v>6173</v>
      </c>
      <c r="T395" s="347">
        <v>1.661</v>
      </c>
      <c r="U395" s="347">
        <v>16.605</v>
      </c>
      <c r="V395" s="348">
        <v>1.1000000000000001</v>
      </c>
    </row>
    <row r="396" spans="1:22" ht="14.45" customHeight="1">
      <c r="A396" s="104" t="str">
        <f>IF(K396&gt;0,COUNT($A$8:A395)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6" s="112"/>
      <c r="C396" s="79"/>
      <c r="D396" s="158" t="s">
        <v>6174</v>
      </c>
      <c r="E396" s="106">
        <v>100023906</v>
      </c>
      <c r="F396" s="159" t="s">
        <v>6175</v>
      </c>
      <c r="G396" s="106">
        <v>20</v>
      </c>
      <c r="H396" s="106" t="s">
        <v>2803</v>
      </c>
      <c r="I396" s="153">
        <f>_xlfn.XLOOKUP(E396,'All Products'!D:D,'All Products'!H:H)</f>
        <v>180.98</v>
      </c>
      <c r="J396" s="205">
        <f>ROUNDUP(I396*Order_Quote!$L$26,2)</f>
        <v>904.9</v>
      </c>
      <c r="K396" s="78"/>
      <c r="L396" s="116"/>
      <c r="M396" s="199">
        <f t="shared" si="9"/>
        <v>0</v>
      </c>
      <c r="O396" s="265" t="s">
        <v>359</v>
      </c>
      <c r="P396" s="265" t="s">
        <v>102</v>
      </c>
      <c r="Q396" s="265" t="s">
        <v>6176</v>
      </c>
      <c r="R396" s="265">
        <v>0</v>
      </c>
      <c r="S396" s="265" t="s">
        <v>6177</v>
      </c>
      <c r="T396" s="347">
        <v>1.55</v>
      </c>
      <c r="U396" s="347">
        <v>31</v>
      </c>
      <c r="V396" s="348">
        <v>0</v>
      </c>
    </row>
    <row r="397" spans="1:22" ht="14.45" customHeight="1">
      <c r="A397" s="104" t="str">
        <f>IF(K397&gt;0,COUNT($A$8:A396)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7" s="112"/>
      <c r="C397" s="79"/>
      <c r="D397" s="158" t="s">
        <v>6178</v>
      </c>
      <c r="E397" s="106">
        <v>100024914</v>
      </c>
      <c r="F397" s="159" t="s">
        <v>6179</v>
      </c>
      <c r="G397" s="106">
        <v>10</v>
      </c>
      <c r="H397" s="106">
        <v>750</v>
      </c>
      <c r="I397" s="153">
        <f>_xlfn.XLOOKUP(E397,'All Products'!D:D,'All Products'!H:H)</f>
        <v>191.49</v>
      </c>
      <c r="J397" s="205">
        <f>ROUNDUP(I397*Order_Quote!$L$26,2)</f>
        <v>957.45</v>
      </c>
      <c r="K397" s="78"/>
      <c r="L397" s="116"/>
      <c r="M397" s="199">
        <f t="shared" si="9"/>
        <v>0</v>
      </c>
      <c r="O397" s="265" t="s">
        <v>359</v>
      </c>
      <c r="P397" s="265" t="s">
        <v>102</v>
      </c>
      <c r="Q397" s="265" t="s">
        <v>6180</v>
      </c>
      <c r="R397" s="265">
        <v>0</v>
      </c>
      <c r="S397" s="265" t="s">
        <v>6181</v>
      </c>
      <c r="T397" s="347">
        <v>1.78</v>
      </c>
      <c r="U397" s="347">
        <v>17.559999999999999</v>
      </c>
      <c r="V397" s="348">
        <v>1.1000000000000001</v>
      </c>
    </row>
    <row r="398" spans="1:22" ht="14.45" customHeight="1">
      <c r="A398" s="104" t="str">
        <f>IF(K398&gt;0,COUNT($A$8:A397)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8" s="112"/>
      <c r="C398" s="79"/>
      <c r="D398" s="158" t="s">
        <v>6182</v>
      </c>
      <c r="E398" s="106">
        <v>100023968</v>
      </c>
      <c r="F398" s="159" t="s">
        <v>6183</v>
      </c>
      <c r="G398" s="106">
        <v>10</v>
      </c>
      <c r="H398" s="106">
        <v>750</v>
      </c>
      <c r="I398" s="153">
        <f>_xlfn.XLOOKUP(E398,'All Products'!D:D,'All Products'!H:H)</f>
        <v>191.49</v>
      </c>
      <c r="J398" s="205">
        <f>ROUNDUP(I398*Order_Quote!$L$26,2)</f>
        <v>957.45</v>
      </c>
      <c r="K398" s="78"/>
      <c r="L398" s="116"/>
      <c r="M398" s="199">
        <f t="shared" si="9"/>
        <v>0</v>
      </c>
      <c r="O398" s="265" t="s">
        <v>359</v>
      </c>
      <c r="P398" s="265" t="s">
        <v>102</v>
      </c>
      <c r="Q398" s="265" t="s">
        <v>6184</v>
      </c>
      <c r="R398" s="265">
        <v>0</v>
      </c>
      <c r="S398" s="265" t="s">
        <v>6185</v>
      </c>
      <c r="T398" s="347">
        <v>1.706</v>
      </c>
      <c r="U398" s="347">
        <v>18.954999999999998</v>
      </c>
      <c r="V398" s="348">
        <v>1.1000000000000001</v>
      </c>
    </row>
    <row r="399" spans="1:22" ht="14.45" customHeight="1">
      <c r="A399" s="104" t="str">
        <f>IF(K399&gt;0,COUNT($A$8:A398)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399" s="112"/>
      <c r="C399" s="79"/>
      <c r="D399" s="158" t="s">
        <v>6186</v>
      </c>
      <c r="E399" s="106">
        <v>100024917</v>
      </c>
      <c r="F399" s="159" t="s">
        <v>6187</v>
      </c>
      <c r="G399" s="106">
        <v>10</v>
      </c>
      <c r="H399" s="106">
        <v>240</v>
      </c>
      <c r="I399" s="153">
        <f>_xlfn.XLOOKUP(E399,'All Products'!D:D,'All Products'!H:H)</f>
        <v>198.47</v>
      </c>
      <c r="J399" s="205">
        <f>ROUNDUP(I399*Order_Quote!$L$26,2)</f>
        <v>992.35</v>
      </c>
      <c r="K399" s="78"/>
      <c r="L399" s="116"/>
      <c r="M399" s="199">
        <f t="shared" si="9"/>
        <v>0</v>
      </c>
      <c r="O399" s="265" t="s">
        <v>76</v>
      </c>
      <c r="P399" s="265" t="s">
        <v>102</v>
      </c>
      <c r="Q399" s="265" t="s">
        <v>6188</v>
      </c>
      <c r="R399" s="265">
        <v>0</v>
      </c>
      <c r="S399" s="265" t="s">
        <v>6189</v>
      </c>
      <c r="T399" s="347">
        <v>1.885</v>
      </c>
      <c r="U399" s="347">
        <v>22</v>
      </c>
      <c r="V399" s="348">
        <v>2.77</v>
      </c>
    </row>
    <row r="400" spans="1:22" ht="14.45" customHeight="1">
      <c r="A400" s="104" t="str">
        <f>IF(K400&gt;0,COUNT($A$8:A399)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0" s="112"/>
      <c r="C400" s="79"/>
      <c r="D400" s="158" t="s">
        <v>6190</v>
      </c>
      <c r="E400" s="106">
        <v>100023971</v>
      </c>
      <c r="F400" s="159" t="s">
        <v>6191</v>
      </c>
      <c r="G400" s="106">
        <v>20</v>
      </c>
      <c r="H400" s="106" t="s">
        <v>2803</v>
      </c>
      <c r="I400" s="153">
        <f>_xlfn.XLOOKUP(E400,'All Products'!D:D,'All Products'!H:H)</f>
        <v>180.98</v>
      </c>
      <c r="J400" s="205">
        <f>ROUNDUP(I400*Order_Quote!$L$26,2)</f>
        <v>904.9</v>
      </c>
      <c r="K400" s="78"/>
      <c r="L400" s="116"/>
      <c r="M400" s="199">
        <f t="shared" si="9"/>
        <v>0</v>
      </c>
      <c r="O400" s="265" t="s">
        <v>359</v>
      </c>
      <c r="P400" s="265" t="s">
        <v>102</v>
      </c>
      <c r="Q400" s="265" t="s">
        <v>6192</v>
      </c>
      <c r="R400" s="265">
        <v>0</v>
      </c>
      <c r="S400" s="265" t="s">
        <v>6193</v>
      </c>
      <c r="T400" s="347">
        <v>1.5960000000000001</v>
      </c>
      <c r="U400" s="347">
        <v>31.92</v>
      </c>
      <c r="V400" s="348">
        <v>0</v>
      </c>
    </row>
    <row r="401" spans="1:22" ht="14.45" customHeight="1">
      <c r="A401" s="104" t="str">
        <f>IF(K401&gt;0,COUNT($A$8:A400)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1" s="112"/>
      <c r="C401" s="79"/>
      <c r="D401" s="158" t="s">
        <v>6194</v>
      </c>
      <c r="E401" s="106">
        <v>100024010</v>
      </c>
      <c r="F401" s="159" t="s">
        <v>6195</v>
      </c>
      <c r="G401" s="106">
        <v>10</v>
      </c>
      <c r="H401" s="106">
        <v>600</v>
      </c>
      <c r="I401" s="153">
        <f>_xlfn.XLOOKUP(E401,'All Products'!D:D,'All Products'!H:H)</f>
        <v>191.49</v>
      </c>
      <c r="J401" s="205">
        <f>ROUNDUP(I401*Order_Quote!$L$26,2)</f>
        <v>957.45</v>
      </c>
      <c r="K401" s="78"/>
      <c r="L401" s="116"/>
      <c r="M401" s="199">
        <f t="shared" si="9"/>
        <v>0</v>
      </c>
      <c r="O401" s="265" t="s">
        <v>359</v>
      </c>
      <c r="P401" s="265" t="s">
        <v>102</v>
      </c>
      <c r="Q401" s="265" t="s">
        <v>6196</v>
      </c>
      <c r="R401" s="265">
        <v>0</v>
      </c>
      <c r="S401" s="265" t="s">
        <v>6197</v>
      </c>
      <c r="T401" s="347">
        <v>1.7809999999999999</v>
      </c>
      <c r="U401" s="347">
        <v>19</v>
      </c>
      <c r="V401" s="348">
        <v>1.41</v>
      </c>
    </row>
    <row r="402" spans="1:22" ht="14.45" customHeight="1">
      <c r="A402" s="104" t="str">
        <f>IF(K402&gt;0,COUNT($A$8:A401)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2" s="112"/>
      <c r="C402" s="79"/>
      <c r="D402" s="158" t="s">
        <v>6198</v>
      </c>
      <c r="E402" s="106">
        <v>100024923</v>
      </c>
      <c r="F402" s="159" t="s">
        <v>6199</v>
      </c>
      <c r="G402" s="106">
        <v>10</v>
      </c>
      <c r="H402" s="106">
        <v>180</v>
      </c>
      <c r="I402" s="153">
        <f>_xlfn.XLOOKUP(E402,'All Products'!D:D,'All Products'!H:H)</f>
        <v>191.49</v>
      </c>
      <c r="J402" s="205">
        <f>ROUNDUP(I402*Order_Quote!$L$26,2)</f>
        <v>957.45</v>
      </c>
      <c r="K402" s="78"/>
      <c r="L402" s="116"/>
      <c r="M402" s="199">
        <f t="shared" si="9"/>
        <v>0</v>
      </c>
      <c r="O402" s="265" t="s">
        <v>359</v>
      </c>
      <c r="P402" s="265" t="s">
        <v>102</v>
      </c>
      <c r="Q402" s="265" t="s">
        <v>6200</v>
      </c>
      <c r="R402" s="265">
        <v>0</v>
      </c>
      <c r="S402" s="265" t="s">
        <v>6201</v>
      </c>
      <c r="T402" s="347">
        <v>1.857</v>
      </c>
      <c r="U402" s="347">
        <v>20.39</v>
      </c>
      <c r="V402" s="348">
        <v>2.65</v>
      </c>
    </row>
    <row r="403" spans="1:22" ht="14.45" customHeight="1">
      <c r="A403" s="104" t="str">
        <f>IF(K403&gt;0,COUNT($A$8:A402)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3" s="112"/>
      <c r="C403" s="79"/>
      <c r="D403" s="158" t="s">
        <v>6202</v>
      </c>
      <c r="E403" s="106">
        <v>100024924</v>
      </c>
      <c r="F403" s="159" t="s">
        <v>6203</v>
      </c>
      <c r="G403" s="106">
        <v>10</v>
      </c>
      <c r="H403" s="106">
        <v>240</v>
      </c>
      <c r="I403" s="153">
        <f>_xlfn.XLOOKUP(E403,'All Products'!D:D,'All Products'!H:H)</f>
        <v>198.47</v>
      </c>
      <c r="J403" s="205">
        <f>ROUNDUP(I403*Order_Quote!$L$26,2)</f>
        <v>992.35</v>
      </c>
      <c r="K403" s="78"/>
      <c r="L403" s="116"/>
      <c r="M403" s="199">
        <f t="shared" si="9"/>
        <v>0</v>
      </c>
      <c r="O403" s="265" t="s">
        <v>359</v>
      </c>
      <c r="P403" s="265" t="s">
        <v>102</v>
      </c>
      <c r="Q403" s="265" t="s">
        <v>6204</v>
      </c>
      <c r="R403" s="265">
        <v>0</v>
      </c>
      <c r="S403" s="265" t="s">
        <v>6205</v>
      </c>
      <c r="T403" s="347">
        <v>2.036</v>
      </c>
      <c r="U403" s="347">
        <v>22.7</v>
      </c>
      <c r="V403" s="348">
        <v>2.77</v>
      </c>
    </row>
    <row r="404" spans="1:22" ht="14.45" customHeight="1">
      <c r="A404" s="104" t="str">
        <f>IF(K404&gt;0,COUNT($A$8:A403)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4" s="112"/>
      <c r="C404" s="79"/>
      <c r="D404" s="158" t="s">
        <v>6206</v>
      </c>
      <c r="E404" s="106">
        <v>100024931</v>
      </c>
      <c r="F404" s="159" t="s">
        <v>6207</v>
      </c>
      <c r="G404" s="106">
        <v>10</v>
      </c>
      <c r="H404" s="106">
        <v>600</v>
      </c>
      <c r="I404" s="153">
        <f>_xlfn.XLOOKUP(E404,'All Products'!D:D,'All Products'!H:H)</f>
        <v>222.22</v>
      </c>
      <c r="J404" s="205">
        <f>ROUNDUP(I404*Order_Quote!$L$26,2)</f>
        <v>1111.0999999999999</v>
      </c>
      <c r="K404" s="78"/>
      <c r="L404" s="116"/>
      <c r="M404" s="199">
        <f t="shared" si="9"/>
        <v>0</v>
      </c>
      <c r="O404" s="265" t="s">
        <v>76</v>
      </c>
      <c r="P404" s="265" t="s">
        <v>102</v>
      </c>
      <c r="Q404" s="265" t="s">
        <v>6208</v>
      </c>
      <c r="R404" s="265">
        <v>0</v>
      </c>
      <c r="S404" s="265" t="s">
        <v>6209</v>
      </c>
      <c r="T404" s="347">
        <v>2.1970000000000001</v>
      </c>
      <c r="U404" s="347">
        <v>20.9</v>
      </c>
      <c r="V404" s="348">
        <v>1.41</v>
      </c>
    </row>
    <row r="405" spans="1:22" ht="14.45" customHeight="1">
      <c r="A405" s="104" t="str">
        <f>IF(K405&gt;0,COUNT($A$8:A404)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5" s="112"/>
      <c r="C405" s="79"/>
      <c r="D405" s="158" t="s">
        <v>6210</v>
      </c>
      <c r="E405" s="106">
        <v>100024932</v>
      </c>
      <c r="F405" s="159" t="s">
        <v>6211</v>
      </c>
      <c r="G405" s="106">
        <v>10</v>
      </c>
      <c r="H405" s="106">
        <v>240</v>
      </c>
      <c r="I405" s="153">
        <f>_xlfn.XLOOKUP(E405,'All Products'!D:D,'All Products'!H:H)</f>
        <v>229.21</v>
      </c>
      <c r="J405" s="205">
        <f>ROUNDUP(I405*Order_Quote!$L$26,2)</f>
        <v>1146.05</v>
      </c>
      <c r="K405" s="78"/>
      <c r="L405" s="116"/>
      <c r="M405" s="199">
        <f t="shared" si="9"/>
        <v>0</v>
      </c>
      <c r="O405" s="265" t="s">
        <v>359</v>
      </c>
      <c r="P405" s="265" t="s">
        <v>102</v>
      </c>
      <c r="Q405" s="265" t="s">
        <v>6212</v>
      </c>
      <c r="R405" s="265">
        <v>0</v>
      </c>
      <c r="S405" s="265" t="s">
        <v>6213</v>
      </c>
      <c r="T405" s="347">
        <v>2.3759999999999999</v>
      </c>
      <c r="U405" s="347">
        <v>23.9</v>
      </c>
      <c r="V405" s="348">
        <v>2.77</v>
      </c>
    </row>
    <row r="406" spans="1:22" ht="14.45" customHeight="1">
      <c r="A406" s="104" t="str">
        <f>IF(K406&gt;0,COUNT($A$8:A405)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6" s="112"/>
      <c r="C406" s="79"/>
      <c r="D406" s="158" t="s">
        <v>6214</v>
      </c>
      <c r="E406" s="106">
        <v>100024936</v>
      </c>
      <c r="F406" s="159" t="s">
        <v>6215</v>
      </c>
      <c r="G406" s="106">
        <v>20</v>
      </c>
      <c r="H406" s="106">
        <v>1500</v>
      </c>
      <c r="I406" s="153">
        <f>_xlfn.XLOOKUP(E406,'All Products'!D:D,'All Products'!H:H)</f>
        <v>191.49</v>
      </c>
      <c r="J406" s="205">
        <f>ROUNDUP(I406*Order_Quote!$L$26,2)</f>
        <v>957.45</v>
      </c>
      <c r="K406" s="78"/>
      <c r="L406" s="116"/>
      <c r="M406" s="199">
        <f t="shared" si="9"/>
        <v>0</v>
      </c>
      <c r="O406" s="265" t="s">
        <v>359</v>
      </c>
      <c r="P406" s="265" t="s">
        <v>102</v>
      </c>
      <c r="Q406" s="265" t="s">
        <v>6216</v>
      </c>
      <c r="R406" s="265">
        <v>0</v>
      </c>
      <c r="S406" s="265" t="s">
        <v>6217</v>
      </c>
      <c r="T406" s="347">
        <v>1.756</v>
      </c>
      <c r="U406" s="347">
        <v>18.7</v>
      </c>
      <c r="V406" s="348">
        <v>1.1000000000000001</v>
      </c>
    </row>
    <row r="407" spans="1:22" ht="14.45" customHeight="1">
      <c r="A407" s="104" t="str">
        <f>IF(K407&gt;0,COUNT($A$8:A406)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7" s="112"/>
      <c r="C407" s="79"/>
      <c r="D407" s="158" t="s">
        <v>6218</v>
      </c>
      <c r="E407" s="106">
        <v>100024937</v>
      </c>
      <c r="F407" s="159" t="s">
        <v>6219</v>
      </c>
      <c r="G407" s="106">
        <v>10</v>
      </c>
      <c r="H407" s="106">
        <v>240</v>
      </c>
      <c r="I407" s="153">
        <f>_xlfn.XLOOKUP(E407,'All Products'!D:D,'All Products'!H:H)</f>
        <v>198.47</v>
      </c>
      <c r="J407" s="205">
        <f>ROUNDUP(I407*Order_Quote!$L$26,2)</f>
        <v>992.35</v>
      </c>
      <c r="K407" s="78"/>
      <c r="L407" s="116"/>
      <c r="M407" s="199">
        <f t="shared" si="9"/>
        <v>0</v>
      </c>
      <c r="O407" s="265" t="s">
        <v>359</v>
      </c>
      <c r="P407" s="265" t="s">
        <v>102</v>
      </c>
      <c r="Q407" s="265" t="s">
        <v>6220</v>
      </c>
      <c r="R407" s="265">
        <v>0</v>
      </c>
      <c r="S407" s="265" t="s">
        <v>6221</v>
      </c>
      <c r="T407" s="347">
        <v>1.9350000000000001</v>
      </c>
      <c r="U407" s="347">
        <v>21.7</v>
      </c>
      <c r="V407" s="348">
        <v>2.77</v>
      </c>
    </row>
    <row r="408" spans="1:22" ht="14.45" customHeight="1">
      <c r="A408" s="104" t="str">
        <f>IF(K408&gt;0,COUNT($A$8:A407)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8" s="112"/>
      <c r="C408" s="79"/>
      <c r="D408" s="158" t="s">
        <v>6222</v>
      </c>
      <c r="E408" s="106">
        <v>100024104</v>
      </c>
      <c r="F408" s="159" t="s">
        <v>6223</v>
      </c>
      <c r="G408" s="106">
        <v>10</v>
      </c>
      <c r="H408" s="106">
        <v>750</v>
      </c>
      <c r="I408" s="153">
        <f>_xlfn.XLOOKUP(E408,'All Products'!D:D,'All Products'!H:H)</f>
        <v>191.49</v>
      </c>
      <c r="J408" s="205">
        <f>ROUNDUP(I408*Order_Quote!$L$26,2)</f>
        <v>957.45</v>
      </c>
      <c r="K408" s="78"/>
      <c r="L408" s="116"/>
      <c r="M408" s="199">
        <f t="shared" si="9"/>
        <v>0</v>
      </c>
      <c r="O408" s="265" t="s">
        <v>359</v>
      </c>
      <c r="P408" s="265" t="s">
        <v>102</v>
      </c>
      <c r="Q408" s="265" t="s">
        <v>6224</v>
      </c>
      <c r="R408" s="265">
        <v>0</v>
      </c>
      <c r="S408" s="265" t="s">
        <v>6225</v>
      </c>
      <c r="T408" s="347">
        <v>1.694</v>
      </c>
      <c r="U408" s="347">
        <v>19.059999999999999</v>
      </c>
      <c r="V408" s="348">
        <v>1.1000000000000001</v>
      </c>
    </row>
    <row r="409" spans="1:22" ht="14.45" customHeight="1">
      <c r="A409" s="104" t="str">
        <f>IF(K409&gt;0,COUNT($A$8:A408)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09" s="112"/>
      <c r="C409" s="79"/>
      <c r="D409" s="158" t="s">
        <v>6226</v>
      </c>
      <c r="E409" s="106">
        <v>100025009</v>
      </c>
      <c r="F409" s="159" t="s">
        <v>6227</v>
      </c>
      <c r="G409" s="106">
        <v>10</v>
      </c>
      <c r="H409" s="106">
        <v>180</v>
      </c>
      <c r="I409" s="153">
        <f>_xlfn.XLOOKUP(E409,'All Products'!D:D,'All Products'!H:H)</f>
        <v>298.91000000000003</v>
      </c>
      <c r="J409" s="205">
        <f>ROUNDUP(I409*Order_Quote!$L$26,2)</f>
        <v>1494.55</v>
      </c>
      <c r="K409" s="78"/>
      <c r="L409" s="116"/>
      <c r="M409" s="199">
        <f t="shared" si="9"/>
        <v>0</v>
      </c>
      <c r="O409" s="265" t="s">
        <v>76</v>
      </c>
      <c r="P409" s="265" t="s">
        <v>102</v>
      </c>
      <c r="Q409" s="265" t="s">
        <v>6228</v>
      </c>
      <c r="R409" s="265">
        <v>0</v>
      </c>
      <c r="S409" s="265" t="s">
        <v>6229</v>
      </c>
      <c r="T409" s="347">
        <v>2.6749999999999998</v>
      </c>
      <c r="U409" s="347">
        <v>29.2</v>
      </c>
      <c r="V409" s="348">
        <v>2.65</v>
      </c>
    </row>
    <row r="410" spans="1:22" ht="14.45" customHeight="1">
      <c r="A410" s="104" t="str">
        <f>IF(K410&gt;0,COUNT($A$8:A409)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0" s="112"/>
      <c r="C410" s="79"/>
      <c r="D410" s="158" t="s">
        <v>6230</v>
      </c>
      <c r="E410" s="106">
        <v>100025011</v>
      </c>
      <c r="F410" s="159" t="s">
        <v>6231</v>
      </c>
      <c r="G410" s="106">
        <v>10</v>
      </c>
      <c r="H410" s="106">
        <v>240</v>
      </c>
      <c r="I410" s="153">
        <f>_xlfn.XLOOKUP(E410,'All Products'!D:D,'All Products'!H:H)</f>
        <v>313.79000000000002</v>
      </c>
      <c r="J410" s="205">
        <f>ROUNDUP(I410*Order_Quote!$L$26,2)</f>
        <v>1568.95</v>
      </c>
      <c r="K410" s="78"/>
      <c r="L410" s="116"/>
      <c r="M410" s="199">
        <f t="shared" si="9"/>
        <v>0</v>
      </c>
      <c r="O410" s="265" t="s">
        <v>359</v>
      </c>
      <c r="P410" s="265" t="s">
        <v>102</v>
      </c>
      <c r="Q410" s="265" t="s">
        <v>6232</v>
      </c>
      <c r="R410" s="265">
        <v>0</v>
      </c>
      <c r="S410" s="265" t="s">
        <v>6233</v>
      </c>
      <c r="T410" s="347">
        <v>2.99</v>
      </c>
      <c r="U410" s="347">
        <v>32.549999999999997</v>
      </c>
      <c r="V410" s="348">
        <v>2.77</v>
      </c>
    </row>
    <row r="411" spans="1:22" ht="14.45" customHeight="1">
      <c r="A411" s="104" t="str">
        <f>IF(K411&gt;0,COUNT($A$8:A410)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1" s="112"/>
      <c r="C411" s="79"/>
      <c r="D411" s="158" t="s">
        <v>6234</v>
      </c>
      <c r="E411" s="106">
        <v>100024533</v>
      </c>
      <c r="F411" s="159" t="s">
        <v>6235</v>
      </c>
      <c r="G411" s="106">
        <v>10</v>
      </c>
      <c r="H411" s="106">
        <v>180</v>
      </c>
      <c r="I411" s="153">
        <f>_xlfn.XLOOKUP(E411,'All Products'!D:D,'All Products'!H:H)</f>
        <v>298.91000000000003</v>
      </c>
      <c r="J411" s="205">
        <f>ROUNDUP(I411*Order_Quote!$L$26,2)</f>
        <v>1494.55</v>
      </c>
      <c r="K411" s="78"/>
      <c r="L411" s="116"/>
      <c r="M411" s="199">
        <f t="shared" si="9"/>
        <v>0</v>
      </c>
      <c r="O411" s="265" t="s">
        <v>359</v>
      </c>
      <c r="P411" s="265" t="s">
        <v>102</v>
      </c>
      <c r="Q411" s="265" t="s">
        <v>6236</v>
      </c>
      <c r="R411" s="265">
        <v>0</v>
      </c>
      <c r="S411" s="265" t="s">
        <v>6237</v>
      </c>
      <c r="T411" s="347">
        <v>2.8079999999999998</v>
      </c>
      <c r="U411" s="347">
        <v>28.9</v>
      </c>
      <c r="V411" s="348">
        <v>2.65</v>
      </c>
    </row>
    <row r="412" spans="1:22" ht="14.45" customHeight="1">
      <c r="A412" s="104" t="str">
        <f>IF(K412&gt;0,COUNT($A$8:A411)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2" s="112"/>
      <c r="C412" s="79"/>
      <c r="D412" s="158" t="s">
        <v>6238</v>
      </c>
      <c r="E412" s="106">
        <v>100024535</v>
      </c>
      <c r="F412" s="159" t="s">
        <v>6239</v>
      </c>
      <c r="G412" s="106">
        <v>10</v>
      </c>
      <c r="H412" s="106">
        <v>240</v>
      </c>
      <c r="I412" s="153">
        <f>_xlfn.XLOOKUP(E412,'All Products'!D:D,'All Products'!H:H)</f>
        <v>313.79000000000002</v>
      </c>
      <c r="J412" s="205">
        <f>ROUNDUP(I412*Order_Quote!$L$26,2)</f>
        <v>1568.95</v>
      </c>
      <c r="K412" s="78"/>
      <c r="L412" s="116"/>
      <c r="M412" s="199">
        <f t="shared" si="9"/>
        <v>0</v>
      </c>
      <c r="O412" s="265" t="s">
        <v>359</v>
      </c>
      <c r="P412" s="265" t="s">
        <v>102</v>
      </c>
      <c r="Q412" s="265" t="s">
        <v>6240</v>
      </c>
      <c r="R412" s="265">
        <v>0</v>
      </c>
      <c r="S412" s="265" t="s">
        <v>6241</v>
      </c>
      <c r="T412" s="347">
        <v>2.4140000000000001</v>
      </c>
      <c r="U412" s="347">
        <v>33.950000000000003</v>
      </c>
      <c r="V412" s="348">
        <v>2.77</v>
      </c>
    </row>
    <row r="413" spans="1:22" ht="14.45" customHeight="1">
      <c r="A413" s="104" t="str">
        <f>IF(K413&gt;0,COUNT($A$8:A412)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3" s="112"/>
      <c r="C413" s="79"/>
      <c r="D413" s="158" t="s">
        <v>6242</v>
      </c>
      <c r="E413" s="106">
        <v>100024567</v>
      </c>
      <c r="F413" s="159" t="s">
        <v>6243</v>
      </c>
      <c r="G413" s="106">
        <v>10</v>
      </c>
      <c r="H413" s="106">
        <v>180</v>
      </c>
      <c r="I413" s="153">
        <f>_xlfn.XLOOKUP(E413,'All Products'!D:D,'All Products'!H:H)</f>
        <v>298.91000000000003</v>
      </c>
      <c r="J413" s="205">
        <f>ROUNDUP(I413*Order_Quote!$L$26,2)</f>
        <v>1494.55</v>
      </c>
      <c r="K413" s="78"/>
      <c r="L413" s="116"/>
      <c r="M413" s="199">
        <f t="shared" si="9"/>
        <v>0</v>
      </c>
      <c r="O413" s="265" t="s">
        <v>359</v>
      </c>
      <c r="P413" s="265" t="s">
        <v>102</v>
      </c>
      <c r="Q413" s="265" t="s">
        <v>6244</v>
      </c>
      <c r="R413" s="265">
        <v>0</v>
      </c>
      <c r="S413" s="265" t="s">
        <v>6245</v>
      </c>
      <c r="T413" s="347">
        <v>2.6709999999999998</v>
      </c>
      <c r="U413" s="347">
        <v>28.94</v>
      </c>
      <c r="V413" s="348">
        <v>2.65</v>
      </c>
    </row>
    <row r="414" spans="1:22" ht="14.45" customHeight="1">
      <c r="A414" s="104" t="str">
        <f>IF(K414&gt;0,COUNT($A$8:A413)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4" s="112"/>
      <c r="C414" s="79"/>
      <c r="D414" s="158" t="s">
        <v>6246</v>
      </c>
      <c r="E414" s="106">
        <v>100024570</v>
      </c>
      <c r="F414" s="159" t="s">
        <v>6247</v>
      </c>
      <c r="G414" s="106">
        <v>10</v>
      </c>
      <c r="H414" s="106">
        <v>240</v>
      </c>
      <c r="I414" s="153">
        <f>_xlfn.XLOOKUP(E414,'All Products'!D:D,'All Products'!H:H)</f>
        <v>313.79000000000002</v>
      </c>
      <c r="J414" s="205">
        <f>ROUNDUP(I414*Order_Quote!$L$26,2)</f>
        <v>1568.95</v>
      </c>
      <c r="K414" s="78"/>
      <c r="L414" s="116"/>
      <c r="M414" s="199">
        <f t="shared" si="9"/>
        <v>0</v>
      </c>
      <c r="O414" s="265" t="s">
        <v>359</v>
      </c>
      <c r="P414" s="265" t="s">
        <v>102</v>
      </c>
      <c r="Q414" s="265" t="s">
        <v>6248</v>
      </c>
      <c r="R414" s="265">
        <v>0</v>
      </c>
      <c r="S414" s="265" t="s">
        <v>6249</v>
      </c>
      <c r="T414" s="347">
        <v>2.9860000000000002</v>
      </c>
      <c r="U414" s="347">
        <v>32.549999999999997</v>
      </c>
      <c r="V414" s="348">
        <v>2.77</v>
      </c>
    </row>
    <row r="415" spans="1:22" ht="14.45" customHeight="1">
      <c r="A415" s="104" t="str">
        <f>IF(K415&gt;0,COUNT($A$8:A414)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5" s="113"/>
      <c r="C415" s="114"/>
      <c r="D415" s="158" t="s">
        <v>6250</v>
      </c>
      <c r="E415" s="106">
        <v>100024604</v>
      </c>
      <c r="F415" s="159" t="s">
        <v>6251</v>
      </c>
      <c r="G415" s="106">
        <v>10</v>
      </c>
      <c r="H415" s="106">
        <v>180</v>
      </c>
      <c r="I415" s="153">
        <f>_xlfn.XLOOKUP(E415,'All Products'!D:D,'All Products'!H:H)</f>
        <v>298.91000000000003</v>
      </c>
      <c r="J415" s="205">
        <f>ROUNDUP(I415*Order_Quote!$L$26,2)</f>
        <v>1494.55</v>
      </c>
      <c r="K415" s="78"/>
      <c r="L415" s="292"/>
      <c r="M415" s="199">
        <f t="shared" si="9"/>
        <v>0</v>
      </c>
      <c r="O415" s="265" t="s">
        <v>359</v>
      </c>
      <c r="P415" s="265" t="s">
        <v>102</v>
      </c>
      <c r="Q415" s="265" t="s">
        <v>6252</v>
      </c>
      <c r="R415" s="265">
        <v>0</v>
      </c>
      <c r="S415" s="265" t="s">
        <v>6253</v>
      </c>
      <c r="T415" s="347">
        <v>2.7280000000000002</v>
      </c>
      <c r="U415" s="347">
        <v>29.34</v>
      </c>
      <c r="V415" s="348">
        <v>2.65</v>
      </c>
    </row>
    <row r="416" spans="1:22" ht="25.5" customHeight="1">
      <c r="A416" s="104" t="str">
        <f>IF(K416&gt;0,COUNT($A$8:A415)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6" s="242" t="s">
        <v>6254</v>
      </c>
      <c r="C416" s="44"/>
      <c r="D416" s="44"/>
      <c r="E416" s="44"/>
      <c r="F416" s="44"/>
      <c r="G416" s="44"/>
      <c r="H416" s="44"/>
      <c r="I416" s="245">
        <f>_xlfn.XLOOKUP(E416,'All Products'!D:D,'All Products'!H:H)</f>
        <v>0</v>
      </c>
      <c r="J416" s="245">
        <f>ROUNDUP(I416*Order_Quote!$L$26,2)</f>
        <v>0</v>
      </c>
      <c r="K416" s="246"/>
      <c r="L416" s="243"/>
      <c r="M416" s="157"/>
      <c r="O416" s="44"/>
      <c r="P416" s="44"/>
    </row>
    <row r="417" spans="1:22" ht="14.45" customHeight="1">
      <c r="A417" s="104" t="str">
        <f>IF(K417&gt;0,COUNT($A$8:A416)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7" s="110"/>
      <c r="C417" s="111"/>
      <c r="D417" s="158" t="s">
        <v>6255</v>
      </c>
      <c r="E417" s="106">
        <v>100028410</v>
      </c>
      <c r="F417" s="159" t="s">
        <v>6256</v>
      </c>
      <c r="G417" s="106">
        <v>50</v>
      </c>
      <c r="H417" s="106">
        <v>3750</v>
      </c>
      <c r="I417" s="153">
        <f>_xlfn.XLOOKUP(E417,'All Products'!D:D,'All Products'!H:H)</f>
        <v>7.57</v>
      </c>
      <c r="J417" s="205">
        <f>ROUNDUP(I417*Order_Quote!$L$26,2)</f>
        <v>37.85</v>
      </c>
      <c r="K417" s="78"/>
      <c r="L417" s="291"/>
      <c r="M417" s="199">
        <f t="shared" ref="M417:M436" si="10">K417/G417</f>
        <v>0</v>
      </c>
      <c r="O417" s="265" t="s">
        <v>1693</v>
      </c>
      <c r="P417" s="297" t="s">
        <v>77</v>
      </c>
      <c r="Q417" s="265" t="s">
        <v>6257</v>
      </c>
      <c r="R417" s="265">
        <v>0</v>
      </c>
      <c r="S417" s="265" t="s">
        <v>6258</v>
      </c>
      <c r="T417" s="347">
        <v>0.161</v>
      </c>
      <c r="U417" s="347">
        <v>8.06</v>
      </c>
      <c r="V417" s="348">
        <v>1.1000000000000001</v>
      </c>
    </row>
    <row r="418" spans="1:22" ht="14.45" customHeight="1">
      <c r="A418" s="104" t="str">
        <f>IF(K418&gt;0,COUNT($A$8:A417)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8" s="112"/>
      <c r="C418" s="79"/>
      <c r="D418" s="208" t="s">
        <v>6259</v>
      </c>
      <c r="E418" s="171">
        <v>100028411</v>
      </c>
      <c r="F418" s="289" t="s">
        <v>6260</v>
      </c>
      <c r="G418" s="171">
        <v>50</v>
      </c>
      <c r="H418" s="171">
        <v>3750</v>
      </c>
      <c r="I418" s="370">
        <f>_xlfn.XLOOKUP(E418,'All Products'!D:D,'All Products'!H:H)</f>
        <v>7.57</v>
      </c>
      <c r="J418" s="316">
        <f>ROUNDUP(I418*Order_Quote!$L$26,2)</f>
        <v>37.85</v>
      </c>
      <c r="K418" s="184"/>
      <c r="L418" s="116"/>
      <c r="M418" s="298">
        <f t="shared" si="10"/>
        <v>0</v>
      </c>
      <c r="O418" s="265" t="s">
        <v>1693</v>
      </c>
      <c r="P418" s="297" t="s">
        <v>77</v>
      </c>
      <c r="Q418" s="265" t="s">
        <v>6257</v>
      </c>
      <c r="R418" s="265">
        <v>0</v>
      </c>
      <c r="S418" s="265" t="s">
        <v>6258</v>
      </c>
      <c r="T418" s="347">
        <v>0.161</v>
      </c>
      <c r="U418" s="347">
        <v>8.06</v>
      </c>
      <c r="V418" s="348">
        <v>1.1000000000000001</v>
      </c>
    </row>
    <row r="419" spans="1:22" ht="14.45" customHeight="1">
      <c r="A419" s="104" t="str">
        <f>IF(K419&gt;0,COUNT($A$8:A418)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19" s="112"/>
      <c r="C419" s="79"/>
      <c r="D419" s="208" t="s">
        <v>6261</v>
      </c>
      <c r="E419" s="171">
        <v>100028412</v>
      </c>
      <c r="F419" s="289" t="s">
        <v>6262</v>
      </c>
      <c r="G419" s="171">
        <v>50</v>
      </c>
      <c r="H419" s="171">
        <v>6000</v>
      </c>
      <c r="I419" s="370">
        <f>_xlfn.XLOOKUP(E419,'All Products'!D:D,'All Products'!H:H)</f>
        <v>5.0199999999999996</v>
      </c>
      <c r="J419" s="316">
        <f>ROUNDUP(I419*Order_Quote!$L$26,2)</f>
        <v>25.1</v>
      </c>
      <c r="K419" s="184"/>
      <c r="L419" s="116"/>
      <c r="M419" s="298">
        <f t="shared" si="10"/>
        <v>0</v>
      </c>
      <c r="O419" s="265" t="s">
        <v>1693</v>
      </c>
      <c r="P419" s="297" t="s">
        <v>77</v>
      </c>
      <c r="Q419" s="265" t="s">
        <v>6257</v>
      </c>
      <c r="R419" s="265">
        <v>0</v>
      </c>
      <c r="S419" s="265" t="s">
        <v>6258</v>
      </c>
      <c r="T419" s="347">
        <v>0.161</v>
      </c>
      <c r="U419" s="347">
        <v>6.31</v>
      </c>
      <c r="V419" s="348">
        <v>0.65</v>
      </c>
    </row>
    <row r="420" spans="1:22" ht="14.45" customHeight="1">
      <c r="A420" s="104" t="str">
        <f>IF(K420&gt;0,COUNT($A$8:A419)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0" s="112"/>
      <c r="C420" s="79"/>
      <c r="D420" s="208" t="s">
        <v>6263</v>
      </c>
      <c r="E420" s="171">
        <v>100028413</v>
      </c>
      <c r="F420" s="289" t="s">
        <v>6264</v>
      </c>
      <c r="G420" s="171">
        <v>50</v>
      </c>
      <c r="H420" s="171">
        <v>6000</v>
      </c>
      <c r="I420" s="370">
        <f>_xlfn.XLOOKUP(E420,'All Products'!D:D,'All Products'!H:H)</f>
        <v>5.0199999999999996</v>
      </c>
      <c r="J420" s="316">
        <f>ROUNDUP(I420*Order_Quote!$L$26,2)</f>
        <v>25.1</v>
      </c>
      <c r="K420" s="184"/>
      <c r="L420" s="116"/>
      <c r="M420" s="298">
        <f t="shared" si="10"/>
        <v>0</v>
      </c>
      <c r="O420" s="265" t="s">
        <v>1693</v>
      </c>
      <c r="P420" s="297" t="s">
        <v>77</v>
      </c>
      <c r="Q420" s="265" t="s">
        <v>6257</v>
      </c>
      <c r="R420" s="265">
        <v>0</v>
      </c>
      <c r="S420" s="265" t="s">
        <v>6258</v>
      </c>
      <c r="T420" s="347">
        <v>0.161</v>
      </c>
      <c r="U420" s="347">
        <v>6.31</v>
      </c>
      <c r="V420" s="348">
        <v>0.65</v>
      </c>
    </row>
    <row r="421" spans="1:22" ht="14.45" customHeight="1">
      <c r="A421" s="104" t="str">
        <f>IF(K421&gt;0,COUNT($A$8:A420)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1" s="112"/>
      <c r="C421" s="79"/>
      <c r="D421" s="208" t="s">
        <v>6265</v>
      </c>
      <c r="E421" s="171">
        <v>100031681</v>
      </c>
      <c r="F421" s="289" t="s">
        <v>6266</v>
      </c>
      <c r="G421" s="171">
        <v>50</v>
      </c>
      <c r="H421" s="171">
        <v>3750</v>
      </c>
      <c r="I421" s="370">
        <f>_xlfn.XLOOKUP(E421,'All Products'!D:D,'All Products'!H:H)</f>
        <v>7.57</v>
      </c>
      <c r="J421" s="316">
        <f>ROUNDUP(I421*Order_Quote!$L$26,2)</f>
        <v>37.85</v>
      </c>
      <c r="K421" s="184"/>
      <c r="L421" s="116"/>
      <c r="M421" s="298">
        <f t="shared" si="10"/>
        <v>0</v>
      </c>
      <c r="O421" s="265" t="s">
        <v>1693</v>
      </c>
      <c r="P421" s="297" t="s">
        <v>77</v>
      </c>
      <c r="Q421" s="265" t="s">
        <v>6257</v>
      </c>
      <c r="R421" s="265">
        <v>0</v>
      </c>
      <c r="S421" s="265" t="s">
        <v>6258</v>
      </c>
      <c r="T421" s="347">
        <v>0.161</v>
      </c>
      <c r="U421" s="347">
        <v>9.17</v>
      </c>
      <c r="V421" s="348">
        <v>1.1000000000000001</v>
      </c>
    </row>
    <row r="422" spans="1:22" ht="14.45" customHeight="1">
      <c r="A422" s="104" t="str">
        <f>IF(K422&gt;0,COUNT($A$8:A421)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2" s="112"/>
      <c r="C422" s="79"/>
      <c r="D422" s="158" t="s">
        <v>6267</v>
      </c>
      <c r="E422" s="106">
        <v>100028414</v>
      </c>
      <c r="F422" s="159" t="s">
        <v>6268</v>
      </c>
      <c r="G422" s="106">
        <v>50</v>
      </c>
      <c r="H422" s="106">
        <v>4500</v>
      </c>
      <c r="I422" s="153">
        <f>_xlfn.XLOOKUP(E422,'All Products'!D:D,'All Products'!H:H)</f>
        <v>5.0199999999999996</v>
      </c>
      <c r="J422" s="205">
        <f>ROUNDUP(I422*Order_Quote!$L$26,2)</f>
        <v>25.1</v>
      </c>
      <c r="K422" s="78"/>
      <c r="L422" s="116"/>
      <c r="M422" s="199">
        <f t="shared" si="10"/>
        <v>0</v>
      </c>
      <c r="O422" s="265" t="s">
        <v>1693</v>
      </c>
      <c r="P422" s="297" t="s">
        <v>77</v>
      </c>
      <c r="Q422" s="265" t="s">
        <v>6257</v>
      </c>
      <c r="R422" s="265">
        <v>0</v>
      </c>
      <c r="S422" s="265" t="s">
        <v>6258</v>
      </c>
      <c r="T422" s="347">
        <v>0.161</v>
      </c>
      <c r="U422" s="347">
        <v>7.53</v>
      </c>
      <c r="V422" s="348">
        <v>0.8</v>
      </c>
    </row>
    <row r="423" spans="1:22" ht="14.45" customHeight="1">
      <c r="A423" s="104" t="str">
        <f>IF(K423&gt;0,COUNT($A$8:A422)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3" s="112"/>
      <c r="C423" s="79"/>
      <c r="D423" s="158" t="s">
        <v>6269</v>
      </c>
      <c r="E423" s="106">
        <v>100025075</v>
      </c>
      <c r="F423" s="159" t="s">
        <v>6270</v>
      </c>
      <c r="G423" s="106">
        <v>50</v>
      </c>
      <c r="H423" s="106">
        <v>1800</v>
      </c>
      <c r="I423" s="153">
        <f>_xlfn.XLOOKUP(E423,'All Products'!D:D,'All Products'!H:H)</f>
        <v>19.89</v>
      </c>
      <c r="J423" s="205">
        <f>ROUNDUP(I423*Order_Quote!$L$26,2)</f>
        <v>99.45</v>
      </c>
      <c r="K423" s="78"/>
      <c r="L423" s="116"/>
      <c r="M423" s="199">
        <f t="shared" si="10"/>
        <v>0</v>
      </c>
      <c r="O423" s="265" t="s">
        <v>1693</v>
      </c>
      <c r="P423" s="297" t="s">
        <v>77</v>
      </c>
      <c r="Q423" s="265" t="s">
        <v>6257</v>
      </c>
      <c r="R423" s="265">
        <v>0</v>
      </c>
      <c r="S423" s="265" t="s">
        <v>6258</v>
      </c>
      <c r="T423" s="347">
        <v>0.161</v>
      </c>
      <c r="U423" s="347">
        <v>27.1</v>
      </c>
      <c r="V423" s="348">
        <v>2.65</v>
      </c>
    </row>
    <row r="424" spans="1:22" ht="14.45" customHeight="1">
      <c r="A424" s="104" t="str">
        <f>IF(K424&gt;0,COUNT($A$8:A423)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4" s="112"/>
      <c r="C424" s="79"/>
      <c r="D424" s="158" t="s">
        <v>6271</v>
      </c>
      <c r="E424" s="106">
        <v>100025076</v>
      </c>
      <c r="F424" s="159" t="s">
        <v>6272</v>
      </c>
      <c r="G424" s="106">
        <v>50</v>
      </c>
      <c r="H424" s="106">
        <v>1800</v>
      </c>
      <c r="I424" s="153">
        <f>_xlfn.XLOOKUP(E424,'All Products'!D:D,'All Products'!H:H)</f>
        <v>19.89</v>
      </c>
      <c r="J424" s="205">
        <f>ROUNDUP(I424*Order_Quote!$L$26,2)</f>
        <v>99.45</v>
      </c>
      <c r="K424" s="78"/>
      <c r="L424" s="116"/>
      <c r="M424" s="199">
        <f t="shared" si="10"/>
        <v>0</v>
      </c>
      <c r="O424" s="265" t="s">
        <v>1693</v>
      </c>
      <c r="P424" s="297" t="s">
        <v>77</v>
      </c>
      <c r="Q424" s="265" t="s">
        <v>6257</v>
      </c>
      <c r="R424" s="265">
        <v>0</v>
      </c>
      <c r="S424" s="265" t="s">
        <v>6258</v>
      </c>
      <c r="T424" s="347">
        <v>0.161</v>
      </c>
      <c r="U424" s="347">
        <v>27.59</v>
      </c>
      <c r="V424" s="348">
        <v>2.65</v>
      </c>
    </row>
    <row r="425" spans="1:22" ht="14.45" customHeight="1">
      <c r="A425" s="104" t="str">
        <f>IF(K425&gt;0,COUNT($A$8:A424)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5" s="112"/>
      <c r="C425" s="79"/>
      <c r="D425" s="158" t="s">
        <v>6273</v>
      </c>
      <c r="E425" s="106">
        <v>100024619</v>
      </c>
      <c r="F425" s="159" t="s">
        <v>6274</v>
      </c>
      <c r="G425" s="106">
        <v>50</v>
      </c>
      <c r="H425" s="106">
        <v>1800</v>
      </c>
      <c r="I425" s="153">
        <f>_xlfn.XLOOKUP(E425,'All Products'!D:D,'All Products'!H:H)</f>
        <v>19.89</v>
      </c>
      <c r="J425" s="205">
        <f>ROUNDUP(I425*Order_Quote!$L$26,2)</f>
        <v>99.45</v>
      </c>
      <c r="K425" s="78"/>
      <c r="L425" s="116"/>
      <c r="M425" s="199">
        <f t="shared" si="10"/>
        <v>0</v>
      </c>
      <c r="O425" s="265" t="s">
        <v>1693</v>
      </c>
      <c r="P425" s="297" t="s">
        <v>77</v>
      </c>
      <c r="Q425" s="265" t="s">
        <v>6257</v>
      </c>
      <c r="R425" s="265">
        <v>0</v>
      </c>
      <c r="S425" s="265" t="s">
        <v>6258</v>
      </c>
      <c r="T425" s="347">
        <v>0.161</v>
      </c>
      <c r="U425" s="347">
        <v>26.4</v>
      </c>
      <c r="V425" s="348">
        <v>2.65</v>
      </c>
    </row>
    <row r="426" spans="1:22" ht="14.45" customHeight="1">
      <c r="A426" s="104" t="str">
        <f>IF(K426&gt;0,COUNT($A$8:A425)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6" s="112"/>
      <c r="C426" s="79"/>
      <c r="D426" s="158" t="s">
        <v>6275</v>
      </c>
      <c r="E426" s="106">
        <v>100024620</v>
      </c>
      <c r="F426" s="159" t="s">
        <v>6276</v>
      </c>
      <c r="G426" s="106">
        <v>50</v>
      </c>
      <c r="H426" s="106">
        <v>1800</v>
      </c>
      <c r="I426" s="153">
        <f>_xlfn.XLOOKUP(E426,'All Products'!D:D,'All Products'!H:H)</f>
        <v>19.89</v>
      </c>
      <c r="J426" s="205">
        <f>ROUNDUP(I426*Order_Quote!$L$26,2)</f>
        <v>99.45</v>
      </c>
      <c r="K426" s="78"/>
      <c r="L426" s="116"/>
      <c r="M426" s="199">
        <f t="shared" si="10"/>
        <v>0</v>
      </c>
      <c r="O426" s="265" t="s">
        <v>1693</v>
      </c>
      <c r="P426" s="297" t="s">
        <v>77</v>
      </c>
      <c r="Q426" s="265" t="s">
        <v>6257</v>
      </c>
      <c r="R426" s="265">
        <v>0</v>
      </c>
      <c r="S426" s="265" t="s">
        <v>6258</v>
      </c>
      <c r="T426" s="347">
        <v>0.161</v>
      </c>
      <c r="U426" s="347">
        <v>23.09</v>
      </c>
      <c r="V426" s="348">
        <v>2.65</v>
      </c>
    </row>
    <row r="427" spans="1:22" ht="14.45" customHeight="1">
      <c r="A427" s="104" t="str">
        <f>IF(K427&gt;0,COUNT($A$8:A426)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7" s="112"/>
      <c r="C427" s="79"/>
      <c r="D427" s="158" t="s">
        <v>6277</v>
      </c>
      <c r="E427" s="106">
        <v>100024621</v>
      </c>
      <c r="F427" s="159" t="s">
        <v>6278</v>
      </c>
      <c r="G427" s="106">
        <v>50</v>
      </c>
      <c r="H427" s="106">
        <v>1800</v>
      </c>
      <c r="I427" s="153">
        <f>_xlfn.XLOOKUP(E427,'All Products'!D:D,'All Products'!H:H)</f>
        <v>19.89</v>
      </c>
      <c r="J427" s="205">
        <f>ROUNDUP(I427*Order_Quote!$L$26,2)</f>
        <v>99.45</v>
      </c>
      <c r="K427" s="78"/>
      <c r="L427" s="116"/>
      <c r="M427" s="199">
        <f t="shared" si="10"/>
        <v>0</v>
      </c>
      <c r="O427" s="265" t="s">
        <v>1693</v>
      </c>
      <c r="P427" s="297" t="s">
        <v>77</v>
      </c>
      <c r="Q427" s="265" t="s">
        <v>6257</v>
      </c>
      <c r="R427" s="265">
        <v>0</v>
      </c>
      <c r="S427" s="265" t="s">
        <v>6258</v>
      </c>
      <c r="T427" s="347">
        <v>0.161</v>
      </c>
      <c r="U427" s="347">
        <v>27.1</v>
      </c>
      <c r="V427" s="348">
        <v>2.65</v>
      </c>
    </row>
    <row r="428" spans="1:22" ht="14.45" customHeight="1">
      <c r="A428" s="104" t="str">
        <f>IF(K428&gt;0,COUNT($A$8:A427)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8" s="112"/>
      <c r="C428" s="79"/>
      <c r="D428" s="158" t="s">
        <v>6279</v>
      </c>
      <c r="E428" s="106">
        <v>100024622</v>
      </c>
      <c r="F428" s="159" t="s">
        <v>6280</v>
      </c>
      <c r="G428" s="106">
        <v>50</v>
      </c>
      <c r="H428" s="106">
        <v>1800</v>
      </c>
      <c r="I428" s="153">
        <f>_xlfn.XLOOKUP(E428,'All Products'!D:D,'All Products'!H:H)</f>
        <v>19.89</v>
      </c>
      <c r="J428" s="205">
        <f>ROUNDUP(I428*Order_Quote!$L$26,2)</f>
        <v>99.45</v>
      </c>
      <c r="K428" s="78"/>
      <c r="L428" s="116"/>
      <c r="M428" s="199">
        <f t="shared" si="10"/>
        <v>0</v>
      </c>
      <c r="O428" s="265" t="s">
        <v>1693</v>
      </c>
      <c r="P428" s="297" t="s">
        <v>77</v>
      </c>
      <c r="Q428" s="265" t="s">
        <v>6257</v>
      </c>
      <c r="R428" s="265">
        <v>0</v>
      </c>
      <c r="S428" s="265" t="s">
        <v>6258</v>
      </c>
      <c r="T428" s="347">
        <v>0.161</v>
      </c>
      <c r="U428" s="347">
        <v>25.6</v>
      </c>
      <c r="V428" s="348">
        <v>2.65</v>
      </c>
    </row>
    <row r="429" spans="1:22" ht="14.45" customHeight="1">
      <c r="A429" s="104" t="str">
        <f>IF(K429&gt;0,COUNT($A$8:A428)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29" s="112"/>
      <c r="C429" s="79"/>
      <c r="D429" s="158" t="s">
        <v>6281</v>
      </c>
      <c r="E429" s="106">
        <v>100024623</v>
      </c>
      <c r="F429" s="159" t="s">
        <v>6276</v>
      </c>
      <c r="G429" s="106">
        <v>50</v>
      </c>
      <c r="H429" s="106">
        <v>1800</v>
      </c>
      <c r="I429" s="153">
        <f>_xlfn.XLOOKUP(E429,'All Products'!D:D,'All Products'!H:H)</f>
        <v>19.89</v>
      </c>
      <c r="J429" s="205">
        <f>ROUNDUP(I429*Order_Quote!$L$26,2)</f>
        <v>99.45</v>
      </c>
      <c r="K429" s="78"/>
      <c r="L429" s="116"/>
      <c r="M429" s="199">
        <f t="shared" si="10"/>
        <v>0</v>
      </c>
      <c r="O429" s="265" t="s">
        <v>1693</v>
      </c>
      <c r="P429" s="297" t="s">
        <v>77</v>
      </c>
      <c r="Q429" s="265" t="s">
        <v>6257</v>
      </c>
      <c r="R429" s="265">
        <v>0</v>
      </c>
      <c r="S429" s="265" t="s">
        <v>6258</v>
      </c>
      <c r="T429" s="347">
        <v>0.161</v>
      </c>
      <c r="U429" s="347">
        <v>27.09</v>
      </c>
      <c r="V429" s="348">
        <v>2.65</v>
      </c>
    </row>
    <row r="430" spans="1:22" ht="14.45" customHeight="1">
      <c r="A430" s="104" t="str">
        <f>IF(K430&gt;0,COUNT($A$8:A429)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0" s="112"/>
      <c r="C430" s="79"/>
      <c r="D430" s="158" t="s">
        <v>6282</v>
      </c>
      <c r="E430" s="106">
        <v>100025077</v>
      </c>
      <c r="F430" s="159" t="s">
        <v>6278</v>
      </c>
      <c r="G430" s="106">
        <v>50</v>
      </c>
      <c r="H430" s="106">
        <v>1800</v>
      </c>
      <c r="I430" s="153">
        <f>_xlfn.XLOOKUP(E430,'All Products'!D:D,'All Products'!H:H)</f>
        <v>19.89</v>
      </c>
      <c r="J430" s="205">
        <f>ROUNDUP(I430*Order_Quote!$L$26,2)</f>
        <v>99.45</v>
      </c>
      <c r="K430" s="78"/>
      <c r="L430" s="116"/>
      <c r="M430" s="199">
        <f t="shared" si="10"/>
        <v>0</v>
      </c>
      <c r="O430" s="265" t="s">
        <v>1693</v>
      </c>
      <c r="P430" s="297" t="s">
        <v>77</v>
      </c>
      <c r="Q430" s="265" t="s">
        <v>6257</v>
      </c>
      <c r="R430" s="265">
        <v>0</v>
      </c>
      <c r="S430" s="265" t="s">
        <v>6258</v>
      </c>
      <c r="T430" s="347">
        <v>0.161</v>
      </c>
      <c r="U430" s="347">
        <v>27.1</v>
      </c>
      <c r="V430" s="348">
        <v>2.65</v>
      </c>
    </row>
    <row r="431" spans="1:22" ht="14.45" customHeight="1">
      <c r="A431" s="104" t="str">
        <f>IF(K431&gt;0,COUNT($A$8:A430)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1" s="112"/>
      <c r="C431" s="79"/>
      <c r="D431" s="158" t="s">
        <v>6283</v>
      </c>
      <c r="E431" s="106">
        <v>100025078</v>
      </c>
      <c r="F431" s="159" t="s">
        <v>6280</v>
      </c>
      <c r="G431" s="106">
        <v>50</v>
      </c>
      <c r="H431" s="106">
        <v>1800</v>
      </c>
      <c r="I431" s="153">
        <f>_xlfn.XLOOKUP(E431,'All Products'!D:D,'All Products'!H:H)</f>
        <v>19.89</v>
      </c>
      <c r="J431" s="205">
        <f>ROUNDUP(I431*Order_Quote!$L$26,2)</f>
        <v>99.45</v>
      </c>
      <c r="K431" s="78"/>
      <c r="L431" s="116"/>
      <c r="M431" s="199">
        <f t="shared" si="10"/>
        <v>0</v>
      </c>
      <c r="O431" s="265" t="s">
        <v>1693</v>
      </c>
      <c r="P431" s="297" t="s">
        <v>77</v>
      </c>
      <c r="Q431" s="265" t="s">
        <v>6257</v>
      </c>
      <c r="R431" s="265">
        <v>0</v>
      </c>
      <c r="S431" s="265" t="s">
        <v>6258</v>
      </c>
      <c r="T431" s="347">
        <v>0.161</v>
      </c>
      <c r="U431" s="347">
        <v>27.6</v>
      </c>
      <c r="V431" s="348">
        <v>2.65</v>
      </c>
    </row>
    <row r="432" spans="1:22" ht="14.45" customHeight="1">
      <c r="A432" s="104" t="str">
        <f>IF(K432&gt;0,COUNT($A$8:A431)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2" s="112"/>
      <c r="C432" s="79"/>
      <c r="D432" s="158" t="s">
        <v>6284</v>
      </c>
      <c r="E432" s="106">
        <v>100028741</v>
      </c>
      <c r="F432" s="159" t="s">
        <v>6285</v>
      </c>
      <c r="G432" s="106">
        <v>50</v>
      </c>
      <c r="H432" s="106">
        <v>1800</v>
      </c>
      <c r="I432" s="153">
        <f>_xlfn.XLOOKUP(E432,'All Products'!D:D,'All Products'!H:H)</f>
        <v>19.89</v>
      </c>
      <c r="J432" s="205">
        <f>ROUNDUP(I432*Order_Quote!$L$26,2)</f>
        <v>99.45</v>
      </c>
      <c r="K432" s="78"/>
      <c r="L432" s="116"/>
      <c r="M432" s="199">
        <f t="shared" si="10"/>
        <v>0</v>
      </c>
      <c r="O432" s="265" t="s">
        <v>1693</v>
      </c>
      <c r="P432" s="297" t="s">
        <v>77</v>
      </c>
      <c r="Q432" s="265" t="s">
        <v>6257</v>
      </c>
      <c r="R432" s="265">
        <v>0</v>
      </c>
      <c r="S432" s="265" t="s">
        <v>6258</v>
      </c>
      <c r="T432" s="347">
        <v>0.161</v>
      </c>
      <c r="U432" s="347">
        <v>30.12</v>
      </c>
      <c r="V432" s="348">
        <v>2.65</v>
      </c>
    </row>
    <row r="433" spans="1:22" ht="14.45" customHeight="1">
      <c r="A433" s="104" t="str">
        <f>IF(K433&gt;0,COUNT($A$8:A432)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3" s="112"/>
      <c r="C433" s="79"/>
      <c r="D433" s="158" t="s">
        <v>6286</v>
      </c>
      <c r="E433" s="106">
        <v>100025080</v>
      </c>
      <c r="F433" s="159" t="s">
        <v>6287</v>
      </c>
      <c r="G433" s="106">
        <v>50</v>
      </c>
      <c r="H433" s="106">
        <v>1800</v>
      </c>
      <c r="I433" s="153">
        <f>_xlfn.XLOOKUP(E433,'All Products'!D:D,'All Products'!H:H)</f>
        <v>19.89</v>
      </c>
      <c r="J433" s="205">
        <f>ROUNDUP(I433*Order_Quote!$L$26,2)</f>
        <v>99.45</v>
      </c>
      <c r="K433" s="78"/>
      <c r="L433" s="116"/>
      <c r="M433" s="199">
        <f t="shared" si="10"/>
        <v>0</v>
      </c>
      <c r="O433" s="265" t="s">
        <v>1693</v>
      </c>
      <c r="P433" s="297" t="s">
        <v>77</v>
      </c>
      <c r="Q433" s="265" t="s">
        <v>6257</v>
      </c>
      <c r="R433" s="265">
        <v>0</v>
      </c>
      <c r="S433" s="265" t="s">
        <v>6258</v>
      </c>
      <c r="T433" s="347">
        <v>0.161</v>
      </c>
      <c r="U433" s="347">
        <v>28.59</v>
      </c>
      <c r="V433" s="348">
        <v>2.65</v>
      </c>
    </row>
    <row r="434" spans="1:22" ht="14.45" customHeight="1">
      <c r="A434" s="104" t="str">
        <f>IF(K434&gt;0,COUNT($A$8:A433)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4" s="112"/>
      <c r="C434" s="79"/>
      <c r="D434" s="158" t="s">
        <v>6288</v>
      </c>
      <c r="E434" s="106">
        <v>100025082</v>
      </c>
      <c r="F434" s="159" t="s">
        <v>6289</v>
      </c>
      <c r="G434" s="106">
        <v>50</v>
      </c>
      <c r="H434" s="106">
        <v>1800</v>
      </c>
      <c r="I434" s="153">
        <f>_xlfn.XLOOKUP(E434,'All Products'!D:D,'All Products'!H:H)</f>
        <v>19.89</v>
      </c>
      <c r="J434" s="205">
        <f>ROUNDUP(I434*Order_Quote!$L$26,2)</f>
        <v>99.45</v>
      </c>
      <c r="K434" s="78"/>
      <c r="L434" s="116"/>
      <c r="M434" s="199">
        <f t="shared" si="10"/>
        <v>0</v>
      </c>
      <c r="O434" s="265" t="s">
        <v>1693</v>
      </c>
      <c r="P434" s="297" t="s">
        <v>77</v>
      </c>
      <c r="Q434" s="265" t="s">
        <v>6257</v>
      </c>
      <c r="R434" s="265">
        <v>0</v>
      </c>
      <c r="S434" s="265" t="s">
        <v>6258</v>
      </c>
      <c r="T434" s="347">
        <v>0.161</v>
      </c>
      <c r="U434" s="347">
        <v>28.59</v>
      </c>
      <c r="V434" s="348">
        <v>2.65</v>
      </c>
    </row>
    <row r="435" spans="1:22" ht="14.45" customHeight="1">
      <c r="A435" s="104" t="str">
        <f>IF(K435&gt;0,COUNT($A$8:A434)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5" s="112"/>
      <c r="C435" s="79"/>
      <c r="D435" s="158" t="s">
        <v>6290</v>
      </c>
      <c r="E435" s="106">
        <v>100024625</v>
      </c>
      <c r="F435" s="159" t="s">
        <v>6291</v>
      </c>
      <c r="G435" s="106">
        <v>50</v>
      </c>
      <c r="H435" s="106">
        <v>1800</v>
      </c>
      <c r="I435" s="153">
        <f>_xlfn.XLOOKUP(E435,'All Products'!D:D,'All Products'!H:H)</f>
        <v>19.89</v>
      </c>
      <c r="J435" s="205">
        <f>ROUNDUP(I435*Order_Quote!$L$26,2)</f>
        <v>99.45</v>
      </c>
      <c r="K435" s="78"/>
      <c r="L435" s="116"/>
      <c r="M435" s="199">
        <f t="shared" si="10"/>
        <v>0</v>
      </c>
      <c r="O435" s="265" t="s">
        <v>1693</v>
      </c>
      <c r="P435" s="297" t="s">
        <v>77</v>
      </c>
      <c r="Q435" s="265" t="s">
        <v>6257</v>
      </c>
      <c r="R435" s="265">
        <v>0</v>
      </c>
      <c r="S435" s="265" t="s">
        <v>6258</v>
      </c>
      <c r="T435" s="347">
        <v>0.161</v>
      </c>
      <c r="U435" s="347">
        <v>28.1</v>
      </c>
      <c r="V435" s="348">
        <v>2.65</v>
      </c>
    </row>
    <row r="436" spans="1:22" ht="14.45" customHeight="1">
      <c r="A436" s="104" t="str">
        <f>IF(K436&gt;0,COUNT($A$8:A435)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6" s="113"/>
      <c r="C436" s="114"/>
      <c r="D436" s="158" t="s">
        <v>6292</v>
      </c>
      <c r="E436" s="106">
        <v>100028742</v>
      </c>
      <c r="F436" s="159" t="s">
        <v>6293</v>
      </c>
      <c r="G436" s="106">
        <v>50</v>
      </c>
      <c r="H436" s="106">
        <v>1800</v>
      </c>
      <c r="I436" s="153">
        <f>_xlfn.XLOOKUP(E436,'All Products'!D:D,'All Products'!H:H)</f>
        <v>19.89</v>
      </c>
      <c r="J436" s="205">
        <f>ROUNDUP(I436*Order_Quote!$L$26,2)</f>
        <v>99.45</v>
      </c>
      <c r="K436" s="78"/>
      <c r="L436" s="292"/>
      <c r="M436" s="199">
        <f t="shared" si="10"/>
        <v>0</v>
      </c>
      <c r="O436" s="265" t="s">
        <v>1693</v>
      </c>
      <c r="P436" s="297" t="s">
        <v>77</v>
      </c>
      <c r="Q436" s="265" t="s">
        <v>6257</v>
      </c>
      <c r="R436" s="265">
        <v>0</v>
      </c>
      <c r="S436" s="265" t="s">
        <v>6258</v>
      </c>
      <c r="T436" s="347">
        <v>0.161</v>
      </c>
      <c r="U436" s="347">
        <v>28.6</v>
      </c>
      <c r="V436" s="348">
        <v>2.65</v>
      </c>
    </row>
    <row r="437" spans="1:22" ht="25.5" customHeight="1">
      <c r="A437" s="104" t="str">
        <f>IF(K437&gt;0,COUNT($A$8:A436)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7" s="242" t="s">
        <v>6294</v>
      </c>
      <c r="C437" s="44"/>
      <c r="D437" s="44"/>
      <c r="E437" s="44" t="e">
        <v>#N/A</v>
      </c>
      <c r="F437" s="44"/>
      <c r="G437" s="44"/>
      <c r="H437" s="44"/>
      <c r="I437" s="245" t="e">
        <f>_xlfn.XLOOKUP(E437,'All Products'!D:D,'All Products'!H:H)</f>
        <v>#N/A</v>
      </c>
      <c r="J437" s="245" t="e">
        <f>ROUNDUP(I437*Order_Quote!$L$26,2)</f>
        <v>#N/A</v>
      </c>
      <c r="K437" s="246"/>
      <c r="L437" s="243"/>
      <c r="M437" s="157"/>
      <c r="O437" s="44"/>
      <c r="P437" s="44"/>
    </row>
    <row r="438" spans="1:22" ht="14.45" customHeight="1">
      <c r="A438" s="104" t="str">
        <f>IF(K438&gt;0,COUNT($A$8:A437)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8" s="110"/>
      <c r="C438" s="111"/>
      <c r="D438" s="158" t="s">
        <v>6295</v>
      </c>
      <c r="E438" s="106">
        <v>100023790</v>
      </c>
      <c r="F438" s="159" t="s">
        <v>6296</v>
      </c>
      <c r="G438" s="106">
        <v>10</v>
      </c>
      <c r="H438" s="106">
        <v>1200</v>
      </c>
      <c r="I438" s="153">
        <f>_xlfn.XLOOKUP(E438,'All Products'!D:D,'All Products'!H:H)</f>
        <v>79.58</v>
      </c>
      <c r="J438" s="205">
        <f>ROUNDUP(I438*Order_Quote!$L$26,2)</f>
        <v>397.9</v>
      </c>
      <c r="K438" s="78"/>
      <c r="L438" s="291"/>
      <c r="M438" s="199">
        <f t="shared" ref="M438:M451" si="11">K438/G438</f>
        <v>0</v>
      </c>
      <c r="O438" s="265" t="s">
        <v>359</v>
      </c>
      <c r="P438" s="265" t="s">
        <v>102</v>
      </c>
      <c r="Q438" s="265" t="s">
        <v>6297</v>
      </c>
      <c r="R438" s="265">
        <v>0</v>
      </c>
      <c r="S438" s="265" t="s">
        <v>6298</v>
      </c>
      <c r="T438" s="347">
        <v>1.085</v>
      </c>
      <c r="U438" s="347">
        <v>10.85</v>
      </c>
      <c r="V438" s="348">
        <v>0.65</v>
      </c>
    </row>
    <row r="439" spans="1:22" ht="14.45" customHeight="1">
      <c r="A439" s="104" t="str">
        <f>IF(K439&gt;0,COUNT($A$8:A438)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39" s="112"/>
      <c r="C439" s="79"/>
      <c r="D439" s="208" t="s">
        <v>6299</v>
      </c>
      <c r="E439" s="171">
        <v>100024916</v>
      </c>
      <c r="F439" s="289" t="s">
        <v>6300</v>
      </c>
      <c r="G439" s="171">
        <v>10</v>
      </c>
      <c r="H439" s="171">
        <v>1200</v>
      </c>
      <c r="I439" s="370">
        <f>_xlfn.XLOOKUP(E439,'All Products'!D:D,'All Products'!H:H)</f>
        <v>79.58</v>
      </c>
      <c r="J439" s="316">
        <f>ROUNDUP(I439*Order_Quote!$L$26,2)</f>
        <v>397.9</v>
      </c>
      <c r="K439" s="184"/>
      <c r="L439" s="116"/>
      <c r="M439" s="298">
        <f t="shared" si="11"/>
        <v>0</v>
      </c>
      <c r="O439" s="265" t="s">
        <v>359</v>
      </c>
      <c r="P439" s="265" t="s">
        <v>102</v>
      </c>
      <c r="Q439" s="265" t="s">
        <v>6301</v>
      </c>
      <c r="R439" s="265">
        <v>0</v>
      </c>
      <c r="S439" s="265" t="s">
        <v>6302</v>
      </c>
      <c r="T439" s="347">
        <v>0.91300000000000003</v>
      </c>
      <c r="U439" s="347">
        <v>10.55</v>
      </c>
      <c r="V439" s="348">
        <v>0.65</v>
      </c>
    </row>
    <row r="440" spans="1:22" ht="14.45" customHeight="1">
      <c r="A440" s="104" t="str">
        <f>IF(K440&gt;0,COUNT($A$8:A439)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0" s="112"/>
      <c r="C440" s="79"/>
      <c r="D440" s="208" t="s">
        <v>6303</v>
      </c>
      <c r="E440" s="171">
        <v>100023956</v>
      </c>
      <c r="F440" s="289" t="s">
        <v>6304</v>
      </c>
      <c r="G440" s="171">
        <v>10</v>
      </c>
      <c r="H440" s="171">
        <v>1200</v>
      </c>
      <c r="I440" s="370">
        <f>_xlfn.XLOOKUP(E440,'All Products'!D:D,'All Products'!H:H)</f>
        <v>79.58</v>
      </c>
      <c r="J440" s="316">
        <f>ROUNDUP(I440*Order_Quote!$L$26,2)</f>
        <v>397.9</v>
      </c>
      <c r="K440" s="184"/>
      <c r="L440" s="116"/>
      <c r="M440" s="298">
        <f t="shared" si="11"/>
        <v>0</v>
      </c>
      <c r="O440" s="265" t="s">
        <v>359</v>
      </c>
      <c r="P440" s="265" t="s">
        <v>102</v>
      </c>
      <c r="Q440" s="265" t="s">
        <v>6305</v>
      </c>
      <c r="R440" s="265">
        <v>0</v>
      </c>
      <c r="S440" s="265" t="s">
        <v>6306</v>
      </c>
      <c r="T440" s="347">
        <v>1.1200000000000001</v>
      </c>
      <c r="U440" s="347">
        <v>11.2</v>
      </c>
      <c r="V440" s="348">
        <v>0.65</v>
      </c>
    </row>
    <row r="441" spans="1:22" ht="14.45" customHeight="1">
      <c r="A441" s="104" t="str">
        <f>IF(K441&gt;0,COUNT($A$8:A440)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1" s="112"/>
      <c r="C441" s="79"/>
      <c r="D441" s="208" t="s">
        <v>6307</v>
      </c>
      <c r="E441" s="171">
        <v>100024000</v>
      </c>
      <c r="F441" s="289" t="s">
        <v>6308</v>
      </c>
      <c r="G441" s="171">
        <v>10</v>
      </c>
      <c r="H441" s="171">
        <v>1200</v>
      </c>
      <c r="I441" s="370">
        <f>_xlfn.XLOOKUP(E441,'All Products'!D:D,'All Products'!H:H)</f>
        <v>79.58</v>
      </c>
      <c r="J441" s="316">
        <f>ROUNDUP(I441*Order_Quote!$L$26,2)</f>
        <v>397.9</v>
      </c>
      <c r="K441" s="184"/>
      <c r="L441" s="116"/>
      <c r="M441" s="298">
        <f t="shared" si="11"/>
        <v>0</v>
      </c>
      <c r="O441" s="265" t="s">
        <v>359</v>
      </c>
      <c r="P441" s="265" t="s">
        <v>102</v>
      </c>
      <c r="Q441" s="265" t="s">
        <v>6309</v>
      </c>
      <c r="R441" s="265">
        <v>0</v>
      </c>
      <c r="S441" s="265" t="s">
        <v>6310</v>
      </c>
      <c r="T441" s="347">
        <v>1.08</v>
      </c>
      <c r="U441" s="347">
        <v>10.8</v>
      </c>
      <c r="V441" s="348">
        <v>0.65</v>
      </c>
    </row>
    <row r="442" spans="1:22" ht="14.45" customHeight="1">
      <c r="A442" s="104" t="str">
        <f>IF(K442&gt;0,COUNT($A$8:A441)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2" s="112"/>
      <c r="C442" s="79"/>
      <c r="D442" s="208" t="s">
        <v>6311</v>
      </c>
      <c r="E442" s="171">
        <v>100024002</v>
      </c>
      <c r="F442" s="289" t="s">
        <v>6312</v>
      </c>
      <c r="G442" s="171">
        <v>10</v>
      </c>
      <c r="H442" s="171">
        <v>1200</v>
      </c>
      <c r="I442" s="370">
        <f>_xlfn.XLOOKUP(E442,'All Products'!D:D,'All Products'!H:H)</f>
        <v>79.58</v>
      </c>
      <c r="J442" s="316">
        <f>ROUNDUP(I442*Order_Quote!$L$26,2)</f>
        <v>397.9</v>
      </c>
      <c r="K442" s="184"/>
      <c r="L442" s="116"/>
      <c r="M442" s="298">
        <f t="shared" si="11"/>
        <v>0</v>
      </c>
      <c r="O442" s="265" t="s">
        <v>359</v>
      </c>
      <c r="P442" s="265" t="s">
        <v>102</v>
      </c>
      <c r="Q442" s="265" t="s">
        <v>6313</v>
      </c>
      <c r="R442" s="265">
        <v>0</v>
      </c>
      <c r="S442" s="265" t="s">
        <v>6314</v>
      </c>
      <c r="T442" s="347">
        <v>0.91300000000000003</v>
      </c>
      <c r="U442" s="347">
        <v>10.6</v>
      </c>
      <c r="V442" s="348">
        <v>0.65</v>
      </c>
    </row>
    <row r="443" spans="1:22" ht="14.45" customHeight="1">
      <c r="A443" s="104" t="str">
        <f>IF(K443&gt;0,COUNT($A$8:A442)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3" s="112"/>
      <c r="C443" s="79"/>
      <c r="D443" s="208" t="s">
        <v>6315</v>
      </c>
      <c r="E443" s="171">
        <v>100024119</v>
      </c>
      <c r="F443" s="289" t="s">
        <v>6316</v>
      </c>
      <c r="G443" s="171">
        <v>10</v>
      </c>
      <c r="H443" s="171">
        <v>750</v>
      </c>
      <c r="I443" s="370">
        <f>_xlfn.XLOOKUP(E443,'All Products'!D:D,'All Products'!H:H)</f>
        <v>105.38</v>
      </c>
      <c r="J443" s="316">
        <f>ROUNDUP(I443*Order_Quote!$L$26,2)</f>
        <v>526.9</v>
      </c>
      <c r="K443" s="184"/>
      <c r="L443" s="116"/>
      <c r="M443" s="298">
        <f t="shared" si="11"/>
        <v>0</v>
      </c>
      <c r="O443" s="265" t="s">
        <v>359</v>
      </c>
      <c r="P443" s="265" t="s">
        <v>102</v>
      </c>
      <c r="Q443" s="265" t="s">
        <v>6317</v>
      </c>
      <c r="R443" s="265">
        <v>0</v>
      </c>
      <c r="S443" s="265" t="s">
        <v>6318</v>
      </c>
      <c r="T443" s="347">
        <v>1.1739999999999999</v>
      </c>
      <c r="U443" s="347">
        <v>16.3</v>
      </c>
      <c r="V443" s="348">
        <v>1.1000000000000001</v>
      </c>
    </row>
    <row r="444" spans="1:22" ht="14.45" customHeight="1">
      <c r="A444" s="104" t="str">
        <f>IF(K444&gt;0,COUNT($A$8:A443)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4" s="112"/>
      <c r="C444" s="79"/>
      <c r="D444" s="208" t="s">
        <v>6319</v>
      </c>
      <c r="E444" s="171">
        <v>100024148</v>
      </c>
      <c r="F444" s="289" t="s">
        <v>6320</v>
      </c>
      <c r="G444" s="171">
        <v>10</v>
      </c>
      <c r="H444" s="171">
        <v>750</v>
      </c>
      <c r="I444" s="370">
        <f>_xlfn.XLOOKUP(E444,'All Products'!D:D,'All Products'!H:H)</f>
        <v>105.38</v>
      </c>
      <c r="J444" s="316">
        <f>ROUNDUP(I444*Order_Quote!$L$26,2)</f>
        <v>526.9</v>
      </c>
      <c r="K444" s="184"/>
      <c r="L444" s="116"/>
      <c r="M444" s="298">
        <f t="shared" si="11"/>
        <v>0</v>
      </c>
      <c r="O444" s="265" t="s">
        <v>359</v>
      </c>
      <c r="P444" s="265" t="s">
        <v>102</v>
      </c>
      <c r="Q444" s="265" t="s">
        <v>6321</v>
      </c>
      <c r="R444" s="265">
        <v>0</v>
      </c>
      <c r="S444" s="265" t="s">
        <v>6322</v>
      </c>
      <c r="T444" s="347">
        <v>1.147</v>
      </c>
      <c r="U444" s="347">
        <v>14.42</v>
      </c>
      <c r="V444" s="348">
        <v>0.95</v>
      </c>
    </row>
    <row r="445" spans="1:22" ht="14.45" customHeight="1">
      <c r="A445" s="104" t="str">
        <f>IF(K445&gt;0,COUNT($A$8:A444)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5" s="112"/>
      <c r="C445" s="79"/>
      <c r="D445" s="208" t="s">
        <v>6323</v>
      </c>
      <c r="E445" s="171">
        <v>100024284</v>
      </c>
      <c r="F445" s="289" t="s">
        <v>6324</v>
      </c>
      <c r="G445" s="171">
        <v>10</v>
      </c>
      <c r="H445" s="171">
        <v>750</v>
      </c>
      <c r="I445" s="370">
        <f>_xlfn.XLOOKUP(E445,'All Products'!D:D,'All Products'!H:H)</f>
        <v>105.38</v>
      </c>
      <c r="J445" s="316">
        <f>ROUNDUP(I445*Order_Quote!$L$26,2)</f>
        <v>526.9</v>
      </c>
      <c r="K445" s="184"/>
      <c r="L445" s="116"/>
      <c r="M445" s="298">
        <f t="shared" si="11"/>
        <v>0</v>
      </c>
      <c r="O445" s="265" t="s">
        <v>359</v>
      </c>
      <c r="P445" s="265" t="s">
        <v>102</v>
      </c>
      <c r="Q445" s="265" t="s">
        <v>6325</v>
      </c>
      <c r="R445" s="265">
        <v>0</v>
      </c>
      <c r="S445" s="265" t="s">
        <v>6326</v>
      </c>
      <c r="T445" s="347">
        <v>1.204</v>
      </c>
      <c r="U445" s="347">
        <v>18.5</v>
      </c>
      <c r="V445" s="348">
        <v>1.1000000000000001</v>
      </c>
    </row>
    <row r="446" spans="1:22" ht="14.45" customHeight="1">
      <c r="A446" s="104" t="str">
        <f>IF(K446&gt;0,COUNT($A$8:A445)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6" s="112"/>
      <c r="C446" s="79"/>
      <c r="D446" s="208" t="s">
        <v>6327</v>
      </c>
      <c r="E446" s="171">
        <v>100024349</v>
      </c>
      <c r="F446" s="289" t="s">
        <v>6328</v>
      </c>
      <c r="G446" s="171">
        <v>20</v>
      </c>
      <c r="H446" s="171" t="s">
        <v>2803</v>
      </c>
      <c r="I446" s="370">
        <f>_xlfn.XLOOKUP(E446,'All Products'!D:D,'All Products'!H:H)</f>
        <v>131.11000000000001</v>
      </c>
      <c r="J446" s="316">
        <f>ROUNDUP(I446*Order_Quote!$L$26,2)</f>
        <v>655.55</v>
      </c>
      <c r="K446" s="184"/>
      <c r="L446" s="116"/>
      <c r="M446" s="298">
        <f t="shared" si="11"/>
        <v>0</v>
      </c>
      <c r="O446" s="265" t="s">
        <v>359</v>
      </c>
      <c r="P446" s="265" t="s">
        <v>102</v>
      </c>
      <c r="Q446" s="265" t="s">
        <v>6329</v>
      </c>
      <c r="R446" s="265">
        <v>0</v>
      </c>
      <c r="S446" s="265" t="s">
        <v>6330</v>
      </c>
      <c r="T446" s="347">
        <v>1.903</v>
      </c>
      <c r="U446" s="347">
        <v>40</v>
      </c>
      <c r="V446" s="348">
        <v>0</v>
      </c>
    </row>
    <row r="447" spans="1:22" ht="14.45" customHeight="1">
      <c r="A447" s="104" t="str">
        <f>IF(K447&gt;0,COUNT($A$8:A446)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7" s="112"/>
      <c r="C447" s="79"/>
      <c r="D447" s="208" t="s">
        <v>6331</v>
      </c>
      <c r="E447" s="171">
        <v>100024388</v>
      </c>
      <c r="F447" s="289" t="s">
        <v>6332</v>
      </c>
      <c r="G447" s="171">
        <v>10</v>
      </c>
      <c r="H447" s="171">
        <v>750</v>
      </c>
      <c r="I447" s="370">
        <f>_xlfn.XLOOKUP(E447,'All Products'!D:D,'All Products'!H:H)</f>
        <v>131.11000000000001</v>
      </c>
      <c r="J447" s="316">
        <f>ROUNDUP(I447*Order_Quote!$L$26,2)</f>
        <v>655.55</v>
      </c>
      <c r="K447" s="184"/>
      <c r="L447" s="116"/>
      <c r="M447" s="298">
        <f t="shared" si="11"/>
        <v>0</v>
      </c>
      <c r="O447" s="265" t="s">
        <v>359</v>
      </c>
      <c r="P447" s="265" t="s">
        <v>102</v>
      </c>
      <c r="Q447" s="265" t="s">
        <v>6333</v>
      </c>
      <c r="R447" s="265">
        <v>0</v>
      </c>
      <c r="S447" s="265" t="s">
        <v>6334</v>
      </c>
      <c r="T447" s="347">
        <v>1.9279999999999999</v>
      </c>
      <c r="U447" s="347">
        <v>20.350000000000001</v>
      </c>
      <c r="V447" s="348">
        <v>1.1000000000000001</v>
      </c>
    </row>
    <row r="448" spans="1:22" ht="14.45" customHeight="1">
      <c r="A448" s="104" t="str">
        <f>IF(K448&gt;0,COUNT($A$8:A447)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8" s="112"/>
      <c r="C448" s="79"/>
      <c r="D448" s="208" t="s">
        <v>6335</v>
      </c>
      <c r="E448" s="171">
        <v>100024399</v>
      </c>
      <c r="F448" s="289" t="s">
        <v>6336</v>
      </c>
      <c r="G448" s="171">
        <v>20</v>
      </c>
      <c r="H448" s="171" t="s">
        <v>2803</v>
      </c>
      <c r="I448" s="370">
        <f>_xlfn.XLOOKUP(E448,'All Products'!D:D,'All Products'!H:H)</f>
        <v>131.11000000000001</v>
      </c>
      <c r="J448" s="316">
        <f>ROUNDUP(I448*Order_Quote!$L$26,2)</f>
        <v>655.55</v>
      </c>
      <c r="K448" s="184"/>
      <c r="L448" s="116"/>
      <c r="M448" s="298">
        <f t="shared" si="11"/>
        <v>0</v>
      </c>
      <c r="O448" s="265" t="s">
        <v>359</v>
      </c>
      <c r="P448" s="265" t="s">
        <v>102</v>
      </c>
      <c r="Q448" s="265" t="s">
        <v>6337</v>
      </c>
      <c r="R448" s="265">
        <v>0</v>
      </c>
      <c r="S448" s="265" t="s">
        <v>6338</v>
      </c>
      <c r="T448" s="347">
        <v>1.823</v>
      </c>
      <c r="U448" s="347">
        <v>39.5</v>
      </c>
      <c r="V448" s="348">
        <v>0</v>
      </c>
    </row>
    <row r="449" spans="1:22" ht="14.45" customHeight="1">
      <c r="A449" s="104" t="str">
        <f>IF(K449&gt;0,COUNT($A$8:A448)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49" s="112"/>
      <c r="C449" s="79"/>
      <c r="D449" s="208" t="s">
        <v>6339</v>
      </c>
      <c r="E449" s="171">
        <v>100024436</v>
      </c>
      <c r="F449" s="289" t="s">
        <v>6340</v>
      </c>
      <c r="G449" s="171">
        <v>10</v>
      </c>
      <c r="H449" s="171">
        <v>750</v>
      </c>
      <c r="I449" s="370">
        <f>_xlfn.XLOOKUP(E449,'All Products'!D:D,'All Products'!H:H)</f>
        <v>131.11000000000001</v>
      </c>
      <c r="J449" s="316">
        <f>ROUNDUP(I449*Order_Quote!$L$26,2)</f>
        <v>655.55</v>
      </c>
      <c r="K449" s="184"/>
      <c r="L449" s="116"/>
      <c r="M449" s="298">
        <f t="shared" si="11"/>
        <v>0</v>
      </c>
      <c r="O449" s="265" t="s">
        <v>359</v>
      </c>
      <c r="P449" s="265" t="s">
        <v>102</v>
      </c>
      <c r="Q449" s="265" t="s">
        <v>6341</v>
      </c>
      <c r="R449" s="265">
        <v>0</v>
      </c>
      <c r="S449" s="265" t="s">
        <v>6342</v>
      </c>
      <c r="T449" s="347">
        <v>1.8129999999999999</v>
      </c>
      <c r="U449" s="347">
        <v>19.260000000000002</v>
      </c>
      <c r="V449" s="348">
        <v>1.1000000000000001</v>
      </c>
    </row>
    <row r="450" spans="1:22" ht="14.45" customHeight="1">
      <c r="A450" s="104" t="str">
        <f>IF(K450&gt;0,COUNT($A$8:A449)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0" s="112"/>
      <c r="C450" s="79"/>
      <c r="D450" s="208" t="s">
        <v>6343</v>
      </c>
      <c r="E450" s="171">
        <v>100024522</v>
      </c>
      <c r="F450" s="289" t="s">
        <v>6344</v>
      </c>
      <c r="G450" s="171">
        <v>10</v>
      </c>
      <c r="H450" s="171">
        <v>750</v>
      </c>
      <c r="I450" s="370">
        <f>_xlfn.XLOOKUP(E450,'All Products'!D:D,'All Products'!H:H)</f>
        <v>131.11000000000001</v>
      </c>
      <c r="J450" s="316">
        <f>ROUNDUP(I450*Order_Quote!$L$26,2)</f>
        <v>655.55</v>
      </c>
      <c r="K450" s="184"/>
      <c r="L450" s="116"/>
      <c r="M450" s="298">
        <f t="shared" si="11"/>
        <v>0</v>
      </c>
      <c r="O450" s="265" t="s">
        <v>359</v>
      </c>
      <c r="P450" s="265" t="s">
        <v>102</v>
      </c>
      <c r="Q450" s="265" t="s">
        <v>6345</v>
      </c>
      <c r="R450" s="265">
        <v>0</v>
      </c>
      <c r="S450" s="265" t="s">
        <v>6346</v>
      </c>
      <c r="T450" s="347">
        <v>1.893</v>
      </c>
      <c r="U450" s="347">
        <v>19.61</v>
      </c>
      <c r="V450" s="348">
        <v>1.1000000000000001</v>
      </c>
    </row>
    <row r="451" spans="1:22" ht="14.45" customHeight="1">
      <c r="A451" s="104" t="str">
        <f>IF(K451&gt;0,COUNT($A$8:A450)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1" s="113"/>
      <c r="C451" s="114"/>
      <c r="D451" s="208" t="s">
        <v>6347</v>
      </c>
      <c r="E451" s="171">
        <v>100024527</v>
      </c>
      <c r="F451" s="289" t="s">
        <v>6348</v>
      </c>
      <c r="G451" s="171">
        <v>20</v>
      </c>
      <c r="H451" s="171">
        <v>360</v>
      </c>
      <c r="I451" s="370">
        <f>_xlfn.XLOOKUP(E451,'All Products'!D:D,'All Products'!H:H)</f>
        <v>131.11000000000001</v>
      </c>
      <c r="J451" s="316">
        <f>ROUNDUP(I451*Order_Quote!$L$26,2)</f>
        <v>655.55</v>
      </c>
      <c r="K451" s="184"/>
      <c r="L451" s="292"/>
      <c r="M451" s="298">
        <f t="shared" si="11"/>
        <v>0</v>
      </c>
      <c r="O451" s="265" t="s">
        <v>359</v>
      </c>
      <c r="P451" s="265" t="s">
        <v>102</v>
      </c>
      <c r="Q451" s="265" t="s">
        <v>6349</v>
      </c>
      <c r="R451" s="265">
        <v>0</v>
      </c>
      <c r="S451" s="265" t="s">
        <v>6350</v>
      </c>
      <c r="T451" s="347">
        <v>1.8380000000000001</v>
      </c>
      <c r="U451" s="347">
        <v>38</v>
      </c>
      <c r="V451" s="348">
        <v>2.65</v>
      </c>
    </row>
    <row r="452" spans="1:22" ht="25.5" customHeight="1">
      <c r="A452" s="104" t="str">
        <f>IF(K452&gt;0,COUNT($A$8:A451)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2" s="242" t="s">
        <v>6351</v>
      </c>
      <c r="C452" s="44"/>
      <c r="D452" s="44"/>
      <c r="E452" s="44" t="e">
        <v>#N/A</v>
      </c>
      <c r="F452" s="44"/>
      <c r="G452" s="44"/>
      <c r="H452" s="44"/>
      <c r="I452" s="245" t="e">
        <f>_xlfn.XLOOKUP(E452,'All Products'!D:D,'All Products'!H:H)</f>
        <v>#N/A</v>
      </c>
      <c r="J452" s="245" t="e">
        <f>ROUNDUP(I452*Order_Quote!$L$26,2)</f>
        <v>#N/A</v>
      </c>
      <c r="K452" s="246"/>
      <c r="L452" s="243"/>
      <c r="M452" s="157"/>
      <c r="O452" s="44"/>
      <c r="P452" s="44"/>
    </row>
    <row r="453" spans="1:22" ht="14.45" customHeight="1">
      <c r="A453" s="104" t="str">
        <f>IF(K453&gt;0,COUNT($A$8:A452)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3" s="110"/>
      <c r="C453" s="111"/>
      <c r="D453" s="158" t="s">
        <v>6352</v>
      </c>
      <c r="E453" s="106">
        <v>100024885</v>
      </c>
      <c r="F453" s="159" t="s">
        <v>6353</v>
      </c>
      <c r="G453" s="106">
        <v>10</v>
      </c>
      <c r="H453" s="106">
        <v>600</v>
      </c>
      <c r="I453" s="153">
        <f>_xlfn.XLOOKUP(E453,'All Products'!D:D,'All Products'!H:H)</f>
        <v>136.44999999999999</v>
      </c>
      <c r="J453" s="205">
        <f>ROUNDUP(I453*Order_Quote!$L$26,2)</f>
        <v>682.25</v>
      </c>
      <c r="K453" s="78"/>
      <c r="L453" s="291"/>
      <c r="M453" s="199">
        <f t="shared" ref="M453:M471" si="12">K453/G453</f>
        <v>0</v>
      </c>
      <c r="O453" s="265" t="s">
        <v>359</v>
      </c>
      <c r="P453" s="265" t="s">
        <v>102</v>
      </c>
      <c r="Q453" s="265" t="s">
        <v>6354</v>
      </c>
      <c r="R453" s="265">
        <v>0</v>
      </c>
      <c r="S453" s="265" t="s">
        <v>6355</v>
      </c>
      <c r="T453" s="347">
        <v>1.4219999999999999</v>
      </c>
      <c r="U453" s="347">
        <v>17.78</v>
      </c>
      <c r="V453" s="348">
        <v>1.41</v>
      </c>
    </row>
    <row r="454" spans="1:22" ht="14.45" customHeight="1">
      <c r="A454" s="104" t="str">
        <f>IF(K454&gt;0,COUNT($A$8:A453)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4" s="112"/>
      <c r="C454" s="79"/>
      <c r="D454" s="208" t="s">
        <v>6356</v>
      </c>
      <c r="E454" s="171">
        <v>100023804</v>
      </c>
      <c r="F454" s="289" t="s">
        <v>6357</v>
      </c>
      <c r="G454" s="171">
        <v>10</v>
      </c>
      <c r="H454" s="171">
        <v>750</v>
      </c>
      <c r="I454" s="370">
        <f>_xlfn.XLOOKUP(E454,'All Products'!D:D,'All Products'!H:H)</f>
        <v>125.31</v>
      </c>
      <c r="J454" s="316">
        <f>ROUNDUP(I454*Order_Quote!$L$26,2)</f>
        <v>626.54999999999995</v>
      </c>
      <c r="K454" s="184"/>
      <c r="L454" s="116"/>
      <c r="M454" s="298">
        <f t="shared" si="12"/>
        <v>0</v>
      </c>
      <c r="O454" s="265" t="s">
        <v>359</v>
      </c>
      <c r="P454" s="265" t="s">
        <v>102</v>
      </c>
      <c r="Q454" s="265" t="s">
        <v>6358</v>
      </c>
      <c r="R454" s="265">
        <v>0</v>
      </c>
      <c r="S454" s="265" t="s">
        <v>6359</v>
      </c>
      <c r="T454" s="347">
        <v>1.2050000000000001</v>
      </c>
      <c r="U454" s="347">
        <v>13.05</v>
      </c>
      <c r="V454" s="348">
        <v>1.1000000000000001</v>
      </c>
    </row>
    <row r="455" spans="1:22" ht="14.45" customHeight="1">
      <c r="A455" s="104" t="str">
        <f>IF(K455&gt;0,COUNT($A$8:A454)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5" s="112"/>
      <c r="C455" s="79"/>
      <c r="D455" s="208" t="s">
        <v>6360</v>
      </c>
      <c r="E455" s="171">
        <v>100023821</v>
      </c>
      <c r="F455" s="289" t="s">
        <v>6361</v>
      </c>
      <c r="G455" s="171">
        <v>10</v>
      </c>
      <c r="H455" s="171">
        <v>600</v>
      </c>
      <c r="I455" s="370">
        <f>_xlfn.XLOOKUP(E455,'All Products'!D:D,'All Products'!H:H)</f>
        <v>136.44999999999999</v>
      </c>
      <c r="J455" s="316">
        <f>ROUNDUP(I455*Order_Quote!$L$26,2)</f>
        <v>682.25</v>
      </c>
      <c r="K455" s="184"/>
      <c r="L455" s="116"/>
      <c r="M455" s="298">
        <f t="shared" si="12"/>
        <v>0</v>
      </c>
      <c r="O455" s="265" t="s">
        <v>359</v>
      </c>
      <c r="P455" s="265" t="s">
        <v>102</v>
      </c>
      <c r="Q455" s="265" t="s">
        <v>6362</v>
      </c>
      <c r="R455" s="265">
        <v>0</v>
      </c>
      <c r="S455" s="265" t="s">
        <v>6363</v>
      </c>
      <c r="T455" s="347">
        <v>1.4039999999999999</v>
      </c>
      <c r="U455" s="347">
        <v>15.08</v>
      </c>
      <c r="V455" s="348">
        <v>1.41</v>
      </c>
    </row>
    <row r="456" spans="1:22" ht="14.45" customHeight="1">
      <c r="A456" s="104" t="str">
        <f>IF(K456&gt;0,COUNT($A$8:A455)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6" s="112"/>
      <c r="C456" s="79"/>
      <c r="D456" s="208" t="s">
        <v>6364</v>
      </c>
      <c r="E456" s="171">
        <v>100023877</v>
      </c>
      <c r="F456" s="289" t="s">
        <v>6365</v>
      </c>
      <c r="G456" s="171">
        <v>10</v>
      </c>
      <c r="H456" s="171">
        <v>600</v>
      </c>
      <c r="I456" s="370">
        <f>_xlfn.XLOOKUP(E456,'All Products'!D:D,'All Products'!H:H)</f>
        <v>136.44999999999999</v>
      </c>
      <c r="J456" s="316">
        <f>ROUNDUP(I456*Order_Quote!$L$26,2)</f>
        <v>682.25</v>
      </c>
      <c r="K456" s="184"/>
      <c r="L456" s="116"/>
      <c r="M456" s="298">
        <f t="shared" si="12"/>
        <v>0</v>
      </c>
      <c r="O456" s="265" t="s">
        <v>359</v>
      </c>
      <c r="P456" s="265" t="s">
        <v>102</v>
      </c>
      <c r="Q456" s="265" t="s">
        <v>6366</v>
      </c>
      <c r="R456" s="265">
        <v>0</v>
      </c>
      <c r="S456" s="265" t="s">
        <v>6367</v>
      </c>
      <c r="T456" s="347">
        <v>1.3260000000000001</v>
      </c>
      <c r="U456" s="347">
        <v>14.88</v>
      </c>
      <c r="V456" s="348">
        <v>1.25</v>
      </c>
    </row>
    <row r="457" spans="1:22" ht="14.45" customHeight="1">
      <c r="A457" s="104" t="str">
        <f>IF(K457&gt;0,COUNT($A$8:A456)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7" s="112"/>
      <c r="C457" s="79"/>
      <c r="D457" s="208" t="s">
        <v>6368</v>
      </c>
      <c r="E457" s="171">
        <v>100023878</v>
      </c>
      <c r="F457" s="289" t="s">
        <v>6369</v>
      </c>
      <c r="G457" s="171">
        <v>10</v>
      </c>
      <c r="H457" s="171">
        <v>600</v>
      </c>
      <c r="I457" s="370">
        <f>_xlfn.XLOOKUP(E457,'All Products'!D:D,'All Products'!H:H)</f>
        <v>136.44999999999999</v>
      </c>
      <c r="J457" s="316">
        <f>ROUNDUP(I457*Order_Quote!$L$26,2)</f>
        <v>682.25</v>
      </c>
      <c r="K457" s="184"/>
      <c r="L457" s="116"/>
      <c r="M457" s="298">
        <f t="shared" si="12"/>
        <v>0</v>
      </c>
      <c r="O457" s="265" t="s">
        <v>359</v>
      </c>
      <c r="P457" s="265" t="s">
        <v>102</v>
      </c>
      <c r="Q457" s="265" t="s">
        <v>6370</v>
      </c>
      <c r="R457" s="265">
        <v>0</v>
      </c>
      <c r="S457" s="265" t="s">
        <v>6371</v>
      </c>
      <c r="T457" s="347">
        <v>1.4019999999999999</v>
      </c>
      <c r="U457" s="347">
        <v>14.78</v>
      </c>
      <c r="V457" s="348">
        <v>1.41</v>
      </c>
    </row>
    <row r="458" spans="1:22" ht="14.45" customHeight="1">
      <c r="A458" s="104" t="str">
        <f>IF(K458&gt;0,COUNT($A$8:A457)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8" s="112"/>
      <c r="C458" s="79"/>
      <c r="D458" s="208" t="s">
        <v>6372</v>
      </c>
      <c r="E458" s="171">
        <v>100023879</v>
      </c>
      <c r="F458" s="289" t="s">
        <v>6373</v>
      </c>
      <c r="G458" s="171">
        <v>10</v>
      </c>
      <c r="H458" s="171" t="s">
        <v>2803</v>
      </c>
      <c r="I458" s="370">
        <f>_xlfn.XLOOKUP(E458,'All Products'!D:D,'All Products'!H:H)</f>
        <v>150.72999999999999</v>
      </c>
      <c r="J458" s="316">
        <f>ROUNDUP(I458*Order_Quote!$L$26,2)</f>
        <v>753.65</v>
      </c>
      <c r="K458" s="184"/>
      <c r="L458" s="116"/>
      <c r="M458" s="298">
        <f t="shared" si="12"/>
        <v>0</v>
      </c>
      <c r="O458" s="265" t="s">
        <v>359</v>
      </c>
      <c r="P458" s="265" t="s">
        <v>102</v>
      </c>
      <c r="Q458" s="265" t="s">
        <v>6374</v>
      </c>
      <c r="R458" s="265">
        <v>0</v>
      </c>
      <c r="S458" s="265" t="s">
        <v>6375</v>
      </c>
      <c r="T458" s="347">
        <v>1.446</v>
      </c>
      <c r="U458" s="347">
        <v>16.02</v>
      </c>
      <c r="V458" s="348">
        <v>0</v>
      </c>
    </row>
    <row r="459" spans="1:22" ht="14.45" customHeight="1">
      <c r="A459" s="104" t="str">
        <f>IF(K459&gt;0,COUNT($A$8:A458)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59" s="112"/>
      <c r="C459" s="79"/>
      <c r="D459" s="208" t="s">
        <v>6376</v>
      </c>
      <c r="E459" s="171">
        <v>100024903</v>
      </c>
      <c r="F459" s="289" t="s">
        <v>6377</v>
      </c>
      <c r="G459" s="171">
        <v>10</v>
      </c>
      <c r="H459" s="171">
        <v>240</v>
      </c>
      <c r="I459" s="370">
        <f>_xlfn.XLOOKUP(E459,'All Products'!D:D,'All Products'!H:H)</f>
        <v>150.72999999999999</v>
      </c>
      <c r="J459" s="316">
        <f>ROUNDUP(I459*Order_Quote!$L$26,2)</f>
        <v>753.65</v>
      </c>
      <c r="K459" s="184"/>
      <c r="L459" s="116"/>
      <c r="M459" s="298">
        <f t="shared" si="12"/>
        <v>0</v>
      </c>
      <c r="O459" s="265" t="s">
        <v>359</v>
      </c>
      <c r="P459" s="265" t="s">
        <v>102</v>
      </c>
      <c r="Q459" s="265" t="s">
        <v>6378</v>
      </c>
      <c r="R459" s="265">
        <v>0</v>
      </c>
      <c r="S459" s="265" t="s">
        <v>6379</v>
      </c>
      <c r="T459" s="347">
        <v>1.581</v>
      </c>
      <c r="U459" s="347">
        <v>17.8</v>
      </c>
      <c r="V459" s="348">
        <v>2.77</v>
      </c>
    </row>
    <row r="460" spans="1:22" ht="14.45" customHeight="1">
      <c r="A460" s="104" t="str">
        <f>IF(K460&gt;0,COUNT($A$8:A459)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0" s="112"/>
      <c r="C460" s="79"/>
      <c r="D460" s="208" t="s">
        <v>6380</v>
      </c>
      <c r="E460" s="171">
        <v>100023881</v>
      </c>
      <c r="F460" s="289" t="s">
        <v>6381</v>
      </c>
      <c r="G460" s="171">
        <v>10</v>
      </c>
      <c r="H460" s="171">
        <v>750</v>
      </c>
      <c r="I460" s="370">
        <f>_xlfn.XLOOKUP(E460,'All Products'!D:D,'All Products'!H:H)</f>
        <v>125.31</v>
      </c>
      <c r="J460" s="316">
        <f>ROUNDUP(I460*Order_Quote!$L$26,2)</f>
        <v>626.54999999999995</v>
      </c>
      <c r="K460" s="184"/>
      <c r="L460" s="116"/>
      <c r="M460" s="298">
        <f t="shared" si="12"/>
        <v>0</v>
      </c>
      <c r="O460" s="265" t="s">
        <v>359</v>
      </c>
      <c r="P460" s="265" t="s">
        <v>102</v>
      </c>
      <c r="Q460" s="265" t="s">
        <v>6382</v>
      </c>
      <c r="R460" s="265">
        <v>0</v>
      </c>
      <c r="S460" s="265" t="s">
        <v>6383</v>
      </c>
      <c r="T460" s="347">
        <v>1.2490000000000001</v>
      </c>
      <c r="U460" s="347">
        <v>14.2</v>
      </c>
      <c r="V460" s="348">
        <v>1.1000000000000001</v>
      </c>
    </row>
    <row r="461" spans="1:22" ht="14.45" customHeight="1">
      <c r="A461" s="104" t="str">
        <f>IF(K461&gt;0,COUNT($A$8:A460)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1" s="112"/>
      <c r="C461" s="79"/>
      <c r="D461" s="208" t="s">
        <v>6384</v>
      </c>
      <c r="E461" s="171">
        <v>100024908</v>
      </c>
      <c r="F461" s="289" t="s">
        <v>6385</v>
      </c>
      <c r="G461" s="171">
        <v>10</v>
      </c>
      <c r="H461" s="171">
        <v>180</v>
      </c>
      <c r="I461" s="370">
        <f>_xlfn.XLOOKUP(E461,'All Products'!D:D,'All Products'!H:H)</f>
        <v>211.22</v>
      </c>
      <c r="J461" s="316">
        <f>ROUNDUP(I461*Order_Quote!$L$26,2)</f>
        <v>1056.0999999999999</v>
      </c>
      <c r="K461" s="184"/>
      <c r="L461" s="116"/>
      <c r="M461" s="298">
        <f t="shared" si="12"/>
        <v>0</v>
      </c>
      <c r="O461" s="265" t="s">
        <v>359</v>
      </c>
      <c r="P461" s="265" t="s">
        <v>102</v>
      </c>
      <c r="Q461" s="265" t="s">
        <v>6386</v>
      </c>
      <c r="R461" s="265">
        <v>0</v>
      </c>
      <c r="S461" s="265" t="s">
        <v>6387</v>
      </c>
      <c r="T461" s="347">
        <v>2.0720000000000001</v>
      </c>
      <c r="U461" s="347">
        <v>22.6</v>
      </c>
      <c r="V461" s="348">
        <v>2.65</v>
      </c>
    </row>
    <row r="462" spans="1:22" ht="14.45" customHeight="1">
      <c r="A462" s="104" t="str">
        <f>IF(K462&gt;0,COUNT($A$8:A461)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2" s="112"/>
      <c r="C462" s="79"/>
      <c r="D462" s="208" t="s">
        <v>6388</v>
      </c>
      <c r="E462" s="171">
        <v>100023900</v>
      </c>
      <c r="F462" s="289" t="s">
        <v>6389</v>
      </c>
      <c r="G462" s="171">
        <v>10</v>
      </c>
      <c r="H462" s="171">
        <v>240</v>
      </c>
      <c r="I462" s="370">
        <f>_xlfn.XLOOKUP(E462,'All Products'!D:D,'All Products'!H:H)</f>
        <v>218.18</v>
      </c>
      <c r="J462" s="316">
        <f>ROUNDUP(I462*Order_Quote!$L$26,2)</f>
        <v>1090.9000000000001</v>
      </c>
      <c r="K462" s="184"/>
      <c r="L462" s="116"/>
      <c r="M462" s="298">
        <f t="shared" si="12"/>
        <v>0</v>
      </c>
      <c r="O462" s="265" t="s">
        <v>359</v>
      </c>
      <c r="P462" s="265" t="s">
        <v>102</v>
      </c>
      <c r="Q462" s="265" t="s">
        <v>6390</v>
      </c>
      <c r="R462" s="265">
        <v>0</v>
      </c>
      <c r="S462" s="265" t="s">
        <v>6391</v>
      </c>
      <c r="T462" s="347">
        <v>2.2509999999999999</v>
      </c>
      <c r="U462" s="347">
        <v>24.9</v>
      </c>
      <c r="V462" s="348">
        <v>2.77</v>
      </c>
    </row>
    <row r="463" spans="1:22" ht="14.45" customHeight="1">
      <c r="A463" s="104" t="str">
        <f>IF(K463&gt;0,COUNT($A$8:A462)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3" s="112"/>
      <c r="C463" s="79"/>
      <c r="D463" s="208" t="s">
        <v>6392</v>
      </c>
      <c r="E463" s="171">
        <v>100024971</v>
      </c>
      <c r="F463" s="289" t="s">
        <v>6393</v>
      </c>
      <c r="G463" s="171">
        <v>10</v>
      </c>
      <c r="H463" s="171">
        <v>180</v>
      </c>
      <c r="I463" s="370">
        <f>_xlfn.XLOOKUP(E463,'All Products'!D:D,'All Products'!H:H)</f>
        <v>177.5</v>
      </c>
      <c r="J463" s="316">
        <f>ROUNDUP(I463*Order_Quote!$L$26,2)</f>
        <v>887.5</v>
      </c>
      <c r="K463" s="184"/>
      <c r="L463" s="116"/>
      <c r="M463" s="298">
        <f t="shared" si="12"/>
        <v>0</v>
      </c>
      <c r="O463" s="265" t="s">
        <v>359</v>
      </c>
      <c r="P463" s="265" t="s">
        <v>102</v>
      </c>
      <c r="Q463" s="265" t="s">
        <v>6394</v>
      </c>
      <c r="R463" s="265">
        <v>0</v>
      </c>
      <c r="S463" s="265" t="s">
        <v>6395</v>
      </c>
      <c r="T463" s="347">
        <v>1.8979999999999999</v>
      </c>
      <c r="U463" s="347">
        <v>19.690000000000001</v>
      </c>
      <c r="V463" s="348">
        <v>2.65</v>
      </c>
    </row>
    <row r="464" spans="1:22" ht="14.45" customHeight="1">
      <c r="A464" s="104" t="str">
        <f>IF(K464&gt;0,COUNT($A$8:A463)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4" s="112"/>
      <c r="C464" s="79"/>
      <c r="D464" s="208" t="s">
        <v>6396</v>
      </c>
      <c r="E464" s="171">
        <v>100024216</v>
      </c>
      <c r="F464" s="289" t="s">
        <v>6397</v>
      </c>
      <c r="G464" s="171">
        <v>10</v>
      </c>
      <c r="H464" s="171" t="s">
        <v>2803</v>
      </c>
      <c r="I464" s="370">
        <f>_xlfn.XLOOKUP(E464,'All Products'!D:D,'All Products'!H:H)</f>
        <v>177.5</v>
      </c>
      <c r="J464" s="316">
        <f>ROUNDUP(I464*Order_Quote!$L$26,2)</f>
        <v>887.5</v>
      </c>
      <c r="K464" s="184"/>
      <c r="L464" s="116"/>
      <c r="M464" s="298">
        <f t="shared" si="12"/>
        <v>0</v>
      </c>
      <c r="O464" s="265" t="s">
        <v>359</v>
      </c>
      <c r="P464" s="265" t="s">
        <v>102</v>
      </c>
      <c r="Q464" s="265" t="s">
        <v>6398</v>
      </c>
      <c r="R464" s="265">
        <v>0</v>
      </c>
      <c r="S464" s="265" t="s">
        <v>6399</v>
      </c>
      <c r="T464" s="347">
        <v>1.4710000000000001</v>
      </c>
      <c r="U464" s="347">
        <v>19.68</v>
      </c>
      <c r="V464" s="348">
        <v>2.11</v>
      </c>
    </row>
    <row r="465" spans="1:22" ht="14.45" customHeight="1">
      <c r="A465" s="104" t="str">
        <f>IF(K465&gt;0,COUNT($A$8:A464)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5" s="112"/>
      <c r="C465" s="79"/>
      <c r="D465" s="208" t="s">
        <v>6400</v>
      </c>
      <c r="E465" s="171">
        <v>100024248</v>
      </c>
      <c r="F465" s="289" t="s">
        <v>6369</v>
      </c>
      <c r="G465" s="171">
        <v>10</v>
      </c>
      <c r="H465" s="171">
        <v>180</v>
      </c>
      <c r="I465" s="370">
        <f>_xlfn.XLOOKUP(E465,'All Products'!D:D,'All Products'!H:H)</f>
        <v>177.5</v>
      </c>
      <c r="J465" s="316">
        <f>ROUNDUP(I465*Order_Quote!$L$26,2)</f>
        <v>887.5</v>
      </c>
      <c r="K465" s="184"/>
      <c r="L465" s="116"/>
      <c r="M465" s="298">
        <f t="shared" si="12"/>
        <v>0</v>
      </c>
      <c r="O465" s="265" t="s">
        <v>359</v>
      </c>
      <c r="P465" s="265" t="s">
        <v>102</v>
      </c>
      <c r="Q465" s="265" t="s">
        <v>6401</v>
      </c>
      <c r="R465" s="265">
        <v>0</v>
      </c>
      <c r="S465" s="265" t="s">
        <v>6402</v>
      </c>
      <c r="T465" s="347">
        <v>1.865</v>
      </c>
      <c r="U465" s="347">
        <v>20.5</v>
      </c>
      <c r="V465" s="348">
        <v>2.65</v>
      </c>
    </row>
    <row r="466" spans="1:22" ht="14.45" customHeight="1">
      <c r="A466" s="104" t="str">
        <f>IF(K466&gt;0,COUNT($A$8:A465)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6" s="112"/>
      <c r="C466" s="79"/>
      <c r="D466" s="208" t="s">
        <v>6403</v>
      </c>
      <c r="E466" s="171">
        <v>100024249</v>
      </c>
      <c r="F466" s="289" t="s">
        <v>6377</v>
      </c>
      <c r="G466" s="171">
        <v>10</v>
      </c>
      <c r="H466" s="171" t="s">
        <v>2803</v>
      </c>
      <c r="I466" s="370">
        <f>_xlfn.XLOOKUP(E466,'All Products'!D:D,'All Products'!H:H)</f>
        <v>188.57</v>
      </c>
      <c r="J466" s="316">
        <f>ROUNDUP(I466*Order_Quote!$L$26,2)</f>
        <v>942.85</v>
      </c>
      <c r="K466" s="184"/>
      <c r="L466" s="116"/>
      <c r="M466" s="298">
        <f t="shared" si="12"/>
        <v>0</v>
      </c>
      <c r="O466" s="265" t="s">
        <v>359</v>
      </c>
      <c r="P466" s="265" t="s">
        <v>102</v>
      </c>
      <c r="Q466" s="265" t="s">
        <v>6404</v>
      </c>
      <c r="R466" s="265">
        <v>0</v>
      </c>
      <c r="S466" s="265" t="s">
        <v>6405</v>
      </c>
      <c r="T466" s="347">
        <v>2.1389999999999998</v>
      </c>
      <c r="U466" s="347">
        <v>21</v>
      </c>
      <c r="V466" s="348">
        <v>0</v>
      </c>
    </row>
    <row r="467" spans="1:22" ht="14.45" customHeight="1">
      <c r="A467" s="104" t="str">
        <f>IF(K467&gt;0,COUNT($A$8:A466)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7" s="112"/>
      <c r="C467" s="79"/>
      <c r="D467" s="208" t="s">
        <v>6406</v>
      </c>
      <c r="E467" s="171">
        <v>100024401</v>
      </c>
      <c r="F467" s="289" t="s">
        <v>6407</v>
      </c>
      <c r="G467" s="171">
        <v>10</v>
      </c>
      <c r="H467" s="171">
        <v>180</v>
      </c>
      <c r="I467" s="370">
        <f>_xlfn.XLOOKUP(E467,'All Products'!D:D,'All Products'!H:H)</f>
        <v>214.32</v>
      </c>
      <c r="J467" s="316">
        <f>ROUNDUP(I467*Order_Quote!$L$26,2)</f>
        <v>1071.5999999999999</v>
      </c>
      <c r="K467" s="184"/>
      <c r="L467" s="116"/>
      <c r="M467" s="298">
        <f t="shared" si="12"/>
        <v>0</v>
      </c>
      <c r="O467" s="265" t="s">
        <v>359</v>
      </c>
      <c r="P467" s="265" t="s">
        <v>102</v>
      </c>
      <c r="Q467" s="265" t="s">
        <v>6408</v>
      </c>
      <c r="R467" s="265">
        <v>0</v>
      </c>
      <c r="S467" s="265" t="s">
        <v>6409</v>
      </c>
      <c r="T467" s="347">
        <v>2.234</v>
      </c>
      <c r="U467" s="347">
        <v>22.8</v>
      </c>
      <c r="V467" s="348">
        <v>2.65</v>
      </c>
    </row>
    <row r="468" spans="1:22" ht="14.45" customHeight="1">
      <c r="A468" s="104" t="str">
        <f>IF(K468&gt;0,COUNT($A$8:A467)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8" s="112"/>
      <c r="C468" s="79"/>
      <c r="D468" s="208" t="s">
        <v>6410</v>
      </c>
      <c r="E468" s="171">
        <v>100025026</v>
      </c>
      <c r="F468" s="289" t="s">
        <v>6411</v>
      </c>
      <c r="G468" s="171">
        <v>10</v>
      </c>
      <c r="H468" s="171">
        <v>180</v>
      </c>
      <c r="I468" s="370">
        <f>_xlfn.XLOOKUP(E468,'All Products'!D:D,'All Products'!H:H)</f>
        <v>214.32</v>
      </c>
      <c r="J468" s="316">
        <f>ROUNDUP(I468*Order_Quote!$L$26,2)</f>
        <v>1071.5999999999999</v>
      </c>
      <c r="K468" s="184"/>
      <c r="L468" s="116"/>
      <c r="M468" s="298">
        <f t="shared" si="12"/>
        <v>0</v>
      </c>
      <c r="O468" s="265" t="s">
        <v>76</v>
      </c>
      <c r="P468" s="265" t="s">
        <v>102</v>
      </c>
      <c r="Q468" s="265" t="s">
        <v>6412</v>
      </c>
      <c r="R468" s="265">
        <v>0</v>
      </c>
      <c r="S468" s="265" t="s">
        <v>6413</v>
      </c>
      <c r="T468" s="347">
        <v>2.2890000000000001</v>
      </c>
      <c r="U468" s="347">
        <v>24.17</v>
      </c>
      <c r="V468" s="348">
        <v>2.65</v>
      </c>
    </row>
    <row r="469" spans="1:22" ht="14.45" customHeight="1">
      <c r="A469" s="104" t="str">
        <f>IF(K469&gt;0,COUNT($A$8:A468)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69" s="112"/>
      <c r="C469" s="79"/>
      <c r="D469" s="208" t="s">
        <v>6414</v>
      </c>
      <c r="E469" s="171">
        <v>100024482</v>
      </c>
      <c r="F469" s="289" t="s">
        <v>6415</v>
      </c>
      <c r="G469" s="171">
        <v>10</v>
      </c>
      <c r="H469" s="171">
        <v>180</v>
      </c>
      <c r="I469" s="370">
        <f>_xlfn.XLOOKUP(E469,'All Products'!D:D,'All Products'!H:H)</f>
        <v>214.32</v>
      </c>
      <c r="J469" s="316">
        <f>ROUNDUP(I469*Order_Quote!$L$26,2)</f>
        <v>1071.5999999999999</v>
      </c>
      <c r="K469" s="184"/>
      <c r="L469" s="116"/>
      <c r="M469" s="298">
        <f t="shared" si="12"/>
        <v>0</v>
      </c>
      <c r="O469" s="265" t="s">
        <v>359</v>
      </c>
      <c r="P469" s="265" t="s">
        <v>102</v>
      </c>
      <c r="Q469" s="265" t="s">
        <v>6416</v>
      </c>
      <c r="R469" s="265">
        <v>0</v>
      </c>
      <c r="S469" s="265" t="s">
        <v>6417</v>
      </c>
      <c r="T469" s="347">
        <v>2.1280000000000001</v>
      </c>
      <c r="U469" s="347">
        <v>24.2</v>
      </c>
      <c r="V469" s="348">
        <v>2.65</v>
      </c>
    </row>
    <row r="470" spans="1:22" ht="14.45" customHeight="1">
      <c r="A470" s="104" t="str">
        <f>IF(K470&gt;0,COUNT($A$8:A469)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0" s="112"/>
      <c r="C470" s="79"/>
      <c r="D470" s="208" t="s">
        <v>6418</v>
      </c>
      <c r="E470" s="171">
        <v>100025031</v>
      </c>
      <c r="F470" s="289" t="s">
        <v>6419</v>
      </c>
      <c r="G470" s="171">
        <v>10</v>
      </c>
      <c r="H470" s="171">
        <v>180</v>
      </c>
      <c r="I470" s="370">
        <f>_xlfn.XLOOKUP(E470,'All Products'!D:D,'All Products'!H:H)</f>
        <v>214.32</v>
      </c>
      <c r="J470" s="316">
        <f>ROUNDUP(I470*Order_Quote!$L$26,2)</f>
        <v>1071.5999999999999</v>
      </c>
      <c r="K470" s="184"/>
      <c r="L470" s="116"/>
      <c r="M470" s="298">
        <f t="shared" si="12"/>
        <v>0</v>
      </c>
      <c r="O470" s="265" t="s">
        <v>359</v>
      </c>
      <c r="P470" s="265" t="s">
        <v>102</v>
      </c>
      <c r="Q470" s="265" t="s">
        <v>6420</v>
      </c>
      <c r="R470" s="265">
        <v>0</v>
      </c>
      <c r="S470" s="265" t="s">
        <v>6421</v>
      </c>
      <c r="T470" s="347">
        <v>2.234</v>
      </c>
      <c r="U470" s="347">
        <v>25.2</v>
      </c>
      <c r="V470" s="348">
        <v>2.65</v>
      </c>
    </row>
    <row r="471" spans="1:22" ht="14.45" customHeight="1">
      <c r="A471" s="104" t="str">
        <f>IF(K471&gt;0,COUNT($A$8:A470)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1" s="113"/>
      <c r="C471" s="114"/>
      <c r="D471" s="208" t="s">
        <v>6422</v>
      </c>
      <c r="E471" s="171">
        <v>100024483</v>
      </c>
      <c r="F471" s="289" t="s">
        <v>6423</v>
      </c>
      <c r="G471" s="171">
        <v>10</v>
      </c>
      <c r="H471" s="171" t="s">
        <v>2803</v>
      </c>
      <c r="I471" s="370">
        <f>_xlfn.XLOOKUP(E471,'All Products'!D:D,'All Products'!H:H)</f>
        <v>225.4</v>
      </c>
      <c r="J471" s="316">
        <f>ROUNDUP(I471*Order_Quote!$L$26,2)</f>
        <v>1127</v>
      </c>
      <c r="K471" s="184"/>
      <c r="L471" s="292"/>
      <c r="M471" s="298">
        <f t="shared" si="12"/>
        <v>0</v>
      </c>
      <c r="O471" s="265" t="s">
        <v>359</v>
      </c>
      <c r="P471" s="265" t="s">
        <v>102</v>
      </c>
      <c r="Q471" s="265" t="s">
        <v>6424</v>
      </c>
      <c r="R471" s="265">
        <v>0</v>
      </c>
      <c r="S471" s="265" t="s">
        <v>6425</v>
      </c>
      <c r="T471" s="347">
        <v>2.323</v>
      </c>
      <c r="U471" s="347">
        <v>12</v>
      </c>
      <c r="V471" s="348">
        <v>0</v>
      </c>
    </row>
    <row r="472" spans="1:22" ht="25.5" customHeight="1">
      <c r="A472" s="104" t="str">
        <f>IF(K472&gt;0,COUNT($A$8:A471)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2" s="242" t="s">
        <v>6426</v>
      </c>
      <c r="C472" s="44"/>
      <c r="D472" s="44"/>
      <c r="E472" s="44" t="e">
        <v>#N/A</v>
      </c>
      <c r="F472" s="44"/>
      <c r="G472" s="44"/>
      <c r="H472" s="44"/>
      <c r="I472" s="245" t="e">
        <f>_xlfn.XLOOKUP(E472,'All Products'!D:D,'All Products'!H:H)</f>
        <v>#N/A</v>
      </c>
      <c r="J472" s="245" t="e">
        <f>ROUNDUP(I472*Order_Quote!$L$26,2)</f>
        <v>#N/A</v>
      </c>
      <c r="K472" s="246"/>
      <c r="L472" s="243"/>
      <c r="M472" s="157"/>
      <c r="O472" s="44"/>
      <c r="P472" s="44"/>
    </row>
    <row r="473" spans="1:22" ht="14.45" customHeight="1">
      <c r="A473" s="104" t="str">
        <f>IF(K473&gt;0,COUNT($A$8:A472)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3" s="110"/>
      <c r="C473" s="111"/>
      <c r="D473" s="158" t="s">
        <v>6427</v>
      </c>
      <c r="E473" s="106">
        <v>100024909</v>
      </c>
      <c r="F473" s="159" t="s">
        <v>6428</v>
      </c>
      <c r="G473" s="106">
        <v>10</v>
      </c>
      <c r="H473" s="106">
        <v>240</v>
      </c>
      <c r="I473" s="153">
        <f>_xlfn.XLOOKUP(E473,'All Products'!D:D,'All Products'!H:H)</f>
        <v>215.18</v>
      </c>
      <c r="J473" s="205">
        <f>ROUNDUP(I473*Order_Quote!$L$26,2)</f>
        <v>1075.9000000000001</v>
      </c>
      <c r="K473" s="78"/>
      <c r="L473" s="291"/>
      <c r="M473" s="199">
        <f t="shared" ref="M473:M487" si="13">K473/G473</f>
        <v>0</v>
      </c>
      <c r="O473" s="265" t="s">
        <v>359</v>
      </c>
      <c r="P473" s="265" t="s">
        <v>102</v>
      </c>
      <c r="Q473" s="265" t="s">
        <v>6429</v>
      </c>
      <c r="R473" s="265">
        <v>0</v>
      </c>
      <c r="S473" s="265" t="s">
        <v>6430</v>
      </c>
      <c r="T473" s="347">
        <v>2.2999999999999998</v>
      </c>
      <c r="U473" s="347">
        <v>25.7</v>
      </c>
      <c r="V473" s="348">
        <v>2.77</v>
      </c>
    </row>
    <row r="474" spans="1:22" ht="14.45" customHeight="1">
      <c r="A474" s="104" t="str">
        <f>IF(K474&gt;0,COUNT($A$8:A473)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4" s="112"/>
      <c r="C474" s="79"/>
      <c r="D474" s="208" t="s">
        <v>6431</v>
      </c>
      <c r="E474" s="171">
        <v>100024887</v>
      </c>
      <c r="F474" s="289" t="s">
        <v>6432</v>
      </c>
      <c r="G474" s="171">
        <v>10</v>
      </c>
      <c r="H474" s="171">
        <v>750</v>
      </c>
      <c r="I474" s="370">
        <f>_xlfn.XLOOKUP(E474,'All Products'!D:D,'All Products'!H:H)</f>
        <v>132.65</v>
      </c>
      <c r="J474" s="316">
        <f>ROUNDUP(I474*Order_Quote!$L$26,2)</f>
        <v>663.25</v>
      </c>
      <c r="K474" s="184"/>
      <c r="L474" s="116"/>
      <c r="M474" s="298">
        <f t="shared" si="13"/>
        <v>0</v>
      </c>
      <c r="O474" s="265" t="s">
        <v>359</v>
      </c>
      <c r="P474" s="265" t="s">
        <v>102</v>
      </c>
      <c r="Q474" s="265" t="s">
        <v>6433</v>
      </c>
      <c r="R474" s="265">
        <v>0</v>
      </c>
      <c r="S474" s="265" t="s">
        <v>6434</v>
      </c>
      <c r="T474" s="347">
        <v>1.4710000000000001</v>
      </c>
      <c r="U474" s="347">
        <v>15.3</v>
      </c>
      <c r="V474" s="348">
        <v>1.1000000000000001</v>
      </c>
    </row>
    <row r="475" spans="1:22" ht="14.45" customHeight="1">
      <c r="A475" s="104" t="str">
        <f>IF(K475&gt;0,COUNT($A$8:A474)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5" s="112"/>
      <c r="C475" s="79"/>
      <c r="D475" s="208" t="s">
        <v>6435</v>
      </c>
      <c r="E475" s="171">
        <v>100023885</v>
      </c>
      <c r="F475" s="289" t="s">
        <v>6436</v>
      </c>
      <c r="G475" s="171">
        <v>10</v>
      </c>
      <c r="H475" s="171">
        <v>750</v>
      </c>
      <c r="I475" s="370">
        <f>_xlfn.XLOOKUP(E475,'All Products'!D:D,'All Products'!H:H)</f>
        <v>132.65</v>
      </c>
      <c r="J475" s="316">
        <f>ROUNDUP(I475*Order_Quote!$L$26,2)</f>
        <v>663.25</v>
      </c>
      <c r="K475" s="184"/>
      <c r="L475" s="116"/>
      <c r="M475" s="298">
        <f t="shared" si="13"/>
        <v>0</v>
      </c>
      <c r="O475" s="265" t="s">
        <v>359</v>
      </c>
      <c r="P475" s="265" t="s">
        <v>102</v>
      </c>
      <c r="Q475" s="265" t="s">
        <v>6437</v>
      </c>
      <c r="R475" s="265">
        <v>0</v>
      </c>
      <c r="S475" s="265" t="s">
        <v>6438</v>
      </c>
      <c r="T475" s="347">
        <v>1.4510000000000001</v>
      </c>
      <c r="U475" s="347">
        <v>14.6</v>
      </c>
      <c r="V475" s="348">
        <v>1.1000000000000001</v>
      </c>
    </row>
    <row r="476" spans="1:22" ht="14.45" customHeight="1">
      <c r="A476" s="104" t="str">
        <f>IF(K476&gt;0,COUNT($A$8:A475)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6" s="112"/>
      <c r="C476" s="79"/>
      <c r="D476" s="208" t="s">
        <v>6439</v>
      </c>
      <c r="E476" s="171">
        <v>100023886</v>
      </c>
      <c r="F476" s="289" t="s">
        <v>6440</v>
      </c>
      <c r="G476" s="171">
        <v>10</v>
      </c>
      <c r="H476" s="171" t="s">
        <v>2803</v>
      </c>
      <c r="I476" s="370">
        <f>_xlfn.XLOOKUP(E476,'All Products'!D:D,'All Products'!H:H)</f>
        <v>143.82</v>
      </c>
      <c r="J476" s="316">
        <f>ROUNDUP(I476*Order_Quote!$L$26,2)</f>
        <v>719.1</v>
      </c>
      <c r="K476" s="184"/>
      <c r="L476" s="116"/>
      <c r="M476" s="298">
        <f t="shared" si="13"/>
        <v>0</v>
      </c>
      <c r="O476" s="265" t="s">
        <v>359</v>
      </c>
      <c r="P476" s="265" t="s">
        <v>102</v>
      </c>
      <c r="Q476" s="265" t="s">
        <v>6441</v>
      </c>
      <c r="R476" s="265">
        <v>0</v>
      </c>
      <c r="S476" s="265" t="s">
        <v>6442</v>
      </c>
      <c r="T476" s="347">
        <v>1.4950000000000001</v>
      </c>
      <c r="U476" s="347">
        <v>15.3</v>
      </c>
      <c r="V476" s="348">
        <v>0</v>
      </c>
    </row>
    <row r="477" spans="1:22" ht="14.45" customHeight="1">
      <c r="A477" s="104" t="str">
        <f>IF(K477&gt;0,COUNT($A$8:A476)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7" s="112"/>
      <c r="C477" s="79"/>
      <c r="D477" s="208" t="s">
        <v>6443</v>
      </c>
      <c r="E477" s="171">
        <v>100023888</v>
      </c>
      <c r="F477" s="289" t="s">
        <v>6444</v>
      </c>
      <c r="G477" s="171">
        <v>10</v>
      </c>
      <c r="H477" s="171">
        <v>750</v>
      </c>
      <c r="I477" s="370">
        <f>_xlfn.XLOOKUP(E477,'All Products'!D:D,'All Products'!H:H)</f>
        <v>121.5</v>
      </c>
      <c r="J477" s="316">
        <f>ROUNDUP(I477*Order_Quote!$L$26,2)</f>
        <v>607.5</v>
      </c>
      <c r="K477" s="184"/>
      <c r="L477" s="116"/>
      <c r="M477" s="298">
        <f t="shared" si="13"/>
        <v>0</v>
      </c>
      <c r="O477" s="265" t="s">
        <v>359</v>
      </c>
      <c r="P477" s="265" t="s">
        <v>102</v>
      </c>
      <c r="Q477" s="265" t="s">
        <v>6445</v>
      </c>
      <c r="R477" s="265">
        <v>0</v>
      </c>
      <c r="S477" s="265" t="s">
        <v>6446</v>
      </c>
      <c r="T477" s="347">
        <v>1.298</v>
      </c>
      <c r="U477" s="347">
        <v>13.3</v>
      </c>
      <c r="V477" s="348">
        <v>1.1000000000000001</v>
      </c>
    </row>
    <row r="478" spans="1:22" ht="14.45" customHeight="1">
      <c r="A478" s="104" t="str">
        <f>IF(K478&gt;0,COUNT($A$8:A477)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8" s="112"/>
      <c r="C478" s="79"/>
      <c r="D478" s="208" t="s">
        <v>6447</v>
      </c>
      <c r="E478" s="171">
        <v>100024973</v>
      </c>
      <c r="F478" s="289" t="s">
        <v>6448</v>
      </c>
      <c r="G478" s="171">
        <v>10</v>
      </c>
      <c r="H478" s="171">
        <v>180</v>
      </c>
      <c r="I478" s="370">
        <f>_xlfn.XLOOKUP(E478,'All Products'!D:D,'All Products'!H:H)</f>
        <v>173.7</v>
      </c>
      <c r="J478" s="316">
        <f>ROUNDUP(I478*Order_Quote!$L$26,2)</f>
        <v>868.5</v>
      </c>
      <c r="K478" s="184"/>
      <c r="L478" s="116"/>
      <c r="M478" s="298">
        <f t="shared" si="13"/>
        <v>0</v>
      </c>
      <c r="O478" s="265" t="s">
        <v>359</v>
      </c>
      <c r="P478" s="265" t="s">
        <v>102</v>
      </c>
      <c r="Q478" s="265" t="s">
        <v>6449</v>
      </c>
      <c r="R478" s="265">
        <v>0</v>
      </c>
      <c r="S478" s="265" t="s">
        <v>6450</v>
      </c>
      <c r="T478" s="347">
        <v>1.982</v>
      </c>
      <c r="U478" s="347">
        <v>20.100000000000001</v>
      </c>
      <c r="V478" s="348">
        <v>2.65</v>
      </c>
    </row>
    <row r="479" spans="1:22" ht="14.45" customHeight="1">
      <c r="A479" s="104" t="str">
        <f>IF(K479&gt;0,COUNT($A$8:A478)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79" s="112"/>
      <c r="C479" s="79"/>
      <c r="D479" s="208" t="s">
        <v>6451</v>
      </c>
      <c r="E479" s="171">
        <v>100024220</v>
      </c>
      <c r="F479" s="289" t="s">
        <v>6452</v>
      </c>
      <c r="G479" s="171">
        <v>10</v>
      </c>
      <c r="H479" s="171" t="s">
        <v>2803</v>
      </c>
      <c r="I479" s="370">
        <f>_xlfn.XLOOKUP(E479,'All Products'!D:D,'All Products'!H:H)</f>
        <v>173.7</v>
      </c>
      <c r="J479" s="316">
        <f>ROUNDUP(I479*Order_Quote!$L$26,2)</f>
        <v>868.5</v>
      </c>
      <c r="K479" s="184"/>
      <c r="L479" s="116"/>
      <c r="M479" s="298">
        <f t="shared" si="13"/>
        <v>0</v>
      </c>
      <c r="O479" s="265" t="s">
        <v>359</v>
      </c>
      <c r="P479" s="265" t="s">
        <v>102</v>
      </c>
      <c r="Q479" s="265" t="s">
        <v>6453</v>
      </c>
      <c r="R479" s="265">
        <v>0</v>
      </c>
      <c r="S479" s="265" t="s">
        <v>6454</v>
      </c>
      <c r="T479" s="347">
        <v>1.5549999999999999</v>
      </c>
      <c r="U479" s="347">
        <v>18.46</v>
      </c>
      <c r="V479" s="348">
        <v>2.11</v>
      </c>
    </row>
    <row r="480" spans="1:22" ht="14.45" customHeight="1">
      <c r="A480" s="104" t="str">
        <f>IF(K480&gt;0,COUNT($A$8:A479)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0" s="112"/>
      <c r="C480" s="79"/>
      <c r="D480" s="208" t="s">
        <v>6455</v>
      </c>
      <c r="E480" s="171">
        <v>100024221</v>
      </c>
      <c r="F480" s="289" t="s">
        <v>6456</v>
      </c>
      <c r="G480" s="171">
        <v>10</v>
      </c>
      <c r="H480" s="171" t="s">
        <v>2803</v>
      </c>
      <c r="I480" s="370">
        <f>_xlfn.XLOOKUP(E480,'All Products'!D:D,'All Products'!H:H)</f>
        <v>173.7</v>
      </c>
      <c r="J480" s="316">
        <f>ROUNDUP(I480*Order_Quote!$L$26,2)</f>
        <v>868.5</v>
      </c>
      <c r="K480" s="184"/>
      <c r="L480" s="116"/>
      <c r="M480" s="298">
        <f t="shared" si="13"/>
        <v>0</v>
      </c>
      <c r="O480" s="265" t="s">
        <v>359</v>
      </c>
      <c r="P480" s="265" t="s">
        <v>102</v>
      </c>
      <c r="Q480" s="265" t="s">
        <v>6457</v>
      </c>
      <c r="R480" s="265">
        <v>0</v>
      </c>
      <c r="S480" s="265" t="s">
        <v>6458</v>
      </c>
      <c r="T480" s="347">
        <v>1.9419999999999999</v>
      </c>
      <c r="U480" s="347">
        <v>19.3</v>
      </c>
      <c r="V480" s="348">
        <v>2.11</v>
      </c>
    </row>
    <row r="481" spans="1:22" ht="14.45" customHeight="1">
      <c r="A481" s="104" t="str">
        <f>IF(K481&gt;0,COUNT($A$8:A480)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1" s="112"/>
      <c r="C481" s="79"/>
      <c r="D481" s="208" t="s">
        <v>6459</v>
      </c>
      <c r="E481" s="171">
        <v>100024402</v>
      </c>
      <c r="F481" s="289" t="s">
        <v>6460</v>
      </c>
      <c r="G481" s="171">
        <v>10</v>
      </c>
      <c r="H481" s="171">
        <v>180</v>
      </c>
      <c r="I481" s="370">
        <f>_xlfn.XLOOKUP(E481,'All Products'!D:D,'All Products'!H:H)</f>
        <v>210.6</v>
      </c>
      <c r="J481" s="316">
        <f>ROUNDUP(I481*Order_Quote!$L$26,2)</f>
        <v>1053</v>
      </c>
      <c r="K481" s="184"/>
      <c r="L481" s="116"/>
      <c r="M481" s="298">
        <f t="shared" si="13"/>
        <v>0</v>
      </c>
      <c r="O481" s="265" t="s">
        <v>359</v>
      </c>
      <c r="P481" s="265" t="s">
        <v>102</v>
      </c>
      <c r="Q481" s="265" t="s">
        <v>6461</v>
      </c>
      <c r="R481" s="265">
        <v>0</v>
      </c>
      <c r="S481" s="265" t="s">
        <v>6462</v>
      </c>
      <c r="T481" s="347">
        <v>2.2839999999999998</v>
      </c>
      <c r="U481" s="347">
        <v>24.04</v>
      </c>
      <c r="V481" s="348">
        <v>2.65</v>
      </c>
    </row>
    <row r="482" spans="1:22" ht="14.45" customHeight="1">
      <c r="A482" s="104" t="str">
        <f>IF(K482&gt;0,COUNT($A$8:A481)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2" s="112"/>
      <c r="C482" s="79"/>
      <c r="D482" s="208" t="s">
        <v>6463</v>
      </c>
      <c r="E482" s="171">
        <v>100025028</v>
      </c>
      <c r="F482" s="289" t="s">
        <v>6464</v>
      </c>
      <c r="G482" s="171">
        <v>10</v>
      </c>
      <c r="H482" s="171">
        <v>180</v>
      </c>
      <c r="I482" s="370">
        <f>_xlfn.XLOOKUP(E482,'All Products'!D:D,'All Products'!H:H)</f>
        <v>210.6</v>
      </c>
      <c r="J482" s="316">
        <f>ROUNDUP(I482*Order_Quote!$L$26,2)</f>
        <v>1053</v>
      </c>
      <c r="K482" s="184"/>
      <c r="L482" s="116"/>
      <c r="M482" s="298">
        <f t="shared" si="13"/>
        <v>0</v>
      </c>
      <c r="O482" s="265" t="s">
        <v>359</v>
      </c>
      <c r="P482" s="265" t="s">
        <v>102</v>
      </c>
      <c r="Q482" s="265" t="s">
        <v>6465</v>
      </c>
      <c r="R482" s="265">
        <v>0</v>
      </c>
      <c r="S482" s="265" t="s">
        <v>6466</v>
      </c>
      <c r="T482" s="347">
        <v>2.339</v>
      </c>
      <c r="U482" s="347">
        <v>24.54</v>
      </c>
      <c r="V482" s="348">
        <v>2.65</v>
      </c>
    </row>
    <row r="483" spans="1:22" ht="14.45" customHeight="1">
      <c r="A483" s="104" t="str">
        <f>IF(K483&gt;0,COUNT($A$8:A482)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3" s="112"/>
      <c r="C483" s="79"/>
      <c r="D483" s="208" t="s">
        <v>6467</v>
      </c>
      <c r="E483" s="171">
        <v>100024463</v>
      </c>
      <c r="F483" s="289" t="s">
        <v>6468</v>
      </c>
      <c r="G483" s="171">
        <v>1</v>
      </c>
      <c r="H483" s="171">
        <v>60</v>
      </c>
      <c r="I483" s="370">
        <f>_xlfn.XLOOKUP(E483,'All Products'!D:D,'All Products'!H:H)</f>
        <v>199.54</v>
      </c>
      <c r="J483" s="316">
        <f>ROUNDUP(I483*Order_Quote!$L$26,2)</f>
        <v>997.7</v>
      </c>
      <c r="K483" s="184"/>
      <c r="L483" s="116"/>
      <c r="M483" s="298">
        <f t="shared" si="13"/>
        <v>0</v>
      </c>
      <c r="O483" s="265" t="s">
        <v>359</v>
      </c>
      <c r="P483" s="265" t="s">
        <v>102</v>
      </c>
      <c r="Q483" s="265" t="s">
        <v>6469</v>
      </c>
      <c r="R483" s="265">
        <v>0</v>
      </c>
      <c r="S483" s="265" t="s">
        <v>6470</v>
      </c>
      <c r="T483" s="347">
        <v>2.0179999999999998</v>
      </c>
      <c r="U483" s="347">
        <v>20.9</v>
      </c>
      <c r="V483" s="348">
        <v>1.41</v>
      </c>
    </row>
    <row r="484" spans="1:22" ht="14.45" customHeight="1">
      <c r="A484" s="104" t="str">
        <f>IF(K484&gt;0,COUNT($A$8:A483)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4" s="112"/>
      <c r="C484" s="79"/>
      <c r="D484" s="208" t="s">
        <v>6471</v>
      </c>
      <c r="E484" s="171">
        <v>100024464</v>
      </c>
      <c r="F484" s="289" t="s">
        <v>6472</v>
      </c>
      <c r="G484" s="171">
        <v>10</v>
      </c>
      <c r="H484" s="171">
        <v>600</v>
      </c>
      <c r="I484" s="370">
        <f>_xlfn.XLOOKUP(E484,'All Products'!D:D,'All Products'!H:H)</f>
        <v>199.54</v>
      </c>
      <c r="J484" s="316">
        <f>ROUNDUP(I484*Order_Quote!$L$26,2)</f>
        <v>997.7</v>
      </c>
      <c r="K484" s="184"/>
      <c r="L484" s="116"/>
      <c r="M484" s="298">
        <f t="shared" si="13"/>
        <v>0</v>
      </c>
      <c r="O484" s="265" t="s">
        <v>359</v>
      </c>
      <c r="P484" s="265" t="s">
        <v>102</v>
      </c>
      <c r="Q484" s="265" t="s">
        <v>6473</v>
      </c>
      <c r="R484" s="265">
        <v>0</v>
      </c>
      <c r="S484" s="265" t="s">
        <v>6474</v>
      </c>
      <c r="T484" s="347">
        <v>2.1280000000000001</v>
      </c>
      <c r="U484" s="347">
        <v>21.7</v>
      </c>
      <c r="V484" s="348">
        <v>1.41</v>
      </c>
    </row>
    <row r="485" spans="1:22" ht="14.45" customHeight="1">
      <c r="A485" s="104" t="str">
        <f>IF(K485&gt;0,COUNT($A$8:A484)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5" s="112"/>
      <c r="C485" s="79"/>
      <c r="D485" s="208" t="s">
        <v>6475</v>
      </c>
      <c r="E485" s="171">
        <v>100024486</v>
      </c>
      <c r="F485" s="289" t="s">
        <v>6476</v>
      </c>
      <c r="G485" s="171">
        <v>10</v>
      </c>
      <c r="H485" s="171" t="s">
        <v>2803</v>
      </c>
      <c r="I485" s="370">
        <f>_xlfn.XLOOKUP(E485,'All Products'!D:D,'All Products'!H:H)</f>
        <v>210.6</v>
      </c>
      <c r="J485" s="316">
        <f>ROUNDUP(I485*Order_Quote!$L$26,2)</f>
        <v>1053</v>
      </c>
      <c r="K485" s="184"/>
      <c r="L485" s="116"/>
      <c r="M485" s="298">
        <f t="shared" si="13"/>
        <v>0</v>
      </c>
      <c r="O485" s="265" t="s">
        <v>359</v>
      </c>
      <c r="P485" s="265" t="s">
        <v>102</v>
      </c>
      <c r="Q485" s="265" t="s">
        <v>6477</v>
      </c>
      <c r="R485" s="265">
        <v>0</v>
      </c>
      <c r="S485" s="265" t="s">
        <v>6478</v>
      </c>
      <c r="T485" s="347">
        <v>2.1779999999999999</v>
      </c>
      <c r="U485" s="347">
        <v>23.3</v>
      </c>
      <c r="V485" s="348">
        <v>0</v>
      </c>
    </row>
    <row r="486" spans="1:22" ht="14.45" customHeight="1">
      <c r="A486" s="104" t="str">
        <f>IF(K486&gt;0,COUNT($A$8:A485)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6" s="112"/>
      <c r="C486" s="79"/>
      <c r="D486" s="208" t="s">
        <v>6479</v>
      </c>
      <c r="E486" s="171">
        <v>100024487</v>
      </c>
      <c r="F486" s="289" t="s">
        <v>6480</v>
      </c>
      <c r="G486" s="171">
        <v>10</v>
      </c>
      <c r="H486" s="171" t="s">
        <v>2803</v>
      </c>
      <c r="I486" s="370">
        <f>_xlfn.XLOOKUP(E486,'All Products'!D:D,'All Products'!H:H)</f>
        <v>210.6</v>
      </c>
      <c r="J486" s="316">
        <f>ROUNDUP(I486*Order_Quote!$L$26,2)</f>
        <v>1053</v>
      </c>
      <c r="K486" s="184"/>
      <c r="L486" s="116"/>
      <c r="M486" s="298">
        <f t="shared" si="13"/>
        <v>0</v>
      </c>
      <c r="O486" s="265" t="s">
        <v>359</v>
      </c>
      <c r="P486" s="265" t="s">
        <v>102</v>
      </c>
      <c r="Q486" s="265" t="s">
        <v>6481</v>
      </c>
      <c r="R486" s="265">
        <v>0</v>
      </c>
      <c r="S486" s="265" t="s">
        <v>6482</v>
      </c>
      <c r="T486" s="347">
        <v>2.2839999999999998</v>
      </c>
      <c r="U486" s="347">
        <v>24.6</v>
      </c>
      <c r="V486" s="348">
        <v>0</v>
      </c>
    </row>
    <row r="487" spans="1:22" ht="14.45" customHeight="1">
      <c r="A487" s="104" t="str">
        <f>IF(K487&gt;0,COUNT($A$8:A486)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7" s="113"/>
      <c r="C487" s="114"/>
      <c r="D487" s="208" t="s">
        <v>6483</v>
      </c>
      <c r="E487" s="171">
        <v>100024488</v>
      </c>
      <c r="F487" s="289" t="s">
        <v>6484</v>
      </c>
      <c r="G487" s="171">
        <v>10</v>
      </c>
      <c r="H487" s="171" t="s">
        <v>2803</v>
      </c>
      <c r="I487" s="370">
        <f>_xlfn.XLOOKUP(E487,'All Products'!D:D,'All Products'!H:H)</f>
        <v>221.64</v>
      </c>
      <c r="J487" s="316">
        <f>ROUNDUP(I487*Order_Quote!$L$26,2)</f>
        <v>1108.2</v>
      </c>
      <c r="K487" s="184"/>
      <c r="L487" s="292"/>
      <c r="M487" s="298">
        <f t="shared" si="13"/>
        <v>0</v>
      </c>
      <c r="O487" s="265" t="s">
        <v>359</v>
      </c>
      <c r="P487" s="265" t="s">
        <v>102</v>
      </c>
      <c r="Q487" s="265" t="s">
        <v>6485</v>
      </c>
      <c r="R487" s="265">
        <v>0</v>
      </c>
      <c r="S487" s="265" t="s">
        <v>6486</v>
      </c>
      <c r="T487" s="347">
        <v>2.3730000000000002</v>
      </c>
      <c r="U487" s="347">
        <v>12</v>
      </c>
      <c r="V487" s="348">
        <v>0</v>
      </c>
    </row>
    <row r="488" spans="1:22" ht="25.5" customHeight="1">
      <c r="A488" s="104" t="str">
        <f>IF(K488&gt;0,COUNT($A$8:A487)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8" s="242" t="s">
        <v>6487</v>
      </c>
      <c r="C488" s="44"/>
      <c r="D488" s="44"/>
      <c r="E488" s="44" t="e">
        <v>#N/A</v>
      </c>
      <c r="F488" s="44"/>
      <c r="G488" s="44"/>
      <c r="H488" s="44"/>
      <c r="I488" s="245" t="e">
        <f>_xlfn.XLOOKUP(E488,'All Products'!D:D,'All Products'!H:H)</f>
        <v>#N/A</v>
      </c>
      <c r="J488" s="245" t="e">
        <f>ROUNDUP(I488*Order_Quote!$L$26,2)</f>
        <v>#N/A</v>
      </c>
      <c r="K488" s="246"/>
      <c r="L488" s="243"/>
      <c r="M488" s="157"/>
      <c r="O488" s="44"/>
      <c r="P488" s="44"/>
    </row>
    <row r="489" spans="1:22" ht="67.5" customHeight="1">
      <c r="A489" s="104" t="str">
        <f>IF(K489&gt;0,COUNT($A$8:A488)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89" s="202"/>
      <c r="C489" s="203"/>
      <c r="D489" s="158" t="s">
        <v>6488</v>
      </c>
      <c r="E489" s="106">
        <v>100024451</v>
      </c>
      <c r="F489" s="159" t="s">
        <v>6489</v>
      </c>
      <c r="G489" s="106">
        <v>10</v>
      </c>
      <c r="H489" s="106">
        <v>180</v>
      </c>
      <c r="I489" s="153">
        <f>_xlfn.XLOOKUP(E489,'All Products'!D:D,'All Products'!H:H)</f>
        <v>302.60000000000002</v>
      </c>
      <c r="J489" s="205">
        <f>ROUNDUP(I489*Order_Quote!$L$26,2)</f>
        <v>1513</v>
      </c>
      <c r="K489" s="78"/>
      <c r="L489" s="196"/>
      <c r="M489" s="199">
        <f>K489/G489</f>
        <v>0</v>
      </c>
      <c r="O489" s="265" t="s">
        <v>359</v>
      </c>
      <c r="P489" s="265" t="s">
        <v>102</v>
      </c>
      <c r="Q489" s="265" t="s">
        <v>6490</v>
      </c>
      <c r="R489" s="265">
        <v>0</v>
      </c>
      <c r="S489" s="265" t="s">
        <v>6491</v>
      </c>
      <c r="T489" s="347">
        <v>1.73</v>
      </c>
      <c r="U489" s="347">
        <v>33.799999999999997</v>
      </c>
      <c r="V489" s="348">
        <v>4.38</v>
      </c>
    </row>
    <row r="490" spans="1:22" ht="25.5" customHeight="1">
      <c r="A490" s="104" t="str">
        <f>IF(K490&gt;0,COUNT($A$8:A489)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0" s="242" t="s">
        <v>6492</v>
      </c>
      <c r="C490" s="44"/>
      <c r="D490" s="44"/>
      <c r="E490" s="44" t="e">
        <v>#N/A</v>
      </c>
      <c r="F490" s="44"/>
      <c r="G490" s="44"/>
      <c r="H490" s="44"/>
      <c r="I490" s="245" t="e">
        <f>_xlfn.XLOOKUP(E490,'All Products'!D:D,'All Products'!H:H)</f>
        <v>#N/A</v>
      </c>
      <c r="J490" s="245" t="e">
        <f>ROUNDUP(I490*Order_Quote!$L$26,2)</f>
        <v>#N/A</v>
      </c>
      <c r="K490" s="246"/>
      <c r="L490" s="243"/>
      <c r="M490" s="157"/>
      <c r="O490" s="44"/>
      <c r="P490" s="44"/>
    </row>
    <row r="491" spans="1:22" ht="18" customHeight="1">
      <c r="A491" s="104" t="str">
        <f>IF(K491&gt;0,COUNT($A$8:A490)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1" s="110"/>
      <c r="C491" s="111"/>
      <c r="D491" s="158" t="s">
        <v>6493</v>
      </c>
      <c r="E491" s="106">
        <v>100023782</v>
      </c>
      <c r="F491" s="159" t="s">
        <v>6494</v>
      </c>
      <c r="G491" s="106">
        <v>10</v>
      </c>
      <c r="H491" s="106">
        <v>750</v>
      </c>
      <c r="I491" s="153">
        <f>_xlfn.XLOOKUP(E491,'All Products'!D:D,'All Products'!H:H)</f>
        <v>246.94</v>
      </c>
      <c r="J491" s="205">
        <f>ROUNDUP(I491*Order_Quote!$L$26,2)</f>
        <v>1234.7</v>
      </c>
      <c r="K491" s="78"/>
      <c r="L491" s="291"/>
      <c r="M491" s="199">
        <f>K491/G491</f>
        <v>0</v>
      </c>
      <c r="O491" s="265" t="s">
        <v>359</v>
      </c>
      <c r="P491" s="265" t="s">
        <v>102</v>
      </c>
      <c r="Q491" s="265" t="s">
        <v>6495</v>
      </c>
      <c r="R491" s="265">
        <v>0</v>
      </c>
      <c r="S491" s="265" t="s">
        <v>6496</v>
      </c>
      <c r="T491" s="347">
        <v>2.23</v>
      </c>
      <c r="U491" s="347">
        <v>22.3</v>
      </c>
      <c r="V491" s="348">
        <v>1.1000000000000001</v>
      </c>
    </row>
    <row r="492" spans="1:22" ht="18" customHeight="1">
      <c r="A492" s="104" t="str">
        <f>IF(K492&gt;0,COUNT($A$8:A491)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2" s="112"/>
      <c r="C492" s="79"/>
      <c r="D492" s="208" t="s">
        <v>6497</v>
      </c>
      <c r="E492" s="171">
        <v>100024001</v>
      </c>
      <c r="F492" s="289" t="s">
        <v>6498</v>
      </c>
      <c r="G492" s="171">
        <v>10</v>
      </c>
      <c r="H492" s="171" t="s">
        <v>2803</v>
      </c>
      <c r="I492" s="370">
        <f>_xlfn.XLOOKUP(E492,'All Products'!D:D,'All Products'!H:H)</f>
        <v>136.44999999999999</v>
      </c>
      <c r="J492" s="316">
        <f>ROUNDUP(I492*Order_Quote!$L$26,2)</f>
        <v>682.25</v>
      </c>
      <c r="K492" s="184"/>
      <c r="L492" s="116"/>
      <c r="M492" s="298">
        <f>K492/G492</f>
        <v>0</v>
      </c>
      <c r="O492" s="265" t="s">
        <v>359</v>
      </c>
      <c r="P492" s="265" t="s">
        <v>102</v>
      </c>
      <c r="Q492" s="265" t="s">
        <v>6499</v>
      </c>
      <c r="R492" s="265">
        <v>0</v>
      </c>
      <c r="S492" s="265" t="s">
        <v>6500</v>
      </c>
      <c r="T492" s="347">
        <v>1.4330000000000001</v>
      </c>
      <c r="U492" s="347">
        <v>1.7</v>
      </c>
      <c r="V492" s="348">
        <v>17</v>
      </c>
    </row>
    <row r="493" spans="1:22" ht="18" customHeight="1">
      <c r="A493" s="104" t="str">
        <f>IF(K493&gt;0,COUNT($A$8:A492)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3" s="112"/>
      <c r="C493" s="79"/>
      <c r="D493" s="208" t="s">
        <v>6501</v>
      </c>
      <c r="E493" s="171">
        <v>100024003</v>
      </c>
      <c r="F493" s="289" t="s">
        <v>6502</v>
      </c>
      <c r="G493" s="171">
        <v>10</v>
      </c>
      <c r="H493" s="171">
        <v>900</v>
      </c>
      <c r="I493" s="370">
        <f>_xlfn.XLOOKUP(E493,'All Products'!D:D,'All Products'!H:H)</f>
        <v>136.44999999999999</v>
      </c>
      <c r="J493" s="316">
        <f>ROUNDUP(I493*Order_Quote!$L$26,2)</f>
        <v>682.25</v>
      </c>
      <c r="K493" s="184"/>
      <c r="L493" s="116"/>
      <c r="M493" s="298">
        <f>K493/G493</f>
        <v>0</v>
      </c>
      <c r="O493" s="265" t="s">
        <v>359</v>
      </c>
      <c r="P493" s="265" t="s">
        <v>102</v>
      </c>
      <c r="Q493" s="265" t="s">
        <v>6503</v>
      </c>
      <c r="R493" s="265">
        <v>0</v>
      </c>
      <c r="S493" s="265" t="s">
        <v>6504</v>
      </c>
      <c r="T493" s="347">
        <v>1.427</v>
      </c>
      <c r="U493" s="347">
        <v>15.8</v>
      </c>
      <c r="V493" s="348">
        <v>0.8</v>
      </c>
    </row>
    <row r="494" spans="1:22" ht="18" customHeight="1">
      <c r="A494" s="104" t="str">
        <f>IF(K494&gt;0,COUNT($A$8:A493)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4" s="112"/>
      <c r="C494" s="79"/>
      <c r="D494" s="208" t="s">
        <v>6505</v>
      </c>
      <c r="E494" s="171">
        <v>100024272</v>
      </c>
      <c r="F494" s="289" t="s">
        <v>6506</v>
      </c>
      <c r="G494" s="171">
        <v>10</v>
      </c>
      <c r="H494" s="171">
        <v>750</v>
      </c>
      <c r="I494" s="370">
        <f>_xlfn.XLOOKUP(E494,'All Products'!D:D,'All Products'!H:H)</f>
        <v>169.43</v>
      </c>
      <c r="J494" s="316">
        <f>ROUNDUP(I494*Order_Quote!$L$26,2)</f>
        <v>847.15</v>
      </c>
      <c r="K494" s="184"/>
      <c r="L494" s="116"/>
      <c r="M494" s="298">
        <f>K494/G494</f>
        <v>0</v>
      </c>
      <c r="O494" s="265" t="s">
        <v>359</v>
      </c>
      <c r="P494" s="265" t="s">
        <v>102</v>
      </c>
      <c r="Q494" s="265" t="s">
        <v>6507</v>
      </c>
      <c r="R494" s="265">
        <v>0</v>
      </c>
      <c r="S494" s="265" t="s">
        <v>6508</v>
      </c>
      <c r="T494" s="347">
        <v>1.9179999999999999</v>
      </c>
      <c r="U494" s="347">
        <v>21.26</v>
      </c>
      <c r="V494" s="348">
        <v>1.1000000000000001</v>
      </c>
    </row>
    <row r="495" spans="1:22" ht="18" customHeight="1">
      <c r="A495" s="104" t="str">
        <f>IF(K495&gt;0,COUNT($A$8:A494)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+1,"")</f>
        <v/>
      </c>
      <c r="B495" s="113"/>
      <c r="C495" s="114"/>
      <c r="D495" s="208" t="s">
        <v>6509</v>
      </c>
      <c r="E495" s="171">
        <v>100024528</v>
      </c>
      <c r="F495" s="289" t="s">
        <v>6510</v>
      </c>
      <c r="G495" s="171">
        <v>10</v>
      </c>
      <c r="H495" s="171">
        <v>180</v>
      </c>
      <c r="I495" s="370">
        <f>_xlfn.XLOOKUP(E495,'All Products'!D:D,'All Products'!H:H)</f>
        <v>205.79</v>
      </c>
      <c r="J495" s="316">
        <f>ROUNDUP(I495*Order_Quote!$L$26,2)</f>
        <v>1028.95</v>
      </c>
      <c r="K495" s="184"/>
      <c r="L495" s="292"/>
      <c r="M495" s="298">
        <f>K495/G495</f>
        <v>0</v>
      </c>
      <c r="O495" s="265" t="s">
        <v>359</v>
      </c>
      <c r="P495" s="265" t="s">
        <v>102</v>
      </c>
      <c r="Q495" s="265" t="s">
        <v>6511</v>
      </c>
      <c r="R495" s="265">
        <v>0</v>
      </c>
      <c r="S495" s="265" t="s">
        <v>6512</v>
      </c>
      <c r="T495" s="347">
        <v>2.7759999999999998</v>
      </c>
      <c r="U495" s="347">
        <v>29.64</v>
      </c>
      <c r="V495" s="348">
        <v>2.65</v>
      </c>
    </row>
    <row r="496" spans="1:22" ht="15" customHeight="1">
      <c r="A496" s="104">
        <f>MAX(A9:A495)+1</f>
        <v>1</v>
      </c>
    </row>
    <row r="497" spans="1:4" s="152" customFormat="1" ht="15" hidden="1" customHeight="1">
      <c r="A497" s="323"/>
      <c r="D497" s="154"/>
    </row>
    <row r="498" spans="1:4" s="152" customFormat="1" ht="15" hidden="1" customHeight="1">
      <c r="A498" s="323"/>
      <c r="D498" s="154"/>
    </row>
    <row r="499" spans="1:4" s="152" customFormat="1" ht="15" hidden="1" customHeight="1">
      <c r="A499" s="323"/>
      <c r="D499" s="154"/>
    </row>
    <row r="500" spans="1:4" s="152" customFormat="1" ht="15" hidden="1" customHeight="1">
      <c r="A500" s="323"/>
      <c r="D500" s="154"/>
    </row>
    <row r="501" spans="1:4" s="152" customFormat="1" ht="15" hidden="1" customHeight="1">
      <c r="A501" s="323"/>
      <c r="D501" s="154"/>
    </row>
    <row r="502" spans="1:4" s="152" customFormat="1" ht="15" hidden="1" customHeight="1">
      <c r="A502" s="323"/>
      <c r="D502" s="154"/>
    </row>
    <row r="503" spans="1:4" s="152" customFormat="1" ht="15" hidden="1" customHeight="1">
      <c r="A503" s="323"/>
      <c r="D503" s="154"/>
    </row>
    <row r="504" spans="1:4" s="152" customFormat="1" ht="15" hidden="1" customHeight="1">
      <c r="A504" s="323"/>
      <c r="D504" s="154"/>
    </row>
    <row r="505" spans="1:4" s="152" customFormat="1" ht="15" hidden="1" customHeight="1">
      <c r="A505" s="323"/>
      <c r="D505" s="154"/>
    </row>
    <row r="506" spans="1:4" s="152" customFormat="1" ht="15" hidden="1" customHeight="1">
      <c r="A506" s="323"/>
      <c r="D506" s="154"/>
    </row>
    <row r="507" spans="1:4" s="152" customFormat="1" ht="15" hidden="1" customHeight="1">
      <c r="A507" s="323"/>
      <c r="D507" s="154"/>
    </row>
    <row r="508" spans="1:4" s="152" customFormat="1" ht="15" hidden="1" customHeight="1">
      <c r="A508" s="323"/>
      <c r="D508" s="154"/>
    </row>
    <row r="509" spans="1:4" s="152" customFormat="1" ht="15" hidden="1" customHeight="1">
      <c r="A509" s="323"/>
      <c r="D509" s="154"/>
    </row>
    <row r="510" spans="1:4" s="152" customFormat="1" ht="15" hidden="1" customHeight="1">
      <c r="A510" s="323"/>
      <c r="D510" s="154"/>
    </row>
    <row r="511" spans="1:4" s="152" customFormat="1" ht="15" hidden="1" customHeight="1">
      <c r="A511" s="323"/>
      <c r="D511" s="154"/>
    </row>
    <row r="512" spans="1:4" s="152" customFormat="1" ht="15" hidden="1" customHeight="1">
      <c r="A512" s="323"/>
      <c r="D512" s="154"/>
    </row>
    <row r="513" spans="1:4" s="152" customFormat="1" ht="15" hidden="1" customHeight="1">
      <c r="A513" s="323"/>
      <c r="D513" s="154"/>
    </row>
    <row r="514" spans="1:4" s="152" customFormat="1" ht="15" hidden="1" customHeight="1">
      <c r="A514" s="323"/>
      <c r="D514" s="154"/>
    </row>
    <row r="515" spans="1:4" s="152" customFormat="1" ht="15" hidden="1" customHeight="1">
      <c r="A515" s="323"/>
      <c r="D515" s="154"/>
    </row>
    <row r="516" spans="1:4" s="152" customFormat="1" ht="15" hidden="1" customHeight="1">
      <c r="A516" s="323"/>
      <c r="D516" s="154"/>
    </row>
    <row r="517" spans="1:4" s="152" customFormat="1" ht="15" hidden="1" customHeight="1">
      <c r="A517" s="323"/>
      <c r="D517" s="154"/>
    </row>
    <row r="518" spans="1:4" s="152" customFormat="1" ht="15" hidden="1" customHeight="1">
      <c r="A518" s="323"/>
      <c r="D518" s="154"/>
    </row>
    <row r="519" spans="1:4" s="152" customFormat="1" ht="15" hidden="1" customHeight="1">
      <c r="A519" s="323"/>
      <c r="D519" s="154"/>
    </row>
    <row r="520" spans="1:4" s="152" customFormat="1" ht="15" hidden="1" customHeight="1">
      <c r="A520" s="323"/>
      <c r="D520" s="154"/>
    </row>
    <row r="521" spans="1:4" s="152" customFormat="1" ht="15" hidden="1" customHeight="1">
      <c r="A521" s="323"/>
      <c r="D521" s="154"/>
    </row>
    <row r="522" spans="1:4" s="152" customFormat="1" ht="15" hidden="1" customHeight="1">
      <c r="A522" s="323"/>
      <c r="D522" s="154"/>
    </row>
    <row r="523" spans="1:4" s="152" customFormat="1" ht="15" hidden="1" customHeight="1">
      <c r="A523" s="323"/>
      <c r="D523" s="154"/>
    </row>
    <row r="524" spans="1:4" s="152" customFormat="1" ht="15" hidden="1" customHeight="1">
      <c r="A524" s="323"/>
      <c r="D524" s="154"/>
    </row>
    <row r="525" spans="1:4" s="152" customFormat="1" ht="15" hidden="1" customHeight="1">
      <c r="A525" s="323"/>
      <c r="D525" s="154"/>
    </row>
    <row r="526" spans="1:4" s="152" customFormat="1" ht="15" hidden="1" customHeight="1">
      <c r="A526" s="323"/>
      <c r="D526" s="154"/>
    </row>
    <row r="527" spans="1:4" s="152" customFormat="1" ht="15" hidden="1" customHeight="1">
      <c r="A527" s="323"/>
      <c r="D527" s="154"/>
    </row>
    <row r="528" spans="1:4" s="152" customFormat="1" ht="15" hidden="1" customHeight="1">
      <c r="A528" s="323"/>
      <c r="D528" s="154"/>
    </row>
    <row r="529" spans="1:4" s="152" customFormat="1" ht="15" hidden="1" customHeight="1">
      <c r="A529" s="323"/>
      <c r="D529" s="154"/>
    </row>
    <row r="530" spans="1:4" s="152" customFormat="1" ht="15" hidden="1" customHeight="1">
      <c r="A530" s="323"/>
      <c r="D530" s="154"/>
    </row>
    <row r="531" spans="1:4" s="152" customFormat="1" ht="15" hidden="1" customHeight="1">
      <c r="A531" s="323"/>
      <c r="D531" s="154"/>
    </row>
    <row r="532" spans="1:4" s="152" customFormat="1" ht="15" hidden="1" customHeight="1">
      <c r="A532" s="323"/>
      <c r="D532" s="154"/>
    </row>
    <row r="533" spans="1:4" s="152" customFormat="1" ht="15" hidden="1" customHeight="1">
      <c r="A533" s="323"/>
      <c r="D533" s="154"/>
    </row>
    <row r="534" spans="1:4" s="152" customFormat="1" ht="15" hidden="1" customHeight="1">
      <c r="A534" s="323"/>
      <c r="D534" s="154"/>
    </row>
    <row r="535" spans="1:4" s="152" customFormat="1" ht="15" hidden="1" customHeight="1">
      <c r="A535" s="323"/>
      <c r="D535" s="154"/>
    </row>
    <row r="536" spans="1:4" s="152" customFormat="1" ht="15" hidden="1" customHeight="1">
      <c r="A536" s="323"/>
      <c r="D536" s="154"/>
    </row>
    <row r="537" spans="1:4" s="152" customFormat="1" ht="15" hidden="1" customHeight="1">
      <c r="A537" s="323"/>
      <c r="D537" s="154"/>
    </row>
    <row r="538" spans="1:4" s="152" customFormat="1" ht="15" hidden="1" customHeight="1">
      <c r="A538" s="323"/>
      <c r="D538" s="154"/>
    </row>
    <row r="539" spans="1:4" s="152" customFormat="1" ht="15" hidden="1" customHeight="1">
      <c r="A539" s="323"/>
      <c r="D539" s="154"/>
    </row>
    <row r="540" spans="1:4" s="152" customFormat="1" ht="15" hidden="1" customHeight="1">
      <c r="A540" s="323"/>
      <c r="D540" s="154"/>
    </row>
    <row r="541" spans="1:4" s="152" customFormat="1" ht="15" hidden="1" customHeight="1">
      <c r="A541" s="323"/>
      <c r="D541" s="154"/>
    </row>
    <row r="542" spans="1:4" s="152" customFormat="1" ht="15" hidden="1" customHeight="1">
      <c r="A542" s="323"/>
      <c r="D542" s="154"/>
    </row>
    <row r="543" spans="1:4" s="152" customFormat="1" ht="15" hidden="1" customHeight="1">
      <c r="A543" s="323"/>
      <c r="D543" s="154"/>
    </row>
    <row r="544" spans="1:4" s="152" customFormat="1" ht="15" hidden="1" customHeight="1">
      <c r="A544" s="323"/>
      <c r="D544" s="154"/>
    </row>
    <row r="545" spans="1:4" s="152" customFormat="1" ht="15" hidden="1" customHeight="1">
      <c r="A545" s="323"/>
      <c r="D545" s="154"/>
    </row>
    <row r="546" spans="1:4" s="152" customFormat="1" ht="15" hidden="1" customHeight="1">
      <c r="A546" s="323"/>
      <c r="D546" s="154"/>
    </row>
    <row r="547" spans="1:4" s="152" customFormat="1" ht="15" hidden="1" customHeight="1">
      <c r="A547" s="323"/>
      <c r="D547" s="154"/>
    </row>
    <row r="548" spans="1:4" s="152" customFormat="1" ht="15" hidden="1" customHeight="1">
      <c r="A548" s="323"/>
      <c r="D548" s="154"/>
    </row>
    <row r="549" spans="1:4" s="152" customFormat="1" ht="15" hidden="1" customHeight="1">
      <c r="A549" s="323"/>
      <c r="D549" s="154"/>
    </row>
    <row r="550" spans="1:4" s="152" customFormat="1" ht="15" hidden="1" customHeight="1">
      <c r="A550" s="323"/>
      <c r="D550" s="154"/>
    </row>
    <row r="551" spans="1:4" s="152" customFormat="1" ht="15" hidden="1" customHeight="1">
      <c r="A551" s="323"/>
      <c r="D551" s="154"/>
    </row>
    <row r="552" spans="1:4" s="152" customFormat="1" ht="15" hidden="1" customHeight="1">
      <c r="A552" s="323"/>
      <c r="D552" s="154"/>
    </row>
    <row r="553" spans="1:4" s="152" customFormat="1" ht="15" hidden="1" customHeight="1">
      <c r="A553" s="323"/>
      <c r="D553" s="154"/>
    </row>
    <row r="554" spans="1:4" s="152" customFormat="1" ht="15" hidden="1" customHeight="1">
      <c r="A554" s="323"/>
      <c r="D554" s="154"/>
    </row>
    <row r="555" spans="1:4" s="152" customFormat="1" ht="15" hidden="1" customHeight="1">
      <c r="A555" s="323"/>
      <c r="D555" s="154"/>
    </row>
    <row r="556" spans="1:4" s="152" customFormat="1" ht="15" hidden="1" customHeight="1">
      <c r="A556" s="323"/>
      <c r="D556" s="154"/>
    </row>
    <row r="557" spans="1:4" s="152" customFormat="1" ht="15" hidden="1" customHeight="1">
      <c r="A557" s="323"/>
      <c r="D557" s="154"/>
    </row>
    <row r="558" spans="1:4" s="152" customFormat="1" ht="15" hidden="1" customHeight="1">
      <c r="A558" s="323"/>
      <c r="D558" s="154"/>
    </row>
    <row r="559" spans="1:4" s="152" customFormat="1" ht="15" hidden="1" customHeight="1">
      <c r="A559" s="323"/>
      <c r="D559" s="154"/>
    </row>
    <row r="560" spans="1:4" s="152" customFormat="1" ht="15" hidden="1" customHeight="1">
      <c r="A560" s="323"/>
      <c r="D560" s="154"/>
    </row>
    <row r="561" spans="1:4" s="152" customFormat="1" ht="15" hidden="1" customHeight="1">
      <c r="A561" s="323"/>
      <c r="D561" s="154"/>
    </row>
    <row r="562" spans="1:4" s="152" customFormat="1" ht="15" hidden="1" customHeight="1">
      <c r="A562" s="323"/>
      <c r="D562" s="154"/>
    </row>
    <row r="563" spans="1:4" s="152" customFormat="1" ht="15" hidden="1" customHeight="1">
      <c r="A563" s="323"/>
      <c r="D563" s="154"/>
    </row>
    <row r="564" spans="1:4" s="152" customFormat="1" ht="15" hidden="1" customHeight="1">
      <c r="A564" s="323"/>
      <c r="D564" s="154"/>
    </row>
    <row r="565" spans="1:4" s="152" customFormat="1" ht="15" hidden="1" customHeight="1">
      <c r="A565" s="323"/>
      <c r="D565" s="154"/>
    </row>
    <row r="566" spans="1:4" s="152" customFormat="1" ht="15" hidden="1" customHeight="1">
      <c r="A566" s="323"/>
      <c r="D566" s="154"/>
    </row>
    <row r="567" spans="1:4" s="152" customFormat="1" ht="15" hidden="1" customHeight="1">
      <c r="A567" s="323"/>
      <c r="D567" s="154"/>
    </row>
    <row r="568" spans="1:4" s="152" customFormat="1" ht="15" hidden="1" customHeight="1">
      <c r="A568" s="323"/>
      <c r="D568" s="154"/>
    </row>
    <row r="569" spans="1:4" s="152" customFormat="1" ht="15" hidden="1" customHeight="1">
      <c r="A569" s="323"/>
      <c r="D569" s="154"/>
    </row>
    <row r="570" spans="1:4" s="152" customFormat="1" ht="15" hidden="1" customHeight="1">
      <c r="A570" s="323"/>
      <c r="D570" s="154"/>
    </row>
    <row r="571" spans="1:4" s="152" customFormat="1" ht="15" hidden="1" customHeight="1">
      <c r="A571" s="323"/>
      <c r="D571" s="154"/>
    </row>
    <row r="572" spans="1:4" s="152" customFormat="1" ht="15" hidden="1" customHeight="1">
      <c r="A572" s="323"/>
      <c r="D572" s="154"/>
    </row>
    <row r="573" spans="1:4" s="152" customFormat="1" ht="15" hidden="1" customHeight="1">
      <c r="A573" s="323"/>
      <c r="D573" s="154"/>
    </row>
    <row r="574" spans="1:4" s="152" customFormat="1" ht="15" hidden="1" customHeight="1">
      <c r="A574" s="323"/>
      <c r="D574" s="154"/>
    </row>
    <row r="575" spans="1:4" s="152" customFormat="1" ht="15" hidden="1" customHeight="1">
      <c r="A575" s="323"/>
      <c r="D575" s="154"/>
    </row>
    <row r="576" spans="1:4" s="152" customFormat="1" ht="15" hidden="1" customHeight="1">
      <c r="A576" s="323"/>
      <c r="D576" s="154"/>
    </row>
    <row r="577" spans="1:4" s="152" customFormat="1" ht="15" hidden="1" customHeight="1">
      <c r="A577" s="323"/>
      <c r="D577" s="154"/>
    </row>
    <row r="578" spans="1:4" s="152" customFormat="1" ht="15" hidden="1" customHeight="1">
      <c r="A578" s="323"/>
      <c r="D578" s="154"/>
    </row>
    <row r="579" spans="1:4" s="152" customFormat="1" ht="15" hidden="1" customHeight="1">
      <c r="A579" s="323"/>
      <c r="D579" s="154"/>
    </row>
    <row r="580" spans="1:4" s="152" customFormat="1" ht="15" hidden="1" customHeight="1">
      <c r="A580" s="323"/>
      <c r="D580" s="154"/>
    </row>
    <row r="581" spans="1:4" s="152" customFormat="1" ht="15" hidden="1" customHeight="1">
      <c r="A581" s="323"/>
      <c r="D581" s="154"/>
    </row>
    <row r="582" spans="1:4" s="152" customFormat="1" ht="15" hidden="1" customHeight="1">
      <c r="A582" s="323"/>
      <c r="D582" s="154"/>
    </row>
    <row r="583" spans="1:4" s="152" customFormat="1" ht="15" hidden="1" customHeight="1">
      <c r="A583" s="323"/>
      <c r="D583" s="154"/>
    </row>
    <row r="584" spans="1:4" s="152" customFormat="1" ht="15" hidden="1" customHeight="1">
      <c r="A584" s="323"/>
      <c r="D584" s="154"/>
    </row>
    <row r="585" spans="1:4" s="152" customFormat="1" ht="15" hidden="1" customHeight="1">
      <c r="A585" s="323"/>
      <c r="D585" s="154"/>
    </row>
    <row r="586" spans="1:4" s="152" customFormat="1" ht="15" hidden="1" customHeight="1">
      <c r="A586" s="323"/>
      <c r="D586" s="154"/>
    </row>
    <row r="587" spans="1:4" s="152" customFormat="1" ht="15" hidden="1" customHeight="1">
      <c r="A587" s="323"/>
      <c r="D587" s="154"/>
    </row>
    <row r="588" spans="1:4" s="152" customFormat="1" ht="15" hidden="1" customHeight="1">
      <c r="A588" s="323"/>
      <c r="D588" s="154"/>
    </row>
    <row r="589" spans="1:4" s="152" customFormat="1" ht="15" hidden="1" customHeight="1">
      <c r="A589" s="323"/>
      <c r="D589" s="154"/>
    </row>
    <row r="590" spans="1:4" s="152" customFormat="1" ht="15" hidden="1" customHeight="1">
      <c r="A590" s="323"/>
      <c r="D590" s="154"/>
    </row>
    <row r="591" spans="1:4" s="152" customFormat="1" ht="15" hidden="1" customHeight="1">
      <c r="A591" s="323"/>
      <c r="D591" s="154"/>
    </row>
    <row r="592" spans="1:4" s="152" customFormat="1" ht="15" hidden="1" customHeight="1">
      <c r="A592" s="323"/>
      <c r="D592" s="154"/>
    </row>
    <row r="593" spans="1:4" s="152" customFormat="1" ht="15" hidden="1" customHeight="1">
      <c r="A593" s="323"/>
      <c r="D593" s="154"/>
    </row>
    <row r="594" spans="1:4" s="152" customFormat="1" ht="15" hidden="1" customHeight="1">
      <c r="A594" s="323"/>
      <c r="D594" s="154"/>
    </row>
    <row r="595" spans="1:4" s="152" customFormat="1" ht="15" hidden="1" customHeight="1">
      <c r="A595" s="323"/>
      <c r="D595" s="154"/>
    </row>
    <row r="596" spans="1:4" s="152" customFormat="1" ht="15" hidden="1" customHeight="1">
      <c r="A596" s="323"/>
      <c r="D596" s="154"/>
    </row>
    <row r="597" spans="1:4" s="152" customFormat="1" ht="15" hidden="1" customHeight="1">
      <c r="A597" s="323"/>
      <c r="D597" s="154"/>
    </row>
    <row r="598" spans="1:4" s="152" customFormat="1" ht="15" hidden="1" customHeight="1">
      <c r="A598" s="323"/>
      <c r="D598" s="154"/>
    </row>
    <row r="599" spans="1:4" s="152" customFormat="1" ht="15" hidden="1" customHeight="1">
      <c r="A599" s="323"/>
      <c r="D599" s="154"/>
    </row>
    <row r="600" spans="1:4" s="152" customFormat="1" ht="15" hidden="1" customHeight="1">
      <c r="A600" s="323"/>
      <c r="D600" s="154"/>
    </row>
    <row r="601" spans="1:4" s="152" customFormat="1" ht="15" hidden="1" customHeight="1">
      <c r="A601" s="323"/>
      <c r="D601" s="154"/>
    </row>
    <row r="602" spans="1:4" s="152" customFormat="1" ht="15" hidden="1" customHeight="1">
      <c r="A602" s="323"/>
      <c r="D602" s="154"/>
    </row>
    <row r="603" spans="1:4" s="152" customFormat="1" ht="15" hidden="1" customHeight="1">
      <c r="A603" s="323"/>
      <c r="D603" s="154"/>
    </row>
    <row r="604" spans="1:4" s="152" customFormat="1" ht="15" hidden="1" customHeight="1">
      <c r="A604" s="323"/>
      <c r="D604" s="154"/>
    </row>
    <row r="605" spans="1:4" s="152" customFormat="1" ht="15" hidden="1" customHeight="1">
      <c r="A605" s="323"/>
      <c r="D605" s="154"/>
    </row>
    <row r="606" spans="1:4" s="152" customFormat="1" ht="15" hidden="1" customHeight="1">
      <c r="A606" s="323"/>
      <c r="D606" s="154"/>
    </row>
    <row r="607" spans="1:4" s="152" customFormat="1" ht="15" hidden="1" customHeight="1">
      <c r="A607" s="323"/>
      <c r="D607" s="154"/>
    </row>
    <row r="608" spans="1:4" s="152" customFormat="1" ht="15" hidden="1" customHeight="1">
      <c r="A608" s="323"/>
      <c r="D608" s="154"/>
    </row>
    <row r="609" spans="1:4" s="152" customFormat="1" ht="15" hidden="1" customHeight="1">
      <c r="A609" s="323"/>
      <c r="D609" s="154"/>
    </row>
    <row r="610" spans="1:4" s="152" customFormat="1" ht="15" hidden="1" customHeight="1">
      <c r="A610" s="323"/>
      <c r="D610" s="154"/>
    </row>
    <row r="611" spans="1:4" s="152" customFormat="1" ht="15" hidden="1" customHeight="1">
      <c r="A611" s="323"/>
      <c r="D611" s="154"/>
    </row>
    <row r="612" spans="1:4" s="152" customFormat="1" ht="15" hidden="1" customHeight="1">
      <c r="A612" s="323"/>
      <c r="D612" s="154"/>
    </row>
    <row r="613" spans="1:4" s="152" customFormat="1" ht="15" hidden="1" customHeight="1">
      <c r="A613" s="323"/>
      <c r="D613" s="154"/>
    </row>
    <row r="614" spans="1:4" s="152" customFormat="1" ht="15" hidden="1" customHeight="1">
      <c r="A614" s="323"/>
      <c r="D614" s="154"/>
    </row>
    <row r="615" spans="1:4" s="152" customFormat="1" ht="15" hidden="1" customHeight="1">
      <c r="A615" s="323"/>
      <c r="D615" s="154"/>
    </row>
    <row r="616" spans="1:4" s="152" customFormat="1" ht="15" hidden="1" customHeight="1">
      <c r="A616" s="323"/>
      <c r="D616" s="154"/>
    </row>
    <row r="617" spans="1:4" s="152" customFormat="1" ht="15" hidden="1" customHeight="1">
      <c r="A617" s="323"/>
      <c r="D617" s="154"/>
    </row>
    <row r="618" spans="1:4" s="152" customFormat="1" ht="15" hidden="1" customHeight="1">
      <c r="A618" s="323"/>
      <c r="D618" s="154"/>
    </row>
    <row r="619" spans="1:4" s="152" customFormat="1" ht="15" hidden="1" customHeight="1">
      <c r="A619" s="323"/>
      <c r="D619" s="154"/>
    </row>
    <row r="620" spans="1:4" s="152" customFormat="1" ht="15" hidden="1" customHeight="1">
      <c r="A620" s="323"/>
      <c r="D620" s="154"/>
    </row>
    <row r="621" spans="1:4" s="152" customFormat="1" ht="15" hidden="1" customHeight="1">
      <c r="A621" s="323"/>
      <c r="D621" s="154"/>
    </row>
    <row r="622" spans="1:4" s="152" customFormat="1" ht="15" hidden="1" customHeight="1">
      <c r="A622" s="323"/>
      <c r="D622" s="154"/>
    </row>
    <row r="623" spans="1:4" s="152" customFormat="1" ht="15" hidden="1" customHeight="1">
      <c r="A623" s="323"/>
      <c r="D623" s="154"/>
    </row>
    <row r="624" spans="1:4" s="152" customFormat="1" ht="15" hidden="1" customHeight="1">
      <c r="A624" s="323"/>
      <c r="D624" s="154"/>
    </row>
    <row r="625" spans="1:4" s="152" customFormat="1" ht="15" hidden="1" customHeight="1">
      <c r="A625" s="323"/>
      <c r="D625" s="154"/>
    </row>
    <row r="626" spans="1:4" s="152" customFormat="1" ht="15" hidden="1" customHeight="1">
      <c r="A626" s="323"/>
      <c r="D626" s="154"/>
    </row>
    <row r="627" spans="1:4" s="152" customFormat="1" ht="15" hidden="1" customHeight="1">
      <c r="A627" s="323"/>
      <c r="D627" s="154"/>
    </row>
    <row r="628" spans="1:4" s="152" customFormat="1" ht="15" hidden="1" customHeight="1">
      <c r="A628" s="323"/>
      <c r="D628" s="154"/>
    </row>
    <row r="629" spans="1:4" s="152" customFormat="1" ht="15" hidden="1" customHeight="1">
      <c r="A629" s="323"/>
      <c r="D629" s="154"/>
    </row>
    <row r="630" spans="1:4" s="152" customFormat="1" ht="15" hidden="1" customHeight="1">
      <c r="A630" s="323"/>
      <c r="D630" s="154"/>
    </row>
    <row r="631" spans="1:4" s="152" customFormat="1" ht="15" hidden="1" customHeight="1">
      <c r="A631" s="323"/>
      <c r="D631" s="154"/>
    </row>
    <row r="632" spans="1:4" s="152" customFormat="1" ht="15" hidden="1" customHeight="1">
      <c r="A632" s="323"/>
      <c r="D632" s="154"/>
    </row>
    <row r="633" spans="1:4" s="152" customFormat="1" ht="15" hidden="1" customHeight="1">
      <c r="A633" s="323"/>
      <c r="D633" s="154"/>
    </row>
    <row r="634" spans="1:4" s="152" customFormat="1" ht="15" hidden="1" customHeight="1">
      <c r="A634" s="323"/>
      <c r="D634" s="154"/>
    </row>
    <row r="635" spans="1:4" s="152" customFormat="1" ht="15" hidden="1" customHeight="1">
      <c r="A635" s="323"/>
      <c r="D635" s="154"/>
    </row>
    <row r="636" spans="1:4" s="152" customFormat="1" ht="15" hidden="1" customHeight="1">
      <c r="A636" s="323"/>
      <c r="D636" s="154"/>
    </row>
    <row r="637" spans="1:4" s="152" customFormat="1" ht="15" hidden="1" customHeight="1">
      <c r="A637" s="323"/>
      <c r="D637" s="154"/>
    </row>
    <row r="638" spans="1:4" s="152" customFormat="1" ht="15" hidden="1" customHeight="1">
      <c r="A638" s="323"/>
      <c r="D638" s="154"/>
    </row>
    <row r="639" spans="1:4" s="152" customFormat="1" ht="15" hidden="1" customHeight="1">
      <c r="A639" s="323"/>
      <c r="D639" s="154"/>
    </row>
    <row r="640" spans="1:4" s="152" customFormat="1" ht="15" hidden="1" customHeight="1">
      <c r="A640" s="323"/>
      <c r="D640" s="154"/>
    </row>
    <row r="641" spans="1:4" s="152" customFormat="1" ht="15" hidden="1" customHeight="1">
      <c r="A641" s="323"/>
      <c r="D641" s="154"/>
    </row>
    <row r="642" spans="1:4" s="152" customFormat="1" ht="15" hidden="1" customHeight="1">
      <c r="A642" s="323"/>
      <c r="D642" s="154"/>
    </row>
    <row r="643" spans="1:4" s="152" customFormat="1" ht="15" hidden="1" customHeight="1">
      <c r="A643" s="323"/>
      <c r="D643" s="154"/>
    </row>
    <row r="644" spans="1:4" s="152" customFormat="1" ht="15" hidden="1" customHeight="1">
      <c r="A644" s="323"/>
      <c r="D644" s="154"/>
    </row>
    <row r="645" spans="1:4" s="152" customFormat="1" ht="15" hidden="1" customHeight="1">
      <c r="A645" s="323"/>
      <c r="D645" s="154"/>
    </row>
    <row r="646" spans="1:4" s="152" customFormat="1" ht="15" hidden="1" customHeight="1">
      <c r="A646" s="323"/>
      <c r="D646" s="154"/>
    </row>
    <row r="647" spans="1:4" s="152" customFormat="1" ht="15" hidden="1" customHeight="1">
      <c r="A647" s="323"/>
      <c r="D647" s="154"/>
    </row>
    <row r="648" spans="1:4" s="152" customFormat="1" ht="15" hidden="1" customHeight="1">
      <c r="A648" s="323"/>
      <c r="D648" s="154"/>
    </row>
    <row r="649" spans="1:4" s="152" customFormat="1" ht="15" hidden="1" customHeight="1">
      <c r="A649" s="323"/>
      <c r="D649" s="154"/>
    </row>
    <row r="650" spans="1:4" s="152" customFormat="1" ht="15" hidden="1" customHeight="1">
      <c r="A650" s="323"/>
      <c r="D650" s="154"/>
    </row>
    <row r="651" spans="1:4" s="152" customFormat="1" ht="15" hidden="1" customHeight="1">
      <c r="A651" s="323"/>
      <c r="D651" s="154"/>
    </row>
    <row r="652" spans="1:4" s="152" customFormat="1" ht="15" hidden="1" customHeight="1">
      <c r="A652" s="323"/>
      <c r="D652" s="154"/>
    </row>
    <row r="653" spans="1:4" s="152" customFormat="1" ht="15" hidden="1" customHeight="1">
      <c r="A653" s="323"/>
      <c r="D653" s="154"/>
    </row>
    <row r="654" spans="1:4" s="152" customFormat="1" ht="15" hidden="1" customHeight="1">
      <c r="A654" s="323"/>
      <c r="D654" s="154"/>
    </row>
    <row r="655" spans="1:4" s="152" customFormat="1" ht="15" hidden="1" customHeight="1">
      <c r="A655" s="323"/>
      <c r="D655" s="154"/>
    </row>
    <row r="656" spans="1:4" s="152" customFormat="1" ht="15" hidden="1" customHeight="1">
      <c r="A656" s="323"/>
      <c r="D656" s="154"/>
    </row>
    <row r="657" spans="1:4" s="152" customFormat="1" ht="15" hidden="1" customHeight="1">
      <c r="A657" s="323"/>
      <c r="D657" s="154"/>
    </row>
    <row r="658" spans="1:4" s="152" customFormat="1" ht="15" hidden="1" customHeight="1">
      <c r="A658" s="323"/>
      <c r="D658" s="154"/>
    </row>
    <row r="659" spans="1:4" s="152" customFormat="1" ht="15" hidden="1" customHeight="1">
      <c r="A659" s="323"/>
      <c r="D659" s="154"/>
    </row>
    <row r="660" spans="1:4" s="152" customFormat="1" ht="15" hidden="1" customHeight="1">
      <c r="A660" s="323"/>
      <c r="D660" s="154"/>
    </row>
    <row r="661" spans="1:4" s="152" customFormat="1" ht="15" hidden="1" customHeight="1">
      <c r="A661" s="323"/>
      <c r="D661" s="154"/>
    </row>
    <row r="662" spans="1:4" s="152" customFormat="1" ht="15" hidden="1" customHeight="1">
      <c r="A662" s="323"/>
      <c r="D662" s="154"/>
    </row>
    <row r="663" spans="1:4" s="152" customFormat="1" ht="15" hidden="1" customHeight="1">
      <c r="A663" s="323"/>
      <c r="D663" s="154"/>
    </row>
    <row r="664" spans="1:4" s="152" customFormat="1" ht="15" hidden="1" customHeight="1">
      <c r="A664" s="323"/>
      <c r="D664" s="154"/>
    </row>
    <row r="665" spans="1:4" s="152" customFormat="1" ht="15" hidden="1" customHeight="1">
      <c r="A665" s="323"/>
      <c r="D665" s="154"/>
    </row>
    <row r="666" spans="1:4" s="152" customFormat="1" ht="15" hidden="1" customHeight="1">
      <c r="A666" s="323"/>
      <c r="D666" s="154"/>
    </row>
    <row r="667" spans="1:4" s="152" customFormat="1" ht="15" hidden="1" customHeight="1">
      <c r="A667" s="323"/>
      <c r="D667" s="154"/>
    </row>
    <row r="668" spans="1:4" s="152" customFormat="1" ht="15" hidden="1" customHeight="1">
      <c r="A668" s="323"/>
      <c r="D668" s="154"/>
    </row>
    <row r="669" spans="1:4" s="152" customFormat="1" ht="15" hidden="1" customHeight="1">
      <c r="A669" s="323"/>
      <c r="D669" s="154"/>
    </row>
    <row r="670" spans="1:4" s="152" customFormat="1" ht="15" hidden="1" customHeight="1">
      <c r="A670" s="323"/>
      <c r="D670" s="154"/>
    </row>
    <row r="671" spans="1:4" s="152" customFormat="1" ht="15" hidden="1" customHeight="1">
      <c r="A671" s="323"/>
      <c r="D671" s="154"/>
    </row>
    <row r="672" spans="1:4" s="152" customFormat="1" ht="15" hidden="1" customHeight="1">
      <c r="A672" s="323"/>
      <c r="D672" s="154"/>
    </row>
    <row r="673" spans="1:4" s="152" customFormat="1" ht="15" hidden="1" customHeight="1">
      <c r="A673" s="323"/>
      <c r="D673" s="154"/>
    </row>
    <row r="674" spans="1:4" s="152" customFormat="1" ht="15" hidden="1" customHeight="1">
      <c r="A674" s="323"/>
      <c r="D674" s="154"/>
    </row>
    <row r="675" spans="1:4" s="152" customFormat="1" ht="15" hidden="1" customHeight="1">
      <c r="A675" s="323"/>
      <c r="D675" s="154"/>
    </row>
    <row r="676" spans="1:4" s="152" customFormat="1" ht="15" hidden="1" customHeight="1">
      <c r="A676" s="323"/>
      <c r="D676" s="154"/>
    </row>
    <row r="677" spans="1:4" s="152" customFormat="1" ht="15" hidden="1" customHeight="1">
      <c r="A677" s="323"/>
      <c r="D677" s="154"/>
    </row>
    <row r="678" spans="1:4" s="152" customFormat="1" ht="15" hidden="1" customHeight="1">
      <c r="A678" s="323"/>
      <c r="D678" s="154"/>
    </row>
    <row r="679" spans="1:4" s="152" customFormat="1" ht="15" hidden="1" customHeight="1">
      <c r="A679" s="323"/>
      <c r="D679" s="154"/>
    </row>
    <row r="680" spans="1:4" s="152" customFormat="1" ht="15" hidden="1" customHeight="1">
      <c r="A680" s="323"/>
      <c r="D680" s="154"/>
    </row>
    <row r="681" spans="1:4" s="152" customFormat="1" ht="15" hidden="1" customHeight="1">
      <c r="A681" s="323"/>
      <c r="D681" s="154"/>
    </row>
    <row r="682" spans="1:4" s="152" customFormat="1" ht="15" hidden="1" customHeight="1">
      <c r="A682" s="323"/>
      <c r="D682" s="154"/>
    </row>
    <row r="683" spans="1:4" s="152" customFormat="1" ht="15" hidden="1" customHeight="1">
      <c r="A683" s="323"/>
      <c r="D683" s="154"/>
    </row>
    <row r="684" spans="1:4" s="152" customFormat="1" ht="15" hidden="1" customHeight="1">
      <c r="A684" s="323"/>
      <c r="D684" s="154"/>
    </row>
    <row r="685" spans="1:4" s="152" customFormat="1" ht="15" hidden="1" customHeight="1">
      <c r="A685" s="323"/>
      <c r="D685" s="154"/>
    </row>
    <row r="686" spans="1:4" s="152" customFormat="1" ht="15" hidden="1" customHeight="1">
      <c r="A686" s="323"/>
      <c r="D686" s="154"/>
    </row>
    <row r="687" spans="1:4" s="152" customFormat="1" ht="15" hidden="1" customHeight="1">
      <c r="A687" s="323"/>
      <c r="D687" s="154"/>
    </row>
    <row r="688" spans="1:4" s="152" customFormat="1" ht="15" hidden="1" customHeight="1">
      <c r="A688" s="323"/>
      <c r="D688" s="154"/>
    </row>
    <row r="689" spans="1:4" s="152" customFormat="1" ht="15" hidden="1" customHeight="1">
      <c r="A689" s="323"/>
      <c r="D689" s="154"/>
    </row>
    <row r="690" spans="1:4" s="152" customFormat="1" ht="15" hidden="1" customHeight="1">
      <c r="A690" s="323"/>
      <c r="D690" s="154"/>
    </row>
    <row r="691" spans="1:4" s="152" customFormat="1" ht="15" hidden="1" customHeight="1">
      <c r="A691" s="323"/>
      <c r="D691" s="154"/>
    </row>
    <row r="692" spans="1:4" s="152" customFormat="1" ht="15" hidden="1" customHeight="1">
      <c r="A692" s="323"/>
      <c r="D692" s="154"/>
    </row>
    <row r="693" spans="1:4" s="152" customFormat="1" ht="15" hidden="1" customHeight="1">
      <c r="A693" s="323"/>
      <c r="D693" s="154"/>
    </row>
    <row r="694" spans="1:4" s="152" customFormat="1" ht="15" hidden="1" customHeight="1">
      <c r="A694" s="323"/>
      <c r="D694" s="154"/>
    </row>
    <row r="695" spans="1:4" s="152" customFormat="1" ht="15" hidden="1" customHeight="1">
      <c r="A695" s="323"/>
      <c r="D695" s="154"/>
    </row>
    <row r="696" spans="1:4" s="152" customFormat="1" ht="15" hidden="1" customHeight="1">
      <c r="A696" s="323"/>
      <c r="D696" s="154"/>
    </row>
    <row r="697" spans="1:4" s="152" customFormat="1" ht="15" hidden="1" customHeight="1">
      <c r="A697" s="323"/>
      <c r="D697" s="154"/>
    </row>
    <row r="698" spans="1:4" s="152" customFormat="1" ht="15" hidden="1" customHeight="1">
      <c r="A698" s="323"/>
      <c r="D698" s="154"/>
    </row>
    <row r="699" spans="1:4" s="152" customFormat="1" ht="15" hidden="1" customHeight="1">
      <c r="A699" s="323"/>
      <c r="D699" s="154"/>
    </row>
    <row r="700" spans="1:4" s="152" customFormat="1" ht="15" hidden="1" customHeight="1">
      <c r="A700" s="323"/>
      <c r="D700" s="154"/>
    </row>
    <row r="701" spans="1:4" s="152" customFormat="1" ht="15" hidden="1" customHeight="1">
      <c r="A701" s="323"/>
      <c r="D701" s="154"/>
    </row>
    <row r="702" spans="1:4" s="152" customFormat="1" ht="15" hidden="1" customHeight="1">
      <c r="A702" s="323"/>
      <c r="D702" s="154"/>
    </row>
    <row r="703" spans="1:4" s="152" customFormat="1" ht="15" hidden="1" customHeight="1">
      <c r="A703" s="323"/>
      <c r="D703" s="154"/>
    </row>
    <row r="704" spans="1:4" s="152" customFormat="1" ht="15" hidden="1" customHeight="1">
      <c r="A704" s="323"/>
      <c r="D704" s="154"/>
    </row>
    <row r="705" spans="1:4" s="152" customFormat="1" ht="15" hidden="1" customHeight="1">
      <c r="A705" s="323"/>
      <c r="D705" s="154"/>
    </row>
    <row r="706" spans="1:4" s="152" customFormat="1" ht="15" hidden="1" customHeight="1">
      <c r="A706" s="323"/>
      <c r="D706" s="154"/>
    </row>
    <row r="707" spans="1:4" s="152" customFormat="1" ht="15" hidden="1" customHeight="1">
      <c r="A707" s="323"/>
      <c r="D707" s="154"/>
    </row>
    <row r="708" spans="1:4" s="152" customFormat="1" ht="15" hidden="1" customHeight="1">
      <c r="A708" s="323"/>
      <c r="D708" s="154"/>
    </row>
    <row r="709" spans="1:4" s="152" customFormat="1" ht="15" hidden="1" customHeight="1">
      <c r="A709" s="323"/>
      <c r="D709" s="154"/>
    </row>
    <row r="710" spans="1:4" s="152" customFormat="1" ht="15" hidden="1" customHeight="1">
      <c r="A710" s="323"/>
      <c r="D710" s="154"/>
    </row>
    <row r="711" spans="1:4" s="152" customFormat="1" ht="15" hidden="1" customHeight="1">
      <c r="A711" s="323"/>
      <c r="D711" s="154"/>
    </row>
    <row r="712" spans="1:4" s="152" customFormat="1" ht="15" hidden="1" customHeight="1">
      <c r="A712" s="323"/>
      <c r="D712" s="154"/>
    </row>
    <row r="713" spans="1:4" s="152" customFormat="1" ht="15" hidden="1" customHeight="1">
      <c r="A713" s="323"/>
      <c r="D713" s="154"/>
    </row>
    <row r="714" spans="1:4" s="152" customFormat="1" ht="15" hidden="1" customHeight="1">
      <c r="A714" s="323"/>
      <c r="D714" s="154"/>
    </row>
    <row r="715" spans="1:4" s="152" customFormat="1" ht="15" hidden="1" customHeight="1">
      <c r="A715" s="323"/>
      <c r="D715" s="154"/>
    </row>
    <row r="716" spans="1:4" s="152" customFormat="1" ht="15" hidden="1" customHeight="1">
      <c r="A716" s="323"/>
      <c r="D716" s="154"/>
    </row>
    <row r="717" spans="1:4" s="152" customFormat="1" ht="15" hidden="1" customHeight="1">
      <c r="A717" s="323"/>
      <c r="D717" s="154"/>
    </row>
    <row r="718" spans="1:4" s="152" customFormat="1" ht="15" hidden="1" customHeight="1">
      <c r="A718" s="323"/>
      <c r="D718" s="154"/>
    </row>
    <row r="719" spans="1:4" s="152" customFormat="1" ht="15" hidden="1" customHeight="1">
      <c r="A719" s="323"/>
      <c r="D719" s="154"/>
    </row>
    <row r="720" spans="1:4" s="152" customFormat="1" ht="15" hidden="1" customHeight="1">
      <c r="A720" s="323"/>
      <c r="D720" s="154"/>
    </row>
    <row r="721" spans="1:4" s="152" customFormat="1" ht="15" hidden="1" customHeight="1">
      <c r="A721" s="323"/>
      <c r="D721" s="154"/>
    </row>
    <row r="722" spans="1:4" s="152" customFormat="1" ht="15" hidden="1" customHeight="1">
      <c r="A722" s="323"/>
      <c r="D722" s="154"/>
    </row>
    <row r="723" spans="1:4" s="152" customFormat="1" ht="15" hidden="1" customHeight="1">
      <c r="A723" s="323"/>
      <c r="D723" s="154"/>
    </row>
    <row r="724" spans="1:4" s="152" customFormat="1" ht="15" hidden="1" customHeight="1">
      <c r="A724" s="323"/>
      <c r="D724" s="154"/>
    </row>
    <row r="725" spans="1:4" s="152" customFormat="1" ht="15" hidden="1" customHeight="1">
      <c r="A725" s="323"/>
      <c r="D725" s="154"/>
    </row>
    <row r="726" spans="1:4" s="152" customFormat="1" ht="15" hidden="1" customHeight="1">
      <c r="A726" s="323"/>
      <c r="D726" s="154"/>
    </row>
    <row r="727" spans="1:4" s="152" customFormat="1" ht="15" hidden="1" customHeight="1">
      <c r="A727" s="323"/>
      <c r="D727" s="154"/>
    </row>
    <row r="728" spans="1:4" s="152" customFormat="1" ht="15" hidden="1" customHeight="1">
      <c r="A728" s="323"/>
      <c r="D728" s="154"/>
    </row>
    <row r="729" spans="1:4" s="152" customFormat="1" ht="15" hidden="1" customHeight="1">
      <c r="A729" s="323"/>
      <c r="D729" s="154"/>
    </row>
    <row r="730" spans="1:4" s="152" customFormat="1" ht="15" hidden="1" customHeight="1">
      <c r="A730" s="323"/>
      <c r="D730" s="154"/>
    </row>
    <row r="731" spans="1:4" s="152" customFormat="1" ht="15" hidden="1" customHeight="1">
      <c r="A731" s="323"/>
      <c r="D731" s="154"/>
    </row>
    <row r="732" spans="1:4" s="152" customFormat="1" ht="15" hidden="1" customHeight="1">
      <c r="A732" s="323"/>
      <c r="D732" s="154"/>
    </row>
    <row r="733" spans="1:4" s="152" customFormat="1" ht="15" hidden="1" customHeight="1">
      <c r="A733" s="323"/>
      <c r="D733" s="154"/>
    </row>
    <row r="734" spans="1:4" s="152" customFormat="1" ht="15" hidden="1" customHeight="1">
      <c r="A734" s="323"/>
      <c r="D734" s="154"/>
    </row>
    <row r="735" spans="1:4" s="152" customFormat="1" ht="15" hidden="1" customHeight="1">
      <c r="A735" s="323"/>
      <c r="D735" s="154"/>
    </row>
    <row r="736" spans="1:4" s="152" customFormat="1" ht="15" hidden="1" customHeight="1">
      <c r="A736" s="323"/>
      <c r="D736" s="154"/>
    </row>
    <row r="737" spans="1:4" s="152" customFormat="1" ht="15" hidden="1" customHeight="1">
      <c r="A737" s="323"/>
      <c r="D737" s="154"/>
    </row>
    <row r="738" spans="1:4" s="152" customFormat="1" ht="15" hidden="1" customHeight="1">
      <c r="A738" s="323"/>
      <c r="D738" s="154"/>
    </row>
    <row r="739" spans="1:4" s="152" customFormat="1" ht="15" hidden="1" customHeight="1">
      <c r="A739" s="323"/>
      <c r="D739" s="154"/>
    </row>
    <row r="740" spans="1:4" s="152" customFormat="1" ht="15" hidden="1" customHeight="1">
      <c r="A740" s="323"/>
      <c r="D740" s="154"/>
    </row>
    <row r="741" spans="1:4" s="152" customFormat="1" ht="15" hidden="1" customHeight="1">
      <c r="A741" s="323"/>
      <c r="D741" s="154"/>
    </row>
    <row r="742" spans="1:4" s="152" customFormat="1" ht="15" hidden="1" customHeight="1">
      <c r="A742" s="323"/>
      <c r="D742" s="154"/>
    </row>
    <row r="743" spans="1:4" s="152" customFormat="1" ht="15" hidden="1" customHeight="1">
      <c r="A743" s="323"/>
      <c r="D743" s="154"/>
    </row>
    <row r="744" spans="1:4" s="152" customFormat="1" ht="15" hidden="1" customHeight="1">
      <c r="A744" s="323"/>
      <c r="D744" s="154"/>
    </row>
    <row r="745" spans="1:4" s="152" customFormat="1" ht="15" hidden="1" customHeight="1">
      <c r="A745" s="323"/>
      <c r="D745" s="154"/>
    </row>
    <row r="746" spans="1:4" s="152" customFormat="1" ht="15" hidden="1" customHeight="1">
      <c r="A746" s="323"/>
      <c r="D746" s="154"/>
    </row>
    <row r="747" spans="1:4" s="152" customFormat="1" ht="15" hidden="1" customHeight="1">
      <c r="A747" s="323"/>
      <c r="D747" s="154"/>
    </row>
    <row r="748" spans="1:4" s="152" customFormat="1" ht="15" hidden="1" customHeight="1">
      <c r="A748" s="323"/>
      <c r="D748" s="154"/>
    </row>
    <row r="749" spans="1:4" s="152" customFormat="1" ht="15" hidden="1" customHeight="1">
      <c r="A749" s="323"/>
      <c r="D749" s="154"/>
    </row>
    <row r="750" spans="1:4" s="152" customFormat="1" ht="15" hidden="1" customHeight="1">
      <c r="A750" s="323"/>
      <c r="D750" s="154"/>
    </row>
    <row r="751" spans="1:4" s="152" customFormat="1" ht="15" hidden="1" customHeight="1">
      <c r="A751" s="323"/>
      <c r="D751" s="154"/>
    </row>
    <row r="752" spans="1:4" s="152" customFormat="1" ht="15" hidden="1" customHeight="1">
      <c r="A752" s="323"/>
      <c r="D752" s="154"/>
    </row>
    <row r="753" spans="1:4" s="152" customFormat="1" ht="15" hidden="1" customHeight="1">
      <c r="A753" s="323"/>
      <c r="D753" s="154"/>
    </row>
    <row r="754" spans="1:4" s="152" customFormat="1" ht="15" hidden="1" customHeight="1">
      <c r="A754" s="323"/>
      <c r="D754" s="154"/>
    </row>
    <row r="755" spans="1:4" s="152" customFormat="1" ht="15" hidden="1" customHeight="1">
      <c r="A755" s="323"/>
      <c r="D755" s="154"/>
    </row>
    <row r="756" spans="1:4" s="152" customFormat="1" ht="15" hidden="1" customHeight="1">
      <c r="A756" s="323"/>
      <c r="D756" s="154"/>
    </row>
    <row r="757" spans="1:4" s="152" customFormat="1" ht="15" hidden="1" customHeight="1">
      <c r="A757" s="323"/>
      <c r="D757" s="154"/>
    </row>
    <row r="758" spans="1:4" s="152" customFormat="1" ht="15" hidden="1" customHeight="1">
      <c r="A758" s="323"/>
      <c r="D758" s="154"/>
    </row>
    <row r="759" spans="1:4" s="152" customFormat="1" ht="15" hidden="1" customHeight="1">
      <c r="A759" s="323"/>
      <c r="D759" s="154"/>
    </row>
    <row r="760" spans="1:4" s="152" customFormat="1" ht="15" hidden="1" customHeight="1">
      <c r="A760" s="323"/>
      <c r="D760" s="154"/>
    </row>
    <row r="761" spans="1:4" s="152" customFormat="1" ht="15" hidden="1" customHeight="1">
      <c r="A761" s="323"/>
      <c r="D761" s="154"/>
    </row>
    <row r="762" spans="1:4" s="152" customFormat="1" ht="15" hidden="1" customHeight="1">
      <c r="A762" s="323"/>
      <c r="D762" s="154"/>
    </row>
    <row r="763" spans="1:4" s="152" customFormat="1" ht="15" hidden="1" customHeight="1">
      <c r="A763" s="323"/>
      <c r="D763" s="154"/>
    </row>
    <row r="764" spans="1:4" s="152" customFormat="1" ht="15" hidden="1" customHeight="1">
      <c r="A764" s="323"/>
      <c r="D764" s="154"/>
    </row>
    <row r="765" spans="1:4" s="152" customFormat="1" ht="15" hidden="1" customHeight="1">
      <c r="A765" s="323"/>
      <c r="D765" s="154"/>
    </row>
    <row r="766" spans="1:4" s="152" customFormat="1" ht="15" hidden="1" customHeight="1">
      <c r="A766" s="323"/>
      <c r="D766" s="154"/>
    </row>
    <row r="767" spans="1:4" s="152" customFormat="1" ht="15" hidden="1" customHeight="1">
      <c r="A767" s="323"/>
      <c r="D767" s="154"/>
    </row>
    <row r="768" spans="1:4" s="152" customFormat="1" ht="15" hidden="1" customHeight="1">
      <c r="A768" s="323"/>
      <c r="D768" s="154"/>
    </row>
    <row r="769" spans="1:4" s="152" customFormat="1" ht="15" hidden="1" customHeight="1">
      <c r="A769" s="323"/>
      <c r="D769" s="154"/>
    </row>
    <row r="770" spans="1:4" s="152" customFormat="1" ht="15" hidden="1" customHeight="1">
      <c r="A770" s="323"/>
      <c r="D770" s="154"/>
    </row>
    <row r="771" spans="1:4" s="152" customFormat="1" ht="15" hidden="1" customHeight="1">
      <c r="A771" s="323"/>
      <c r="D771" s="154"/>
    </row>
    <row r="772" spans="1:4" s="152" customFormat="1" ht="15" hidden="1" customHeight="1">
      <c r="A772" s="323"/>
      <c r="D772" s="154"/>
    </row>
    <row r="773" spans="1:4" s="152" customFormat="1" ht="15" hidden="1" customHeight="1">
      <c r="A773" s="323"/>
      <c r="D773" s="154"/>
    </row>
    <row r="774" spans="1:4" s="152" customFormat="1" ht="15" hidden="1" customHeight="1">
      <c r="A774" s="323"/>
      <c r="D774" s="154"/>
    </row>
    <row r="775" spans="1:4" s="152" customFormat="1" ht="15" hidden="1" customHeight="1">
      <c r="A775" s="323"/>
      <c r="D775" s="154"/>
    </row>
    <row r="776" spans="1:4" s="152" customFormat="1" ht="15" hidden="1" customHeight="1">
      <c r="A776" s="323"/>
      <c r="D776" s="154"/>
    </row>
    <row r="777" spans="1:4" s="152" customFormat="1" ht="15" hidden="1" customHeight="1">
      <c r="A777" s="323"/>
      <c r="D777" s="154"/>
    </row>
    <row r="778" spans="1:4" s="152" customFormat="1" ht="15" hidden="1" customHeight="1">
      <c r="A778" s="323"/>
      <c r="D778" s="154"/>
    </row>
    <row r="779" spans="1:4" s="152" customFormat="1" ht="15" hidden="1" customHeight="1">
      <c r="A779" s="323"/>
      <c r="D779" s="154"/>
    </row>
    <row r="780" spans="1:4" s="152" customFormat="1" ht="15" hidden="1" customHeight="1">
      <c r="A780" s="323"/>
      <c r="D780" s="154"/>
    </row>
    <row r="781" spans="1:4" s="152" customFormat="1" ht="15" hidden="1" customHeight="1">
      <c r="A781" s="323"/>
      <c r="D781" s="154"/>
    </row>
    <row r="782" spans="1:4" s="152" customFormat="1" ht="15" hidden="1" customHeight="1">
      <c r="A782" s="323"/>
      <c r="D782" s="154"/>
    </row>
    <row r="783" spans="1:4" s="152" customFormat="1" ht="15" hidden="1" customHeight="1">
      <c r="A783" s="323"/>
      <c r="D783" s="154"/>
    </row>
    <row r="784" spans="1:4" s="152" customFormat="1" ht="15" hidden="1" customHeight="1">
      <c r="A784" s="323"/>
      <c r="D784" s="154"/>
    </row>
    <row r="785" spans="1:4" s="152" customFormat="1" ht="15" hidden="1" customHeight="1">
      <c r="A785" s="323"/>
      <c r="D785" s="154"/>
    </row>
    <row r="786" spans="1:4" s="152" customFormat="1" ht="15" hidden="1" customHeight="1">
      <c r="A786" s="323"/>
      <c r="D786" s="154"/>
    </row>
    <row r="787" spans="1:4" s="152" customFormat="1" ht="15" hidden="1" customHeight="1">
      <c r="A787" s="323"/>
      <c r="D787" s="154"/>
    </row>
    <row r="788" spans="1:4" s="152" customFormat="1" ht="15" hidden="1" customHeight="1">
      <c r="A788" s="323"/>
      <c r="D788" s="154"/>
    </row>
    <row r="789" spans="1:4" s="152" customFormat="1" ht="15" hidden="1" customHeight="1">
      <c r="A789" s="323"/>
      <c r="D789" s="154"/>
    </row>
    <row r="790" spans="1:4" s="152" customFormat="1" ht="15" hidden="1" customHeight="1">
      <c r="A790" s="323"/>
      <c r="D790" s="154"/>
    </row>
    <row r="791" spans="1:4" s="152" customFormat="1" ht="15" hidden="1" customHeight="1">
      <c r="A791" s="323"/>
      <c r="D791" s="154"/>
    </row>
    <row r="792" spans="1:4" s="152" customFormat="1" ht="15" hidden="1" customHeight="1">
      <c r="A792" s="323"/>
      <c r="D792" s="154"/>
    </row>
    <row r="793" spans="1:4" s="152" customFormat="1" ht="15" hidden="1" customHeight="1">
      <c r="A793" s="323"/>
      <c r="D793" s="154"/>
    </row>
    <row r="794" spans="1:4" s="152" customFormat="1" ht="15" hidden="1" customHeight="1">
      <c r="A794" s="323"/>
      <c r="D794" s="154"/>
    </row>
    <row r="795" spans="1:4" s="152" customFormat="1" ht="15" hidden="1" customHeight="1">
      <c r="A795" s="323"/>
      <c r="D795" s="154"/>
    </row>
    <row r="796" spans="1:4" s="152" customFormat="1" ht="15" hidden="1" customHeight="1">
      <c r="A796" s="323"/>
      <c r="D796" s="154"/>
    </row>
    <row r="797" spans="1:4" s="152" customFormat="1" ht="15" hidden="1" customHeight="1">
      <c r="A797" s="323"/>
      <c r="D797" s="154"/>
    </row>
    <row r="798" spans="1:4" s="152" customFormat="1" ht="15" hidden="1" customHeight="1">
      <c r="A798" s="323"/>
      <c r="D798" s="154"/>
    </row>
    <row r="799" spans="1:4" s="152" customFormat="1" ht="15" hidden="1" customHeight="1">
      <c r="A799" s="323"/>
      <c r="D799" s="154"/>
    </row>
    <row r="800" spans="1:4" s="152" customFormat="1" ht="15" hidden="1" customHeight="1">
      <c r="A800" s="323"/>
      <c r="D800" s="154"/>
    </row>
    <row r="801" spans="1:4" s="152" customFormat="1" ht="15" hidden="1" customHeight="1">
      <c r="A801" s="323"/>
      <c r="D801" s="154"/>
    </row>
    <row r="802" spans="1:4" s="152" customFormat="1" ht="15" hidden="1" customHeight="1">
      <c r="A802" s="323"/>
      <c r="D802" s="154"/>
    </row>
    <row r="803" spans="1:4" s="152" customFormat="1" ht="15" hidden="1" customHeight="1">
      <c r="A803" s="323"/>
      <c r="D803" s="154"/>
    </row>
    <row r="804" spans="1:4" s="152" customFormat="1" ht="15" hidden="1" customHeight="1">
      <c r="A804" s="323"/>
      <c r="D804" s="154"/>
    </row>
    <row r="805" spans="1:4" s="152" customFormat="1" ht="15" hidden="1" customHeight="1">
      <c r="A805" s="323"/>
      <c r="D805" s="154"/>
    </row>
    <row r="806" spans="1:4" s="152" customFormat="1" ht="15" hidden="1" customHeight="1">
      <c r="A806" s="323"/>
      <c r="D806" s="154"/>
    </row>
    <row r="807" spans="1:4" s="152" customFormat="1" ht="15" hidden="1" customHeight="1">
      <c r="A807" s="323"/>
      <c r="D807" s="154"/>
    </row>
    <row r="808" spans="1:4" s="152" customFormat="1" ht="15" hidden="1" customHeight="1">
      <c r="A808" s="323"/>
      <c r="D808" s="154"/>
    </row>
    <row r="809" spans="1:4" s="152" customFormat="1" ht="15" hidden="1" customHeight="1">
      <c r="A809" s="323"/>
      <c r="D809" s="154"/>
    </row>
    <row r="810" spans="1:4" s="152" customFormat="1" ht="15" hidden="1" customHeight="1">
      <c r="A810" s="323"/>
      <c r="D810" s="154"/>
    </row>
    <row r="811" spans="1:4" s="152" customFormat="1" ht="15" hidden="1" customHeight="1">
      <c r="A811" s="323"/>
      <c r="D811" s="154"/>
    </row>
    <row r="812" spans="1:4" s="152" customFormat="1" ht="15" hidden="1" customHeight="1">
      <c r="A812" s="323"/>
      <c r="D812" s="154"/>
    </row>
    <row r="813" spans="1:4" s="152" customFormat="1" ht="15" hidden="1" customHeight="1">
      <c r="A813" s="323"/>
      <c r="D813" s="154"/>
    </row>
    <row r="814" spans="1:4" s="152" customFormat="1" ht="15" hidden="1" customHeight="1">
      <c r="A814" s="323"/>
      <c r="D814" s="154"/>
    </row>
    <row r="815" spans="1:4" s="152" customFormat="1" ht="15" hidden="1" customHeight="1">
      <c r="A815" s="323"/>
      <c r="D815" s="154"/>
    </row>
    <row r="816" spans="1:4" s="152" customFormat="1" ht="15" hidden="1" customHeight="1">
      <c r="A816" s="323"/>
      <c r="D816" s="154"/>
    </row>
    <row r="817" spans="1:4" s="152" customFormat="1" ht="15" hidden="1" customHeight="1">
      <c r="A817" s="323"/>
      <c r="D817" s="154"/>
    </row>
    <row r="818" spans="1:4" s="152" customFormat="1" ht="15" hidden="1" customHeight="1">
      <c r="A818" s="323"/>
      <c r="D818" s="154"/>
    </row>
    <row r="819" spans="1:4" s="152" customFormat="1" ht="15" hidden="1" customHeight="1">
      <c r="A819" s="323"/>
      <c r="D819" s="154"/>
    </row>
    <row r="820" spans="1:4" s="152" customFormat="1" ht="15" hidden="1" customHeight="1">
      <c r="A820" s="323"/>
      <c r="D820" s="154"/>
    </row>
    <row r="821" spans="1:4" s="152" customFormat="1" ht="15" hidden="1" customHeight="1">
      <c r="A821" s="323"/>
      <c r="D821" s="154"/>
    </row>
    <row r="822" spans="1:4" s="152" customFormat="1" ht="15" hidden="1" customHeight="1">
      <c r="A822" s="323"/>
      <c r="D822" s="154"/>
    </row>
    <row r="823" spans="1:4" s="152" customFormat="1" ht="15" hidden="1" customHeight="1">
      <c r="A823" s="323"/>
      <c r="D823" s="154"/>
    </row>
    <row r="824" spans="1:4" s="152" customFormat="1" ht="15" hidden="1" customHeight="1">
      <c r="A824" s="323"/>
      <c r="D824" s="154"/>
    </row>
    <row r="825" spans="1:4" s="152" customFormat="1" ht="15" hidden="1" customHeight="1">
      <c r="A825" s="323"/>
      <c r="D825" s="154"/>
    </row>
    <row r="826" spans="1:4" s="152" customFormat="1" ht="15" hidden="1" customHeight="1">
      <c r="A826" s="323"/>
      <c r="D826" s="154"/>
    </row>
    <row r="827" spans="1:4" s="152" customFormat="1" ht="15" hidden="1" customHeight="1">
      <c r="A827" s="323"/>
      <c r="D827" s="154"/>
    </row>
    <row r="828" spans="1:4" s="152" customFormat="1" ht="15" hidden="1" customHeight="1">
      <c r="A828" s="323"/>
      <c r="D828" s="154"/>
    </row>
    <row r="829" spans="1:4" s="152" customFormat="1" ht="15" hidden="1" customHeight="1">
      <c r="A829" s="323"/>
      <c r="D829" s="154"/>
    </row>
    <row r="830" spans="1:4" s="152" customFormat="1" ht="15" hidden="1" customHeight="1">
      <c r="A830" s="323"/>
      <c r="D830" s="154"/>
    </row>
    <row r="831" spans="1:4" s="152" customFormat="1" ht="15" hidden="1" customHeight="1">
      <c r="A831" s="323"/>
      <c r="D831" s="154"/>
    </row>
    <row r="832" spans="1:4" s="152" customFormat="1" ht="15" hidden="1" customHeight="1">
      <c r="A832" s="323"/>
      <c r="D832" s="154"/>
    </row>
    <row r="833" spans="1:4" s="152" customFormat="1" ht="15" hidden="1" customHeight="1">
      <c r="A833" s="323"/>
      <c r="D833" s="154"/>
    </row>
    <row r="834" spans="1:4" s="152" customFormat="1" ht="15" hidden="1" customHeight="1">
      <c r="A834" s="323"/>
      <c r="D834" s="154"/>
    </row>
    <row r="835" spans="1:4" s="152" customFormat="1" ht="15" hidden="1" customHeight="1">
      <c r="A835" s="323"/>
      <c r="D835" s="154"/>
    </row>
    <row r="836" spans="1:4" s="152" customFormat="1" ht="15" hidden="1" customHeight="1">
      <c r="A836" s="323"/>
      <c r="D836" s="154"/>
    </row>
    <row r="837" spans="1:4" s="152" customFormat="1" ht="15" hidden="1" customHeight="1">
      <c r="A837" s="323"/>
      <c r="D837" s="154"/>
    </row>
    <row r="838" spans="1:4" s="152" customFormat="1" ht="15" hidden="1" customHeight="1">
      <c r="A838" s="323"/>
      <c r="D838" s="154"/>
    </row>
    <row r="839" spans="1:4" s="152" customFormat="1" ht="15" hidden="1" customHeight="1">
      <c r="A839" s="323"/>
      <c r="D839" s="154"/>
    </row>
    <row r="840" spans="1:4" s="152" customFormat="1" ht="15" hidden="1" customHeight="1">
      <c r="A840" s="323"/>
      <c r="D840" s="154"/>
    </row>
    <row r="841" spans="1:4" s="152" customFormat="1" ht="15" hidden="1" customHeight="1">
      <c r="A841" s="323"/>
      <c r="D841" s="154"/>
    </row>
    <row r="842" spans="1:4" s="152" customFormat="1" ht="15" hidden="1" customHeight="1">
      <c r="A842" s="323"/>
      <c r="D842" s="154"/>
    </row>
    <row r="843" spans="1:4" s="152" customFormat="1" ht="15" hidden="1" customHeight="1">
      <c r="A843" s="323"/>
      <c r="D843" s="154"/>
    </row>
    <row r="844" spans="1:4" s="152" customFormat="1" ht="15" hidden="1" customHeight="1">
      <c r="A844" s="323"/>
      <c r="D844" s="154"/>
    </row>
    <row r="845" spans="1:4" s="152" customFormat="1" ht="15" hidden="1" customHeight="1">
      <c r="A845" s="323"/>
      <c r="D845" s="154"/>
    </row>
    <row r="846" spans="1:4" s="152" customFormat="1" ht="15" hidden="1" customHeight="1">
      <c r="A846" s="323"/>
      <c r="D846" s="154"/>
    </row>
    <row r="847" spans="1:4" s="152" customFormat="1" ht="15" hidden="1" customHeight="1">
      <c r="A847" s="323"/>
      <c r="D847" s="154"/>
    </row>
    <row r="848" spans="1:4" s="152" customFormat="1" ht="15" hidden="1" customHeight="1">
      <c r="A848" s="323"/>
      <c r="D848" s="154"/>
    </row>
    <row r="849" spans="1:4" s="152" customFormat="1" ht="15" hidden="1" customHeight="1">
      <c r="A849" s="323"/>
      <c r="D849" s="154"/>
    </row>
    <row r="850" spans="1:4" s="152" customFormat="1" ht="15" hidden="1" customHeight="1">
      <c r="A850" s="323"/>
      <c r="D850" s="154"/>
    </row>
    <row r="851" spans="1:4" s="152" customFormat="1" ht="15" hidden="1" customHeight="1">
      <c r="A851" s="323"/>
      <c r="D851" s="154"/>
    </row>
    <row r="852" spans="1:4" s="152" customFormat="1" ht="15" hidden="1" customHeight="1">
      <c r="A852" s="323"/>
      <c r="D852" s="154"/>
    </row>
    <row r="853" spans="1:4" s="152" customFormat="1" ht="15" hidden="1" customHeight="1">
      <c r="A853" s="323"/>
      <c r="D853" s="154"/>
    </row>
    <row r="854" spans="1:4" s="152" customFormat="1" ht="15" hidden="1" customHeight="1">
      <c r="A854" s="323"/>
      <c r="D854" s="154"/>
    </row>
    <row r="855" spans="1:4" s="152" customFormat="1" ht="15" hidden="1" customHeight="1">
      <c r="A855" s="323"/>
      <c r="D855" s="154"/>
    </row>
    <row r="856" spans="1:4" s="152" customFormat="1" ht="15" hidden="1" customHeight="1">
      <c r="A856" s="323"/>
      <c r="D856" s="154"/>
    </row>
    <row r="857" spans="1:4" s="152" customFormat="1" ht="15" hidden="1" customHeight="1">
      <c r="A857" s="323"/>
      <c r="D857" s="154"/>
    </row>
    <row r="858" spans="1:4" s="152" customFormat="1" ht="15" hidden="1" customHeight="1">
      <c r="A858" s="323"/>
      <c r="D858" s="154"/>
    </row>
    <row r="859" spans="1:4" s="152" customFormat="1" ht="15" hidden="1" customHeight="1">
      <c r="A859" s="323"/>
      <c r="D859" s="154"/>
    </row>
    <row r="860" spans="1:4" s="152" customFormat="1" ht="15" hidden="1" customHeight="1">
      <c r="A860" s="323"/>
      <c r="D860" s="154"/>
    </row>
    <row r="861" spans="1:4" s="152" customFormat="1" ht="15" hidden="1" customHeight="1">
      <c r="A861" s="323"/>
      <c r="D861" s="154"/>
    </row>
    <row r="862" spans="1:4" s="152" customFormat="1" ht="15" hidden="1" customHeight="1">
      <c r="A862" s="323"/>
      <c r="D862" s="154"/>
    </row>
    <row r="863" spans="1:4" s="152" customFormat="1" ht="15" hidden="1" customHeight="1">
      <c r="A863" s="323"/>
      <c r="D863" s="154"/>
    </row>
    <row r="864" spans="1:4" s="152" customFormat="1" ht="15" hidden="1" customHeight="1">
      <c r="A864" s="323"/>
      <c r="D864" s="154"/>
    </row>
    <row r="865" spans="1:4" s="152" customFormat="1" ht="15" hidden="1" customHeight="1">
      <c r="A865" s="323"/>
      <c r="D865" s="154"/>
    </row>
    <row r="866" spans="1:4" s="152" customFormat="1" ht="15" hidden="1" customHeight="1">
      <c r="A866" s="323"/>
      <c r="D866" s="154"/>
    </row>
    <row r="867" spans="1:4" s="152" customFormat="1" ht="15" hidden="1" customHeight="1">
      <c r="A867" s="323"/>
      <c r="D867" s="154"/>
    </row>
    <row r="868" spans="1:4" s="152" customFormat="1" ht="15" hidden="1" customHeight="1">
      <c r="A868" s="323"/>
      <c r="D868" s="154"/>
    </row>
    <row r="869" spans="1:4" s="152" customFormat="1" ht="15" hidden="1" customHeight="1">
      <c r="A869" s="323"/>
      <c r="D869" s="154"/>
    </row>
    <row r="870" spans="1:4" s="152" customFormat="1" ht="15" hidden="1" customHeight="1">
      <c r="A870" s="323"/>
      <c r="D870" s="154"/>
    </row>
    <row r="871" spans="1:4" s="152" customFormat="1" ht="15" hidden="1" customHeight="1">
      <c r="A871" s="323"/>
      <c r="D871" s="154"/>
    </row>
    <row r="872" spans="1:4" s="152" customFormat="1" ht="15" hidden="1" customHeight="1">
      <c r="A872" s="323"/>
      <c r="D872" s="154"/>
    </row>
    <row r="873" spans="1:4" s="152" customFormat="1" ht="15" hidden="1" customHeight="1">
      <c r="A873" s="323"/>
      <c r="D873" s="154"/>
    </row>
    <row r="874" spans="1:4" s="152" customFormat="1" ht="15" hidden="1" customHeight="1">
      <c r="A874" s="323"/>
      <c r="D874" s="154"/>
    </row>
    <row r="875" spans="1:4" s="152" customFormat="1" ht="15" hidden="1" customHeight="1">
      <c r="A875" s="323"/>
      <c r="D875" s="154"/>
    </row>
    <row r="876" spans="1:4" s="152" customFormat="1" ht="15" hidden="1" customHeight="1">
      <c r="A876" s="323"/>
      <c r="D876" s="154"/>
    </row>
    <row r="877" spans="1:4" s="152" customFormat="1" ht="15" hidden="1" customHeight="1">
      <c r="A877" s="323"/>
      <c r="D877" s="154"/>
    </row>
    <row r="878" spans="1:4" s="152" customFormat="1" ht="15" hidden="1" customHeight="1">
      <c r="A878" s="323"/>
      <c r="D878" s="154"/>
    </row>
    <row r="879" spans="1:4" s="152" customFormat="1" ht="15" hidden="1" customHeight="1">
      <c r="A879" s="323"/>
      <c r="D879" s="154"/>
    </row>
    <row r="880" spans="1:4" s="152" customFormat="1" ht="15" hidden="1" customHeight="1">
      <c r="A880" s="323"/>
      <c r="D880" s="154"/>
    </row>
    <row r="881" spans="1:4" s="152" customFormat="1" ht="15" hidden="1" customHeight="1">
      <c r="A881" s="323"/>
      <c r="D881" s="154"/>
    </row>
    <row r="882" spans="1:4" s="152" customFormat="1" ht="15" hidden="1" customHeight="1">
      <c r="A882" s="323"/>
      <c r="D882" s="154"/>
    </row>
    <row r="883" spans="1:4" s="152" customFormat="1" ht="15" hidden="1" customHeight="1">
      <c r="A883" s="323"/>
      <c r="D883" s="154"/>
    </row>
    <row r="884" spans="1:4" s="152" customFormat="1" ht="15" hidden="1" customHeight="1">
      <c r="A884" s="323"/>
      <c r="D884" s="154"/>
    </row>
    <row r="885" spans="1:4" s="152" customFormat="1" ht="15" hidden="1" customHeight="1">
      <c r="A885" s="323"/>
      <c r="D885" s="154"/>
    </row>
    <row r="886" spans="1:4" s="152" customFormat="1" ht="15" hidden="1" customHeight="1">
      <c r="A886" s="323"/>
      <c r="D886" s="154"/>
    </row>
    <row r="887" spans="1:4" s="152" customFormat="1" ht="15" hidden="1" customHeight="1">
      <c r="A887" s="323"/>
      <c r="D887" s="154"/>
    </row>
    <row r="888" spans="1:4" s="152" customFormat="1" ht="15" hidden="1" customHeight="1">
      <c r="A888" s="323"/>
      <c r="D888" s="154"/>
    </row>
    <row r="889" spans="1:4" s="152" customFormat="1" ht="15" hidden="1" customHeight="1">
      <c r="A889" s="323"/>
      <c r="D889" s="154"/>
    </row>
    <row r="890" spans="1:4" s="152" customFormat="1" ht="15" hidden="1" customHeight="1">
      <c r="A890" s="323"/>
      <c r="D890" s="154"/>
    </row>
    <row r="891" spans="1:4" s="152" customFormat="1" ht="15" hidden="1" customHeight="1">
      <c r="A891" s="323"/>
      <c r="D891" s="154"/>
    </row>
    <row r="892" spans="1:4" s="152" customFormat="1" ht="15" hidden="1" customHeight="1">
      <c r="A892" s="323"/>
      <c r="D892" s="154"/>
    </row>
    <row r="893" spans="1:4" s="152" customFormat="1" ht="15" hidden="1" customHeight="1">
      <c r="A893" s="323"/>
      <c r="D893" s="154"/>
    </row>
    <row r="894" spans="1:4" s="152" customFormat="1" ht="15" hidden="1" customHeight="1">
      <c r="A894" s="323"/>
      <c r="D894" s="154"/>
    </row>
    <row r="895" spans="1:4" s="152" customFormat="1" ht="15" hidden="1" customHeight="1">
      <c r="A895" s="323"/>
      <c r="D895" s="154"/>
    </row>
    <row r="896" spans="1:4" s="152" customFormat="1" ht="15" hidden="1" customHeight="1">
      <c r="A896" s="323"/>
      <c r="D896" s="154"/>
    </row>
    <row r="897" spans="1:4" s="152" customFormat="1" ht="15" hidden="1" customHeight="1">
      <c r="A897" s="323"/>
      <c r="D897" s="154"/>
    </row>
    <row r="898" spans="1:4" s="152" customFormat="1" ht="15" hidden="1" customHeight="1">
      <c r="A898" s="323"/>
      <c r="D898" s="154"/>
    </row>
    <row r="899" spans="1:4" s="152" customFormat="1" ht="15" hidden="1" customHeight="1">
      <c r="A899" s="323"/>
      <c r="D899" s="154"/>
    </row>
    <row r="900" spans="1:4" s="152" customFormat="1" ht="15" hidden="1" customHeight="1">
      <c r="A900" s="323"/>
      <c r="D900" s="154"/>
    </row>
    <row r="901" spans="1:4" s="152" customFormat="1" ht="15" hidden="1" customHeight="1">
      <c r="A901" s="323"/>
      <c r="D901" s="154"/>
    </row>
    <row r="902" spans="1:4" s="152" customFormat="1" ht="15" hidden="1" customHeight="1">
      <c r="A902" s="323"/>
      <c r="D902" s="154"/>
    </row>
    <row r="903" spans="1:4" s="152" customFormat="1" ht="15" hidden="1" customHeight="1">
      <c r="A903" s="323"/>
      <c r="D903" s="154"/>
    </row>
    <row r="904" spans="1:4" s="152" customFormat="1" ht="15" hidden="1" customHeight="1">
      <c r="A904" s="323"/>
      <c r="D904" s="154"/>
    </row>
    <row r="905" spans="1:4" s="152" customFormat="1" ht="15" hidden="1" customHeight="1">
      <c r="A905" s="323"/>
      <c r="D905" s="154"/>
    </row>
    <row r="906" spans="1:4" s="152" customFormat="1" ht="15" hidden="1" customHeight="1">
      <c r="A906" s="323"/>
      <c r="D906" s="154"/>
    </row>
    <row r="907" spans="1:4" s="152" customFormat="1" ht="15" hidden="1" customHeight="1">
      <c r="A907" s="323"/>
      <c r="D907" s="154"/>
    </row>
    <row r="908" spans="1:4" s="152" customFormat="1" ht="15" hidden="1" customHeight="1">
      <c r="A908" s="323"/>
      <c r="D908" s="154"/>
    </row>
    <row r="909" spans="1:4" s="152" customFormat="1" ht="15" hidden="1" customHeight="1">
      <c r="A909" s="323"/>
      <c r="D909" s="154"/>
    </row>
    <row r="910" spans="1:4" s="152" customFormat="1" ht="15" hidden="1" customHeight="1">
      <c r="A910" s="323"/>
      <c r="D910" s="154"/>
    </row>
    <row r="911" spans="1:4" s="152" customFormat="1" ht="15" hidden="1" customHeight="1">
      <c r="A911" s="323"/>
      <c r="D911" s="154"/>
    </row>
    <row r="912" spans="1:4" s="152" customFormat="1" ht="15" hidden="1" customHeight="1">
      <c r="A912" s="323"/>
      <c r="D912" s="154"/>
    </row>
    <row r="913" spans="1:4" s="152" customFormat="1" ht="15" hidden="1" customHeight="1">
      <c r="A913" s="323"/>
      <c r="D913" s="154"/>
    </row>
    <row r="914" spans="1:4" s="152" customFormat="1" ht="15" hidden="1" customHeight="1">
      <c r="A914" s="323"/>
      <c r="D914" s="154"/>
    </row>
    <row r="915" spans="1:4" s="152" customFormat="1" ht="15" hidden="1" customHeight="1">
      <c r="A915" s="323"/>
      <c r="D915" s="154"/>
    </row>
    <row r="916" spans="1:4" s="152" customFormat="1" ht="15" hidden="1" customHeight="1">
      <c r="A916" s="323"/>
      <c r="D916" s="154"/>
    </row>
    <row r="917" spans="1:4" s="152" customFormat="1" ht="15" hidden="1" customHeight="1">
      <c r="A917" s="323"/>
      <c r="D917" s="154"/>
    </row>
    <row r="918" spans="1:4" s="152" customFormat="1" ht="15" hidden="1" customHeight="1">
      <c r="A918" s="323"/>
      <c r="D918" s="154"/>
    </row>
    <row r="919" spans="1:4" s="152" customFormat="1" ht="15" hidden="1" customHeight="1">
      <c r="A919" s="323"/>
      <c r="D919" s="154"/>
    </row>
    <row r="920" spans="1:4" s="152" customFormat="1" ht="15" hidden="1" customHeight="1">
      <c r="A920" s="323"/>
      <c r="D920" s="154"/>
    </row>
    <row r="921" spans="1:4" s="152" customFormat="1" ht="15" hidden="1" customHeight="1">
      <c r="A921" s="323"/>
      <c r="D921" s="154"/>
    </row>
    <row r="922" spans="1:4" s="152" customFormat="1" ht="15" hidden="1" customHeight="1">
      <c r="A922" s="323"/>
      <c r="D922" s="154"/>
    </row>
    <row r="923" spans="1:4" s="152" customFormat="1" ht="15" hidden="1" customHeight="1">
      <c r="A923" s="323"/>
      <c r="D923" s="154"/>
    </row>
    <row r="924" spans="1:4" s="152" customFormat="1" ht="15" hidden="1" customHeight="1">
      <c r="A924" s="323"/>
      <c r="D924" s="154"/>
    </row>
    <row r="925" spans="1:4" s="152" customFormat="1" ht="15" hidden="1" customHeight="1">
      <c r="A925" s="323"/>
      <c r="D925" s="154"/>
    </row>
    <row r="926" spans="1:4" s="152" customFormat="1" ht="15" hidden="1" customHeight="1">
      <c r="A926" s="323"/>
      <c r="D926" s="154"/>
    </row>
    <row r="927" spans="1:4" s="152" customFormat="1" ht="15" hidden="1" customHeight="1">
      <c r="A927" s="323"/>
      <c r="D927" s="154"/>
    </row>
  </sheetData>
  <sheetProtection algorithmName="SHA-512" hashValue="lua1olGpRQp+GuPnvlSy+ybQvd0CQK99KlWv6FX0VFZeD2ISyE7twUJr7ZoH5TKu/xyFpKFn2gaG2LrVtpwGyg==" saltValue="9iX7rtqOYd6L0pmi+CXaZQ==" spinCount="100000" sheet="1" formatCells="0" formatColumns="0" formatRows="0" insertColumns="0" insertRows="0" insertHyperlinks="0" deleteColumns="0" deleteRows="0" sort="0" autoFilter="0" pivotTables="0"/>
  <mergeCells count="1"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 K217:L256 K417:L436 K438:L451 K453:L471 K489:L489 K322:L338 K928:L64595 K113:L215 K473:L487 K378:L415 K340:L376 K258:L320 K491:L496" xr:uid="{411EB85D-AEA0-49D1-B27C-A7D2B45E006D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3B026811-6542-407B-86CE-F919D8F8F226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8 K216:L216 K257:L257 K321:L321 K339:L339 K377:L377 K416:L416 K437:L437 K452:L452 K472:L472 K488:L488 K490:L490" xr:uid="{67B6DE17-C363-4442-9182-65C74D6EEACA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9:L54" xr:uid="{5661FDFA-DBFC-4687-8EDF-8F8CDE2A5D86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9" manualBreakCount="9">
    <brk id="64" max="8" man="1"/>
    <brk id="121" max="8" man="1"/>
    <brk id="178" max="8" man="1"/>
    <brk id="234" max="8" man="1"/>
    <brk id="290" max="8" man="1"/>
    <brk id="338" max="8" man="1"/>
    <brk id="395" max="8" man="1"/>
    <brk id="436" max="8" man="1"/>
    <brk id="487" max="8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AA0FF-A84E-4A4D-BAAC-796F6A103F74}">
  <sheetPr>
    <tabColor theme="0"/>
    <pageSetUpPr fitToPage="1"/>
  </sheetPr>
  <dimension ref="A1:V566"/>
  <sheetViews>
    <sheetView showGridLines="0" zoomScaleNormal="100" workbookViewId="0">
      <pane xSplit="6" ySplit="7" topLeftCell="G113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8" width="10.7109375" style="20" customWidth="1"/>
    <col min="9" max="9" width="10.7109375" style="25" customWidth="1"/>
    <col min="10" max="10" width="10.7109375" style="293" customWidth="1"/>
    <col min="11" max="11" width="10.7109375" style="20" customWidth="1"/>
    <col min="12" max="12" width="1.42578125" style="20" customWidth="1"/>
    <col min="13" max="13" width="10.7109375" style="20" customWidth="1"/>
    <col min="14" max="14" width="2.28515625" style="17" customWidth="1"/>
    <col min="15" max="15" width="12.7109375" style="20" customWidth="1"/>
    <col min="16" max="16" width="10.7109375" style="20" customWidth="1"/>
    <col min="17" max="17" width="11.28515625" style="17" bestFit="1" customWidth="1"/>
    <col min="18" max="18" width="9.140625" style="17" customWidth="1"/>
    <col min="19" max="19" width="13.140625" style="17" bestFit="1" customWidth="1"/>
    <col min="20" max="32" width="9.140625" style="17" customWidth="1"/>
    <col min="33" max="16384" width="9.140625" style="17"/>
  </cols>
  <sheetData>
    <row r="1" spans="1:22" ht="18.75">
      <c r="F1" s="173" t="s">
        <v>45</v>
      </c>
      <c r="G1" s="236"/>
      <c r="H1" s="236"/>
      <c r="O1" s="236"/>
      <c r="P1" s="236"/>
    </row>
    <row r="2" spans="1:22" ht="14.45" customHeight="1">
      <c r="D2" s="238"/>
      <c r="E2" s="239"/>
      <c r="F2" s="236"/>
      <c r="G2" s="236"/>
      <c r="J2" s="336" t="s">
        <v>59</v>
      </c>
      <c r="K2" s="294"/>
    </row>
    <row r="3" spans="1:22" ht="14.45" customHeight="1">
      <c r="F3" s="436" t="s">
        <v>6513</v>
      </c>
      <c r="G3" s="4"/>
      <c r="H3" s="4"/>
      <c r="J3" s="294"/>
      <c r="K3" s="294"/>
    </row>
    <row r="4" spans="1:22" ht="14.45" customHeight="1">
      <c r="E4" s="163" t="s">
        <v>4668</v>
      </c>
      <c r="F4" s="440" t="s">
        <v>6514</v>
      </c>
      <c r="G4" s="4"/>
      <c r="H4" s="4"/>
      <c r="J4" s="215"/>
      <c r="K4" s="17"/>
    </row>
    <row r="5" spans="1:22" ht="14.45" customHeight="1">
      <c r="F5" s="438" t="s">
        <v>329</v>
      </c>
      <c r="G5" s="4"/>
      <c r="H5" s="4"/>
      <c r="J5" s="215"/>
      <c r="K5" s="17"/>
    </row>
    <row r="6" spans="1:22" ht="14.45" customHeight="1">
      <c r="J6" s="215"/>
      <c r="K6" s="17"/>
      <c r="Q6" s="629" t="s">
        <v>64</v>
      </c>
      <c r="R6" s="629"/>
      <c r="S6" s="629"/>
      <c r="T6" s="25"/>
      <c r="U6" s="25"/>
      <c r="V6" s="25"/>
    </row>
    <row r="7" spans="1:22" ht="33.75"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41" t="s">
        <v>70</v>
      </c>
      <c r="R7" s="241" t="s">
        <v>71</v>
      </c>
      <c r="S7" s="241" t="s">
        <v>72</v>
      </c>
      <c r="T7" s="263" t="s">
        <v>73</v>
      </c>
      <c r="U7" s="263" t="s">
        <v>330</v>
      </c>
      <c r="V7" s="263" t="s">
        <v>331</v>
      </c>
    </row>
    <row r="8" spans="1:22" ht="25.5" customHeight="1">
      <c r="B8" s="242" t="s">
        <v>6515</v>
      </c>
      <c r="C8" s="44"/>
      <c r="D8" s="44"/>
      <c r="E8" s="44"/>
      <c r="F8" s="44"/>
      <c r="G8" s="44"/>
      <c r="H8" s="44"/>
      <c r="I8" s="245"/>
      <c r="J8" s="245"/>
      <c r="K8" s="246"/>
      <c r="L8" s="243"/>
      <c r="M8" s="157"/>
      <c r="O8" s="44"/>
      <c r="P8" s="44"/>
    </row>
    <row r="9" spans="1:22" ht="14.45" customHeight="1">
      <c r="A9" s="104" t="str">
        <f>IF(K9&gt;0,COUNT($A$8:A8)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" s="110"/>
      <c r="C9" s="111"/>
      <c r="D9" s="158" t="s">
        <v>6516</v>
      </c>
      <c r="E9" s="106">
        <v>100028394</v>
      </c>
      <c r="F9" s="159" t="s">
        <v>6517</v>
      </c>
      <c r="G9" s="106">
        <v>1</v>
      </c>
      <c r="H9" s="106" t="s">
        <v>2803</v>
      </c>
      <c r="I9" s="153">
        <f>_xlfn.XLOOKUP(E9,'All Products'!D:D,'All Products'!H:H)</f>
        <v>16.64</v>
      </c>
      <c r="J9" s="205">
        <f>ROUNDUP(I9*Order_Quote!$L$27,2)</f>
        <v>83.2</v>
      </c>
      <c r="K9" s="78"/>
      <c r="L9" s="291"/>
      <c r="M9" s="199">
        <f t="shared" ref="M9:M18" si="0">K9/G9</f>
        <v>0</v>
      </c>
      <c r="N9" s="506"/>
      <c r="O9" s="265" t="s">
        <v>359</v>
      </c>
      <c r="P9" s="265" t="s">
        <v>102</v>
      </c>
      <c r="Q9" s="265">
        <v>0</v>
      </c>
      <c r="R9" s="265">
        <v>0</v>
      </c>
      <c r="S9" s="265">
        <v>0</v>
      </c>
      <c r="T9" s="347">
        <v>0.124</v>
      </c>
      <c r="U9" s="347">
        <v>0.124</v>
      </c>
      <c r="V9" s="348">
        <v>0</v>
      </c>
    </row>
    <row r="10" spans="1:22" ht="14.45" customHeight="1">
      <c r="A10" s="104" t="str">
        <f>IF(K10&gt;0,COUNT($A$8:A9)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" s="112"/>
      <c r="C10" s="79"/>
      <c r="D10" s="158" t="s">
        <v>6518</v>
      </c>
      <c r="E10" s="106">
        <v>100028395</v>
      </c>
      <c r="F10" s="159" t="s">
        <v>6519</v>
      </c>
      <c r="G10" s="106">
        <v>1</v>
      </c>
      <c r="H10" s="106" t="s">
        <v>2803</v>
      </c>
      <c r="I10" s="153">
        <f>_xlfn.XLOOKUP(E10,'All Products'!D:D,'All Products'!H:H)</f>
        <v>17.05</v>
      </c>
      <c r="J10" s="205">
        <f>ROUNDUP(I10*Order_Quote!$L$27,2)</f>
        <v>85.25</v>
      </c>
      <c r="K10" s="78"/>
      <c r="L10" s="116"/>
      <c r="M10" s="199">
        <f t="shared" si="0"/>
        <v>0</v>
      </c>
      <c r="N10" s="506"/>
      <c r="O10" s="265" t="s">
        <v>359</v>
      </c>
      <c r="P10" s="265" t="s">
        <v>102</v>
      </c>
      <c r="Q10" s="265" t="s">
        <v>6520</v>
      </c>
      <c r="R10" s="265">
        <v>0</v>
      </c>
      <c r="S10" s="265" t="s">
        <v>6521</v>
      </c>
      <c r="T10" s="347">
        <v>0.13</v>
      </c>
      <c r="U10" s="347">
        <v>0.13</v>
      </c>
      <c r="V10" s="348">
        <v>0</v>
      </c>
    </row>
    <row r="11" spans="1:22" ht="14.45" customHeight="1">
      <c r="A11" s="104" t="str">
        <f>IF(K11&gt;0,COUNT($A$8:A10)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" s="112"/>
      <c r="C11" s="79"/>
      <c r="D11" s="158" t="s">
        <v>6522</v>
      </c>
      <c r="E11" s="106">
        <v>100028396</v>
      </c>
      <c r="F11" s="159" t="s">
        <v>6523</v>
      </c>
      <c r="G11" s="106">
        <v>1</v>
      </c>
      <c r="H11" s="106" t="s">
        <v>2803</v>
      </c>
      <c r="I11" s="153">
        <f>_xlfn.XLOOKUP(E11,'All Products'!D:D,'All Products'!H:H)</f>
        <v>17.600000000000001</v>
      </c>
      <c r="J11" s="205">
        <f>ROUNDUP(I11*Order_Quote!$L$27,2)</f>
        <v>88</v>
      </c>
      <c r="K11" s="78"/>
      <c r="L11" s="116"/>
      <c r="M11" s="199">
        <f t="shared" si="0"/>
        <v>0</v>
      </c>
      <c r="N11" s="506"/>
      <c r="O11" s="265" t="s">
        <v>76</v>
      </c>
      <c r="P11" s="265" t="s">
        <v>102</v>
      </c>
      <c r="Q11" s="265">
        <v>0</v>
      </c>
      <c r="R11" s="265">
        <v>0</v>
      </c>
      <c r="S11" s="265">
        <v>0</v>
      </c>
      <c r="T11" s="347">
        <v>0.16600000000000001</v>
      </c>
      <c r="U11" s="347">
        <v>0.16600000000000001</v>
      </c>
      <c r="V11" s="348">
        <v>0</v>
      </c>
    </row>
    <row r="12" spans="1:22" ht="14.45" customHeight="1">
      <c r="A12" s="104" t="str">
        <f>IF(K12&gt;0,COUNT($A$8:A11)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" s="112"/>
      <c r="C12" s="79"/>
      <c r="D12" s="158" t="s">
        <v>6524</v>
      </c>
      <c r="E12" s="106">
        <v>100028397</v>
      </c>
      <c r="F12" s="159" t="s">
        <v>6525</v>
      </c>
      <c r="G12" s="106">
        <v>1</v>
      </c>
      <c r="H12" s="106" t="s">
        <v>2803</v>
      </c>
      <c r="I12" s="153">
        <f>_xlfn.XLOOKUP(E12,'All Products'!D:D,'All Products'!H:H)</f>
        <v>16.809999999999999</v>
      </c>
      <c r="J12" s="205">
        <f>ROUNDUP(I12*Order_Quote!$L$27,2)</f>
        <v>84.05</v>
      </c>
      <c r="K12" s="78"/>
      <c r="L12" s="116"/>
      <c r="M12" s="199">
        <f t="shared" si="0"/>
        <v>0</v>
      </c>
      <c r="N12" s="506"/>
      <c r="O12" s="265" t="s">
        <v>359</v>
      </c>
      <c r="P12" s="265" t="s">
        <v>102</v>
      </c>
      <c r="Q12" s="265" t="s">
        <v>6526</v>
      </c>
      <c r="R12" s="265">
        <v>0</v>
      </c>
      <c r="S12" s="265" t="s">
        <v>6527</v>
      </c>
      <c r="T12" s="347">
        <v>0.20499999999999999</v>
      </c>
      <c r="U12" s="347">
        <v>0.20499999999999999</v>
      </c>
      <c r="V12" s="348">
        <v>0</v>
      </c>
    </row>
    <row r="13" spans="1:22" ht="14.45" customHeight="1">
      <c r="A13" s="104" t="str">
        <f>IF(K13&gt;0,COUNT($A$8:A12)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" s="112"/>
      <c r="C13" s="79"/>
      <c r="D13" s="158" t="s">
        <v>6528</v>
      </c>
      <c r="E13" s="106">
        <v>100028398</v>
      </c>
      <c r="F13" s="159" t="s">
        <v>6529</v>
      </c>
      <c r="G13" s="106">
        <v>1</v>
      </c>
      <c r="H13" s="106" t="s">
        <v>2803</v>
      </c>
      <c r="I13" s="153">
        <f>_xlfn.XLOOKUP(E13,'All Products'!D:D,'All Products'!H:H)</f>
        <v>17.440000000000001</v>
      </c>
      <c r="J13" s="205">
        <f>ROUNDUP(I13*Order_Quote!$L$27,2)</f>
        <v>87.2</v>
      </c>
      <c r="K13" s="78"/>
      <c r="L13" s="116"/>
      <c r="M13" s="199">
        <f t="shared" si="0"/>
        <v>0</v>
      </c>
      <c r="N13" s="506"/>
      <c r="O13" s="265" t="s">
        <v>76</v>
      </c>
      <c r="P13" s="265" t="s">
        <v>102</v>
      </c>
      <c r="Q13" s="265" t="s">
        <v>6530</v>
      </c>
      <c r="R13" s="265">
        <v>0</v>
      </c>
      <c r="S13" s="265" t="s">
        <v>6531</v>
      </c>
      <c r="T13" s="347">
        <v>0.185</v>
      </c>
      <c r="U13" s="347">
        <v>0.185</v>
      </c>
      <c r="V13" s="348">
        <v>0</v>
      </c>
    </row>
    <row r="14" spans="1:22" ht="14.45" customHeight="1">
      <c r="A14" s="104" t="str">
        <f>IF(K14&gt;0,COUNT($A$8:A13)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4" s="112"/>
      <c r="C14" s="79"/>
      <c r="D14" s="158" t="s">
        <v>6532</v>
      </c>
      <c r="E14" s="106">
        <v>100023756</v>
      </c>
      <c r="F14" s="159" t="s">
        <v>6533</v>
      </c>
      <c r="G14" s="106">
        <v>1</v>
      </c>
      <c r="H14" s="106" t="s">
        <v>2803</v>
      </c>
      <c r="I14" s="153">
        <f>_xlfn.XLOOKUP(E14,'All Products'!D:D,'All Products'!H:H)</f>
        <v>17.600000000000001</v>
      </c>
      <c r="J14" s="205">
        <f>ROUNDUP(I14*Order_Quote!$L$27,2)</f>
        <v>88</v>
      </c>
      <c r="K14" s="78"/>
      <c r="L14" s="116"/>
      <c r="M14" s="199">
        <f t="shared" si="0"/>
        <v>0</v>
      </c>
      <c r="N14" s="506"/>
      <c r="O14" s="265" t="s">
        <v>76</v>
      </c>
      <c r="P14" s="265" t="s">
        <v>102</v>
      </c>
      <c r="Q14" s="265" t="s">
        <v>6534</v>
      </c>
      <c r="R14" s="265">
        <v>0</v>
      </c>
      <c r="S14" s="265" t="s">
        <v>6535</v>
      </c>
      <c r="T14" s="347">
        <v>0.38500000000000001</v>
      </c>
      <c r="U14" s="347">
        <v>0.38500000000000001</v>
      </c>
      <c r="V14" s="348">
        <v>0</v>
      </c>
    </row>
    <row r="15" spans="1:22" ht="14.45" customHeight="1">
      <c r="A15" s="104" t="str">
        <f>IF(K15&gt;0,COUNT($A$8:A14)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5" s="112"/>
      <c r="C15" s="79"/>
      <c r="D15" s="158" t="s">
        <v>6536</v>
      </c>
      <c r="E15" s="106">
        <v>100023757</v>
      </c>
      <c r="F15" s="159" t="s">
        <v>6537</v>
      </c>
      <c r="G15" s="106">
        <v>1</v>
      </c>
      <c r="H15" s="106" t="s">
        <v>2803</v>
      </c>
      <c r="I15" s="153">
        <f>_xlfn.XLOOKUP(E15,'All Products'!D:D,'All Products'!H:H)</f>
        <v>17.600000000000001</v>
      </c>
      <c r="J15" s="205">
        <f>ROUNDUP(I15*Order_Quote!$L$27,2)</f>
        <v>88</v>
      </c>
      <c r="K15" s="78"/>
      <c r="L15" s="116"/>
      <c r="M15" s="199">
        <f t="shared" si="0"/>
        <v>0</v>
      </c>
      <c r="N15" s="506"/>
      <c r="O15" s="265" t="s">
        <v>76</v>
      </c>
      <c r="P15" s="265" t="s">
        <v>102</v>
      </c>
      <c r="Q15" s="265" t="s">
        <v>6538</v>
      </c>
      <c r="R15" s="265">
        <v>0</v>
      </c>
      <c r="S15" s="265" t="s">
        <v>6539</v>
      </c>
      <c r="T15" s="347">
        <v>0.37</v>
      </c>
      <c r="U15" s="347">
        <v>0.37</v>
      </c>
      <c r="V15" s="348">
        <v>0</v>
      </c>
    </row>
    <row r="16" spans="1:22" ht="14.45" customHeight="1">
      <c r="A16" s="104" t="str">
        <f>IF(K16&gt;0,COUNT($A$8:A15)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6" s="112"/>
      <c r="C16" s="79"/>
      <c r="D16" s="158" t="s">
        <v>6540</v>
      </c>
      <c r="E16" s="106">
        <v>100028399</v>
      </c>
      <c r="F16" s="159" t="s">
        <v>6541</v>
      </c>
      <c r="G16" s="106">
        <v>1</v>
      </c>
      <c r="H16" s="106" t="s">
        <v>2803</v>
      </c>
      <c r="I16" s="153">
        <f>_xlfn.XLOOKUP(E16,'All Products'!D:D,'All Products'!H:H)</f>
        <v>16.64</v>
      </c>
      <c r="J16" s="205">
        <f>ROUNDUP(I16*Order_Quote!$L$27,2)</f>
        <v>83.2</v>
      </c>
      <c r="K16" s="78"/>
      <c r="L16" s="116"/>
      <c r="M16" s="199">
        <f t="shared" si="0"/>
        <v>0</v>
      </c>
      <c r="N16" s="506"/>
      <c r="O16" s="265" t="s">
        <v>359</v>
      </c>
      <c r="P16" s="265" t="s">
        <v>102</v>
      </c>
      <c r="Q16" s="265">
        <v>0</v>
      </c>
      <c r="R16" s="265">
        <v>0</v>
      </c>
      <c r="S16" s="265">
        <v>0</v>
      </c>
      <c r="T16" s="347">
        <v>9.5000000000000001E-2</v>
      </c>
      <c r="U16" s="347">
        <v>9.5000000000000001E-2</v>
      </c>
      <c r="V16" s="348">
        <v>0</v>
      </c>
    </row>
    <row r="17" spans="1:22" ht="14.45" customHeight="1">
      <c r="A17" s="104" t="str">
        <f>IF(K17&gt;0,COUNT($A$8:A16)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7" s="112"/>
      <c r="C17" s="79"/>
      <c r="D17" s="158" t="s">
        <v>6542</v>
      </c>
      <c r="E17" s="106">
        <v>100028400</v>
      </c>
      <c r="F17" s="159" t="s">
        <v>6543</v>
      </c>
      <c r="G17" s="106">
        <v>1</v>
      </c>
      <c r="H17" s="106" t="s">
        <v>2803</v>
      </c>
      <c r="I17" s="153">
        <f>_xlfn.XLOOKUP(E17,'All Products'!D:D,'All Products'!H:H)</f>
        <v>17.05</v>
      </c>
      <c r="J17" s="205">
        <f>ROUNDUP(I17*Order_Quote!$L$27,2)</f>
        <v>85.25</v>
      </c>
      <c r="K17" s="78"/>
      <c r="L17" s="116"/>
      <c r="M17" s="199">
        <f t="shared" si="0"/>
        <v>0</v>
      </c>
      <c r="N17" s="506"/>
      <c r="O17" s="265" t="s">
        <v>76</v>
      </c>
      <c r="P17" s="265" t="s">
        <v>102</v>
      </c>
      <c r="Q17" s="265" t="s">
        <v>6544</v>
      </c>
      <c r="R17" s="265">
        <v>0</v>
      </c>
      <c r="S17" s="265" t="s">
        <v>6545</v>
      </c>
      <c r="T17" s="347">
        <v>0.13100000000000001</v>
      </c>
      <c r="U17" s="347">
        <v>0.13100000000000001</v>
      </c>
      <c r="V17" s="348">
        <v>0</v>
      </c>
    </row>
    <row r="18" spans="1:22" ht="14.45" customHeight="1">
      <c r="A18" s="104" t="str">
        <f>IF(K18&gt;0,COUNT($A$8:A17)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8" s="113"/>
      <c r="C18" s="114"/>
      <c r="D18" s="158" t="s">
        <v>6546</v>
      </c>
      <c r="E18" s="106">
        <v>100028401</v>
      </c>
      <c r="F18" s="159" t="s">
        <v>6547</v>
      </c>
      <c r="G18" s="106">
        <v>1</v>
      </c>
      <c r="H18" s="106" t="s">
        <v>2803</v>
      </c>
      <c r="I18" s="153">
        <f>_xlfn.XLOOKUP(E18,'All Products'!D:D,'All Products'!H:H)</f>
        <v>17.600000000000001</v>
      </c>
      <c r="J18" s="205">
        <f>ROUNDUP(I18*Order_Quote!$L$27,2)</f>
        <v>88</v>
      </c>
      <c r="K18" s="78"/>
      <c r="L18" s="292"/>
      <c r="M18" s="199">
        <f t="shared" si="0"/>
        <v>0</v>
      </c>
      <c r="N18" s="506"/>
      <c r="O18" s="265" t="s">
        <v>76</v>
      </c>
      <c r="P18" s="265" t="s">
        <v>102</v>
      </c>
      <c r="Q18" s="265">
        <v>0</v>
      </c>
      <c r="R18" s="265">
        <v>0</v>
      </c>
      <c r="S18" s="265">
        <v>0</v>
      </c>
      <c r="T18" s="347">
        <v>0.16</v>
      </c>
      <c r="U18" s="347">
        <v>0.16</v>
      </c>
      <c r="V18" s="348">
        <v>0</v>
      </c>
    </row>
    <row r="19" spans="1:22" ht="25.5" customHeight="1">
      <c r="A19" s="104" t="str">
        <f>IF(K19&gt;0,COUNT($A$8:A18)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9" s="242" t="s">
        <v>6548</v>
      </c>
      <c r="C19" s="44"/>
      <c r="D19" s="44"/>
      <c r="E19" s="44" t="e">
        <v>#N/A</v>
      </c>
      <c r="F19" s="44"/>
      <c r="G19" s="44"/>
      <c r="H19" s="44"/>
      <c r="I19" s="245" t="e">
        <f>_xlfn.XLOOKUP(E19,'All Products'!D:D,'All Products'!H:H)</f>
        <v>#N/A</v>
      </c>
      <c r="J19" s="245" t="e">
        <f>ROUNDUP(I19*Order_Quote!$L$27,2)</f>
        <v>#N/A</v>
      </c>
      <c r="K19" s="246"/>
      <c r="L19" s="243"/>
      <c r="M19" s="157"/>
      <c r="O19" s="44"/>
      <c r="P19" s="44"/>
    </row>
    <row r="20" spans="1:22" ht="14.45" customHeight="1">
      <c r="A20" s="104" t="str">
        <f>IF(K20&gt;0,COUNT($A$8:A19)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0" s="110"/>
      <c r="C20" s="111"/>
      <c r="D20" s="158" t="s">
        <v>6549</v>
      </c>
      <c r="E20" s="106">
        <v>100028319</v>
      </c>
      <c r="F20" s="159" t="s">
        <v>6550</v>
      </c>
      <c r="G20" s="106">
        <v>1</v>
      </c>
      <c r="H20" s="106" t="s">
        <v>2803</v>
      </c>
      <c r="I20" s="153">
        <f>_xlfn.XLOOKUP(E20,'All Products'!D:D,'All Products'!H:H)</f>
        <v>22.79</v>
      </c>
      <c r="J20" s="205">
        <f>ROUNDUP(I20*Order_Quote!$L$27,2)</f>
        <v>113.95</v>
      </c>
      <c r="K20" s="78"/>
      <c r="L20" s="291"/>
      <c r="M20" s="199">
        <f t="shared" ref="M20:M84" si="1">K20/G20</f>
        <v>0</v>
      </c>
      <c r="N20" s="506"/>
      <c r="O20" s="265" t="s">
        <v>359</v>
      </c>
      <c r="P20" s="265" t="s">
        <v>102</v>
      </c>
      <c r="Q20" s="265" t="s">
        <v>6551</v>
      </c>
      <c r="R20" s="265">
        <v>0</v>
      </c>
      <c r="S20" s="265" t="s">
        <v>6552</v>
      </c>
      <c r="T20" s="347">
        <v>0.26</v>
      </c>
      <c r="U20" s="347">
        <v>0.26</v>
      </c>
      <c r="V20" s="348">
        <v>0</v>
      </c>
    </row>
    <row r="21" spans="1:22" ht="14.45" customHeight="1">
      <c r="A21" s="104" t="str">
        <f>IF(K21&gt;0,COUNT($A$8:A20)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1" s="112"/>
      <c r="C21" s="79"/>
      <c r="D21" s="158" t="s">
        <v>6553</v>
      </c>
      <c r="E21" s="106">
        <v>100028321</v>
      </c>
      <c r="F21" s="159" t="s">
        <v>6554</v>
      </c>
      <c r="G21" s="106">
        <v>1</v>
      </c>
      <c r="H21" s="106" t="s">
        <v>2803</v>
      </c>
      <c r="I21" s="153">
        <f>_xlfn.XLOOKUP(E21,'All Products'!D:D,'All Products'!H:H)</f>
        <v>28.93</v>
      </c>
      <c r="J21" s="205">
        <f>ROUNDUP(I21*Order_Quote!$L$27,2)</f>
        <v>144.65</v>
      </c>
      <c r="K21" s="78"/>
      <c r="L21" s="116"/>
      <c r="M21" s="199">
        <f t="shared" si="1"/>
        <v>0</v>
      </c>
      <c r="N21" s="506"/>
      <c r="O21" s="265" t="s">
        <v>359</v>
      </c>
      <c r="P21" s="265" t="s">
        <v>102</v>
      </c>
      <c r="Q21" s="265" t="s">
        <v>6555</v>
      </c>
      <c r="R21" s="265">
        <v>0</v>
      </c>
      <c r="S21" s="265" t="s">
        <v>6556</v>
      </c>
      <c r="T21" s="347">
        <v>0.49</v>
      </c>
      <c r="U21" s="347">
        <v>0.49</v>
      </c>
      <c r="V21" s="348">
        <v>0</v>
      </c>
    </row>
    <row r="22" spans="1:22" ht="14.45" customHeight="1">
      <c r="A22" s="104" t="str">
        <f>IF(K22&gt;0,COUNT($A$8:A21)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2" s="112"/>
      <c r="C22" s="79"/>
      <c r="D22" s="158" t="s">
        <v>6557</v>
      </c>
      <c r="E22" s="106">
        <v>100028322</v>
      </c>
      <c r="F22" s="159" t="s">
        <v>6558</v>
      </c>
      <c r="G22" s="106">
        <v>1</v>
      </c>
      <c r="H22" s="106" t="s">
        <v>2803</v>
      </c>
      <c r="I22" s="153">
        <f>_xlfn.XLOOKUP(E22,'All Products'!D:D,'All Products'!H:H)</f>
        <v>16.64</v>
      </c>
      <c r="J22" s="205">
        <f>ROUNDUP(I22*Order_Quote!$L$27,2)</f>
        <v>83.2</v>
      </c>
      <c r="K22" s="78"/>
      <c r="L22" s="116"/>
      <c r="M22" s="199">
        <f t="shared" si="1"/>
        <v>0</v>
      </c>
      <c r="N22" s="506"/>
      <c r="O22" s="265" t="s">
        <v>359</v>
      </c>
      <c r="P22" s="265" t="s">
        <v>102</v>
      </c>
      <c r="Q22" s="265" t="s">
        <v>6559</v>
      </c>
      <c r="R22" s="265">
        <v>0</v>
      </c>
      <c r="S22" s="265" t="s">
        <v>6560</v>
      </c>
      <c r="T22" s="347">
        <v>0.125</v>
      </c>
      <c r="U22" s="347">
        <v>0.125</v>
      </c>
      <c r="V22" s="348">
        <v>0</v>
      </c>
    </row>
    <row r="23" spans="1:22" ht="14.45" customHeight="1">
      <c r="A23" s="104" t="str">
        <f>IF(K23&gt;0,COUNT($A$8:A22)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3" s="112"/>
      <c r="C23" s="79"/>
      <c r="D23" s="158" t="s">
        <v>6561</v>
      </c>
      <c r="E23" s="106">
        <v>100028323</v>
      </c>
      <c r="F23" s="159" t="s">
        <v>6562</v>
      </c>
      <c r="G23" s="106">
        <v>1</v>
      </c>
      <c r="H23" s="106" t="s">
        <v>2803</v>
      </c>
      <c r="I23" s="153">
        <f>_xlfn.XLOOKUP(E23,'All Products'!D:D,'All Products'!H:H)</f>
        <v>17.600000000000001</v>
      </c>
      <c r="J23" s="205">
        <f>ROUNDUP(I23*Order_Quote!$L$27,2)</f>
        <v>88</v>
      </c>
      <c r="K23" s="78"/>
      <c r="L23" s="116"/>
      <c r="M23" s="199">
        <f t="shared" si="1"/>
        <v>0</v>
      </c>
      <c r="N23" s="506"/>
      <c r="O23" s="265" t="s">
        <v>359</v>
      </c>
      <c r="P23" s="265" t="s">
        <v>102</v>
      </c>
      <c r="Q23" s="265" t="s">
        <v>6563</v>
      </c>
      <c r="R23" s="265">
        <v>0</v>
      </c>
      <c r="S23" s="265" t="s">
        <v>6564</v>
      </c>
      <c r="T23" s="347">
        <v>0.28499999999999998</v>
      </c>
      <c r="U23" s="347">
        <v>0.28499999999999998</v>
      </c>
      <c r="V23" s="348">
        <v>0</v>
      </c>
    </row>
    <row r="24" spans="1:22" ht="14.45" customHeight="1">
      <c r="A24" s="104" t="str">
        <f>IF(K24&gt;0,COUNT($A$8:A23)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4" s="112"/>
      <c r="C24" s="79"/>
      <c r="D24" s="158" t="s">
        <v>6565</v>
      </c>
      <c r="E24" s="106">
        <v>100030528</v>
      </c>
      <c r="F24" s="159" t="s">
        <v>6566</v>
      </c>
      <c r="G24" s="106">
        <v>1</v>
      </c>
      <c r="H24" s="106" t="s">
        <v>2803</v>
      </c>
      <c r="I24" s="153">
        <f>_xlfn.XLOOKUP(E24,'All Products'!D:D,'All Products'!H:H)</f>
        <v>16.64</v>
      </c>
      <c r="J24" s="205">
        <f>ROUNDUP(I24*Order_Quote!$L$27,2)</f>
        <v>83.2</v>
      </c>
      <c r="K24" s="78"/>
      <c r="L24" s="116"/>
      <c r="M24" s="199">
        <f t="shared" si="1"/>
        <v>0</v>
      </c>
      <c r="N24" s="506"/>
      <c r="O24" s="265" t="s">
        <v>76</v>
      </c>
      <c r="P24" s="265" t="s">
        <v>102</v>
      </c>
      <c r="Q24" s="265" t="s">
        <v>6567</v>
      </c>
      <c r="R24" s="265">
        <v>0</v>
      </c>
      <c r="S24" s="265" t="s">
        <v>6568</v>
      </c>
      <c r="T24" s="347">
        <v>0.124</v>
      </c>
      <c r="U24" s="347">
        <v>0.124</v>
      </c>
      <c r="V24" s="348">
        <v>0</v>
      </c>
    </row>
    <row r="25" spans="1:22" ht="14.45" customHeight="1">
      <c r="A25" s="104" t="str">
        <f>IF(K25&gt;0,COUNT($A$8:A24)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5" s="112"/>
      <c r="C25" s="79"/>
      <c r="D25" s="158" t="s">
        <v>6569</v>
      </c>
      <c r="E25" s="106">
        <v>100028324</v>
      </c>
      <c r="F25" s="159" t="s">
        <v>6570</v>
      </c>
      <c r="G25" s="106">
        <v>1</v>
      </c>
      <c r="H25" s="106" t="s">
        <v>2803</v>
      </c>
      <c r="I25" s="153">
        <f>_xlfn.XLOOKUP(E25,'All Products'!D:D,'All Products'!H:H)</f>
        <v>17.600000000000001</v>
      </c>
      <c r="J25" s="205">
        <f>ROUNDUP(I25*Order_Quote!$L$27,2)</f>
        <v>88</v>
      </c>
      <c r="K25" s="78"/>
      <c r="L25" s="116"/>
      <c r="M25" s="199">
        <f t="shared" si="1"/>
        <v>0</v>
      </c>
      <c r="N25" s="506"/>
      <c r="O25" s="265" t="s">
        <v>359</v>
      </c>
      <c r="P25" s="265" t="s">
        <v>102</v>
      </c>
      <c r="Q25" s="265" t="s">
        <v>6571</v>
      </c>
      <c r="R25" s="265">
        <v>0</v>
      </c>
      <c r="S25" s="265" t="s">
        <v>6572</v>
      </c>
      <c r="T25" s="347">
        <v>0.19</v>
      </c>
      <c r="U25" s="347">
        <v>0.19</v>
      </c>
      <c r="V25" s="348">
        <v>0</v>
      </c>
    </row>
    <row r="26" spans="1:22" ht="14.45" customHeight="1">
      <c r="A26" s="104" t="str">
        <f>IF(K26&gt;0,COUNT($A$8:A25)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6" s="112"/>
      <c r="C26" s="79"/>
      <c r="D26" s="158" t="s">
        <v>6573</v>
      </c>
      <c r="E26" s="106">
        <v>100028325</v>
      </c>
      <c r="F26" s="159" t="s">
        <v>6574</v>
      </c>
      <c r="G26" s="106">
        <v>1</v>
      </c>
      <c r="H26" s="106" t="s">
        <v>2803</v>
      </c>
      <c r="I26" s="153">
        <f>_xlfn.XLOOKUP(E26,'All Products'!D:D,'All Products'!H:H)</f>
        <v>16.809999999999999</v>
      </c>
      <c r="J26" s="205">
        <f>ROUNDUP(I26*Order_Quote!$L$27,2)</f>
        <v>84.05</v>
      </c>
      <c r="K26" s="78"/>
      <c r="L26" s="116"/>
      <c r="M26" s="199">
        <f t="shared" si="1"/>
        <v>0</v>
      </c>
      <c r="N26" s="506"/>
      <c r="O26" s="265" t="s">
        <v>76</v>
      </c>
      <c r="P26" s="265" t="s">
        <v>102</v>
      </c>
      <c r="Q26" s="265" t="s">
        <v>6575</v>
      </c>
      <c r="R26" s="265">
        <v>0</v>
      </c>
      <c r="S26" s="265" t="s">
        <v>6576</v>
      </c>
      <c r="T26" s="347">
        <v>0.17</v>
      </c>
      <c r="U26" s="347">
        <v>0.17</v>
      </c>
      <c r="V26" s="348">
        <v>0</v>
      </c>
    </row>
    <row r="27" spans="1:22" ht="14.45" customHeight="1">
      <c r="A27" s="104" t="str">
        <f>IF(K27&gt;0,COUNT($A$8:A26)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7" s="112"/>
      <c r="C27" s="79"/>
      <c r="D27" s="158" t="s">
        <v>6577</v>
      </c>
      <c r="E27" s="106">
        <v>100028326</v>
      </c>
      <c r="F27" s="159" t="s">
        <v>6578</v>
      </c>
      <c r="G27" s="106">
        <v>1</v>
      </c>
      <c r="H27" s="106" t="s">
        <v>2803</v>
      </c>
      <c r="I27" s="153">
        <f>_xlfn.XLOOKUP(E27,'All Products'!D:D,'All Products'!H:H)</f>
        <v>16.809999999999999</v>
      </c>
      <c r="J27" s="205">
        <f>ROUNDUP(I27*Order_Quote!$L$27,2)</f>
        <v>84.05</v>
      </c>
      <c r="K27" s="78"/>
      <c r="L27" s="116"/>
      <c r="M27" s="199">
        <f t="shared" si="1"/>
        <v>0</v>
      </c>
      <c r="N27" s="506"/>
      <c r="O27" s="265" t="s">
        <v>359</v>
      </c>
      <c r="P27" s="265" t="s">
        <v>102</v>
      </c>
      <c r="Q27" s="265" t="s">
        <v>6579</v>
      </c>
      <c r="R27" s="265">
        <v>0</v>
      </c>
      <c r="S27" s="265" t="s">
        <v>6580</v>
      </c>
      <c r="T27" s="347">
        <v>0.2</v>
      </c>
      <c r="U27" s="347">
        <v>0.2</v>
      </c>
      <c r="V27" s="348">
        <v>0</v>
      </c>
    </row>
    <row r="28" spans="1:22" ht="14.45" customHeight="1">
      <c r="A28" s="104" t="str">
        <f>IF(K28&gt;0,COUNT($A$8:A27)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8" s="112"/>
      <c r="C28" s="79"/>
      <c r="D28" s="158" t="s">
        <v>6581</v>
      </c>
      <c r="E28" s="106">
        <v>100028328</v>
      </c>
      <c r="F28" s="159" t="s">
        <v>6582</v>
      </c>
      <c r="G28" s="106">
        <v>1</v>
      </c>
      <c r="H28" s="106" t="s">
        <v>2803</v>
      </c>
      <c r="I28" s="153">
        <f>_xlfn.XLOOKUP(E28,'All Products'!D:D,'All Products'!H:H)</f>
        <v>17.440000000000001</v>
      </c>
      <c r="J28" s="205">
        <f>ROUNDUP(I28*Order_Quote!$L$27,2)</f>
        <v>87.2</v>
      </c>
      <c r="K28" s="78"/>
      <c r="L28" s="116"/>
      <c r="M28" s="199">
        <f t="shared" si="1"/>
        <v>0</v>
      </c>
      <c r="N28" s="506"/>
      <c r="O28" s="265" t="s">
        <v>359</v>
      </c>
      <c r="P28" s="265" t="s">
        <v>102</v>
      </c>
      <c r="Q28" s="265" t="s">
        <v>6583</v>
      </c>
      <c r="R28" s="265">
        <v>0</v>
      </c>
      <c r="S28" s="265" t="s">
        <v>6584</v>
      </c>
      <c r="T28" s="347">
        <v>0.21</v>
      </c>
      <c r="U28" s="347">
        <v>0.21</v>
      </c>
      <c r="V28" s="348">
        <v>0</v>
      </c>
    </row>
    <row r="29" spans="1:22" ht="14.45" customHeight="1">
      <c r="A29" s="104" t="str">
        <f>IF(K29&gt;0,COUNT($A$8:A28)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29" s="112"/>
      <c r="C29" s="79"/>
      <c r="D29" s="158" t="s">
        <v>6585</v>
      </c>
      <c r="E29" s="106">
        <v>100028329</v>
      </c>
      <c r="F29" s="159" t="s">
        <v>6586</v>
      </c>
      <c r="G29" s="106">
        <v>1</v>
      </c>
      <c r="H29" s="106" t="s">
        <v>2803</v>
      </c>
      <c r="I29" s="153">
        <f>_xlfn.XLOOKUP(E29,'All Products'!D:D,'All Products'!H:H)</f>
        <v>17.600000000000001</v>
      </c>
      <c r="J29" s="205">
        <f>ROUNDUP(I29*Order_Quote!$L$27,2)</f>
        <v>88</v>
      </c>
      <c r="K29" s="78"/>
      <c r="L29" s="116"/>
      <c r="M29" s="199">
        <f t="shared" si="1"/>
        <v>0</v>
      </c>
      <c r="N29" s="506"/>
      <c r="O29" s="265" t="s">
        <v>359</v>
      </c>
      <c r="P29" s="265" t="s">
        <v>102</v>
      </c>
      <c r="Q29" s="265" t="s">
        <v>6587</v>
      </c>
      <c r="R29" s="265">
        <v>0</v>
      </c>
      <c r="S29" s="265" t="s">
        <v>6588</v>
      </c>
      <c r="T29" s="347">
        <v>0.28999999999999998</v>
      </c>
      <c r="U29" s="347">
        <v>0.28999999999999998</v>
      </c>
      <c r="V29" s="348">
        <v>0</v>
      </c>
    </row>
    <row r="30" spans="1:22" ht="14.45" customHeight="1">
      <c r="A30" s="104" t="str">
        <f>IF(K30&gt;0,COUNT($A$8:A29)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0" s="112"/>
      <c r="C30" s="79"/>
      <c r="D30" s="158" t="s">
        <v>6589</v>
      </c>
      <c r="E30" s="106">
        <v>100031048</v>
      </c>
      <c r="F30" s="159" t="s">
        <v>6590</v>
      </c>
      <c r="G30" s="106">
        <v>1</v>
      </c>
      <c r="H30" s="106" t="s">
        <v>2803</v>
      </c>
      <c r="I30" s="153">
        <f>_xlfn.XLOOKUP(E30,'All Products'!D:D,'All Products'!H:H)</f>
        <v>16.809999999999999</v>
      </c>
      <c r="J30" s="205">
        <f>ROUNDUP(I30*Order_Quote!$L$27,2)</f>
        <v>84.05</v>
      </c>
      <c r="K30" s="78"/>
      <c r="L30" s="116"/>
      <c r="M30" s="199">
        <f t="shared" si="1"/>
        <v>0</v>
      </c>
      <c r="N30" s="506"/>
      <c r="O30" s="265" t="s">
        <v>76</v>
      </c>
      <c r="P30" s="265" t="s">
        <v>102</v>
      </c>
      <c r="Q30" s="265" t="s">
        <v>6591</v>
      </c>
      <c r="R30" s="265">
        <v>0</v>
      </c>
      <c r="S30" s="265" t="s">
        <v>6592</v>
      </c>
      <c r="T30" s="347">
        <v>0.19500000000000001</v>
      </c>
      <c r="U30" s="347">
        <v>0.19500000000000001</v>
      </c>
      <c r="V30" s="348">
        <v>0</v>
      </c>
    </row>
    <row r="31" spans="1:22" ht="14.45" customHeight="1">
      <c r="A31" s="104" t="str">
        <f>IF(K31&gt;0,COUNT($A$8:A30)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1" s="112"/>
      <c r="C31" s="79"/>
      <c r="D31" s="158" t="s">
        <v>6593</v>
      </c>
      <c r="E31" s="106">
        <v>100028331</v>
      </c>
      <c r="F31" s="159" t="s">
        <v>6594</v>
      </c>
      <c r="G31" s="106">
        <v>1</v>
      </c>
      <c r="H31" s="106" t="s">
        <v>2803</v>
      </c>
      <c r="I31" s="153">
        <f>_xlfn.XLOOKUP(E31,'All Products'!D:D,'All Products'!H:H)</f>
        <v>34.18</v>
      </c>
      <c r="J31" s="205">
        <f>ROUNDUP(I31*Order_Quote!$L$27,2)</f>
        <v>170.9</v>
      </c>
      <c r="K31" s="78"/>
      <c r="L31" s="116"/>
      <c r="M31" s="199">
        <f t="shared" si="1"/>
        <v>0</v>
      </c>
      <c r="N31" s="506"/>
      <c r="O31" s="265" t="s">
        <v>76</v>
      </c>
      <c r="P31" s="265" t="s">
        <v>102</v>
      </c>
      <c r="Q31" s="265" t="s">
        <v>6595</v>
      </c>
      <c r="R31" s="265">
        <v>0</v>
      </c>
      <c r="S31" s="265" t="s">
        <v>6596</v>
      </c>
      <c r="T31" s="347">
        <v>0.26400000000000001</v>
      </c>
      <c r="U31" s="347">
        <v>0.26400000000000001</v>
      </c>
      <c r="V31" s="348">
        <v>0</v>
      </c>
    </row>
    <row r="32" spans="1:22" ht="14.45" customHeight="1">
      <c r="A32" s="104" t="str">
        <f>IF(K32&gt;0,COUNT($A$8:A31)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2" s="112"/>
      <c r="C32" s="79"/>
      <c r="D32" s="158" t="s">
        <v>6597</v>
      </c>
      <c r="E32" s="106">
        <v>100028332</v>
      </c>
      <c r="F32" s="159" t="s">
        <v>6598</v>
      </c>
      <c r="G32" s="106">
        <v>1</v>
      </c>
      <c r="H32" s="106" t="s">
        <v>2803</v>
      </c>
      <c r="I32" s="153">
        <f>_xlfn.XLOOKUP(E32,'All Products'!D:D,'All Products'!H:H)</f>
        <v>42.11</v>
      </c>
      <c r="J32" s="205">
        <f>ROUNDUP(I32*Order_Quote!$L$27,2)</f>
        <v>210.55</v>
      </c>
      <c r="K32" s="78"/>
      <c r="L32" s="116"/>
      <c r="M32" s="199">
        <f t="shared" si="1"/>
        <v>0</v>
      </c>
      <c r="N32" s="506"/>
      <c r="O32" s="265" t="s">
        <v>359</v>
      </c>
      <c r="P32" s="265" t="s">
        <v>102</v>
      </c>
      <c r="Q32" s="265" t="s">
        <v>6599</v>
      </c>
      <c r="R32" s="265">
        <v>0</v>
      </c>
      <c r="S32" s="265" t="s">
        <v>6600</v>
      </c>
      <c r="T32" s="347">
        <v>0.37</v>
      </c>
      <c r="U32" s="347">
        <v>0.37</v>
      </c>
      <c r="V32" s="348">
        <v>0</v>
      </c>
    </row>
    <row r="33" spans="1:22" ht="14.45" customHeight="1">
      <c r="A33" s="104" t="str">
        <f>IF(K33&gt;0,COUNT($A$8:A32)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3" s="112"/>
      <c r="C33" s="79"/>
      <c r="D33" s="158" t="s">
        <v>6601</v>
      </c>
      <c r="E33" s="106">
        <v>100028333</v>
      </c>
      <c r="F33" s="159" t="s">
        <v>6602</v>
      </c>
      <c r="G33" s="106">
        <v>1</v>
      </c>
      <c r="H33" s="106" t="s">
        <v>2803</v>
      </c>
      <c r="I33" s="153">
        <f>_xlfn.XLOOKUP(E33,'All Products'!D:D,'All Products'!H:H)</f>
        <v>50.15</v>
      </c>
      <c r="J33" s="205">
        <f>ROUNDUP(I33*Order_Quote!$L$27,2)</f>
        <v>250.75</v>
      </c>
      <c r="K33" s="78"/>
      <c r="L33" s="116"/>
      <c r="M33" s="199">
        <f t="shared" si="1"/>
        <v>0</v>
      </c>
      <c r="N33" s="506"/>
      <c r="O33" s="265" t="s">
        <v>76</v>
      </c>
      <c r="P33" s="265" t="s">
        <v>102</v>
      </c>
      <c r="Q33" s="265" t="s">
        <v>6603</v>
      </c>
      <c r="R33" s="265">
        <v>0</v>
      </c>
      <c r="S33" s="265" t="s">
        <v>6604</v>
      </c>
      <c r="T33" s="347">
        <v>0.47499999999999998</v>
      </c>
      <c r="U33" s="347">
        <v>0.47499999999999998</v>
      </c>
      <c r="V33" s="348">
        <v>0</v>
      </c>
    </row>
    <row r="34" spans="1:22" ht="14.45" customHeight="1">
      <c r="A34" s="104" t="str">
        <f>IF(K34&gt;0,COUNT($A$8:A33)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4" s="112"/>
      <c r="C34" s="79"/>
      <c r="D34" s="158" t="s">
        <v>6605</v>
      </c>
      <c r="E34" s="106">
        <v>100028334</v>
      </c>
      <c r="F34" s="159" t="s">
        <v>6606</v>
      </c>
      <c r="G34" s="106">
        <v>1</v>
      </c>
      <c r="H34" s="106" t="s">
        <v>2803</v>
      </c>
      <c r="I34" s="153">
        <f>_xlfn.XLOOKUP(E34,'All Products'!D:D,'All Products'!H:H)</f>
        <v>42.11</v>
      </c>
      <c r="J34" s="205">
        <f>ROUNDUP(I34*Order_Quote!$L$27,2)</f>
        <v>210.55</v>
      </c>
      <c r="K34" s="78"/>
      <c r="L34" s="116"/>
      <c r="M34" s="199">
        <f t="shared" si="1"/>
        <v>0</v>
      </c>
      <c r="N34" s="506"/>
      <c r="O34" s="265" t="s">
        <v>76</v>
      </c>
      <c r="P34" s="265" t="s">
        <v>102</v>
      </c>
      <c r="Q34" s="265" t="s">
        <v>6607</v>
      </c>
      <c r="R34" s="265">
        <v>0</v>
      </c>
      <c r="S34" s="265" t="s">
        <v>6608</v>
      </c>
      <c r="T34" s="347">
        <v>0.28000000000000003</v>
      </c>
      <c r="U34" s="347">
        <v>0.28000000000000003</v>
      </c>
      <c r="V34" s="348">
        <v>0</v>
      </c>
    </row>
    <row r="35" spans="1:22" ht="14.45" customHeight="1">
      <c r="A35" s="104" t="str">
        <f>IF(K35&gt;0,COUNT($A$8:A34)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5" s="112"/>
      <c r="C35" s="79"/>
      <c r="D35" s="158" t="s">
        <v>6609</v>
      </c>
      <c r="E35" s="106">
        <v>100028335</v>
      </c>
      <c r="F35" s="159" t="s">
        <v>6610</v>
      </c>
      <c r="G35" s="106">
        <v>1</v>
      </c>
      <c r="H35" s="106" t="s">
        <v>2803</v>
      </c>
      <c r="I35" s="153">
        <f>_xlfn.XLOOKUP(E35,'All Products'!D:D,'All Products'!H:H)</f>
        <v>50.15</v>
      </c>
      <c r="J35" s="205">
        <f>ROUNDUP(I35*Order_Quote!$L$27,2)</f>
        <v>250.75</v>
      </c>
      <c r="K35" s="78"/>
      <c r="L35" s="116"/>
      <c r="M35" s="199">
        <f t="shared" si="1"/>
        <v>0</v>
      </c>
      <c r="N35" s="506"/>
      <c r="O35" s="265" t="s">
        <v>76</v>
      </c>
      <c r="P35" s="265" t="s">
        <v>102</v>
      </c>
      <c r="Q35" s="265" t="s">
        <v>6611</v>
      </c>
      <c r="R35" s="265">
        <v>0</v>
      </c>
      <c r="S35" s="265" t="s">
        <v>6612</v>
      </c>
      <c r="T35" s="347">
        <v>0.30599999999999999</v>
      </c>
      <c r="U35" s="347">
        <v>0.30599999999999999</v>
      </c>
      <c r="V35" s="348">
        <v>0</v>
      </c>
    </row>
    <row r="36" spans="1:22" ht="14.45" customHeight="1">
      <c r="A36" s="104" t="str">
        <f>IF(K36&gt;0,COUNT($A$8:A35)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6" s="112"/>
      <c r="C36" s="79"/>
      <c r="D36" s="158" t="s">
        <v>6613</v>
      </c>
      <c r="E36" s="106">
        <v>100028336</v>
      </c>
      <c r="F36" s="159" t="s">
        <v>6614</v>
      </c>
      <c r="G36" s="106">
        <v>1</v>
      </c>
      <c r="H36" s="106" t="s">
        <v>2803</v>
      </c>
      <c r="I36" s="153">
        <f>_xlfn.XLOOKUP(E36,'All Products'!D:D,'All Products'!H:H)</f>
        <v>42.11</v>
      </c>
      <c r="J36" s="205">
        <f>ROUNDUP(I36*Order_Quote!$L$27,2)</f>
        <v>210.55</v>
      </c>
      <c r="K36" s="78"/>
      <c r="L36" s="116"/>
      <c r="M36" s="199">
        <f t="shared" si="1"/>
        <v>0</v>
      </c>
      <c r="N36" s="506"/>
      <c r="O36" s="265" t="s">
        <v>76</v>
      </c>
      <c r="P36" s="265" t="s">
        <v>102</v>
      </c>
      <c r="Q36" s="265" t="s">
        <v>6615</v>
      </c>
      <c r="R36" s="265">
        <v>0</v>
      </c>
      <c r="S36" s="265" t="s">
        <v>6616</v>
      </c>
      <c r="T36" s="347">
        <v>0.39500000000000002</v>
      </c>
      <c r="U36" s="347">
        <v>0.39500000000000002</v>
      </c>
      <c r="V36" s="348">
        <v>0</v>
      </c>
    </row>
    <row r="37" spans="1:22" ht="14.45" customHeight="1">
      <c r="A37" s="104" t="str">
        <f>IF(K37&gt;0,COUNT($A$8:A36)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7" s="112"/>
      <c r="C37" s="79"/>
      <c r="D37" s="158" t="s">
        <v>6617</v>
      </c>
      <c r="E37" s="106">
        <v>100028337</v>
      </c>
      <c r="F37" s="159" t="s">
        <v>6618</v>
      </c>
      <c r="G37" s="106">
        <v>1</v>
      </c>
      <c r="H37" s="106" t="s">
        <v>2803</v>
      </c>
      <c r="I37" s="153">
        <f>_xlfn.XLOOKUP(E37,'All Products'!D:D,'All Products'!H:H)</f>
        <v>50.15</v>
      </c>
      <c r="J37" s="205">
        <f>ROUNDUP(I37*Order_Quote!$L$27,2)</f>
        <v>250.75</v>
      </c>
      <c r="K37" s="78"/>
      <c r="L37" s="116"/>
      <c r="M37" s="199">
        <f t="shared" si="1"/>
        <v>0</v>
      </c>
      <c r="N37" s="506"/>
      <c r="O37" s="265" t="s">
        <v>359</v>
      </c>
      <c r="P37" s="265" t="s">
        <v>102</v>
      </c>
      <c r="Q37" s="265" t="s">
        <v>6619</v>
      </c>
      <c r="R37" s="265">
        <v>0</v>
      </c>
      <c r="S37" s="265" t="s">
        <v>6620</v>
      </c>
      <c r="T37" s="347">
        <v>0.40300000000000002</v>
      </c>
      <c r="U37" s="347">
        <v>0.40300000000000002</v>
      </c>
      <c r="V37" s="348">
        <v>0</v>
      </c>
    </row>
    <row r="38" spans="1:22" ht="14.45" customHeight="1">
      <c r="A38" s="104" t="str">
        <f>IF(K38&gt;0,COUNT($A$8:A37)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8" s="112"/>
      <c r="C38" s="79"/>
      <c r="D38" s="158" t="s">
        <v>6621</v>
      </c>
      <c r="E38" s="106">
        <v>100028338</v>
      </c>
      <c r="F38" s="159" t="s">
        <v>6622</v>
      </c>
      <c r="G38" s="106">
        <v>1</v>
      </c>
      <c r="H38" s="106" t="s">
        <v>2803</v>
      </c>
      <c r="I38" s="153">
        <f>_xlfn.XLOOKUP(E38,'All Products'!D:D,'All Products'!H:H)</f>
        <v>44.41</v>
      </c>
      <c r="J38" s="205">
        <f>ROUNDUP(I38*Order_Quote!$L$27,2)</f>
        <v>222.05</v>
      </c>
      <c r="K38" s="78"/>
      <c r="L38" s="116"/>
      <c r="M38" s="199">
        <f t="shared" si="1"/>
        <v>0</v>
      </c>
      <c r="N38" s="506"/>
      <c r="O38" s="265" t="s">
        <v>76</v>
      </c>
      <c r="P38" s="265" t="s">
        <v>102</v>
      </c>
      <c r="Q38" s="265" t="s">
        <v>6623</v>
      </c>
      <c r="R38" s="265">
        <v>0</v>
      </c>
      <c r="S38" s="265" t="s">
        <v>6624</v>
      </c>
      <c r="T38" s="347">
        <v>0.503</v>
      </c>
      <c r="U38" s="347">
        <v>0.503</v>
      </c>
      <c r="V38" s="348">
        <v>0</v>
      </c>
    </row>
    <row r="39" spans="1:22" ht="14.45" customHeight="1">
      <c r="A39" s="104" t="str">
        <f>IF(K39&gt;0,COUNT($A$8:A38)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39" s="112"/>
      <c r="C39" s="79"/>
      <c r="D39" s="158" t="s">
        <v>6625</v>
      </c>
      <c r="E39" s="106">
        <v>100028339</v>
      </c>
      <c r="F39" s="159" t="s">
        <v>6626</v>
      </c>
      <c r="G39" s="106">
        <v>1</v>
      </c>
      <c r="H39" s="106" t="s">
        <v>2803</v>
      </c>
      <c r="I39" s="153">
        <f>_xlfn.XLOOKUP(E39,'All Products'!D:D,'All Products'!H:H)</f>
        <v>50.15</v>
      </c>
      <c r="J39" s="205">
        <f>ROUNDUP(I39*Order_Quote!$L$27,2)</f>
        <v>250.75</v>
      </c>
      <c r="K39" s="78"/>
      <c r="L39" s="116"/>
      <c r="M39" s="199">
        <f t="shared" si="1"/>
        <v>0</v>
      </c>
      <c r="N39" s="506"/>
      <c r="O39" s="265" t="s">
        <v>76</v>
      </c>
      <c r="P39" s="265" t="s">
        <v>102</v>
      </c>
      <c r="Q39" s="265" t="s">
        <v>6627</v>
      </c>
      <c r="R39" s="265">
        <v>0</v>
      </c>
      <c r="S39" s="265" t="s">
        <v>6628</v>
      </c>
      <c r="T39" s="347">
        <v>0.46</v>
      </c>
      <c r="U39" s="347">
        <v>0.46</v>
      </c>
      <c r="V39" s="348">
        <v>0</v>
      </c>
    </row>
    <row r="40" spans="1:22" ht="14.45" customHeight="1">
      <c r="A40" s="104" t="str">
        <f>IF(K40&gt;0,COUNT($A$8:A39)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0" s="112"/>
      <c r="C40" s="79"/>
      <c r="D40" s="158" t="s">
        <v>6629</v>
      </c>
      <c r="E40" s="106">
        <v>100027317</v>
      </c>
      <c r="F40" s="159" t="s">
        <v>6630</v>
      </c>
      <c r="G40" s="106">
        <v>1</v>
      </c>
      <c r="H40" s="106" t="s">
        <v>2803</v>
      </c>
      <c r="I40" s="153">
        <f>_xlfn.XLOOKUP(E40,'All Products'!D:D,'All Products'!H:H)</f>
        <v>37.909999999999997</v>
      </c>
      <c r="J40" s="205">
        <f>ROUNDUP(I40*Order_Quote!$L$27,2)</f>
        <v>189.55</v>
      </c>
      <c r="K40" s="78"/>
      <c r="L40" s="116"/>
      <c r="M40" s="199">
        <f t="shared" si="1"/>
        <v>0</v>
      </c>
      <c r="N40" s="506"/>
      <c r="O40" s="265" t="s">
        <v>359</v>
      </c>
      <c r="P40" s="265" t="s">
        <v>102</v>
      </c>
      <c r="Q40" s="265" t="s">
        <v>6631</v>
      </c>
      <c r="R40" s="265">
        <v>0</v>
      </c>
      <c r="S40" s="265" t="s">
        <v>6632</v>
      </c>
      <c r="T40" s="347">
        <v>0.68500000000000005</v>
      </c>
      <c r="U40" s="347">
        <v>0.68500000000000005</v>
      </c>
      <c r="V40" s="348">
        <v>0</v>
      </c>
    </row>
    <row r="41" spans="1:22" ht="14.45" customHeight="1">
      <c r="A41" s="104" t="str">
        <f>IF(K41&gt;0,COUNT($A$8:A40)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1" s="112"/>
      <c r="C41" s="79"/>
      <c r="D41" s="158" t="s">
        <v>6633</v>
      </c>
      <c r="E41" s="106">
        <v>100027318</v>
      </c>
      <c r="F41" s="159" t="s">
        <v>6634</v>
      </c>
      <c r="G41" s="106">
        <v>1</v>
      </c>
      <c r="H41" s="106" t="s">
        <v>2803</v>
      </c>
      <c r="I41" s="153">
        <f>_xlfn.XLOOKUP(E41,'All Products'!D:D,'All Products'!H:H)</f>
        <v>37.909999999999997</v>
      </c>
      <c r="J41" s="205">
        <f>ROUNDUP(I41*Order_Quote!$L$27,2)</f>
        <v>189.55</v>
      </c>
      <c r="K41" s="78"/>
      <c r="L41" s="116"/>
      <c r="M41" s="199">
        <f t="shared" si="1"/>
        <v>0</v>
      </c>
      <c r="N41" s="506"/>
      <c r="O41" s="265" t="s">
        <v>359</v>
      </c>
      <c r="P41" s="265" t="s">
        <v>102</v>
      </c>
      <c r="Q41" s="265" t="s">
        <v>6635</v>
      </c>
      <c r="R41" s="265">
        <v>0</v>
      </c>
      <c r="S41" s="265" t="s">
        <v>6636</v>
      </c>
      <c r="T41" s="347">
        <v>0.57899999999999996</v>
      </c>
      <c r="U41" s="347">
        <v>0.57899999999999996</v>
      </c>
      <c r="V41" s="348">
        <v>0</v>
      </c>
    </row>
    <row r="42" spans="1:22" ht="14.45" customHeight="1">
      <c r="A42" s="104" t="str">
        <f>IF(K42&gt;0,COUNT($A$8:A41)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2" s="112"/>
      <c r="C42" s="79"/>
      <c r="D42" s="158" t="s">
        <v>6637</v>
      </c>
      <c r="E42" s="106">
        <v>100027319</v>
      </c>
      <c r="F42" s="159" t="s">
        <v>6638</v>
      </c>
      <c r="G42" s="106">
        <v>1</v>
      </c>
      <c r="H42" s="106" t="s">
        <v>2803</v>
      </c>
      <c r="I42" s="153">
        <f>_xlfn.XLOOKUP(E42,'All Products'!D:D,'All Products'!H:H)</f>
        <v>37.909999999999997</v>
      </c>
      <c r="J42" s="205">
        <f>ROUNDUP(I42*Order_Quote!$L$27,2)</f>
        <v>189.55</v>
      </c>
      <c r="K42" s="78"/>
      <c r="L42" s="116"/>
      <c r="M42" s="199">
        <f t="shared" si="1"/>
        <v>0</v>
      </c>
      <c r="N42" s="506"/>
      <c r="O42" s="265" t="s">
        <v>76</v>
      </c>
      <c r="P42" s="265" t="s">
        <v>102</v>
      </c>
      <c r="Q42" s="265" t="s">
        <v>6639</v>
      </c>
      <c r="R42" s="265">
        <v>0</v>
      </c>
      <c r="S42" s="265" t="s">
        <v>6640</v>
      </c>
      <c r="T42" s="347">
        <v>0.73</v>
      </c>
      <c r="U42" s="347">
        <v>0.73</v>
      </c>
      <c r="V42" s="348">
        <v>0</v>
      </c>
    </row>
    <row r="43" spans="1:22" ht="14.45" customHeight="1">
      <c r="A43" s="104" t="str">
        <f>IF(K43&gt;0,COUNT($A$8:A42)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3" s="112"/>
      <c r="C43" s="79"/>
      <c r="D43" s="158" t="s">
        <v>6641</v>
      </c>
      <c r="E43" s="106">
        <v>100027326</v>
      </c>
      <c r="F43" s="159" t="s">
        <v>6642</v>
      </c>
      <c r="G43" s="106">
        <v>1</v>
      </c>
      <c r="H43" s="106" t="s">
        <v>2803</v>
      </c>
      <c r="I43" s="153">
        <f>_xlfn.XLOOKUP(E43,'All Products'!D:D,'All Products'!H:H)</f>
        <v>37.909999999999997</v>
      </c>
      <c r="J43" s="205">
        <f>ROUNDUP(I43*Order_Quote!$L$27,2)</f>
        <v>189.55</v>
      </c>
      <c r="K43" s="78"/>
      <c r="L43" s="116"/>
      <c r="M43" s="199">
        <f t="shared" si="1"/>
        <v>0</v>
      </c>
      <c r="N43" s="506"/>
      <c r="O43" s="265" t="s">
        <v>76</v>
      </c>
      <c r="P43" s="265" t="s">
        <v>102</v>
      </c>
      <c r="Q43" s="265" t="s">
        <v>6643</v>
      </c>
      <c r="R43" s="265">
        <v>0</v>
      </c>
      <c r="S43" s="265" t="s">
        <v>6644</v>
      </c>
      <c r="T43" s="347">
        <v>0.68500000000000005</v>
      </c>
      <c r="U43" s="347">
        <v>0.68500000000000005</v>
      </c>
      <c r="V43" s="348">
        <v>0</v>
      </c>
    </row>
    <row r="44" spans="1:22" ht="14.45" customHeight="1">
      <c r="A44" s="104" t="str">
        <f>IF(K44&gt;0,COUNT($A$8:A43)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4" s="112"/>
      <c r="C44" s="79"/>
      <c r="D44" s="158" t="s">
        <v>6645</v>
      </c>
      <c r="E44" s="106">
        <v>100027327</v>
      </c>
      <c r="F44" s="159" t="s">
        <v>6646</v>
      </c>
      <c r="G44" s="106">
        <v>1</v>
      </c>
      <c r="H44" s="106" t="s">
        <v>2803</v>
      </c>
      <c r="I44" s="153">
        <f>_xlfn.XLOOKUP(E44,'All Products'!D:D,'All Products'!H:H)</f>
        <v>37.909999999999997</v>
      </c>
      <c r="J44" s="205">
        <f>ROUNDUP(I44*Order_Quote!$L$27,2)</f>
        <v>189.55</v>
      </c>
      <c r="K44" s="78"/>
      <c r="L44" s="116"/>
      <c r="M44" s="199">
        <f t="shared" si="1"/>
        <v>0</v>
      </c>
      <c r="N44" s="506"/>
      <c r="O44" s="265" t="s">
        <v>76</v>
      </c>
      <c r="P44" s="265" t="s">
        <v>102</v>
      </c>
      <c r="Q44" s="265" t="s">
        <v>6647</v>
      </c>
      <c r="R44" s="265">
        <v>0</v>
      </c>
      <c r="S44" s="265" t="s">
        <v>6648</v>
      </c>
      <c r="T44" s="347">
        <v>0.57899999999999996</v>
      </c>
      <c r="U44" s="347">
        <v>0.57899999999999996</v>
      </c>
      <c r="V44" s="348">
        <v>0</v>
      </c>
    </row>
    <row r="45" spans="1:22" ht="14.45" customHeight="1">
      <c r="A45" s="104" t="str">
        <f>IF(K45&gt;0,COUNT($A$8:A44)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5" s="112"/>
      <c r="C45" s="79"/>
      <c r="D45" s="158" t="s">
        <v>6649</v>
      </c>
      <c r="E45" s="106">
        <v>100027328</v>
      </c>
      <c r="F45" s="159" t="s">
        <v>6650</v>
      </c>
      <c r="G45" s="106">
        <v>1</v>
      </c>
      <c r="H45" s="106" t="s">
        <v>2803</v>
      </c>
      <c r="I45" s="153">
        <f>_xlfn.XLOOKUP(E45,'All Products'!D:D,'All Products'!H:H)</f>
        <v>37.909999999999997</v>
      </c>
      <c r="J45" s="205">
        <f>ROUNDUP(I45*Order_Quote!$L$27,2)</f>
        <v>189.55</v>
      </c>
      <c r="K45" s="78"/>
      <c r="L45" s="116"/>
      <c r="M45" s="199">
        <f t="shared" si="1"/>
        <v>0</v>
      </c>
      <c r="N45" s="506"/>
      <c r="O45" s="265" t="s">
        <v>76</v>
      </c>
      <c r="P45" s="265" t="s">
        <v>102</v>
      </c>
      <c r="Q45" s="265" t="s">
        <v>6651</v>
      </c>
      <c r="R45" s="265">
        <v>0</v>
      </c>
      <c r="S45" s="265" t="s">
        <v>6652</v>
      </c>
      <c r="T45" s="347">
        <v>0.80500000000000005</v>
      </c>
      <c r="U45" s="347">
        <v>0.80500000000000005</v>
      </c>
      <c r="V45" s="348">
        <v>0</v>
      </c>
    </row>
    <row r="46" spans="1:22" ht="14.45" customHeight="1">
      <c r="A46" s="104" t="str">
        <f>IF(K46&gt;0,COUNT($A$8:A45)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6" s="112"/>
      <c r="C46" s="79"/>
      <c r="D46" s="158" t="s">
        <v>6653</v>
      </c>
      <c r="E46" s="106">
        <v>100031693</v>
      </c>
      <c r="F46" s="159" t="s">
        <v>6654</v>
      </c>
      <c r="G46" s="106">
        <v>10</v>
      </c>
      <c r="H46" s="106" t="s">
        <v>2803</v>
      </c>
      <c r="I46" s="153">
        <f>_xlfn.XLOOKUP(E46,'All Products'!D:D,'All Products'!H:H)</f>
        <v>66.36</v>
      </c>
      <c r="J46" s="205">
        <f>ROUNDUP(I46*Order_Quote!$L$27,2)</f>
        <v>331.8</v>
      </c>
      <c r="K46" s="78"/>
      <c r="L46" s="116"/>
      <c r="M46" s="199">
        <f t="shared" si="1"/>
        <v>0</v>
      </c>
      <c r="N46" s="506"/>
      <c r="O46" s="265" t="s">
        <v>76</v>
      </c>
      <c r="P46" s="265" t="s">
        <v>102</v>
      </c>
      <c r="Q46" s="265">
        <v>0</v>
      </c>
      <c r="R46" s="265">
        <v>0</v>
      </c>
      <c r="S46" s="265">
        <v>0</v>
      </c>
      <c r="T46" s="347">
        <v>1.2150000000000001</v>
      </c>
      <c r="U46" s="347">
        <v>1.2150000000000001</v>
      </c>
      <c r="V46" s="348">
        <v>0</v>
      </c>
    </row>
    <row r="47" spans="1:22" ht="14.45" customHeight="1">
      <c r="A47" s="104" t="str">
        <f>IF(K47&gt;0,COUNT($A$8:A46)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7" s="112"/>
      <c r="C47" s="79"/>
      <c r="D47" s="158" t="s">
        <v>6655</v>
      </c>
      <c r="E47" s="106">
        <v>100031694</v>
      </c>
      <c r="F47" s="159" t="s">
        <v>6656</v>
      </c>
      <c r="G47" s="106">
        <v>10</v>
      </c>
      <c r="H47" s="106" t="s">
        <v>2803</v>
      </c>
      <c r="I47" s="153">
        <f>_xlfn.XLOOKUP(E47,'All Products'!D:D,'All Products'!H:H)</f>
        <v>66.94</v>
      </c>
      <c r="J47" s="205">
        <f>ROUNDUP(I47*Order_Quote!$L$27,2)</f>
        <v>334.7</v>
      </c>
      <c r="K47" s="78"/>
      <c r="L47" s="116"/>
      <c r="M47" s="199">
        <f t="shared" si="1"/>
        <v>0</v>
      </c>
      <c r="N47" s="506"/>
      <c r="O47" s="265" t="s">
        <v>76</v>
      </c>
      <c r="P47" s="265" t="s">
        <v>102</v>
      </c>
      <c r="Q47" s="265">
        <v>0</v>
      </c>
      <c r="R47" s="265">
        <v>0</v>
      </c>
      <c r="S47" s="265">
        <v>0</v>
      </c>
      <c r="T47" s="347">
        <v>1.2789999999999999</v>
      </c>
      <c r="U47" s="347">
        <v>1.2789999999999999</v>
      </c>
      <c r="V47" s="348">
        <v>0</v>
      </c>
    </row>
    <row r="48" spans="1:22" ht="14.45" customHeight="1">
      <c r="A48" s="104" t="str">
        <f>IF(K48&gt;0,COUNT($A$8:A47)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8" s="112"/>
      <c r="C48" s="79"/>
      <c r="D48" s="158" t="s">
        <v>6657</v>
      </c>
      <c r="E48" s="106">
        <v>100031695</v>
      </c>
      <c r="F48" s="159" t="s">
        <v>6658</v>
      </c>
      <c r="G48" s="106">
        <v>10</v>
      </c>
      <c r="H48" s="106" t="s">
        <v>2803</v>
      </c>
      <c r="I48" s="153">
        <f>_xlfn.XLOOKUP(E48,'All Products'!D:D,'All Products'!H:H)</f>
        <v>68.09</v>
      </c>
      <c r="J48" s="205">
        <f>ROUNDUP(I48*Order_Quote!$L$27,2)</f>
        <v>340.45</v>
      </c>
      <c r="K48" s="78"/>
      <c r="L48" s="116"/>
      <c r="M48" s="199">
        <f t="shared" si="1"/>
        <v>0</v>
      </c>
      <c r="N48" s="506"/>
      <c r="O48" s="265" t="s">
        <v>76</v>
      </c>
      <c r="P48" s="265" t="s">
        <v>102</v>
      </c>
      <c r="Q48" s="265">
        <v>0</v>
      </c>
      <c r="R48" s="265">
        <v>0</v>
      </c>
      <c r="S48" s="265">
        <v>0</v>
      </c>
      <c r="T48" s="347">
        <v>1.3109999999999999</v>
      </c>
      <c r="U48" s="347">
        <v>1.3109999999999999</v>
      </c>
      <c r="V48" s="348">
        <v>0</v>
      </c>
    </row>
    <row r="49" spans="1:22" ht="14.45" customHeight="1">
      <c r="A49" s="104" t="str">
        <f>IF(K49&gt;0,COUNT($A$8:A48)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49" s="112"/>
      <c r="C49" s="79"/>
      <c r="D49" s="158" t="s">
        <v>6659</v>
      </c>
      <c r="E49" s="106">
        <v>100031696</v>
      </c>
      <c r="F49" s="159" t="s">
        <v>6660</v>
      </c>
      <c r="G49" s="106">
        <v>10</v>
      </c>
      <c r="H49" s="106" t="s">
        <v>2803</v>
      </c>
      <c r="I49" s="153">
        <f>_xlfn.XLOOKUP(E49,'All Products'!D:D,'All Products'!H:H)</f>
        <v>66.760000000000005</v>
      </c>
      <c r="J49" s="205">
        <f>ROUNDUP(I49*Order_Quote!$L$27,2)</f>
        <v>333.8</v>
      </c>
      <c r="K49" s="78"/>
      <c r="L49" s="116"/>
      <c r="M49" s="199">
        <f t="shared" si="1"/>
        <v>0</v>
      </c>
      <c r="N49" s="506"/>
      <c r="O49" s="265" t="s">
        <v>76</v>
      </c>
      <c r="P49" s="265" t="s">
        <v>102</v>
      </c>
      <c r="Q49" s="265">
        <v>0</v>
      </c>
      <c r="R49" s="265">
        <v>0</v>
      </c>
      <c r="S49" s="265">
        <v>0</v>
      </c>
      <c r="T49" s="347">
        <v>1.329</v>
      </c>
      <c r="U49" s="347">
        <v>1.329</v>
      </c>
      <c r="V49" s="348">
        <v>0</v>
      </c>
    </row>
    <row r="50" spans="1:22" ht="14.45" customHeight="1">
      <c r="A50" s="104" t="str">
        <f>IF(K50&gt;0,COUNT($A$8:A49)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0" s="112"/>
      <c r="C50" s="79"/>
      <c r="D50" s="158" t="s">
        <v>6661</v>
      </c>
      <c r="E50" s="106">
        <v>100031697</v>
      </c>
      <c r="F50" s="159" t="s">
        <v>6662</v>
      </c>
      <c r="G50" s="106">
        <v>10</v>
      </c>
      <c r="H50" s="106" t="s">
        <v>2803</v>
      </c>
      <c r="I50" s="153">
        <f>_xlfn.XLOOKUP(E50,'All Products'!D:D,'All Products'!H:H)</f>
        <v>68.400000000000006</v>
      </c>
      <c r="J50" s="205">
        <f>ROUNDUP(I50*Order_Quote!$L$27,2)</f>
        <v>342</v>
      </c>
      <c r="K50" s="78"/>
      <c r="L50" s="116"/>
      <c r="M50" s="199">
        <f t="shared" si="1"/>
        <v>0</v>
      </c>
      <c r="N50" s="506"/>
      <c r="O50" s="265" t="s">
        <v>76</v>
      </c>
      <c r="P50" s="265" t="s">
        <v>102</v>
      </c>
      <c r="Q50" s="265">
        <v>0</v>
      </c>
      <c r="R50" s="265">
        <v>0</v>
      </c>
      <c r="S50" s="265">
        <v>0</v>
      </c>
      <c r="T50" s="347">
        <v>1.329</v>
      </c>
      <c r="U50" s="347">
        <v>1.329</v>
      </c>
      <c r="V50" s="348">
        <v>0</v>
      </c>
    </row>
    <row r="51" spans="1:22" ht="14.45" customHeight="1">
      <c r="A51" s="104" t="str">
        <f>IF(K51&gt;0,COUNT($A$8:A50)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1" s="112"/>
      <c r="C51" s="79"/>
      <c r="D51" s="158" t="s">
        <v>6663</v>
      </c>
      <c r="E51" s="106">
        <v>100028343</v>
      </c>
      <c r="F51" s="159" t="s">
        <v>6664</v>
      </c>
      <c r="G51" s="106">
        <v>1</v>
      </c>
      <c r="H51" s="106" t="s">
        <v>2803</v>
      </c>
      <c r="I51" s="153">
        <f>_xlfn.XLOOKUP(E51,'All Products'!D:D,'All Products'!H:H)</f>
        <v>14.82</v>
      </c>
      <c r="J51" s="205">
        <f>ROUNDUP(I51*Order_Quote!$L$27,2)</f>
        <v>74.099999999999994</v>
      </c>
      <c r="K51" s="78"/>
      <c r="L51" s="116"/>
      <c r="M51" s="199">
        <f t="shared" si="1"/>
        <v>0</v>
      </c>
      <c r="N51" s="506"/>
      <c r="O51" s="265" t="s">
        <v>359</v>
      </c>
      <c r="P51" s="265" t="s">
        <v>102</v>
      </c>
      <c r="Q51" s="265" t="s">
        <v>6665</v>
      </c>
      <c r="R51" s="265">
        <v>0</v>
      </c>
      <c r="S51" s="265" t="s">
        <v>6666</v>
      </c>
      <c r="T51" s="347">
        <v>0.1</v>
      </c>
      <c r="U51" s="347">
        <v>0.1</v>
      </c>
      <c r="V51" s="348">
        <v>0</v>
      </c>
    </row>
    <row r="52" spans="1:22" ht="14.45" customHeight="1">
      <c r="A52" s="104" t="str">
        <f>IF(K52&gt;0,COUNT($A$8:A51)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2" s="112"/>
      <c r="C52" s="79"/>
      <c r="D52" s="158" t="s">
        <v>6667</v>
      </c>
      <c r="E52" s="106">
        <v>100028344</v>
      </c>
      <c r="F52" s="159" t="s">
        <v>6668</v>
      </c>
      <c r="G52" s="106">
        <v>1</v>
      </c>
      <c r="H52" s="106" t="s">
        <v>2803</v>
      </c>
      <c r="I52" s="153">
        <f>_xlfn.XLOOKUP(E52,'All Products'!D:D,'All Products'!H:H)</f>
        <v>18.18</v>
      </c>
      <c r="J52" s="205">
        <f>ROUNDUP(I52*Order_Quote!$L$27,2)</f>
        <v>90.9</v>
      </c>
      <c r="K52" s="78"/>
      <c r="L52" s="116"/>
      <c r="M52" s="199">
        <f t="shared" si="1"/>
        <v>0</v>
      </c>
      <c r="N52" s="506"/>
      <c r="O52" s="265" t="s">
        <v>359</v>
      </c>
      <c r="P52" s="265" t="s">
        <v>102</v>
      </c>
      <c r="Q52" s="265" t="s">
        <v>6669</v>
      </c>
      <c r="R52" s="265">
        <v>0</v>
      </c>
      <c r="S52" s="265" t="s">
        <v>6670</v>
      </c>
      <c r="T52" s="347">
        <v>0.13</v>
      </c>
      <c r="U52" s="347">
        <v>0.13</v>
      </c>
      <c r="V52" s="348">
        <v>0</v>
      </c>
    </row>
    <row r="53" spans="1:22" ht="14.45" customHeight="1">
      <c r="A53" s="104" t="str">
        <f>IF(K53&gt;0,COUNT($A$8:A52)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3" s="112"/>
      <c r="C53" s="79"/>
      <c r="D53" s="158" t="s">
        <v>6671</v>
      </c>
      <c r="E53" s="106">
        <v>100028345</v>
      </c>
      <c r="F53" s="159" t="s">
        <v>6672</v>
      </c>
      <c r="G53" s="106">
        <v>1</v>
      </c>
      <c r="H53" s="106" t="s">
        <v>2803</v>
      </c>
      <c r="I53" s="153">
        <f>_xlfn.XLOOKUP(E53,'All Products'!D:D,'All Products'!H:H)</f>
        <v>24</v>
      </c>
      <c r="J53" s="205">
        <f>ROUNDUP(I53*Order_Quote!$L$27,2)</f>
        <v>120</v>
      </c>
      <c r="K53" s="78"/>
      <c r="L53" s="116"/>
      <c r="M53" s="199">
        <f t="shared" si="1"/>
        <v>0</v>
      </c>
      <c r="N53" s="506"/>
      <c r="O53" s="265" t="s">
        <v>359</v>
      </c>
      <c r="P53" s="265" t="s">
        <v>102</v>
      </c>
      <c r="Q53" s="265" t="s">
        <v>6673</v>
      </c>
      <c r="R53" s="265">
        <v>0</v>
      </c>
      <c r="S53" s="265" t="s">
        <v>6674</v>
      </c>
      <c r="T53" s="347">
        <v>0.215</v>
      </c>
      <c r="U53" s="347">
        <v>0.215</v>
      </c>
      <c r="V53" s="348">
        <v>0</v>
      </c>
    </row>
    <row r="54" spans="1:22" ht="14.45" customHeight="1">
      <c r="A54" s="104" t="str">
        <f>IF(K54&gt;0,COUNT($A$8:A53)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4" s="112"/>
      <c r="C54" s="79"/>
      <c r="D54" s="158" t="s">
        <v>6675</v>
      </c>
      <c r="E54" s="106">
        <v>100028346</v>
      </c>
      <c r="F54" s="159" t="s">
        <v>6676</v>
      </c>
      <c r="G54" s="106">
        <v>1</v>
      </c>
      <c r="H54" s="106" t="s">
        <v>2803</v>
      </c>
      <c r="I54" s="153">
        <f>_xlfn.XLOOKUP(E54,'All Products'!D:D,'All Products'!H:H)</f>
        <v>16.36</v>
      </c>
      <c r="J54" s="205">
        <f>ROUNDUP(I54*Order_Quote!$L$27,2)</f>
        <v>81.8</v>
      </c>
      <c r="K54" s="78"/>
      <c r="L54" s="116"/>
      <c r="M54" s="199">
        <f t="shared" si="1"/>
        <v>0</v>
      </c>
      <c r="N54" s="506"/>
      <c r="O54" s="265" t="s">
        <v>359</v>
      </c>
      <c r="P54" s="265" t="s">
        <v>102</v>
      </c>
      <c r="Q54" s="265" t="s">
        <v>6677</v>
      </c>
      <c r="R54" s="265">
        <v>0</v>
      </c>
      <c r="S54" s="265" t="s">
        <v>6678</v>
      </c>
      <c r="T54" s="347">
        <v>0.15</v>
      </c>
      <c r="U54" s="347">
        <v>0.15</v>
      </c>
      <c r="V54" s="348">
        <v>0</v>
      </c>
    </row>
    <row r="55" spans="1:22" ht="14.45" customHeight="1">
      <c r="A55" s="104" t="str">
        <f>IF(K55&gt;0,COUNT($A$8:A54)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5" s="112"/>
      <c r="C55" s="79"/>
      <c r="D55" s="158" t="s">
        <v>6679</v>
      </c>
      <c r="E55" s="106">
        <v>100028347</v>
      </c>
      <c r="F55" s="159" t="s">
        <v>6680</v>
      </c>
      <c r="G55" s="106">
        <v>1</v>
      </c>
      <c r="H55" s="106" t="s">
        <v>2803</v>
      </c>
      <c r="I55" s="153">
        <f>_xlfn.XLOOKUP(E55,'All Products'!D:D,'All Products'!H:H)</f>
        <v>17.190000000000001</v>
      </c>
      <c r="J55" s="205">
        <f>ROUNDUP(I55*Order_Quote!$L$27,2)</f>
        <v>85.95</v>
      </c>
      <c r="K55" s="78"/>
      <c r="L55" s="116"/>
      <c r="M55" s="199">
        <f t="shared" si="1"/>
        <v>0</v>
      </c>
      <c r="N55" s="506"/>
      <c r="O55" s="265" t="s">
        <v>359</v>
      </c>
      <c r="P55" s="265" t="s">
        <v>102</v>
      </c>
      <c r="Q55" s="265" t="s">
        <v>6681</v>
      </c>
      <c r="R55" s="265">
        <v>0</v>
      </c>
      <c r="S55" s="265" t="s">
        <v>6682</v>
      </c>
      <c r="T55" s="347">
        <v>0.14499999999999999</v>
      </c>
      <c r="U55" s="347">
        <v>0.14499999999999999</v>
      </c>
      <c r="V55" s="348">
        <v>0</v>
      </c>
    </row>
    <row r="56" spans="1:22" ht="14.45" customHeight="1">
      <c r="A56" s="104" t="str">
        <f>IF(K56&gt;0,COUNT($A$8:A55)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6" s="112"/>
      <c r="C56" s="79"/>
      <c r="D56" s="158" t="s">
        <v>6683</v>
      </c>
      <c r="E56" s="106">
        <v>100028348</v>
      </c>
      <c r="F56" s="159" t="s">
        <v>6684</v>
      </c>
      <c r="G56" s="106">
        <v>1</v>
      </c>
      <c r="H56" s="106" t="s">
        <v>2803</v>
      </c>
      <c r="I56" s="153">
        <f>_xlfn.XLOOKUP(E56,'All Products'!D:D,'All Products'!H:H)</f>
        <v>14.03</v>
      </c>
      <c r="J56" s="205">
        <f>ROUNDUP(I56*Order_Quote!$L$27,2)</f>
        <v>70.150000000000006</v>
      </c>
      <c r="K56" s="78"/>
      <c r="L56" s="116"/>
      <c r="M56" s="199">
        <f t="shared" si="1"/>
        <v>0</v>
      </c>
      <c r="N56" s="506"/>
      <c r="O56" s="265" t="s">
        <v>76</v>
      </c>
      <c r="P56" s="265" t="s">
        <v>102</v>
      </c>
      <c r="Q56" s="265" t="s">
        <v>6685</v>
      </c>
      <c r="R56" s="265">
        <v>0</v>
      </c>
      <c r="S56" s="265" t="s">
        <v>6686</v>
      </c>
      <c r="T56" s="347">
        <v>0.12</v>
      </c>
      <c r="U56" s="347">
        <v>0.12</v>
      </c>
      <c r="V56" s="348">
        <v>0</v>
      </c>
    </row>
    <row r="57" spans="1:22" ht="14.45" customHeight="1">
      <c r="A57" s="104" t="str">
        <f>IF(K57&gt;0,COUNT($A$8:A56)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7" s="112"/>
      <c r="C57" s="79"/>
      <c r="D57" s="158" t="s">
        <v>6687</v>
      </c>
      <c r="E57" s="106">
        <v>100028349</v>
      </c>
      <c r="F57" s="159" t="s">
        <v>6688</v>
      </c>
      <c r="G57" s="106">
        <v>1</v>
      </c>
      <c r="H57" s="106" t="s">
        <v>2803</v>
      </c>
      <c r="I57" s="153">
        <f>_xlfn.XLOOKUP(E57,'All Products'!D:D,'All Products'!H:H)</f>
        <v>17.2</v>
      </c>
      <c r="J57" s="205">
        <f>ROUNDUP(I57*Order_Quote!$L$27,2)</f>
        <v>86</v>
      </c>
      <c r="K57" s="78"/>
      <c r="L57" s="116"/>
      <c r="M57" s="199">
        <f t="shared" si="1"/>
        <v>0</v>
      </c>
      <c r="N57" s="506"/>
      <c r="O57" s="265" t="s">
        <v>359</v>
      </c>
      <c r="P57" s="265" t="s">
        <v>102</v>
      </c>
      <c r="Q57" s="265" t="s">
        <v>6689</v>
      </c>
      <c r="R57" s="265">
        <v>0</v>
      </c>
      <c r="S57" s="265" t="s">
        <v>6690</v>
      </c>
      <c r="T57" s="347">
        <v>0.187</v>
      </c>
      <c r="U57" s="347">
        <v>0.187</v>
      </c>
      <c r="V57" s="348">
        <v>0</v>
      </c>
    </row>
    <row r="58" spans="1:22" ht="14.45" customHeight="1">
      <c r="A58" s="104" t="str">
        <f>IF(K58&gt;0,COUNT($A$8:A57)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8" s="112"/>
      <c r="C58" s="79"/>
      <c r="D58" s="158" t="s">
        <v>6691</v>
      </c>
      <c r="E58" s="106">
        <v>100028350</v>
      </c>
      <c r="F58" s="159" t="s">
        <v>6692</v>
      </c>
      <c r="G58" s="106">
        <v>1</v>
      </c>
      <c r="H58" s="106" t="s">
        <v>2803</v>
      </c>
      <c r="I58" s="153">
        <f>_xlfn.XLOOKUP(E58,'All Products'!D:D,'All Products'!H:H)</f>
        <v>22.86</v>
      </c>
      <c r="J58" s="205">
        <f>ROUNDUP(I58*Order_Quote!$L$27,2)</f>
        <v>114.3</v>
      </c>
      <c r="K58" s="78"/>
      <c r="L58" s="116"/>
      <c r="M58" s="199">
        <f t="shared" si="1"/>
        <v>0</v>
      </c>
      <c r="N58" s="506"/>
      <c r="O58" s="265" t="s">
        <v>359</v>
      </c>
      <c r="P58" s="265" t="s">
        <v>102</v>
      </c>
      <c r="Q58" s="265" t="s">
        <v>6693</v>
      </c>
      <c r="R58" s="265">
        <v>0</v>
      </c>
      <c r="S58" s="265" t="s">
        <v>6694</v>
      </c>
      <c r="T58" s="347">
        <v>0.24</v>
      </c>
      <c r="U58" s="347">
        <v>0.24</v>
      </c>
      <c r="V58" s="348">
        <v>0</v>
      </c>
    </row>
    <row r="59" spans="1:22" ht="14.45" customHeight="1">
      <c r="A59" s="104" t="str">
        <f>IF(K59&gt;0,COUNT($A$8:A58)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59" s="112"/>
      <c r="C59" s="79"/>
      <c r="D59" s="158" t="s">
        <v>6695</v>
      </c>
      <c r="E59" s="106">
        <v>100028351</v>
      </c>
      <c r="F59" s="159" t="s">
        <v>6696</v>
      </c>
      <c r="G59" s="106">
        <v>1</v>
      </c>
      <c r="H59" s="106" t="s">
        <v>2803</v>
      </c>
      <c r="I59" s="153">
        <f>_xlfn.XLOOKUP(E59,'All Products'!D:D,'All Products'!H:H)</f>
        <v>14.82</v>
      </c>
      <c r="J59" s="205">
        <f>ROUNDUP(I59*Order_Quote!$L$27,2)</f>
        <v>74.099999999999994</v>
      </c>
      <c r="K59" s="78"/>
      <c r="L59" s="116"/>
      <c r="M59" s="199">
        <f t="shared" si="1"/>
        <v>0</v>
      </c>
      <c r="N59" s="506"/>
      <c r="O59" s="265" t="s">
        <v>76</v>
      </c>
      <c r="P59" s="265" t="s">
        <v>102</v>
      </c>
      <c r="Q59" s="265" t="s">
        <v>6697</v>
      </c>
      <c r="R59" s="265">
        <v>0</v>
      </c>
      <c r="S59" s="265" t="s">
        <v>6698</v>
      </c>
      <c r="T59" s="347">
        <v>0.24299999999999999</v>
      </c>
      <c r="U59" s="347">
        <v>0.24299999999999999</v>
      </c>
      <c r="V59" s="348">
        <v>0</v>
      </c>
    </row>
    <row r="60" spans="1:22" ht="14.45" customHeight="1">
      <c r="A60" s="104" t="str">
        <f>IF(K60&gt;0,COUNT($A$8:A59)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0" s="112"/>
      <c r="C60" s="79"/>
      <c r="D60" s="158" t="s">
        <v>6699</v>
      </c>
      <c r="E60" s="106">
        <v>100028352</v>
      </c>
      <c r="F60" s="159" t="s">
        <v>6700</v>
      </c>
      <c r="G60" s="106">
        <v>1</v>
      </c>
      <c r="H60" s="106" t="s">
        <v>2803</v>
      </c>
      <c r="I60" s="153">
        <f>_xlfn.XLOOKUP(E60,'All Products'!D:D,'All Products'!H:H)</f>
        <v>24.76</v>
      </c>
      <c r="J60" s="205">
        <f>ROUNDUP(I60*Order_Quote!$L$27,2)</f>
        <v>123.8</v>
      </c>
      <c r="K60" s="78"/>
      <c r="L60" s="116"/>
      <c r="M60" s="199">
        <f t="shared" si="1"/>
        <v>0</v>
      </c>
      <c r="N60" s="506"/>
      <c r="O60" s="265" t="s">
        <v>359</v>
      </c>
      <c r="P60" s="265" t="s">
        <v>102</v>
      </c>
      <c r="Q60" s="265" t="s">
        <v>6701</v>
      </c>
      <c r="R60" s="265">
        <v>0</v>
      </c>
      <c r="S60" s="265" t="s">
        <v>6702</v>
      </c>
      <c r="T60" s="347">
        <v>0.35799999999999998</v>
      </c>
      <c r="U60" s="347">
        <v>0.35799999999999998</v>
      </c>
      <c r="V60" s="348">
        <v>0</v>
      </c>
    </row>
    <row r="61" spans="1:22" ht="14.45" customHeight="1">
      <c r="A61" s="104" t="str">
        <f>IF(K61&gt;0,COUNT($A$8:A60)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1" s="112"/>
      <c r="C61" s="79"/>
      <c r="D61" s="158" t="s">
        <v>6703</v>
      </c>
      <c r="E61" s="106">
        <v>100028353</v>
      </c>
      <c r="F61" s="159" t="s">
        <v>6704</v>
      </c>
      <c r="G61" s="106">
        <v>1</v>
      </c>
      <c r="H61" s="106" t="s">
        <v>2803</v>
      </c>
      <c r="I61" s="153">
        <f>_xlfn.XLOOKUP(E61,'All Products'!D:D,'All Products'!H:H)</f>
        <v>27.44</v>
      </c>
      <c r="J61" s="205">
        <f>ROUNDUP(I61*Order_Quote!$L$27,2)</f>
        <v>137.19999999999999</v>
      </c>
      <c r="K61" s="78"/>
      <c r="L61" s="116"/>
      <c r="M61" s="199">
        <f t="shared" si="1"/>
        <v>0</v>
      </c>
      <c r="N61" s="506"/>
      <c r="O61" s="265" t="s">
        <v>76</v>
      </c>
      <c r="P61" s="265" t="s">
        <v>102</v>
      </c>
      <c r="Q61" s="265" t="s">
        <v>6705</v>
      </c>
      <c r="R61" s="265">
        <v>0</v>
      </c>
      <c r="S61" s="265" t="s">
        <v>6706</v>
      </c>
      <c r="T61" s="347">
        <v>0.43</v>
      </c>
      <c r="U61" s="347">
        <v>0.43</v>
      </c>
      <c r="V61" s="348">
        <v>0</v>
      </c>
    </row>
    <row r="62" spans="1:22" ht="14.45" customHeight="1">
      <c r="A62" s="104" t="str">
        <f>IF(K62&gt;0,COUNT($A$8:A61)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2" s="112"/>
      <c r="C62" s="79"/>
      <c r="D62" s="158" t="s">
        <v>6707</v>
      </c>
      <c r="E62" s="106">
        <v>100028354</v>
      </c>
      <c r="F62" s="159" t="s">
        <v>6708</v>
      </c>
      <c r="G62" s="106">
        <v>1</v>
      </c>
      <c r="H62" s="106" t="s">
        <v>2803</v>
      </c>
      <c r="I62" s="153">
        <f>_xlfn.XLOOKUP(E62,'All Products'!D:D,'All Products'!H:H)</f>
        <v>35.090000000000003</v>
      </c>
      <c r="J62" s="205">
        <f>ROUNDUP(I62*Order_Quote!$L$27,2)</f>
        <v>175.45</v>
      </c>
      <c r="K62" s="78"/>
      <c r="L62" s="116"/>
      <c r="M62" s="199">
        <f t="shared" si="1"/>
        <v>0</v>
      </c>
      <c r="N62" s="506"/>
      <c r="O62" s="265" t="s">
        <v>359</v>
      </c>
      <c r="P62" s="265" t="s">
        <v>102</v>
      </c>
      <c r="Q62" s="265" t="s">
        <v>6709</v>
      </c>
      <c r="R62" s="265">
        <v>0</v>
      </c>
      <c r="S62" s="265" t="s">
        <v>6710</v>
      </c>
      <c r="T62" s="347">
        <v>0.315</v>
      </c>
      <c r="U62" s="347">
        <v>0.315</v>
      </c>
      <c r="V62" s="348">
        <v>0</v>
      </c>
    </row>
    <row r="63" spans="1:22" ht="14.45" customHeight="1">
      <c r="A63" s="104" t="str">
        <f>IF(K63&gt;0,COUNT($A$8:A62)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3" s="112"/>
      <c r="C63" s="79"/>
      <c r="D63" s="158" t="s">
        <v>6711</v>
      </c>
      <c r="E63" s="106">
        <v>100028355</v>
      </c>
      <c r="F63" s="159" t="s">
        <v>6712</v>
      </c>
      <c r="G63" s="106">
        <v>1</v>
      </c>
      <c r="H63" s="106" t="s">
        <v>2803</v>
      </c>
      <c r="I63" s="153">
        <f>_xlfn.XLOOKUP(E63,'All Products'!D:D,'All Products'!H:H)</f>
        <v>44.91</v>
      </c>
      <c r="J63" s="205">
        <f>ROUNDUP(I63*Order_Quote!$L$27,2)</f>
        <v>224.55</v>
      </c>
      <c r="K63" s="78"/>
      <c r="L63" s="116"/>
      <c r="M63" s="199">
        <f t="shared" si="1"/>
        <v>0</v>
      </c>
      <c r="N63" s="506"/>
      <c r="O63" s="265" t="s">
        <v>359</v>
      </c>
      <c r="P63" s="265" t="s">
        <v>102</v>
      </c>
      <c r="Q63" s="265" t="s">
        <v>6713</v>
      </c>
      <c r="R63" s="265">
        <v>0</v>
      </c>
      <c r="S63" s="265" t="s">
        <v>6714</v>
      </c>
      <c r="T63" s="347">
        <v>0.33500000000000002</v>
      </c>
      <c r="U63" s="347">
        <v>0.33500000000000002</v>
      </c>
      <c r="V63" s="348">
        <v>0</v>
      </c>
    </row>
    <row r="64" spans="1:22" ht="14.45" customHeight="1">
      <c r="A64" s="104" t="str">
        <f>IF(K64&gt;0,COUNT($A$8:A63)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4" s="112"/>
      <c r="C64" s="79"/>
      <c r="D64" s="158" t="s">
        <v>6715</v>
      </c>
      <c r="E64" s="106">
        <v>100028356</v>
      </c>
      <c r="F64" s="159" t="s">
        <v>6716</v>
      </c>
      <c r="G64" s="106">
        <v>1</v>
      </c>
      <c r="H64" s="106" t="s">
        <v>2803</v>
      </c>
      <c r="I64" s="153">
        <f>_xlfn.XLOOKUP(E64,'All Products'!D:D,'All Products'!H:H)</f>
        <v>35.090000000000003</v>
      </c>
      <c r="J64" s="205">
        <f>ROUNDUP(I64*Order_Quote!$L$27,2)</f>
        <v>175.45</v>
      </c>
      <c r="K64" s="78"/>
      <c r="L64" s="116"/>
      <c r="M64" s="199">
        <f t="shared" si="1"/>
        <v>0</v>
      </c>
      <c r="N64" s="506"/>
      <c r="O64" s="265" t="s">
        <v>359</v>
      </c>
      <c r="P64" s="265" t="s">
        <v>102</v>
      </c>
      <c r="Q64" s="265" t="s">
        <v>6717</v>
      </c>
      <c r="R64" s="265">
        <v>0</v>
      </c>
      <c r="S64" s="265" t="s">
        <v>6718</v>
      </c>
      <c r="T64" s="347">
        <v>0.34</v>
      </c>
      <c r="U64" s="347">
        <v>0.34</v>
      </c>
      <c r="V64" s="348">
        <v>0</v>
      </c>
    </row>
    <row r="65" spans="1:22" ht="14.45" customHeight="1">
      <c r="A65" s="104" t="str">
        <f>IF(K65&gt;0,COUNT($A$8:A64)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5" s="112"/>
      <c r="C65" s="79"/>
      <c r="D65" s="158" t="s">
        <v>6719</v>
      </c>
      <c r="E65" s="106">
        <v>100028357</v>
      </c>
      <c r="F65" s="159" t="s">
        <v>6720</v>
      </c>
      <c r="G65" s="106">
        <v>1</v>
      </c>
      <c r="H65" s="106" t="s">
        <v>2803</v>
      </c>
      <c r="I65" s="153">
        <f>_xlfn.XLOOKUP(E65,'All Products'!D:D,'All Products'!H:H)</f>
        <v>44.91</v>
      </c>
      <c r="J65" s="205">
        <f>ROUNDUP(I65*Order_Quote!$L$27,2)</f>
        <v>224.55</v>
      </c>
      <c r="K65" s="78"/>
      <c r="L65" s="116"/>
      <c r="M65" s="199">
        <f t="shared" si="1"/>
        <v>0</v>
      </c>
      <c r="N65" s="506"/>
      <c r="O65" s="265" t="s">
        <v>359</v>
      </c>
      <c r="P65" s="265" t="s">
        <v>102</v>
      </c>
      <c r="Q65" s="265" t="s">
        <v>6721</v>
      </c>
      <c r="R65" s="265">
        <v>0</v>
      </c>
      <c r="S65" s="265" t="s">
        <v>6722</v>
      </c>
      <c r="T65" s="347">
        <v>0.39500000000000002</v>
      </c>
      <c r="U65" s="347">
        <v>0.39500000000000002</v>
      </c>
      <c r="V65" s="348">
        <v>0</v>
      </c>
    </row>
    <row r="66" spans="1:22" ht="14.45" customHeight="1">
      <c r="A66" s="104" t="str">
        <f>IF(K66&gt;0,COUNT($A$8:A65)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6" s="112"/>
      <c r="C66" s="79"/>
      <c r="D66" s="158" t="s">
        <v>6723</v>
      </c>
      <c r="E66" s="106">
        <v>100028359</v>
      </c>
      <c r="F66" s="159" t="s">
        <v>6724</v>
      </c>
      <c r="G66" s="106">
        <v>1</v>
      </c>
      <c r="H66" s="106" t="s">
        <v>2803</v>
      </c>
      <c r="I66" s="153">
        <f>_xlfn.XLOOKUP(E66,'All Products'!D:D,'All Products'!H:H)</f>
        <v>44.91</v>
      </c>
      <c r="J66" s="205">
        <f>ROUNDUP(I66*Order_Quote!$L$27,2)</f>
        <v>224.55</v>
      </c>
      <c r="K66" s="78"/>
      <c r="L66" s="116"/>
      <c r="M66" s="199">
        <f t="shared" si="1"/>
        <v>0</v>
      </c>
      <c r="N66" s="506"/>
      <c r="O66" s="265" t="s">
        <v>76</v>
      </c>
      <c r="P66" s="265" t="s">
        <v>102</v>
      </c>
      <c r="Q66" s="265" t="s">
        <v>6725</v>
      </c>
      <c r="R66" s="265">
        <v>0</v>
      </c>
      <c r="S66" s="265" t="s">
        <v>6726</v>
      </c>
      <c r="T66" s="347">
        <v>0.44500000000000001</v>
      </c>
      <c r="U66" s="347">
        <v>0.44500000000000001</v>
      </c>
      <c r="V66" s="348">
        <v>0</v>
      </c>
    </row>
    <row r="67" spans="1:22" ht="14.45" customHeight="1">
      <c r="A67" s="104" t="str">
        <f>IF(K67&gt;0,COUNT($A$8:A66)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7" s="112"/>
      <c r="C67" s="79"/>
      <c r="D67" s="158" t="s">
        <v>6727</v>
      </c>
      <c r="E67" s="106">
        <v>100028362</v>
      </c>
      <c r="F67" s="159" t="s">
        <v>6728</v>
      </c>
      <c r="G67" s="106">
        <v>1</v>
      </c>
      <c r="H67" s="106" t="s">
        <v>2803</v>
      </c>
      <c r="I67" s="153">
        <f>_xlfn.XLOOKUP(E67,'All Products'!D:D,'All Products'!H:H)</f>
        <v>45.21</v>
      </c>
      <c r="J67" s="205">
        <f>ROUNDUP(I67*Order_Quote!$L$27,2)</f>
        <v>226.05</v>
      </c>
      <c r="K67" s="78"/>
      <c r="L67" s="116"/>
      <c r="M67" s="199">
        <f t="shared" si="1"/>
        <v>0</v>
      </c>
      <c r="N67" s="506"/>
      <c r="O67" s="265" t="s">
        <v>359</v>
      </c>
      <c r="P67" s="265" t="s">
        <v>102</v>
      </c>
      <c r="Q67" s="265" t="s">
        <v>6729</v>
      </c>
      <c r="R67" s="265">
        <v>0</v>
      </c>
      <c r="S67" s="265" t="s">
        <v>6730</v>
      </c>
      <c r="T67" s="347">
        <v>0.47499999999999998</v>
      </c>
      <c r="U67" s="347">
        <v>0.47499999999999998</v>
      </c>
      <c r="V67" s="348">
        <v>0</v>
      </c>
    </row>
    <row r="68" spans="1:22" ht="14.45" customHeight="1">
      <c r="A68" s="104" t="str">
        <f>IF(K68&gt;0,COUNT($A$8:A67)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8" s="112"/>
      <c r="C68" s="79"/>
      <c r="D68" s="158" t="s">
        <v>6731</v>
      </c>
      <c r="E68" s="106">
        <v>100028363</v>
      </c>
      <c r="F68" s="159" t="s">
        <v>6732</v>
      </c>
      <c r="G68" s="106">
        <v>1</v>
      </c>
      <c r="H68" s="106" t="s">
        <v>2803</v>
      </c>
      <c r="I68" s="153">
        <f>_xlfn.XLOOKUP(E68,'All Products'!D:D,'All Products'!H:H)</f>
        <v>42.11</v>
      </c>
      <c r="J68" s="205">
        <f>ROUNDUP(I68*Order_Quote!$L$27,2)</f>
        <v>210.55</v>
      </c>
      <c r="K68" s="78"/>
      <c r="L68" s="116"/>
      <c r="M68" s="199">
        <f t="shared" si="1"/>
        <v>0</v>
      </c>
      <c r="N68" s="506"/>
      <c r="O68" s="265" t="s">
        <v>359</v>
      </c>
      <c r="P68" s="265" t="s">
        <v>102</v>
      </c>
      <c r="Q68" s="265" t="s">
        <v>6733</v>
      </c>
      <c r="R68" s="265">
        <v>0</v>
      </c>
      <c r="S68" s="265" t="s">
        <v>6734</v>
      </c>
      <c r="T68" s="347">
        <v>0.27500000000000002</v>
      </c>
      <c r="U68" s="347">
        <v>0.27500000000000002</v>
      </c>
      <c r="V68" s="348">
        <v>0</v>
      </c>
    </row>
    <row r="69" spans="1:22" ht="14.45" customHeight="1">
      <c r="A69" s="104" t="str">
        <f>IF(K69&gt;0,COUNT($A$8:A68)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69" s="112"/>
      <c r="C69" s="79"/>
      <c r="D69" s="158" t="s">
        <v>6735</v>
      </c>
      <c r="E69" s="106">
        <v>100028364</v>
      </c>
      <c r="F69" s="159" t="s">
        <v>6736</v>
      </c>
      <c r="G69" s="106">
        <v>1</v>
      </c>
      <c r="H69" s="106" t="s">
        <v>2803</v>
      </c>
      <c r="I69" s="153">
        <f>_xlfn.XLOOKUP(E69,'All Products'!D:D,'All Products'!H:H)</f>
        <v>46.64</v>
      </c>
      <c r="J69" s="205">
        <f>ROUNDUP(I69*Order_Quote!$L$27,2)</f>
        <v>233.2</v>
      </c>
      <c r="K69" s="78"/>
      <c r="L69" s="116"/>
      <c r="M69" s="199">
        <f t="shared" si="1"/>
        <v>0</v>
      </c>
      <c r="N69" s="506"/>
      <c r="O69" s="265" t="s">
        <v>359</v>
      </c>
      <c r="P69" s="265" t="s">
        <v>102</v>
      </c>
      <c r="Q69" s="265" t="s">
        <v>6737</v>
      </c>
      <c r="R69" s="265">
        <v>0</v>
      </c>
      <c r="S69" s="265" t="s">
        <v>6738</v>
      </c>
      <c r="T69" s="347">
        <v>0.46500000000000002</v>
      </c>
      <c r="U69" s="347">
        <v>0.46500000000000002</v>
      </c>
      <c r="V69" s="348">
        <v>0</v>
      </c>
    </row>
    <row r="70" spans="1:22" ht="14.45" customHeight="1">
      <c r="A70" s="104" t="str">
        <f>IF(K70&gt;0,COUNT($A$8:A69)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0" s="112"/>
      <c r="C70" s="79"/>
      <c r="D70" s="158" t="s">
        <v>6739</v>
      </c>
      <c r="E70" s="106">
        <v>100031237</v>
      </c>
      <c r="F70" s="159" t="s">
        <v>6740</v>
      </c>
      <c r="G70" s="106">
        <v>1</v>
      </c>
      <c r="H70" s="106" t="s">
        <v>2803</v>
      </c>
      <c r="I70" s="153">
        <f>_xlfn.XLOOKUP(E70,'All Products'!D:D,'All Products'!H:H)</f>
        <v>66.78</v>
      </c>
      <c r="J70" s="205">
        <f>ROUNDUP(I70*Order_Quote!$L$27,2)</f>
        <v>333.9</v>
      </c>
      <c r="K70" s="78"/>
      <c r="L70" s="116"/>
      <c r="M70" s="199">
        <f t="shared" si="1"/>
        <v>0</v>
      </c>
      <c r="N70" s="506"/>
      <c r="O70" s="265" t="s">
        <v>359</v>
      </c>
      <c r="P70" s="265" t="s">
        <v>102</v>
      </c>
      <c r="Q70" s="265" t="s">
        <v>6741</v>
      </c>
      <c r="R70" s="265">
        <v>0</v>
      </c>
      <c r="S70" s="265" t="s">
        <v>6742</v>
      </c>
      <c r="T70" s="347">
        <v>0.74</v>
      </c>
      <c r="U70" s="347">
        <v>0.74</v>
      </c>
      <c r="V70" s="348">
        <v>0</v>
      </c>
    </row>
    <row r="71" spans="1:22" ht="14.45" customHeight="1">
      <c r="A71" s="104" t="str">
        <f>IF(K71&gt;0,COUNT($A$8:A70)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1" s="112"/>
      <c r="C71" s="79"/>
      <c r="D71" s="158" t="s">
        <v>6743</v>
      </c>
      <c r="E71" s="106">
        <v>100023744</v>
      </c>
      <c r="F71" s="159" t="s">
        <v>6744</v>
      </c>
      <c r="G71" s="106">
        <v>1</v>
      </c>
      <c r="H71" s="106" t="s">
        <v>2803</v>
      </c>
      <c r="I71" s="153">
        <f>_xlfn.XLOOKUP(E71,'All Products'!D:D,'All Products'!H:H)</f>
        <v>67.87</v>
      </c>
      <c r="J71" s="205">
        <f>ROUNDUP(I71*Order_Quote!$L$27,2)</f>
        <v>339.35</v>
      </c>
      <c r="K71" s="78"/>
      <c r="L71" s="116"/>
      <c r="M71" s="199">
        <f t="shared" si="1"/>
        <v>0</v>
      </c>
      <c r="N71" s="506"/>
      <c r="O71" s="265" t="s">
        <v>359</v>
      </c>
      <c r="P71" s="265" t="s">
        <v>102</v>
      </c>
      <c r="Q71" s="265" t="s">
        <v>6745</v>
      </c>
      <c r="R71" s="265">
        <v>0</v>
      </c>
      <c r="S71" s="265" t="s">
        <v>6746</v>
      </c>
      <c r="T71" s="347">
        <v>0.7</v>
      </c>
      <c r="U71" s="347">
        <v>0.7</v>
      </c>
      <c r="V71" s="348">
        <v>0</v>
      </c>
    </row>
    <row r="72" spans="1:22" ht="14.45" customHeight="1">
      <c r="A72" s="104" t="str">
        <f>IF(K72&gt;0,COUNT($A$8:A71)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2" s="112"/>
      <c r="C72" s="79"/>
      <c r="D72" s="158" t="s">
        <v>6747</v>
      </c>
      <c r="E72" s="106">
        <v>100023745</v>
      </c>
      <c r="F72" s="159" t="s">
        <v>6748</v>
      </c>
      <c r="G72" s="106">
        <v>1</v>
      </c>
      <c r="H72" s="106" t="s">
        <v>2803</v>
      </c>
      <c r="I72" s="153">
        <f>_xlfn.XLOOKUP(E72,'All Products'!D:D,'All Products'!H:H)</f>
        <v>75.78</v>
      </c>
      <c r="J72" s="205">
        <f>ROUNDUP(I72*Order_Quote!$L$27,2)</f>
        <v>378.9</v>
      </c>
      <c r="K72" s="78"/>
      <c r="L72" s="116"/>
      <c r="M72" s="199">
        <f t="shared" si="1"/>
        <v>0</v>
      </c>
      <c r="N72" s="506"/>
      <c r="O72" s="265" t="s">
        <v>359</v>
      </c>
      <c r="P72" s="265" t="s">
        <v>102</v>
      </c>
      <c r="Q72" s="265" t="s">
        <v>6749</v>
      </c>
      <c r="R72" s="265">
        <v>0</v>
      </c>
      <c r="S72" s="265" t="s">
        <v>6750</v>
      </c>
      <c r="T72" s="347">
        <v>0.879</v>
      </c>
      <c r="U72" s="347">
        <v>0.879</v>
      </c>
      <c r="V72" s="348">
        <v>0</v>
      </c>
    </row>
    <row r="73" spans="1:22" ht="14.45" customHeight="1">
      <c r="A73" s="104" t="str">
        <f>IF(K73&gt;0,COUNT($A$8:A72)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3" s="112"/>
      <c r="C73" s="79"/>
      <c r="D73" s="158" t="s">
        <v>6751</v>
      </c>
      <c r="E73" s="106">
        <v>100023746</v>
      </c>
      <c r="F73" s="159" t="s">
        <v>6752</v>
      </c>
      <c r="G73" s="106">
        <v>1</v>
      </c>
      <c r="H73" s="106" t="s">
        <v>2803</v>
      </c>
      <c r="I73" s="153">
        <f>_xlfn.XLOOKUP(E73,'All Products'!D:D,'All Products'!H:H)</f>
        <v>60.15</v>
      </c>
      <c r="J73" s="205">
        <f>ROUNDUP(I73*Order_Quote!$L$27,2)</f>
        <v>300.75</v>
      </c>
      <c r="K73" s="78"/>
      <c r="L73" s="116"/>
      <c r="M73" s="199">
        <f t="shared" si="1"/>
        <v>0</v>
      </c>
      <c r="N73" s="506"/>
      <c r="O73" s="265" t="s">
        <v>359</v>
      </c>
      <c r="P73" s="265" t="s">
        <v>102</v>
      </c>
      <c r="Q73" s="265" t="s">
        <v>6753</v>
      </c>
      <c r="R73" s="265">
        <v>0</v>
      </c>
      <c r="S73" s="265" t="s">
        <v>6754</v>
      </c>
      <c r="T73" s="347">
        <v>0.47899999999999998</v>
      </c>
      <c r="U73" s="347">
        <v>0.47899999999999998</v>
      </c>
      <c r="V73" s="348">
        <v>0</v>
      </c>
    </row>
    <row r="74" spans="1:22" ht="14.45" customHeight="1">
      <c r="A74" s="104" t="str">
        <f>IF(K74&gt;0,COUNT($A$8:A73)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4" s="112"/>
      <c r="C74" s="79"/>
      <c r="D74" s="158" t="s">
        <v>6755</v>
      </c>
      <c r="E74" s="106">
        <v>100023747</v>
      </c>
      <c r="F74" s="159" t="s">
        <v>6756</v>
      </c>
      <c r="G74" s="106">
        <v>1</v>
      </c>
      <c r="H74" s="106" t="s">
        <v>2803</v>
      </c>
      <c r="I74" s="153">
        <f>_xlfn.XLOOKUP(E74,'All Products'!D:D,'All Products'!H:H)</f>
        <v>60.15</v>
      </c>
      <c r="J74" s="205">
        <f>ROUNDUP(I74*Order_Quote!$L$27,2)</f>
        <v>300.75</v>
      </c>
      <c r="K74" s="78"/>
      <c r="L74" s="116"/>
      <c r="M74" s="199">
        <f t="shared" si="1"/>
        <v>0</v>
      </c>
      <c r="N74" s="506"/>
      <c r="O74" s="265" t="s">
        <v>359</v>
      </c>
      <c r="P74" s="265" t="s">
        <v>102</v>
      </c>
      <c r="Q74" s="265" t="s">
        <v>6757</v>
      </c>
      <c r="R74" s="265">
        <v>0</v>
      </c>
      <c r="S74" s="265" t="s">
        <v>6758</v>
      </c>
      <c r="T74" s="347">
        <v>0.54500000000000004</v>
      </c>
      <c r="U74" s="347">
        <v>0.54500000000000004</v>
      </c>
      <c r="V74" s="348">
        <v>0</v>
      </c>
    </row>
    <row r="75" spans="1:22" ht="14.45" customHeight="1">
      <c r="A75" s="104" t="str">
        <f>IF(K75&gt;0,COUNT($A$8:A74)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5" s="112"/>
      <c r="C75" s="79"/>
      <c r="D75" s="158" t="s">
        <v>6759</v>
      </c>
      <c r="E75" s="106">
        <v>100023748</v>
      </c>
      <c r="F75" s="159" t="s">
        <v>6760</v>
      </c>
      <c r="G75" s="106">
        <v>1</v>
      </c>
      <c r="H75" s="106" t="s">
        <v>2803</v>
      </c>
      <c r="I75" s="153">
        <f>_xlfn.XLOOKUP(E75,'All Products'!D:D,'All Products'!H:H)</f>
        <v>88.08</v>
      </c>
      <c r="J75" s="205">
        <f>ROUNDUP(I75*Order_Quote!$L$27,2)</f>
        <v>440.4</v>
      </c>
      <c r="K75" s="78"/>
      <c r="L75" s="116"/>
      <c r="M75" s="199">
        <f t="shared" si="1"/>
        <v>0</v>
      </c>
      <c r="N75" s="506"/>
      <c r="O75" s="265" t="s">
        <v>359</v>
      </c>
      <c r="P75" s="265" t="s">
        <v>102</v>
      </c>
      <c r="Q75" s="265" t="s">
        <v>6761</v>
      </c>
      <c r="R75" s="265">
        <v>0</v>
      </c>
      <c r="S75" s="265" t="s">
        <v>6762</v>
      </c>
      <c r="T75" s="347">
        <v>1.0049999999999999</v>
      </c>
      <c r="U75" s="347">
        <v>1.0049999999999999</v>
      </c>
      <c r="V75" s="348">
        <v>0</v>
      </c>
    </row>
    <row r="76" spans="1:22" ht="14.45" customHeight="1">
      <c r="A76" s="104" t="str">
        <f>IF(K76&gt;0,COUNT($A$8:A75)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6" s="112"/>
      <c r="C76" s="79"/>
      <c r="D76" s="158" t="s">
        <v>6763</v>
      </c>
      <c r="E76" s="106">
        <v>100023749</v>
      </c>
      <c r="F76" s="159" t="s">
        <v>6764</v>
      </c>
      <c r="G76" s="106">
        <v>1</v>
      </c>
      <c r="H76" s="106" t="s">
        <v>2803</v>
      </c>
      <c r="I76" s="153">
        <f>_xlfn.XLOOKUP(E76,'All Products'!D:D,'All Products'!H:H)</f>
        <v>95.04</v>
      </c>
      <c r="J76" s="205">
        <f>ROUNDUP(I76*Order_Quote!$L$27,2)</f>
        <v>475.2</v>
      </c>
      <c r="K76" s="78"/>
      <c r="L76" s="116"/>
      <c r="M76" s="199">
        <f t="shared" si="1"/>
        <v>0</v>
      </c>
      <c r="N76" s="506"/>
      <c r="O76" s="265" t="s">
        <v>359</v>
      </c>
      <c r="P76" s="265" t="s">
        <v>102</v>
      </c>
      <c r="Q76" s="265" t="s">
        <v>6765</v>
      </c>
      <c r="R76" s="265">
        <v>0</v>
      </c>
      <c r="S76" s="265" t="s">
        <v>6766</v>
      </c>
      <c r="T76" s="347">
        <v>1.2649999999999999</v>
      </c>
      <c r="U76" s="347">
        <v>1.2649999999999999</v>
      </c>
      <c r="V76" s="348">
        <v>0</v>
      </c>
    </row>
    <row r="77" spans="1:22" ht="14.45" customHeight="1">
      <c r="A77" s="104" t="str">
        <f>IF(K77&gt;0,COUNT($A$8:A76)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7" s="112"/>
      <c r="C77" s="79"/>
      <c r="D77" s="158" t="s">
        <v>6767</v>
      </c>
      <c r="E77" s="106">
        <v>100023750</v>
      </c>
      <c r="F77" s="159" t="s">
        <v>6768</v>
      </c>
      <c r="G77" s="106">
        <v>1</v>
      </c>
      <c r="H77" s="106" t="s">
        <v>2803</v>
      </c>
      <c r="I77" s="153">
        <f>_xlfn.XLOOKUP(E77,'All Products'!D:D,'All Products'!H:H)</f>
        <v>78.989999999999995</v>
      </c>
      <c r="J77" s="205">
        <f>ROUNDUP(I77*Order_Quote!$L$27,2)</f>
        <v>394.95</v>
      </c>
      <c r="K77" s="78"/>
      <c r="L77" s="116"/>
      <c r="M77" s="199">
        <f t="shared" si="1"/>
        <v>0</v>
      </c>
      <c r="N77" s="506"/>
      <c r="O77" s="265" t="s">
        <v>359</v>
      </c>
      <c r="P77" s="265" t="s">
        <v>102</v>
      </c>
      <c r="Q77" s="265" t="s">
        <v>6769</v>
      </c>
      <c r="R77" s="265">
        <v>0</v>
      </c>
      <c r="S77" s="265" t="s">
        <v>6770</v>
      </c>
      <c r="T77" s="347">
        <v>0.71199999999999997</v>
      </c>
      <c r="U77" s="347">
        <v>0.71199999999999997</v>
      </c>
      <c r="V77" s="348">
        <v>0</v>
      </c>
    </row>
    <row r="78" spans="1:22" ht="14.45" customHeight="1">
      <c r="A78" s="104" t="str">
        <f>IF(K78&gt;0,COUNT($A$8:A77)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8" s="112"/>
      <c r="C78" s="79"/>
      <c r="D78" s="158" t="s">
        <v>6771</v>
      </c>
      <c r="E78" s="106">
        <v>100023751</v>
      </c>
      <c r="F78" s="159" t="s">
        <v>6772</v>
      </c>
      <c r="G78" s="106">
        <v>1</v>
      </c>
      <c r="H78" s="106" t="s">
        <v>2803</v>
      </c>
      <c r="I78" s="153">
        <f>_xlfn.XLOOKUP(E78,'All Products'!D:D,'All Products'!H:H)</f>
        <v>78.989999999999995</v>
      </c>
      <c r="J78" s="205">
        <f>ROUNDUP(I78*Order_Quote!$L$27,2)</f>
        <v>394.95</v>
      </c>
      <c r="K78" s="78"/>
      <c r="L78" s="116"/>
      <c r="M78" s="199">
        <f t="shared" si="1"/>
        <v>0</v>
      </c>
      <c r="N78" s="506"/>
      <c r="O78" s="265" t="s">
        <v>359</v>
      </c>
      <c r="P78" s="265" t="s">
        <v>102</v>
      </c>
      <c r="Q78" s="265" t="s">
        <v>6773</v>
      </c>
      <c r="R78" s="265">
        <v>0</v>
      </c>
      <c r="S78" s="265" t="s">
        <v>6774</v>
      </c>
      <c r="T78" s="347">
        <v>0.81299999999999994</v>
      </c>
      <c r="U78" s="347">
        <v>0.81299999999999994</v>
      </c>
      <c r="V78" s="348">
        <v>0</v>
      </c>
    </row>
    <row r="79" spans="1:22" ht="14.45" customHeight="1">
      <c r="A79" s="104" t="str">
        <f>IF(K79&gt;0,COUNT($A$8:A78)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79" s="112"/>
      <c r="C79" s="79"/>
      <c r="D79" s="158" t="s">
        <v>6775</v>
      </c>
      <c r="E79" s="106">
        <v>100023752</v>
      </c>
      <c r="F79" s="159" t="s">
        <v>6760</v>
      </c>
      <c r="G79" s="106">
        <v>1</v>
      </c>
      <c r="H79" s="106" t="s">
        <v>2803</v>
      </c>
      <c r="I79" s="153">
        <f>_xlfn.XLOOKUP(E79,'All Products'!D:D,'All Products'!H:H)</f>
        <v>108.89</v>
      </c>
      <c r="J79" s="205">
        <f>ROUNDUP(I79*Order_Quote!$L$27,2)</f>
        <v>544.45000000000005</v>
      </c>
      <c r="K79" s="78"/>
      <c r="L79" s="116"/>
      <c r="M79" s="199">
        <f t="shared" si="1"/>
        <v>0</v>
      </c>
      <c r="N79" s="506"/>
      <c r="O79" s="265" t="s">
        <v>359</v>
      </c>
      <c r="P79" s="265" t="s">
        <v>102</v>
      </c>
      <c r="Q79" s="265" t="s">
        <v>6776</v>
      </c>
      <c r="R79" s="265">
        <v>0</v>
      </c>
      <c r="S79" s="265" t="s">
        <v>6777</v>
      </c>
      <c r="T79" s="347">
        <v>1.266</v>
      </c>
      <c r="U79" s="347">
        <v>1.266</v>
      </c>
      <c r="V79" s="348">
        <v>0</v>
      </c>
    </row>
    <row r="80" spans="1:22" ht="14.45" customHeight="1">
      <c r="A80" s="104" t="str">
        <f>IF(K80&gt;0,COUNT($A$8:A79)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0" s="112"/>
      <c r="C80" s="79"/>
      <c r="D80" s="158" t="s">
        <v>6778</v>
      </c>
      <c r="E80" s="106">
        <v>100023753</v>
      </c>
      <c r="F80" s="159" t="s">
        <v>6779</v>
      </c>
      <c r="G80" s="106">
        <v>1</v>
      </c>
      <c r="H80" s="106" t="s">
        <v>2803</v>
      </c>
      <c r="I80" s="153">
        <f>_xlfn.XLOOKUP(E80,'All Products'!D:D,'All Products'!H:H)</f>
        <v>117.8</v>
      </c>
      <c r="J80" s="205">
        <f>ROUNDUP(I80*Order_Quote!$L$27,2)</f>
        <v>589</v>
      </c>
      <c r="K80" s="78"/>
      <c r="L80" s="116"/>
      <c r="M80" s="199">
        <f t="shared" si="1"/>
        <v>0</v>
      </c>
      <c r="N80" s="506"/>
      <c r="O80" s="265" t="s">
        <v>359</v>
      </c>
      <c r="P80" s="265" t="s">
        <v>102</v>
      </c>
      <c r="Q80" s="265" t="s">
        <v>6780</v>
      </c>
      <c r="R80" s="265">
        <v>0</v>
      </c>
      <c r="S80" s="265" t="s">
        <v>6781</v>
      </c>
      <c r="T80" s="347">
        <v>1.585</v>
      </c>
      <c r="U80" s="347">
        <v>1.585</v>
      </c>
      <c r="V80" s="348">
        <v>0</v>
      </c>
    </row>
    <row r="81" spans="1:22" ht="14.45" customHeight="1">
      <c r="A81" s="104" t="str">
        <f>IF(K81&gt;0,COUNT($A$8:A80)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1" s="112"/>
      <c r="C81" s="79"/>
      <c r="D81" s="158" t="s">
        <v>6782</v>
      </c>
      <c r="E81" s="106">
        <v>100023754</v>
      </c>
      <c r="F81" s="159" t="s">
        <v>6783</v>
      </c>
      <c r="G81" s="106">
        <v>1</v>
      </c>
      <c r="H81" s="106" t="s">
        <v>2803</v>
      </c>
      <c r="I81" s="153">
        <f>_xlfn.XLOOKUP(E81,'All Products'!D:D,'All Products'!H:H)</f>
        <v>97.24</v>
      </c>
      <c r="J81" s="205">
        <f>ROUNDUP(I81*Order_Quote!$L$27,2)</f>
        <v>486.2</v>
      </c>
      <c r="K81" s="78"/>
      <c r="L81" s="116"/>
      <c r="M81" s="199">
        <f t="shared" si="1"/>
        <v>0</v>
      </c>
      <c r="N81" s="506"/>
      <c r="O81" s="265" t="s">
        <v>359</v>
      </c>
      <c r="P81" s="265" t="s">
        <v>102</v>
      </c>
      <c r="Q81" s="265" t="s">
        <v>6784</v>
      </c>
      <c r="R81" s="265">
        <v>0</v>
      </c>
      <c r="S81" s="265" t="s">
        <v>6785</v>
      </c>
      <c r="T81" s="347">
        <v>0.96</v>
      </c>
      <c r="U81" s="347">
        <v>0.96</v>
      </c>
      <c r="V81" s="348">
        <v>0</v>
      </c>
    </row>
    <row r="82" spans="1:22" ht="14.45" customHeight="1">
      <c r="A82" s="104" t="str">
        <f>IF(K82&gt;0,COUNT($A$8:A81)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2" s="112"/>
      <c r="C82" s="79"/>
      <c r="D82" s="158" t="s">
        <v>6786</v>
      </c>
      <c r="E82" s="106">
        <v>100023755</v>
      </c>
      <c r="F82" s="159" t="s">
        <v>6787</v>
      </c>
      <c r="G82" s="106">
        <v>1</v>
      </c>
      <c r="H82" s="106" t="s">
        <v>2803</v>
      </c>
      <c r="I82" s="153">
        <f>_xlfn.XLOOKUP(E82,'All Products'!D:D,'All Products'!H:H)</f>
        <v>97.24</v>
      </c>
      <c r="J82" s="205">
        <f>ROUNDUP(I82*Order_Quote!$L$27,2)</f>
        <v>486.2</v>
      </c>
      <c r="K82" s="78"/>
      <c r="L82" s="116"/>
      <c r="M82" s="199">
        <f t="shared" si="1"/>
        <v>0</v>
      </c>
      <c r="N82" s="506"/>
      <c r="O82" s="265" t="s">
        <v>359</v>
      </c>
      <c r="P82" s="265" t="s">
        <v>102</v>
      </c>
      <c r="Q82" s="265" t="s">
        <v>6788</v>
      </c>
      <c r="R82" s="265">
        <v>0</v>
      </c>
      <c r="S82" s="265" t="s">
        <v>6789</v>
      </c>
      <c r="T82" s="347">
        <v>1.0509999999999999</v>
      </c>
      <c r="U82" s="347">
        <v>1.0509999999999999</v>
      </c>
      <c r="V82" s="348">
        <v>0</v>
      </c>
    </row>
    <row r="83" spans="1:22" ht="14.45" customHeight="1">
      <c r="A83" s="104" t="str">
        <f>IF(K83&gt;0,COUNT($A$8:A82)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3" s="112"/>
      <c r="C83" s="79"/>
      <c r="D83" s="158" t="s">
        <v>6790</v>
      </c>
      <c r="E83" s="106">
        <v>100028365</v>
      </c>
      <c r="F83" s="159" t="s">
        <v>6791</v>
      </c>
      <c r="G83" s="106">
        <v>1</v>
      </c>
      <c r="H83" s="106" t="s">
        <v>2803</v>
      </c>
      <c r="I83" s="153">
        <f>_xlfn.XLOOKUP(E83,'All Products'!D:D,'All Products'!H:H)</f>
        <v>21.44</v>
      </c>
      <c r="J83" s="205">
        <f>ROUNDUP(I83*Order_Quote!$L$27,2)</f>
        <v>107.2</v>
      </c>
      <c r="K83" s="78"/>
      <c r="L83" s="116"/>
      <c r="M83" s="199">
        <f t="shared" si="1"/>
        <v>0</v>
      </c>
      <c r="N83" s="506"/>
      <c r="O83" s="265" t="s">
        <v>76</v>
      </c>
      <c r="P83" s="265" t="s">
        <v>102</v>
      </c>
      <c r="Q83" s="265" t="s">
        <v>6792</v>
      </c>
      <c r="R83" s="265">
        <v>0</v>
      </c>
      <c r="S83" s="265" t="s">
        <v>6793</v>
      </c>
      <c r="T83" s="347">
        <v>0.22</v>
      </c>
      <c r="U83" s="347">
        <v>0.22</v>
      </c>
      <c r="V83" s="348">
        <v>0</v>
      </c>
    </row>
    <row r="84" spans="1:22" ht="14.45" customHeight="1">
      <c r="A84" s="104" t="str">
        <f>IF(K84&gt;0,COUNT($A$8:A83)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4" s="113"/>
      <c r="C84" s="114"/>
      <c r="D84" s="158" t="s">
        <v>6794</v>
      </c>
      <c r="E84" s="106">
        <v>100028366</v>
      </c>
      <c r="F84" s="159" t="s">
        <v>6795</v>
      </c>
      <c r="G84" s="106">
        <v>1</v>
      </c>
      <c r="H84" s="106" t="s">
        <v>2803</v>
      </c>
      <c r="I84" s="153">
        <f>_xlfn.XLOOKUP(E84,'All Products'!D:D,'All Products'!H:H)</f>
        <v>26.75</v>
      </c>
      <c r="J84" s="205">
        <f>ROUNDUP(I84*Order_Quote!$L$27,2)</f>
        <v>133.75</v>
      </c>
      <c r="K84" s="78"/>
      <c r="L84" s="292"/>
      <c r="M84" s="199">
        <f t="shared" si="1"/>
        <v>0</v>
      </c>
      <c r="N84" s="506"/>
      <c r="O84" s="265" t="s">
        <v>359</v>
      </c>
      <c r="P84" s="265" t="s">
        <v>102</v>
      </c>
      <c r="Q84" s="265" t="s">
        <v>6796</v>
      </c>
      <c r="R84" s="265">
        <v>0</v>
      </c>
      <c r="S84" s="265" t="s">
        <v>6797</v>
      </c>
      <c r="T84" s="347">
        <v>0.20499999999999999</v>
      </c>
      <c r="U84" s="347">
        <v>0.20499999999999999</v>
      </c>
      <c r="V84" s="348">
        <v>0</v>
      </c>
    </row>
    <row r="85" spans="1:22" ht="25.5" customHeight="1">
      <c r="A85" s="104" t="str">
        <f>IF(K85&gt;0,COUNT($A$8:A84)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5" s="242" t="s">
        <v>6798</v>
      </c>
      <c r="C85" s="44"/>
      <c r="D85" s="44"/>
      <c r="E85" s="44" t="e">
        <v>#N/A</v>
      </c>
      <c r="F85" s="44"/>
      <c r="G85" s="44"/>
      <c r="H85" s="44"/>
      <c r="I85" s="245" t="e">
        <f>_xlfn.XLOOKUP(E85,'All Products'!D:D,'All Products'!H:H)</f>
        <v>#N/A</v>
      </c>
      <c r="J85" s="245" t="e">
        <f>ROUNDUP(I85*Order_Quote!$L$27,2)</f>
        <v>#N/A</v>
      </c>
      <c r="K85" s="246"/>
      <c r="L85" s="243"/>
      <c r="M85" s="157"/>
      <c r="O85" s="44"/>
      <c r="P85" s="44"/>
    </row>
    <row r="86" spans="1:22" ht="14.45" customHeight="1">
      <c r="A86" s="104" t="str">
        <f>IF(K86&gt;0,COUNT($A$8:A85)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6" s="110"/>
      <c r="C86" s="111"/>
      <c r="D86" s="158" t="s">
        <v>6799</v>
      </c>
      <c r="E86" s="106">
        <v>100028226</v>
      </c>
      <c r="F86" s="159" t="s">
        <v>6800</v>
      </c>
      <c r="G86" s="106">
        <v>1</v>
      </c>
      <c r="H86" s="106" t="s">
        <v>2803</v>
      </c>
      <c r="I86" s="153">
        <f>_xlfn.XLOOKUP(E86,'All Products'!D:D,'All Products'!H:H)</f>
        <v>53.05</v>
      </c>
      <c r="J86" s="205">
        <f>ROUNDUP(I86*Order_Quote!$L$27,2)</f>
        <v>265.25</v>
      </c>
      <c r="K86" s="78"/>
      <c r="L86" s="291"/>
      <c r="M86" s="199">
        <f t="shared" ref="M86:M106" si="2">K86/G86</f>
        <v>0</v>
      </c>
      <c r="N86" s="506"/>
      <c r="O86" s="265" t="s">
        <v>359</v>
      </c>
      <c r="P86" s="265" t="s">
        <v>102</v>
      </c>
      <c r="Q86" s="265" t="s">
        <v>6801</v>
      </c>
      <c r="R86" s="265">
        <v>0</v>
      </c>
      <c r="S86" s="265" t="s">
        <v>6802</v>
      </c>
      <c r="T86" s="347">
        <v>0.38500000000000001</v>
      </c>
      <c r="U86" s="347">
        <v>0.38500000000000001</v>
      </c>
      <c r="V86" s="348">
        <v>0</v>
      </c>
    </row>
    <row r="87" spans="1:22" ht="14.45" customHeight="1">
      <c r="A87" s="104" t="str">
        <f>IF(K87&gt;0,COUNT($A$8:A86)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7" s="112"/>
      <c r="C87" s="79"/>
      <c r="D87" s="208" t="s">
        <v>6803</v>
      </c>
      <c r="E87" s="171">
        <v>100028227</v>
      </c>
      <c r="F87" s="289" t="s">
        <v>6804</v>
      </c>
      <c r="G87" s="171">
        <v>1</v>
      </c>
      <c r="H87" s="171" t="s">
        <v>2803</v>
      </c>
      <c r="I87" s="370">
        <f>_xlfn.XLOOKUP(E87,'All Products'!D:D,'All Products'!H:H)</f>
        <v>53.05</v>
      </c>
      <c r="J87" s="316">
        <f>ROUNDUP(I87*Order_Quote!$L$27,2)</f>
        <v>265.25</v>
      </c>
      <c r="K87" s="184"/>
      <c r="L87" s="116"/>
      <c r="M87" s="298">
        <f t="shared" si="2"/>
        <v>0</v>
      </c>
      <c r="N87" s="506"/>
      <c r="O87" s="265" t="s">
        <v>359</v>
      </c>
      <c r="P87" s="265" t="s">
        <v>102</v>
      </c>
      <c r="Q87" s="265" t="s">
        <v>6805</v>
      </c>
      <c r="R87" s="265">
        <v>0</v>
      </c>
      <c r="S87" s="265" t="s">
        <v>6806</v>
      </c>
      <c r="T87" s="347">
        <v>0.46500000000000002</v>
      </c>
      <c r="U87" s="347">
        <v>0.46500000000000002</v>
      </c>
      <c r="V87" s="348">
        <v>0</v>
      </c>
    </row>
    <row r="88" spans="1:22" ht="14.45" customHeight="1">
      <c r="A88" s="104" t="str">
        <f>IF(K88&gt;0,COUNT($A$8:A87)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8" s="112"/>
      <c r="C88" s="79"/>
      <c r="D88" s="208" t="s">
        <v>6807</v>
      </c>
      <c r="E88" s="171">
        <v>100028228</v>
      </c>
      <c r="F88" s="289" t="s">
        <v>6808</v>
      </c>
      <c r="G88" s="171">
        <v>1</v>
      </c>
      <c r="H88" s="171" t="s">
        <v>2803</v>
      </c>
      <c r="I88" s="370">
        <f>_xlfn.XLOOKUP(E88,'All Products'!D:D,'All Products'!H:H)</f>
        <v>60.93</v>
      </c>
      <c r="J88" s="316">
        <f>ROUNDUP(I88*Order_Quote!$L$27,2)</f>
        <v>304.64999999999998</v>
      </c>
      <c r="K88" s="184"/>
      <c r="L88" s="116"/>
      <c r="M88" s="298">
        <f t="shared" si="2"/>
        <v>0</v>
      </c>
      <c r="N88" s="506"/>
      <c r="O88" s="265" t="s">
        <v>359</v>
      </c>
      <c r="P88" s="265" t="s">
        <v>102</v>
      </c>
      <c r="Q88" s="265" t="s">
        <v>6809</v>
      </c>
      <c r="R88" s="265">
        <v>0</v>
      </c>
      <c r="S88" s="265" t="s">
        <v>6810</v>
      </c>
      <c r="T88" s="347">
        <v>0.505</v>
      </c>
      <c r="U88" s="347">
        <v>0.505</v>
      </c>
      <c r="V88" s="348">
        <v>0</v>
      </c>
    </row>
    <row r="89" spans="1:22" ht="14.45" customHeight="1">
      <c r="A89" s="104" t="str">
        <f>IF(K89&gt;0,COUNT($A$8:A88)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89" s="112"/>
      <c r="C89" s="79"/>
      <c r="D89" s="208" t="s">
        <v>6811</v>
      </c>
      <c r="E89" s="171">
        <v>100028229</v>
      </c>
      <c r="F89" s="289" t="s">
        <v>6812</v>
      </c>
      <c r="G89" s="171">
        <v>1</v>
      </c>
      <c r="H89" s="171" t="s">
        <v>2803</v>
      </c>
      <c r="I89" s="370">
        <f>_xlfn.XLOOKUP(E89,'All Products'!D:D,'All Products'!H:H)</f>
        <v>60.93</v>
      </c>
      <c r="J89" s="316">
        <f>ROUNDUP(I89*Order_Quote!$L$27,2)</f>
        <v>304.64999999999998</v>
      </c>
      <c r="K89" s="184"/>
      <c r="L89" s="116"/>
      <c r="M89" s="298">
        <f t="shared" si="2"/>
        <v>0</v>
      </c>
      <c r="N89" s="506"/>
      <c r="O89" s="265" t="s">
        <v>359</v>
      </c>
      <c r="P89" s="265" t="s">
        <v>102</v>
      </c>
      <c r="Q89" s="265" t="s">
        <v>6813</v>
      </c>
      <c r="R89" s="265">
        <v>0</v>
      </c>
      <c r="S89" s="265" t="s">
        <v>6814</v>
      </c>
      <c r="T89" s="347">
        <v>0.56999999999999995</v>
      </c>
      <c r="U89" s="347">
        <v>0.56999999999999995</v>
      </c>
      <c r="V89" s="348">
        <v>0</v>
      </c>
    </row>
    <row r="90" spans="1:22" ht="14.45" customHeight="1">
      <c r="A90" s="104" t="str">
        <f>IF(K90&gt;0,COUNT($A$8:A89)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0" s="112"/>
      <c r="C90" s="79"/>
      <c r="D90" s="208" t="s">
        <v>6815</v>
      </c>
      <c r="E90" s="171">
        <v>100028230</v>
      </c>
      <c r="F90" s="289" t="s">
        <v>6816</v>
      </c>
      <c r="G90" s="171">
        <v>1</v>
      </c>
      <c r="H90" s="171" t="s">
        <v>2803</v>
      </c>
      <c r="I90" s="370">
        <f>_xlfn.XLOOKUP(E90,'All Products'!D:D,'All Products'!H:H)</f>
        <v>60.93</v>
      </c>
      <c r="J90" s="316">
        <f>ROUNDUP(I90*Order_Quote!$L$27,2)</f>
        <v>304.64999999999998</v>
      </c>
      <c r="K90" s="184"/>
      <c r="L90" s="116"/>
      <c r="M90" s="298">
        <f t="shared" si="2"/>
        <v>0</v>
      </c>
      <c r="N90" s="506"/>
      <c r="O90" s="265" t="s">
        <v>76</v>
      </c>
      <c r="P90" s="265" t="s">
        <v>102</v>
      </c>
      <c r="Q90" s="265" t="s">
        <v>6817</v>
      </c>
      <c r="R90" s="265">
        <v>0</v>
      </c>
      <c r="S90" s="265" t="s">
        <v>6818</v>
      </c>
      <c r="T90" s="347">
        <v>0.64400000000000002</v>
      </c>
      <c r="U90" s="347">
        <v>0.64400000000000002</v>
      </c>
      <c r="V90" s="348">
        <v>0</v>
      </c>
    </row>
    <row r="91" spans="1:22" ht="14.45" customHeight="1">
      <c r="A91" s="104" t="str">
        <f>IF(K91&gt;0,COUNT($A$8:A90)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1" s="112"/>
      <c r="C91" s="79"/>
      <c r="D91" s="208" t="s">
        <v>6819</v>
      </c>
      <c r="E91" s="171">
        <v>100028231</v>
      </c>
      <c r="F91" s="289" t="s">
        <v>6820</v>
      </c>
      <c r="G91" s="171">
        <v>1</v>
      </c>
      <c r="H91" s="171" t="s">
        <v>2803</v>
      </c>
      <c r="I91" s="370">
        <f>_xlfn.XLOOKUP(E91,'All Products'!D:D,'All Products'!H:H)</f>
        <v>45.39</v>
      </c>
      <c r="J91" s="316">
        <f>ROUNDUP(I91*Order_Quote!$L$27,2)</f>
        <v>226.95</v>
      </c>
      <c r="K91" s="184"/>
      <c r="L91" s="116"/>
      <c r="M91" s="298">
        <f t="shared" si="2"/>
        <v>0</v>
      </c>
      <c r="N91" s="506"/>
      <c r="O91" s="265" t="s">
        <v>359</v>
      </c>
      <c r="P91" s="265" t="s">
        <v>102</v>
      </c>
      <c r="Q91" s="265" t="s">
        <v>6821</v>
      </c>
      <c r="R91" s="265">
        <v>0</v>
      </c>
      <c r="S91" s="265" t="s">
        <v>6822</v>
      </c>
      <c r="T91" s="347">
        <v>0.24399999999999999</v>
      </c>
      <c r="U91" s="347">
        <v>0.24399999999999999</v>
      </c>
      <c r="V91" s="348">
        <v>0</v>
      </c>
    </row>
    <row r="92" spans="1:22" ht="14.45" customHeight="1">
      <c r="A92" s="104" t="str">
        <f>IF(K92&gt;0,COUNT($A$8:A91)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2" s="112"/>
      <c r="C92" s="79"/>
      <c r="D92" s="208" t="s">
        <v>6823</v>
      </c>
      <c r="E92" s="171">
        <v>100028232</v>
      </c>
      <c r="F92" s="289" t="s">
        <v>6824</v>
      </c>
      <c r="G92" s="171">
        <v>1</v>
      </c>
      <c r="H92" s="171" t="s">
        <v>2803</v>
      </c>
      <c r="I92" s="370">
        <f>_xlfn.XLOOKUP(E92,'All Products'!D:D,'All Products'!H:H)</f>
        <v>45.39</v>
      </c>
      <c r="J92" s="316">
        <f>ROUNDUP(I92*Order_Quote!$L$27,2)</f>
        <v>226.95</v>
      </c>
      <c r="K92" s="184"/>
      <c r="L92" s="116"/>
      <c r="M92" s="298">
        <f t="shared" si="2"/>
        <v>0</v>
      </c>
      <c r="N92" s="506"/>
      <c r="O92" s="265" t="s">
        <v>76</v>
      </c>
      <c r="P92" s="265" t="s">
        <v>102</v>
      </c>
      <c r="Q92" s="265" t="s">
        <v>6825</v>
      </c>
      <c r="R92" s="265">
        <v>0</v>
      </c>
      <c r="S92" s="265" t="s">
        <v>6826</v>
      </c>
      <c r="T92" s="347">
        <v>0.31</v>
      </c>
      <c r="U92" s="347">
        <v>0.31</v>
      </c>
      <c r="V92" s="348">
        <v>0</v>
      </c>
    </row>
    <row r="93" spans="1:22" ht="14.45" customHeight="1">
      <c r="A93" s="104" t="str">
        <f>IF(K93&gt;0,COUNT($A$8:A92)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3" s="112"/>
      <c r="C93" s="79"/>
      <c r="D93" s="208" t="s">
        <v>6827</v>
      </c>
      <c r="E93" s="171">
        <v>100028234</v>
      </c>
      <c r="F93" s="289" t="s">
        <v>6828</v>
      </c>
      <c r="G93" s="171">
        <v>1</v>
      </c>
      <c r="H93" s="171" t="s">
        <v>2803</v>
      </c>
      <c r="I93" s="370">
        <f>_xlfn.XLOOKUP(E93,'All Products'!D:D,'All Products'!H:H)</f>
        <v>63.32</v>
      </c>
      <c r="J93" s="316">
        <f>ROUNDUP(I93*Order_Quote!$L$27,2)</f>
        <v>316.60000000000002</v>
      </c>
      <c r="K93" s="184"/>
      <c r="L93" s="116"/>
      <c r="M93" s="298">
        <f t="shared" si="2"/>
        <v>0</v>
      </c>
      <c r="N93" s="506"/>
      <c r="O93" s="265" t="s">
        <v>359</v>
      </c>
      <c r="P93" s="265" t="s">
        <v>102</v>
      </c>
      <c r="Q93" s="265" t="s">
        <v>6829</v>
      </c>
      <c r="R93" s="265">
        <v>0</v>
      </c>
      <c r="S93" s="265" t="s">
        <v>6830</v>
      </c>
      <c r="T93" s="347">
        <v>0.52</v>
      </c>
      <c r="U93" s="347">
        <v>0.52</v>
      </c>
      <c r="V93" s="348">
        <v>0</v>
      </c>
    </row>
    <row r="94" spans="1:22" ht="14.45" customHeight="1">
      <c r="A94" s="104" t="str">
        <f>IF(K94&gt;0,COUNT($A$8:A93)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4" s="112"/>
      <c r="C94" s="79"/>
      <c r="D94" s="208" t="s">
        <v>6831</v>
      </c>
      <c r="E94" s="171">
        <v>100028235</v>
      </c>
      <c r="F94" s="289" t="s">
        <v>6832</v>
      </c>
      <c r="G94" s="171">
        <v>1</v>
      </c>
      <c r="H94" s="171" t="s">
        <v>2803</v>
      </c>
      <c r="I94" s="370">
        <f>_xlfn.XLOOKUP(E94,'All Products'!D:D,'All Products'!H:H)</f>
        <v>63.32</v>
      </c>
      <c r="J94" s="316">
        <f>ROUNDUP(I94*Order_Quote!$L$27,2)</f>
        <v>316.60000000000002</v>
      </c>
      <c r="K94" s="184"/>
      <c r="L94" s="116"/>
      <c r="M94" s="298">
        <f t="shared" si="2"/>
        <v>0</v>
      </c>
      <c r="N94" s="506"/>
      <c r="O94" s="265" t="s">
        <v>76</v>
      </c>
      <c r="P94" s="265" t="s">
        <v>102</v>
      </c>
      <c r="Q94" s="265" t="s">
        <v>6833</v>
      </c>
      <c r="R94" s="265">
        <v>0</v>
      </c>
      <c r="S94" s="265" t="s">
        <v>6834</v>
      </c>
      <c r="T94" s="347">
        <v>0.63</v>
      </c>
      <c r="U94" s="347">
        <v>0.63</v>
      </c>
      <c r="V94" s="348">
        <v>0</v>
      </c>
    </row>
    <row r="95" spans="1:22" ht="14.45" customHeight="1">
      <c r="A95" s="104" t="str">
        <f>IF(K95&gt;0,COUNT($A$8:A94)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5" s="112"/>
      <c r="C95" s="79"/>
      <c r="D95" s="208" t="s">
        <v>6835</v>
      </c>
      <c r="E95" s="171">
        <v>100028236</v>
      </c>
      <c r="F95" s="289" t="s">
        <v>6836</v>
      </c>
      <c r="G95" s="171">
        <v>1</v>
      </c>
      <c r="H95" s="171" t="s">
        <v>2803</v>
      </c>
      <c r="I95" s="370">
        <f>_xlfn.XLOOKUP(E95,'All Products'!D:D,'All Products'!H:H)</f>
        <v>70.28</v>
      </c>
      <c r="J95" s="316">
        <f>ROUNDUP(I95*Order_Quote!$L$27,2)</f>
        <v>351.4</v>
      </c>
      <c r="K95" s="184"/>
      <c r="L95" s="116"/>
      <c r="M95" s="298">
        <f t="shared" si="2"/>
        <v>0</v>
      </c>
      <c r="N95" s="506"/>
      <c r="O95" s="265" t="s">
        <v>359</v>
      </c>
      <c r="P95" s="265" t="s">
        <v>102</v>
      </c>
      <c r="Q95" s="265" t="s">
        <v>6837</v>
      </c>
      <c r="R95" s="265">
        <v>0</v>
      </c>
      <c r="S95" s="265" t="s">
        <v>6838</v>
      </c>
      <c r="T95" s="347">
        <v>0.66</v>
      </c>
      <c r="U95" s="347">
        <v>0.66</v>
      </c>
      <c r="V95" s="348">
        <v>0</v>
      </c>
    </row>
    <row r="96" spans="1:22" ht="14.45" customHeight="1">
      <c r="A96" s="104" t="str">
        <f>IF(K96&gt;0,COUNT($A$8:A95)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6" s="112"/>
      <c r="C96" s="79"/>
      <c r="D96" s="208" t="s">
        <v>6839</v>
      </c>
      <c r="E96" s="171">
        <v>100028237</v>
      </c>
      <c r="F96" s="289" t="s">
        <v>6840</v>
      </c>
      <c r="G96" s="171">
        <v>1</v>
      </c>
      <c r="H96" s="171" t="s">
        <v>2803</v>
      </c>
      <c r="I96" s="370">
        <f>_xlfn.XLOOKUP(E96,'All Products'!D:D,'All Products'!H:H)</f>
        <v>70.28</v>
      </c>
      <c r="J96" s="316">
        <f>ROUNDUP(I96*Order_Quote!$L$27,2)</f>
        <v>351.4</v>
      </c>
      <c r="K96" s="184"/>
      <c r="L96" s="116"/>
      <c r="M96" s="298">
        <f t="shared" si="2"/>
        <v>0</v>
      </c>
      <c r="N96" s="506"/>
      <c r="O96" s="265" t="s">
        <v>359</v>
      </c>
      <c r="P96" s="265" t="s">
        <v>102</v>
      </c>
      <c r="Q96" s="265" t="s">
        <v>6841</v>
      </c>
      <c r="R96" s="265">
        <v>0</v>
      </c>
      <c r="S96" s="265" t="s">
        <v>6842</v>
      </c>
      <c r="T96" s="347">
        <v>0.72</v>
      </c>
      <c r="U96" s="347">
        <v>0.72</v>
      </c>
      <c r="V96" s="348">
        <v>0</v>
      </c>
    </row>
    <row r="97" spans="1:22" ht="14.45" customHeight="1">
      <c r="A97" s="104" t="str">
        <f>IF(K97&gt;0,COUNT($A$8:A96)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7" s="112"/>
      <c r="C97" s="79"/>
      <c r="D97" s="208" t="s">
        <v>6843</v>
      </c>
      <c r="E97" s="171">
        <v>100028238</v>
      </c>
      <c r="F97" s="289" t="s">
        <v>6844</v>
      </c>
      <c r="G97" s="171">
        <v>1</v>
      </c>
      <c r="H97" s="171" t="s">
        <v>2803</v>
      </c>
      <c r="I97" s="370">
        <f>_xlfn.XLOOKUP(E97,'All Products'!D:D,'All Products'!H:H)</f>
        <v>70.28</v>
      </c>
      <c r="J97" s="316">
        <f>ROUNDUP(I97*Order_Quote!$L$27,2)</f>
        <v>351.4</v>
      </c>
      <c r="K97" s="184"/>
      <c r="L97" s="116"/>
      <c r="M97" s="298">
        <f t="shared" si="2"/>
        <v>0</v>
      </c>
      <c r="N97" s="506"/>
      <c r="O97" s="265" t="s">
        <v>359</v>
      </c>
      <c r="P97" s="265" t="s">
        <v>102</v>
      </c>
      <c r="Q97" s="265" t="s">
        <v>6845</v>
      </c>
      <c r="R97" s="265">
        <v>0</v>
      </c>
      <c r="S97" s="265" t="s">
        <v>6846</v>
      </c>
      <c r="T97" s="347">
        <v>0.89500000000000002</v>
      </c>
      <c r="U97" s="347">
        <v>0.89500000000000002</v>
      </c>
      <c r="V97" s="348">
        <v>0</v>
      </c>
    </row>
    <row r="98" spans="1:22" ht="14.45" customHeight="1">
      <c r="A98" s="104" t="str">
        <f>IF(K98&gt;0,COUNT($A$8:A97)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8" s="112"/>
      <c r="C98" s="79"/>
      <c r="D98" s="208" t="s">
        <v>6847</v>
      </c>
      <c r="E98" s="171">
        <v>100028239</v>
      </c>
      <c r="F98" s="289" t="s">
        <v>6848</v>
      </c>
      <c r="G98" s="171">
        <v>1</v>
      </c>
      <c r="H98" s="171" t="s">
        <v>2803</v>
      </c>
      <c r="I98" s="370">
        <f>_xlfn.XLOOKUP(E98,'All Products'!D:D,'All Products'!H:H)</f>
        <v>54.21</v>
      </c>
      <c r="J98" s="316">
        <f>ROUNDUP(I98*Order_Quote!$L$27,2)</f>
        <v>271.05</v>
      </c>
      <c r="K98" s="184"/>
      <c r="L98" s="116"/>
      <c r="M98" s="298">
        <f t="shared" si="2"/>
        <v>0</v>
      </c>
      <c r="N98" s="506"/>
      <c r="O98" s="265" t="s">
        <v>359</v>
      </c>
      <c r="P98" s="265" t="s">
        <v>102</v>
      </c>
      <c r="Q98" s="265" t="s">
        <v>6849</v>
      </c>
      <c r="R98" s="265">
        <v>0</v>
      </c>
      <c r="S98" s="265" t="s">
        <v>6850</v>
      </c>
      <c r="T98" s="347">
        <v>0.34200000000000003</v>
      </c>
      <c r="U98" s="347">
        <v>0.34200000000000003</v>
      </c>
      <c r="V98" s="348">
        <v>0</v>
      </c>
    </row>
    <row r="99" spans="1:22" ht="14.45" customHeight="1">
      <c r="A99" s="104" t="str">
        <f>IF(K99&gt;0,COUNT($A$8:A98)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99" s="112"/>
      <c r="C99" s="79"/>
      <c r="D99" s="208" t="s">
        <v>6851</v>
      </c>
      <c r="E99" s="171">
        <v>100028240</v>
      </c>
      <c r="F99" s="289" t="s">
        <v>6852</v>
      </c>
      <c r="G99" s="171">
        <v>1</v>
      </c>
      <c r="H99" s="171" t="s">
        <v>2803</v>
      </c>
      <c r="I99" s="370">
        <f>_xlfn.XLOOKUP(E99,'All Products'!D:D,'All Products'!H:H)</f>
        <v>54.21</v>
      </c>
      <c r="J99" s="316">
        <f>ROUNDUP(I99*Order_Quote!$L$27,2)</f>
        <v>271.05</v>
      </c>
      <c r="K99" s="184"/>
      <c r="L99" s="116"/>
      <c r="M99" s="298">
        <f t="shared" si="2"/>
        <v>0</v>
      </c>
      <c r="N99" s="506"/>
      <c r="O99" s="265" t="s">
        <v>76</v>
      </c>
      <c r="P99" s="265" t="s">
        <v>102</v>
      </c>
      <c r="Q99" s="265" t="s">
        <v>6853</v>
      </c>
      <c r="R99" s="265">
        <v>0</v>
      </c>
      <c r="S99" s="265" t="s">
        <v>6854</v>
      </c>
      <c r="T99" s="347">
        <v>0.443</v>
      </c>
      <c r="U99" s="347">
        <v>0.443</v>
      </c>
      <c r="V99" s="348">
        <v>0</v>
      </c>
    </row>
    <row r="100" spans="1:22" ht="14.45" customHeight="1">
      <c r="A100" s="104" t="str">
        <f>IF(K100&gt;0,COUNT($A$8:A99)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0" s="112"/>
      <c r="C100" s="79"/>
      <c r="D100" s="208" t="s">
        <v>6855</v>
      </c>
      <c r="E100" s="171">
        <v>100028242</v>
      </c>
      <c r="F100" s="289" t="s">
        <v>6856</v>
      </c>
      <c r="G100" s="171">
        <v>1</v>
      </c>
      <c r="H100" s="171" t="s">
        <v>2803</v>
      </c>
      <c r="I100" s="370">
        <f>_xlfn.XLOOKUP(E100,'All Products'!D:D,'All Products'!H:H)</f>
        <v>80.010000000000005</v>
      </c>
      <c r="J100" s="316">
        <f>ROUNDUP(I100*Order_Quote!$L$27,2)</f>
        <v>400.05</v>
      </c>
      <c r="K100" s="184"/>
      <c r="L100" s="116"/>
      <c r="M100" s="298">
        <f t="shared" si="2"/>
        <v>0</v>
      </c>
      <c r="N100" s="506"/>
      <c r="O100" s="265" t="s">
        <v>359</v>
      </c>
      <c r="P100" s="265" t="s">
        <v>102</v>
      </c>
      <c r="Q100" s="265" t="s">
        <v>6857</v>
      </c>
      <c r="R100" s="265">
        <v>0</v>
      </c>
      <c r="S100" s="265" t="s">
        <v>6858</v>
      </c>
      <c r="T100" s="347">
        <v>0.67</v>
      </c>
      <c r="U100" s="347">
        <v>0.67</v>
      </c>
      <c r="V100" s="348">
        <v>0</v>
      </c>
    </row>
    <row r="101" spans="1:22" ht="14.45" customHeight="1">
      <c r="A101" s="104" t="str">
        <f>IF(K101&gt;0,COUNT($A$8:A100)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1" s="112"/>
      <c r="C101" s="79"/>
      <c r="D101" s="208" t="s">
        <v>6859</v>
      </c>
      <c r="E101" s="171">
        <v>100028243</v>
      </c>
      <c r="F101" s="289" t="s">
        <v>6860</v>
      </c>
      <c r="G101" s="171">
        <v>1</v>
      </c>
      <c r="H101" s="171" t="s">
        <v>2803</v>
      </c>
      <c r="I101" s="370">
        <f>_xlfn.XLOOKUP(E101,'All Products'!D:D,'All Products'!H:H)</f>
        <v>80.010000000000005</v>
      </c>
      <c r="J101" s="316">
        <f>ROUNDUP(I101*Order_Quote!$L$27,2)</f>
        <v>400.05</v>
      </c>
      <c r="K101" s="184"/>
      <c r="L101" s="116"/>
      <c r="M101" s="298">
        <f t="shared" si="2"/>
        <v>0</v>
      </c>
      <c r="N101" s="506"/>
      <c r="O101" s="265" t="s">
        <v>359</v>
      </c>
      <c r="P101" s="265" t="s">
        <v>102</v>
      </c>
      <c r="Q101" s="265" t="s">
        <v>6861</v>
      </c>
      <c r="R101" s="265">
        <v>0</v>
      </c>
      <c r="S101" s="265" t="s">
        <v>6862</v>
      </c>
      <c r="T101" s="347">
        <v>0.78</v>
      </c>
      <c r="U101" s="347">
        <v>0.78</v>
      </c>
      <c r="V101" s="348">
        <v>0</v>
      </c>
    </row>
    <row r="102" spans="1:22" ht="14.45" customHeight="1">
      <c r="A102" s="104" t="str">
        <f>IF(K102&gt;0,COUNT($A$8:A101)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2" s="112"/>
      <c r="C102" s="79"/>
      <c r="D102" s="208" t="s">
        <v>6863</v>
      </c>
      <c r="E102" s="171">
        <v>100028244</v>
      </c>
      <c r="F102" s="289" t="s">
        <v>6864</v>
      </c>
      <c r="G102" s="171">
        <v>1</v>
      </c>
      <c r="H102" s="171" t="s">
        <v>2803</v>
      </c>
      <c r="I102" s="370">
        <f>_xlfn.XLOOKUP(E102,'All Products'!D:D,'All Products'!H:H)</f>
        <v>88.92</v>
      </c>
      <c r="J102" s="316">
        <f>ROUNDUP(I102*Order_Quote!$L$27,2)</f>
        <v>444.6</v>
      </c>
      <c r="K102" s="184"/>
      <c r="L102" s="116"/>
      <c r="M102" s="298">
        <f t="shared" si="2"/>
        <v>0</v>
      </c>
      <c r="N102" s="506"/>
      <c r="O102" s="265" t="s">
        <v>359</v>
      </c>
      <c r="P102" s="265" t="s">
        <v>102</v>
      </c>
      <c r="Q102" s="265" t="s">
        <v>6865</v>
      </c>
      <c r="R102" s="265">
        <v>0</v>
      </c>
      <c r="S102" s="265" t="s">
        <v>6866</v>
      </c>
      <c r="T102" s="347">
        <v>0.87</v>
      </c>
      <c r="U102" s="347">
        <v>0.87</v>
      </c>
      <c r="V102" s="348">
        <v>0</v>
      </c>
    </row>
    <row r="103" spans="1:22" ht="14.45" customHeight="1">
      <c r="A103" s="104" t="str">
        <f>IF(K103&gt;0,COUNT($A$8:A102)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3" s="112"/>
      <c r="C103" s="79"/>
      <c r="D103" s="208" t="s">
        <v>6867</v>
      </c>
      <c r="E103" s="171">
        <v>100028245</v>
      </c>
      <c r="F103" s="289" t="s">
        <v>6868</v>
      </c>
      <c r="G103" s="171">
        <v>1</v>
      </c>
      <c r="H103" s="171" t="s">
        <v>2803</v>
      </c>
      <c r="I103" s="370">
        <f>_xlfn.XLOOKUP(E103,'All Products'!D:D,'All Products'!H:H)</f>
        <v>88.92</v>
      </c>
      <c r="J103" s="316">
        <f>ROUNDUP(I103*Order_Quote!$L$27,2)</f>
        <v>444.6</v>
      </c>
      <c r="K103" s="184"/>
      <c r="L103" s="116"/>
      <c r="M103" s="298">
        <f t="shared" si="2"/>
        <v>0</v>
      </c>
      <c r="N103" s="506"/>
      <c r="O103" s="265" t="s">
        <v>359</v>
      </c>
      <c r="P103" s="265" t="s">
        <v>102</v>
      </c>
      <c r="Q103" s="265" t="s">
        <v>6869</v>
      </c>
      <c r="R103" s="265">
        <v>0</v>
      </c>
      <c r="S103" s="265" t="s">
        <v>6870</v>
      </c>
      <c r="T103" s="347">
        <v>0.995</v>
      </c>
      <c r="U103" s="347">
        <v>0.995</v>
      </c>
      <c r="V103" s="348">
        <v>0</v>
      </c>
    </row>
    <row r="104" spans="1:22" ht="14.45" customHeight="1">
      <c r="A104" s="104" t="str">
        <f>IF(K104&gt;0,COUNT($A$8:A103)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4" s="112"/>
      <c r="C104" s="79"/>
      <c r="D104" s="208" t="s">
        <v>6871</v>
      </c>
      <c r="E104" s="171">
        <v>100028246</v>
      </c>
      <c r="F104" s="289" t="s">
        <v>6872</v>
      </c>
      <c r="G104" s="171">
        <v>1</v>
      </c>
      <c r="H104" s="171" t="s">
        <v>2803</v>
      </c>
      <c r="I104" s="370">
        <f>_xlfn.XLOOKUP(E104,'All Products'!D:D,'All Products'!H:H)</f>
        <v>88.92</v>
      </c>
      <c r="J104" s="316">
        <f>ROUNDUP(I104*Order_Quote!$L$27,2)</f>
        <v>444.6</v>
      </c>
      <c r="K104" s="184"/>
      <c r="L104" s="116"/>
      <c r="M104" s="298">
        <f t="shared" si="2"/>
        <v>0</v>
      </c>
      <c r="N104" s="506"/>
      <c r="O104" s="265" t="s">
        <v>359</v>
      </c>
      <c r="P104" s="265" t="s">
        <v>102</v>
      </c>
      <c r="Q104" s="265" t="s">
        <v>6873</v>
      </c>
      <c r="R104" s="265">
        <v>0</v>
      </c>
      <c r="S104" s="265" t="s">
        <v>6874</v>
      </c>
      <c r="T104" s="347">
        <v>1.1000000000000001</v>
      </c>
      <c r="U104" s="347">
        <v>1.1000000000000001</v>
      </c>
      <c r="V104" s="348">
        <v>0</v>
      </c>
    </row>
    <row r="105" spans="1:22" ht="14.45" customHeight="1">
      <c r="A105" s="104" t="str">
        <f>IF(K105&gt;0,COUNT($A$8:A104)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5" s="112"/>
      <c r="C105" s="79"/>
      <c r="D105" s="208" t="s">
        <v>6875</v>
      </c>
      <c r="E105" s="171">
        <v>100028247</v>
      </c>
      <c r="F105" s="289" t="s">
        <v>6876</v>
      </c>
      <c r="G105" s="171">
        <v>1</v>
      </c>
      <c r="H105" s="171" t="s">
        <v>2803</v>
      </c>
      <c r="I105" s="370">
        <f>_xlfn.XLOOKUP(E105,'All Products'!D:D,'All Products'!H:H)</f>
        <v>68.37</v>
      </c>
      <c r="J105" s="316">
        <f>ROUNDUP(I105*Order_Quote!$L$27,2)</f>
        <v>341.85</v>
      </c>
      <c r="K105" s="184"/>
      <c r="L105" s="116"/>
      <c r="M105" s="298">
        <f t="shared" si="2"/>
        <v>0</v>
      </c>
      <c r="N105" s="506"/>
      <c r="O105" s="265" t="s">
        <v>359</v>
      </c>
      <c r="P105" s="265" t="s">
        <v>102</v>
      </c>
      <c r="Q105" s="265" t="s">
        <v>6877</v>
      </c>
      <c r="R105" s="265">
        <v>0</v>
      </c>
      <c r="S105" s="265" t="s">
        <v>6878</v>
      </c>
      <c r="T105" s="347">
        <v>0.46500000000000002</v>
      </c>
      <c r="U105" s="347">
        <v>0.46500000000000002</v>
      </c>
      <c r="V105" s="348">
        <v>0</v>
      </c>
    </row>
    <row r="106" spans="1:22" ht="14.45" customHeight="1">
      <c r="A106" s="104" t="str">
        <f>IF(K106&gt;0,COUNT($A$8:A105)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6" s="113"/>
      <c r="C106" s="114"/>
      <c r="D106" s="208" t="s">
        <v>6879</v>
      </c>
      <c r="E106" s="171">
        <v>100028248</v>
      </c>
      <c r="F106" s="289" t="s">
        <v>6880</v>
      </c>
      <c r="G106" s="171">
        <v>1</v>
      </c>
      <c r="H106" s="171" t="s">
        <v>2803</v>
      </c>
      <c r="I106" s="370">
        <f>_xlfn.XLOOKUP(E106,'All Products'!D:D,'All Products'!H:H)</f>
        <v>68.37</v>
      </c>
      <c r="J106" s="316">
        <f>ROUNDUP(I106*Order_Quote!$L$27,2)</f>
        <v>341.85</v>
      </c>
      <c r="K106" s="184"/>
      <c r="L106" s="292"/>
      <c r="M106" s="298">
        <f t="shared" si="2"/>
        <v>0</v>
      </c>
      <c r="N106" s="506"/>
      <c r="O106" s="265" t="s">
        <v>359</v>
      </c>
      <c r="P106" s="265" t="s">
        <v>102</v>
      </c>
      <c r="Q106" s="265" t="s">
        <v>6881</v>
      </c>
      <c r="R106" s="265">
        <v>0</v>
      </c>
      <c r="S106" s="265" t="s">
        <v>6882</v>
      </c>
      <c r="T106" s="347">
        <v>0.56499999999999995</v>
      </c>
      <c r="U106" s="347">
        <v>0.56499999999999995</v>
      </c>
      <c r="V106" s="348">
        <v>0</v>
      </c>
    </row>
    <row r="107" spans="1:22" ht="25.5" customHeight="1">
      <c r="A107" s="104" t="str">
        <f>IF(K107&gt;0,COUNT($A$8:A106)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7" s="242" t="s">
        <v>6883</v>
      </c>
      <c r="C107" s="44"/>
      <c r="D107" s="44"/>
      <c r="E107" s="44"/>
      <c r="F107" s="44"/>
      <c r="G107" s="44"/>
      <c r="H107" s="44"/>
      <c r="I107" s="245">
        <f>_xlfn.XLOOKUP(E107,'All Products'!D:D,'All Products'!H:H)</f>
        <v>0</v>
      </c>
      <c r="J107" s="245">
        <f>ROUNDUP(I107*Order_Quote!$L$27,2)</f>
        <v>0</v>
      </c>
      <c r="K107" s="246"/>
      <c r="L107" s="243"/>
      <c r="M107" s="157"/>
      <c r="O107" s="44"/>
      <c r="P107" s="44"/>
    </row>
    <row r="108" spans="1:22" ht="14.45" customHeight="1">
      <c r="A108" s="104" t="str">
        <f>IF(K108&gt;0,COUNT($A$8:A107)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8" s="110"/>
      <c r="C108" s="111"/>
      <c r="D108" s="158" t="s">
        <v>6884</v>
      </c>
      <c r="E108" s="106">
        <v>100028233</v>
      </c>
      <c r="F108" s="159" t="s">
        <v>6885</v>
      </c>
      <c r="G108" s="106">
        <v>20</v>
      </c>
      <c r="H108" s="106">
        <v>2700</v>
      </c>
      <c r="I108" s="153">
        <f>_xlfn.XLOOKUP(E108,'All Products'!D:D,'All Products'!H:H)</f>
        <v>3.69</v>
      </c>
      <c r="J108" s="205">
        <f>ROUNDUP(I108*Order_Quote!$L$27,2)</f>
        <v>18.45</v>
      </c>
      <c r="K108" s="78"/>
      <c r="L108" s="291"/>
      <c r="M108" s="199">
        <f>K108/G108</f>
        <v>0</v>
      </c>
      <c r="N108" s="506"/>
      <c r="O108" s="265" t="s">
        <v>359</v>
      </c>
      <c r="P108" s="265" t="s">
        <v>102</v>
      </c>
      <c r="Q108" s="265" t="s">
        <v>6886</v>
      </c>
      <c r="R108" s="265" t="s">
        <v>6887</v>
      </c>
      <c r="S108" s="265" t="s">
        <v>6888</v>
      </c>
      <c r="T108" s="347">
        <v>3.4249999999999998</v>
      </c>
      <c r="U108" s="347">
        <v>34.25</v>
      </c>
      <c r="V108" s="348">
        <v>0.31</v>
      </c>
    </row>
    <row r="109" spans="1:22" ht="14.45" customHeight="1">
      <c r="A109" s="104" t="str">
        <f>IF(K109&gt;0,COUNT($A$8:A108)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09" s="112"/>
      <c r="C109" s="79"/>
      <c r="D109" s="158" t="s">
        <v>6889</v>
      </c>
      <c r="E109" s="106">
        <v>100028241</v>
      </c>
      <c r="F109" s="159" t="s">
        <v>6890</v>
      </c>
      <c r="G109" s="106">
        <v>20</v>
      </c>
      <c r="H109" s="106">
        <v>2700</v>
      </c>
      <c r="I109" s="153">
        <f>_xlfn.XLOOKUP(E109,'All Products'!D:D,'All Products'!H:H)</f>
        <v>4.12</v>
      </c>
      <c r="J109" s="205">
        <f>ROUNDUP(I109*Order_Quote!$L$27,2)</f>
        <v>20.6</v>
      </c>
      <c r="K109" s="78"/>
      <c r="L109" s="116"/>
      <c r="M109" s="199">
        <f>K109/G109</f>
        <v>0</v>
      </c>
      <c r="N109" s="506"/>
      <c r="O109" s="265" t="s">
        <v>359</v>
      </c>
      <c r="P109" s="265" t="s">
        <v>102</v>
      </c>
      <c r="Q109" s="265" t="s">
        <v>6891</v>
      </c>
      <c r="R109" s="265" t="s">
        <v>6892</v>
      </c>
      <c r="S109" s="265" t="s">
        <v>6893</v>
      </c>
      <c r="T109" s="347">
        <v>4.4249999999999998</v>
      </c>
      <c r="U109" s="347">
        <v>44.25</v>
      </c>
      <c r="V109" s="348">
        <v>0.31</v>
      </c>
    </row>
    <row r="110" spans="1:22" ht="14.45" customHeight="1">
      <c r="A110" s="104" t="str">
        <f>IF(K110&gt;0,COUNT($A$8:A109)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0" s="113"/>
      <c r="C110" s="114"/>
      <c r="D110" s="158" t="s">
        <v>6894</v>
      </c>
      <c r="E110" s="106">
        <v>100028249</v>
      </c>
      <c r="F110" s="159" t="s">
        <v>6895</v>
      </c>
      <c r="G110" s="106">
        <v>20</v>
      </c>
      <c r="H110" s="106" t="s">
        <v>2803</v>
      </c>
      <c r="I110" s="153">
        <f>_xlfn.XLOOKUP(E110,'All Products'!D:D,'All Products'!H:H)</f>
        <v>4.6500000000000004</v>
      </c>
      <c r="J110" s="205">
        <f>ROUNDUP(I110*Order_Quote!$L$27,2)</f>
        <v>23.25</v>
      </c>
      <c r="K110" s="78"/>
      <c r="L110" s="292"/>
      <c r="M110" s="199">
        <f>K110/G110</f>
        <v>0</v>
      </c>
      <c r="N110" s="506"/>
      <c r="O110" s="265" t="s">
        <v>359</v>
      </c>
      <c r="P110" s="265" t="s">
        <v>102</v>
      </c>
      <c r="Q110" s="265" t="s">
        <v>6896</v>
      </c>
      <c r="R110" s="265">
        <v>0</v>
      </c>
      <c r="S110" s="265" t="s">
        <v>6897</v>
      </c>
      <c r="T110" s="347">
        <v>5.0999999999999996</v>
      </c>
      <c r="U110" s="347">
        <v>51</v>
      </c>
      <c r="V110" s="348">
        <v>0</v>
      </c>
    </row>
    <row r="111" spans="1:22" ht="25.5" customHeight="1">
      <c r="A111" s="104" t="str">
        <f>IF(K111&gt;0,COUNT($A$8:A110)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1" s="242" t="s">
        <v>6898</v>
      </c>
      <c r="C111" s="44"/>
      <c r="D111" s="44"/>
      <c r="E111" s="44"/>
      <c r="F111" s="44"/>
      <c r="G111" s="44"/>
      <c r="H111" s="44"/>
      <c r="I111" s="245">
        <f>_xlfn.XLOOKUP(E111,'All Products'!D:D,'All Products'!H:H)</f>
        <v>0</v>
      </c>
      <c r="J111" s="245">
        <f>ROUNDUP(I111*Order_Quote!$L$27,2)</f>
        <v>0</v>
      </c>
      <c r="K111" s="246"/>
      <c r="L111" s="243"/>
      <c r="M111" s="157"/>
      <c r="O111" s="44"/>
      <c r="P111" s="44"/>
    </row>
    <row r="112" spans="1:22" ht="14.45" customHeight="1">
      <c r="A112" s="104" t="str">
        <f>IF(K112&gt;0,COUNT($A$8:A111)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2" s="110"/>
      <c r="C112" s="111"/>
      <c r="D112" s="158" t="s">
        <v>6899</v>
      </c>
      <c r="E112" s="106">
        <v>100028367</v>
      </c>
      <c r="F112" s="159" t="s">
        <v>6900</v>
      </c>
      <c r="G112" s="106">
        <v>1</v>
      </c>
      <c r="H112" s="106" t="s">
        <v>2803</v>
      </c>
      <c r="I112" s="153">
        <f>_xlfn.XLOOKUP(E112,'All Products'!D:D,'All Products'!H:H)</f>
        <v>33.799999999999997</v>
      </c>
      <c r="J112" s="205">
        <f>ROUNDUP(I112*Order_Quote!$L$27,2)</f>
        <v>169</v>
      </c>
      <c r="K112" s="78"/>
      <c r="L112" s="291"/>
      <c r="M112" s="199">
        <f t="shared" ref="M112:M134" si="3">K112/G112</f>
        <v>0</v>
      </c>
      <c r="N112" s="506"/>
      <c r="O112" s="265" t="s">
        <v>359</v>
      </c>
      <c r="P112" s="265" t="s">
        <v>102</v>
      </c>
      <c r="Q112" s="265" t="s">
        <v>6901</v>
      </c>
      <c r="R112" s="265">
        <v>0</v>
      </c>
      <c r="S112" s="265" t="s">
        <v>6902</v>
      </c>
      <c r="T112" s="347">
        <v>0.44</v>
      </c>
      <c r="U112" s="347">
        <v>0.44</v>
      </c>
      <c r="V112" s="348">
        <v>0</v>
      </c>
    </row>
    <row r="113" spans="1:22" ht="14.45" customHeight="1">
      <c r="A113" s="104" t="str">
        <f>IF(K113&gt;0,COUNT($A$8:A112)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3" s="112"/>
      <c r="C113" s="79"/>
      <c r="D113" s="208" t="s">
        <v>6903</v>
      </c>
      <c r="E113" s="171">
        <v>100028368</v>
      </c>
      <c r="F113" s="289" t="s">
        <v>6904</v>
      </c>
      <c r="G113" s="171">
        <v>1</v>
      </c>
      <c r="H113" s="171" t="s">
        <v>2803</v>
      </c>
      <c r="I113" s="370">
        <f>_xlfn.XLOOKUP(E113,'All Products'!D:D,'All Products'!H:H)</f>
        <v>37.6</v>
      </c>
      <c r="J113" s="316">
        <f>ROUNDUP(I113*Order_Quote!$L$27,2)</f>
        <v>188</v>
      </c>
      <c r="K113" s="184"/>
      <c r="L113" s="116"/>
      <c r="M113" s="298">
        <f t="shared" si="3"/>
        <v>0</v>
      </c>
      <c r="N113" s="506"/>
      <c r="O113" s="265" t="s">
        <v>359</v>
      </c>
      <c r="P113" s="265" t="s">
        <v>102</v>
      </c>
      <c r="Q113" s="265" t="s">
        <v>6905</v>
      </c>
      <c r="R113" s="265">
        <v>0</v>
      </c>
      <c r="S113" s="265" t="s">
        <v>6906</v>
      </c>
      <c r="T113" s="347">
        <v>0.505</v>
      </c>
      <c r="U113" s="347">
        <v>0.505</v>
      </c>
      <c r="V113" s="348">
        <v>0</v>
      </c>
    </row>
    <row r="114" spans="1:22" ht="14.45" customHeight="1">
      <c r="A114" s="104" t="str">
        <f>IF(K114&gt;0,COUNT($A$8:A113)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4" s="112"/>
      <c r="C114" s="79"/>
      <c r="D114" s="208" t="s">
        <v>6907</v>
      </c>
      <c r="E114" s="171">
        <v>100028369</v>
      </c>
      <c r="F114" s="289" t="s">
        <v>6908</v>
      </c>
      <c r="G114" s="171">
        <v>1</v>
      </c>
      <c r="H114" s="171" t="s">
        <v>2803</v>
      </c>
      <c r="I114" s="370">
        <f>_xlfn.XLOOKUP(E114,'All Products'!D:D,'All Products'!H:H)</f>
        <v>46.46</v>
      </c>
      <c r="J114" s="316">
        <f>ROUNDUP(I114*Order_Quote!$L$27,2)</f>
        <v>232.3</v>
      </c>
      <c r="K114" s="184"/>
      <c r="L114" s="116"/>
      <c r="M114" s="298">
        <f t="shared" si="3"/>
        <v>0</v>
      </c>
      <c r="N114" s="506"/>
      <c r="O114" s="265" t="s">
        <v>359</v>
      </c>
      <c r="P114" s="265" t="s">
        <v>102</v>
      </c>
      <c r="Q114" s="265" t="s">
        <v>6909</v>
      </c>
      <c r="R114" s="265">
        <v>0</v>
      </c>
      <c r="S114" s="265" t="s">
        <v>6910</v>
      </c>
      <c r="T114" s="347">
        <v>0.56499999999999995</v>
      </c>
      <c r="U114" s="347">
        <v>0.56499999999999995</v>
      </c>
      <c r="V114" s="348">
        <v>0</v>
      </c>
    </row>
    <row r="115" spans="1:22" ht="14.45" customHeight="1">
      <c r="A115" s="104" t="str">
        <f>IF(K115&gt;0,COUNT($A$8:A114)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5" s="112"/>
      <c r="C115" s="79"/>
      <c r="D115" s="208" t="s">
        <v>6911</v>
      </c>
      <c r="E115" s="171">
        <v>100028370</v>
      </c>
      <c r="F115" s="289" t="s">
        <v>6912</v>
      </c>
      <c r="G115" s="171">
        <v>1</v>
      </c>
      <c r="H115" s="171" t="s">
        <v>2803</v>
      </c>
      <c r="I115" s="370">
        <f>_xlfn.XLOOKUP(E115,'All Products'!D:D,'All Products'!H:H)</f>
        <v>30.76</v>
      </c>
      <c r="J115" s="316">
        <f>ROUNDUP(I115*Order_Quote!$L$27,2)</f>
        <v>153.80000000000001</v>
      </c>
      <c r="K115" s="184"/>
      <c r="L115" s="116"/>
      <c r="M115" s="298">
        <f t="shared" si="3"/>
        <v>0</v>
      </c>
      <c r="N115" s="506"/>
      <c r="O115" s="265" t="s">
        <v>359</v>
      </c>
      <c r="P115" s="265" t="s">
        <v>102</v>
      </c>
      <c r="Q115" s="265" t="s">
        <v>6913</v>
      </c>
      <c r="R115" s="265">
        <v>0</v>
      </c>
      <c r="S115" s="265" t="s">
        <v>6914</v>
      </c>
      <c r="T115" s="347">
        <v>0.48</v>
      </c>
      <c r="U115" s="347">
        <v>0.48</v>
      </c>
      <c r="V115" s="348">
        <v>0</v>
      </c>
    </row>
    <row r="116" spans="1:22" ht="14.45" customHeight="1">
      <c r="A116" s="104" t="str">
        <f>IF(K116&gt;0,COUNT($A$8:A115)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6" s="112"/>
      <c r="C116" s="79"/>
      <c r="D116" s="208" t="s">
        <v>6915</v>
      </c>
      <c r="E116" s="171">
        <v>100028371</v>
      </c>
      <c r="F116" s="289" t="s">
        <v>6916</v>
      </c>
      <c r="G116" s="171">
        <v>1</v>
      </c>
      <c r="H116" s="171" t="s">
        <v>2803</v>
      </c>
      <c r="I116" s="370">
        <f>_xlfn.XLOOKUP(E116,'All Products'!D:D,'All Products'!H:H)</f>
        <v>35.619999999999997</v>
      </c>
      <c r="J116" s="316">
        <f>ROUNDUP(I116*Order_Quote!$L$27,2)</f>
        <v>178.1</v>
      </c>
      <c r="K116" s="184"/>
      <c r="L116" s="116"/>
      <c r="M116" s="298">
        <f t="shared" si="3"/>
        <v>0</v>
      </c>
      <c r="N116" s="506"/>
      <c r="O116" s="265" t="s">
        <v>359</v>
      </c>
      <c r="P116" s="265" t="s">
        <v>102</v>
      </c>
      <c r="Q116" s="265" t="s">
        <v>6917</v>
      </c>
      <c r="R116" s="265">
        <v>0</v>
      </c>
      <c r="S116" s="265" t="s">
        <v>6918</v>
      </c>
      <c r="T116" s="347">
        <v>0.53500000000000003</v>
      </c>
      <c r="U116" s="347">
        <v>0.53500000000000003</v>
      </c>
      <c r="V116" s="348">
        <v>0</v>
      </c>
    </row>
    <row r="117" spans="1:22" ht="14.45" customHeight="1">
      <c r="A117" s="104" t="str">
        <f>IF(K117&gt;0,COUNT($A$8:A116)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7" s="112"/>
      <c r="C117" s="79"/>
      <c r="D117" s="208" t="s">
        <v>6919</v>
      </c>
      <c r="E117" s="171">
        <v>100028372</v>
      </c>
      <c r="F117" s="289" t="s">
        <v>6920</v>
      </c>
      <c r="G117" s="171">
        <v>1</v>
      </c>
      <c r="H117" s="171" t="s">
        <v>2803</v>
      </c>
      <c r="I117" s="370">
        <f>_xlfn.XLOOKUP(E117,'All Products'!D:D,'All Products'!H:H)</f>
        <v>44.45</v>
      </c>
      <c r="J117" s="316">
        <f>ROUNDUP(I117*Order_Quote!$L$27,2)</f>
        <v>222.25</v>
      </c>
      <c r="K117" s="184"/>
      <c r="L117" s="116"/>
      <c r="M117" s="298">
        <f t="shared" si="3"/>
        <v>0</v>
      </c>
      <c r="N117" s="506"/>
      <c r="O117" s="265" t="s">
        <v>359</v>
      </c>
      <c r="P117" s="265" t="s">
        <v>102</v>
      </c>
      <c r="Q117" s="265" t="s">
        <v>6921</v>
      </c>
      <c r="R117" s="265">
        <v>0</v>
      </c>
      <c r="S117" s="265" t="s">
        <v>6922</v>
      </c>
      <c r="T117" s="347">
        <v>0.61499999999999999</v>
      </c>
      <c r="U117" s="347">
        <v>0.61499999999999999</v>
      </c>
      <c r="V117" s="348">
        <v>0</v>
      </c>
    </row>
    <row r="118" spans="1:22" ht="14.45" customHeight="1">
      <c r="A118" s="104" t="str">
        <f>IF(K118&gt;0,COUNT($A$8:A117)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8" s="112"/>
      <c r="C118" s="79"/>
      <c r="D118" s="208" t="s">
        <v>6923</v>
      </c>
      <c r="E118" s="171">
        <v>100028373</v>
      </c>
      <c r="F118" s="289" t="s">
        <v>6924</v>
      </c>
      <c r="G118" s="171">
        <v>1</v>
      </c>
      <c r="H118" s="171" t="s">
        <v>2803</v>
      </c>
      <c r="I118" s="370">
        <f>_xlfn.XLOOKUP(E118,'All Products'!D:D,'All Products'!H:H)</f>
        <v>14.03</v>
      </c>
      <c r="J118" s="316">
        <f>ROUNDUP(I118*Order_Quote!$L$27,2)</f>
        <v>70.150000000000006</v>
      </c>
      <c r="K118" s="184"/>
      <c r="L118" s="116"/>
      <c r="M118" s="298">
        <f t="shared" si="3"/>
        <v>0</v>
      </c>
      <c r="N118" s="506"/>
      <c r="O118" s="265" t="s">
        <v>359</v>
      </c>
      <c r="P118" s="265" t="s">
        <v>102</v>
      </c>
      <c r="Q118" s="265" t="s">
        <v>6925</v>
      </c>
      <c r="R118" s="265">
        <v>0</v>
      </c>
      <c r="S118" s="265" t="s">
        <v>6926</v>
      </c>
      <c r="T118" s="347">
        <v>0.14499999999999999</v>
      </c>
      <c r="U118" s="347">
        <v>0.14499999999999999</v>
      </c>
      <c r="V118" s="348">
        <v>0</v>
      </c>
    </row>
    <row r="119" spans="1:22" ht="14.45" customHeight="1">
      <c r="A119" s="104" t="str">
        <f>IF(K119&gt;0,COUNT($A$8:A118)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19" s="112"/>
      <c r="C119" s="79"/>
      <c r="D119" s="208" t="s">
        <v>6927</v>
      </c>
      <c r="E119" s="171">
        <v>100028374</v>
      </c>
      <c r="F119" s="289" t="s">
        <v>6928</v>
      </c>
      <c r="G119" s="171">
        <v>1</v>
      </c>
      <c r="H119" s="171" t="s">
        <v>2803</v>
      </c>
      <c r="I119" s="370">
        <f>_xlfn.XLOOKUP(E119,'All Products'!D:D,'All Products'!H:H)</f>
        <v>17.2</v>
      </c>
      <c r="J119" s="316">
        <f>ROUNDUP(I119*Order_Quote!$L$27,2)</f>
        <v>86</v>
      </c>
      <c r="K119" s="184"/>
      <c r="L119" s="116"/>
      <c r="M119" s="298">
        <f t="shared" si="3"/>
        <v>0</v>
      </c>
      <c r="N119" s="506"/>
      <c r="O119" s="265" t="s">
        <v>359</v>
      </c>
      <c r="P119" s="265" t="s">
        <v>102</v>
      </c>
      <c r="Q119" s="265" t="s">
        <v>6929</v>
      </c>
      <c r="R119" s="265">
        <v>0</v>
      </c>
      <c r="S119" s="265" t="s">
        <v>6930</v>
      </c>
      <c r="T119" s="347">
        <v>0.215</v>
      </c>
      <c r="U119" s="347">
        <v>0.215</v>
      </c>
      <c r="V119" s="348">
        <v>0</v>
      </c>
    </row>
    <row r="120" spans="1:22" ht="14.45" customHeight="1">
      <c r="A120" s="104" t="str">
        <f>IF(K120&gt;0,COUNT($A$8:A119)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0" s="112"/>
      <c r="C120" s="79"/>
      <c r="D120" s="208" t="s">
        <v>6931</v>
      </c>
      <c r="E120" s="171">
        <v>100028375</v>
      </c>
      <c r="F120" s="289" t="s">
        <v>6932</v>
      </c>
      <c r="G120" s="171">
        <v>1</v>
      </c>
      <c r="H120" s="171" t="s">
        <v>2803</v>
      </c>
      <c r="I120" s="370">
        <f>_xlfn.XLOOKUP(E120,'All Products'!D:D,'All Products'!H:H)</f>
        <v>22.86</v>
      </c>
      <c r="J120" s="316">
        <f>ROUNDUP(I120*Order_Quote!$L$27,2)</f>
        <v>114.3</v>
      </c>
      <c r="K120" s="184"/>
      <c r="L120" s="116"/>
      <c r="M120" s="298">
        <f t="shared" si="3"/>
        <v>0</v>
      </c>
      <c r="N120" s="506"/>
      <c r="O120" s="265" t="s">
        <v>359</v>
      </c>
      <c r="P120" s="265" t="s">
        <v>102</v>
      </c>
      <c r="Q120" s="265" t="s">
        <v>6933</v>
      </c>
      <c r="R120" s="265">
        <v>0</v>
      </c>
      <c r="S120" s="265" t="s">
        <v>6934</v>
      </c>
      <c r="T120" s="347">
        <v>0.27</v>
      </c>
      <c r="U120" s="347">
        <v>0.27</v>
      </c>
      <c r="V120" s="348">
        <v>0</v>
      </c>
    </row>
    <row r="121" spans="1:22" ht="14.45" customHeight="1">
      <c r="A121" s="104" t="str">
        <f>IF(K121&gt;0,COUNT($A$8:A120)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1" s="112"/>
      <c r="C121" s="79"/>
      <c r="D121" s="208" t="s">
        <v>6935</v>
      </c>
      <c r="E121" s="171">
        <v>100028376</v>
      </c>
      <c r="F121" s="289" t="s">
        <v>6936</v>
      </c>
      <c r="G121" s="171">
        <v>1</v>
      </c>
      <c r="H121" s="171" t="s">
        <v>2803</v>
      </c>
      <c r="I121" s="370">
        <f>_xlfn.XLOOKUP(E121,'All Products'!D:D,'All Products'!H:H)</f>
        <v>14.03</v>
      </c>
      <c r="J121" s="316">
        <f>ROUNDUP(I121*Order_Quote!$L$27,2)</f>
        <v>70.150000000000006</v>
      </c>
      <c r="K121" s="184"/>
      <c r="L121" s="116"/>
      <c r="M121" s="298">
        <f t="shared" si="3"/>
        <v>0</v>
      </c>
      <c r="N121" s="506"/>
      <c r="O121" s="265" t="s">
        <v>359</v>
      </c>
      <c r="P121" s="265" t="s">
        <v>102</v>
      </c>
      <c r="Q121" s="265" t="s">
        <v>6937</v>
      </c>
      <c r="R121" s="265">
        <v>0</v>
      </c>
      <c r="S121" s="265" t="s">
        <v>6938</v>
      </c>
      <c r="T121" s="347">
        <v>0.15</v>
      </c>
      <c r="U121" s="347">
        <v>0.15</v>
      </c>
      <c r="V121" s="348">
        <v>0</v>
      </c>
    </row>
    <row r="122" spans="1:22" ht="14.45" customHeight="1">
      <c r="A122" s="104" t="str">
        <f>IF(K122&gt;0,COUNT($A$8:A121)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2" s="112"/>
      <c r="C122" s="79"/>
      <c r="D122" s="208" t="s">
        <v>6939</v>
      </c>
      <c r="E122" s="171">
        <v>100028377</v>
      </c>
      <c r="F122" s="289" t="s">
        <v>6940</v>
      </c>
      <c r="G122" s="171">
        <v>1</v>
      </c>
      <c r="H122" s="171" t="s">
        <v>2803</v>
      </c>
      <c r="I122" s="370">
        <f>_xlfn.XLOOKUP(E122,'All Products'!D:D,'All Products'!H:H)</f>
        <v>17.2</v>
      </c>
      <c r="J122" s="316">
        <f>ROUNDUP(I122*Order_Quote!$L$27,2)</f>
        <v>86</v>
      </c>
      <c r="K122" s="184"/>
      <c r="L122" s="116"/>
      <c r="M122" s="298">
        <f t="shared" si="3"/>
        <v>0</v>
      </c>
      <c r="N122" s="506"/>
      <c r="O122" s="265" t="s">
        <v>359</v>
      </c>
      <c r="P122" s="265" t="s">
        <v>102</v>
      </c>
      <c r="Q122" s="265" t="s">
        <v>6941</v>
      </c>
      <c r="R122" s="265">
        <v>0</v>
      </c>
      <c r="S122" s="265" t="s">
        <v>6942</v>
      </c>
      <c r="T122" s="347">
        <v>0.215</v>
      </c>
      <c r="U122" s="347">
        <v>0.215</v>
      </c>
      <c r="V122" s="348">
        <v>0</v>
      </c>
    </row>
    <row r="123" spans="1:22" ht="14.45" customHeight="1">
      <c r="A123" s="104" t="str">
        <f>IF(K123&gt;0,COUNT($A$8:A122)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3" s="112"/>
      <c r="C123" s="79"/>
      <c r="D123" s="208" t="s">
        <v>6943</v>
      </c>
      <c r="E123" s="171">
        <v>100028378</v>
      </c>
      <c r="F123" s="289" t="s">
        <v>6944</v>
      </c>
      <c r="G123" s="171">
        <v>1</v>
      </c>
      <c r="H123" s="171" t="s">
        <v>2803</v>
      </c>
      <c r="I123" s="370">
        <f>_xlfn.XLOOKUP(E123,'All Products'!D:D,'All Products'!H:H)</f>
        <v>22.86</v>
      </c>
      <c r="J123" s="316">
        <f>ROUNDUP(I123*Order_Quote!$L$27,2)</f>
        <v>114.3</v>
      </c>
      <c r="K123" s="184"/>
      <c r="L123" s="116"/>
      <c r="M123" s="298">
        <f t="shared" si="3"/>
        <v>0</v>
      </c>
      <c r="N123" s="506"/>
      <c r="O123" s="265" t="s">
        <v>359</v>
      </c>
      <c r="P123" s="265" t="s">
        <v>102</v>
      </c>
      <c r="Q123" s="265" t="s">
        <v>6945</v>
      </c>
      <c r="R123" s="265">
        <v>0</v>
      </c>
      <c r="S123" s="265" t="s">
        <v>6946</v>
      </c>
      <c r="T123" s="347">
        <v>0.29499999999999998</v>
      </c>
      <c r="U123" s="347">
        <v>0.29499999999999998</v>
      </c>
      <c r="V123" s="348">
        <v>0</v>
      </c>
    </row>
    <row r="124" spans="1:22" ht="14.45" customHeight="1">
      <c r="A124" s="104" t="str">
        <f>IF(K124&gt;0,COUNT($A$8:A123)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4" s="112"/>
      <c r="C124" s="79"/>
      <c r="D124" s="208" t="s">
        <v>6947</v>
      </c>
      <c r="E124" s="171">
        <v>100028379</v>
      </c>
      <c r="F124" s="289" t="s">
        <v>6948</v>
      </c>
      <c r="G124" s="171">
        <v>1</v>
      </c>
      <c r="H124" s="171" t="s">
        <v>2803</v>
      </c>
      <c r="I124" s="370">
        <f>_xlfn.XLOOKUP(E124,'All Products'!D:D,'All Products'!H:H)</f>
        <v>14.82</v>
      </c>
      <c r="J124" s="316">
        <f>ROUNDUP(I124*Order_Quote!$L$27,2)</f>
        <v>74.099999999999994</v>
      </c>
      <c r="K124" s="184"/>
      <c r="L124" s="116"/>
      <c r="M124" s="298">
        <f t="shared" si="3"/>
        <v>0</v>
      </c>
      <c r="N124" s="506"/>
      <c r="O124" s="265" t="s">
        <v>359</v>
      </c>
      <c r="P124" s="265" t="s">
        <v>102</v>
      </c>
      <c r="Q124" s="265" t="s">
        <v>6949</v>
      </c>
      <c r="R124" s="265">
        <v>0</v>
      </c>
      <c r="S124" s="265" t="s">
        <v>6950</v>
      </c>
      <c r="T124" s="347">
        <v>0.115</v>
      </c>
      <c r="U124" s="347">
        <v>0.115</v>
      </c>
      <c r="V124" s="348">
        <v>0</v>
      </c>
    </row>
    <row r="125" spans="1:22" ht="14.45" customHeight="1">
      <c r="A125" s="104" t="str">
        <f>IF(K125&gt;0,COUNT($A$8:A124)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5" s="112"/>
      <c r="C125" s="79"/>
      <c r="D125" s="208" t="s">
        <v>6951</v>
      </c>
      <c r="E125" s="171">
        <v>100028380</v>
      </c>
      <c r="F125" s="289" t="s">
        <v>6952</v>
      </c>
      <c r="G125" s="171">
        <v>1</v>
      </c>
      <c r="H125" s="171" t="s">
        <v>2803</v>
      </c>
      <c r="I125" s="370">
        <f>_xlfn.XLOOKUP(E125,'All Products'!D:D,'All Products'!H:H)</f>
        <v>18.18</v>
      </c>
      <c r="J125" s="316">
        <f>ROUNDUP(I125*Order_Quote!$L$27,2)</f>
        <v>90.9</v>
      </c>
      <c r="K125" s="184"/>
      <c r="L125" s="116"/>
      <c r="M125" s="298">
        <f t="shared" si="3"/>
        <v>0</v>
      </c>
      <c r="N125" s="506"/>
      <c r="O125" s="265" t="s">
        <v>359</v>
      </c>
      <c r="P125" s="265" t="s">
        <v>102</v>
      </c>
      <c r="Q125" s="265" t="s">
        <v>6953</v>
      </c>
      <c r="R125" s="265">
        <v>0</v>
      </c>
      <c r="S125" s="265" t="s">
        <v>6954</v>
      </c>
      <c r="T125" s="347">
        <v>0.15</v>
      </c>
      <c r="U125" s="347">
        <v>0.15</v>
      </c>
      <c r="V125" s="348">
        <v>0</v>
      </c>
    </row>
    <row r="126" spans="1:22" ht="14.45" customHeight="1">
      <c r="A126" s="104" t="str">
        <f>IF(K126&gt;0,COUNT($A$8:A125)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6" s="112"/>
      <c r="C126" s="79"/>
      <c r="D126" s="208" t="s">
        <v>6955</v>
      </c>
      <c r="E126" s="171">
        <v>100028381</v>
      </c>
      <c r="F126" s="289" t="s">
        <v>6956</v>
      </c>
      <c r="G126" s="171">
        <v>1</v>
      </c>
      <c r="H126" s="171" t="s">
        <v>2803</v>
      </c>
      <c r="I126" s="370">
        <f>_xlfn.XLOOKUP(E126,'All Products'!D:D,'All Products'!H:H)</f>
        <v>24</v>
      </c>
      <c r="J126" s="316">
        <f>ROUNDUP(I126*Order_Quote!$L$27,2)</f>
        <v>120</v>
      </c>
      <c r="K126" s="184"/>
      <c r="L126" s="116"/>
      <c r="M126" s="298">
        <f t="shared" si="3"/>
        <v>0</v>
      </c>
      <c r="N126" s="506"/>
      <c r="O126" s="265" t="s">
        <v>359</v>
      </c>
      <c r="P126" s="265" t="s">
        <v>102</v>
      </c>
      <c r="Q126" s="265" t="s">
        <v>6957</v>
      </c>
      <c r="R126" s="265">
        <v>0</v>
      </c>
      <c r="S126" s="265" t="s">
        <v>6958</v>
      </c>
      <c r="T126" s="347">
        <v>0.19</v>
      </c>
      <c r="U126" s="347">
        <v>0.19</v>
      </c>
      <c r="V126" s="348">
        <v>0</v>
      </c>
    </row>
    <row r="127" spans="1:22" ht="14.45" customHeight="1">
      <c r="A127" s="104" t="str">
        <f>IF(K127&gt;0,COUNT($A$8:A126)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7" s="112"/>
      <c r="C127" s="79"/>
      <c r="D127" s="208" t="s">
        <v>6959</v>
      </c>
      <c r="E127" s="171">
        <v>100028382</v>
      </c>
      <c r="F127" s="289" t="s">
        <v>6960</v>
      </c>
      <c r="G127" s="171">
        <v>1</v>
      </c>
      <c r="H127" s="171" t="s">
        <v>2803</v>
      </c>
      <c r="I127" s="370">
        <f>_xlfn.XLOOKUP(E127,'All Products'!D:D,'All Products'!H:H)</f>
        <v>14.82</v>
      </c>
      <c r="J127" s="316">
        <f>ROUNDUP(I127*Order_Quote!$L$27,2)</f>
        <v>74.099999999999994</v>
      </c>
      <c r="K127" s="184"/>
      <c r="L127" s="116"/>
      <c r="M127" s="298">
        <f t="shared" si="3"/>
        <v>0</v>
      </c>
      <c r="N127" s="506"/>
      <c r="O127" s="265" t="s">
        <v>359</v>
      </c>
      <c r="P127" s="265" t="s">
        <v>102</v>
      </c>
      <c r="Q127" s="265" t="s">
        <v>6961</v>
      </c>
      <c r="R127" s="265">
        <v>0</v>
      </c>
      <c r="S127" s="265" t="s">
        <v>6962</v>
      </c>
      <c r="T127" s="347">
        <v>0.22</v>
      </c>
      <c r="U127" s="347">
        <v>0.22</v>
      </c>
      <c r="V127" s="348">
        <v>0</v>
      </c>
    </row>
    <row r="128" spans="1:22" ht="14.45" customHeight="1">
      <c r="A128" s="104" t="str">
        <f>IF(K128&gt;0,COUNT($A$8:A127)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8" s="112"/>
      <c r="C128" s="79"/>
      <c r="D128" s="208" t="s">
        <v>6963</v>
      </c>
      <c r="E128" s="171">
        <v>100028383</v>
      </c>
      <c r="F128" s="289" t="s">
        <v>6964</v>
      </c>
      <c r="G128" s="171">
        <v>1</v>
      </c>
      <c r="H128" s="171" t="s">
        <v>2803</v>
      </c>
      <c r="I128" s="370">
        <f>_xlfn.XLOOKUP(E128,'All Products'!D:D,'All Products'!H:H)</f>
        <v>18.18</v>
      </c>
      <c r="J128" s="316">
        <f>ROUNDUP(I128*Order_Quote!$L$27,2)</f>
        <v>90.9</v>
      </c>
      <c r="K128" s="184"/>
      <c r="L128" s="116"/>
      <c r="M128" s="298">
        <f t="shared" si="3"/>
        <v>0</v>
      </c>
      <c r="N128" s="506"/>
      <c r="O128" s="265" t="s">
        <v>359</v>
      </c>
      <c r="P128" s="265" t="s">
        <v>102</v>
      </c>
      <c r="Q128" s="265" t="s">
        <v>6965</v>
      </c>
      <c r="R128" s="265">
        <v>0</v>
      </c>
      <c r="S128" s="265" t="s">
        <v>6966</v>
      </c>
      <c r="T128" s="347">
        <v>0.33</v>
      </c>
      <c r="U128" s="347">
        <v>0.33</v>
      </c>
      <c r="V128" s="348">
        <v>0</v>
      </c>
    </row>
    <row r="129" spans="1:22" ht="14.45" customHeight="1">
      <c r="A129" s="104" t="str">
        <f>IF(K129&gt;0,COUNT($A$8:A128)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29" s="112"/>
      <c r="C129" s="79"/>
      <c r="D129" s="208" t="s">
        <v>6967</v>
      </c>
      <c r="E129" s="171">
        <v>100028384</v>
      </c>
      <c r="F129" s="289" t="s">
        <v>6968</v>
      </c>
      <c r="G129" s="171">
        <v>1</v>
      </c>
      <c r="H129" s="171" t="s">
        <v>2803</v>
      </c>
      <c r="I129" s="370">
        <f>_xlfn.XLOOKUP(E129,'All Products'!D:D,'All Products'!H:H)</f>
        <v>24</v>
      </c>
      <c r="J129" s="316">
        <f>ROUNDUP(I129*Order_Quote!$L$27,2)</f>
        <v>120</v>
      </c>
      <c r="K129" s="184"/>
      <c r="L129" s="116"/>
      <c r="M129" s="298">
        <f t="shared" si="3"/>
        <v>0</v>
      </c>
      <c r="N129" s="506"/>
      <c r="O129" s="265" t="s">
        <v>359</v>
      </c>
      <c r="P129" s="265" t="s">
        <v>102</v>
      </c>
      <c r="Q129" s="265" t="s">
        <v>6969</v>
      </c>
      <c r="R129" s="265">
        <v>0</v>
      </c>
      <c r="S129" s="265" t="s">
        <v>6970</v>
      </c>
      <c r="T129" s="347">
        <v>0.36</v>
      </c>
      <c r="U129" s="347">
        <v>0.36</v>
      </c>
      <c r="V129" s="348">
        <v>0</v>
      </c>
    </row>
    <row r="130" spans="1:22" ht="14.45" customHeight="1">
      <c r="A130" s="104" t="str">
        <f>IF(K130&gt;0,COUNT($A$8:A129)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0" s="112"/>
      <c r="C130" s="79"/>
      <c r="D130" s="208" t="s">
        <v>6971</v>
      </c>
      <c r="E130" s="171">
        <v>100028385</v>
      </c>
      <c r="F130" s="289" t="s">
        <v>6972</v>
      </c>
      <c r="G130" s="171">
        <v>1</v>
      </c>
      <c r="H130" s="171" t="s">
        <v>2803</v>
      </c>
      <c r="I130" s="370">
        <f>_xlfn.XLOOKUP(E130,'All Products'!D:D,'All Products'!H:H)</f>
        <v>14.03</v>
      </c>
      <c r="J130" s="316">
        <f>ROUNDUP(I130*Order_Quote!$L$27,2)</f>
        <v>70.150000000000006</v>
      </c>
      <c r="K130" s="184"/>
      <c r="L130" s="116"/>
      <c r="M130" s="298">
        <f t="shared" si="3"/>
        <v>0</v>
      </c>
      <c r="N130" s="506"/>
      <c r="O130" s="265" t="s">
        <v>359</v>
      </c>
      <c r="P130" s="265" t="s">
        <v>102</v>
      </c>
      <c r="Q130" s="265" t="s">
        <v>6973</v>
      </c>
      <c r="R130" s="265">
        <v>0</v>
      </c>
      <c r="S130" s="265" t="s">
        <v>6974</v>
      </c>
      <c r="T130" s="347">
        <v>0.14499999999999999</v>
      </c>
      <c r="U130" s="347">
        <v>0.14499999999999999</v>
      </c>
      <c r="V130" s="348">
        <v>0</v>
      </c>
    </row>
    <row r="131" spans="1:22" ht="14.45" customHeight="1">
      <c r="A131" s="104" t="str">
        <f>IF(K131&gt;0,COUNT($A$8:A130)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1" s="112"/>
      <c r="C131" s="79"/>
      <c r="D131" s="208" t="s">
        <v>6975</v>
      </c>
      <c r="E131" s="171">
        <v>100028386</v>
      </c>
      <c r="F131" s="289" t="s">
        <v>6932</v>
      </c>
      <c r="G131" s="171">
        <v>1</v>
      </c>
      <c r="H131" s="171" t="s">
        <v>2803</v>
      </c>
      <c r="I131" s="370">
        <f>_xlfn.XLOOKUP(E131,'All Products'!D:D,'All Products'!H:H)</f>
        <v>17.2</v>
      </c>
      <c r="J131" s="316">
        <f>ROUNDUP(I131*Order_Quote!$L$27,2)</f>
        <v>86</v>
      </c>
      <c r="K131" s="184"/>
      <c r="L131" s="116"/>
      <c r="M131" s="298">
        <f t="shared" si="3"/>
        <v>0</v>
      </c>
      <c r="N131" s="506"/>
      <c r="O131" s="265" t="s">
        <v>359</v>
      </c>
      <c r="P131" s="265" t="s">
        <v>102</v>
      </c>
      <c r="Q131" s="265" t="s">
        <v>6976</v>
      </c>
      <c r="R131" s="265">
        <v>0</v>
      </c>
      <c r="S131" s="265" t="s">
        <v>6977</v>
      </c>
      <c r="T131" s="347">
        <v>0.215</v>
      </c>
      <c r="U131" s="347">
        <v>0.215</v>
      </c>
      <c r="V131" s="348">
        <v>0</v>
      </c>
    </row>
    <row r="132" spans="1:22" ht="14.45" customHeight="1">
      <c r="A132" s="104" t="str">
        <f>IF(K132&gt;0,COUNT($A$8:A131)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2" s="112"/>
      <c r="C132" s="79"/>
      <c r="D132" s="208" t="s">
        <v>6978</v>
      </c>
      <c r="E132" s="171">
        <v>100028387</v>
      </c>
      <c r="F132" s="289" t="s">
        <v>6979</v>
      </c>
      <c r="G132" s="171">
        <v>1</v>
      </c>
      <c r="H132" s="171" t="s">
        <v>2803</v>
      </c>
      <c r="I132" s="370">
        <f>_xlfn.XLOOKUP(E132,'All Products'!D:D,'All Products'!H:H)</f>
        <v>22.86</v>
      </c>
      <c r="J132" s="316">
        <f>ROUNDUP(I132*Order_Quote!$L$27,2)</f>
        <v>114.3</v>
      </c>
      <c r="K132" s="184"/>
      <c r="L132" s="116"/>
      <c r="M132" s="298">
        <f t="shared" si="3"/>
        <v>0</v>
      </c>
      <c r="N132" s="506"/>
      <c r="O132" s="265" t="s">
        <v>359</v>
      </c>
      <c r="P132" s="265" t="s">
        <v>102</v>
      </c>
      <c r="Q132" s="265" t="s">
        <v>6980</v>
      </c>
      <c r="R132" s="265">
        <v>0</v>
      </c>
      <c r="S132" s="265" t="s">
        <v>6981</v>
      </c>
      <c r="T132" s="347">
        <v>0.27</v>
      </c>
      <c r="U132" s="347">
        <v>0.27</v>
      </c>
      <c r="V132" s="348">
        <v>0</v>
      </c>
    </row>
    <row r="133" spans="1:22" ht="14.45" customHeight="1">
      <c r="A133" s="104" t="str">
        <f>IF(K133&gt;0,COUNT($A$8:A132)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3" s="112"/>
      <c r="C133" s="79"/>
      <c r="D133" s="208" t="s">
        <v>6982</v>
      </c>
      <c r="E133" s="171">
        <v>100028388</v>
      </c>
      <c r="F133" s="289" t="s">
        <v>6983</v>
      </c>
      <c r="G133" s="171">
        <v>1</v>
      </c>
      <c r="H133" s="171" t="s">
        <v>2803</v>
      </c>
      <c r="I133" s="370">
        <f>_xlfn.XLOOKUP(E133,'All Products'!D:D,'All Products'!H:H)</f>
        <v>14.03</v>
      </c>
      <c r="J133" s="316">
        <f>ROUNDUP(I133*Order_Quote!$L$27,2)</f>
        <v>70.150000000000006</v>
      </c>
      <c r="K133" s="184"/>
      <c r="L133" s="116"/>
      <c r="M133" s="298">
        <f t="shared" si="3"/>
        <v>0</v>
      </c>
      <c r="N133" s="506"/>
      <c r="O133" s="265" t="s">
        <v>359</v>
      </c>
      <c r="P133" s="265" t="s">
        <v>102</v>
      </c>
      <c r="Q133" s="265" t="s">
        <v>6984</v>
      </c>
      <c r="R133" s="265">
        <v>0</v>
      </c>
      <c r="S133" s="265" t="s">
        <v>6985</v>
      </c>
      <c r="T133" s="347">
        <v>0.15</v>
      </c>
      <c r="U133" s="347">
        <v>0.15</v>
      </c>
      <c r="V133" s="348">
        <v>0</v>
      </c>
    </row>
    <row r="134" spans="1:22" ht="14.45" customHeight="1">
      <c r="A134" s="104" t="str">
        <f>IF(K134&gt;0,COUNT($A$8:A133)
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+COUNT('Swing Joints'!$A$9:$A$495)
+1,"")</f>
        <v/>
      </c>
      <c r="B134" s="113"/>
      <c r="C134" s="114"/>
      <c r="D134" s="208" t="s">
        <v>6986</v>
      </c>
      <c r="E134" s="171">
        <v>100028389</v>
      </c>
      <c r="F134" s="289" t="s">
        <v>6987</v>
      </c>
      <c r="G134" s="171">
        <v>1</v>
      </c>
      <c r="H134" s="171" t="s">
        <v>2803</v>
      </c>
      <c r="I134" s="370">
        <f>_xlfn.XLOOKUP(E134,'All Products'!D:D,'All Products'!H:H)</f>
        <v>17.2</v>
      </c>
      <c r="J134" s="316">
        <f>ROUNDUP(I134*Order_Quote!$L$27,2)</f>
        <v>86</v>
      </c>
      <c r="K134" s="184"/>
      <c r="L134" s="292"/>
      <c r="M134" s="298">
        <f t="shared" si="3"/>
        <v>0</v>
      </c>
      <c r="N134" s="506"/>
      <c r="O134" s="265" t="s">
        <v>359</v>
      </c>
      <c r="P134" s="265" t="s">
        <v>102</v>
      </c>
      <c r="Q134" s="265" t="s">
        <v>6988</v>
      </c>
      <c r="R134" s="265">
        <v>0</v>
      </c>
      <c r="S134" s="265" t="s">
        <v>6989</v>
      </c>
      <c r="T134" s="347">
        <v>0.215</v>
      </c>
      <c r="U134" s="347">
        <v>0.215</v>
      </c>
      <c r="V134" s="348">
        <v>0</v>
      </c>
    </row>
    <row r="135" spans="1:22" ht="15" customHeight="1">
      <c r="A135" s="104">
        <f>MAX(A9:A134)+1</f>
        <v>1</v>
      </c>
    </row>
    <row r="136" spans="1:22" s="152" customFormat="1" ht="15" hidden="1" customHeight="1">
      <c r="A136" s="323"/>
      <c r="D136" s="154"/>
    </row>
    <row r="137" spans="1:22" s="152" customFormat="1" ht="15" hidden="1" customHeight="1">
      <c r="A137" s="323"/>
      <c r="D137" s="154"/>
    </row>
    <row r="138" spans="1:22" s="152" customFormat="1" ht="15" hidden="1" customHeight="1">
      <c r="A138" s="323"/>
      <c r="D138" s="154"/>
    </row>
    <row r="139" spans="1:22" s="152" customFormat="1" ht="15" hidden="1" customHeight="1">
      <c r="A139" s="323"/>
      <c r="D139" s="154"/>
    </row>
    <row r="140" spans="1:22" s="152" customFormat="1" ht="15" hidden="1" customHeight="1">
      <c r="A140" s="323"/>
      <c r="D140" s="154"/>
    </row>
    <row r="141" spans="1:22" s="152" customFormat="1" ht="15" hidden="1" customHeight="1">
      <c r="A141" s="323"/>
      <c r="D141" s="154"/>
    </row>
    <row r="142" spans="1:22" s="152" customFormat="1" ht="15" hidden="1" customHeight="1">
      <c r="A142" s="323"/>
      <c r="D142" s="154"/>
    </row>
    <row r="143" spans="1:22" s="152" customFormat="1" ht="15" hidden="1" customHeight="1">
      <c r="A143" s="323"/>
      <c r="D143" s="154"/>
    </row>
    <row r="144" spans="1:22" s="152" customFormat="1" ht="15" hidden="1" customHeight="1">
      <c r="A144" s="323"/>
      <c r="D144" s="154"/>
    </row>
    <row r="145" spans="1:4" s="152" customFormat="1" ht="15" hidden="1" customHeight="1">
      <c r="A145" s="323"/>
      <c r="D145" s="154"/>
    </row>
    <row r="146" spans="1:4" s="152" customFormat="1" ht="15" hidden="1" customHeight="1">
      <c r="A146" s="323"/>
      <c r="D146" s="154"/>
    </row>
    <row r="147" spans="1:4" s="152" customFormat="1" ht="15" hidden="1" customHeight="1">
      <c r="A147" s="323"/>
      <c r="D147" s="154"/>
    </row>
    <row r="148" spans="1:4" s="152" customFormat="1" ht="15" hidden="1" customHeight="1">
      <c r="A148" s="323"/>
      <c r="D148" s="154"/>
    </row>
    <row r="149" spans="1:4" s="152" customFormat="1" ht="15" hidden="1" customHeight="1">
      <c r="A149" s="323"/>
      <c r="D149" s="154"/>
    </row>
    <row r="150" spans="1:4" s="152" customFormat="1" ht="15" hidden="1" customHeight="1">
      <c r="A150" s="323"/>
      <c r="D150" s="154"/>
    </row>
    <row r="151" spans="1:4" s="152" customFormat="1" ht="15" hidden="1" customHeight="1">
      <c r="A151" s="323"/>
      <c r="D151" s="154"/>
    </row>
    <row r="152" spans="1:4" s="152" customFormat="1" ht="15" hidden="1" customHeight="1">
      <c r="A152" s="323"/>
      <c r="D152" s="154"/>
    </row>
    <row r="153" spans="1:4" s="152" customFormat="1" ht="15" hidden="1" customHeight="1">
      <c r="A153" s="323"/>
      <c r="D153" s="154"/>
    </row>
    <row r="154" spans="1:4" s="152" customFormat="1" ht="15" hidden="1" customHeight="1">
      <c r="A154" s="323"/>
      <c r="D154" s="154"/>
    </row>
    <row r="155" spans="1:4" s="152" customFormat="1" ht="15" hidden="1" customHeight="1">
      <c r="A155" s="323"/>
      <c r="D155" s="154"/>
    </row>
    <row r="156" spans="1:4" s="152" customFormat="1" ht="15" hidden="1" customHeight="1">
      <c r="A156" s="323"/>
      <c r="D156" s="154"/>
    </row>
    <row r="157" spans="1:4" s="152" customFormat="1" ht="15" hidden="1" customHeight="1">
      <c r="A157" s="323"/>
      <c r="D157" s="154"/>
    </row>
    <row r="158" spans="1:4" s="152" customFormat="1" ht="15" hidden="1" customHeight="1">
      <c r="A158" s="323"/>
      <c r="D158" s="154"/>
    </row>
    <row r="159" spans="1:4" s="152" customFormat="1" ht="15" hidden="1" customHeight="1">
      <c r="A159" s="323"/>
      <c r="D159" s="154"/>
    </row>
    <row r="160" spans="1:4" s="152" customFormat="1" ht="15" hidden="1" customHeight="1">
      <c r="A160" s="323"/>
      <c r="D160" s="154"/>
    </row>
    <row r="161" spans="1:4" s="152" customFormat="1" ht="15" hidden="1" customHeight="1">
      <c r="A161" s="323"/>
      <c r="D161" s="154"/>
    </row>
    <row r="162" spans="1:4" s="152" customFormat="1" ht="15" hidden="1" customHeight="1">
      <c r="A162" s="323"/>
      <c r="D162" s="154"/>
    </row>
    <row r="163" spans="1:4" s="152" customFormat="1" ht="15" hidden="1" customHeight="1">
      <c r="A163" s="323"/>
      <c r="D163" s="154"/>
    </row>
    <row r="164" spans="1:4" s="152" customFormat="1" ht="15" hidden="1" customHeight="1">
      <c r="A164" s="323"/>
      <c r="D164" s="154"/>
    </row>
    <row r="165" spans="1:4" s="152" customFormat="1" ht="15" hidden="1" customHeight="1">
      <c r="A165" s="323"/>
      <c r="D165" s="154"/>
    </row>
    <row r="166" spans="1:4" s="152" customFormat="1" ht="15" hidden="1" customHeight="1">
      <c r="A166" s="323"/>
      <c r="D166" s="154"/>
    </row>
    <row r="167" spans="1:4" s="152" customFormat="1" ht="15" hidden="1" customHeight="1">
      <c r="A167" s="323"/>
      <c r="D167" s="154"/>
    </row>
    <row r="168" spans="1:4" s="152" customFormat="1" ht="15" hidden="1" customHeight="1">
      <c r="A168" s="323"/>
      <c r="D168" s="154"/>
    </row>
    <row r="169" spans="1:4" s="152" customFormat="1" ht="15" hidden="1" customHeight="1">
      <c r="A169" s="323"/>
      <c r="D169" s="154"/>
    </row>
    <row r="170" spans="1:4" s="152" customFormat="1" ht="15" hidden="1" customHeight="1">
      <c r="A170" s="323"/>
      <c r="D170" s="154"/>
    </row>
    <row r="171" spans="1:4" s="152" customFormat="1" ht="15" hidden="1" customHeight="1">
      <c r="A171" s="323"/>
      <c r="D171" s="154"/>
    </row>
    <row r="172" spans="1:4" s="152" customFormat="1" ht="15" hidden="1" customHeight="1">
      <c r="A172" s="323"/>
      <c r="D172" s="154"/>
    </row>
    <row r="173" spans="1:4" s="152" customFormat="1" ht="15" hidden="1" customHeight="1">
      <c r="A173" s="323"/>
      <c r="D173" s="154"/>
    </row>
    <row r="174" spans="1:4" s="152" customFormat="1" ht="15" hidden="1" customHeight="1">
      <c r="A174" s="323"/>
      <c r="D174" s="154"/>
    </row>
    <row r="175" spans="1:4" s="152" customFormat="1" ht="15" hidden="1" customHeight="1">
      <c r="A175" s="323"/>
      <c r="D175" s="154"/>
    </row>
    <row r="176" spans="1:4" s="152" customFormat="1" ht="15" hidden="1" customHeight="1">
      <c r="A176" s="323"/>
      <c r="D176" s="154"/>
    </row>
    <row r="177" spans="1:4" s="152" customFormat="1" ht="15" hidden="1" customHeight="1">
      <c r="A177" s="323"/>
      <c r="D177" s="154"/>
    </row>
    <row r="178" spans="1:4" s="152" customFormat="1" ht="15" hidden="1" customHeight="1">
      <c r="A178" s="323"/>
      <c r="D178" s="154"/>
    </row>
    <row r="179" spans="1:4" s="152" customFormat="1" ht="15" hidden="1" customHeight="1">
      <c r="A179" s="323"/>
      <c r="D179" s="154"/>
    </row>
    <row r="180" spans="1:4" s="152" customFormat="1" ht="15" hidden="1" customHeight="1">
      <c r="A180" s="323"/>
      <c r="D180" s="154"/>
    </row>
    <row r="181" spans="1:4" s="152" customFormat="1" ht="15" hidden="1" customHeight="1">
      <c r="A181" s="323"/>
      <c r="D181" s="154"/>
    </row>
    <row r="182" spans="1:4" s="152" customFormat="1" ht="15" hidden="1" customHeight="1">
      <c r="A182" s="323"/>
      <c r="D182" s="154"/>
    </row>
    <row r="183" spans="1:4" s="152" customFormat="1" ht="15" hidden="1" customHeight="1">
      <c r="A183" s="323"/>
      <c r="D183" s="154"/>
    </row>
    <row r="184" spans="1:4" s="152" customFormat="1" ht="15" hidden="1" customHeight="1">
      <c r="A184" s="323"/>
      <c r="D184" s="154"/>
    </row>
    <row r="185" spans="1:4" s="152" customFormat="1" ht="15" hidden="1" customHeight="1">
      <c r="A185" s="323"/>
      <c r="D185" s="154"/>
    </row>
    <row r="186" spans="1:4" s="152" customFormat="1" ht="15" hidden="1" customHeight="1">
      <c r="A186" s="323"/>
      <c r="D186" s="154"/>
    </row>
    <row r="187" spans="1:4" s="152" customFormat="1" ht="15" hidden="1" customHeight="1">
      <c r="A187" s="323"/>
      <c r="D187" s="154"/>
    </row>
    <row r="188" spans="1:4" s="152" customFormat="1" ht="15" hidden="1" customHeight="1">
      <c r="A188" s="323"/>
      <c r="D188" s="154"/>
    </row>
    <row r="189" spans="1:4" s="152" customFormat="1" ht="15" hidden="1" customHeight="1">
      <c r="A189" s="323"/>
      <c r="D189" s="154"/>
    </row>
    <row r="190" spans="1:4" s="152" customFormat="1" ht="15" hidden="1" customHeight="1">
      <c r="A190" s="323"/>
      <c r="D190" s="154"/>
    </row>
    <row r="191" spans="1:4" s="152" customFormat="1" ht="15" hidden="1" customHeight="1">
      <c r="A191" s="323"/>
      <c r="D191" s="154"/>
    </row>
    <row r="192" spans="1:4" s="152" customFormat="1" ht="15" hidden="1" customHeight="1">
      <c r="A192" s="323"/>
      <c r="D192" s="154"/>
    </row>
    <row r="193" spans="1:4" s="152" customFormat="1" ht="15" hidden="1" customHeight="1">
      <c r="A193" s="323"/>
      <c r="D193" s="154"/>
    </row>
    <row r="194" spans="1:4" s="152" customFormat="1" ht="15" hidden="1" customHeight="1">
      <c r="A194" s="323"/>
      <c r="D194" s="154"/>
    </row>
    <row r="195" spans="1:4" s="152" customFormat="1" ht="15" hidden="1" customHeight="1">
      <c r="A195" s="323"/>
      <c r="D195" s="154"/>
    </row>
    <row r="196" spans="1:4" s="152" customFormat="1" ht="15" hidden="1" customHeight="1">
      <c r="A196" s="323"/>
      <c r="D196" s="154"/>
    </row>
    <row r="197" spans="1:4" s="152" customFormat="1" ht="15" hidden="1" customHeight="1">
      <c r="A197" s="323"/>
      <c r="D197" s="154"/>
    </row>
    <row r="198" spans="1:4" s="152" customFormat="1" ht="15" hidden="1" customHeight="1">
      <c r="A198" s="323"/>
      <c r="D198" s="154"/>
    </row>
    <row r="199" spans="1:4" s="152" customFormat="1" ht="15" hidden="1" customHeight="1">
      <c r="A199" s="323"/>
      <c r="D199" s="154"/>
    </row>
    <row r="200" spans="1:4" s="152" customFormat="1" ht="15" hidden="1" customHeight="1">
      <c r="A200" s="323"/>
      <c r="D200" s="154"/>
    </row>
    <row r="201" spans="1:4" s="152" customFormat="1" ht="15" hidden="1" customHeight="1">
      <c r="A201" s="323"/>
      <c r="D201" s="154"/>
    </row>
    <row r="202" spans="1:4" s="152" customFormat="1" ht="15" hidden="1" customHeight="1">
      <c r="A202" s="323"/>
      <c r="D202" s="154"/>
    </row>
    <row r="203" spans="1:4" s="152" customFormat="1" ht="15" hidden="1" customHeight="1">
      <c r="A203" s="323"/>
      <c r="D203" s="154"/>
    </row>
    <row r="204" spans="1:4" s="152" customFormat="1" ht="15" hidden="1" customHeight="1">
      <c r="A204" s="323"/>
      <c r="D204" s="154"/>
    </row>
    <row r="205" spans="1:4" s="152" customFormat="1" ht="15" hidden="1" customHeight="1">
      <c r="A205" s="323"/>
      <c r="D205" s="154"/>
    </row>
    <row r="206" spans="1:4" s="152" customFormat="1" ht="15" hidden="1" customHeight="1">
      <c r="A206" s="323"/>
      <c r="D206" s="154"/>
    </row>
    <row r="207" spans="1:4" s="152" customFormat="1" ht="15" hidden="1" customHeight="1">
      <c r="A207" s="323"/>
      <c r="D207" s="154"/>
    </row>
    <row r="208" spans="1:4" s="152" customFormat="1" ht="15" hidden="1" customHeight="1">
      <c r="A208" s="323"/>
      <c r="D208" s="154"/>
    </row>
    <row r="209" spans="1:4" s="152" customFormat="1" ht="15" hidden="1" customHeight="1">
      <c r="A209" s="323"/>
      <c r="D209" s="154"/>
    </row>
    <row r="210" spans="1:4" s="152" customFormat="1" ht="15" hidden="1" customHeight="1">
      <c r="A210" s="323"/>
      <c r="D210" s="154"/>
    </row>
    <row r="211" spans="1:4" s="152" customFormat="1" ht="15" hidden="1" customHeight="1">
      <c r="A211" s="323"/>
      <c r="D211" s="154"/>
    </row>
    <row r="212" spans="1:4" s="152" customFormat="1" ht="15" hidden="1" customHeight="1">
      <c r="A212" s="323"/>
      <c r="D212" s="154"/>
    </row>
    <row r="213" spans="1:4" s="152" customFormat="1" ht="15" hidden="1" customHeight="1">
      <c r="A213" s="323"/>
      <c r="D213" s="154"/>
    </row>
    <row r="214" spans="1:4" s="152" customFormat="1" ht="15" hidden="1" customHeight="1">
      <c r="A214" s="323"/>
      <c r="D214" s="154"/>
    </row>
    <row r="215" spans="1:4" s="152" customFormat="1" ht="15" hidden="1" customHeight="1">
      <c r="A215" s="323"/>
      <c r="D215" s="154"/>
    </row>
    <row r="216" spans="1:4" s="152" customFormat="1" ht="15" hidden="1" customHeight="1">
      <c r="A216" s="323"/>
      <c r="D216" s="154"/>
    </row>
    <row r="217" spans="1:4" s="152" customFormat="1" ht="15" hidden="1" customHeight="1">
      <c r="A217" s="323"/>
      <c r="D217" s="154"/>
    </row>
    <row r="218" spans="1:4" s="152" customFormat="1" ht="15" hidden="1" customHeight="1">
      <c r="A218" s="323"/>
      <c r="D218" s="154"/>
    </row>
    <row r="219" spans="1:4" s="152" customFormat="1" ht="15" hidden="1" customHeight="1">
      <c r="A219" s="323"/>
      <c r="D219" s="154"/>
    </row>
    <row r="220" spans="1:4" s="152" customFormat="1" ht="15" hidden="1" customHeight="1">
      <c r="A220" s="323"/>
      <c r="D220" s="154"/>
    </row>
    <row r="221" spans="1:4" s="152" customFormat="1" ht="15" hidden="1" customHeight="1">
      <c r="A221" s="323"/>
      <c r="D221" s="154"/>
    </row>
    <row r="222" spans="1:4" s="152" customFormat="1" ht="15" hidden="1" customHeight="1">
      <c r="A222" s="323"/>
      <c r="D222" s="154"/>
    </row>
    <row r="223" spans="1:4" s="152" customFormat="1" ht="15" hidden="1" customHeight="1">
      <c r="A223" s="323"/>
      <c r="D223" s="154"/>
    </row>
    <row r="224" spans="1:4" s="152" customFormat="1" ht="15" hidden="1" customHeight="1">
      <c r="A224" s="323"/>
      <c r="D224" s="154"/>
    </row>
    <row r="225" spans="1:4" s="152" customFormat="1" ht="15" hidden="1" customHeight="1">
      <c r="A225" s="323"/>
      <c r="D225" s="154"/>
    </row>
    <row r="226" spans="1:4" s="152" customFormat="1" ht="15" hidden="1" customHeight="1">
      <c r="A226" s="323"/>
      <c r="D226" s="154"/>
    </row>
    <row r="227" spans="1:4" s="152" customFormat="1" ht="15" hidden="1" customHeight="1">
      <c r="A227" s="323"/>
      <c r="D227" s="154"/>
    </row>
    <row r="228" spans="1:4" s="152" customFormat="1" ht="15" hidden="1" customHeight="1">
      <c r="A228" s="323"/>
      <c r="D228" s="154"/>
    </row>
    <row r="229" spans="1:4" s="152" customFormat="1" ht="15" hidden="1" customHeight="1">
      <c r="A229" s="323"/>
      <c r="D229" s="154"/>
    </row>
    <row r="230" spans="1:4" s="152" customFormat="1" ht="15" hidden="1" customHeight="1">
      <c r="A230" s="323"/>
      <c r="D230" s="154"/>
    </row>
    <row r="231" spans="1:4" s="152" customFormat="1" ht="15" hidden="1" customHeight="1">
      <c r="A231" s="323"/>
      <c r="D231" s="154"/>
    </row>
    <row r="232" spans="1:4" s="152" customFormat="1" ht="15" hidden="1" customHeight="1">
      <c r="A232" s="323"/>
      <c r="D232" s="154"/>
    </row>
    <row r="233" spans="1:4" s="152" customFormat="1" ht="15" hidden="1" customHeight="1">
      <c r="A233" s="323"/>
      <c r="D233" s="154"/>
    </row>
    <row r="234" spans="1:4" s="152" customFormat="1" ht="15" hidden="1" customHeight="1">
      <c r="A234" s="323"/>
      <c r="D234" s="154"/>
    </row>
    <row r="235" spans="1:4" s="152" customFormat="1" ht="15" hidden="1" customHeight="1">
      <c r="A235" s="323"/>
      <c r="D235" s="154"/>
    </row>
    <row r="236" spans="1:4" s="152" customFormat="1" ht="15" hidden="1" customHeight="1">
      <c r="A236" s="323"/>
      <c r="D236" s="154"/>
    </row>
    <row r="237" spans="1:4" s="152" customFormat="1" ht="15" hidden="1" customHeight="1">
      <c r="A237" s="323"/>
      <c r="D237" s="154"/>
    </row>
    <row r="238" spans="1:4" s="152" customFormat="1" ht="15" hidden="1" customHeight="1">
      <c r="A238" s="323"/>
      <c r="D238" s="154"/>
    </row>
    <row r="239" spans="1:4" s="152" customFormat="1" ht="15" hidden="1" customHeight="1">
      <c r="A239" s="323"/>
      <c r="D239" s="154"/>
    </row>
    <row r="240" spans="1:4" s="152" customFormat="1" ht="15" hidden="1" customHeight="1">
      <c r="A240" s="323"/>
      <c r="D240" s="154"/>
    </row>
    <row r="241" spans="1:4" s="152" customFormat="1" ht="15" hidden="1" customHeight="1">
      <c r="A241" s="323"/>
      <c r="D241" s="154"/>
    </row>
    <row r="242" spans="1:4" s="152" customFormat="1" ht="15" hidden="1" customHeight="1">
      <c r="A242" s="323"/>
      <c r="D242" s="154"/>
    </row>
    <row r="243" spans="1:4" s="152" customFormat="1" ht="15" hidden="1" customHeight="1">
      <c r="A243" s="323"/>
      <c r="D243" s="154"/>
    </row>
    <row r="244" spans="1:4" s="152" customFormat="1" ht="15" hidden="1" customHeight="1">
      <c r="A244" s="323"/>
      <c r="D244" s="154"/>
    </row>
    <row r="245" spans="1:4" s="152" customFormat="1" ht="15" hidden="1" customHeight="1">
      <c r="A245" s="323"/>
      <c r="D245" s="154"/>
    </row>
    <row r="246" spans="1:4" s="152" customFormat="1" ht="15" hidden="1" customHeight="1">
      <c r="A246" s="323"/>
      <c r="D246" s="154"/>
    </row>
    <row r="247" spans="1:4" s="152" customFormat="1" ht="15" hidden="1" customHeight="1">
      <c r="A247" s="323"/>
      <c r="D247" s="154"/>
    </row>
    <row r="248" spans="1:4" s="152" customFormat="1" ht="15" hidden="1" customHeight="1">
      <c r="A248" s="323"/>
      <c r="D248" s="154"/>
    </row>
    <row r="249" spans="1:4" s="152" customFormat="1" ht="15" hidden="1" customHeight="1">
      <c r="A249" s="323"/>
      <c r="D249" s="154"/>
    </row>
    <row r="250" spans="1:4" s="152" customFormat="1" ht="15" hidden="1" customHeight="1">
      <c r="A250" s="323"/>
      <c r="D250" s="154"/>
    </row>
    <row r="251" spans="1:4" s="152" customFormat="1" ht="15" hidden="1" customHeight="1">
      <c r="A251" s="323"/>
      <c r="D251" s="154"/>
    </row>
    <row r="252" spans="1:4" s="152" customFormat="1" ht="15" hidden="1" customHeight="1">
      <c r="A252" s="323"/>
      <c r="D252" s="154"/>
    </row>
    <row r="253" spans="1:4" s="152" customFormat="1" ht="15" hidden="1" customHeight="1">
      <c r="A253" s="323"/>
      <c r="D253" s="154"/>
    </row>
    <row r="254" spans="1:4" s="152" customFormat="1" ht="15" hidden="1" customHeight="1">
      <c r="A254" s="323"/>
      <c r="D254" s="154"/>
    </row>
    <row r="255" spans="1:4" s="152" customFormat="1" ht="15" hidden="1" customHeight="1">
      <c r="A255" s="323"/>
      <c r="D255" s="154"/>
    </row>
    <row r="256" spans="1:4" s="152" customFormat="1" ht="15" hidden="1" customHeight="1">
      <c r="A256" s="323"/>
      <c r="D256" s="154"/>
    </row>
    <row r="257" spans="1:4" s="152" customFormat="1" ht="15" hidden="1" customHeight="1">
      <c r="A257" s="323"/>
      <c r="D257" s="154"/>
    </row>
    <row r="258" spans="1:4" s="152" customFormat="1" ht="15" hidden="1" customHeight="1">
      <c r="A258" s="323"/>
      <c r="D258" s="154"/>
    </row>
    <row r="259" spans="1:4" s="152" customFormat="1" ht="15" hidden="1" customHeight="1">
      <c r="A259" s="323"/>
      <c r="D259" s="154"/>
    </row>
    <row r="260" spans="1:4" s="152" customFormat="1" ht="15" hidden="1" customHeight="1">
      <c r="A260" s="323"/>
      <c r="D260" s="154"/>
    </row>
    <row r="261" spans="1:4" s="152" customFormat="1" ht="15" hidden="1" customHeight="1">
      <c r="A261" s="323"/>
      <c r="D261" s="154"/>
    </row>
    <row r="262" spans="1:4" s="152" customFormat="1" ht="15" hidden="1" customHeight="1">
      <c r="A262" s="323"/>
      <c r="D262" s="154"/>
    </row>
    <row r="263" spans="1:4" s="152" customFormat="1" ht="15" hidden="1" customHeight="1">
      <c r="A263" s="323"/>
      <c r="D263" s="154"/>
    </row>
    <row r="264" spans="1:4" s="152" customFormat="1" ht="15" hidden="1" customHeight="1">
      <c r="A264" s="323"/>
      <c r="D264" s="154"/>
    </row>
    <row r="265" spans="1:4" s="152" customFormat="1" ht="15" hidden="1" customHeight="1">
      <c r="A265" s="323"/>
      <c r="D265" s="154"/>
    </row>
    <row r="266" spans="1:4" s="152" customFormat="1" ht="15" hidden="1" customHeight="1">
      <c r="A266" s="323"/>
      <c r="D266" s="154"/>
    </row>
    <row r="267" spans="1:4" s="152" customFormat="1" ht="15" hidden="1" customHeight="1">
      <c r="A267" s="323"/>
      <c r="D267" s="154"/>
    </row>
    <row r="268" spans="1:4" s="152" customFormat="1" ht="15" hidden="1" customHeight="1">
      <c r="A268" s="323"/>
      <c r="D268" s="154"/>
    </row>
    <row r="269" spans="1:4" s="152" customFormat="1" ht="15" hidden="1" customHeight="1">
      <c r="A269" s="323"/>
      <c r="D269" s="154"/>
    </row>
    <row r="270" spans="1:4" s="152" customFormat="1" ht="15" hidden="1" customHeight="1">
      <c r="A270" s="323"/>
      <c r="D270" s="154"/>
    </row>
    <row r="271" spans="1:4" s="152" customFormat="1" ht="15" hidden="1" customHeight="1">
      <c r="A271" s="323"/>
      <c r="D271" s="154"/>
    </row>
    <row r="272" spans="1:4" s="152" customFormat="1" ht="15" hidden="1" customHeight="1">
      <c r="A272" s="323"/>
      <c r="D272" s="154"/>
    </row>
    <row r="273" spans="1:4" s="152" customFormat="1" ht="15" hidden="1" customHeight="1">
      <c r="A273" s="323"/>
      <c r="D273" s="154"/>
    </row>
    <row r="274" spans="1:4" s="152" customFormat="1" ht="15" hidden="1" customHeight="1">
      <c r="A274" s="323"/>
      <c r="D274" s="154"/>
    </row>
    <row r="275" spans="1:4" s="152" customFormat="1" ht="15" hidden="1" customHeight="1">
      <c r="A275" s="323"/>
      <c r="D275" s="154"/>
    </row>
    <row r="276" spans="1:4" s="152" customFormat="1" ht="15" hidden="1" customHeight="1">
      <c r="A276" s="323"/>
      <c r="D276" s="154"/>
    </row>
    <row r="277" spans="1:4" s="152" customFormat="1" ht="15" hidden="1" customHeight="1">
      <c r="A277" s="323"/>
      <c r="D277" s="154"/>
    </row>
    <row r="278" spans="1:4" s="152" customFormat="1" ht="15" hidden="1" customHeight="1">
      <c r="A278" s="323"/>
      <c r="D278" s="154"/>
    </row>
    <row r="279" spans="1:4" s="152" customFormat="1" ht="15" hidden="1" customHeight="1">
      <c r="A279" s="323"/>
      <c r="D279" s="154"/>
    </row>
    <row r="280" spans="1:4" s="152" customFormat="1" ht="15" hidden="1" customHeight="1">
      <c r="A280" s="323"/>
      <c r="D280" s="154"/>
    </row>
    <row r="281" spans="1:4" s="152" customFormat="1" ht="15" hidden="1" customHeight="1">
      <c r="A281" s="323"/>
      <c r="D281" s="154"/>
    </row>
    <row r="282" spans="1:4" s="152" customFormat="1" ht="15" hidden="1" customHeight="1">
      <c r="A282" s="323"/>
      <c r="D282" s="154"/>
    </row>
    <row r="283" spans="1:4" s="152" customFormat="1" ht="15" hidden="1" customHeight="1">
      <c r="A283" s="323"/>
      <c r="D283" s="154"/>
    </row>
    <row r="284" spans="1:4" s="152" customFormat="1" ht="15" hidden="1" customHeight="1">
      <c r="A284" s="323"/>
      <c r="D284" s="154"/>
    </row>
    <row r="285" spans="1:4" s="152" customFormat="1" ht="15" hidden="1" customHeight="1">
      <c r="A285" s="323"/>
      <c r="D285" s="154"/>
    </row>
    <row r="286" spans="1:4" s="152" customFormat="1" ht="15" hidden="1" customHeight="1">
      <c r="A286" s="323"/>
      <c r="D286" s="154"/>
    </row>
    <row r="287" spans="1:4" s="152" customFormat="1" ht="15" hidden="1" customHeight="1">
      <c r="A287" s="323"/>
      <c r="D287" s="154"/>
    </row>
    <row r="288" spans="1:4" s="152" customFormat="1" ht="15" hidden="1" customHeight="1">
      <c r="A288" s="323"/>
      <c r="D288" s="154"/>
    </row>
    <row r="289" spans="1:4" s="152" customFormat="1" ht="15" hidden="1" customHeight="1">
      <c r="A289" s="323"/>
      <c r="D289" s="154"/>
    </row>
    <row r="290" spans="1:4" s="152" customFormat="1" ht="15" hidden="1" customHeight="1">
      <c r="A290" s="323"/>
      <c r="D290" s="154"/>
    </row>
    <row r="291" spans="1:4" s="152" customFormat="1" ht="15" hidden="1" customHeight="1">
      <c r="A291" s="323"/>
      <c r="D291" s="154"/>
    </row>
    <row r="292" spans="1:4" s="152" customFormat="1" ht="15" hidden="1" customHeight="1">
      <c r="A292" s="323"/>
      <c r="D292" s="154"/>
    </row>
    <row r="293" spans="1:4" s="152" customFormat="1" ht="15" hidden="1" customHeight="1">
      <c r="A293" s="323"/>
      <c r="D293" s="154"/>
    </row>
    <row r="294" spans="1:4" s="152" customFormat="1" ht="15" hidden="1" customHeight="1">
      <c r="A294" s="323"/>
      <c r="D294" s="154"/>
    </row>
    <row r="295" spans="1:4" s="152" customFormat="1" ht="15" hidden="1" customHeight="1">
      <c r="A295" s="323"/>
      <c r="D295" s="154"/>
    </row>
    <row r="296" spans="1:4" s="152" customFormat="1" ht="15" hidden="1" customHeight="1">
      <c r="A296" s="323"/>
      <c r="D296" s="154"/>
    </row>
    <row r="297" spans="1:4" s="152" customFormat="1" ht="15" hidden="1" customHeight="1">
      <c r="A297" s="323"/>
      <c r="D297" s="154"/>
    </row>
    <row r="298" spans="1:4" s="152" customFormat="1" ht="15" hidden="1" customHeight="1">
      <c r="A298" s="323"/>
      <c r="D298" s="154"/>
    </row>
    <row r="299" spans="1:4" s="152" customFormat="1" ht="15" hidden="1" customHeight="1">
      <c r="A299" s="323"/>
      <c r="D299" s="154"/>
    </row>
    <row r="300" spans="1:4" s="152" customFormat="1" ht="15" hidden="1" customHeight="1">
      <c r="A300" s="323"/>
      <c r="D300" s="154"/>
    </row>
    <row r="301" spans="1:4" s="152" customFormat="1" ht="15" hidden="1" customHeight="1">
      <c r="A301" s="323"/>
      <c r="D301" s="154"/>
    </row>
    <row r="302" spans="1:4" s="152" customFormat="1" ht="15" hidden="1" customHeight="1">
      <c r="A302" s="323"/>
      <c r="D302" s="154"/>
    </row>
    <row r="303" spans="1:4" s="152" customFormat="1" ht="15" hidden="1" customHeight="1">
      <c r="A303" s="323"/>
      <c r="D303" s="154"/>
    </row>
    <row r="304" spans="1:4" s="152" customFormat="1" ht="15" hidden="1" customHeight="1">
      <c r="A304" s="323"/>
      <c r="D304" s="154"/>
    </row>
    <row r="305" spans="1:4" s="152" customFormat="1" ht="15" hidden="1" customHeight="1">
      <c r="A305" s="323"/>
      <c r="D305" s="154"/>
    </row>
    <row r="306" spans="1:4" s="152" customFormat="1" ht="15" hidden="1" customHeight="1">
      <c r="A306" s="323"/>
      <c r="D306" s="154"/>
    </row>
    <row r="307" spans="1:4" s="152" customFormat="1" ht="15" hidden="1" customHeight="1">
      <c r="A307" s="323"/>
      <c r="D307" s="154"/>
    </row>
    <row r="308" spans="1:4" s="152" customFormat="1" ht="15" hidden="1" customHeight="1">
      <c r="A308" s="323"/>
      <c r="D308" s="154"/>
    </row>
    <row r="309" spans="1:4" s="152" customFormat="1" ht="15" hidden="1" customHeight="1">
      <c r="A309" s="323"/>
      <c r="D309" s="154"/>
    </row>
    <row r="310" spans="1:4" s="152" customFormat="1" ht="15" hidden="1" customHeight="1">
      <c r="A310" s="323"/>
      <c r="D310" s="154"/>
    </row>
    <row r="311" spans="1:4" s="152" customFormat="1" ht="15" hidden="1" customHeight="1">
      <c r="A311" s="323"/>
      <c r="D311" s="154"/>
    </row>
    <row r="312" spans="1:4" s="152" customFormat="1" ht="15" hidden="1" customHeight="1">
      <c r="A312" s="323"/>
      <c r="D312" s="154"/>
    </row>
    <row r="313" spans="1:4" s="152" customFormat="1" ht="15" hidden="1" customHeight="1">
      <c r="A313" s="323"/>
      <c r="D313" s="154"/>
    </row>
    <row r="314" spans="1:4" s="152" customFormat="1" ht="15" hidden="1" customHeight="1">
      <c r="A314" s="323"/>
      <c r="D314" s="154"/>
    </row>
    <row r="315" spans="1:4" s="152" customFormat="1" ht="15" hidden="1" customHeight="1">
      <c r="A315" s="323"/>
      <c r="D315" s="154"/>
    </row>
    <row r="316" spans="1:4" s="152" customFormat="1" ht="15" hidden="1" customHeight="1">
      <c r="A316" s="323"/>
      <c r="D316" s="154"/>
    </row>
    <row r="317" spans="1:4" s="152" customFormat="1" ht="15" hidden="1" customHeight="1">
      <c r="A317" s="323"/>
      <c r="D317" s="154"/>
    </row>
    <row r="318" spans="1:4" s="152" customFormat="1" ht="15" hidden="1" customHeight="1">
      <c r="A318" s="323"/>
      <c r="D318" s="154"/>
    </row>
    <row r="319" spans="1:4" s="152" customFormat="1" ht="15" hidden="1" customHeight="1">
      <c r="A319" s="323"/>
      <c r="D319" s="154"/>
    </row>
    <row r="320" spans="1:4" s="152" customFormat="1" ht="15" hidden="1" customHeight="1">
      <c r="A320" s="323"/>
      <c r="D320" s="154"/>
    </row>
    <row r="321" spans="1:4" s="152" customFormat="1" ht="15" hidden="1" customHeight="1">
      <c r="A321" s="323"/>
      <c r="D321" s="154"/>
    </row>
    <row r="322" spans="1:4" s="152" customFormat="1" ht="15" hidden="1" customHeight="1">
      <c r="A322" s="323"/>
      <c r="D322" s="154"/>
    </row>
    <row r="323" spans="1:4" s="152" customFormat="1" ht="15" hidden="1" customHeight="1">
      <c r="A323" s="323"/>
      <c r="D323" s="154"/>
    </row>
    <row r="324" spans="1:4" s="152" customFormat="1" ht="15" hidden="1" customHeight="1">
      <c r="A324" s="323"/>
      <c r="D324" s="154"/>
    </row>
    <row r="325" spans="1:4" s="152" customFormat="1" ht="15" hidden="1" customHeight="1">
      <c r="A325" s="323"/>
      <c r="D325" s="154"/>
    </row>
    <row r="326" spans="1:4" s="152" customFormat="1" ht="15" hidden="1" customHeight="1">
      <c r="A326" s="323"/>
      <c r="D326" s="154"/>
    </row>
    <row r="327" spans="1:4" s="152" customFormat="1" ht="15" hidden="1" customHeight="1">
      <c r="A327" s="323"/>
      <c r="D327" s="154"/>
    </row>
    <row r="328" spans="1:4" s="152" customFormat="1" ht="15" hidden="1" customHeight="1">
      <c r="A328" s="323"/>
      <c r="D328" s="154"/>
    </row>
    <row r="329" spans="1:4" s="152" customFormat="1" ht="15" hidden="1" customHeight="1">
      <c r="A329" s="323"/>
      <c r="D329" s="154"/>
    </row>
    <row r="330" spans="1:4" s="152" customFormat="1" ht="15" hidden="1" customHeight="1">
      <c r="A330" s="323"/>
      <c r="D330" s="154"/>
    </row>
    <row r="331" spans="1:4" s="152" customFormat="1" ht="15" hidden="1" customHeight="1">
      <c r="A331" s="323"/>
      <c r="D331" s="154"/>
    </row>
    <row r="332" spans="1:4" s="152" customFormat="1" ht="15" hidden="1" customHeight="1">
      <c r="A332" s="323"/>
      <c r="D332" s="154"/>
    </row>
    <row r="333" spans="1:4" s="152" customFormat="1" ht="15" hidden="1" customHeight="1">
      <c r="A333" s="323"/>
      <c r="D333" s="154"/>
    </row>
    <row r="334" spans="1:4" s="152" customFormat="1" ht="15" hidden="1" customHeight="1">
      <c r="A334" s="323"/>
      <c r="D334" s="154"/>
    </row>
    <row r="335" spans="1:4" s="152" customFormat="1" ht="15" hidden="1" customHeight="1">
      <c r="A335" s="323"/>
      <c r="D335" s="154"/>
    </row>
    <row r="336" spans="1:4" s="152" customFormat="1" ht="15" hidden="1" customHeight="1">
      <c r="A336" s="323"/>
      <c r="D336" s="154"/>
    </row>
    <row r="337" spans="1:4" s="152" customFormat="1" ht="15" hidden="1" customHeight="1">
      <c r="A337" s="323"/>
      <c r="D337" s="154"/>
    </row>
    <row r="338" spans="1:4" s="152" customFormat="1" ht="15" hidden="1" customHeight="1">
      <c r="A338" s="323"/>
      <c r="D338" s="154"/>
    </row>
    <row r="339" spans="1:4" s="152" customFormat="1" ht="15" hidden="1" customHeight="1">
      <c r="A339" s="323"/>
      <c r="D339" s="154"/>
    </row>
    <row r="340" spans="1:4" s="152" customFormat="1" ht="15" hidden="1" customHeight="1">
      <c r="A340" s="323"/>
      <c r="D340" s="154"/>
    </row>
    <row r="341" spans="1:4" s="152" customFormat="1" ht="15" hidden="1" customHeight="1">
      <c r="A341" s="323"/>
      <c r="D341" s="154"/>
    </row>
    <row r="342" spans="1:4" s="152" customFormat="1" ht="15" hidden="1" customHeight="1">
      <c r="A342" s="323"/>
      <c r="D342" s="154"/>
    </row>
    <row r="343" spans="1:4" s="152" customFormat="1" ht="15" hidden="1" customHeight="1">
      <c r="A343" s="323"/>
      <c r="D343" s="154"/>
    </row>
    <row r="344" spans="1:4" s="152" customFormat="1" ht="15" hidden="1" customHeight="1">
      <c r="A344" s="323"/>
      <c r="D344" s="154"/>
    </row>
    <row r="345" spans="1:4" s="152" customFormat="1" ht="15" hidden="1" customHeight="1">
      <c r="A345" s="323"/>
      <c r="D345" s="154"/>
    </row>
    <row r="346" spans="1:4" s="152" customFormat="1" ht="15" hidden="1" customHeight="1">
      <c r="A346" s="323"/>
      <c r="D346" s="154"/>
    </row>
    <row r="347" spans="1:4" s="152" customFormat="1" ht="15" hidden="1" customHeight="1">
      <c r="A347" s="323"/>
      <c r="D347" s="154"/>
    </row>
    <row r="348" spans="1:4" s="152" customFormat="1" ht="15" hidden="1" customHeight="1">
      <c r="A348" s="323"/>
      <c r="D348" s="154"/>
    </row>
    <row r="349" spans="1:4" s="152" customFormat="1" ht="15" hidden="1" customHeight="1">
      <c r="A349" s="323"/>
      <c r="D349" s="154"/>
    </row>
    <row r="350" spans="1:4" s="152" customFormat="1" ht="15" hidden="1" customHeight="1">
      <c r="A350" s="323"/>
      <c r="D350" s="154"/>
    </row>
    <row r="351" spans="1:4" s="152" customFormat="1" ht="15" hidden="1" customHeight="1">
      <c r="A351" s="323"/>
      <c r="D351" s="154"/>
    </row>
    <row r="352" spans="1:4" s="152" customFormat="1" ht="15" hidden="1" customHeight="1">
      <c r="A352" s="323"/>
      <c r="D352" s="154"/>
    </row>
    <row r="353" spans="1:4" s="152" customFormat="1" ht="15" hidden="1" customHeight="1">
      <c r="A353" s="323"/>
      <c r="D353" s="154"/>
    </row>
    <row r="354" spans="1:4" s="152" customFormat="1" ht="15" hidden="1" customHeight="1">
      <c r="A354" s="323"/>
      <c r="D354" s="154"/>
    </row>
    <row r="355" spans="1:4" s="152" customFormat="1" ht="15" hidden="1" customHeight="1">
      <c r="A355" s="323"/>
      <c r="D355" s="154"/>
    </row>
    <row r="356" spans="1:4" s="152" customFormat="1" ht="15" hidden="1" customHeight="1">
      <c r="A356" s="323"/>
      <c r="D356" s="154"/>
    </row>
    <row r="357" spans="1:4" s="152" customFormat="1" ht="15" hidden="1" customHeight="1">
      <c r="A357" s="323"/>
      <c r="D357" s="154"/>
    </row>
    <row r="358" spans="1:4" s="152" customFormat="1" ht="15" hidden="1" customHeight="1">
      <c r="A358" s="323"/>
      <c r="D358" s="154"/>
    </row>
    <row r="359" spans="1:4" s="152" customFormat="1" ht="15" hidden="1" customHeight="1">
      <c r="A359" s="323"/>
      <c r="D359" s="154"/>
    </row>
    <row r="360" spans="1:4" s="152" customFormat="1" ht="15" hidden="1" customHeight="1">
      <c r="A360" s="323"/>
      <c r="D360" s="154"/>
    </row>
    <row r="361" spans="1:4" s="152" customFormat="1" ht="15" hidden="1" customHeight="1">
      <c r="A361" s="323"/>
      <c r="D361" s="154"/>
    </row>
    <row r="362" spans="1:4" s="152" customFormat="1" ht="15" hidden="1" customHeight="1">
      <c r="A362" s="323"/>
      <c r="D362" s="154"/>
    </row>
    <row r="363" spans="1:4" s="152" customFormat="1" ht="15" hidden="1" customHeight="1">
      <c r="A363" s="323"/>
      <c r="D363" s="154"/>
    </row>
    <row r="364" spans="1:4" s="152" customFormat="1" ht="15" hidden="1" customHeight="1">
      <c r="A364" s="323"/>
      <c r="D364" s="154"/>
    </row>
    <row r="365" spans="1:4" s="152" customFormat="1" ht="15" hidden="1" customHeight="1">
      <c r="A365" s="323"/>
      <c r="D365" s="154"/>
    </row>
    <row r="366" spans="1:4" s="152" customFormat="1" ht="15" hidden="1" customHeight="1">
      <c r="A366" s="323"/>
      <c r="D366" s="154"/>
    </row>
    <row r="367" spans="1:4" s="152" customFormat="1" ht="15" hidden="1" customHeight="1">
      <c r="A367" s="323"/>
      <c r="D367" s="154"/>
    </row>
    <row r="368" spans="1:4" s="152" customFormat="1" ht="15" hidden="1" customHeight="1">
      <c r="A368" s="323"/>
      <c r="D368" s="154"/>
    </row>
    <row r="369" spans="1:4" s="152" customFormat="1" ht="15" hidden="1" customHeight="1">
      <c r="A369" s="323"/>
      <c r="D369" s="154"/>
    </row>
    <row r="370" spans="1:4" s="152" customFormat="1" ht="15" hidden="1" customHeight="1">
      <c r="A370" s="323"/>
      <c r="D370" s="154"/>
    </row>
    <row r="371" spans="1:4" s="152" customFormat="1" ht="15" hidden="1" customHeight="1">
      <c r="A371" s="323"/>
      <c r="D371" s="154"/>
    </row>
    <row r="372" spans="1:4" s="152" customFormat="1" ht="15" hidden="1" customHeight="1">
      <c r="A372" s="323"/>
      <c r="D372" s="154"/>
    </row>
    <row r="373" spans="1:4" s="152" customFormat="1" ht="15" hidden="1" customHeight="1">
      <c r="A373" s="323"/>
      <c r="D373" s="154"/>
    </row>
    <row r="374" spans="1:4" s="152" customFormat="1" ht="15" hidden="1" customHeight="1">
      <c r="A374" s="323"/>
      <c r="D374" s="154"/>
    </row>
    <row r="375" spans="1:4" s="152" customFormat="1" ht="15" hidden="1" customHeight="1">
      <c r="A375" s="323"/>
      <c r="D375" s="154"/>
    </row>
    <row r="376" spans="1:4" s="152" customFormat="1" ht="15" hidden="1" customHeight="1">
      <c r="A376" s="323"/>
      <c r="D376" s="154"/>
    </row>
    <row r="377" spans="1:4" s="152" customFormat="1" ht="15" hidden="1" customHeight="1">
      <c r="A377" s="323"/>
      <c r="D377" s="154"/>
    </row>
    <row r="378" spans="1:4" s="152" customFormat="1" ht="15" hidden="1" customHeight="1">
      <c r="A378" s="323"/>
      <c r="D378" s="154"/>
    </row>
    <row r="379" spans="1:4" s="152" customFormat="1" ht="15" hidden="1" customHeight="1">
      <c r="A379" s="323"/>
      <c r="D379" s="154"/>
    </row>
    <row r="380" spans="1:4" s="152" customFormat="1" ht="15" hidden="1" customHeight="1">
      <c r="A380" s="323"/>
      <c r="D380" s="154"/>
    </row>
    <row r="381" spans="1:4" s="152" customFormat="1" ht="15" hidden="1" customHeight="1">
      <c r="A381" s="323"/>
      <c r="D381" s="154"/>
    </row>
    <row r="382" spans="1:4" s="152" customFormat="1" ht="15" hidden="1" customHeight="1">
      <c r="A382" s="323"/>
      <c r="D382" s="154"/>
    </row>
    <row r="383" spans="1:4" s="152" customFormat="1" ht="15" hidden="1" customHeight="1">
      <c r="A383" s="323"/>
      <c r="D383" s="154"/>
    </row>
    <row r="384" spans="1:4" s="152" customFormat="1" ht="15" hidden="1" customHeight="1">
      <c r="A384" s="323"/>
      <c r="D384" s="154"/>
    </row>
    <row r="385" spans="1:4" s="152" customFormat="1" ht="15" hidden="1" customHeight="1">
      <c r="A385" s="323"/>
      <c r="D385" s="154"/>
    </row>
    <row r="386" spans="1:4" s="152" customFormat="1" ht="15" hidden="1" customHeight="1">
      <c r="A386" s="323"/>
      <c r="D386" s="154"/>
    </row>
    <row r="387" spans="1:4" s="152" customFormat="1" ht="15" hidden="1" customHeight="1">
      <c r="A387" s="323"/>
      <c r="D387" s="154"/>
    </row>
    <row r="388" spans="1:4" s="152" customFormat="1" ht="15" hidden="1" customHeight="1">
      <c r="A388" s="323"/>
      <c r="D388" s="154"/>
    </row>
    <row r="389" spans="1:4" s="152" customFormat="1" ht="15" hidden="1" customHeight="1">
      <c r="A389" s="323"/>
      <c r="D389" s="154"/>
    </row>
    <row r="390" spans="1:4" s="152" customFormat="1" ht="15" hidden="1" customHeight="1">
      <c r="A390" s="323"/>
      <c r="D390" s="154"/>
    </row>
    <row r="391" spans="1:4" s="152" customFormat="1" ht="15" hidden="1" customHeight="1">
      <c r="A391" s="323"/>
      <c r="D391" s="154"/>
    </row>
    <row r="392" spans="1:4" s="152" customFormat="1" ht="15" hidden="1" customHeight="1">
      <c r="A392" s="323"/>
      <c r="D392" s="154"/>
    </row>
    <row r="393" spans="1:4" s="152" customFormat="1" ht="15" hidden="1" customHeight="1">
      <c r="A393" s="323"/>
      <c r="D393" s="154"/>
    </row>
    <row r="394" spans="1:4" s="152" customFormat="1" ht="15" hidden="1" customHeight="1">
      <c r="A394" s="323"/>
      <c r="D394" s="154"/>
    </row>
    <row r="395" spans="1:4" s="152" customFormat="1" ht="15" hidden="1" customHeight="1">
      <c r="A395" s="323"/>
      <c r="D395" s="154"/>
    </row>
    <row r="396" spans="1:4" s="152" customFormat="1" ht="15" hidden="1" customHeight="1">
      <c r="A396" s="323"/>
      <c r="D396" s="154"/>
    </row>
    <row r="397" spans="1:4" s="152" customFormat="1" ht="15" hidden="1" customHeight="1">
      <c r="A397" s="323"/>
      <c r="D397" s="154"/>
    </row>
    <row r="398" spans="1:4" s="152" customFormat="1" ht="15" hidden="1" customHeight="1">
      <c r="A398" s="323"/>
      <c r="D398" s="154"/>
    </row>
    <row r="399" spans="1:4" s="152" customFormat="1" ht="15" hidden="1" customHeight="1">
      <c r="A399" s="323"/>
      <c r="D399" s="154"/>
    </row>
    <row r="400" spans="1:4" s="152" customFormat="1" ht="15" hidden="1" customHeight="1">
      <c r="A400" s="323"/>
      <c r="D400" s="154"/>
    </row>
    <row r="401" spans="1:4" s="152" customFormat="1" ht="15" hidden="1" customHeight="1">
      <c r="A401" s="323"/>
      <c r="D401" s="154"/>
    </row>
    <row r="402" spans="1:4" s="152" customFormat="1" ht="15" hidden="1" customHeight="1">
      <c r="A402" s="323"/>
      <c r="D402" s="154"/>
    </row>
    <row r="403" spans="1:4" s="152" customFormat="1" ht="15" hidden="1" customHeight="1">
      <c r="A403" s="323"/>
      <c r="D403" s="154"/>
    </row>
    <row r="404" spans="1:4" s="152" customFormat="1" ht="15" hidden="1" customHeight="1">
      <c r="A404" s="323"/>
      <c r="D404" s="154"/>
    </row>
    <row r="405" spans="1:4" s="152" customFormat="1" ht="15" hidden="1" customHeight="1">
      <c r="A405" s="323"/>
      <c r="D405" s="154"/>
    </row>
    <row r="406" spans="1:4" s="152" customFormat="1" ht="15" hidden="1" customHeight="1">
      <c r="A406" s="323"/>
      <c r="D406" s="154"/>
    </row>
    <row r="407" spans="1:4" s="152" customFormat="1" ht="15" hidden="1" customHeight="1">
      <c r="A407" s="323"/>
      <c r="D407" s="154"/>
    </row>
    <row r="408" spans="1:4" s="152" customFormat="1" ht="15" hidden="1" customHeight="1">
      <c r="A408" s="323"/>
      <c r="D408" s="154"/>
    </row>
    <row r="409" spans="1:4" s="152" customFormat="1" ht="15" hidden="1" customHeight="1">
      <c r="A409" s="323"/>
      <c r="D409" s="154"/>
    </row>
    <row r="410" spans="1:4" s="152" customFormat="1" ht="15" hidden="1" customHeight="1">
      <c r="A410" s="323"/>
      <c r="D410" s="154"/>
    </row>
    <row r="411" spans="1:4" s="152" customFormat="1" ht="15" hidden="1" customHeight="1">
      <c r="A411" s="323"/>
      <c r="D411" s="154"/>
    </row>
    <row r="412" spans="1:4" s="152" customFormat="1" ht="15" hidden="1" customHeight="1">
      <c r="A412" s="323"/>
      <c r="D412" s="154"/>
    </row>
    <row r="413" spans="1:4" s="152" customFormat="1" ht="15" hidden="1" customHeight="1">
      <c r="A413" s="323"/>
      <c r="D413" s="154"/>
    </row>
    <row r="414" spans="1:4" s="152" customFormat="1" ht="15" hidden="1" customHeight="1">
      <c r="A414" s="323"/>
      <c r="D414" s="154"/>
    </row>
    <row r="415" spans="1:4" s="152" customFormat="1" ht="15" hidden="1" customHeight="1">
      <c r="A415" s="323"/>
      <c r="D415" s="154"/>
    </row>
    <row r="416" spans="1:4" s="152" customFormat="1" ht="15" hidden="1" customHeight="1">
      <c r="A416" s="323"/>
      <c r="D416" s="154"/>
    </row>
    <row r="417" spans="1:4" s="152" customFormat="1" ht="15" hidden="1" customHeight="1">
      <c r="A417" s="323"/>
      <c r="D417" s="154"/>
    </row>
    <row r="418" spans="1:4" s="152" customFormat="1" ht="15" hidden="1" customHeight="1">
      <c r="A418" s="323"/>
      <c r="D418" s="154"/>
    </row>
    <row r="419" spans="1:4" s="152" customFormat="1" ht="15" hidden="1" customHeight="1">
      <c r="A419" s="323"/>
      <c r="D419" s="154"/>
    </row>
    <row r="420" spans="1:4" s="152" customFormat="1" ht="15" hidden="1" customHeight="1">
      <c r="A420" s="323"/>
      <c r="D420" s="154"/>
    </row>
    <row r="421" spans="1:4" s="152" customFormat="1" ht="15" hidden="1" customHeight="1">
      <c r="A421" s="323"/>
      <c r="D421" s="154"/>
    </row>
    <row r="422" spans="1:4" s="152" customFormat="1" ht="15" hidden="1" customHeight="1">
      <c r="A422" s="323"/>
      <c r="D422" s="154"/>
    </row>
    <row r="423" spans="1:4" s="152" customFormat="1" ht="15" hidden="1" customHeight="1">
      <c r="A423" s="323"/>
      <c r="D423" s="154"/>
    </row>
    <row r="424" spans="1:4" s="152" customFormat="1" ht="15" hidden="1" customHeight="1">
      <c r="A424" s="323"/>
      <c r="D424" s="154"/>
    </row>
    <row r="425" spans="1:4" s="152" customFormat="1" ht="15" hidden="1" customHeight="1">
      <c r="A425" s="323"/>
      <c r="D425" s="154"/>
    </row>
    <row r="426" spans="1:4" s="152" customFormat="1" ht="15" hidden="1" customHeight="1">
      <c r="A426" s="323"/>
      <c r="D426" s="154"/>
    </row>
    <row r="427" spans="1:4" s="152" customFormat="1" ht="15" hidden="1" customHeight="1">
      <c r="A427" s="323"/>
      <c r="D427" s="154"/>
    </row>
    <row r="428" spans="1:4" s="152" customFormat="1" ht="15" hidden="1" customHeight="1">
      <c r="A428" s="323"/>
      <c r="D428" s="154"/>
    </row>
    <row r="429" spans="1:4" s="152" customFormat="1" ht="15" hidden="1" customHeight="1">
      <c r="A429" s="323"/>
      <c r="D429" s="154"/>
    </row>
    <row r="430" spans="1:4" s="152" customFormat="1" ht="15" hidden="1" customHeight="1">
      <c r="A430" s="323"/>
      <c r="D430" s="154"/>
    </row>
    <row r="431" spans="1:4" s="152" customFormat="1" ht="15" hidden="1" customHeight="1">
      <c r="A431" s="323"/>
      <c r="D431" s="154"/>
    </row>
    <row r="432" spans="1:4" s="152" customFormat="1" ht="15" hidden="1" customHeight="1">
      <c r="A432" s="323"/>
      <c r="D432" s="154"/>
    </row>
    <row r="433" spans="1:4" s="152" customFormat="1" ht="15" hidden="1" customHeight="1">
      <c r="A433" s="323"/>
      <c r="D433" s="154"/>
    </row>
    <row r="434" spans="1:4" s="152" customFormat="1" ht="15" hidden="1" customHeight="1">
      <c r="A434" s="323"/>
      <c r="D434" s="154"/>
    </row>
    <row r="435" spans="1:4" s="152" customFormat="1" ht="15" hidden="1" customHeight="1">
      <c r="A435" s="323"/>
      <c r="D435" s="154"/>
    </row>
    <row r="436" spans="1:4" s="152" customFormat="1" ht="15" hidden="1" customHeight="1">
      <c r="A436" s="323"/>
      <c r="D436" s="154"/>
    </row>
    <row r="437" spans="1:4" s="152" customFormat="1" ht="15" hidden="1" customHeight="1">
      <c r="A437" s="323"/>
      <c r="D437" s="154"/>
    </row>
    <row r="438" spans="1:4" s="152" customFormat="1" ht="15" hidden="1" customHeight="1">
      <c r="A438" s="323"/>
      <c r="D438" s="154"/>
    </row>
    <row r="439" spans="1:4" s="152" customFormat="1" ht="15" hidden="1" customHeight="1">
      <c r="A439" s="323"/>
      <c r="D439" s="154"/>
    </row>
    <row r="440" spans="1:4" s="152" customFormat="1" ht="15" hidden="1" customHeight="1">
      <c r="A440" s="323"/>
      <c r="D440" s="154"/>
    </row>
    <row r="441" spans="1:4" s="152" customFormat="1" ht="15" hidden="1" customHeight="1">
      <c r="A441" s="323"/>
      <c r="D441" s="154"/>
    </row>
    <row r="442" spans="1:4" s="152" customFormat="1" ht="15" hidden="1" customHeight="1">
      <c r="A442" s="323"/>
      <c r="D442" s="154"/>
    </row>
    <row r="443" spans="1:4" s="152" customFormat="1" ht="15" hidden="1" customHeight="1">
      <c r="A443" s="323"/>
      <c r="D443" s="154"/>
    </row>
    <row r="444" spans="1:4" s="152" customFormat="1" ht="15" hidden="1" customHeight="1">
      <c r="A444" s="323"/>
      <c r="D444" s="154"/>
    </row>
    <row r="445" spans="1:4" s="152" customFormat="1" ht="15" hidden="1" customHeight="1">
      <c r="A445" s="323"/>
      <c r="D445" s="154"/>
    </row>
    <row r="446" spans="1:4" s="152" customFormat="1" ht="15" hidden="1" customHeight="1">
      <c r="A446" s="323"/>
      <c r="D446" s="154"/>
    </row>
    <row r="447" spans="1:4" s="152" customFormat="1" ht="15" hidden="1" customHeight="1">
      <c r="A447" s="323"/>
      <c r="D447" s="154"/>
    </row>
    <row r="448" spans="1:4" s="152" customFormat="1" ht="15" hidden="1" customHeight="1">
      <c r="A448" s="323"/>
      <c r="D448" s="154"/>
    </row>
    <row r="449" spans="1:4" s="152" customFormat="1" ht="15" hidden="1" customHeight="1">
      <c r="A449" s="323"/>
      <c r="D449" s="154"/>
    </row>
    <row r="450" spans="1:4" s="152" customFormat="1" ht="15" hidden="1" customHeight="1">
      <c r="A450" s="323"/>
      <c r="D450" s="154"/>
    </row>
    <row r="451" spans="1:4" s="152" customFormat="1" ht="15" hidden="1" customHeight="1">
      <c r="A451" s="323"/>
      <c r="D451" s="154"/>
    </row>
    <row r="452" spans="1:4" s="152" customFormat="1" ht="15" hidden="1" customHeight="1">
      <c r="A452" s="323"/>
      <c r="D452" s="154"/>
    </row>
    <row r="453" spans="1:4" s="152" customFormat="1" ht="15" hidden="1" customHeight="1">
      <c r="A453" s="323"/>
      <c r="D453" s="154"/>
    </row>
    <row r="454" spans="1:4" s="152" customFormat="1" ht="15" hidden="1" customHeight="1">
      <c r="A454" s="323"/>
      <c r="D454" s="154"/>
    </row>
    <row r="455" spans="1:4" s="152" customFormat="1" ht="15" hidden="1" customHeight="1">
      <c r="A455" s="323"/>
      <c r="D455" s="154"/>
    </row>
    <row r="456" spans="1:4" s="152" customFormat="1" ht="15" hidden="1" customHeight="1">
      <c r="A456" s="323"/>
      <c r="D456" s="154"/>
    </row>
    <row r="457" spans="1:4" s="152" customFormat="1" ht="15" hidden="1" customHeight="1">
      <c r="A457" s="323"/>
      <c r="D457" s="154"/>
    </row>
    <row r="458" spans="1:4" s="152" customFormat="1" ht="15" hidden="1" customHeight="1">
      <c r="A458" s="323"/>
      <c r="D458" s="154"/>
    </row>
    <row r="459" spans="1:4" s="152" customFormat="1" ht="15" hidden="1" customHeight="1">
      <c r="A459" s="323"/>
      <c r="D459" s="154"/>
    </row>
    <row r="460" spans="1:4" s="152" customFormat="1" ht="15" hidden="1" customHeight="1">
      <c r="A460" s="323"/>
      <c r="D460" s="154"/>
    </row>
    <row r="461" spans="1:4" s="152" customFormat="1" ht="15" hidden="1" customHeight="1">
      <c r="A461" s="323"/>
      <c r="D461" s="154"/>
    </row>
    <row r="462" spans="1:4" s="152" customFormat="1" ht="15" hidden="1" customHeight="1">
      <c r="A462" s="323"/>
      <c r="D462" s="154"/>
    </row>
    <row r="463" spans="1:4" s="152" customFormat="1" ht="15" hidden="1" customHeight="1">
      <c r="A463" s="323"/>
      <c r="D463" s="154"/>
    </row>
    <row r="464" spans="1:4" s="152" customFormat="1" ht="15" hidden="1" customHeight="1">
      <c r="A464" s="323"/>
      <c r="D464" s="154"/>
    </row>
    <row r="465" spans="1:4" s="152" customFormat="1" ht="15" hidden="1" customHeight="1">
      <c r="A465" s="323"/>
      <c r="D465" s="154"/>
    </row>
    <row r="466" spans="1:4" s="152" customFormat="1" ht="15" hidden="1" customHeight="1">
      <c r="A466" s="323"/>
      <c r="D466" s="154"/>
    </row>
    <row r="467" spans="1:4" s="152" customFormat="1" ht="15" hidden="1" customHeight="1">
      <c r="A467" s="323"/>
      <c r="D467" s="154"/>
    </row>
    <row r="468" spans="1:4" s="152" customFormat="1" ht="15" hidden="1" customHeight="1">
      <c r="A468" s="323"/>
      <c r="D468" s="154"/>
    </row>
    <row r="469" spans="1:4" s="152" customFormat="1" ht="15" hidden="1" customHeight="1">
      <c r="A469" s="323"/>
      <c r="D469" s="154"/>
    </row>
    <row r="470" spans="1:4" s="152" customFormat="1" ht="15" hidden="1" customHeight="1">
      <c r="A470" s="323"/>
      <c r="D470" s="154"/>
    </row>
    <row r="471" spans="1:4" s="152" customFormat="1" ht="15" hidden="1" customHeight="1">
      <c r="A471" s="323"/>
      <c r="D471" s="154"/>
    </row>
    <row r="472" spans="1:4" s="152" customFormat="1" ht="15" hidden="1" customHeight="1">
      <c r="A472" s="323"/>
      <c r="D472" s="154"/>
    </row>
    <row r="473" spans="1:4" s="152" customFormat="1" ht="15" hidden="1" customHeight="1">
      <c r="A473" s="323"/>
      <c r="D473" s="154"/>
    </row>
    <row r="474" spans="1:4" s="152" customFormat="1" ht="15" hidden="1" customHeight="1">
      <c r="A474" s="323"/>
      <c r="D474" s="154"/>
    </row>
    <row r="475" spans="1:4" s="152" customFormat="1" ht="15" hidden="1" customHeight="1">
      <c r="A475" s="323"/>
      <c r="D475" s="154"/>
    </row>
    <row r="476" spans="1:4" s="152" customFormat="1" ht="15" hidden="1" customHeight="1">
      <c r="A476" s="323"/>
      <c r="D476" s="154"/>
    </row>
    <row r="477" spans="1:4" s="152" customFormat="1" ht="15" hidden="1" customHeight="1">
      <c r="A477" s="323"/>
      <c r="D477" s="154"/>
    </row>
    <row r="478" spans="1:4" s="152" customFormat="1" ht="15" hidden="1" customHeight="1">
      <c r="A478" s="323"/>
      <c r="D478" s="154"/>
    </row>
    <row r="479" spans="1:4" s="152" customFormat="1" ht="15" hidden="1" customHeight="1">
      <c r="A479" s="323"/>
      <c r="D479" s="154"/>
    </row>
    <row r="480" spans="1:4" s="152" customFormat="1" ht="15" hidden="1" customHeight="1">
      <c r="A480" s="323"/>
      <c r="D480" s="154"/>
    </row>
    <row r="481" spans="1:4" s="152" customFormat="1" ht="15" hidden="1" customHeight="1">
      <c r="A481" s="323"/>
      <c r="D481" s="154"/>
    </row>
    <row r="482" spans="1:4" s="152" customFormat="1" ht="15" hidden="1" customHeight="1">
      <c r="A482" s="323"/>
      <c r="D482" s="154"/>
    </row>
    <row r="483" spans="1:4" s="152" customFormat="1" ht="15" hidden="1" customHeight="1">
      <c r="A483" s="323"/>
      <c r="D483" s="154"/>
    </row>
    <row r="484" spans="1:4" s="152" customFormat="1" ht="15" hidden="1" customHeight="1">
      <c r="A484" s="323"/>
      <c r="D484" s="154"/>
    </row>
    <row r="485" spans="1:4" s="152" customFormat="1" ht="15" hidden="1" customHeight="1">
      <c r="A485" s="323"/>
      <c r="D485" s="154"/>
    </row>
    <row r="486" spans="1:4" s="152" customFormat="1" ht="15" hidden="1" customHeight="1">
      <c r="A486" s="323"/>
      <c r="D486" s="154"/>
    </row>
    <row r="487" spans="1:4" s="152" customFormat="1" ht="15" hidden="1" customHeight="1">
      <c r="A487" s="323"/>
      <c r="D487" s="154"/>
    </row>
    <row r="488" spans="1:4" s="152" customFormat="1" ht="15" hidden="1" customHeight="1">
      <c r="A488" s="323"/>
      <c r="D488" s="154"/>
    </row>
    <row r="489" spans="1:4" s="152" customFormat="1" ht="15" hidden="1" customHeight="1">
      <c r="A489" s="323"/>
      <c r="D489" s="154"/>
    </row>
    <row r="490" spans="1:4" s="152" customFormat="1" ht="15" hidden="1" customHeight="1">
      <c r="A490" s="323"/>
      <c r="D490" s="154"/>
    </row>
    <row r="491" spans="1:4" s="152" customFormat="1" ht="15" hidden="1" customHeight="1">
      <c r="A491" s="323"/>
      <c r="D491" s="154"/>
    </row>
    <row r="492" spans="1:4" s="152" customFormat="1" ht="15" hidden="1" customHeight="1">
      <c r="A492" s="323"/>
      <c r="D492" s="154"/>
    </row>
    <row r="493" spans="1:4" s="152" customFormat="1" ht="15" hidden="1" customHeight="1">
      <c r="A493" s="323"/>
      <c r="D493" s="154"/>
    </row>
    <row r="494" spans="1:4" s="152" customFormat="1" ht="15" hidden="1" customHeight="1">
      <c r="A494" s="323"/>
      <c r="D494" s="154"/>
    </row>
    <row r="495" spans="1:4" s="152" customFormat="1" ht="15" hidden="1" customHeight="1">
      <c r="A495" s="323"/>
      <c r="D495" s="154"/>
    </row>
    <row r="496" spans="1:4" s="152" customFormat="1" ht="15" hidden="1" customHeight="1">
      <c r="A496" s="323"/>
      <c r="D496" s="154"/>
    </row>
    <row r="497" spans="1:4" s="152" customFormat="1" ht="15" hidden="1" customHeight="1">
      <c r="A497" s="323"/>
      <c r="D497" s="154"/>
    </row>
    <row r="498" spans="1:4" s="152" customFormat="1" ht="15" hidden="1" customHeight="1">
      <c r="A498" s="323"/>
      <c r="D498" s="154"/>
    </row>
    <row r="499" spans="1:4" s="152" customFormat="1" ht="15" hidden="1" customHeight="1">
      <c r="A499" s="323"/>
      <c r="D499" s="154"/>
    </row>
    <row r="500" spans="1:4" s="152" customFormat="1" ht="15" hidden="1" customHeight="1">
      <c r="A500" s="323"/>
      <c r="D500" s="154"/>
    </row>
    <row r="501" spans="1:4" s="152" customFormat="1" ht="15" hidden="1" customHeight="1">
      <c r="A501" s="323"/>
      <c r="D501" s="154"/>
    </row>
    <row r="502" spans="1:4" s="152" customFormat="1" ht="15" hidden="1" customHeight="1">
      <c r="A502" s="323"/>
      <c r="D502" s="154"/>
    </row>
    <row r="503" spans="1:4" s="152" customFormat="1" ht="15" hidden="1" customHeight="1">
      <c r="A503" s="323"/>
      <c r="D503" s="154"/>
    </row>
    <row r="504" spans="1:4" s="152" customFormat="1" ht="15" hidden="1" customHeight="1">
      <c r="A504" s="323"/>
      <c r="D504" s="154"/>
    </row>
    <row r="505" spans="1:4" s="152" customFormat="1" ht="15" hidden="1" customHeight="1">
      <c r="A505" s="323"/>
      <c r="D505" s="154"/>
    </row>
    <row r="506" spans="1:4" s="152" customFormat="1" ht="15" hidden="1" customHeight="1">
      <c r="A506" s="323"/>
      <c r="D506" s="154"/>
    </row>
    <row r="507" spans="1:4" s="152" customFormat="1" ht="15" hidden="1" customHeight="1">
      <c r="A507" s="323"/>
      <c r="D507" s="154"/>
    </row>
    <row r="508" spans="1:4" s="152" customFormat="1" ht="15" hidden="1" customHeight="1">
      <c r="A508" s="323"/>
      <c r="D508" s="154"/>
    </row>
    <row r="509" spans="1:4" s="152" customFormat="1" ht="15" hidden="1" customHeight="1">
      <c r="A509" s="323"/>
      <c r="D509" s="154"/>
    </row>
    <row r="510" spans="1:4" s="152" customFormat="1" ht="15" hidden="1" customHeight="1">
      <c r="A510" s="323"/>
      <c r="D510" s="154"/>
    </row>
    <row r="511" spans="1:4" s="152" customFormat="1" ht="15" hidden="1" customHeight="1">
      <c r="A511" s="323"/>
      <c r="D511" s="154"/>
    </row>
    <row r="512" spans="1:4" s="152" customFormat="1" ht="15" hidden="1" customHeight="1">
      <c r="A512" s="323"/>
      <c r="D512" s="154"/>
    </row>
    <row r="513" spans="1:4" s="152" customFormat="1" ht="15" hidden="1" customHeight="1">
      <c r="A513" s="323"/>
      <c r="D513" s="154"/>
    </row>
    <row r="514" spans="1:4" s="152" customFormat="1" ht="15" hidden="1" customHeight="1">
      <c r="A514" s="323"/>
      <c r="D514" s="154"/>
    </row>
    <row r="515" spans="1:4" s="152" customFormat="1" ht="15" hidden="1" customHeight="1">
      <c r="A515" s="323"/>
      <c r="D515" s="154"/>
    </row>
    <row r="516" spans="1:4" s="152" customFormat="1" ht="15" hidden="1" customHeight="1">
      <c r="A516" s="323"/>
      <c r="D516" s="154"/>
    </row>
    <row r="517" spans="1:4" s="152" customFormat="1" ht="15" hidden="1" customHeight="1">
      <c r="A517" s="323"/>
      <c r="D517" s="154"/>
    </row>
    <row r="518" spans="1:4" s="152" customFormat="1" ht="15" hidden="1" customHeight="1">
      <c r="A518" s="323"/>
      <c r="D518" s="154"/>
    </row>
    <row r="519" spans="1:4" s="152" customFormat="1" ht="15" hidden="1" customHeight="1">
      <c r="A519" s="323"/>
      <c r="D519" s="154"/>
    </row>
    <row r="520" spans="1:4" s="152" customFormat="1" ht="15" hidden="1" customHeight="1">
      <c r="A520" s="323"/>
      <c r="D520" s="154"/>
    </row>
    <row r="521" spans="1:4" s="152" customFormat="1" ht="15" hidden="1" customHeight="1">
      <c r="A521" s="323"/>
      <c r="D521" s="154"/>
    </row>
    <row r="522" spans="1:4" s="152" customFormat="1" ht="15" hidden="1" customHeight="1">
      <c r="A522" s="323"/>
      <c r="D522" s="154"/>
    </row>
    <row r="523" spans="1:4" s="152" customFormat="1" ht="15" hidden="1" customHeight="1">
      <c r="A523" s="323"/>
      <c r="D523" s="154"/>
    </row>
    <row r="524" spans="1:4" s="152" customFormat="1" ht="15" hidden="1" customHeight="1">
      <c r="A524" s="323"/>
      <c r="D524" s="154"/>
    </row>
    <row r="525" spans="1:4" s="152" customFormat="1" ht="15" hidden="1" customHeight="1">
      <c r="A525" s="323"/>
      <c r="D525" s="154"/>
    </row>
    <row r="526" spans="1:4" s="152" customFormat="1" ht="15" hidden="1" customHeight="1">
      <c r="A526" s="323"/>
      <c r="D526" s="154"/>
    </row>
    <row r="527" spans="1:4" s="152" customFormat="1" ht="15" hidden="1" customHeight="1">
      <c r="A527" s="323"/>
      <c r="D527" s="154"/>
    </row>
    <row r="528" spans="1:4" s="152" customFormat="1" ht="15" hidden="1" customHeight="1">
      <c r="A528" s="323"/>
      <c r="D528" s="154"/>
    </row>
    <row r="529" spans="1:4" s="152" customFormat="1" ht="15" hidden="1" customHeight="1">
      <c r="A529" s="323"/>
      <c r="D529" s="154"/>
    </row>
    <row r="530" spans="1:4" s="152" customFormat="1" ht="15" hidden="1" customHeight="1">
      <c r="A530" s="323"/>
      <c r="D530" s="154"/>
    </row>
    <row r="531" spans="1:4" s="152" customFormat="1" ht="15" hidden="1" customHeight="1">
      <c r="A531" s="323"/>
      <c r="D531" s="154"/>
    </row>
    <row r="532" spans="1:4" s="152" customFormat="1" ht="15" hidden="1" customHeight="1">
      <c r="A532" s="323"/>
      <c r="D532" s="154"/>
    </row>
    <row r="533" spans="1:4" s="152" customFormat="1" ht="15" hidden="1" customHeight="1">
      <c r="A533" s="323"/>
      <c r="D533" s="154"/>
    </row>
    <row r="534" spans="1:4" s="152" customFormat="1" ht="15" hidden="1" customHeight="1">
      <c r="A534" s="323"/>
      <c r="D534" s="154"/>
    </row>
    <row r="535" spans="1:4" s="152" customFormat="1" ht="15" hidden="1" customHeight="1">
      <c r="A535" s="323"/>
      <c r="D535" s="154"/>
    </row>
    <row r="536" spans="1:4" s="152" customFormat="1" ht="15" hidden="1" customHeight="1">
      <c r="A536" s="323"/>
      <c r="D536" s="154"/>
    </row>
    <row r="537" spans="1:4" s="152" customFormat="1" ht="15" hidden="1" customHeight="1">
      <c r="A537" s="323"/>
      <c r="D537" s="154"/>
    </row>
    <row r="538" spans="1:4" s="152" customFormat="1" ht="15" hidden="1" customHeight="1">
      <c r="A538" s="323"/>
      <c r="D538" s="154"/>
    </row>
    <row r="539" spans="1:4" s="152" customFormat="1" ht="15" hidden="1" customHeight="1">
      <c r="A539" s="323"/>
      <c r="D539" s="154"/>
    </row>
    <row r="540" spans="1:4" s="152" customFormat="1" ht="15" hidden="1" customHeight="1">
      <c r="A540" s="323"/>
      <c r="D540" s="154"/>
    </row>
    <row r="541" spans="1:4" s="152" customFormat="1" ht="15" hidden="1" customHeight="1">
      <c r="A541" s="323"/>
      <c r="D541" s="154"/>
    </row>
    <row r="542" spans="1:4" s="152" customFormat="1" ht="15" hidden="1" customHeight="1">
      <c r="A542" s="323"/>
      <c r="D542" s="154"/>
    </row>
    <row r="543" spans="1:4" s="152" customFormat="1" ht="15" hidden="1" customHeight="1">
      <c r="A543" s="323"/>
      <c r="D543" s="154"/>
    </row>
    <row r="544" spans="1:4" s="152" customFormat="1" ht="15" hidden="1" customHeight="1">
      <c r="A544" s="323"/>
      <c r="D544" s="154"/>
    </row>
    <row r="545" spans="1:4" s="152" customFormat="1" ht="15" hidden="1" customHeight="1">
      <c r="A545" s="323"/>
      <c r="D545" s="154"/>
    </row>
    <row r="546" spans="1:4" s="152" customFormat="1" ht="15" hidden="1" customHeight="1">
      <c r="A546" s="323"/>
      <c r="D546" s="154"/>
    </row>
    <row r="547" spans="1:4" s="152" customFormat="1" ht="15" hidden="1" customHeight="1">
      <c r="A547" s="323"/>
      <c r="D547" s="154"/>
    </row>
    <row r="548" spans="1:4" s="152" customFormat="1" ht="15" hidden="1" customHeight="1">
      <c r="A548" s="323"/>
      <c r="D548" s="154"/>
    </row>
    <row r="549" spans="1:4" s="152" customFormat="1" ht="15" hidden="1" customHeight="1">
      <c r="A549" s="323"/>
      <c r="D549" s="154"/>
    </row>
    <row r="550" spans="1:4" s="152" customFormat="1" ht="15" hidden="1" customHeight="1">
      <c r="A550" s="323"/>
      <c r="D550" s="154"/>
    </row>
    <row r="551" spans="1:4" s="152" customFormat="1" ht="15" hidden="1" customHeight="1">
      <c r="A551" s="323"/>
      <c r="D551" s="154"/>
    </row>
    <row r="552" spans="1:4" s="152" customFormat="1" ht="15" hidden="1" customHeight="1">
      <c r="A552" s="323"/>
      <c r="D552" s="154"/>
    </row>
    <row r="553" spans="1:4" s="152" customFormat="1" ht="15" hidden="1" customHeight="1">
      <c r="A553" s="323"/>
      <c r="D553" s="154"/>
    </row>
    <row r="554" spans="1:4" s="152" customFormat="1" ht="15" hidden="1" customHeight="1">
      <c r="A554" s="323"/>
      <c r="D554" s="154"/>
    </row>
    <row r="555" spans="1:4" s="152" customFormat="1" ht="15" hidden="1" customHeight="1">
      <c r="A555" s="323"/>
      <c r="D555" s="154"/>
    </row>
    <row r="556" spans="1:4" s="152" customFormat="1" ht="15" hidden="1" customHeight="1">
      <c r="A556" s="323"/>
      <c r="D556" s="154"/>
    </row>
    <row r="557" spans="1:4" s="152" customFormat="1" ht="15" hidden="1" customHeight="1">
      <c r="A557" s="323"/>
      <c r="D557" s="154"/>
    </row>
    <row r="558" spans="1:4" s="152" customFormat="1" ht="15" hidden="1" customHeight="1">
      <c r="A558" s="323"/>
      <c r="D558" s="154"/>
    </row>
    <row r="559" spans="1:4" s="152" customFormat="1" ht="15" hidden="1" customHeight="1">
      <c r="A559" s="323"/>
      <c r="D559" s="154"/>
    </row>
    <row r="560" spans="1:4" s="152" customFormat="1" ht="15" hidden="1" customHeight="1">
      <c r="A560" s="323"/>
      <c r="D560" s="154"/>
    </row>
    <row r="561" spans="1:4" s="152" customFormat="1" ht="15" hidden="1" customHeight="1">
      <c r="A561" s="323"/>
      <c r="D561" s="154"/>
    </row>
    <row r="562" spans="1:4" s="152" customFormat="1" ht="15" hidden="1" customHeight="1">
      <c r="A562" s="323"/>
      <c r="D562" s="154"/>
    </row>
    <row r="563" spans="1:4" s="152" customFormat="1" ht="15" hidden="1" customHeight="1">
      <c r="A563" s="323"/>
      <c r="D563" s="154"/>
    </row>
    <row r="564" spans="1:4" s="152" customFormat="1" ht="15" hidden="1" customHeight="1">
      <c r="A564" s="323"/>
      <c r="D564" s="154"/>
    </row>
    <row r="565" spans="1:4" s="152" customFormat="1" ht="15" hidden="1" customHeight="1">
      <c r="A565" s="323"/>
      <c r="D565" s="154"/>
    </row>
    <row r="566" spans="1:4" s="152" customFormat="1" ht="15" hidden="1" customHeight="1">
      <c r="A566" s="323"/>
      <c r="D566" s="154"/>
    </row>
  </sheetData>
  <sheetProtection algorithmName="SHA-512" hashValue="97xSfdW+jKBHGV1Tj+VLpMM127QMRp6Y+UkTlWw5eiIBV7bWMKbXkrGFcxp2EGJASe+KWst4jE5xNM/xW2S38A==" saltValue="+COatALjOGmu5/I8P8C9ng==" spinCount="100000" sheet="1" formatCells="0" formatColumns="0" formatRows="0" insertColumns="0" insertRows="0" insertHyperlinks="0" deleteColumns="0" deleteRows="0" sort="0" autoFilter="0" pivotTables="0"/>
  <mergeCells count="1">
    <mergeCell ref="Q6:S6"/>
  </mergeCells>
  <dataValidations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6 K7:L8 K107:L107 K19:L19 K111:L111 K85:L85" xr:uid="{B774E038-2383-4318-B29F-44FE5F6AFF5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4F3CA8A0-E340-47EE-BF87-CA3DB7713213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1 L1:L6 K108:L110 K567:L64234 K112:L135 K9:L106" xr:uid="{C96BF578-0919-421E-AFA7-F6A62A021E2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2" manualBreakCount="2">
    <brk id="50" max="8" man="1"/>
    <brk id="106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8D9CC-FE03-46CA-9A1D-E67456D7DC88}">
  <sheetPr>
    <tabColor theme="0"/>
    <pageSetUpPr fitToPage="1"/>
  </sheetPr>
  <dimension ref="A1:T120"/>
  <sheetViews>
    <sheetView showGridLines="0" zoomScaleNormal="100" zoomScaleSheetLayoutView="85" workbookViewId="0">
      <pane xSplit="6" ySplit="7" topLeftCell="G8" activePane="bottomRight" state="frozen"/>
      <selection pane="bottomRight" activeCell="F8" sqref="F8"/>
      <selection pane="bottomLeft" activeCell="F8" sqref="F8"/>
      <selection pane="topRight" activeCell="F8" sqref="F8"/>
    </sheetView>
  </sheetViews>
  <sheetFormatPr defaultColWidth="9.140625" defaultRowHeight="0" customHeight="1" zeroHeight="1"/>
  <cols>
    <col min="1" max="1" width="2.28515625" style="5" customWidth="1"/>
    <col min="2" max="3" width="8.7109375" style="2" customWidth="1"/>
    <col min="4" max="5" width="12.7109375" style="4" customWidth="1"/>
    <col min="6" max="6" width="51.140625" style="2" bestFit="1" customWidth="1"/>
    <col min="7" max="8" width="10.7109375" style="4" customWidth="1"/>
    <col min="9" max="10" width="10.7109375" style="10" customWidth="1"/>
    <col min="11" max="11" width="10.7109375" style="2" customWidth="1"/>
    <col min="12" max="12" width="1.42578125" style="2" customWidth="1"/>
    <col min="13" max="13" width="10.7109375" style="4" customWidth="1"/>
    <col min="14" max="14" width="2.28515625" style="11" customWidth="1"/>
    <col min="15" max="15" width="12.7109375" style="2" customWidth="1"/>
    <col min="16" max="16" width="10.7109375" style="2" customWidth="1"/>
    <col min="17" max="17" width="11.7109375" style="2" customWidth="1"/>
    <col min="18" max="18" width="12.7109375" style="2" customWidth="1"/>
    <col min="19" max="19" width="13.7109375" style="2" customWidth="1"/>
    <col min="20" max="20" width="10.7109375" style="2" customWidth="1"/>
    <col min="21" max="16384" width="9.140625" style="2"/>
  </cols>
  <sheetData>
    <row r="1" spans="1:20" ht="18.75">
      <c r="F1" s="257" t="s">
        <v>58</v>
      </c>
      <c r="G1" s="170"/>
      <c r="H1" s="170"/>
      <c r="O1" s="170"/>
      <c r="P1" s="170"/>
      <c r="T1" s="170"/>
    </row>
    <row r="2" spans="1:20" ht="15.75">
      <c r="D2" s="12"/>
      <c r="E2" s="13"/>
      <c r="J2" s="585" t="s">
        <v>59</v>
      </c>
      <c r="K2" s="585"/>
    </row>
    <row r="3" spans="1:20" ht="15">
      <c r="F3" s="436" t="s">
        <v>60</v>
      </c>
      <c r="J3" s="585"/>
      <c r="K3" s="585"/>
    </row>
    <row r="4" spans="1:20" ht="15.75" customHeight="1">
      <c r="D4" s="12"/>
      <c r="E4" s="14" t="s">
        <v>61</v>
      </c>
      <c r="F4" s="437" t="s">
        <v>61</v>
      </c>
    </row>
    <row r="5" spans="1:20" ht="15">
      <c r="E5" s="14"/>
      <c r="F5" s="438" t="s">
        <v>62</v>
      </c>
    </row>
    <row r="6" spans="1:20" ht="15">
      <c r="O6" s="486" t="s">
        <v>63</v>
      </c>
      <c r="Q6" s="576" t="s">
        <v>64</v>
      </c>
      <c r="R6" s="576"/>
      <c r="S6" s="576"/>
    </row>
    <row r="7" spans="1:20" s="264" customFormat="1" ht="36" customHeight="1" thickBo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149" t="s">
        <v>65</v>
      </c>
      <c r="H7" s="149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263" t="s">
        <v>73</v>
      </c>
    </row>
    <row r="8" spans="1:20" ht="15">
      <c r="A8" s="5" t="str">
        <f>IF(K8&gt;0,COUNT($A$7:A7)+COUNT('DWV PVC'!$A$8:$A$284)+1,"")</f>
        <v/>
      </c>
      <c r="B8" s="617"/>
      <c r="C8" s="618"/>
      <c r="D8" s="106" t="s">
        <v>74</v>
      </c>
      <c r="E8" s="106">
        <v>300005952</v>
      </c>
      <c r="F8" s="105" t="s">
        <v>75</v>
      </c>
      <c r="G8" s="129">
        <v>100</v>
      </c>
      <c r="H8" s="129">
        <v>1900</v>
      </c>
      <c r="I8" s="128">
        <f>_xlfn.XLOOKUP(E8,'All Products'!D:D,'All Products'!H:H)</f>
        <v>44</v>
      </c>
      <c r="J8" s="133">
        <f>ROUNDUP(I8*Order_Quote!$L$3,2)</f>
        <v>220</v>
      </c>
      <c r="K8" s="124"/>
      <c r="L8" s="79"/>
      <c r="M8" s="107">
        <f t="shared" ref="M8:M39" si="0">K8/G8</f>
        <v>0</v>
      </c>
      <c r="O8" s="265" t="s">
        <v>76</v>
      </c>
      <c r="P8" s="265" t="s">
        <v>77</v>
      </c>
      <c r="Q8" s="265">
        <v>0</v>
      </c>
      <c r="R8" s="265">
        <v>0</v>
      </c>
      <c r="S8" s="265">
        <v>0</v>
      </c>
      <c r="T8" s="347">
        <v>0.21199999999999999</v>
      </c>
    </row>
    <row r="9" spans="1:20" ht="15">
      <c r="A9" s="5" t="str">
        <f>IF(K9&gt;0,COUNT($A$7:A8)+COUNT('DWV PVC'!$A$8:$A$284)+1,"")</f>
        <v/>
      </c>
      <c r="B9" s="619"/>
      <c r="C9" s="620"/>
      <c r="D9" s="106" t="s">
        <v>78</v>
      </c>
      <c r="E9" s="106">
        <v>300005953</v>
      </c>
      <c r="F9" s="105" t="s">
        <v>79</v>
      </c>
      <c r="G9" s="129">
        <v>35</v>
      </c>
      <c r="H9" s="129">
        <v>1050</v>
      </c>
      <c r="I9" s="128">
        <f>_xlfn.XLOOKUP(E9,'All Products'!D:D,'All Products'!H:H)</f>
        <v>67.73</v>
      </c>
      <c r="J9" s="133">
        <f>ROUNDUP(I9*Order_Quote!$L$3,2)</f>
        <v>338.65</v>
      </c>
      <c r="K9" s="123"/>
      <c r="L9" s="79"/>
      <c r="M9" s="107">
        <f t="shared" si="0"/>
        <v>0</v>
      </c>
      <c r="O9" s="265" t="s">
        <v>76</v>
      </c>
      <c r="P9" s="265" t="s">
        <v>77</v>
      </c>
      <c r="Q9" s="265">
        <v>0</v>
      </c>
      <c r="R9" s="265">
        <v>0</v>
      </c>
      <c r="S9" s="265">
        <v>0</v>
      </c>
      <c r="T9" s="347">
        <v>0.33</v>
      </c>
    </row>
    <row r="10" spans="1:20" ht="15">
      <c r="A10" s="5" t="str">
        <f>IF(K10&gt;0,COUNT($A$7:A9)+COUNT('DWV PVC'!$A$8:$A$284)+1,"")</f>
        <v/>
      </c>
      <c r="B10" s="619"/>
      <c r="C10" s="620"/>
      <c r="D10" s="106" t="s">
        <v>80</v>
      </c>
      <c r="E10" s="106">
        <v>300005954</v>
      </c>
      <c r="F10" s="105" t="s">
        <v>81</v>
      </c>
      <c r="G10" s="129">
        <v>30</v>
      </c>
      <c r="H10" s="129">
        <v>360</v>
      </c>
      <c r="I10" s="128">
        <f>_xlfn.XLOOKUP(E10,'All Products'!D:D,'All Products'!H:H)</f>
        <v>184.07</v>
      </c>
      <c r="J10" s="133">
        <f>ROUNDUP(I10*Order_Quote!$L$3,2)</f>
        <v>920.35</v>
      </c>
      <c r="K10" s="123"/>
      <c r="L10" s="79"/>
      <c r="M10" s="107">
        <f t="shared" si="0"/>
        <v>0</v>
      </c>
      <c r="O10" s="265" t="s">
        <v>76</v>
      </c>
      <c r="P10" s="265" t="s">
        <v>77</v>
      </c>
      <c r="Q10" s="265">
        <v>0</v>
      </c>
      <c r="R10" s="265">
        <v>0</v>
      </c>
      <c r="S10" s="265">
        <v>0</v>
      </c>
      <c r="T10" s="347">
        <v>1.026</v>
      </c>
    </row>
    <row r="11" spans="1:20" ht="15">
      <c r="A11" s="5" t="str">
        <f>IF(K11&gt;0,COUNT($A$7:A10)+COUNT('DWV PVC'!$A$8:$A$284)+1,"")</f>
        <v/>
      </c>
      <c r="B11" s="621"/>
      <c r="C11" s="622"/>
      <c r="D11" s="106" t="s">
        <v>82</v>
      </c>
      <c r="E11" s="106">
        <v>300005955</v>
      </c>
      <c r="F11" s="105" t="s">
        <v>83</v>
      </c>
      <c r="G11" s="129">
        <v>12</v>
      </c>
      <c r="H11" s="129">
        <v>360</v>
      </c>
      <c r="I11" s="128">
        <f>_xlfn.XLOOKUP(E11,'All Products'!D:D,'All Products'!H:H)</f>
        <v>327.29000000000002</v>
      </c>
      <c r="J11" s="133">
        <f>ROUNDUP(I11*Order_Quote!$L$3,2)</f>
        <v>1636.45</v>
      </c>
      <c r="K11" s="123"/>
      <c r="L11" s="79"/>
      <c r="M11" s="107">
        <f t="shared" si="0"/>
        <v>0</v>
      </c>
      <c r="O11" s="265" t="s">
        <v>76</v>
      </c>
      <c r="P11" s="265" t="s">
        <v>77</v>
      </c>
      <c r="Q11" s="265">
        <v>0</v>
      </c>
      <c r="R11" s="265">
        <v>0</v>
      </c>
      <c r="S11" s="265">
        <v>0</v>
      </c>
      <c r="T11" s="347">
        <v>1.88</v>
      </c>
    </row>
    <row r="12" spans="1:20" ht="15">
      <c r="A12" s="5" t="str">
        <f>IF(K12&gt;0,COUNT($A$7:A11)+COUNT('DWV PVC'!$A$8:$A$284)+1,"")</f>
        <v/>
      </c>
      <c r="B12" s="611"/>
      <c r="C12" s="612"/>
      <c r="D12" s="106" t="s">
        <v>84</v>
      </c>
      <c r="E12" s="106">
        <v>300005956</v>
      </c>
      <c r="F12" s="105" t="s">
        <v>85</v>
      </c>
      <c r="G12" s="129">
        <v>25</v>
      </c>
      <c r="H12" s="129">
        <v>1200</v>
      </c>
      <c r="I12" s="128">
        <f>_xlfn.XLOOKUP(E12,'All Products'!D:D,'All Products'!H:H)</f>
        <v>60.27</v>
      </c>
      <c r="J12" s="133">
        <f>ROUNDUP(I12*Order_Quote!$L$3,2)</f>
        <v>301.35000000000002</v>
      </c>
      <c r="K12" s="123"/>
      <c r="L12" s="79"/>
      <c r="M12" s="107">
        <f t="shared" si="0"/>
        <v>0</v>
      </c>
      <c r="O12" s="265" t="s">
        <v>76</v>
      </c>
      <c r="P12" s="265" t="s">
        <v>77</v>
      </c>
      <c r="Q12" s="265">
        <v>0</v>
      </c>
      <c r="R12" s="265">
        <v>0</v>
      </c>
      <c r="S12" s="265">
        <v>0</v>
      </c>
      <c r="T12" s="347">
        <v>0.27900000000000003</v>
      </c>
    </row>
    <row r="13" spans="1:20" ht="15">
      <c r="A13" s="5" t="str">
        <f>IF(K13&gt;0,COUNT($A$7:A12)+COUNT('DWV PVC'!$A$8:$A$284)+1,"")</f>
        <v/>
      </c>
      <c r="B13" s="613"/>
      <c r="C13" s="614"/>
      <c r="D13" s="106" t="s">
        <v>86</v>
      </c>
      <c r="E13" s="106">
        <v>300005957</v>
      </c>
      <c r="F13" s="105" t="s">
        <v>87</v>
      </c>
      <c r="G13" s="129">
        <v>25</v>
      </c>
      <c r="H13" s="129">
        <v>1100</v>
      </c>
      <c r="I13" s="128">
        <f>_xlfn.XLOOKUP(E13,'All Products'!D:D,'All Products'!H:H)</f>
        <v>67.83</v>
      </c>
      <c r="J13" s="133">
        <f>ROUNDUP(I13*Order_Quote!$L$3,2)</f>
        <v>339.15</v>
      </c>
      <c r="K13" s="123"/>
      <c r="L13" s="79"/>
      <c r="M13" s="107">
        <f t="shared" si="0"/>
        <v>0</v>
      </c>
      <c r="O13" s="265" t="s">
        <v>76</v>
      </c>
      <c r="P13" s="265" t="s">
        <v>77</v>
      </c>
      <c r="Q13" s="265">
        <v>0</v>
      </c>
      <c r="R13" s="265">
        <v>0</v>
      </c>
      <c r="S13" s="265">
        <v>0</v>
      </c>
      <c r="T13" s="347">
        <v>0.32800000000000001</v>
      </c>
    </row>
    <row r="14" spans="1:20" ht="15">
      <c r="A14" s="5" t="str">
        <f>IF(K14&gt;0,COUNT($A$7:A13)+COUNT('DWV PVC'!$A$8:$A$284)+1,"")</f>
        <v/>
      </c>
      <c r="B14" s="613"/>
      <c r="C14" s="614"/>
      <c r="D14" s="106" t="s">
        <v>88</v>
      </c>
      <c r="E14" s="106">
        <v>300005958</v>
      </c>
      <c r="F14" s="105" t="s">
        <v>89</v>
      </c>
      <c r="G14" s="129">
        <v>50</v>
      </c>
      <c r="H14" s="129">
        <v>1350</v>
      </c>
      <c r="I14" s="128">
        <f>_xlfn.XLOOKUP(E14,'All Products'!D:D,'All Products'!H:H)</f>
        <v>58.91</v>
      </c>
      <c r="J14" s="133">
        <f>ROUNDUP(I14*Order_Quote!$L$3,2)</f>
        <v>294.55</v>
      </c>
      <c r="K14" s="123"/>
      <c r="L14" s="79"/>
      <c r="M14" s="107">
        <f t="shared" si="0"/>
        <v>0</v>
      </c>
      <c r="O14" s="265" t="s">
        <v>76</v>
      </c>
      <c r="P14" s="265" t="s">
        <v>77</v>
      </c>
      <c r="Q14" s="265">
        <v>0</v>
      </c>
      <c r="R14" s="265">
        <v>0</v>
      </c>
      <c r="S14" s="265">
        <v>0</v>
      </c>
      <c r="T14" s="347">
        <v>0.27800000000000002</v>
      </c>
    </row>
    <row r="15" spans="1:20" ht="15">
      <c r="A15" s="5" t="str">
        <f>IF(K15&gt;0,COUNT($A$7:A14)+COUNT('DWV PVC'!$A$8:$A$284)+1,"")</f>
        <v/>
      </c>
      <c r="B15" s="613"/>
      <c r="C15" s="614"/>
      <c r="D15" s="106" t="s">
        <v>90</v>
      </c>
      <c r="E15" s="106">
        <v>300005959</v>
      </c>
      <c r="F15" s="105" t="s">
        <v>91</v>
      </c>
      <c r="G15" s="129">
        <v>25</v>
      </c>
      <c r="H15" s="129">
        <v>800</v>
      </c>
      <c r="I15" s="128">
        <f>_xlfn.XLOOKUP(E15,'All Products'!D:D,'All Products'!H:H)</f>
        <v>126.74</v>
      </c>
      <c r="J15" s="133">
        <f>ROUNDUP(I15*Order_Quote!$L$3,2)</f>
        <v>633.70000000000005</v>
      </c>
      <c r="K15" s="123"/>
      <c r="L15" s="79"/>
      <c r="M15" s="107">
        <f t="shared" si="0"/>
        <v>0</v>
      </c>
      <c r="O15" s="265" t="s">
        <v>76</v>
      </c>
      <c r="P15" s="265" t="s">
        <v>77</v>
      </c>
      <c r="Q15" s="265">
        <v>0</v>
      </c>
      <c r="R15" s="265">
        <v>0</v>
      </c>
      <c r="S15" s="265">
        <v>0</v>
      </c>
      <c r="T15" s="347">
        <v>0.59</v>
      </c>
    </row>
    <row r="16" spans="1:20" ht="15">
      <c r="A16" s="5" t="str">
        <f>IF(K16&gt;0,COUNT($A$7:A15)+COUNT('DWV PVC'!$A$8:$A$284)+1,"")</f>
        <v/>
      </c>
      <c r="B16" s="613"/>
      <c r="C16" s="614"/>
      <c r="D16" s="106" t="s">
        <v>92</v>
      </c>
      <c r="E16" s="106">
        <v>300005960</v>
      </c>
      <c r="F16" s="105" t="s">
        <v>93</v>
      </c>
      <c r="G16" s="129">
        <v>10</v>
      </c>
      <c r="H16" s="129">
        <v>360</v>
      </c>
      <c r="I16" s="128">
        <f>_xlfn.XLOOKUP(E16,'All Products'!D:D,'All Products'!H:H)</f>
        <v>146.58000000000001</v>
      </c>
      <c r="J16" s="133">
        <f>ROUNDUP(I16*Order_Quote!$L$3,2)</f>
        <v>732.9</v>
      </c>
      <c r="K16" s="123"/>
      <c r="L16" s="79"/>
      <c r="M16" s="107">
        <f t="shared" si="0"/>
        <v>0</v>
      </c>
      <c r="O16" s="265" t="s">
        <v>76</v>
      </c>
      <c r="P16" s="265" t="s">
        <v>77</v>
      </c>
      <c r="Q16" s="265">
        <v>0</v>
      </c>
      <c r="R16" s="265">
        <v>0</v>
      </c>
      <c r="S16" s="265">
        <v>0</v>
      </c>
      <c r="T16" s="347">
        <v>0.71299999999999997</v>
      </c>
    </row>
    <row r="17" spans="1:20" ht="15">
      <c r="A17" s="5" t="str">
        <f>IF(K17&gt;0,COUNT($A$7:A16)+COUNT('DWV PVC'!$A$8:$A$284)+1,"")</f>
        <v/>
      </c>
      <c r="B17" s="615"/>
      <c r="C17" s="616"/>
      <c r="D17" s="106" t="s">
        <v>94</v>
      </c>
      <c r="E17" s="106">
        <v>300005961</v>
      </c>
      <c r="F17" s="105" t="s">
        <v>95</v>
      </c>
      <c r="G17" s="129">
        <v>20</v>
      </c>
      <c r="H17" s="129">
        <v>360</v>
      </c>
      <c r="I17" s="128">
        <f>_xlfn.XLOOKUP(E17,'All Products'!D:D,'All Products'!H:H)</f>
        <v>351.54</v>
      </c>
      <c r="J17" s="133">
        <f>ROUNDUP(I17*Order_Quote!$L$3,2)</f>
        <v>1757.7</v>
      </c>
      <c r="K17" s="123"/>
      <c r="L17" s="79"/>
      <c r="M17" s="107">
        <f t="shared" si="0"/>
        <v>0</v>
      </c>
      <c r="O17" s="265" t="s">
        <v>76</v>
      </c>
      <c r="P17" s="265" t="s">
        <v>77</v>
      </c>
      <c r="Q17" s="265">
        <v>0</v>
      </c>
      <c r="R17" s="265">
        <v>0</v>
      </c>
      <c r="S17" s="265">
        <v>0</v>
      </c>
      <c r="T17" s="347">
        <v>1.087</v>
      </c>
    </row>
    <row r="18" spans="1:20" ht="57" customHeight="1">
      <c r="A18" s="5" t="str">
        <f>IF(K18&gt;0,COUNT($A$7:A17)+COUNT('DWV PVC'!$A$8:$A$284)+1,"")</f>
        <v/>
      </c>
      <c r="B18" s="623"/>
      <c r="C18" s="624"/>
      <c r="D18" s="106" t="s">
        <v>96</v>
      </c>
      <c r="E18" s="106">
        <v>300006035</v>
      </c>
      <c r="F18" s="105" t="s">
        <v>97</v>
      </c>
      <c r="G18" s="129">
        <v>50</v>
      </c>
      <c r="H18" s="129">
        <v>2400</v>
      </c>
      <c r="I18" s="128">
        <f>_xlfn.XLOOKUP(E18,'All Products'!D:D,'All Products'!H:H)</f>
        <v>109.2</v>
      </c>
      <c r="J18" s="133">
        <f>ROUNDUP(I18*Order_Quote!$L$3,2)</f>
        <v>546</v>
      </c>
      <c r="K18" s="123"/>
      <c r="L18" s="79"/>
      <c r="M18" s="107">
        <f t="shared" si="0"/>
        <v>0</v>
      </c>
      <c r="O18" s="265" t="s">
        <v>76</v>
      </c>
      <c r="P18" s="265" t="s">
        <v>77</v>
      </c>
      <c r="Q18" s="265">
        <v>0</v>
      </c>
      <c r="R18" s="265">
        <v>0</v>
      </c>
      <c r="S18" s="265">
        <v>0</v>
      </c>
      <c r="T18" s="347">
        <v>0.59899999999999998</v>
      </c>
    </row>
    <row r="19" spans="1:20" ht="15">
      <c r="A19" s="5" t="str">
        <f>IF(K19&gt;0,COUNT($A$7:A18)+COUNT('DWV PVC'!$A$8:$A$284)+1,"")</f>
        <v/>
      </c>
      <c r="B19" s="611"/>
      <c r="C19" s="612"/>
      <c r="D19" s="106" t="s">
        <v>98</v>
      </c>
      <c r="E19" s="106">
        <v>300005963</v>
      </c>
      <c r="F19" s="105" t="s">
        <v>99</v>
      </c>
      <c r="G19" s="129">
        <v>50</v>
      </c>
      <c r="H19" s="129">
        <v>1500</v>
      </c>
      <c r="I19" s="128">
        <f>_xlfn.XLOOKUP(E19,'All Products'!D:D,'All Products'!H:H)</f>
        <v>79.59</v>
      </c>
      <c r="J19" s="133">
        <f>ROUNDUP(I19*Order_Quote!$L$3,2)</f>
        <v>397.95</v>
      </c>
      <c r="K19" s="123"/>
      <c r="L19" s="79"/>
      <c r="M19" s="107">
        <f t="shared" si="0"/>
        <v>0</v>
      </c>
      <c r="O19" s="265" t="s">
        <v>76</v>
      </c>
      <c r="P19" s="265" t="s">
        <v>77</v>
      </c>
      <c r="Q19" s="265">
        <v>0</v>
      </c>
      <c r="R19" s="265">
        <v>0</v>
      </c>
      <c r="S19" s="265">
        <v>0</v>
      </c>
      <c r="T19" s="347">
        <v>0.27800000000000002</v>
      </c>
    </row>
    <row r="20" spans="1:20" ht="15">
      <c r="A20" s="5" t="str">
        <f>IF(K20&gt;0,COUNT($A$7:A19)+COUNT('DWV PVC'!$A$8:$A$284)+1,"")</f>
        <v/>
      </c>
      <c r="B20" s="613"/>
      <c r="C20" s="614"/>
      <c r="D20" s="106" t="s">
        <v>100</v>
      </c>
      <c r="E20" s="106">
        <v>100031286</v>
      </c>
      <c r="F20" s="105" t="s">
        <v>101</v>
      </c>
      <c r="G20" s="129">
        <v>25</v>
      </c>
      <c r="H20" s="129">
        <v>300</v>
      </c>
      <c r="I20" s="128">
        <f>_xlfn.XLOOKUP(E20,'All Products'!D:D,'All Products'!H:H)</f>
        <v>103.22</v>
      </c>
      <c r="J20" s="133">
        <f>ROUNDUP(I20*Order_Quote!$L$3,2)</f>
        <v>516.1</v>
      </c>
      <c r="K20" s="123"/>
      <c r="L20" s="79"/>
      <c r="M20" s="107">
        <f t="shared" si="0"/>
        <v>0</v>
      </c>
      <c r="O20" s="265" t="s">
        <v>76</v>
      </c>
      <c r="P20" s="265" t="s">
        <v>102</v>
      </c>
      <c r="Q20" s="265" t="s">
        <v>103</v>
      </c>
      <c r="R20" s="265">
        <v>0</v>
      </c>
      <c r="S20" s="265" t="s">
        <v>104</v>
      </c>
      <c r="T20" s="347">
        <v>0.40200000000000002</v>
      </c>
    </row>
    <row r="21" spans="1:20" ht="15">
      <c r="A21" s="5" t="str">
        <f>IF(K21&gt;0,COUNT($A$7:A20)+COUNT('DWV PVC'!$A$8:$A$284)+1,"")</f>
        <v/>
      </c>
      <c r="B21" s="613"/>
      <c r="C21" s="614"/>
      <c r="D21" s="106" t="s">
        <v>105</v>
      </c>
      <c r="E21" s="106">
        <v>100031287</v>
      </c>
      <c r="F21" s="105" t="s">
        <v>106</v>
      </c>
      <c r="G21" s="129">
        <v>25</v>
      </c>
      <c r="H21" s="129">
        <v>150</v>
      </c>
      <c r="I21" s="128">
        <f>_xlfn.XLOOKUP(E21,'All Products'!D:D,'All Products'!H:H)</f>
        <v>222.05</v>
      </c>
      <c r="J21" s="133">
        <f>ROUNDUP(I21*Order_Quote!$L$3,2)</f>
        <v>1110.25</v>
      </c>
      <c r="K21" s="123"/>
      <c r="L21" s="79"/>
      <c r="M21" s="107">
        <f t="shared" si="0"/>
        <v>0</v>
      </c>
      <c r="O21" s="265" t="s">
        <v>76</v>
      </c>
      <c r="P21" s="265" t="s">
        <v>102</v>
      </c>
      <c r="Q21" s="265" t="s">
        <v>107</v>
      </c>
      <c r="R21" s="265">
        <v>0</v>
      </c>
      <c r="S21" s="265" t="s">
        <v>108</v>
      </c>
      <c r="T21" s="347">
        <v>1.236</v>
      </c>
    </row>
    <row r="22" spans="1:20" ht="15">
      <c r="A22" s="5" t="str">
        <f>IF(K22&gt;0,COUNT($A$7:A21)+COUNT('DWV PVC'!$A$8:$A$284)+1,"")</f>
        <v/>
      </c>
      <c r="B22" s="615"/>
      <c r="C22" s="616"/>
      <c r="D22" s="106" t="s">
        <v>109</v>
      </c>
      <c r="E22" s="106">
        <v>300005964</v>
      </c>
      <c r="F22" s="105" t="s">
        <v>110</v>
      </c>
      <c r="G22" s="129">
        <v>5</v>
      </c>
      <c r="H22" s="129">
        <v>120</v>
      </c>
      <c r="I22" s="128">
        <f>_xlfn.XLOOKUP(E22,'All Products'!D:D,'All Products'!H:H)</f>
        <v>416.12</v>
      </c>
      <c r="J22" s="133">
        <f>ROUNDUP(I22*Order_Quote!$L$3,2)</f>
        <v>2080.6</v>
      </c>
      <c r="K22" s="123"/>
      <c r="L22" s="79"/>
      <c r="M22" s="107">
        <f t="shared" si="0"/>
        <v>0</v>
      </c>
      <c r="O22" s="265" t="s">
        <v>76</v>
      </c>
      <c r="P22" s="265" t="s">
        <v>77</v>
      </c>
      <c r="Q22" s="265">
        <v>0</v>
      </c>
      <c r="R22" s="265">
        <v>0</v>
      </c>
      <c r="S22" s="265">
        <v>0</v>
      </c>
      <c r="T22" s="347">
        <v>2.4260000000000002</v>
      </c>
    </row>
    <row r="23" spans="1:20" ht="15">
      <c r="A23" s="5" t="str">
        <f>IF(K23&gt;0,COUNT($A$7:A22)+COUNT('DWV PVC'!$A$8:$A$284)+1,"")</f>
        <v/>
      </c>
      <c r="B23" s="611"/>
      <c r="C23" s="612"/>
      <c r="D23" s="106" t="s">
        <v>111</v>
      </c>
      <c r="E23" s="106">
        <v>300005965</v>
      </c>
      <c r="F23" s="105" t="s">
        <v>112</v>
      </c>
      <c r="G23" s="129">
        <v>15</v>
      </c>
      <c r="H23" s="129">
        <v>405</v>
      </c>
      <c r="I23" s="128">
        <f>_xlfn.XLOOKUP(E23,'All Products'!D:D,'All Products'!H:H)</f>
        <v>196.98</v>
      </c>
      <c r="J23" s="133">
        <f>ROUNDUP(I23*Order_Quote!$L$3,2)</f>
        <v>984.9</v>
      </c>
      <c r="K23" s="123"/>
      <c r="L23" s="79"/>
      <c r="M23" s="107">
        <f t="shared" si="0"/>
        <v>0</v>
      </c>
      <c r="O23" s="265" t="s">
        <v>76</v>
      </c>
      <c r="P23" s="265" t="s">
        <v>77</v>
      </c>
      <c r="Q23" s="265">
        <v>0</v>
      </c>
      <c r="R23" s="265">
        <v>0</v>
      </c>
      <c r="S23" s="265">
        <v>0</v>
      </c>
      <c r="T23" s="347">
        <v>0.81</v>
      </c>
    </row>
    <row r="24" spans="1:20" ht="15">
      <c r="A24" s="5" t="str">
        <f>IF(K24&gt;0,COUNT($A$7:A23)+COUNT('DWV PVC'!$A$8:$A$284)+1,"")</f>
        <v/>
      </c>
      <c r="B24" s="613"/>
      <c r="C24" s="614"/>
      <c r="D24" s="106" t="s">
        <v>113</v>
      </c>
      <c r="E24" s="106">
        <v>300005966</v>
      </c>
      <c r="F24" s="105" t="s">
        <v>114</v>
      </c>
      <c r="G24" s="129">
        <v>25</v>
      </c>
      <c r="H24" s="129">
        <v>375</v>
      </c>
      <c r="I24" s="128">
        <f>_xlfn.XLOOKUP(E24,'All Products'!D:D,'All Products'!H:H)</f>
        <v>143.75</v>
      </c>
      <c r="J24" s="133">
        <f>ROUNDUP(I24*Order_Quote!$L$3,2)</f>
        <v>718.75</v>
      </c>
      <c r="K24" s="123"/>
      <c r="L24" s="79"/>
      <c r="M24" s="107">
        <f t="shared" si="0"/>
        <v>0</v>
      </c>
      <c r="O24" s="265" t="s">
        <v>76</v>
      </c>
      <c r="P24" s="265" t="s">
        <v>77</v>
      </c>
      <c r="Q24" s="265">
        <v>0</v>
      </c>
      <c r="R24" s="265">
        <v>0</v>
      </c>
      <c r="S24" s="265">
        <v>0</v>
      </c>
      <c r="T24" s="347">
        <v>0.879</v>
      </c>
    </row>
    <row r="25" spans="1:20" ht="22.5" customHeight="1">
      <c r="A25" s="5" t="str">
        <f>IF(K25&gt;0,COUNT($A$7:A24)+COUNT('DWV PVC'!$A$8:$A$284)+1,"")</f>
        <v/>
      </c>
      <c r="B25" s="613"/>
      <c r="C25" s="614"/>
      <c r="D25" s="106" t="s">
        <v>115</v>
      </c>
      <c r="E25" s="106">
        <v>300006039</v>
      </c>
      <c r="F25" s="105" t="s">
        <v>116</v>
      </c>
      <c r="G25" s="129">
        <v>10</v>
      </c>
      <c r="H25" s="129">
        <v>240</v>
      </c>
      <c r="I25" s="128">
        <f>_xlfn.XLOOKUP(E25,'All Products'!D:D,'All Products'!H:H)</f>
        <v>265.55</v>
      </c>
      <c r="J25" s="133">
        <f>ROUNDUP(I25*Order_Quote!$L$3,2)</f>
        <v>1327.75</v>
      </c>
      <c r="K25" s="123"/>
      <c r="L25" s="79"/>
      <c r="M25" s="107">
        <f t="shared" si="0"/>
        <v>0</v>
      </c>
      <c r="O25" s="265" t="s">
        <v>76</v>
      </c>
      <c r="P25" s="265" t="s">
        <v>77</v>
      </c>
      <c r="Q25" s="265">
        <v>0</v>
      </c>
      <c r="R25" s="265">
        <v>0</v>
      </c>
      <c r="S25" s="265">
        <v>0</v>
      </c>
      <c r="T25" s="347">
        <v>1.3939999999999999</v>
      </c>
    </row>
    <row r="26" spans="1:20" ht="22.5" customHeight="1">
      <c r="A26" s="5" t="str">
        <f>IF(K26&gt;0,COUNT($A$7:A25)+COUNT('DWV PVC'!$A$8:$A$284)+1,"")</f>
        <v/>
      </c>
      <c r="B26" s="615"/>
      <c r="C26" s="616"/>
      <c r="D26" s="106" t="s">
        <v>117</v>
      </c>
      <c r="E26" s="106">
        <v>100031288</v>
      </c>
      <c r="F26" s="105" t="s">
        <v>118</v>
      </c>
      <c r="G26" s="129">
        <v>10</v>
      </c>
      <c r="H26" s="129">
        <v>180</v>
      </c>
      <c r="I26" s="128">
        <f>_xlfn.XLOOKUP(E26,'All Products'!D:D,'All Products'!H:H)</f>
        <v>389.74</v>
      </c>
      <c r="J26" s="133">
        <f>ROUNDUP(I26*Order_Quote!$L$3,2)</f>
        <v>1948.7</v>
      </c>
      <c r="K26" s="123"/>
      <c r="L26" s="79"/>
      <c r="M26" s="107">
        <f t="shared" si="0"/>
        <v>0</v>
      </c>
      <c r="O26" s="265" t="s">
        <v>76</v>
      </c>
      <c r="P26" s="265" t="s">
        <v>102</v>
      </c>
      <c r="Q26" s="265" t="s">
        <v>119</v>
      </c>
      <c r="R26" s="265">
        <v>0</v>
      </c>
      <c r="S26" s="265" t="s">
        <v>120</v>
      </c>
      <c r="T26" s="347">
        <v>1.744</v>
      </c>
    </row>
    <row r="27" spans="1:20" ht="22.5" customHeight="1">
      <c r="A27" s="5" t="str">
        <f>IF(K27&gt;0,COUNT($A$7:A26)+COUNT('DWV PVC'!$A$8:$A$284)+1,"")</f>
        <v/>
      </c>
      <c r="B27" s="611"/>
      <c r="C27" s="612"/>
      <c r="D27" s="106" t="s">
        <v>121</v>
      </c>
      <c r="E27" s="106">
        <v>300005967</v>
      </c>
      <c r="F27" s="105" t="s">
        <v>122</v>
      </c>
      <c r="G27" s="129">
        <v>30</v>
      </c>
      <c r="H27" s="129">
        <v>960</v>
      </c>
      <c r="I27" s="128">
        <f>_xlfn.XLOOKUP(E27,'All Products'!D:D,'All Products'!H:H)</f>
        <v>331.47</v>
      </c>
      <c r="J27" s="133">
        <f>ROUNDUP(I27*Order_Quote!$L$3,2)</f>
        <v>1657.35</v>
      </c>
      <c r="K27" s="123"/>
      <c r="L27" s="79"/>
      <c r="M27" s="107">
        <f t="shared" si="0"/>
        <v>0</v>
      </c>
      <c r="O27" s="265" t="s">
        <v>76</v>
      </c>
      <c r="P27" s="265" t="s">
        <v>77</v>
      </c>
      <c r="Q27" s="265">
        <v>0</v>
      </c>
      <c r="R27" s="265">
        <v>0</v>
      </c>
      <c r="S27" s="265">
        <v>0</v>
      </c>
      <c r="T27" s="347">
        <v>0.36299999999999999</v>
      </c>
    </row>
    <row r="28" spans="1:20" ht="22.5" customHeight="1">
      <c r="A28" s="5" t="str">
        <f>IF(K28&gt;0,COUNT($A$7:A27)+COUNT('DWV PVC'!$A$8:$A$284)+1,"")</f>
        <v/>
      </c>
      <c r="B28" s="613"/>
      <c r="C28" s="614"/>
      <c r="D28" s="106" t="s">
        <v>123</v>
      </c>
      <c r="E28" s="106">
        <v>300005968</v>
      </c>
      <c r="F28" s="105" t="s">
        <v>124</v>
      </c>
      <c r="G28" s="129">
        <v>20</v>
      </c>
      <c r="H28" s="129">
        <v>640</v>
      </c>
      <c r="I28" s="128">
        <f>_xlfn.XLOOKUP(E28,'All Products'!D:D,'All Products'!H:H)</f>
        <v>540.38</v>
      </c>
      <c r="J28" s="133">
        <f>ROUNDUP(I28*Order_Quote!$L$3,2)</f>
        <v>2701.9</v>
      </c>
      <c r="K28" s="123"/>
      <c r="L28" s="79"/>
      <c r="M28" s="107">
        <f t="shared" si="0"/>
        <v>0</v>
      </c>
      <c r="O28" s="265" t="s">
        <v>76</v>
      </c>
      <c r="P28" s="265" t="s">
        <v>77</v>
      </c>
      <c r="Q28" s="265">
        <v>0</v>
      </c>
      <c r="R28" s="265">
        <v>0</v>
      </c>
      <c r="S28" s="265">
        <v>0</v>
      </c>
      <c r="T28" s="347">
        <v>0.55500000000000005</v>
      </c>
    </row>
    <row r="29" spans="1:20" s="17" customFormat="1" ht="45.75" customHeight="1">
      <c r="A29" s="5" t="str">
        <f>IF(K29&gt;0,COUNT($A$7:A28)+COUNT('DWV PVC'!$A$8:$A$284)+1,"")</f>
        <v/>
      </c>
      <c r="B29" s="615"/>
      <c r="C29" s="616"/>
      <c r="D29" s="106" t="s">
        <v>125</v>
      </c>
      <c r="E29" s="106">
        <v>300005969</v>
      </c>
      <c r="F29" s="105" t="s">
        <v>126</v>
      </c>
      <c r="G29" s="129">
        <v>15</v>
      </c>
      <c r="H29" s="129">
        <v>180</v>
      </c>
      <c r="I29" s="128">
        <f>_xlfn.XLOOKUP(E29,'All Products'!D:D,'All Products'!H:H)</f>
        <v>600.08000000000004</v>
      </c>
      <c r="J29" s="133">
        <f>ROUNDUP(I29*Order_Quote!$L$3,2)</f>
        <v>3000.4</v>
      </c>
      <c r="K29" s="123"/>
      <c r="L29" s="79"/>
      <c r="M29" s="107">
        <f t="shared" si="0"/>
        <v>0</v>
      </c>
      <c r="O29" s="265" t="s">
        <v>76</v>
      </c>
      <c r="P29" s="265" t="s">
        <v>77</v>
      </c>
      <c r="Q29" s="265">
        <v>0</v>
      </c>
      <c r="R29" s="265">
        <v>0</v>
      </c>
      <c r="S29" s="265">
        <v>0</v>
      </c>
      <c r="T29" s="347">
        <v>1.631</v>
      </c>
    </row>
    <row r="30" spans="1:20" ht="22.5" customHeight="1">
      <c r="A30" s="5" t="str">
        <f>IF(K30&gt;0,COUNT($A$7:A29)+COUNT('DWV PVC'!$A$8:$A$284)+1,"")</f>
        <v/>
      </c>
      <c r="B30" s="611"/>
      <c r="C30" s="612"/>
      <c r="D30" s="106" t="s">
        <v>127</v>
      </c>
      <c r="E30" s="106">
        <v>300006031</v>
      </c>
      <c r="F30" s="105" t="s">
        <v>128</v>
      </c>
      <c r="G30" s="129">
        <v>40</v>
      </c>
      <c r="H30" s="129">
        <v>1080</v>
      </c>
      <c r="I30" s="128">
        <f>_xlfn.XLOOKUP(E30,'All Products'!D:D,'All Products'!H:H)</f>
        <v>114.14</v>
      </c>
      <c r="J30" s="133">
        <f>ROUNDUP(I30*Order_Quote!$L$3,2)</f>
        <v>570.70000000000005</v>
      </c>
      <c r="K30" s="123"/>
      <c r="L30" s="79"/>
      <c r="M30" s="107">
        <f t="shared" si="0"/>
        <v>0</v>
      </c>
      <c r="O30" s="265" t="s">
        <v>76</v>
      </c>
      <c r="P30" s="265" t="s">
        <v>77</v>
      </c>
      <c r="Q30" s="265">
        <v>0</v>
      </c>
      <c r="R30" s="265">
        <v>0</v>
      </c>
      <c r="S30" s="265">
        <v>0</v>
      </c>
      <c r="T30" s="347">
        <v>0.34</v>
      </c>
    </row>
    <row r="31" spans="1:20" ht="22.5" customHeight="1">
      <c r="A31" s="5" t="str">
        <f>IF(K31&gt;0,COUNT($A$7:A30)+COUNT('DWV PVC'!$A$8:$A$284)+1,"")</f>
        <v/>
      </c>
      <c r="B31" s="613"/>
      <c r="C31" s="614"/>
      <c r="D31" s="106" t="s">
        <v>129</v>
      </c>
      <c r="E31" s="106">
        <v>300006032</v>
      </c>
      <c r="F31" s="105" t="s">
        <v>130</v>
      </c>
      <c r="G31" s="129">
        <v>20</v>
      </c>
      <c r="H31" s="129">
        <v>600</v>
      </c>
      <c r="I31" s="128">
        <f>_xlfn.XLOOKUP(E31,'All Products'!D:D,'All Products'!H:H)</f>
        <v>116.24</v>
      </c>
      <c r="J31" s="133">
        <f>ROUNDUP(I31*Order_Quote!$L$3,2)</f>
        <v>581.20000000000005</v>
      </c>
      <c r="K31" s="123"/>
      <c r="L31" s="79"/>
      <c r="M31" s="107">
        <f t="shared" si="0"/>
        <v>0</v>
      </c>
      <c r="O31" s="265" t="s">
        <v>76</v>
      </c>
      <c r="P31" s="265" t="s">
        <v>77</v>
      </c>
      <c r="Q31" s="265">
        <v>0</v>
      </c>
      <c r="R31" s="265">
        <v>0</v>
      </c>
      <c r="S31" s="265">
        <v>0</v>
      </c>
      <c r="T31" s="347">
        <v>0.51700000000000002</v>
      </c>
    </row>
    <row r="32" spans="1:20" ht="22.5" customHeight="1">
      <c r="A32" s="5" t="str">
        <f>IF(K32&gt;0,COUNT($A$7:A31)+COUNT('DWV PVC'!$A$8:$A$284)+1,"")</f>
        <v/>
      </c>
      <c r="B32" s="613"/>
      <c r="C32" s="614"/>
      <c r="D32" s="106" t="s">
        <v>131</v>
      </c>
      <c r="E32" s="106">
        <v>300006033</v>
      </c>
      <c r="F32" s="105" t="s">
        <v>132</v>
      </c>
      <c r="G32" s="129">
        <v>10</v>
      </c>
      <c r="H32" s="129">
        <v>180</v>
      </c>
      <c r="I32" s="128">
        <f>_xlfn.XLOOKUP(E32,'All Products'!D:D,'All Products'!H:H)</f>
        <v>275.94</v>
      </c>
      <c r="J32" s="133">
        <f>ROUNDUP(I32*Order_Quote!$L$3,2)</f>
        <v>1379.7</v>
      </c>
      <c r="K32" s="123"/>
      <c r="L32" s="79"/>
      <c r="M32" s="107">
        <f t="shared" si="0"/>
        <v>0</v>
      </c>
      <c r="O32" s="265" t="s">
        <v>76</v>
      </c>
      <c r="P32" s="265" t="s">
        <v>77</v>
      </c>
      <c r="Q32" s="265">
        <v>0</v>
      </c>
      <c r="R32" s="265">
        <v>0</v>
      </c>
      <c r="S32" s="265">
        <v>0</v>
      </c>
      <c r="T32" s="347">
        <v>1.7490000000000001</v>
      </c>
    </row>
    <row r="33" spans="1:20" ht="22.5" customHeight="1">
      <c r="A33" s="5" t="str">
        <f>IF(K33&gt;0,COUNT($A$7:A32)+COUNT('DWV PVC'!$A$8:$A$284)+1,"")</f>
        <v/>
      </c>
      <c r="B33" s="613"/>
      <c r="C33" s="614"/>
      <c r="D33" s="106" t="s">
        <v>133</v>
      </c>
      <c r="E33" s="106">
        <v>300006034</v>
      </c>
      <c r="F33" s="105" t="s">
        <v>134</v>
      </c>
      <c r="G33" s="129">
        <v>5</v>
      </c>
      <c r="H33" s="129">
        <v>90</v>
      </c>
      <c r="I33" s="128">
        <f>_xlfn.XLOOKUP(E33,'All Products'!D:D,'All Products'!H:H)</f>
        <v>576.87</v>
      </c>
      <c r="J33" s="133">
        <f>ROUNDUP(I33*Order_Quote!$L$3,2)</f>
        <v>2884.35</v>
      </c>
      <c r="K33" s="123"/>
      <c r="L33" s="79"/>
      <c r="M33" s="107">
        <f t="shared" si="0"/>
        <v>0</v>
      </c>
      <c r="O33" s="265" t="s">
        <v>76</v>
      </c>
      <c r="P33" s="265" t="s">
        <v>77</v>
      </c>
      <c r="Q33" s="265">
        <v>0</v>
      </c>
      <c r="R33" s="265">
        <v>0</v>
      </c>
      <c r="S33" s="265">
        <v>0</v>
      </c>
      <c r="T33" s="347">
        <v>3.173</v>
      </c>
    </row>
    <row r="34" spans="1:20" ht="15">
      <c r="A34" s="5" t="str">
        <f>IF(K34&gt;0,COUNT($A$7:A33)+COUNT('DWV PVC'!$A$8:$A$284)+1,"")</f>
        <v/>
      </c>
      <c r="B34" s="615"/>
      <c r="C34" s="616"/>
      <c r="D34" s="106" t="s">
        <v>135</v>
      </c>
      <c r="E34" s="106">
        <v>100031275</v>
      </c>
      <c r="F34" s="105" t="s">
        <v>136</v>
      </c>
      <c r="G34" s="129">
        <v>10</v>
      </c>
      <c r="H34" s="129">
        <v>180</v>
      </c>
      <c r="I34" s="128">
        <f>_xlfn.XLOOKUP(E34,'All Products'!D:D,'All Products'!H:H)</f>
        <v>194.48</v>
      </c>
      <c r="J34" s="133">
        <f>ROUNDUP(I34*Order_Quote!$L$3,2)</f>
        <v>972.4</v>
      </c>
      <c r="K34" s="123"/>
      <c r="L34" s="79"/>
      <c r="M34" s="107">
        <f t="shared" si="0"/>
        <v>0</v>
      </c>
      <c r="O34" s="265" t="s">
        <v>76</v>
      </c>
      <c r="P34" s="265" t="s">
        <v>102</v>
      </c>
      <c r="Q34" s="265" t="s">
        <v>137</v>
      </c>
      <c r="R34" s="265">
        <v>0</v>
      </c>
      <c r="S34" s="265" t="s">
        <v>137</v>
      </c>
      <c r="T34" s="347">
        <v>0.90800000000000003</v>
      </c>
    </row>
    <row r="35" spans="1:20" ht="58.5" customHeight="1">
      <c r="A35" s="5" t="str">
        <f>IF(K35&gt;0,COUNT($A$7:A34)+COUNT('DWV PVC'!$A$8:$A$284)+1,"")</f>
        <v/>
      </c>
      <c r="B35" s="623"/>
      <c r="C35" s="624"/>
      <c r="D35" s="106" t="s">
        <v>138</v>
      </c>
      <c r="E35" s="106">
        <v>300005962</v>
      </c>
      <c r="F35" s="105" t="s">
        <v>139</v>
      </c>
      <c r="G35" s="129">
        <v>20</v>
      </c>
      <c r="H35" s="129">
        <v>1800</v>
      </c>
      <c r="I35" s="128">
        <f>_xlfn.XLOOKUP(E35,'All Products'!D:D,'All Products'!H:H)</f>
        <v>126.42</v>
      </c>
      <c r="J35" s="133">
        <f>ROUNDUP(I35*Order_Quote!$L$3,2)</f>
        <v>632.1</v>
      </c>
      <c r="K35" s="123"/>
      <c r="L35" s="79"/>
      <c r="M35" s="107">
        <f t="shared" si="0"/>
        <v>0</v>
      </c>
      <c r="O35" s="265" t="s">
        <v>76</v>
      </c>
      <c r="P35" s="265" t="s">
        <v>77</v>
      </c>
      <c r="Q35" s="265">
        <v>0</v>
      </c>
      <c r="R35" s="265">
        <v>0</v>
      </c>
      <c r="S35" s="265">
        <v>0</v>
      </c>
      <c r="T35" s="347">
        <v>0.63500000000000001</v>
      </c>
    </row>
    <row r="36" spans="1:20" ht="15">
      <c r="A36" s="5" t="str">
        <f>IF(K36&gt;0,COUNT($A$7:A35)+COUNT('DWV PVC'!$A$8:$A$284)+1,"")</f>
        <v/>
      </c>
      <c r="B36" s="617"/>
      <c r="C36" s="618"/>
      <c r="D36" s="106" t="s">
        <v>140</v>
      </c>
      <c r="E36" s="106">
        <v>100031280</v>
      </c>
      <c r="F36" s="105" t="s">
        <v>141</v>
      </c>
      <c r="G36" s="129">
        <v>10</v>
      </c>
      <c r="H36" s="129">
        <v>120</v>
      </c>
      <c r="I36" s="128">
        <f>_xlfn.XLOOKUP(E36,'All Products'!D:D,'All Products'!H:H)</f>
        <v>256.56</v>
      </c>
      <c r="J36" s="133">
        <f>ROUNDUP(I36*Order_Quote!$L$3,2)</f>
        <v>1282.8</v>
      </c>
      <c r="K36" s="123"/>
      <c r="L36" s="79"/>
      <c r="M36" s="107">
        <f t="shared" si="0"/>
        <v>0</v>
      </c>
      <c r="O36" s="265" t="s">
        <v>76</v>
      </c>
      <c r="P36" s="265" t="s">
        <v>102</v>
      </c>
      <c r="Q36" s="265" t="s">
        <v>142</v>
      </c>
      <c r="R36" s="265">
        <v>0</v>
      </c>
      <c r="S36" s="265" t="s">
        <v>143</v>
      </c>
      <c r="T36" s="347">
        <v>1.3180000000000001</v>
      </c>
    </row>
    <row r="37" spans="1:20" ht="15">
      <c r="A37" s="5" t="str">
        <f>IF(K37&gt;0,COUNT($A$7:A36)+COUNT('DWV PVC'!$A$8:$A$284)+1,"")</f>
        <v/>
      </c>
      <c r="B37" s="619"/>
      <c r="C37" s="620"/>
      <c r="D37" s="106" t="s">
        <v>144</v>
      </c>
      <c r="E37" s="106">
        <v>300005970</v>
      </c>
      <c r="F37" s="105" t="s">
        <v>145</v>
      </c>
      <c r="G37" s="129">
        <v>100</v>
      </c>
      <c r="H37" s="129">
        <v>2700</v>
      </c>
      <c r="I37" s="128">
        <f>_xlfn.XLOOKUP(E37,'All Products'!D:D,'All Products'!H:H)</f>
        <v>29.72</v>
      </c>
      <c r="J37" s="133">
        <f>ROUNDUP(I37*Order_Quote!$L$3,2)</f>
        <v>148.6</v>
      </c>
      <c r="K37" s="123"/>
      <c r="L37" s="79"/>
      <c r="M37" s="107">
        <f t="shared" si="0"/>
        <v>0</v>
      </c>
      <c r="O37" s="265" t="s">
        <v>76</v>
      </c>
      <c r="P37" s="265" t="s">
        <v>77</v>
      </c>
      <c r="Q37" s="265">
        <v>0</v>
      </c>
      <c r="R37" s="265">
        <v>0</v>
      </c>
      <c r="S37" s="265">
        <v>0</v>
      </c>
      <c r="T37" s="347">
        <v>0.2</v>
      </c>
    </row>
    <row r="38" spans="1:20" ht="15">
      <c r="A38" s="5" t="str">
        <f>IF(K38&gt;0,COUNT($A$7:A37)+COUNT('DWV PVC'!$A$8:$A$284)+1,"")</f>
        <v/>
      </c>
      <c r="B38" s="619"/>
      <c r="C38" s="620"/>
      <c r="D38" s="106" t="s">
        <v>146</v>
      </c>
      <c r="E38" s="106">
        <v>300005971</v>
      </c>
      <c r="F38" s="105" t="s">
        <v>147</v>
      </c>
      <c r="G38" s="129">
        <v>50</v>
      </c>
      <c r="H38" s="129">
        <v>1350</v>
      </c>
      <c r="I38" s="128">
        <f>_xlfn.XLOOKUP(E38,'All Products'!D:D,'All Products'!H:H)</f>
        <v>45.78</v>
      </c>
      <c r="J38" s="133">
        <f>ROUNDUP(I38*Order_Quote!$L$3,2)</f>
        <v>228.9</v>
      </c>
      <c r="K38" s="123"/>
      <c r="L38" s="79"/>
      <c r="M38" s="107">
        <f t="shared" si="0"/>
        <v>0</v>
      </c>
      <c r="O38" s="265" t="s">
        <v>76</v>
      </c>
      <c r="P38" s="265" t="s">
        <v>77</v>
      </c>
      <c r="Q38" s="265">
        <v>0</v>
      </c>
      <c r="R38" s="265">
        <v>0</v>
      </c>
      <c r="S38" s="265">
        <v>0</v>
      </c>
      <c r="T38" s="347">
        <v>0.23599999999999999</v>
      </c>
    </row>
    <row r="39" spans="1:20" ht="15">
      <c r="A39" s="5" t="str">
        <f>IF(K39&gt;0,COUNT($A$7:A38)+COUNT('DWV PVC'!$A$8:$A$284)+1,"")</f>
        <v/>
      </c>
      <c r="B39" s="621"/>
      <c r="C39" s="622"/>
      <c r="D39" s="106" t="s">
        <v>148</v>
      </c>
      <c r="E39" s="106">
        <v>100031279</v>
      </c>
      <c r="F39" s="105" t="s">
        <v>149</v>
      </c>
      <c r="G39" s="129">
        <v>25</v>
      </c>
      <c r="H39" s="129">
        <v>450</v>
      </c>
      <c r="I39" s="128">
        <f>_xlfn.XLOOKUP(E39,'All Products'!D:D,'All Products'!H:H)</f>
        <v>125.09</v>
      </c>
      <c r="J39" s="133">
        <f>ROUNDUP(I39*Order_Quote!$L$3,2)</f>
        <v>625.45000000000005</v>
      </c>
      <c r="K39" s="123"/>
      <c r="L39" s="79"/>
      <c r="M39" s="107">
        <f t="shared" si="0"/>
        <v>0</v>
      </c>
      <c r="O39" s="265" t="s">
        <v>76</v>
      </c>
      <c r="P39" s="265" t="s">
        <v>102</v>
      </c>
      <c r="Q39" s="265" t="s">
        <v>150</v>
      </c>
      <c r="R39" s="265">
        <v>0</v>
      </c>
      <c r="S39" s="265" t="s">
        <v>151</v>
      </c>
      <c r="T39" s="347">
        <v>0.72599999999999998</v>
      </c>
    </row>
    <row r="40" spans="1:20" ht="15">
      <c r="A40" s="5" t="str">
        <f>IF(K40&gt;0,COUNT($A$7:A39)+COUNT('DWV PVC'!$A$8:$A$284)+1,"")</f>
        <v/>
      </c>
      <c r="B40" s="611"/>
      <c r="C40" s="612"/>
      <c r="D40" s="106" t="s">
        <v>152</v>
      </c>
      <c r="E40" s="106">
        <v>300006024</v>
      </c>
      <c r="F40" s="105" t="s">
        <v>153</v>
      </c>
      <c r="G40" s="129">
        <v>20</v>
      </c>
      <c r="H40" s="129">
        <v>2400</v>
      </c>
      <c r="I40" s="128">
        <f>_xlfn.XLOOKUP(E40,'All Products'!D:D,'All Products'!H:H)</f>
        <v>53.24</v>
      </c>
      <c r="J40" s="133">
        <f>ROUNDUP(I40*Order_Quote!$L$3,2)</f>
        <v>266.2</v>
      </c>
      <c r="K40" s="123"/>
      <c r="L40" s="79"/>
      <c r="M40" s="107">
        <f t="shared" ref="M40:M71" si="1">K40/G40</f>
        <v>0</v>
      </c>
      <c r="O40" s="265" t="s">
        <v>76</v>
      </c>
      <c r="P40" s="265" t="s">
        <v>77</v>
      </c>
      <c r="Q40" s="265">
        <v>0</v>
      </c>
      <c r="R40" s="265">
        <v>0</v>
      </c>
      <c r="S40" s="265">
        <v>0</v>
      </c>
      <c r="T40" s="347">
        <v>0.14199999999999999</v>
      </c>
    </row>
    <row r="41" spans="1:20" ht="15">
      <c r="A41" s="5" t="str">
        <f>IF(K41&gt;0,COUNT($A$7:A40)+COUNT('DWV PVC'!$A$8:$A$284)+1,"")</f>
        <v/>
      </c>
      <c r="B41" s="613"/>
      <c r="C41" s="614"/>
      <c r="D41" s="106" t="s">
        <v>154</v>
      </c>
      <c r="E41" s="106">
        <v>300006025</v>
      </c>
      <c r="F41" s="105" t="s">
        <v>155</v>
      </c>
      <c r="G41" s="129">
        <v>30</v>
      </c>
      <c r="H41" s="129">
        <v>1800</v>
      </c>
      <c r="I41" s="128">
        <f>_xlfn.XLOOKUP(E41,'All Products'!D:D,'All Products'!H:H)</f>
        <v>88.1</v>
      </c>
      <c r="J41" s="133">
        <f>ROUNDUP(I41*Order_Quote!$L$3,2)</f>
        <v>440.5</v>
      </c>
      <c r="K41" s="123"/>
      <c r="L41" s="79"/>
      <c r="M41" s="107">
        <f t="shared" si="1"/>
        <v>0</v>
      </c>
      <c r="O41" s="265" t="s">
        <v>76</v>
      </c>
      <c r="P41" s="265" t="s">
        <v>77</v>
      </c>
      <c r="Q41" s="265">
        <v>0</v>
      </c>
      <c r="R41" s="265">
        <v>0</v>
      </c>
      <c r="S41" s="265">
        <v>0</v>
      </c>
      <c r="T41" s="347">
        <v>0.20699999999999999</v>
      </c>
    </row>
    <row r="42" spans="1:20" ht="32.25" customHeight="1">
      <c r="A42" s="5" t="str">
        <f>IF(K42&gt;0,COUNT($A$7:A41)+COUNT('DWV PVC'!$A$8:$A$284)+1,"")</f>
        <v/>
      </c>
      <c r="B42" s="615"/>
      <c r="C42" s="616"/>
      <c r="D42" s="106" t="s">
        <v>156</v>
      </c>
      <c r="E42" s="106">
        <v>300006026</v>
      </c>
      <c r="F42" s="105" t="s">
        <v>157</v>
      </c>
      <c r="G42" s="129">
        <v>30</v>
      </c>
      <c r="H42" s="129">
        <v>1080</v>
      </c>
      <c r="I42" s="128">
        <f>_xlfn.XLOOKUP(E42,'All Products'!D:D,'All Products'!H:H)</f>
        <v>218.51</v>
      </c>
      <c r="J42" s="133">
        <f>ROUNDUP(I42*Order_Quote!$L$3,2)</f>
        <v>1092.55</v>
      </c>
      <c r="K42" s="123"/>
      <c r="L42" s="79"/>
      <c r="M42" s="107">
        <f t="shared" si="1"/>
        <v>0</v>
      </c>
      <c r="O42" s="265" t="s">
        <v>76</v>
      </c>
      <c r="P42" s="265" t="s">
        <v>77</v>
      </c>
      <c r="Q42" s="265">
        <v>0</v>
      </c>
      <c r="R42" s="265">
        <v>0</v>
      </c>
      <c r="S42" s="265">
        <v>0</v>
      </c>
      <c r="T42" s="347">
        <v>0.19</v>
      </c>
    </row>
    <row r="43" spans="1:20" ht="15">
      <c r="A43" s="5" t="str">
        <f>IF(K43&gt;0,COUNT($A$7:A42)+COUNT('DWV PVC'!$A$8:$A$284)+1,"")</f>
        <v/>
      </c>
      <c r="B43" s="626"/>
      <c r="C43" s="626"/>
      <c r="D43" s="106" t="s">
        <v>158</v>
      </c>
      <c r="E43" s="106">
        <v>300005972</v>
      </c>
      <c r="F43" s="105" t="s">
        <v>159</v>
      </c>
      <c r="G43" s="129">
        <v>50</v>
      </c>
      <c r="H43" s="129">
        <v>1800</v>
      </c>
      <c r="I43" s="128">
        <f>_xlfn.XLOOKUP(E43,'All Products'!D:D,'All Products'!H:H)</f>
        <v>52.71</v>
      </c>
      <c r="J43" s="133">
        <f>ROUNDUP(I43*Order_Quote!$L$3,2)</f>
        <v>263.55</v>
      </c>
      <c r="K43" s="123"/>
      <c r="L43" s="79"/>
      <c r="M43" s="107">
        <f t="shared" si="1"/>
        <v>0</v>
      </c>
      <c r="O43" s="265" t="s">
        <v>76</v>
      </c>
      <c r="P43" s="265" t="s">
        <v>77</v>
      </c>
      <c r="Q43" s="265">
        <v>0</v>
      </c>
      <c r="R43" s="265">
        <v>0</v>
      </c>
      <c r="S43" s="265">
        <v>0</v>
      </c>
      <c r="T43" s="347">
        <v>0.21299999999999999</v>
      </c>
    </row>
    <row r="44" spans="1:20" ht="15">
      <c r="A44" s="5" t="str">
        <f>IF(K44&gt;0,COUNT($A$7:A43)+COUNT('DWV PVC'!$A$8:$A$284)+1,"")</f>
        <v/>
      </c>
      <c r="B44" s="626"/>
      <c r="C44" s="626"/>
      <c r="D44" s="106" t="s">
        <v>160</v>
      </c>
      <c r="E44" s="106">
        <v>300006027</v>
      </c>
      <c r="F44" s="105" t="s">
        <v>161</v>
      </c>
      <c r="G44" s="129">
        <v>25</v>
      </c>
      <c r="H44" s="129">
        <v>900</v>
      </c>
      <c r="I44" s="128">
        <f>_xlfn.XLOOKUP(E44,'All Products'!D:D,'All Products'!H:H)</f>
        <v>64.05</v>
      </c>
      <c r="J44" s="133">
        <f>ROUNDUP(I44*Order_Quote!$L$3,2)</f>
        <v>320.25</v>
      </c>
      <c r="K44" s="123"/>
      <c r="L44" s="79"/>
      <c r="M44" s="107">
        <f t="shared" si="1"/>
        <v>0</v>
      </c>
      <c r="O44" s="265" t="s">
        <v>76</v>
      </c>
      <c r="P44" s="265" t="s">
        <v>77</v>
      </c>
      <c r="Q44" s="265">
        <v>0</v>
      </c>
      <c r="R44" s="265">
        <v>0</v>
      </c>
      <c r="S44" s="265">
        <v>0</v>
      </c>
      <c r="T44" s="347">
        <v>0.30499999999999999</v>
      </c>
    </row>
    <row r="45" spans="1:20" ht="15">
      <c r="A45" s="5" t="str">
        <f>IF(K45&gt;0,COUNT($A$7:A44)+COUNT('DWV PVC'!$A$8:$A$284)+1,"")</f>
        <v/>
      </c>
      <c r="B45" s="626"/>
      <c r="C45" s="626"/>
      <c r="D45" s="106" t="s">
        <v>162</v>
      </c>
      <c r="E45" s="106">
        <v>300006028</v>
      </c>
      <c r="F45" s="105" t="s">
        <v>163</v>
      </c>
      <c r="G45" s="129">
        <v>10</v>
      </c>
      <c r="H45" s="129">
        <v>270</v>
      </c>
      <c r="I45" s="128">
        <f>_xlfn.XLOOKUP(E45,'All Products'!D:D,'All Products'!H:H)</f>
        <v>156.77000000000001</v>
      </c>
      <c r="J45" s="133">
        <f>ROUNDUP(I45*Order_Quote!$L$3,2)</f>
        <v>783.85</v>
      </c>
      <c r="K45" s="123"/>
      <c r="L45" s="79"/>
      <c r="M45" s="107">
        <f t="shared" si="1"/>
        <v>0</v>
      </c>
      <c r="O45" s="265" t="s">
        <v>76</v>
      </c>
      <c r="P45" s="265" t="s">
        <v>77</v>
      </c>
      <c r="Q45" s="265">
        <v>0</v>
      </c>
      <c r="R45" s="265">
        <v>0</v>
      </c>
      <c r="S45" s="265">
        <v>0</v>
      </c>
      <c r="T45" s="347">
        <v>1.5660000000000001</v>
      </c>
    </row>
    <row r="46" spans="1:20" ht="15">
      <c r="A46" s="5" t="str">
        <f>IF(K46&gt;0,COUNT($A$7:A45)+COUNT('DWV PVC'!$A$8:$A$284)+1,"")</f>
        <v/>
      </c>
      <c r="B46" s="626"/>
      <c r="C46" s="626"/>
      <c r="D46" s="106" t="s">
        <v>164</v>
      </c>
      <c r="E46" s="106">
        <v>300006029</v>
      </c>
      <c r="F46" s="105" t="s">
        <v>165</v>
      </c>
      <c r="G46" s="129">
        <v>5</v>
      </c>
      <c r="H46" s="129">
        <v>180</v>
      </c>
      <c r="I46" s="128">
        <f>_xlfn.XLOOKUP(E46,'All Products'!D:D,'All Products'!H:H)</f>
        <v>267.64999999999998</v>
      </c>
      <c r="J46" s="133">
        <f>ROUNDUP(I46*Order_Quote!$L$3,2)</f>
        <v>1338.25</v>
      </c>
      <c r="K46" s="123"/>
      <c r="L46" s="79"/>
      <c r="M46" s="107">
        <f t="shared" si="1"/>
        <v>0</v>
      </c>
      <c r="O46" s="265" t="s">
        <v>76</v>
      </c>
      <c r="P46" s="265" t="s">
        <v>77</v>
      </c>
      <c r="Q46" s="265">
        <v>0</v>
      </c>
      <c r="R46" s="265">
        <v>0</v>
      </c>
      <c r="S46" s="265">
        <v>0</v>
      </c>
      <c r="T46" s="347">
        <v>2.6920000000000002</v>
      </c>
    </row>
    <row r="47" spans="1:20" ht="15">
      <c r="A47" s="5" t="str">
        <f>IF(K47&gt;0,COUNT($A$7:A46)+COUNT('DWV PVC'!$A$8:$A$284)+1,"")</f>
        <v/>
      </c>
      <c r="B47" s="626"/>
      <c r="C47" s="626"/>
      <c r="D47" s="106" t="s">
        <v>166</v>
      </c>
      <c r="E47" s="106">
        <v>300005973</v>
      </c>
      <c r="F47" s="105" t="s">
        <v>167</v>
      </c>
      <c r="G47" s="129">
        <v>100</v>
      </c>
      <c r="H47" s="129">
        <v>2700</v>
      </c>
      <c r="I47" s="128">
        <f>_xlfn.XLOOKUP(E47,'All Products'!D:D,'All Products'!H:H)</f>
        <v>38.22</v>
      </c>
      <c r="J47" s="133">
        <f>ROUNDUP(I47*Order_Quote!$L$3,2)</f>
        <v>191.1</v>
      </c>
      <c r="K47" s="123"/>
      <c r="L47" s="79"/>
      <c r="M47" s="107">
        <f t="shared" si="1"/>
        <v>0</v>
      </c>
      <c r="O47" s="265" t="s">
        <v>76</v>
      </c>
      <c r="P47" s="265" t="s">
        <v>77</v>
      </c>
      <c r="Q47" s="265">
        <v>0</v>
      </c>
      <c r="R47" s="265">
        <v>0</v>
      </c>
      <c r="S47" s="265">
        <v>0</v>
      </c>
      <c r="T47" s="347">
        <v>0.14499999999999999</v>
      </c>
    </row>
    <row r="48" spans="1:20" ht="15">
      <c r="A48" s="5" t="str">
        <f>IF(K48&gt;0,COUNT($A$7:A47)+COUNT('DWV PVC'!$A$8:$A$284)+1,"")</f>
        <v/>
      </c>
      <c r="B48" s="626"/>
      <c r="C48" s="626"/>
      <c r="D48" s="106" t="s">
        <v>168</v>
      </c>
      <c r="E48" s="106">
        <v>300006030</v>
      </c>
      <c r="F48" s="105" t="s">
        <v>169</v>
      </c>
      <c r="G48" s="129">
        <v>50</v>
      </c>
      <c r="H48" s="129">
        <v>1350</v>
      </c>
      <c r="I48" s="128">
        <f>_xlfn.XLOOKUP(E48,'All Products'!D:D,'All Products'!H:H)</f>
        <v>64.05</v>
      </c>
      <c r="J48" s="133">
        <f>ROUNDUP(I48*Order_Quote!$L$3,2)</f>
        <v>320.25</v>
      </c>
      <c r="K48" s="123"/>
      <c r="L48" s="79"/>
      <c r="M48" s="107">
        <f t="shared" si="1"/>
        <v>0</v>
      </c>
      <c r="O48" s="265" t="s">
        <v>76</v>
      </c>
      <c r="P48" s="265" t="s">
        <v>77</v>
      </c>
      <c r="Q48" s="265">
        <v>0</v>
      </c>
      <c r="R48" s="265">
        <v>0</v>
      </c>
      <c r="S48" s="265">
        <v>0</v>
      </c>
      <c r="T48" s="347">
        <v>0.23499999999999999</v>
      </c>
    </row>
    <row r="49" spans="1:20" ht="15">
      <c r="A49" s="5" t="str">
        <f>IF(K49&gt;0,COUNT($A$7:A48)+COUNT('DWV PVC'!$A$8:$A$284)+1,"")</f>
        <v/>
      </c>
      <c r="B49" s="626"/>
      <c r="C49" s="626"/>
      <c r="D49" s="106" t="s">
        <v>170</v>
      </c>
      <c r="E49" s="106">
        <v>100031283</v>
      </c>
      <c r="F49" s="105" t="s">
        <v>171</v>
      </c>
      <c r="G49" s="129">
        <v>20</v>
      </c>
      <c r="H49" s="129">
        <v>240</v>
      </c>
      <c r="I49" s="128">
        <f>_xlfn.XLOOKUP(E49,'All Products'!D:D,'All Products'!H:H)</f>
        <v>152.55000000000001</v>
      </c>
      <c r="J49" s="133">
        <f>ROUNDUP(I49*Order_Quote!$L$3,2)</f>
        <v>762.75</v>
      </c>
      <c r="K49" s="123"/>
      <c r="L49" s="79"/>
      <c r="M49" s="107">
        <f t="shared" si="1"/>
        <v>0</v>
      </c>
      <c r="O49" s="265" t="s">
        <v>76</v>
      </c>
      <c r="P49" s="265" t="s">
        <v>102</v>
      </c>
      <c r="Q49" s="265" t="s">
        <v>172</v>
      </c>
      <c r="R49" s="265">
        <v>0</v>
      </c>
      <c r="S49" s="265" t="s">
        <v>173</v>
      </c>
      <c r="T49" s="347">
        <v>0.69599999999999995</v>
      </c>
    </row>
    <row r="50" spans="1:20" ht="15">
      <c r="A50" s="5" t="str">
        <f>IF(K50&gt;0,COUNT($A$7:A49)+COUNT('DWV PVC'!$A$8:$A$284)+1,"")</f>
        <v/>
      </c>
      <c r="B50" s="626"/>
      <c r="C50" s="626"/>
      <c r="D50" s="106" t="s">
        <v>174</v>
      </c>
      <c r="E50" s="106">
        <v>300006036</v>
      </c>
      <c r="F50" s="105" t="s">
        <v>175</v>
      </c>
      <c r="G50" s="129">
        <v>50</v>
      </c>
      <c r="H50" s="129">
        <v>1800</v>
      </c>
      <c r="I50" s="128">
        <f>_xlfn.XLOOKUP(E50,'All Products'!D:D,'All Products'!H:H)</f>
        <v>66.680000000000007</v>
      </c>
      <c r="J50" s="133">
        <f>ROUNDUP(I50*Order_Quote!$L$3,2)</f>
        <v>333.4</v>
      </c>
      <c r="K50" s="123"/>
      <c r="L50" s="79"/>
      <c r="M50" s="107">
        <f t="shared" si="1"/>
        <v>0</v>
      </c>
      <c r="O50" s="265" t="s">
        <v>76</v>
      </c>
      <c r="P50" s="265" t="s">
        <v>77</v>
      </c>
      <c r="Q50" s="265">
        <v>0</v>
      </c>
      <c r="R50" s="265">
        <v>0</v>
      </c>
      <c r="S50" s="265">
        <v>0</v>
      </c>
      <c r="T50" s="347">
        <v>0.21299999999999999</v>
      </c>
    </row>
    <row r="51" spans="1:20" ht="33.75" customHeight="1">
      <c r="A51" s="5" t="str">
        <f>IF(K51&gt;0,COUNT($A$7:A50)+COUNT('DWV PVC'!$A$8:$A$284)+1,"")</f>
        <v/>
      </c>
      <c r="B51" s="626"/>
      <c r="C51" s="626"/>
      <c r="D51" s="106" t="s">
        <v>176</v>
      </c>
      <c r="E51" s="106">
        <v>300006037</v>
      </c>
      <c r="F51" s="105" t="s">
        <v>177</v>
      </c>
      <c r="G51" s="129">
        <v>20</v>
      </c>
      <c r="H51" s="129">
        <v>180</v>
      </c>
      <c r="I51" s="128">
        <f>_xlfn.XLOOKUP(E51,'All Products'!D:D,'All Products'!H:H)</f>
        <v>282.98</v>
      </c>
      <c r="J51" s="133">
        <f>ROUNDUP(I51*Order_Quote!$L$3,2)</f>
        <v>1414.9</v>
      </c>
      <c r="K51" s="123"/>
      <c r="L51" s="79"/>
      <c r="M51" s="107">
        <f t="shared" si="1"/>
        <v>0</v>
      </c>
      <c r="O51" s="265" t="s">
        <v>76</v>
      </c>
      <c r="P51" s="265" t="s">
        <v>77</v>
      </c>
      <c r="Q51" s="265">
        <v>0</v>
      </c>
      <c r="R51" s="265">
        <v>0</v>
      </c>
      <c r="S51" s="265">
        <v>0</v>
      </c>
      <c r="T51" s="347">
        <v>1.885</v>
      </c>
    </row>
    <row r="52" spans="1:20" ht="15">
      <c r="A52" s="5" t="str">
        <f>IF(K52&gt;0,COUNT($A$7:A51)+COUNT('DWV PVC'!$A$8:$A$284)+1,"")</f>
        <v/>
      </c>
      <c r="B52" s="34"/>
      <c r="C52" s="50"/>
      <c r="D52" s="106" t="s">
        <v>178</v>
      </c>
      <c r="E52" s="106">
        <v>300005893</v>
      </c>
      <c r="F52" s="105" t="s">
        <v>179</v>
      </c>
      <c r="G52" s="129">
        <v>20</v>
      </c>
      <c r="H52" s="129">
        <v>1600</v>
      </c>
      <c r="I52" s="128" t="e">
        <f>_xlfn.XLOOKUP(E52,'All Products'!D:D,'All Products'!H:H)</f>
        <v>#N/A</v>
      </c>
      <c r="J52" s="133" t="e">
        <f>ROUNDUP(I52*Order_Quote!$L$3,2)</f>
        <v>#N/A</v>
      </c>
      <c r="K52" s="123"/>
      <c r="L52" s="79"/>
      <c r="M52" s="107">
        <f t="shared" si="1"/>
        <v>0</v>
      </c>
      <c r="O52" s="265" t="s">
        <v>76</v>
      </c>
      <c r="P52" s="265" t="s">
        <v>77</v>
      </c>
      <c r="Q52" s="265">
        <v>0</v>
      </c>
      <c r="R52" s="265">
        <v>0</v>
      </c>
      <c r="S52" s="265">
        <v>0</v>
      </c>
      <c r="T52" s="347">
        <v>0.23200000000000001</v>
      </c>
    </row>
    <row r="53" spans="1:20" ht="15">
      <c r="A53" s="5" t="str">
        <f>IF(K53&gt;0,COUNT($A$7:A52)+COUNT('DWV PVC'!$A$8:$A$284)+1,"")</f>
        <v/>
      </c>
      <c r="B53" s="34"/>
      <c r="C53" s="50"/>
      <c r="D53" s="106" t="s">
        <v>180</v>
      </c>
      <c r="E53" s="106">
        <v>300005894</v>
      </c>
      <c r="F53" s="105" t="s">
        <v>181</v>
      </c>
      <c r="G53" s="129">
        <v>25</v>
      </c>
      <c r="H53" s="129">
        <v>1200</v>
      </c>
      <c r="I53" s="128">
        <f>_xlfn.XLOOKUP(E53,'All Products'!D:D,'All Products'!H:H)</f>
        <v>177.98</v>
      </c>
      <c r="J53" s="133">
        <f>ROUNDUP(I53*Order_Quote!$L$3,2)</f>
        <v>889.9</v>
      </c>
      <c r="K53" s="123"/>
      <c r="L53" s="79"/>
      <c r="M53" s="107">
        <f t="shared" si="1"/>
        <v>0</v>
      </c>
      <c r="O53" s="265" t="s">
        <v>76</v>
      </c>
      <c r="P53" s="265" t="s">
        <v>77</v>
      </c>
      <c r="Q53" s="265">
        <v>0</v>
      </c>
      <c r="R53" s="265">
        <v>0</v>
      </c>
      <c r="S53" s="265">
        <v>0</v>
      </c>
      <c r="T53" s="347">
        <v>0.35799999999999998</v>
      </c>
    </row>
    <row r="54" spans="1:20" ht="15">
      <c r="A54" s="5" t="str">
        <f>IF(K54&gt;0,COUNT($A$7:A53)+COUNT('DWV PVC'!$A$8:$A$284)+1,"")</f>
        <v/>
      </c>
      <c r="B54" s="23"/>
      <c r="C54" s="51"/>
      <c r="D54" s="106" t="s">
        <v>182</v>
      </c>
      <c r="E54" s="106">
        <v>300005895</v>
      </c>
      <c r="F54" s="105" t="s">
        <v>183</v>
      </c>
      <c r="G54" s="129">
        <v>10</v>
      </c>
      <c r="H54" s="129">
        <v>270</v>
      </c>
      <c r="I54" s="128">
        <f>_xlfn.XLOOKUP(E54,'All Products'!D:D,'All Products'!H:H)</f>
        <v>657.3</v>
      </c>
      <c r="J54" s="133">
        <f>ROUNDUP(I54*Order_Quote!$L$3,2)</f>
        <v>3286.5</v>
      </c>
      <c r="K54" s="123"/>
      <c r="L54" s="79"/>
      <c r="M54" s="107">
        <f t="shared" si="1"/>
        <v>0</v>
      </c>
      <c r="O54" s="265" t="s">
        <v>76</v>
      </c>
      <c r="P54" s="265" t="s">
        <v>77</v>
      </c>
      <c r="Q54" s="265">
        <v>0</v>
      </c>
      <c r="R54" s="265">
        <v>0</v>
      </c>
      <c r="S54" s="265">
        <v>0</v>
      </c>
      <c r="T54" s="347">
        <v>1.1080000000000001</v>
      </c>
    </row>
    <row r="55" spans="1:20" ht="30.75" customHeight="1">
      <c r="A55" s="5" t="str">
        <f>IF(K55&gt;0,COUNT($A$7:A54)+COUNT('DWV PVC'!$A$8:$A$284)+1,"")</f>
        <v/>
      </c>
      <c r="B55" s="626"/>
      <c r="C55" s="626"/>
      <c r="D55" s="106" t="s">
        <v>184</v>
      </c>
      <c r="E55" s="106">
        <v>300005974</v>
      </c>
      <c r="F55" s="105" t="s">
        <v>185</v>
      </c>
      <c r="G55" s="129">
        <v>75</v>
      </c>
      <c r="H55" s="129">
        <v>3600</v>
      </c>
      <c r="I55" s="128">
        <f>_xlfn.XLOOKUP(E55,'All Products'!D:D,'All Products'!H:H)</f>
        <v>52.4</v>
      </c>
      <c r="J55" s="133">
        <f>ROUNDUP(I55*Order_Quote!$L$3,2)</f>
        <v>262</v>
      </c>
      <c r="K55" s="123"/>
      <c r="L55" s="79"/>
      <c r="M55" s="107">
        <f t="shared" si="1"/>
        <v>0</v>
      </c>
      <c r="O55" s="265" t="s">
        <v>76</v>
      </c>
      <c r="P55" s="265" t="s">
        <v>77</v>
      </c>
      <c r="Q55" s="265">
        <v>0</v>
      </c>
      <c r="R55" s="265">
        <v>0</v>
      </c>
      <c r="S55" s="265">
        <v>0</v>
      </c>
      <c r="T55" s="347">
        <v>0.128</v>
      </c>
    </row>
    <row r="56" spans="1:20" ht="29.25" customHeight="1">
      <c r="A56" s="5" t="str">
        <f>IF(K56&gt;0,COUNT($A$7:A55)+COUNT('DWV PVC'!$A$8:$A$284)+1,"")</f>
        <v/>
      </c>
      <c r="B56" s="626"/>
      <c r="C56" s="626"/>
      <c r="D56" s="106" t="s">
        <v>186</v>
      </c>
      <c r="E56" s="106">
        <v>300005975</v>
      </c>
      <c r="F56" s="105" t="s">
        <v>187</v>
      </c>
      <c r="G56" s="129">
        <v>20</v>
      </c>
      <c r="H56" s="129">
        <v>640</v>
      </c>
      <c r="I56" s="128">
        <f>_xlfn.XLOOKUP(E56,'All Products'!D:D,'All Products'!H:H)</f>
        <v>238.88</v>
      </c>
      <c r="J56" s="133">
        <f>ROUNDUP(I56*Order_Quote!$L$3,2)</f>
        <v>1194.4000000000001</v>
      </c>
      <c r="K56" s="123"/>
      <c r="L56" s="79"/>
      <c r="M56" s="107">
        <f t="shared" si="1"/>
        <v>0</v>
      </c>
      <c r="O56" s="265" t="s">
        <v>76</v>
      </c>
      <c r="P56" s="265" t="s">
        <v>77</v>
      </c>
      <c r="Q56" s="265">
        <v>0</v>
      </c>
      <c r="R56" s="265">
        <v>0</v>
      </c>
      <c r="S56" s="265">
        <v>0</v>
      </c>
      <c r="T56" s="347">
        <v>0.60799999999999998</v>
      </c>
    </row>
    <row r="57" spans="1:20" ht="15">
      <c r="A57" s="5" t="str">
        <f>IF(K57&gt;0,COUNT($A$7:A56)+COUNT('DWV PVC'!$A$8:$A$284)+1,"")</f>
        <v/>
      </c>
      <c r="B57" s="626"/>
      <c r="C57" s="626"/>
      <c r="D57" s="106" t="s">
        <v>188</v>
      </c>
      <c r="E57" s="106">
        <v>300006038</v>
      </c>
      <c r="F57" s="105" t="s">
        <v>189</v>
      </c>
      <c r="G57" s="129">
        <v>50</v>
      </c>
      <c r="H57" s="129">
        <v>3600</v>
      </c>
      <c r="I57" s="128">
        <f>_xlfn.XLOOKUP(E57,'All Products'!D:D,'All Products'!H:H)</f>
        <v>164.54</v>
      </c>
      <c r="J57" s="133">
        <f>ROUNDUP(I57*Order_Quote!$L$3,2)</f>
        <v>822.7</v>
      </c>
      <c r="K57" s="123"/>
      <c r="L57" s="79"/>
      <c r="M57" s="107">
        <f t="shared" si="1"/>
        <v>0</v>
      </c>
      <c r="O57" s="265" t="s">
        <v>76</v>
      </c>
      <c r="P57" s="265" t="s">
        <v>77</v>
      </c>
      <c r="Q57" s="265">
        <v>0</v>
      </c>
      <c r="R57" s="265">
        <v>0</v>
      </c>
      <c r="S57" s="265">
        <v>0</v>
      </c>
      <c r="T57" s="347">
        <v>0.14299999999999999</v>
      </c>
    </row>
    <row r="58" spans="1:20" ht="15">
      <c r="A58" s="5" t="str">
        <f>IF(K58&gt;0,COUNT($A$7:A57)+COUNT('DWV PVC'!$A$8:$A$284)+1,"")</f>
        <v/>
      </c>
      <c r="B58" s="626"/>
      <c r="C58" s="626"/>
      <c r="D58" s="106" t="s">
        <v>190</v>
      </c>
      <c r="E58" s="106">
        <v>300005976</v>
      </c>
      <c r="F58" s="105" t="s">
        <v>191</v>
      </c>
      <c r="G58" s="129">
        <v>10</v>
      </c>
      <c r="H58" s="129">
        <v>240</v>
      </c>
      <c r="I58" s="128">
        <f>_xlfn.XLOOKUP(E58,'All Products'!D:D,'All Products'!H:H)</f>
        <v>189.53</v>
      </c>
      <c r="J58" s="133">
        <f>ROUNDUP(I58*Order_Quote!$L$3,2)</f>
        <v>947.65</v>
      </c>
      <c r="K58" s="123"/>
      <c r="L58" s="79"/>
      <c r="M58" s="107">
        <f t="shared" si="1"/>
        <v>0</v>
      </c>
      <c r="O58" s="265" t="s">
        <v>76</v>
      </c>
      <c r="P58" s="265" t="s">
        <v>77</v>
      </c>
      <c r="Q58" s="265">
        <v>0</v>
      </c>
      <c r="R58" s="265">
        <v>0</v>
      </c>
      <c r="S58" s="265">
        <v>0</v>
      </c>
      <c r="T58" s="347">
        <v>1.2170000000000001</v>
      </c>
    </row>
    <row r="59" spans="1:20" ht="15">
      <c r="A59" s="5" t="str">
        <f>IF(K59&gt;0,COUNT($A$7:A58)+COUNT('DWV PVC'!$A$8:$A$284)+1,"")</f>
        <v/>
      </c>
      <c r="B59" s="626"/>
      <c r="C59" s="626"/>
      <c r="D59" s="106" t="s">
        <v>192</v>
      </c>
      <c r="E59" s="106">
        <v>100031276</v>
      </c>
      <c r="F59" s="105" t="s">
        <v>193</v>
      </c>
      <c r="G59" s="129">
        <v>100</v>
      </c>
      <c r="H59" s="129">
        <v>1800</v>
      </c>
      <c r="I59" s="128">
        <f>_xlfn.XLOOKUP(E59,'All Products'!D:D,'All Products'!H:H)</f>
        <v>29.51</v>
      </c>
      <c r="J59" s="133">
        <f>ROUNDUP(I59*Order_Quote!$L$3,2)</f>
        <v>147.55000000000001</v>
      </c>
      <c r="K59" s="123"/>
      <c r="L59" s="79"/>
      <c r="M59" s="107">
        <f t="shared" si="1"/>
        <v>0</v>
      </c>
      <c r="O59" s="265" t="s">
        <v>76</v>
      </c>
      <c r="P59" s="265" t="s">
        <v>102</v>
      </c>
      <c r="Q59" s="265" t="s">
        <v>194</v>
      </c>
      <c r="R59" s="265">
        <v>0</v>
      </c>
      <c r="S59" s="265" t="s">
        <v>195</v>
      </c>
      <c r="T59" s="347">
        <v>0.13600000000000001</v>
      </c>
    </row>
    <row r="60" spans="1:20" ht="15">
      <c r="A60" s="5" t="str">
        <f>IF(K60&gt;0,COUNT($A$7:A59)+COUNT('DWV PVC'!$A$8:$A$284)+1,"")</f>
        <v/>
      </c>
      <c r="B60" s="626"/>
      <c r="C60" s="626"/>
      <c r="D60" s="106" t="s">
        <v>196</v>
      </c>
      <c r="E60" s="106">
        <v>100031277</v>
      </c>
      <c r="F60" s="105" t="s">
        <v>197</v>
      </c>
      <c r="G60" s="129">
        <v>50</v>
      </c>
      <c r="H60" s="129">
        <v>900</v>
      </c>
      <c r="I60" s="128">
        <f>_xlfn.XLOOKUP(E60,'All Products'!D:D,'All Products'!H:H)</f>
        <v>45.69</v>
      </c>
      <c r="J60" s="133">
        <f>ROUNDUP(I60*Order_Quote!$L$3,2)</f>
        <v>228.45</v>
      </c>
      <c r="K60" s="123"/>
      <c r="L60" s="79"/>
      <c r="M60" s="107">
        <f t="shared" si="1"/>
        <v>0</v>
      </c>
      <c r="O60" s="265" t="s">
        <v>76</v>
      </c>
      <c r="P60" s="265" t="s">
        <v>102</v>
      </c>
      <c r="Q60" s="265" t="s">
        <v>198</v>
      </c>
      <c r="R60" s="265">
        <v>0</v>
      </c>
      <c r="S60" s="265" t="s">
        <v>199</v>
      </c>
      <c r="T60" s="347">
        <v>0.20399999999999999</v>
      </c>
    </row>
    <row r="61" spans="1:20" ht="15">
      <c r="A61" s="5" t="str">
        <f>IF(K61&gt;0,COUNT($A$7:A60)+COUNT('DWV PVC'!$A$8:$A$284)+1,"")</f>
        <v/>
      </c>
      <c r="B61" s="626"/>
      <c r="C61" s="626"/>
      <c r="D61" s="106" t="s">
        <v>200</v>
      </c>
      <c r="E61" s="106">
        <v>100031278</v>
      </c>
      <c r="F61" s="105" t="s">
        <v>201</v>
      </c>
      <c r="G61" s="129">
        <v>20</v>
      </c>
      <c r="H61" s="129">
        <v>240</v>
      </c>
      <c r="I61" s="128">
        <f>_xlfn.XLOOKUP(E61,'All Products'!D:D,'All Products'!H:H)</f>
        <v>109.49</v>
      </c>
      <c r="J61" s="133">
        <f>ROUNDUP(I61*Order_Quote!$L$3,2)</f>
        <v>547.45000000000005</v>
      </c>
      <c r="K61" s="123"/>
      <c r="L61" s="79"/>
      <c r="M61" s="107">
        <f t="shared" si="1"/>
        <v>0</v>
      </c>
      <c r="O61" s="265" t="s">
        <v>76</v>
      </c>
      <c r="P61" s="265" t="s">
        <v>102</v>
      </c>
      <c r="Q61" s="265" t="s">
        <v>202</v>
      </c>
      <c r="R61" s="265">
        <v>0</v>
      </c>
      <c r="S61" s="265" t="s">
        <v>203</v>
      </c>
      <c r="T61" s="347">
        <v>0.60399999999999998</v>
      </c>
    </row>
    <row r="62" spans="1:20" ht="33" customHeight="1">
      <c r="A62" s="5" t="str">
        <f>IF(K62&gt;0,COUNT($A$7:A61)+COUNT('DWV PVC'!$A$8:$A$284)+1,"")</f>
        <v/>
      </c>
      <c r="B62" s="625"/>
      <c r="C62" s="625"/>
      <c r="D62" s="106" t="s">
        <v>204</v>
      </c>
      <c r="E62" s="106">
        <v>300005977</v>
      </c>
      <c r="F62" s="105" t="s">
        <v>205</v>
      </c>
      <c r="G62" s="129">
        <v>100</v>
      </c>
      <c r="H62" s="129">
        <v>2700</v>
      </c>
      <c r="I62" s="128">
        <f>_xlfn.XLOOKUP(E62,'All Products'!D:D,'All Products'!H:H)</f>
        <v>33.92</v>
      </c>
      <c r="J62" s="133">
        <f>ROUNDUP(I62*Order_Quote!$L$3,2)</f>
        <v>169.6</v>
      </c>
      <c r="K62" s="123"/>
      <c r="L62" s="79"/>
      <c r="M62" s="107">
        <f t="shared" si="1"/>
        <v>0</v>
      </c>
      <c r="O62" s="265" t="s">
        <v>76</v>
      </c>
      <c r="P62" s="265" t="s">
        <v>77</v>
      </c>
      <c r="Q62" s="265">
        <v>0</v>
      </c>
      <c r="R62" s="265">
        <v>0</v>
      </c>
      <c r="S62" s="265">
        <v>0</v>
      </c>
      <c r="T62" s="347">
        <v>0.113</v>
      </c>
    </row>
    <row r="63" spans="1:20" ht="38.25" customHeight="1">
      <c r="A63" s="5" t="str">
        <f>IF(K63&gt;0,COUNT($A$7:A62)+COUNT('DWV PVC'!$A$8:$A$284)+1,"")</f>
        <v/>
      </c>
      <c r="B63" s="625"/>
      <c r="C63" s="625"/>
      <c r="D63" s="106" t="s">
        <v>206</v>
      </c>
      <c r="E63" s="106">
        <v>300005978</v>
      </c>
      <c r="F63" s="105" t="s">
        <v>207</v>
      </c>
      <c r="G63" s="129">
        <v>10</v>
      </c>
      <c r="H63" s="129">
        <v>240</v>
      </c>
      <c r="I63" s="128">
        <f>_xlfn.XLOOKUP(E63,'All Products'!D:D,'All Products'!H:H)</f>
        <v>192.68</v>
      </c>
      <c r="J63" s="133">
        <f>ROUNDUP(I63*Order_Quote!$L$3,2)</f>
        <v>963.4</v>
      </c>
      <c r="K63" s="123"/>
      <c r="L63" s="79"/>
      <c r="M63" s="107">
        <f t="shared" si="1"/>
        <v>0</v>
      </c>
      <c r="O63" s="265" t="s">
        <v>76</v>
      </c>
      <c r="P63" s="265" t="s">
        <v>77</v>
      </c>
      <c r="Q63" s="265">
        <v>0</v>
      </c>
      <c r="R63" s="265">
        <v>0</v>
      </c>
      <c r="S63" s="265">
        <v>0</v>
      </c>
      <c r="T63" s="347">
        <v>1.1040000000000001</v>
      </c>
    </row>
    <row r="64" spans="1:20" ht="15">
      <c r="A64" s="5" t="str">
        <f>IF(K64&gt;0,COUNT($A$7:A63)+COUNT('DWV PVC'!$A$8:$A$284)+1,"")</f>
        <v/>
      </c>
      <c r="B64" s="625"/>
      <c r="C64" s="625"/>
      <c r="D64" s="106" t="s">
        <v>208</v>
      </c>
      <c r="E64" s="106">
        <v>100031281</v>
      </c>
      <c r="F64" s="105" t="s">
        <v>209</v>
      </c>
      <c r="G64" s="129">
        <v>50</v>
      </c>
      <c r="H64" s="129">
        <v>900</v>
      </c>
      <c r="I64" s="128">
        <f>_xlfn.XLOOKUP(E64,'All Products'!D:D,'All Products'!H:H)</f>
        <v>48.88</v>
      </c>
      <c r="J64" s="133">
        <f>ROUNDUP(I64*Order_Quote!$L$3,2)</f>
        <v>244.4</v>
      </c>
      <c r="K64" s="123"/>
      <c r="L64" s="79"/>
      <c r="M64" s="107">
        <f t="shared" si="1"/>
        <v>0</v>
      </c>
      <c r="O64" s="265" t="s">
        <v>76</v>
      </c>
      <c r="P64" s="265" t="s">
        <v>102</v>
      </c>
      <c r="Q64" s="265" t="s">
        <v>210</v>
      </c>
      <c r="R64" s="265">
        <v>0</v>
      </c>
      <c r="S64" s="265" t="s">
        <v>211</v>
      </c>
      <c r="T64" s="347">
        <v>0.19400000000000001</v>
      </c>
    </row>
    <row r="65" spans="1:20" ht="15">
      <c r="A65" s="5" t="str">
        <f>IF(K65&gt;0,COUNT($A$7:A64)+COUNT('DWV PVC'!$A$8:$A$284)+1,"")</f>
        <v/>
      </c>
      <c r="B65" s="625"/>
      <c r="C65" s="625"/>
      <c r="D65" s="106" t="s">
        <v>212</v>
      </c>
      <c r="E65" s="106">
        <v>100031282</v>
      </c>
      <c r="F65" s="105" t="s">
        <v>213</v>
      </c>
      <c r="G65" s="129">
        <v>20</v>
      </c>
      <c r="H65" s="129">
        <v>240</v>
      </c>
      <c r="I65" s="128">
        <f>_xlfn.XLOOKUP(E65,'All Products'!D:D,'All Products'!H:H)</f>
        <v>120.65</v>
      </c>
      <c r="J65" s="133">
        <f>ROUNDUP(I65*Order_Quote!$L$3,2)</f>
        <v>603.25</v>
      </c>
      <c r="K65" s="123"/>
      <c r="L65" s="79"/>
      <c r="M65" s="107">
        <f t="shared" si="1"/>
        <v>0</v>
      </c>
      <c r="O65" s="265" t="s">
        <v>76</v>
      </c>
      <c r="P65" s="265" t="s">
        <v>102</v>
      </c>
      <c r="Q65" s="265" t="s">
        <v>214</v>
      </c>
      <c r="R65" s="265">
        <v>0</v>
      </c>
      <c r="S65" s="265" t="s">
        <v>215</v>
      </c>
      <c r="T65" s="347">
        <v>0.59799999999999998</v>
      </c>
    </row>
    <row r="66" spans="1:20" ht="15">
      <c r="A66" s="5" t="str">
        <f>IF(K66&gt;0,COUNT($A$7:A65)+COUNT('DWV PVC'!$A$8:$A$284)+1,"")</f>
        <v/>
      </c>
      <c r="B66" s="626"/>
      <c r="C66" s="626"/>
      <c r="D66" s="106" t="s">
        <v>216</v>
      </c>
      <c r="E66" s="106">
        <v>300005979</v>
      </c>
      <c r="F66" s="105" t="s">
        <v>217</v>
      </c>
      <c r="G66" s="129">
        <v>50</v>
      </c>
      <c r="H66" s="129">
        <v>4000</v>
      </c>
      <c r="I66" s="128">
        <f>_xlfn.XLOOKUP(E66,'All Products'!D:D,'All Products'!H:H)</f>
        <v>39.69</v>
      </c>
      <c r="J66" s="133">
        <f>ROUNDUP(I66*Order_Quote!$L$3,2)</f>
        <v>198.45</v>
      </c>
      <c r="K66" s="123"/>
      <c r="L66" s="79"/>
      <c r="M66" s="107">
        <f t="shared" si="1"/>
        <v>0</v>
      </c>
      <c r="O66" s="265" t="s">
        <v>76</v>
      </c>
      <c r="P66" s="265" t="s">
        <v>77</v>
      </c>
      <c r="Q66" s="265">
        <v>0</v>
      </c>
      <c r="R66" s="265">
        <v>0</v>
      </c>
      <c r="S66" s="265">
        <v>0</v>
      </c>
      <c r="T66" s="347">
        <v>0.105</v>
      </c>
    </row>
    <row r="67" spans="1:20" ht="15">
      <c r="A67" s="5" t="str">
        <f>IF(K67&gt;0,COUNT($A$7:A66)+COUNT('DWV PVC'!$A$8:$A$284)+1,"")</f>
        <v/>
      </c>
      <c r="B67" s="626"/>
      <c r="C67" s="626"/>
      <c r="D67" s="106" t="s">
        <v>218</v>
      </c>
      <c r="E67" s="106">
        <v>300005980</v>
      </c>
      <c r="F67" s="105" t="s">
        <v>219</v>
      </c>
      <c r="G67" s="129">
        <v>25</v>
      </c>
      <c r="H67" s="129">
        <v>2025</v>
      </c>
      <c r="I67" s="128">
        <f>_xlfn.XLOOKUP(E67,'All Products'!D:D,'All Products'!H:H)</f>
        <v>45.26</v>
      </c>
      <c r="J67" s="133">
        <f>ROUNDUP(I67*Order_Quote!$L$3,2)</f>
        <v>226.3</v>
      </c>
      <c r="K67" s="123"/>
      <c r="L67" s="79"/>
      <c r="M67" s="107">
        <f t="shared" si="1"/>
        <v>0</v>
      </c>
      <c r="O67" s="265" t="s">
        <v>76</v>
      </c>
      <c r="P67" s="265" t="s">
        <v>77</v>
      </c>
      <c r="Q67" s="265">
        <v>0</v>
      </c>
      <c r="R67" s="265">
        <v>0</v>
      </c>
      <c r="S67" s="265">
        <v>0</v>
      </c>
      <c r="T67" s="347">
        <v>0.14399999999999999</v>
      </c>
    </row>
    <row r="68" spans="1:20" ht="15">
      <c r="A68" s="5" t="str">
        <f>IF(K68&gt;0,COUNT($A$7:A67)+COUNT('DWV PVC'!$A$8:$A$284)+1,"")</f>
        <v/>
      </c>
      <c r="B68" s="626"/>
      <c r="C68" s="626"/>
      <c r="D68" s="106" t="s">
        <v>220</v>
      </c>
      <c r="E68" s="106">
        <v>300005981</v>
      </c>
      <c r="F68" s="105" t="s">
        <v>221</v>
      </c>
      <c r="G68" s="129">
        <v>20</v>
      </c>
      <c r="H68" s="129">
        <v>720</v>
      </c>
      <c r="I68" s="128">
        <f>_xlfn.XLOOKUP(E68,'All Products'!D:D,'All Products'!H:H)</f>
        <v>116.24</v>
      </c>
      <c r="J68" s="133">
        <f>ROUNDUP(I68*Order_Quote!$L$3,2)</f>
        <v>581.20000000000005</v>
      </c>
      <c r="K68" s="123"/>
      <c r="L68" s="79"/>
      <c r="M68" s="107">
        <f t="shared" si="1"/>
        <v>0</v>
      </c>
      <c r="O68" s="265" t="s">
        <v>76</v>
      </c>
      <c r="P68" s="265" t="s">
        <v>77</v>
      </c>
      <c r="Q68" s="265">
        <v>0</v>
      </c>
      <c r="R68" s="265">
        <v>0</v>
      </c>
      <c r="S68" s="265">
        <v>0</v>
      </c>
      <c r="T68" s="347">
        <v>0.501</v>
      </c>
    </row>
    <row r="69" spans="1:20" ht="21.75" customHeight="1">
      <c r="A69" s="5" t="str">
        <f>IF(K69&gt;0,COUNT($A$7:A68)+COUNT('DWV PVC'!$A$8:$A$284)+1,"")</f>
        <v/>
      </c>
      <c r="B69" s="626"/>
      <c r="C69" s="626"/>
      <c r="D69" s="106" t="s">
        <v>222</v>
      </c>
      <c r="E69" s="106">
        <v>300005982</v>
      </c>
      <c r="F69" s="105" t="s">
        <v>223</v>
      </c>
      <c r="G69" s="129">
        <v>15</v>
      </c>
      <c r="H69" s="129">
        <v>360</v>
      </c>
      <c r="I69" s="128">
        <f>_xlfn.XLOOKUP(E69,'All Products'!D:D,'All Products'!H:H)</f>
        <v>176.93</v>
      </c>
      <c r="J69" s="133">
        <f>ROUNDUP(I69*Order_Quote!$L$3,2)</f>
        <v>884.65</v>
      </c>
      <c r="K69" s="123"/>
      <c r="L69" s="79"/>
      <c r="M69" s="107">
        <f t="shared" si="1"/>
        <v>0</v>
      </c>
      <c r="O69" s="265" t="s">
        <v>76</v>
      </c>
      <c r="P69" s="265" t="s">
        <v>77</v>
      </c>
      <c r="Q69" s="265">
        <v>0</v>
      </c>
      <c r="R69" s="265">
        <v>0</v>
      </c>
      <c r="S69" s="265">
        <v>0</v>
      </c>
      <c r="T69" s="347">
        <v>0.86699999999999999</v>
      </c>
    </row>
    <row r="70" spans="1:20" ht="21.75" customHeight="1">
      <c r="A70" s="5" t="str">
        <f>IF(K70&gt;0,COUNT($A$7:A69)+COUNT('DWV PVC'!$A$8:$A$284)+1,"")</f>
        <v/>
      </c>
      <c r="B70" s="626"/>
      <c r="C70" s="626"/>
      <c r="D70" s="106" t="s">
        <v>224</v>
      </c>
      <c r="E70" s="106">
        <v>100031284</v>
      </c>
      <c r="F70" s="105" t="s">
        <v>225</v>
      </c>
      <c r="G70" s="129">
        <v>50</v>
      </c>
      <c r="H70" s="129">
        <v>4000</v>
      </c>
      <c r="I70" s="128">
        <f>_xlfn.XLOOKUP(E70,'All Products'!D:D,'All Products'!H:H)</f>
        <v>122.58</v>
      </c>
      <c r="J70" s="133">
        <f>ROUNDUP(I70*Order_Quote!$L$3,2)</f>
        <v>612.9</v>
      </c>
      <c r="K70" s="123"/>
      <c r="L70" s="79"/>
      <c r="M70" s="107">
        <f t="shared" si="1"/>
        <v>0</v>
      </c>
      <c r="O70" s="265" t="s">
        <v>76</v>
      </c>
      <c r="P70" s="265" t="s">
        <v>102</v>
      </c>
      <c r="Q70" s="265" t="s">
        <v>226</v>
      </c>
      <c r="R70" s="265">
        <v>0</v>
      </c>
      <c r="S70" s="265" t="s">
        <v>227</v>
      </c>
      <c r="T70" s="347">
        <v>9.1999999999999998E-2</v>
      </c>
    </row>
    <row r="71" spans="1:20" ht="27" customHeight="1">
      <c r="A71" s="5" t="str">
        <f>IF(K71&gt;0,COUNT($A$7:A70)+COUNT('DWV PVC'!$A$8:$A$284)+1,"")</f>
        <v/>
      </c>
      <c r="B71" s="626"/>
      <c r="C71" s="626"/>
      <c r="D71" s="106" t="s">
        <v>228</v>
      </c>
      <c r="E71" s="106">
        <v>100031285</v>
      </c>
      <c r="F71" s="105" t="s">
        <v>229</v>
      </c>
      <c r="G71" s="129">
        <v>25</v>
      </c>
      <c r="H71" s="129">
        <v>2000</v>
      </c>
      <c r="I71" s="128">
        <f>_xlfn.XLOOKUP(E71,'All Products'!D:D,'All Products'!H:H)</f>
        <v>110.85</v>
      </c>
      <c r="J71" s="133">
        <f>ROUNDUP(I71*Order_Quote!$L$3,2)</f>
        <v>554.25</v>
      </c>
      <c r="K71" s="123"/>
      <c r="L71" s="79"/>
      <c r="M71" s="107">
        <f t="shared" si="1"/>
        <v>0</v>
      </c>
      <c r="O71" s="265" t="s">
        <v>76</v>
      </c>
      <c r="P71" s="265" t="s">
        <v>102</v>
      </c>
      <c r="Q71" s="265" t="s">
        <v>230</v>
      </c>
      <c r="R71" s="265">
        <v>0</v>
      </c>
      <c r="S71" s="265" t="s">
        <v>231</v>
      </c>
      <c r="T71" s="347">
        <v>0.13600000000000001</v>
      </c>
    </row>
    <row r="72" spans="1:20" ht="15">
      <c r="A72" s="5" t="str">
        <f>IF(K72&gt;0,COUNT($A$7:A71)+COUNT('DWV PVC'!$A$8:$A$284)+1,"")</f>
        <v/>
      </c>
      <c r="B72" s="626"/>
      <c r="C72" s="626"/>
      <c r="D72" s="106" t="s">
        <v>232</v>
      </c>
      <c r="E72" s="106">
        <v>300005984</v>
      </c>
      <c r="F72" s="105" t="s">
        <v>233</v>
      </c>
      <c r="G72" s="129">
        <v>100</v>
      </c>
      <c r="H72" s="129">
        <v>8000</v>
      </c>
      <c r="I72" s="128">
        <f>_xlfn.XLOOKUP(E72,'All Products'!D:D,'All Products'!H:H)</f>
        <v>15.33</v>
      </c>
      <c r="J72" s="133">
        <f>ROUNDUP(I72*Order_Quote!$L$3,2)</f>
        <v>76.650000000000006</v>
      </c>
      <c r="K72" s="123"/>
      <c r="L72" s="79"/>
      <c r="M72" s="107">
        <f t="shared" ref="M72:M103" si="2">K72/G72</f>
        <v>0</v>
      </c>
      <c r="O72" s="265" t="s">
        <v>76</v>
      </c>
      <c r="P72" s="265" t="s">
        <v>77</v>
      </c>
      <c r="Q72" s="265">
        <v>0</v>
      </c>
      <c r="R72" s="265">
        <v>0</v>
      </c>
      <c r="S72" s="265">
        <v>0</v>
      </c>
      <c r="T72" s="347">
        <v>7.1999999999999995E-2</v>
      </c>
    </row>
    <row r="73" spans="1:20" ht="15">
      <c r="A73" s="5" t="str">
        <f>IF(K73&gt;0,COUNT($A$7:A72)+COUNT('DWV PVC'!$A$8:$A$284)+1,"")</f>
        <v/>
      </c>
      <c r="B73" s="626"/>
      <c r="C73" s="626"/>
      <c r="D73" s="106" t="s">
        <v>234</v>
      </c>
      <c r="E73" s="106">
        <v>300005983</v>
      </c>
      <c r="F73" s="105" t="s">
        <v>235</v>
      </c>
      <c r="G73" s="129">
        <v>125</v>
      </c>
      <c r="H73" s="129">
        <v>9000</v>
      </c>
      <c r="I73" s="128">
        <f>_xlfn.XLOOKUP(E73,'All Products'!D:D,'All Products'!H:H)</f>
        <v>30.03</v>
      </c>
      <c r="J73" s="133">
        <f>ROUNDUP(I73*Order_Quote!$L$3,2)</f>
        <v>150.15</v>
      </c>
      <c r="K73" s="123"/>
      <c r="L73" s="79"/>
      <c r="M73" s="107">
        <f t="shared" si="2"/>
        <v>0</v>
      </c>
      <c r="O73" s="265" t="s">
        <v>76</v>
      </c>
      <c r="P73" s="265" t="s">
        <v>77</v>
      </c>
      <c r="Q73" s="265">
        <v>0</v>
      </c>
      <c r="R73" s="265">
        <v>0</v>
      </c>
      <c r="S73" s="265">
        <v>0</v>
      </c>
      <c r="T73" s="347">
        <v>4.9000000000000002E-2</v>
      </c>
    </row>
    <row r="74" spans="1:20" ht="15">
      <c r="A74" s="5" t="str">
        <f>IF(K74&gt;0,COUNT($A$7:A73)+COUNT('DWV PVC'!$A$8:$A$284)+1,"")</f>
        <v/>
      </c>
      <c r="B74" s="626"/>
      <c r="C74" s="626"/>
      <c r="D74" s="106" t="s">
        <v>236</v>
      </c>
      <c r="E74" s="106">
        <v>300005985</v>
      </c>
      <c r="F74" s="105" t="s">
        <v>237</v>
      </c>
      <c r="G74" s="129">
        <v>100</v>
      </c>
      <c r="H74" s="129">
        <v>4200</v>
      </c>
      <c r="I74" s="128">
        <f>_xlfn.XLOOKUP(E74,'All Products'!D:D,'All Products'!H:H)</f>
        <v>19.22</v>
      </c>
      <c r="J74" s="133">
        <f>ROUNDUP(I74*Order_Quote!$L$3,2)</f>
        <v>96.1</v>
      </c>
      <c r="K74" s="123"/>
      <c r="L74" s="79"/>
      <c r="M74" s="107">
        <f t="shared" si="2"/>
        <v>0</v>
      </c>
      <c r="O74" s="265" t="s">
        <v>76</v>
      </c>
      <c r="P74" s="265" t="s">
        <v>77</v>
      </c>
      <c r="Q74" s="265">
        <v>0</v>
      </c>
      <c r="R74" s="265">
        <v>0</v>
      </c>
      <c r="S74" s="265">
        <v>0</v>
      </c>
      <c r="T74" s="347">
        <v>9.5000000000000001E-2</v>
      </c>
    </row>
    <row r="75" spans="1:20" ht="15">
      <c r="A75" s="5" t="str">
        <f>IF(K75&gt;0,COUNT($A$7:A74)+COUNT('DWV PVC'!$A$8:$A$284)+1,"")</f>
        <v/>
      </c>
      <c r="B75" s="626"/>
      <c r="C75" s="626"/>
      <c r="D75" s="106" t="s">
        <v>238</v>
      </c>
      <c r="E75" s="106">
        <v>300005986</v>
      </c>
      <c r="F75" s="105" t="s">
        <v>239</v>
      </c>
      <c r="G75" s="129">
        <v>60</v>
      </c>
      <c r="H75" s="129">
        <v>1080</v>
      </c>
      <c r="I75" s="128">
        <f>_xlfn.XLOOKUP(E75,'All Products'!D:D,'All Products'!H:H)</f>
        <v>57.54</v>
      </c>
      <c r="J75" s="133">
        <f>ROUNDUP(I75*Order_Quote!$L$3,2)</f>
        <v>287.7</v>
      </c>
      <c r="K75" s="123"/>
      <c r="L75" s="79"/>
      <c r="M75" s="107">
        <f t="shared" si="2"/>
        <v>0</v>
      </c>
      <c r="O75" s="265" t="s">
        <v>76</v>
      </c>
      <c r="P75" s="265" t="s">
        <v>77</v>
      </c>
      <c r="Q75" s="265">
        <v>0</v>
      </c>
      <c r="R75" s="265">
        <v>0</v>
      </c>
      <c r="S75" s="265">
        <v>0</v>
      </c>
      <c r="T75" s="347">
        <v>0.35799999999999998</v>
      </c>
    </row>
    <row r="76" spans="1:20" ht="15">
      <c r="A76" s="5" t="str">
        <f>IF(K76&gt;0,COUNT($A$7:A75)+COUNT('DWV PVC'!$A$8:$A$284)+1,"")</f>
        <v/>
      </c>
      <c r="B76" s="626"/>
      <c r="C76" s="626"/>
      <c r="D76" s="106" t="s">
        <v>240</v>
      </c>
      <c r="E76" s="106">
        <v>100031289</v>
      </c>
      <c r="F76" s="105" t="s">
        <v>241</v>
      </c>
      <c r="G76" s="129">
        <v>25</v>
      </c>
      <c r="H76" s="129">
        <v>300</v>
      </c>
      <c r="I76" s="128">
        <f>_xlfn.XLOOKUP(E76,'All Products'!D:D,'All Products'!H:H)</f>
        <v>104.25</v>
      </c>
      <c r="J76" s="133">
        <f>ROUNDUP(I76*Order_Quote!$L$3,2)</f>
        <v>521.25</v>
      </c>
      <c r="K76" s="123"/>
      <c r="L76" s="79"/>
      <c r="M76" s="107">
        <f t="shared" si="2"/>
        <v>0</v>
      </c>
      <c r="O76" s="265" t="s">
        <v>76</v>
      </c>
      <c r="P76" s="265" t="s">
        <v>102</v>
      </c>
      <c r="Q76" s="265" t="s">
        <v>242</v>
      </c>
      <c r="R76" s="265">
        <v>0</v>
      </c>
      <c r="S76" s="265" t="s">
        <v>243</v>
      </c>
      <c r="T76" s="347">
        <v>0.59</v>
      </c>
    </row>
    <row r="77" spans="1:20" ht="15">
      <c r="A77" s="5" t="str">
        <f>IF(K77&gt;0,COUNT($A$7:A76)+COUNT('DWV PVC'!$A$8:$A$284)+1,"")</f>
        <v/>
      </c>
      <c r="B77" s="626"/>
      <c r="C77" s="626"/>
      <c r="D77" s="106" t="s">
        <v>244</v>
      </c>
      <c r="E77" s="106">
        <v>300005987</v>
      </c>
      <c r="F77" s="105" t="s">
        <v>245</v>
      </c>
      <c r="G77" s="129">
        <v>25</v>
      </c>
      <c r="H77" s="129">
        <v>4200</v>
      </c>
      <c r="I77" s="128">
        <f>_xlfn.XLOOKUP(E77,'All Products'!D:D,'All Products'!H:H)</f>
        <v>40.85</v>
      </c>
      <c r="J77" s="133">
        <f>ROUNDUP(I77*Order_Quote!$L$3,2)</f>
        <v>204.25</v>
      </c>
      <c r="K77" s="123"/>
      <c r="L77" s="79"/>
      <c r="M77" s="107">
        <f t="shared" si="2"/>
        <v>0</v>
      </c>
      <c r="O77" s="265" t="s">
        <v>76</v>
      </c>
      <c r="P77" s="265" t="s">
        <v>77</v>
      </c>
      <c r="Q77" s="265">
        <v>0</v>
      </c>
      <c r="R77" s="265">
        <v>0</v>
      </c>
      <c r="S77" s="265">
        <v>0</v>
      </c>
      <c r="T77" s="347">
        <v>0.51500000000000001</v>
      </c>
    </row>
    <row r="78" spans="1:20" ht="15">
      <c r="A78" s="5" t="str">
        <f>IF(K78&gt;0,COUNT($A$7:A77)+COUNT('DWV PVC'!$A$8:$A$284)+1,"")</f>
        <v/>
      </c>
      <c r="B78" s="626"/>
      <c r="C78" s="626"/>
      <c r="D78" s="106" t="s">
        <v>246</v>
      </c>
      <c r="E78" s="106">
        <v>300005988</v>
      </c>
      <c r="F78" s="105" t="s">
        <v>247</v>
      </c>
      <c r="G78" s="129">
        <v>30</v>
      </c>
      <c r="H78" s="129">
        <v>1920</v>
      </c>
      <c r="I78" s="128">
        <f>_xlfn.XLOOKUP(E78,'All Products'!D:D,'All Products'!H:H)</f>
        <v>97.02</v>
      </c>
      <c r="J78" s="133">
        <f>ROUNDUP(I78*Order_Quote!$L$3,2)</f>
        <v>485.1</v>
      </c>
      <c r="K78" s="123"/>
      <c r="L78" s="79"/>
      <c r="M78" s="107">
        <f t="shared" si="2"/>
        <v>0</v>
      </c>
      <c r="O78" s="265" t="s">
        <v>76</v>
      </c>
      <c r="P78" s="265" t="s">
        <v>77</v>
      </c>
      <c r="Q78" s="265">
        <v>0</v>
      </c>
      <c r="R78" s="265">
        <v>0</v>
      </c>
      <c r="S78" s="265">
        <v>0</v>
      </c>
      <c r="T78" s="347">
        <v>0.30399999999999999</v>
      </c>
    </row>
    <row r="79" spans="1:20" s="17" customFormat="1" ht="27.75" customHeight="1">
      <c r="A79" s="5" t="str">
        <f>IF(K79&gt;0,COUNT($A$7:A78)+COUNT('DWV PVC'!$A$8:$A$284)+1,"")</f>
        <v/>
      </c>
      <c r="B79" s="626"/>
      <c r="C79" s="626"/>
      <c r="D79" s="106" t="s">
        <v>248</v>
      </c>
      <c r="E79" s="106">
        <v>300005989</v>
      </c>
      <c r="F79" s="105" t="s">
        <v>249</v>
      </c>
      <c r="G79" s="129">
        <v>20</v>
      </c>
      <c r="H79" s="129">
        <v>960</v>
      </c>
      <c r="I79" s="128">
        <f>_xlfn.XLOOKUP(E79,'All Products'!D:D,'All Products'!H:H)</f>
        <v>181.13</v>
      </c>
      <c r="J79" s="133">
        <f>ROUNDUP(I79*Order_Quote!$L$3,2)</f>
        <v>905.65</v>
      </c>
      <c r="K79" s="123"/>
      <c r="L79" s="79"/>
      <c r="M79" s="107">
        <f t="shared" si="2"/>
        <v>0</v>
      </c>
      <c r="O79" s="265" t="s">
        <v>76</v>
      </c>
      <c r="P79" s="265" t="s">
        <v>77</v>
      </c>
      <c r="Q79" s="265">
        <v>0</v>
      </c>
      <c r="R79" s="265">
        <v>0</v>
      </c>
      <c r="S79" s="265">
        <v>0</v>
      </c>
      <c r="T79" s="347">
        <v>0.23599999999999999</v>
      </c>
    </row>
    <row r="80" spans="1:20" s="17" customFormat="1" ht="27.75" customHeight="1">
      <c r="A80" s="5" t="str">
        <f>IF(K80&gt;0,COUNT($A$7:A79)+COUNT('DWV PVC'!$A$8:$A$284)+1,"")</f>
        <v/>
      </c>
      <c r="B80" s="577"/>
      <c r="C80" s="578"/>
      <c r="D80" s="106" t="s">
        <v>250</v>
      </c>
      <c r="E80" s="106">
        <v>300005990</v>
      </c>
      <c r="F80" s="105" t="s">
        <v>251</v>
      </c>
      <c r="G80" s="129">
        <v>50</v>
      </c>
      <c r="H80" s="129">
        <v>9600</v>
      </c>
      <c r="I80" s="128">
        <f>_xlfn.XLOOKUP(E80,'All Products'!D:D,'All Products'!H:H)</f>
        <v>22.26</v>
      </c>
      <c r="J80" s="133">
        <f>ROUNDUP(I80*Order_Quote!$L$3,2)</f>
        <v>111.3</v>
      </c>
      <c r="K80" s="123"/>
      <c r="L80" s="79"/>
      <c r="M80" s="107">
        <f t="shared" si="2"/>
        <v>0</v>
      </c>
      <c r="O80" s="265" t="s">
        <v>76</v>
      </c>
      <c r="P80" s="265" t="s">
        <v>77</v>
      </c>
      <c r="Q80" s="265">
        <v>0</v>
      </c>
      <c r="R80" s="265">
        <v>0</v>
      </c>
      <c r="S80" s="265">
        <v>0</v>
      </c>
      <c r="T80" s="347">
        <v>0.06</v>
      </c>
    </row>
    <row r="81" spans="1:20" ht="15">
      <c r="A81" s="5" t="str">
        <f>IF(K81&gt;0,COUNT($A$7:A80)+COUNT('DWV PVC'!$A$8:$A$284)+1,"")</f>
        <v/>
      </c>
      <c r="B81" s="579"/>
      <c r="C81" s="580"/>
      <c r="D81" s="106" t="s">
        <v>252</v>
      </c>
      <c r="E81" s="106">
        <v>300005991</v>
      </c>
      <c r="F81" s="105" t="s">
        <v>253</v>
      </c>
      <c r="G81" s="129">
        <v>50</v>
      </c>
      <c r="H81" s="129">
        <v>6000</v>
      </c>
      <c r="I81" s="128">
        <f>_xlfn.XLOOKUP(E81,'All Products'!D:D,'All Products'!H:H)</f>
        <v>38.96</v>
      </c>
      <c r="J81" s="133">
        <f>ROUNDUP(I81*Order_Quote!$L$3,2)</f>
        <v>194.8</v>
      </c>
      <c r="K81" s="123"/>
      <c r="L81" s="79"/>
      <c r="M81" s="107">
        <f t="shared" si="2"/>
        <v>0</v>
      </c>
      <c r="O81" s="265" t="s">
        <v>76</v>
      </c>
      <c r="P81" s="265" t="s">
        <v>77</v>
      </c>
      <c r="Q81" s="265">
        <v>0</v>
      </c>
      <c r="R81" s="265">
        <v>0</v>
      </c>
      <c r="S81" s="265">
        <v>0</v>
      </c>
      <c r="T81" s="347">
        <v>8.6999999999999994E-2</v>
      </c>
    </row>
    <row r="82" spans="1:20" ht="15">
      <c r="A82" s="5" t="str">
        <f>IF(K82&gt;0,COUNT($A$7:A81)+COUNT('DWV PVC'!$A$8:$A$284)+1,"")</f>
        <v/>
      </c>
      <c r="B82" s="581"/>
      <c r="C82" s="582"/>
      <c r="D82" s="106" t="s">
        <v>254</v>
      </c>
      <c r="E82" s="106">
        <v>300005992</v>
      </c>
      <c r="F82" s="105" t="s">
        <v>255</v>
      </c>
      <c r="G82" s="129">
        <v>30</v>
      </c>
      <c r="H82" s="129">
        <v>2160</v>
      </c>
      <c r="I82" s="128">
        <f>_xlfn.XLOOKUP(E82,'All Products'!D:D,'All Products'!H:H)</f>
        <v>104.58</v>
      </c>
      <c r="J82" s="133">
        <f>ROUNDUP(I82*Order_Quote!$L$3,2)</f>
        <v>522.9</v>
      </c>
      <c r="K82" s="123"/>
      <c r="L82" s="79"/>
      <c r="M82" s="107">
        <f t="shared" si="2"/>
        <v>0</v>
      </c>
      <c r="O82" s="265" t="s">
        <v>76</v>
      </c>
      <c r="P82" s="265" t="s">
        <v>77</v>
      </c>
      <c r="Q82" s="265">
        <v>0</v>
      </c>
      <c r="R82" s="265">
        <v>0</v>
      </c>
      <c r="S82" s="265">
        <v>0</v>
      </c>
      <c r="T82" s="347">
        <v>0.29799999999999999</v>
      </c>
    </row>
    <row r="83" spans="1:20" ht="60.75" customHeight="1">
      <c r="A83" s="5" t="str">
        <f>IF(K83&gt;0,COUNT($A$7:A82)+COUNT('DWV PVC'!$A$8:$A$284)+1,"")</f>
        <v/>
      </c>
      <c r="B83" s="623"/>
      <c r="C83" s="624"/>
      <c r="D83" s="106" t="s">
        <v>256</v>
      </c>
      <c r="E83" s="106">
        <v>300005993</v>
      </c>
      <c r="F83" s="105" t="s">
        <v>257</v>
      </c>
      <c r="G83" s="129">
        <v>100</v>
      </c>
      <c r="H83" s="129">
        <v>9600</v>
      </c>
      <c r="I83" s="128">
        <f>_xlfn.XLOOKUP(E83,'All Products'!D:D,'All Products'!H:H)</f>
        <v>22.26</v>
      </c>
      <c r="J83" s="133">
        <f>ROUNDUP(I83*Order_Quote!$L$3,2)</f>
        <v>111.3</v>
      </c>
      <c r="K83" s="123"/>
      <c r="L83" s="79"/>
      <c r="M83" s="107">
        <f t="shared" si="2"/>
        <v>0</v>
      </c>
      <c r="O83" s="265" t="s">
        <v>76</v>
      </c>
      <c r="P83" s="265" t="s">
        <v>77</v>
      </c>
      <c r="Q83" s="265">
        <v>0</v>
      </c>
      <c r="R83" s="265">
        <v>0</v>
      </c>
      <c r="S83" s="265">
        <v>0</v>
      </c>
      <c r="T83" s="347">
        <v>8.4000000000000005E-2</v>
      </c>
    </row>
    <row r="84" spans="1:20" ht="15">
      <c r="A84" s="5" t="str">
        <f>IF(K84&gt;0,COUNT($A$7:A83)+COUNT('DWV PVC'!$A$8:$A$284)+1,"")</f>
        <v/>
      </c>
      <c r="B84" s="611"/>
      <c r="C84" s="612"/>
      <c r="D84" s="106" t="s">
        <v>258</v>
      </c>
      <c r="E84" s="106">
        <v>300005994</v>
      </c>
      <c r="F84" s="105" t="s">
        <v>259</v>
      </c>
      <c r="G84" s="129">
        <v>100</v>
      </c>
      <c r="H84" s="129">
        <v>6400</v>
      </c>
      <c r="I84" s="128">
        <f>_xlfn.XLOOKUP(E84,'All Products'!D:D,'All Products'!H:H)</f>
        <v>26.25</v>
      </c>
      <c r="J84" s="133">
        <f>ROUNDUP(I84*Order_Quote!$L$3,2)</f>
        <v>131.25</v>
      </c>
      <c r="K84" s="123"/>
      <c r="L84" s="79"/>
      <c r="M84" s="107">
        <f t="shared" si="2"/>
        <v>0</v>
      </c>
      <c r="O84" s="265" t="s">
        <v>76</v>
      </c>
      <c r="P84" s="265" t="s">
        <v>77</v>
      </c>
      <c r="Q84" s="265">
        <v>0</v>
      </c>
      <c r="R84" s="265">
        <v>0</v>
      </c>
      <c r="S84" s="265">
        <v>0</v>
      </c>
      <c r="T84" s="347">
        <v>7.4999999999999997E-2</v>
      </c>
    </row>
    <row r="85" spans="1:20" ht="15">
      <c r="A85" s="5" t="str">
        <f>IF(K85&gt;0,COUNT($A$7:A84)+COUNT('DWV PVC'!$A$8:$A$284)+1,"")</f>
        <v/>
      </c>
      <c r="B85" s="613"/>
      <c r="C85" s="614"/>
      <c r="D85" s="106" t="s">
        <v>260</v>
      </c>
      <c r="E85" s="106">
        <v>300005995</v>
      </c>
      <c r="F85" s="105" t="s">
        <v>261</v>
      </c>
      <c r="G85" s="129">
        <v>100</v>
      </c>
      <c r="H85" s="129">
        <v>4400</v>
      </c>
      <c r="I85" s="128">
        <f>_xlfn.XLOOKUP(E85,'All Products'!D:D,'All Products'!H:H)</f>
        <v>41.37</v>
      </c>
      <c r="J85" s="133">
        <f>ROUNDUP(I85*Order_Quote!$L$3,2)</f>
        <v>206.85</v>
      </c>
      <c r="K85" s="123"/>
      <c r="L85" s="79"/>
      <c r="M85" s="107">
        <f t="shared" si="2"/>
        <v>0</v>
      </c>
      <c r="O85" s="265" t="s">
        <v>76</v>
      </c>
      <c r="P85" s="265" t="s">
        <v>77</v>
      </c>
      <c r="Q85" s="265">
        <v>0</v>
      </c>
      <c r="R85" s="265">
        <v>0</v>
      </c>
      <c r="S85" s="265">
        <v>0</v>
      </c>
      <c r="T85" s="347">
        <v>0.10100000000000001</v>
      </c>
    </row>
    <row r="86" spans="1:20" ht="15">
      <c r="A86" s="5" t="str">
        <f>IF(K86&gt;0,COUNT($A$7:A85)+COUNT('DWV PVC'!$A$8:$A$284)+1,"")</f>
        <v/>
      </c>
      <c r="B86" s="613"/>
      <c r="C86" s="614"/>
      <c r="D86" s="106" t="s">
        <v>262</v>
      </c>
      <c r="E86" s="106">
        <v>300005996</v>
      </c>
      <c r="F86" s="105" t="s">
        <v>263</v>
      </c>
      <c r="G86" s="129">
        <v>30</v>
      </c>
      <c r="H86" s="129">
        <v>1080</v>
      </c>
      <c r="I86" s="128">
        <f>_xlfn.XLOOKUP(E86,'All Products'!D:D,'All Products'!H:H)</f>
        <v>110.67</v>
      </c>
      <c r="J86" s="133">
        <f>ROUNDUP(I86*Order_Quote!$L$3,2)</f>
        <v>553.35</v>
      </c>
      <c r="K86" s="123"/>
      <c r="L86" s="79"/>
      <c r="M86" s="107">
        <f t="shared" si="2"/>
        <v>0</v>
      </c>
      <c r="O86" s="265" t="s">
        <v>76</v>
      </c>
      <c r="P86" s="265" t="s">
        <v>77</v>
      </c>
      <c r="Q86" s="265">
        <v>0</v>
      </c>
      <c r="R86" s="265">
        <v>0</v>
      </c>
      <c r="S86" s="265">
        <v>0</v>
      </c>
      <c r="T86" s="347">
        <v>0.35399999999999998</v>
      </c>
    </row>
    <row r="87" spans="1:20" ht="15">
      <c r="A87" s="5" t="str">
        <f>IF(K87&gt;0,COUNT($A$7:A86)+COUNT('DWV PVC'!$A$8:$A$284)+1,"")</f>
        <v/>
      </c>
      <c r="B87" s="615"/>
      <c r="C87" s="616"/>
      <c r="D87" s="106" t="s">
        <v>264</v>
      </c>
      <c r="E87" s="106">
        <v>100031274</v>
      </c>
      <c r="F87" s="105" t="s">
        <v>265</v>
      </c>
      <c r="G87" s="129">
        <v>10</v>
      </c>
      <c r="H87" s="129">
        <v>540</v>
      </c>
      <c r="I87" s="128">
        <f>_xlfn.XLOOKUP(E87,'All Products'!D:D,'All Products'!H:H)</f>
        <v>137.16999999999999</v>
      </c>
      <c r="J87" s="133">
        <f>ROUNDUP(I87*Order_Quote!$L$3,2)</f>
        <v>685.85</v>
      </c>
      <c r="K87" s="123"/>
      <c r="L87" s="79"/>
      <c r="M87" s="107">
        <f t="shared" si="2"/>
        <v>0</v>
      </c>
      <c r="O87" s="265" t="s">
        <v>76</v>
      </c>
      <c r="P87" s="265" t="s">
        <v>102</v>
      </c>
      <c r="Q87" s="265" t="s">
        <v>266</v>
      </c>
      <c r="R87" s="265">
        <v>0</v>
      </c>
      <c r="S87" s="265" t="s">
        <v>267</v>
      </c>
      <c r="T87" s="347">
        <v>0.64</v>
      </c>
    </row>
    <row r="88" spans="1:20" ht="15">
      <c r="A88" s="5" t="str">
        <f>IF(K88&gt;0,COUNT($A$7:A87)+COUNT('DWV PVC'!$A$8:$A$284)+1,"")</f>
        <v/>
      </c>
      <c r="B88" s="626"/>
      <c r="C88" s="626"/>
      <c r="D88" s="106" t="s">
        <v>268</v>
      </c>
      <c r="E88" s="106">
        <v>300005997</v>
      </c>
      <c r="F88" s="105" t="s">
        <v>269</v>
      </c>
      <c r="G88" s="129">
        <v>50</v>
      </c>
      <c r="H88" s="129">
        <v>5600</v>
      </c>
      <c r="I88" s="128">
        <f>_xlfn.XLOOKUP(E88,'All Products'!D:D,'All Products'!H:H)</f>
        <v>32.24</v>
      </c>
      <c r="J88" s="133">
        <f>ROUNDUP(I88*Order_Quote!$L$3,2)</f>
        <v>161.19999999999999</v>
      </c>
      <c r="K88" s="123"/>
      <c r="L88" s="79"/>
      <c r="M88" s="107">
        <f t="shared" si="2"/>
        <v>0</v>
      </c>
      <c r="O88" s="265" t="s">
        <v>76</v>
      </c>
      <c r="P88" s="265" t="s">
        <v>77</v>
      </c>
      <c r="Q88" s="265">
        <v>0</v>
      </c>
      <c r="R88" s="265">
        <v>0</v>
      </c>
      <c r="S88" s="265">
        <v>0</v>
      </c>
      <c r="T88" s="347">
        <v>0.11899999999999999</v>
      </c>
    </row>
    <row r="89" spans="1:20" ht="15">
      <c r="A89" s="5" t="str">
        <f>IF(K89&gt;0,COUNT($A$7:A88)+COUNT('DWV PVC'!$A$8:$A$284)+1,"")</f>
        <v/>
      </c>
      <c r="B89" s="626"/>
      <c r="C89" s="626"/>
      <c r="D89" s="106" t="s">
        <v>270</v>
      </c>
      <c r="E89" s="106">
        <v>300005998</v>
      </c>
      <c r="F89" s="105" t="s">
        <v>271</v>
      </c>
      <c r="G89" s="129">
        <v>50</v>
      </c>
      <c r="H89" s="129">
        <v>4800</v>
      </c>
      <c r="I89" s="128">
        <f>_xlfn.XLOOKUP(E89,'All Products'!D:D,'All Products'!H:H)</f>
        <v>44.63</v>
      </c>
      <c r="J89" s="133">
        <f>ROUNDUP(I89*Order_Quote!$L$3,2)</f>
        <v>223.15</v>
      </c>
      <c r="K89" s="123"/>
      <c r="L89" s="79"/>
      <c r="M89" s="107">
        <f t="shared" si="2"/>
        <v>0</v>
      </c>
      <c r="O89" s="265" t="s">
        <v>76</v>
      </c>
      <c r="P89" s="265" t="s">
        <v>77</v>
      </c>
      <c r="Q89" s="265">
        <v>0</v>
      </c>
      <c r="R89" s="265">
        <v>0</v>
      </c>
      <c r="S89" s="265">
        <v>0</v>
      </c>
      <c r="T89" s="347">
        <v>0.16</v>
      </c>
    </row>
    <row r="90" spans="1:20" ht="15">
      <c r="A90" s="5" t="str">
        <f>IF(K90&gt;0,COUNT($A$7:A89)+COUNT('DWV PVC'!$A$8:$A$284)+1,"")</f>
        <v/>
      </c>
      <c r="B90" s="626"/>
      <c r="C90" s="626"/>
      <c r="D90" s="106" t="s">
        <v>272</v>
      </c>
      <c r="E90" s="106">
        <v>300005999</v>
      </c>
      <c r="F90" s="105" t="s">
        <v>273</v>
      </c>
      <c r="G90" s="129">
        <v>25</v>
      </c>
      <c r="H90" s="129">
        <v>1200</v>
      </c>
      <c r="I90" s="128">
        <f>_xlfn.XLOOKUP(E90,'All Products'!D:D,'All Products'!H:H)</f>
        <v>112.56</v>
      </c>
      <c r="J90" s="133">
        <f>ROUNDUP(I90*Order_Quote!$L$3,2)</f>
        <v>562.79999999999995</v>
      </c>
      <c r="K90" s="123"/>
      <c r="L90" s="79"/>
      <c r="M90" s="107">
        <f t="shared" si="2"/>
        <v>0</v>
      </c>
      <c r="O90" s="265" t="s">
        <v>76</v>
      </c>
      <c r="P90" s="265" t="s">
        <v>77</v>
      </c>
      <c r="Q90" s="265">
        <v>0</v>
      </c>
      <c r="R90" s="265">
        <v>0</v>
      </c>
      <c r="S90" s="265">
        <v>0</v>
      </c>
      <c r="T90" s="347">
        <v>0.50600000000000001</v>
      </c>
    </row>
    <row r="91" spans="1:20" ht="15">
      <c r="A91" s="5" t="str">
        <f>IF(K91&gt;0,COUNT($A$7:A90)+COUNT('DWV PVC'!$A$8:$A$284)+1,"")</f>
        <v/>
      </c>
      <c r="B91" s="626"/>
      <c r="C91" s="626"/>
      <c r="D91" s="106" t="s">
        <v>274</v>
      </c>
      <c r="E91" s="106">
        <v>300006000</v>
      </c>
      <c r="F91" s="105" t="s">
        <v>275</v>
      </c>
      <c r="G91" s="129">
        <v>25</v>
      </c>
      <c r="H91" s="129">
        <v>800</v>
      </c>
      <c r="I91" s="128">
        <f>_xlfn.XLOOKUP(E91,'All Products'!D:D,'All Products'!H:H)</f>
        <v>210.84</v>
      </c>
      <c r="J91" s="133">
        <f>ROUNDUP(I91*Order_Quote!$L$3,2)</f>
        <v>1054.2</v>
      </c>
      <c r="K91" s="123"/>
      <c r="L91" s="79"/>
      <c r="M91" s="107">
        <f t="shared" si="2"/>
        <v>0</v>
      </c>
      <c r="O91" s="265" t="s">
        <v>76</v>
      </c>
      <c r="P91" s="265" t="s">
        <v>77</v>
      </c>
      <c r="Q91" s="265">
        <v>0</v>
      </c>
      <c r="R91" s="265">
        <v>0</v>
      </c>
      <c r="S91" s="265">
        <v>0</v>
      </c>
      <c r="T91" s="347">
        <v>0.81499999999999995</v>
      </c>
    </row>
    <row r="92" spans="1:20" ht="24.75" customHeight="1">
      <c r="A92" s="5" t="str">
        <f>IF(K92&gt;0,COUNT($A$7:A91)+COUNT('DWV PVC'!$A$8:$A$284)+1,"")</f>
        <v/>
      </c>
      <c r="B92" s="626"/>
      <c r="C92" s="626"/>
      <c r="D92" s="106" t="s">
        <v>276</v>
      </c>
      <c r="E92" s="106">
        <v>300006001</v>
      </c>
      <c r="F92" s="105" t="s">
        <v>277</v>
      </c>
      <c r="G92" s="129">
        <v>50</v>
      </c>
      <c r="H92" s="129">
        <v>7200</v>
      </c>
      <c r="I92" s="128">
        <f>_xlfn.XLOOKUP(E92,'All Products'!D:D,'All Products'!H:H)</f>
        <v>23.31</v>
      </c>
      <c r="J92" s="133">
        <f>ROUNDUP(I92*Order_Quote!$L$3,2)</f>
        <v>116.55</v>
      </c>
      <c r="K92" s="123"/>
      <c r="L92" s="79"/>
      <c r="M92" s="107">
        <f t="shared" si="2"/>
        <v>0</v>
      </c>
      <c r="O92" s="265" t="s">
        <v>76</v>
      </c>
      <c r="P92" s="265" t="s">
        <v>77</v>
      </c>
      <c r="Q92" s="265">
        <v>0</v>
      </c>
      <c r="R92" s="265">
        <v>0</v>
      </c>
      <c r="S92" s="265">
        <v>0</v>
      </c>
      <c r="T92" s="347">
        <v>0.222</v>
      </c>
    </row>
    <row r="93" spans="1:20" ht="15">
      <c r="A93" s="5" t="str">
        <f>IF(K93&gt;0,COUNT($A$7:A92)+COUNT('DWV PVC'!$A$8:$A$284)+1,"")</f>
        <v/>
      </c>
      <c r="B93" s="626"/>
      <c r="C93" s="626"/>
      <c r="D93" s="106" t="s">
        <v>278</v>
      </c>
      <c r="E93" s="106">
        <v>300006002</v>
      </c>
      <c r="F93" s="105" t="s">
        <v>279</v>
      </c>
      <c r="G93" s="129">
        <v>50</v>
      </c>
      <c r="H93" s="129">
        <v>2700</v>
      </c>
      <c r="I93" s="128">
        <f>_xlfn.XLOOKUP(E93,'All Products'!D:D,'All Products'!H:H)</f>
        <v>63.95</v>
      </c>
      <c r="J93" s="133">
        <f>ROUNDUP(I93*Order_Quote!$L$3,2)</f>
        <v>319.75</v>
      </c>
      <c r="K93" s="123"/>
      <c r="L93" s="79"/>
      <c r="M93" s="107">
        <f t="shared" si="2"/>
        <v>0</v>
      </c>
      <c r="O93" s="265" t="s">
        <v>76</v>
      </c>
      <c r="P93" s="265" t="s">
        <v>77</v>
      </c>
      <c r="Q93" s="265">
        <v>0</v>
      </c>
      <c r="R93" s="265">
        <v>0</v>
      </c>
      <c r="S93" s="265">
        <v>0</v>
      </c>
      <c r="T93" s="347">
        <v>0.27200000000000002</v>
      </c>
    </row>
    <row r="94" spans="1:20" ht="28.5" customHeight="1">
      <c r="A94" s="5" t="str">
        <f>IF(K94&gt;0,COUNT($A$7:A93)+COUNT('DWV PVC'!$A$8:$A$284)+1,"")</f>
        <v/>
      </c>
      <c r="B94" s="626"/>
      <c r="C94" s="626"/>
      <c r="D94" s="106" t="s">
        <v>280</v>
      </c>
      <c r="E94" s="106">
        <v>300006003</v>
      </c>
      <c r="F94" s="105" t="s">
        <v>281</v>
      </c>
      <c r="G94" s="129">
        <v>30</v>
      </c>
      <c r="H94" s="129">
        <v>1800</v>
      </c>
      <c r="I94" s="128">
        <f>_xlfn.XLOOKUP(E94,'All Products'!D:D,'All Products'!H:H)</f>
        <v>100.49</v>
      </c>
      <c r="J94" s="133">
        <f>ROUNDUP(I94*Order_Quote!$L$3,2)</f>
        <v>502.45</v>
      </c>
      <c r="K94" s="123"/>
      <c r="L94" s="79"/>
      <c r="M94" s="107">
        <f t="shared" si="2"/>
        <v>0</v>
      </c>
      <c r="O94" s="265" t="s">
        <v>76</v>
      </c>
      <c r="P94" s="265" t="s">
        <v>77</v>
      </c>
      <c r="Q94" s="265">
        <v>0</v>
      </c>
      <c r="R94" s="265">
        <v>0</v>
      </c>
      <c r="S94" s="265">
        <v>0</v>
      </c>
      <c r="T94" s="347">
        <v>1.03</v>
      </c>
    </row>
    <row r="95" spans="1:20" ht="15">
      <c r="A95" s="5" t="str">
        <f>IF(K95&gt;0,COUNT($A$7:A94)+COUNT('DWV PVC'!$A$8:$A$284)+1,"")</f>
        <v/>
      </c>
      <c r="B95" s="626"/>
      <c r="C95" s="626"/>
      <c r="D95" s="106" t="s">
        <v>282</v>
      </c>
      <c r="E95" s="106">
        <v>300006005</v>
      </c>
      <c r="F95" s="105" t="s">
        <v>283</v>
      </c>
      <c r="G95" s="129">
        <v>50</v>
      </c>
      <c r="H95" s="129">
        <v>5600</v>
      </c>
      <c r="I95" s="128">
        <f>_xlfn.XLOOKUP(E95,'All Products'!D:D,'All Products'!H:H)</f>
        <v>39.590000000000003</v>
      </c>
      <c r="J95" s="133">
        <f>ROUNDUP(I95*Order_Quote!$L$3,2)</f>
        <v>197.95</v>
      </c>
      <c r="K95" s="123"/>
      <c r="L95" s="79"/>
      <c r="M95" s="107">
        <f t="shared" si="2"/>
        <v>0</v>
      </c>
      <c r="O95" s="265" t="s">
        <v>76</v>
      </c>
      <c r="P95" s="265" t="s">
        <v>77</v>
      </c>
      <c r="Q95" s="265">
        <v>0</v>
      </c>
      <c r="R95" s="265">
        <v>0</v>
      </c>
      <c r="S95" s="265">
        <v>0</v>
      </c>
      <c r="T95" s="347">
        <v>0.45600000000000002</v>
      </c>
    </row>
    <row r="96" spans="1:20" s="17" customFormat="1" ht="45.75" customHeight="1">
      <c r="A96" s="5" t="str">
        <f>IF(K96&gt;0,COUNT($A$7:A95)+COUNT('DWV PVC'!$A$8:$A$284)+1,"")</f>
        <v/>
      </c>
      <c r="B96" s="626"/>
      <c r="C96" s="626"/>
      <c r="D96" s="106" t="s">
        <v>284</v>
      </c>
      <c r="E96" s="106">
        <v>300006004</v>
      </c>
      <c r="F96" s="105" t="s">
        <v>285</v>
      </c>
      <c r="G96" s="129">
        <v>100</v>
      </c>
      <c r="H96" s="129">
        <v>11200</v>
      </c>
      <c r="I96" s="128">
        <f>_xlfn.XLOOKUP(E96,'All Products'!D:D,'All Products'!H:H)</f>
        <v>46.31</v>
      </c>
      <c r="J96" s="133">
        <f>ROUNDUP(I96*Order_Quote!$L$3,2)</f>
        <v>231.55</v>
      </c>
      <c r="K96" s="123"/>
      <c r="L96" s="79"/>
      <c r="M96" s="107">
        <f t="shared" si="2"/>
        <v>0</v>
      </c>
      <c r="O96" s="265" t="s">
        <v>76</v>
      </c>
      <c r="P96" s="265" t="s">
        <v>77</v>
      </c>
      <c r="Q96" s="265">
        <v>0</v>
      </c>
      <c r="R96" s="265">
        <v>0</v>
      </c>
      <c r="S96" s="265">
        <v>0</v>
      </c>
      <c r="T96" s="347">
        <v>0.40799999999999997</v>
      </c>
    </row>
    <row r="97" spans="1:20" ht="15">
      <c r="A97" s="5" t="str">
        <f>IF(K97&gt;0,COUNT($A$7:A96)+COUNT('DWV PVC'!$A$8:$A$284)+1,"")</f>
        <v/>
      </c>
      <c r="B97" s="626"/>
      <c r="C97" s="626"/>
      <c r="D97" s="106" t="s">
        <v>286</v>
      </c>
      <c r="E97" s="106">
        <v>300005892</v>
      </c>
      <c r="F97" s="105" t="s">
        <v>287</v>
      </c>
      <c r="G97" s="129">
        <v>60</v>
      </c>
      <c r="H97" s="129">
        <v>4320</v>
      </c>
      <c r="I97" s="128">
        <f>_xlfn.XLOOKUP(E97,'All Products'!D:D,'All Products'!H:H)</f>
        <v>102.2</v>
      </c>
      <c r="J97" s="133">
        <f>ROUNDUP(I97*Order_Quote!$L$3,2)</f>
        <v>511</v>
      </c>
      <c r="K97" s="123"/>
      <c r="L97" s="79"/>
      <c r="M97" s="107">
        <f t="shared" si="2"/>
        <v>0</v>
      </c>
      <c r="O97" s="265" t="s">
        <v>76</v>
      </c>
      <c r="P97" s="265" t="s">
        <v>77</v>
      </c>
      <c r="Q97" s="265">
        <v>0</v>
      </c>
      <c r="R97" s="265">
        <v>0</v>
      </c>
      <c r="S97" s="265">
        <v>0</v>
      </c>
      <c r="T97" s="347">
        <v>0.13200000000000001</v>
      </c>
    </row>
    <row r="98" spans="1:20" ht="22.5" customHeight="1">
      <c r="A98" s="5" t="str">
        <f>IF(K98&gt;0,COUNT($A$7:A97)+COUNT('DWV PVC'!$A$8:$A$284)+1,"")</f>
        <v/>
      </c>
      <c r="B98" s="626"/>
      <c r="C98" s="626"/>
      <c r="D98" s="106" t="s">
        <v>288</v>
      </c>
      <c r="E98" s="106">
        <v>300006007</v>
      </c>
      <c r="F98" s="105" t="s">
        <v>289</v>
      </c>
      <c r="G98" s="129">
        <v>100</v>
      </c>
      <c r="H98" s="129">
        <v>5600</v>
      </c>
      <c r="I98" s="128">
        <f>_xlfn.XLOOKUP(E98,'All Products'!D:D,'All Products'!H:H)</f>
        <v>37.700000000000003</v>
      </c>
      <c r="J98" s="133">
        <f>ROUNDUP(I98*Order_Quote!$L$3,2)</f>
        <v>188.5</v>
      </c>
      <c r="K98" s="123"/>
      <c r="L98" s="79"/>
      <c r="M98" s="107">
        <f t="shared" si="2"/>
        <v>0</v>
      </c>
      <c r="O98" s="265" t="s">
        <v>76</v>
      </c>
      <c r="P98" s="265" t="s">
        <v>77</v>
      </c>
      <c r="Q98" s="265">
        <v>0</v>
      </c>
      <c r="R98" s="265">
        <v>0</v>
      </c>
      <c r="S98" s="265">
        <v>0</v>
      </c>
      <c r="T98" s="347">
        <v>8.8999999999999996E-2</v>
      </c>
    </row>
    <row r="99" spans="1:20" ht="41.25" customHeight="1">
      <c r="A99" s="5" t="str">
        <f>IF(K99&gt;0,COUNT($A$7:A98)+COUNT('DWV PVC'!$A$8:$A$284)+1,"")</f>
        <v/>
      </c>
      <c r="B99" s="626"/>
      <c r="C99" s="626"/>
      <c r="D99" s="106" t="s">
        <v>290</v>
      </c>
      <c r="E99" s="106">
        <v>300006006</v>
      </c>
      <c r="F99" s="105" t="s">
        <v>291</v>
      </c>
      <c r="G99" s="129">
        <v>100</v>
      </c>
      <c r="H99" s="129">
        <v>11200</v>
      </c>
      <c r="I99" s="128">
        <f>_xlfn.XLOOKUP(E99,'All Products'!D:D,'All Products'!H:H)</f>
        <v>51.98</v>
      </c>
      <c r="J99" s="133">
        <f>ROUNDUP(I99*Order_Quote!$L$3,2)</f>
        <v>259.89999999999998</v>
      </c>
      <c r="K99" s="123"/>
      <c r="L99" s="79"/>
      <c r="M99" s="107">
        <f t="shared" si="2"/>
        <v>0</v>
      </c>
      <c r="O99" s="265" t="s">
        <v>76</v>
      </c>
      <c r="P99" s="265" t="s">
        <v>77</v>
      </c>
      <c r="Q99" s="265">
        <v>0</v>
      </c>
      <c r="R99" s="265">
        <v>0</v>
      </c>
      <c r="S99" s="265">
        <v>0</v>
      </c>
      <c r="T99" s="347">
        <v>0.40799999999999997</v>
      </c>
    </row>
    <row r="100" spans="1:20" ht="48.75" customHeight="1">
      <c r="A100" s="5" t="str">
        <f>IF(K100&gt;0,COUNT($A$7:A99)+COUNT('DWV PVC'!$A$8:$A$284)+1,"")</f>
        <v/>
      </c>
      <c r="B100" s="626"/>
      <c r="C100" s="626"/>
      <c r="D100" s="106" t="s">
        <v>292</v>
      </c>
      <c r="E100" s="106">
        <v>300006008</v>
      </c>
      <c r="F100" s="105" t="s">
        <v>293</v>
      </c>
      <c r="G100" s="129">
        <v>25</v>
      </c>
      <c r="H100" s="129">
        <v>800</v>
      </c>
      <c r="I100" s="128">
        <f>_xlfn.XLOOKUP(E100,'All Products'!D:D,'All Products'!H:H)</f>
        <v>119.28</v>
      </c>
      <c r="J100" s="133">
        <f>ROUNDUP(I100*Order_Quote!$L$3,2)</f>
        <v>596.4</v>
      </c>
      <c r="K100" s="123"/>
      <c r="L100" s="79"/>
      <c r="M100" s="107">
        <f t="shared" si="2"/>
        <v>0</v>
      </c>
      <c r="O100" s="265" t="s">
        <v>76</v>
      </c>
      <c r="P100" s="265" t="s">
        <v>77</v>
      </c>
      <c r="Q100" s="265">
        <v>0</v>
      </c>
      <c r="R100" s="265">
        <v>0</v>
      </c>
      <c r="S100" s="265">
        <v>0</v>
      </c>
      <c r="T100" s="347">
        <v>0.57299999999999995</v>
      </c>
    </row>
    <row r="101" spans="1:20" ht="56.25" customHeight="1">
      <c r="A101" s="5" t="str">
        <f>IF(K101&gt;0,COUNT($A$7:A100)+COUNT('DWV PVC'!$A$8:$A$284)+1,"")</f>
        <v/>
      </c>
      <c r="B101" s="23"/>
      <c r="C101" s="51"/>
      <c r="D101" s="106" t="s">
        <v>294</v>
      </c>
      <c r="E101" s="106">
        <v>300006040</v>
      </c>
      <c r="F101" s="105" t="s">
        <v>295</v>
      </c>
      <c r="G101" s="129">
        <v>20</v>
      </c>
      <c r="H101" s="129">
        <v>2700</v>
      </c>
      <c r="I101" s="128">
        <f>_xlfn.XLOOKUP(E101,'All Products'!D:D,'All Products'!H:H)</f>
        <v>281.72000000000003</v>
      </c>
      <c r="J101" s="133">
        <f>ROUNDUP(I101*Order_Quote!$L$3,2)</f>
        <v>1408.6</v>
      </c>
      <c r="K101" s="123"/>
      <c r="L101" s="79"/>
      <c r="M101" s="107">
        <f t="shared" si="2"/>
        <v>0</v>
      </c>
      <c r="O101" s="265" t="s">
        <v>76</v>
      </c>
      <c r="P101" s="265" t="s">
        <v>77</v>
      </c>
      <c r="Q101" s="265">
        <v>0</v>
      </c>
      <c r="R101" s="265">
        <v>0</v>
      </c>
      <c r="S101" s="265">
        <v>0</v>
      </c>
      <c r="T101" s="347">
        <v>0.441</v>
      </c>
    </row>
    <row r="102" spans="1:20" ht="60" customHeight="1">
      <c r="A102" s="5" t="str">
        <f>IF(K102&gt;0,COUNT($A$7:A101)+COUNT('DWV PVC'!$A$8:$A$284)+1,"")</f>
        <v/>
      </c>
      <c r="B102" s="626"/>
      <c r="C102" s="626"/>
      <c r="D102" s="106" t="s">
        <v>296</v>
      </c>
      <c r="E102" s="106">
        <v>300006009</v>
      </c>
      <c r="F102" s="105" t="s">
        <v>297</v>
      </c>
      <c r="G102" s="129">
        <v>25</v>
      </c>
      <c r="H102" s="129">
        <v>800</v>
      </c>
      <c r="I102" s="128">
        <f>_xlfn.XLOOKUP(E102,'All Products'!D:D,'All Products'!H:H)</f>
        <v>160.55000000000001</v>
      </c>
      <c r="J102" s="133">
        <f>ROUNDUP(I102*Order_Quote!$L$3,2)</f>
        <v>802.75</v>
      </c>
      <c r="K102" s="123"/>
      <c r="L102" s="79"/>
      <c r="M102" s="107">
        <f t="shared" si="2"/>
        <v>0</v>
      </c>
      <c r="O102" s="265" t="s">
        <v>76</v>
      </c>
      <c r="P102" s="265" t="s">
        <v>77</v>
      </c>
      <c r="Q102" s="265">
        <v>0</v>
      </c>
      <c r="R102" s="265">
        <v>0</v>
      </c>
      <c r="S102" s="265">
        <v>0</v>
      </c>
      <c r="T102" s="347">
        <v>0.54</v>
      </c>
    </row>
    <row r="103" spans="1:20" ht="36" customHeight="1">
      <c r="A103" s="5" t="str">
        <f>IF(K103&gt;0,COUNT($A$7:A102)+COUNT('DWV PVC'!$A$8:$A$284)+1,"")</f>
        <v/>
      </c>
      <c r="B103" s="626"/>
      <c r="C103" s="626"/>
      <c r="D103" s="106" t="s">
        <v>298</v>
      </c>
      <c r="E103" s="106">
        <v>300006010</v>
      </c>
      <c r="F103" s="105" t="s">
        <v>299</v>
      </c>
      <c r="G103" s="129">
        <v>25</v>
      </c>
      <c r="H103" s="129">
        <v>1200</v>
      </c>
      <c r="I103" s="128">
        <f>_xlfn.XLOOKUP(E103,'All Products'!D:D,'All Products'!H:H)</f>
        <v>102.38</v>
      </c>
      <c r="J103" s="133">
        <f>ROUNDUP(I103*Order_Quote!$L$3,2)</f>
        <v>511.9</v>
      </c>
      <c r="K103" s="123"/>
      <c r="L103" s="79"/>
      <c r="M103" s="107">
        <f t="shared" si="2"/>
        <v>0</v>
      </c>
      <c r="O103" s="265" t="s">
        <v>76</v>
      </c>
      <c r="P103" s="265" t="s">
        <v>77</v>
      </c>
      <c r="Q103" s="265">
        <v>0</v>
      </c>
      <c r="R103" s="265">
        <v>0</v>
      </c>
      <c r="S103" s="265">
        <v>0</v>
      </c>
      <c r="T103" s="347">
        <v>0.377</v>
      </c>
    </row>
    <row r="104" spans="1:20" ht="30" customHeight="1">
      <c r="A104" s="5" t="str">
        <f>IF(K104&gt;0,COUNT($A$7:A103)+COUNT('DWV PVC'!$A$8:$A$284)+1,"")</f>
        <v/>
      </c>
      <c r="B104" s="626"/>
      <c r="C104" s="626"/>
      <c r="D104" s="106" t="s">
        <v>300</v>
      </c>
      <c r="E104" s="106">
        <v>300006011</v>
      </c>
      <c r="F104" s="105" t="s">
        <v>301</v>
      </c>
      <c r="G104" s="129">
        <v>20</v>
      </c>
      <c r="H104" s="129">
        <v>540</v>
      </c>
      <c r="I104" s="128">
        <f>_xlfn.XLOOKUP(E104,'All Products'!D:D,'All Products'!H:H)</f>
        <v>124.22</v>
      </c>
      <c r="J104" s="133">
        <f>ROUNDUP(I104*Order_Quote!$L$3,2)</f>
        <v>621.1</v>
      </c>
      <c r="K104" s="123"/>
      <c r="L104" s="79"/>
      <c r="M104" s="107">
        <f t="shared" ref="M104:M116" si="3">K104/G104</f>
        <v>0</v>
      </c>
      <c r="O104" s="265" t="s">
        <v>76</v>
      </c>
      <c r="P104" s="265" t="s">
        <v>77</v>
      </c>
      <c r="Q104" s="265">
        <v>0</v>
      </c>
      <c r="R104" s="265">
        <v>0</v>
      </c>
      <c r="S104" s="265">
        <v>0</v>
      </c>
      <c r="T104" s="347">
        <v>0.57299999999999995</v>
      </c>
    </row>
    <row r="105" spans="1:20" ht="26.25" customHeight="1">
      <c r="A105" s="5" t="str">
        <f>IF(K105&gt;0,COUNT($A$7:A104)+COUNT('DWV PVC'!$A$8:$A$284)+1,"")</f>
        <v/>
      </c>
      <c r="B105" s="626"/>
      <c r="C105" s="626"/>
      <c r="D105" s="106" t="s">
        <v>302</v>
      </c>
      <c r="E105" s="106">
        <v>300006012</v>
      </c>
      <c r="F105" s="105" t="s">
        <v>303</v>
      </c>
      <c r="G105" s="129">
        <v>40</v>
      </c>
      <c r="H105" s="129">
        <v>1280</v>
      </c>
      <c r="I105" s="128">
        <f>_xlfn.XLOOKUP(E105,'All Products'!D:D,'All Products'!H:H)</f>
        <v>154.46</v>
      </c>
      <c r="J105" s="133">
        <f>ROUNDUP(I105*Order_Quote!$L$3,2)</f>
        <v>772.3</v>
      </c>
      <c r="K105" s="123"/>
      <c r="L105" s="79"/>
      <c r="M105" s="107">
        <f t="shared" si="3"/>
        <v>0</v>
      </c>
      <c r="O105" s="265" t="s">
        <v>76</v>
      </c>
      <c r="P105" s="265" t="s">
        <v>77</v>
      </c>
      <c r="Q105" s="265">
        <v>0</v>
      </c>
      <c r="R105" s="265">
        <v>0</v>
      </c>
      <c r="S105" s="265">
        <v>0</v>
      </c>
      <c r="T105" s="347">
        <v>0.42099999999999999</v>
      </c>
    </row>
    <row r="106" spans="1:20" ht="39.75" customHeight="1">
      <c r="A106" s="5" t="str">
        <f>IF(K106&gt;0,COUNT($A$7:A105)+COUNT('DWV PVC'!$A$8:$A$284)+1,"")</f>
        <v/>
      </c>
      <c r="B106" s="626"/>
      <c r="C106" s="626"/>
      <c r="D106" s="106" t="s">
        <v>304</v>
      </c>
      <c r="E106" s="106">
        <v>300006013</v>
      </c>
      <c r="F106" s="105" t="s">
        <v>305</v>
      </c>
      <c r="G106" s="129">
        <v>20</v>
      </c>
      <c r="H106" s="129">
        <v>640</v>
      </c>
      <c r="I106" s="128">
        <f>_xlfn.XLOOKUP(E106,'All Products'!D:D,'All Products'!H:H)</f>
        <v>441.63</v>
      </c>
      <c r="J106" s="133">
        <f>ROUNDUP(I106*Order_Quote!$L$3,2)</f>
        <v>2208.15</v>
      </c>
      <c r="K106" s="123"/>
      <c r="L106" s="79"/>
      <c r="M106" s="107">
        <f t="shared" si="3"/>
        <v>0</v>
      </c>
      <c r="O106" s="265" t="s">
        <v>76</v>
      </c>
      <c r="P106" s="265" t="s">
        <v>77</v>
      </c>
      <c r="Q106" s="265">
        <v>0</v>
      </c>
      <c r="R106" s="265">
        <v>0</v>
      </c>
      <c r="S106" s="265">
        <v>0</v>
      </c>
      <c r="T106" s="347">
        <v>0.61699999999999999</v>
      </c>
    </row>
    <row r="107" spans="1:20" ht="15">
      <c r="A107" s="5" t="str">
        <f>IF(K107&gt;0,COUNT($A$7:A106)+COUNT('DWV PVC'!$A$8:$A$284)+1,"")</f>
        <v/>
      </c>
      <c r="B107" s="611"/>
      <c r="C107" s="612"/>
      <c r="D107" s="106" t="s">
        <v>306</v>
      </c>
      <c r="E107" s="106">
        <v>300006014</v>
      </c>
      <c r="F107" s="105" t="s">
        <v>307</v>
      </c>
      <c r="G107" s="129">
        <v>25</v>
      </c>
      <c r="H107" s="129">
        <v>1100</v>
      </c>
      <c r="I107" s="128">
        <f>_xlfn.XLOOKUP(E107,'All Products'!D:D,'All Products'!H:H)</f>
        <v>137.66</v>
      </c>
      <c r="J107" s="133">
        <f>ROUNDUP(I107*Order_Quote!$L$3,2)</f>
        <v>688.3</v>
      </c>
      <c r="K107" s="123"/>
      <c r="L107" s="79"/>
      <c r="M107" s="107">
        <f t="shared" si="3"/>
        <v>0</v>
      </c>
      <c r="O107" s="265" t="s">
        <v>76</v>
      </c>
      <c r="P107" s="265" t="s">
        <v>77</v>
      </c>
      <c r="Q107" s="265">
        <v>0</v>
      </c>
      <c r="R107" s="265">
        <v>0</v>
      </c>
      <c r="S107" s="265">
        <v>0</v>
      </c>
      <c r="T107" s="347">
        <v>0.55300000000000005</v>
      </c>
    </row>
    <row r="108" spans="1:20" ht="42" customHeight="1">
      <c r="A108" s="5" t="str">
        <f>IF(K108&gt;0,COUNT($A$7:A107)+COUNT('DWV PVC'!$A$8:$A$284)+1,"")</f>
        <v/>
      </c>
      <c r="B108" s="615"/>
      <c r="C108" s="616"/>
      <c r="D108" s="106" t="s">
        <v>308</v>
      </c>
      <c r="E108" s="106">
        <v>300006015</v>
      </c>
      <c r="F108" s="105" t="s">
        <v>309</v>
      </c>
      <c r="G108" s="129">
        <v>20</v>
      </c>
      <c r="H108" s="129">
        <v>640</v>
      </c>
      <c r="I108" s="128">
        <f>_xlfn.XLOOKUP(E108,'All Products'!D:D,'All Products'!H:H)</f>
        <v>251.79</v>
      </c>
      <c r="J108" s="133">
        <f>ROUNDUP(I108*Order_Quote!$L$3,2)</f>
        <v>1258.95</v>
      </c>
      <c r="K108" s="123"/>
      <c r="L108" s="79"/>
      <c r="M108" s="107">
        <f t="shared" si="3"/>
        <v>0</v>
      </c>
      <c r="O108" s="265" t="s">
        <v>76</v>
      </c>
      <c r="P108" s="265" t="s">
        <v>77</v>
      </c>
      <c r="Q108" s="265">
        <v>0</v>
      </c>
      <c r="R108" s="265">
        <v>0</v>
      </c>
      <c r="S108" s="265">
        <v>0</v>
      </c>
      <c r="T108" s="347">
        <v>0.76100000000000001</v>
      </c>
    </row>
    <row r="109" spans="1:20" ht="15">
      <c r="A109" s="5" t="str">
        <f>IF(K109&gt;0,COUNT($A$7:A108)+COUNT('DWV PVC'!$A$8:$A$284)+1,"")</f>
        <v/>
      </c>
      <c r="B109" s="611"/>
      <c r="C109" s="612"/>
      <c r="D109" s="106" t="s">
        <v>310</v>
      </c>
      <c r="E109" s="106">
        <v>300006016</v>
      </c>
      <c r="F109" s="105" t="s">
        <v>311</v>
      </c>
      <c r="G109" s="129">
        <v>10</v>
      </c>
      <c r="H109" s="129">
        <v>5390</v>
      </c>
      <c r="I109" s="128">
        <f>_xlfn.XLOOKUP(E109,'All Products'!D:D,'All Products'!H:H)</f>
        <v>50.82</v>
      </c>
      <c r="J109" s="133">
        <f>ROUNDUP(I109*Order_Quote!$L$3,2)</f>
        <v>254.1</v>
      </c>
      <c r="K109" s="123"/>
      <c r="L109" s="79"/>
      <c r="M109" s="107">
        <f t="shared" si="3"/>
        <v>0</v>
      </c>
      <c r="O109" s="265" t="s">
        <v>76</v>
      </c>
      <c r="P109" s="265" t="s">
        <v>77</v>
      </c>
      <c r="Q109" s="265">
        <v>0</v>
      </c>
      <c r="R109" s="265">
        <v>0</v>
      </c>
      <c r="S109" s="265">
        <v>0</v>
      </c>
      <c r="T109" s="347">
        <v>5.8999999999999997E-2</v>
      </c>
    </row>
    <row r="110" spans="1:20" ht="15">
      <c r="A110" s="5" t="str">
        <f>IF(K110&gt;0,COUNT($A$7:A109)+COUNT('DWV PVC'!$A$8:$A$284)+1,"")</f>
        <v/>
      </c>
      <c r="B110" s="613"/>
      <c r="C110" s="614"/>
      <c r="D110" s="106" t="s">
        <v>312</v>
      </c>
      <c r="E110" s="106">
        <v>300006017</v>
      </c>
      <c r="F110" s="105" t="s">
        <v>313</v>
      </c>
      <c r="G110" s="129">
        <v>5</v>
      </c>
      <c r="H110" s="129">
        <v>4200</v>
      </c>
      <c r="I110" s="128">
        <f>_xlfn.XLOOKUP(E110,'All Products'!D:D,'All Products'!H:H)</f>
        <v>70.25</v>
      </c>
      <c r="J110" s="133">
        <f>ROUNDUP(I110*Order_Quote!$L$3,2)</f>
        <v>351.25</v>
      </c>
      <c r="K110" s="123"/>
      <c r="L110" s="79"/>
      <c r="M110" s="107">
        <f t="shared" si="3"/>
        <v>0</v>
      </c>
      <c r="O110" s="265" t="s">
        <v>76</v>
      </c>
      <c r="P110" s="265" t="s">
        <v>77</v>
      </c>
      <c r="Q110" s="265">
        <v>0</v>
      </c>
      <c r="R110" s="265">
        <v>0</v>
      </c>
      <c r="S110" s="265">
        <v>0</v>
      </c>
      <c r="T110" s="347">
        <v>8.8999999999999996E-2</v>
      </c>
    </row>
    <row r="111" spans="1:20" ht="15">
      <c r="A111" s="5" t="str">
        <f>IF(K111&gt;0,COUNT($A$7:A110)+COUNT('DWV PVC'!$A$8:$A$284)+1,"")</f>
        <v/>
      </c>
      <c r="B111" s="613"/>
      <c r="C111" s="614"/>
      <c r="D111" s="106" t="s">
        <v>314</v>
      </c>
      <c r="E111" s="106">
        <v>300006018</v>
      </c>
      <c r="F111" s="105" t="s">
        <v>315</v>
      </c>
      <c r="G111" s="129">
        <v>10</v>
      </c>
      <c r="H111" s="129">
        <v>1800</v>
      </c>
      <c r="I111" s="128">
        <f>_xlfn.XLOOKUP(E111,'All Products'!D:D,'All Products'!H:H)</f>
        <v>145.22</v>
      </c>
      <c r="J111" s="133">
        <f>ROUNDUP(I111*Order_Quote!$L$3,2)</f>
        <v>726.1</v>
      </c>
      <c r="K111" s="123"/>
      <c r="L111" s="79"/>
      <c r="M111" s="107">
        <f t="shared" si="3"/>
        <v>0</v>
      </c>
      <c r="O111" s="265" t="s">
        <v>76</v>
      </c>
      <c r="P111" s="265" t="s">
        <v>77</v>
      </c>
      <c r="Q111" s="265">
        <v>0</v>
      </c>
      <c r="R111" s="265">
        <v>0</v>
      </c>
      <c r="S111" s="265">
        <v>0</v>
      </c>
      <c r="T111" s="347">
        <v>0.29899999999999999</v>
      </c>
    </row>
    <row r="112" spans="1:20" ht="15">
      <c r="A112" s="5" t="str">
        <f>IF(K112&gt;0,COUNT($A$7:A111)+COUNT('DWV PVC'!$A$8:$A$284)+1,"")</f>
        <v/>
      </c>
      <c r="B112" s="613"/>
      <c r="C112" s="614"/>
      <c r="D112" s="106" t="s">
        <v>316</v>
      </c>
      <c r="E112" s="106">
        <v>300006019</v>
      </c>
      <c r="F112" s="105" t="s">
        <v>317</v>
      </c>
      <c r="G112" s="129">
        <v>20</v>
      </c>
      <c r="H112" s="129">
        <v>720</v>
      </c>
      <c r="I112" s="128">
        <f>_xlfn.XLOOKUP(E112,'All Products'!D:D,'All Products'!H:H)</f>
        <v>141.96</v>
      </c>
      <c r="J112" s="133">
        <f>ROUNDUP(I112*Order_Quote!$L$3,2)</f>
        <v>709.8</v>
      </c>
      <c r="K112" s="123"/>
      <c r="L112" s="79"/>
      <c r="M112" s="107">
        <f t="shared" si="3"/>
        <v>0</v>
      </c>
      <c r="O112" s="265" t="s">
        <v>76</v>
      </c>
      <c r="P112" s="265" t="s">
        <v>77</v>
      </c>
      <c r="Q112" s="265">
        <v>0</v>
      </c>
      <c r="R112" s="265">
        <v>0</v>
      </c>
      <c r="S112" s="265">
        <v>0</v>
      </c>
      <c r="T112" s="347">
        <v>0.51200000000000001</v>
      </c>
    </row>
    <row r="113" spans="1:20" ht="15">
      <c r="A113" s="5" t="str">
        <f>IF(K113&gt;0,COUNT($A$7:A112)+COUNT('DWV PVC'!$A$8:$A$284)+1,"")</f>
        <v/>
      </c>
      <c r="B113" s="626"/>
      <c r="C113" s="626"/>
      <c r="D113" s="106" t="s">
        <v>318</v>
      </c>
      <c r="E113" s="106">
        <v>300006020</v>
      </c>
      <c r="F113" s="105" t="s">
        <v>319</v>
      </c>
      <c r="G113" s="129">
        <v>50</v>
      </c>
      <c r="H113" s="129">
        <v>12800</v>
      </c>
      <c r="I113" s="128">
        <f>_xlfn.XLOOKUP(E113,'All Products'!D:D,'All Products'!H:H)</f>
        <v>21.74</v>
      </c>
      <c r="J113" s="133">
        <f>ROUNDUP(I113*Order_Quote!$L$3,2)</f>
        <v>108.7</v>
      </c>
      <c r="K113" s="123"/>
      <c r="L113" s="79"/>
      <c r="M113" s="107">
        <f t="shared" si="3"/>
        <v>0</v>
      </c>
      <c r="O113" s="265" t="s">
        <v>76</v>
      </c>
      <c r="P113" s="265" t="s">
        <v>77</v>
      </c>
      <c r="Q113" s="265">
        <v>0</v>
      </c>
      <c r="R113" s="265">
        <v>0</v>
      </c>
      <c r="S113" s="265">
        <v>0</v>
      </c>
      <c r="T113" s="347">
        <v>4.5999999999999999E-2</v>
      </c>
    </row>
    <row r="114" spans="1:20" s="17" customFormat="1" ht="37.5" customHeight="1">
      <c r="A114" s="5" t="str">
        <f>IF(K114&gt;0,COUNT($A$7:A113)+COUNT('DWV PVC'!$A$8:$A$284)+1,"")</f>
        <v/>
      </c>
      <c r="B114" s="626"/>
      <c r="C114" s="626"/>
      <c r="D114" s="106" t="s">
        <v>320</v>
      </c>
      <c r="E114" s="106">
        <v>300006021</v>
      </c>
      <c r="F114" s="105" t="s">
        <v>321</v>
      </c>
      <c r="G114" s="129">
        <v>50</v>
      </c>
      <c r="H114" s="129">
        <v>8400</v>
      </c>
      <c r="I114" s="128">
        <f>_xlfn.XLOOKUP(E114,'All Products'!D:D,'All Products'!H:H)</f>
        <v>23.73</v>
      </c>
      <c r="J114" s="133">
        <f>ROUNDUP(I114*Order_Quote!$L$3,2)</f>
        <v>118.65</v>
      </c>
      <c r="K114" s="123"/>
      <c r="L114" s="79"/>
      <c r="M114" s="107">
        <f t="shared" si="3"/>
        <v>0</v>
      </c>
      <c r="O114" s="265" t="s">
        <v>76</v>
      </c>
      <c r="P114" s="265" t="s">
        <v>77</v>
      </c>
      <c r="Q114" s="265">
        <v>0</v>
      </c>
      <c r="R114" s="265">
        <v>0</v>
      </c>
      <c r="S114" s="265">
        <v>0</v>
      </c>
      <c r="T114" s="347">
        <v>1</v>
      </c>
    </row>
    <row r="115" spans="1:20" ht="15">
      <c r="A115" s="5" t="str">
        <f>IF(K115&gt;0,COUNT($A$7:A114)+COUNT('DWV PVC'!$A$8:$A$284)+1,"")</f>
        <v/>
      </c>
      <c r="B115" s="626"/>
      <c r="C115" s="626"/>
      <c r="D115" s="106" t="s">
        <v>322</v>
      </c>
      <c r="E115" s="106">
        <v>300006022</v>
      </c>
      <c r="F115" s="105" t="s">
        <v>323</v>
      </c>
      <c r="G115" s="129">
        <v>25</v>
      </c>
      <c r="H115" s="129">
        <v>2400</v>
      </c>
      <c r="I115" s="128">
        <f>_xlfn.XLOOKUP(E115,'All Products'!D:D,'All Products'!H:H)</f>
        <v>38.64</v>
      </c>
      <c r="J115" s="133">
        <f>ROUNDUP(I115*Order_Quote!$L$3,2)</f>
        <v>193.2</v>
      </c>
      <c r="K115" s="123"/>
      <c r="L115" s="79"/>
      <c r="M115" s="107">
        <f t="shared" si="3"/>
        <v>0</v>
      </c>
      <c r="O115" s="265" t="s">
        <v>76</v>
      </c>
      <c r="P115" s="265" t="s">
        <v>77</v>
      </c>
      <c r="Q115" s="265">
        <v>0</v>
      </c>
      <c r="R115" s="265">
        <v>0</v>
      </c>
      <c r="S115" s="265">
        <v>0</v>
      </c>
      <c r="T115" s="347">
        <v>0.16800000000000001</v>
      </c>
    </row>
    <row r="116" spans="1:20" ht="15">
      <c r="A116" s="5" t="str">
        <f>IF(K116&gt;0,COUNT($A$7:A115)+COUNT('DWV PVC'!$A$8:$A$284)+1,"")</f>
        <v/>
      </c>
      <c r="B116" s="626"/>
      <c r="C116" s="626"/>
      <c r="D116" s="106" t="s">
        <v>324</v>
      </c>
      <c r="E116" s="106">
        <v>300006023</v>
      </c>
      <c r="F116" s="105" t="s">
        <v>325</v>
      </c>
      <c r="G116" s="129">
        <v>30</v>
      </c>
      <c r="H116" s="129">
        <v>1920</v>
      </c>
      <c r="I116" s="128">
        <f>_xlfn.XLOOKUP(E116,'All Products'!D:D,'All Products'!H:H)</f>
        <v>66.989999999999995</v>
      </c>
      <c r="J116" s="133">
        <f>ROUNDUP(I116*Order_Quote!$L$3,2)</f>
        <v>334.95</v>
      </c>
      <c r="K116" s="123"/>
      <c r="L116" s="79"/>
      <c r="M116" s="107">
        <f t="shared" si="3"/>
        <v>0</v>
      </c>
      <c r="O116" s="265" t="s">
        <v>76</v>
      </c>
      <c r="P116" s="265" t="s">
        <v>77</v>
      </c>
      <c r="Q116" s="265">
        <v>0</v>
      </c>
      <c r="R116" s="265">
        <v>0</v>
      </c>
      <c r="S116" s="265">
        <v>0</v>
      </c>
      <c r="T116" s="347">
        <v>0.315</v>
      </c>
    </row>
    <row r="117" spans="1:20" ht="15">
      <c r="A117" s="5">
        <f>MAX(A8:A116)+1</f>
        <v>1</v>
      </c>
      <c r="B117" s="627"/>
      <c r="C117" s="627"/>
    </row>
    <row r="118" spans="1:20" ht="15">
      <c r="B118" s="668"/>
      <c r="C118" s="668"/>
    </row>
    <row r="119" spans="1:20" ht="15">
      <c r="B119" s="668"/>
      <c r="C119" s="668"/>
    </row>
    <row r="120" spans="1:20" ht="15">
      <c r="B120" s="668"/>
      <c r="C120" s="668"/>
    </row>
  </sheetData>
  <sheetProtection formatCells="0" formatColumns="0" formatRows="0" insertColumns="0" insertRows="0" insertHyperlinks="0" deleteColumns="0" deleteRows="0" sort="0" autoFilter="0" pivotTables="0"/>
  <mergeCells count="40">
    <mergeCell ref="B98:C99"/>
    <mergeCell ref="B100:C100"/>
    <mergeCell ref="B102:C102"/>
    <mergeCell ref="B105:C106"/>
    <mergeCell ref="B109:C112"/>
    <mergeCell ref="B119:C119"/>
    <mergeCell ref="B120:C120"/>
    <mergeCell ref="B117:C117"/>
    <mergeCell ref="B118:C118"/>
    <mergeCell ref="B70:C71"/>
    <mergeCell ref="B72:C76"/>
    <mergeCell ref="B77:C79"/>
    <mergeCell ref="B80:C82"/>
    <mergeCell ref="B83:C83"/>
    <mergeCell ref="B84:C87"/>
    <mergeCell ref="B88:C91"/>
    <mergeCell ref="B92:C94"/>
    <mergeCell ref="B95:C97"/>
    <mergeCell ref="B107:C108"/>
    <mergeCell ref="B113:C116"/>
    <mergeCell ref="B103:C104"/>
    <mergeCell ref="B27:C29"/>
    <mergeCell ref="B30:C34"/>
    <mergeCell ref="B35:C35"/>
    <mergeCell ref="B55:C57"/>
    <mergeCell ref="B58:C61"/>
    <mergeCell ref="B62:C65"/>
    <mergeCell ref="B66:C69"/>
    <mergeCell ref="B36:C39"/>
    <mergeCell ref="B40:C42"/>
    <mergeCell ref="B43:C46"/>
    <mergeCell ref="B47:C49"/>
    <mergeCell ref="B50:C51"/>
    <mergeCell ref="Q6:S6"/>
    <mergeCell ref="B19:C22"/>
    <mergeCell ref="B23:C26"/>
    <mergeCell ref="J2:K3"/>
    <mergeCell ref="B8:C11"/>
    <mergeCell ref="B12:C17"/>
    <mergeCell ref="B18:C18"/>
  </mergeCells>
  <dataValidations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K8:L116" xr:uid="{D4B30DF7-93DB-4740-84D8-31C050D2EC4D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A812FBF2-0DC5-4DCB-A00A-B8E3367E7982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7 K6:K7 K1 K117:L65214" xr:uid="{383B490B-D25B-435E-9CAD-4D7B8B770F8B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&amp;L&amp;8V12112014&amp;CCopyright 2015
All rights reserved
For Tigre-ADS USA customer and rep use only&amp;R&amp;P</oddFooter>
  </headerFooter>
  <rowBreaks count="3" manualBreakCount="3">
    <brk id="35" max="8" man="1"/>
    <brk id="71" max="8" man="1"/>
    <brk id="99" max="8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5" tint="-0.499984740745262"/>
    <pageSetUpPr fitToPage="1"/>
  </sheetPr>
  <dimension ref="A1:L45"/>
  <sheetViews>
    <sheetView showGridLines="0" zoomScaleNormal="100" workbookViewId="0">
      <selection activeCell="E8" sqref="E8:F8"/>
    </sheetView>
  </sheetViews>
  <sheetFormatPr defaultColWidth="0" defaultRowHeight="15" zeroHeight="1"/>
  <cols>
    <col min="1" max="1" width="3.7109375" style="5" customWidth="1"/>
    <col min="2" max="2" width="4.42578125" style="2" customWidth="1"/>
    <col min="3" max="3" width="13" style="2" customWidth="1"/>
    <col min="4" max="4" width="17.5703125" style="2" bestFit="1" customWidth="1"/>
    <col min="5" max="6" width="13.42578125" style="2" customWidth="1"/>
    <col min="7" max="7" width="29.42578125" style="2" customWidth="1"/>
    <col min="8" max="8" width="15.42578125" style="2" bestFit="1" customWidth="1"/>
    <col min="9" max="9" width="10" style="2" bestFit="1" customWidth="1"/>
    <col min="10" max="10" width="20.5703125" style="2" bestFit="1" customWidth="1"/>
    <col min="11" max="11" width="14.140625" style="2" customWidth="1"/>
    <col min="12" max="12" width="2.5703125" style="2" customWidth="1"/>
    <col min="13" max="16384" width="9.140625" style="2" hidden="1"/>
  </cols>
  <sheetData>
    <row r="1" spans="3:11" ht="16.5" thickBot="1">
      <c r="C1" s="71" t="s">
        <v>0</v>
      </c>
      <c r="D1" s="40"/>
      <c r="E1" s="31"/>
      <c r="F1" s="661" t="s">
        <v>6990</v>
      </c>
      <c r="G1" s="661"/>
      <c r="H1" s="661"/>
      <c r="I1" s="661"/>
      <c r="J1" s="224" t="s">
        <v>6991</v>
      </c>
      <c r="K1" s="225" t="s">
        <v>4</v>
      </c>
    </row>
    <row r="2" spans="3:11">
      <c r="J2" s="222" t="s">
        <v>6</v>
      </c>
      <c r="K2" s="478" t="str">
        <f>IF($D$33="DWV PVC",$I$33,+IF($D$34="DWV PVC",$I$34,+IF($D$35="DWV PVC",$I$35,+IF($D$36="DWV PVC",$I$36,+IF($D$37="DWV PVC",$I$37,+IF($D$38="DWV PVC",$I$38,+IF($D$39="DWV PVC",$I$39,+IF($D$40="DWV PVC",$I$40,+IF($D$41="DWV PVC",$I$41,"-")))))))))</f>
        <v>-</v>
      </c>
    </row>
    <row r="3" spans="3:11">
      <c r="C3" s="71" t="s">
        <v>8</v>
      </c>
      <c r="D3" s="664"/>
      <c r="E3" s="664"/>
      <c r="F3" s="664"/>
      <c r="G3" s="3" t="s">
        <v>9</v>
      </c>
      <c r="H3" s="665"/>
      <c r="I3" s="665"/>
      <c r="J3" s="63" t="s">
        <v>7</v>
      </c>
      <c r="K3" s="479" t="str">
        <f>IF($D$33="DWV ABS",$I$33,+IF($D$34="DWV ABS",$I$34,+IF($D$35="DWV ABS",$I$35,+IF($D$36="DWV ABS",$I$36,+IF($D$37="DWV ABS",$I$37,+IF($D$38="DWV ABS",$I$38,+IF($D$39="DWV ABS",$I$39,+IF($D$40="DWV ABS",$I$40,+IF($D$41="DWV ABS",$I$41,"-")))))))))</f>
        <v>-</v>
      </c>
    </row>
    <row r="4" spans="3:11">
      <c r="C4" s="3" t="s">
        <v>11</v>
      </c>
      <c r="D4" s="659" t="s">
        <v>12</v>
      </c>
      <c r="E4" s="659"/>
      <c r="F4" s="659"/>
      <c r="G4" s="3" t="s">
        <v>6992</v>
      </c>
      <c r="H4" s="660"/>
      <c r="I4" s="660"/>
      <c r="J4" s="63" t="s">
        <v>10</v>
      </c>
      <c r="K4" s="479" t="str">
        <f>IF($D$33="PVC SCH40",$I$33,+IF($D$34="PVC SCH40",$I$34,+IF($D$35="PVC SCH40",$I$35,+IF($D$36="PVC SCH40",$I$36,+IF($D$37="PVC SCH40",$I$37,+IF($D$38="PVC SCH40",$I$38,+IF($D$39="PVC SCH40",$I$39,+IF($D$40="PVC SCH40",$I$40,+IF($D$41="PVC SCH40",$I$41,"-")))))))))</f>
        <v>-</v>
      </c>
    </row>
    <row r="5" spans="3:11">
      <c r="C5" s="71" t="s">
        <v>6993</v>
      </c>
      <c r="D5" s="667"/>
      <c r="E5" s="667"/>
      <c r="F5" s="667"/>
      <c r="G5" s="3" t="s">
        <v>19</v>
      </c>
      <c r="H5" s="490"/>
      <c r="I5" s="490"/>
      <c r="J5" s="63" t="s">
        <v>14</v>
      </c>
      <c r="K5" s="479" t="str">
        <f>IF($D$33="PVC SCH40 LD",$I$33,+IF($D$34="PVC SCH40 LD",$I$34,+IF($D$35="PVC SCH40 LD",$I$35,+IF($D$36="PVC SCH40 LD",$I$36,+IF($D$37="PVC SCH40 LD",$I$37,+IF($D$38="PVC SCH40 LD",$I$38,+IF($D$39="PVC SCH40 LD",$I$39,+IF($D$40="PVC SCH40 LD",$I$40,+IF($D$41="PVC SCH40 LD",$I$41,"-")))))))))</f>
        <v>-</v>
      </c>
    </row>
    <row r="6" spans="3:11">
      <c r="C6" s="70" t="s">
        <v>18</v>
      </c>
      <c r="D6" s="666"/>
      <c r="E6" s="666"/>
      <c r="F6" s="666"/>
      <c r="G6" s="3" t="s">
        <v>22</v>
      </c>
      <c r="H6" s="490"/>
      <c r="I6" s="490"/>
      <c r="J6" s="63" t="s">
        <v>17</v>
      </c>
      <c r="K6" s="479" t="str">
        <f>IF($D$33="Pool &amp; SPA Sweep Elbows",$I$33,+IF($D$34="Pool &amp; SPA Sweep Elbows",$I$34,+IF($D$35="Pool &amp; SPA Sweep Elbows",$I$35,+IF($D$36="Pool &amp; SPA Sweep Elbows",$I$36,+IF($D$37="Pool &amp; SPA Sweep Elbows",$I$37,+IF($D$38="Pool &amp; SPA Sweep Elbows",$I$38,+IF($D$39="Pool &amp; SPA Sweep Elbows",$I$39,+IF($D$40="Pool &amp; SPA Sweep Elbows",$I$40,+IF($D$41="Pool &amp; SPA Sweep Elbows",$I$41,"-")))))))))</f>
        <v>-</v>
      </c>
    </row>
    <row r="7" spans="3:11">
      <c r="C7" s="663" t="s">
        <v>21</v>
      </c>
      <c r="D7" s="663"/>
      <c r="E7" s="32"/>
      <c r="F7" s="32"/>
      <c r="G7" s="33"/>
      <c r="H7" s="9"/>
      <c r="J7" s="63" t="s">
        <v>20</v>
      </c>
      <c r="K7" s="479" t="str">
        <f>IF($D$33="Pool &amp; SPA Pipe Extender",$I$33,+IF($D$34="Pool &amp; SPA Pipe Extender",$I$34,+IF($D$35="Pool &amp; SPA Pipe Extender",$I$35,+IF($D$36="Pool &amp; SPA Pipe Extender",$I$36,+IF($D$37="Pool &amp; SPA Pipe Extender",$I$37,+IF($D$38="Pool &amp; SPA Pipe Extender",$I$38,+IF($D$39="Pool &amp; SPA Pipe Extender",$I$39,+IF($D$40="Pool &amp; SPA Pipe Extender",$I$40,+IF($D$41="Pool &amp; SPA Pipe Extender",$I$41,"-")))))))))</f>
        <v>-</v>
      </c>
    </row>
    <row r="8" spans="3:11">
      <c r="C8" s="663"/>
      <c r="D8" s="663"/>
      <c r="E8" s="658"/>
      <c r="F8" s="658"/>
      <c r="G8" s="33"/>
      <c r="J8" s="63" t="s">
        <v>23</v>
      </c>
      <c r="K8" s="479" t="str">
        <f>IF($D$33="PVC SCH80",$I$33,+IF($D$34="PVC SCH80",$I$34,+IF($D$35="PVC SCH80",$I$35,+IF($D$36="PVC SCH80",$I$36,+IF($D$37="PVC SCH80",$I$37,+IF($D$38="PVC SCH80",$I$38,+IF($D$39="PVC SCH80",$I$39,+IF($D$40="PVC SCH80",$I$40,+IF($D$41="PVC SCH80",$I$41,"-")))))))))</f>
        <v>-</v>
      </c>
    </row>
    <row r="9" spans="3:11">
      <c r="C9" s="8"/>
      <c r="D9" s="8"/>
      <c r="E9" s="4"/>
      <c r="F9" s="4"/>
      <c r="J9" s="63" t="s">
        <v>24</v>
      </c>
      <c r="K9" s="48" t="str">
        <f>IF($D$33="PVC SCH80 Flange",$I$33,+IF($D$34="PVC SCH80 Flange",$I$34,+IF($D$35="PVC SCH80 Flange",$I$35,+IF($D$36="PVC SCH80 Flange",$I$36,+IF($D$37="PVC SCH80 Flange",$I$37,+IF($D$38="PVC SCH80 Flange",$I$38,+IF($D$39="PVC SCH80 Flange",$I$39,+IF($D$40="PVC SCH80 Flange",$I$40,+IF($D$41="PVC SCH80 Flange",$I$41,"-")))))))))</f>
        <v>-</v>
      </c>
    </row>
    <row r="10" spans="3:11">
      <c r="C10" s="71" t="s">
        <v>26</v>
      </c>
      <c r="D10" s="662"/>
      <c r="E10" s="662"/>
      <c r="F10" s="662"/>
      <c r="G10" s="71" t="s">
        <v>27</v>
      </c>
      <c r="H10" s="665"/>
      <c r="I10" s="665"/>
      <c r="J10" s="63" t="s">
        <v>25</v>
      </c>
      <c r="K10" s="479" t="str">
        <f>IF($D$33="PVC SCH80 LD Flange",$I$33,+IF($D$34="PVC SCH80 LD Flange",$I$34,+IF($D$35="PVC SCH80 LD Flange",$I$35,+IF($D$36="PVC SCH80 LD Flange",$I$36,+IF($D$37="PVC SCH80 LD Flange",$I$37,+IF($D$38="PVC SCH80 LD Flange",$I$38,+IF($D$39="PVC SCH80 LD Flange",$I$39,+IF($D$40="PVC SCH80 LD Flange",$I$40,+IF($D$41="PVC SCH80 LD Flange",$I$41,"-")))))))))</f>
        <v>-</v>
      </c>
    </row>
    <row r="11" spans="3:11" ht="14.25" customHeight="1">
      <c r="J11" s="63" t="s">
        <v>28</v>
      </c>
      <c r="K11" s="479" t="str">
        <f>IF($D$33="CPVC",$I$33,+IF($D$34="CPVC",$I$34,+IF($D$35="CPVC",$I$35,+IF($D$36="CPVC",$I$36,+IF($D$37="CPVC",$I$37,+IF($D$38="CPVC",$I$38,+IF($D$39="CPVC",$I$39,+IF($D$40="CPVC",$I$40,+IF($D$41="CPVC",$I$41,"-")))))))))</f>
        <v>-</v>
      </c>
    </row>
    <row r="12" spans="3:11" ht="15" customHeight="1">
      <c r="D12" s="659"/>
      <c r="E12" s="659"/>
      <c r="F12" s="659"/>
      <c r="H12" s="659"/>
      <c r="I12" s="659"/>
      <c r="J12" s="63" t="s">
        <v>29</v>
      </c>
      <c r="K12" s="479" t="str">
        <f>IF($D$33="Insert Fittings",$I$33,+IF($D$34="Insert Fittings",$I$34,+IF($D$35="Insert Fittings",$I$35,+IF($D$36="Insert Fittings",$I$36,+IF($D$37="Insert Fittings",$I$37,+IF($D$38="Insert Fittings",$I$38,+IF($D$39="Insert Fittings",$I$39,+IF($D$40="Insert Fittings",$I$40,+IF($D$41="Insert Fittings",$I$41,"-")))))))))</f>
        <v>-</v>
      </c>
    </row>
    <row r="13" spans="3:11" ht="14.25" customHeight="1">
      <c r="J13" s="63" t="s">
        <v>30</v>
      </c>
      <c r="K13" s="479" t="str">
        <f>IF($D$33="Valves",$I$33,+IF($D$34="Valves",$I$34,+IF($D$35="Valves",$I$35,+IF($D$36="Valves",$I$36,+IF($D$37="Valves",$I$37,+IF($D$38="Valves",$I$38,+IF($D$39="Valves",$I$39,+IF($D$40="Valves",$I$40,+IF($D$41="Valves",$I$41,"-")))))))))</f>
        <v>-</v>
      </c>
    </row>
    <row r="14" spans="3:11">
      <c r="J14" s="63" t="s">
        <v>31</v>
      </c>
      <c r="K14" s="479" t="str">
        <f>IF($D$33="SDR35SW",$I$33,+IF($D$34="SDR35SW",$I$34,+IF($D$35="SDR35SW",$I$35,+IF($D$36="SDR35SW",$I$36,+IF($D$37="SDR35SW",$I$37,+IF($D$38="SDR35SW",$I$38,+IF($D$39="SDR35SW",$I$39,+IF($D$40="SDR35SW",$I$40,+IF($D$41="SDR35SW",$I$41,"-")))))))))</f>
        <v>-</v>
      </c>
    </row>
    <row r="15" spans="3:11">
      <c r="J15" s="63" t="s">
        <v>32</v>
      </c>
      <c r="K15" s="479" t="str">
        <f>IF($D$33="SDR35G",$I$33,+IF($D$34="SDR35G",$I$34,+IF($D$35="SDR35G",$I$35,+IF($D$36="SDR35G",$I$36,+IF($D$37="SDR35G",$I$37,+IF($D$38="SDR35G",$I$38,+IF($D$39="SDR35G",$I$39,+IF($D$40="SDR35G",$I$40,+IF($D$41="SDR35G",$I$41,"-")))))))))</f>
        <v>-</v>
      </c>
    </row>
    <row r="16" spans="3:11">
      <c r="C16" s="4"/>
      <c r="J16" s="63" t="s">
        <v>33</v>
      </c>
      <c r="K16" s="48" t="str">
        <f>IF($D$33="SDR26G",$I$33,+IF($D$34="SDR26G",$I$34,+IF($D$35="SDR26G",$I$35,+IF($D$36="SDR26G",$I$36,+IF($D$37="SDR26G",$I$37,+IF($D$38="SDR26G",$I$38,+IF($D$39="SDR26G",$I$39,+IF($D$40="SDR26G",$I$40,+IF($D$41="SDR26G",$I$41,"-")))))))))</f>
        <v>-</v>
      </c>
    </row>
    <row r="17" spans="1:11">
      <c r="C17" s="4"/>
      <c r="D17" s="206"/>
      <c r="E17" s="206"/>
      <c r="F17" s="206"/>
      <c r="H17" s="206"/>
      <c r="I17" s="206"/>
      <c r="J17" s="63" t="s">
        <v>34</v>
      </c>
      <c r="K17" s="48" t="str">
        <f>IF($D$33="Cements",$I$33,+IF($D$34="Cements",$I$34,+IF($D$35="Cements",$I$35,+IF($D$36="Cements",$I$36,+IF($D$37="Cements",$I$37,+IF($D$38="Cements",$I$38,+IF($D$39="Cements",$I$39,+IF($D$40="Cements",$I$40,+IF($D$41="Cements",$I$41,"-")))))))))</f>
        <v>-</v>
      </c>
    </row>
    <row r="18" spans="1:11">
      <c r="C18" s="4"/>
      <c r="D18" s="206"/>
      <c r="E18" s="206"/>
      <c r="F18" s="206"/>
      <c r="H18" s="206"/>
      <c r="I18" s="206"/>
      <c r="J18" s="63" t="s">
        <v>35</v>
      </c>
      <c r="K18" s="223" t="str">
        <f>IF($D$33="Valve Box",$I$33,+IF($D$34="Valve Box",$I$34,+IF($D$35="Valve Box",$I$35,+IF($D$36="Valve Box",$I$36,+IF($D$37="Valve Box",$I$37,+IF($D$38="Valve Box",$I$38,+IF($D$39="Valve Box",$I$39,+IF($D$40="Valve Box",$I$40,+IF($D$41="Valve Box",$I$41,"-")))))))))</f>
        <v>-</v>
      </c>
    </row>
    <row r="19" spans="1:11">
      <c r="C19" s="4"/>
      <c r="D19" s="206"/>
      <c r="E19" s="206"/>
      <c r="F19" s="206"/>
      <c r="H19" s="206"/>
      <c r="I19" s="206"/>
      <c r="J19" s="63" t="s">
        <v>36</v>
      </c>
      <c r="K19" s="223" t="str">
        <f>IF($D$33="Valve Box Components",$I$33,+IF($D$34="Valve Box Components",$I$34,+IF($D$35="Valve Box Components",$I$35,+IF($D$36="Valve Box Components",$I$36,+IF($D$37="Valve Box Components",$I$37,+IF($D$38="Valve Box Components",$I$38,+IF($D$39="Valve Box Components",$I$39,+IF($D$40="Valve Box Components",$I$40,+IF($D$41="Valve Box Components",$I$41,"-")))))))))</f>
        <v>-</v>
      </c>
    </row>
    <row r="20" spans="1:11">
      <c r="C20" s="4"/>
      <c r="D20" s="206"/>
      <c r="E20" s="206"/>
      <c r="F20" s="206"/>
      <c r="H20" s="206"/>
      <c r="I20" s="206"/>
      <c r="J20" s="63" t="s">
        <v>37</v>
      </c>
      <c r="K20" s="223" t="str">
        <f>IF($D$33="Drainage",$I$33,+IF($D$34="Drainage",$I$34,+IF($D$35="Drainage",$I$35,+IF($D$36="Drainage",$I$36,+IF($D$37="Drainage",$I$37,+IF($D$38="Drainage",$I$38,+IF($D$39="Drainage",$I$39,+IF($D$40="Drainage",$I$40,+IF($D$41="Drainage",$I$41,"-")))))))))</f>
        <v>-</v>
      </c>
    </row>
    <row r="21" spans="1:11">
      <c r="C21" s="4"/>
      <c r="D21" s="206"/>
      <c r="E21" s="206"/>
      <c r="F21" s="206"/>
      <c r="H21" s="206"/>
      <c r="I21" s="206"/>
      <c r="J21" s="63" t="s">
        <v>38</v>
      </c>
      <c r="K21" s="223" t="str">
        <f>IF($D$33="Nipples",$I$33,+IF($D$34="Nipples",$I$34,+IF($D$35="Nipples",$I$35,+IF($D$36="Nipples",$I$36,+IF($D$37="Nipples",$I$37,+IF($D$38="Nipples",$I$38,+IF($D$39="Nipples",$I$39,+IF($D$40="Nipples",$I$40,+IF($D$41="Nipples",$I$41,"-")))))))))</f>
        <v>-</v>
      </c>
    </row>
    <row r="22" spans="1:11">
      <c r="C22" s="4"/>
      <c r="D22" s="206"/>
      <c r="E22" s="206"/>
      <c r="F22" s="206"/>
      <c r="H22" s="206"/>
      <c r="I22" s="206"/>
      <c r="J22" s="63" t="s">
        <v>39</v>
      </c>
      <c r="K22" s="223" t="str">
        <f>IF($D$33="Manifold",$I$33,+IF($D$34="Manifold",$I$34,+IF($D$35="Manifold",$I$35,+IF($D$36="Manifold",$I$36,+IF($D$37="Manifold",$I$37,+IF($D$38="Manifold",$I$38,+IF($D$39="Manifold",$I$39,+IF($D$40="Manifold",$I$40,+IF($D$41="Manifold",$I$41,"-")))))))))</f>
        <v>-</v>
      </c>
    </row>
    <row r="23" spans="1:11">
      <c r="C23" s="4"/>
      <c r="D23" s="206"/>
      <c r="E23" s="206"/>
      <c r="F23" s="206"/>
      <c r="H23" s="206"/>
      <c r="I23" s="206"/>
      <c r="J23" s="63" t="s">
        <v>40</v>
      </c>
      <c r="K23" s="223" t="str">
        <f>IF($D$33="Flexible Repair Couplings",$I$33,+IF($D$34="Flexible Repair Couplings",$I$34,+IF($D$35="Flexible Repair Couplings",$I$35,+IF($D$36="Flexible Repair Couplings",$I$36,+IF($D$37="Flexible Repair Couplings",$I$37,+IF($D$38="Flexible Repair Couplings",$I$38,+IF($D$39="Flexible Repair Couplings",$I$39,+IF($D$40="Flexible Repair Couplings",$I$40,+IF($D$41="Flexible Repair Couplings",$I$41,"-")))))))))</f>
        <v>-</v>
      </c>
    </row>
    <row r="24" spans="1:11">
      <c r="C24" s="4"/>
      <c r="D24" s="206"/>
      <c r="E24" s="206"/>
      <c r="F24" s="206"/>
      <c r="H24" s="206"/>
      <c r="I24" s="206"/>
      <c r="J24" s="63" t="s">
        <v>41</v>
      </c>
      <c r="K24" s="223" t="str">
        <f>IF($D$33="Dura Fix",$I$33,+IF($D$34="Dura Fix",$I$34,+IF($D$35="Dura Fix",$I$35,+IF($D$36="Dura Fix",$I$36,+IF($D$37="Dura Fix",$I$37,+IF($D$38="Dura Fix",$I$38,+IF($D$39="Dura Fix",$I$39,+IF($D$40="Dura Fix",$I$40,+IF($D$41="Dura Fix",$I$41,"-")))))))))</f>
        <v>-</v>
      </c>
    </row>
    <row r="25" spans="1:11">
      <c r="C25" s="4"/>
      <c r="D25" s="206"/>
      <c r="E25" s="206"/>
      <c r="F25" s="206"/>
      <c r="H25" s="206"/>
      <c r="I25" s="206"/>
      <c r="J25" s="63" t="s">
        <v>42</v>
      </c>
      <c r="K25" s="223" t="str">
        <f>IF($D$33="Compression Fittings",$I$33,+IF($D$34="Compression Fittings",$I$34,+IF($D$35="Compression Fittings",$I$35,+IF($D$36="Compression Fittings",$I$36,+IF($D$37="Compression Fittings",$I$37,+IF($D$38="Compression Fittings",$I$38,+IF($D$39="Compression Fittings",$I$39,+IF($D$40="Compression Fittings",$I$40,+IF($D$41="Compression Fittings",$I$41,"-")))))))))</f>
        <v>-</v>
      </c>
    </row>
    <row r="26" spans="1:11">
      <c r="C26" s="4"/>
      <c r="D26" s="206"/>
      <c r="E26" s="206"/>
      <c r="F26" s="206"/>
      <c r="H26" s="206"/>
      <c r="I26" s="206"/>
      <c r="J26" s="63" t="s">
        <v>43</v>
      </c>
      <c r="K26" s="223" t="str">
        <f>IF($D$33="Hose Fittings",$I$33,+IF($D$34="Hose Fittings",$I$34,+IF($D$35="Hose Fittings",$I$35,+IF($D$36="Hose Fittings",$I$36,+IF($D$37="Hose Fittings",$I$37,+IF($D$38="Hose Fittings",$I$38,+IF($D$39="Hose Fittings",$I$39,+IF($D$40="Hose Fittings",$I$40,+IF($D$41="Hose Fittings",$I$41,"-")))))))))</f>
        <v>-</v>
      </c>
    </row>
    <row r="27" spans="1:11">
      <c r="C27" s="4"/>
      <c r="D27" s="206"/>
      <c r="E27" s="206"/>
      <c r="F27" s="206"/>
      <c r="H27" s="206"/>
      <c r="I27" s="206"/>
      <c r="J27" s="507" t="s">
        <v>44</v>
      </c>
      <c r="K27" s="48" t="str">
        <f>IF($D$33="Swing Joints",$I$33,+IF($D$34="Swing Joints",$I$34,+IF($D$35="Swing Joints",$I$35,+IF($D$36="Swing Joints",$I$36,+IF($D$37="Swing Joints",$I$37,+IF($D$38="Swing Joints",$I$38,+IF($D$39="Swing Joints",$I$39,+IF($D$40="Swing Joints",$I$40,+IF($D$41="Swing Joints",$I$41,"-")))))))))</f>
        <v>-</v>
      </c>
    </row>
    <row r="28" spans="1:11" ht="15.75" thickBot="1">
      <c r="C28" s="4"/>
      <c r="D28" s="206"/>
      <c r="E28" s="206"/>
      <c r="F28" s="206"/>
      <c r="H28" s="206"/>
      <c r="I28" s="206"/>
      <c r="J28" s="221" t="s">
        <v>45</v>
      </c>
      <c r="K28" s="508" t="str">
        <f>IF($D$33="Swing Joints Components",$I$33,+IF($D$34="Swing Joints Components",$I$34,+IF($D$35="Swing Joints Components",$I$35,+IF($D$36="Swing Joints Components",$I$36,+IF($D$37="Swing Joints Components",$I$37,+IF($D$38="Swing Joints Components",$I$38,+IF($D$39="Swing Joints Components",$I$39,+IF($D$40="Swing Joints Components",$I$40,+IF($D$41="Swing Joints Components",$I$41,"-")))))))))</f>
        <v>-</v>
      </c>
    </row>
    <row r="29" spans="1:11"/>
    <row r="30" spans="1:11"/>
    <row r="31" spans="1:11"/>
    <row r="32" spans="1:11" s="58" customFormat="1" ht="30.75" thickBot="1">
      <c r="A32" s="509"/>
      <c r="B32" s="45"/>
      <c r="C32" s="87" t="s">
        <v>6994</v>
      </c>
      <c r="D32" s="87" t="s">
        <v>2</v>
      </c>
      <c r="E32" s="87" t="s">
        <v>6995</v>
      </c>
      <c r="F32" s="87" t="s">
        <v>6996</v>
      </c>
      <c r="G32" s="87" t="s">
        <v>2541</v>
      </c>
      <c r="H32" s="87" t="s">
        <v>51</v>
      </c>
      <c r="I32" s="87" t="s">
        <v>4</v>
      </c>
      <c r="J32" s="43" t="s">
        <v>55</v>
      </c>
      <c r="K32" s="43" t="s">
        <v>56</v>
      </c>
    </row>
    <row r="33" spans="1:11" ht="15.75" thickTop="1">
      <c r="A33" s="5" t="str">
        <f>IF(C33&gt;0,COUNT($A$13:A13)+COUNT('DWV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3" s="80">
        <v>1</v>
      </c>
      <c r="C33" s="88"/>
      <c r="D33" s="89"/>
      <c r="E33" s="90"/>
      <c r="F33" s="89"/>
      <c r="G33" s="91"/>
      <c r="H33" s="92"/>
      <c r="I33" s="93"/>
      <c r="J33" s="84">
        <f>ROUND(H33*I33,4)</f>
        <v>0</v>
      </c>
      <c r="K33" s="57">
        <f>C33*J33</f>
        <v>0</v>
      </c>
    </row>
    <row r="34" spans="1:11">
      <c r="A34" s="5" t="str">
        <f>IF(C34&gt;0,COUNT($A$13:A14)+COUNT('DWV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4" s="81">
        <v>2</v>
      </c>
      <c r="C34" s="94"/>
      <c r="D34" s="64"/>
      <c r="E34" s="65"/>
      <c r="F34" s="64"/>
      <c r="G34" s="66"/>
      <c r="H34" s="67"/>
      <c r="I34" s="95"/>
      <c r="J34" s="85">
        <f t="shared" ref="J34:J41" si="0">ROUND(H34*I34,4)</f>
        <v>0</v>
      </c>
      <c r="K34" s="68">
        <f t="shared" ref="K34:K41" si="1">C34*J34</f>
        <v>0</v>
      </c>
    </row>
    <row r="35" spans="1:11">
      <c r="A35" s="5" t="str">
        <f>IF(C35&gt;0,COUNT($A$13:A15)+COUNT('DWV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5" s="82">
        <v>3</v>
      </c>
      <c r="C35" s="96"/>
      <c r="D35" s="35"/>
      <c r="E35" s="36"/>
      <c r="F35" s="35"/>
      <c r="G35" s="37"/>
      <c r="H35" s="38"/>
      <c r="I35" s="97"/>
      <c r="J35" s="86">
        <f t="shared" si="0"/>
        <v>0</v>
      </c>
      <c r="K35" s="39">
        <f t="shared" si="1"/>
        <v>0</v>
      </c>
    </row>
    <row r="36" spans="1:11">
      <c r="A36" s="5" t="str">
        <f>IF(C36&gt;0,COUNT($A$13:A16)+COUNT('DWV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6" s="81">
        <v>4</v>
      </c>
      <c r="C36" s="94"/>
      <c r="D36" s="64"/>
      <c r="E36" s="65"/>
      <c r="F36" s="64"/>
      <c r="G36" s="66"/>
      <c r="H36" s="67"/>
      <c r="I36" s="95"/>
      <c r="J36" s="85">
        <f t="shared" si="0"/>
        <v>0</v>
      </c>
      <c r="K36" s="68">
        <f t="shared" si="1"/>
        <v>0</v>
      </c>
    </row>
    <row r="37" spans="1:11">
      <c r="A37" s="5" t="str">
        <f>IF(C37&gt;0,COUNT($A$13:A16)+COUNT('DWV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7" s="82">
        <v>5</v>
      </c>
      <c r="C37" s="96"/>
      <c r="D37" s="35"/>
      <c r="E37" s="36"/>
      <c r="F37" s="35"/>
      <c r="G37" s="37"/>
      <c r="H37" s="38"/>
      <c r="I37" s="97"/>
      <c r="J37" s="86">
        <f t="shared" si="0"/>
        <v>0</v>
      </c>
      <c r="K37" s="39">
        <f t="shared" si="1"/>
        <v>0</v>
      </c>
    </row>
    <row r="38" spans="1:11">
      <c r="A38" s="5" t="str">
        <f>IF(C38&gt;0,COUNT($A$13:A17)+COUNT('DWV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8" s="83">
        <v>6</v>
      </c>
      <c r="C38" s="94"/>
      <c r="D38" s="64"/>
      <c r="E38" s="65"/>
      <c r="F38" s="64"/>
      <c r="G38" s="66"/>
      <c r="H38" s="67"/>
      <c r="I38" s="95"/>
      <c r="J38" s="85">
        <f t="shared" si="0"/>
        <v>0</v>
      </c>
      <c r="K38" s="68">
        <f t="shared" si="1"/>
        <v>0</v>
      </c>
    </row>
    <row r="39" spans="1:11">
      <c r="A39" s="5" t="str">
        <f>IF(C39&gt;0,COUNT($A$13:A18)+COUNT('DWV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39" s="82">
        <v>7</v>
      </c>
      <c r="C39" s="96"/>
      <c r="D39" s="35"/>
      <c r="E39" s="36"/>
      <c r="F39" s="35"/>
      <c r="G39" s="37"/>
      <c r="H39" s="38"/>
      <c r="I39" s="97"/>
      <c r="J39" s="86">
        <f t="shared" si="0"/>
        <v>0</v>
      </c>
      <c r="K39" s="39">
        <f t="shared" si="1"/>
        <v>0</v>
      </c>
    </row>
    <row r="40" spans="1:11">
      <c r="A40" s="5" t="str">
        <f>IF(C40&gt;0,COUNT($A$13:A20)+COUNT('DWV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40" s="81">
        <v>8</v>
      </c>
      <c r="C40" s="94"/>
      <c r="D40" s="64"/>
      <c r="E40" s="65"/>
      <c r="F40" s="64"/>
      <c r="G40" s="66"/>
      <c r="H40" s="67"/>
      <c r="I40" s="95"/>
      <c r="J40" s="85">
        <f t="shared" si="0"/>
        <v>0</v>
      </c>
      <c r="K40" s="68">
        <f t="shared" si="1"/>
        <v>0</v>
      </c>
    </row>
    <row r="41" spans="1:11" ht="15.75" thickBot="1">
      <c r="A41" s="5" t="str">
        <f>IF(C41&gt;0,COUNT($A$13:A21)+COUNT('DWV PVC'!$A$8:$A$284)
+COUNT('DWV ABS'!$A$8:$A$116)
+COUNT('PVC SCH40'!$A$8:$A$375)
+COUNT('PVC SCH40 LD'!$A$8:$A$21)
+COUNT('Pool &amp; SPA Sweep Elbows'!$A$8:$A$11)
+COUNT('Pool &amp; SPA Pipe Extender'!$A$8:$A$10)
+COUNT('PVC SCH80'!$A$8:$A$249)
+COUNT('PVC SCH80 Flange'!$A$8:$A$48)
+COUNT('PVC SCH80 LD Flange'!$A$8:$A$16)
+COUNT(CPVC!$A$8:$A$99)
+COUNT(InsertFittings!$A$8:$A$236)
+COUNT(Valves!$A$8:$A$131)
+COUNT(SDR35SW!$A$8:$A$123)
+COUNT(SDR35G!$A$8:$A$142)
+COUNT(SDR26G!$A$8:$A$60)
+COUNT(Cements!$A$8:$A$99)
+COUNT(ValveBox!$A$10:$A$142)
+COUNT('ValveBox Components'!$A$10:$A$164)
+COUNT(Drainage!$A$8:$A$91)
+COUNT(Nipples!$A$8:$A$81)
+COUNT(Manifold!$A$8:$A$32)
+COUNT(FlexibleRepairCouplings!$A$8:$A$12)
+COUNT(DuraFix!$A$8:$A$14)
+COUNT('Compression Fittings'!$A$8:$A$15)
+COUNT('Hose Fittings'!$A$8:$A$29)
+COUNT(#REF!)
+COUNT('Swing Joints'!$A$9:$A$495)
+COUNT('Swing Joints Components'!$A$9:$A$134)
+1,"")</f>
        <v/>
      </c>
      <c r="B41" s="82">
        <v>9</v>
      </c>
      <c r="C41" s="98"/>
      <c r="D41" s="99"/>
      <c r="E41" s="100"/>
      <c r="F41" s="99"/>
      <c r="G41" s="101"/>
      <c r="H41" s="102"/>
      <c r="I41" s="103"/>
      <c r="J41" s="86">
        <f t="shared" si="0"/>
        <v>0</v>
      </c>
      <c r="K41" s="39">
        <f t="shared" si="1"/>
        <v>0</v>
      </c>
    </row>
    <row r="42" spans="1:11" ht="15.75" thickBot="1">
      <c r="A42" s="5">
        <f>MAX(A33:A41)+1</f>
        <v>1</v>
      </c>
      <c r="H42" s="656" t="s">
        <v>6997</v>
      </c>
      <c r="I42" s="656"/>
      <c r="J42" s="657"/>
      <c r="K42" s="69">
        <f>SUM(K33:K41)</f>
        <v>0</v>
      </c>
    </row>
    <row r="43" spans="1:11"/>
    <row r="44" spans="1:11"/>
    <row r="45" spans="1:11"/>
  </sheetData>
  <sheetProtection algorithmName="SHA-512" hashValue="pZ644dZreG36J/N4O4+ToMFRcR6Ih8f4mSeEPes1XR/zCFWNMjhZ3SfAi+k6GZ2R9WJHNGMhDCCj4bxxnY/mrw==" saltValue="1TTlJ4wfqnYAfh8/oT4/WA==" spinCount="100000" sheet="1" objects="1" scenarios="1"/>
  <mergeCells count="14">
    <mergeCell ref="H42:J42"/>
    <mergeCell ref="E8:F8"/>
    <mergeCell ref="D4:F4"/>
    <mergeCell ref="H4:I4"/>
    <mergeCell ref="F1:I1"/>
    <mergeCell ref="D12:F12"/>
    <mergeCell ref="D10:F10"/>
    <mergeCell ref="C7:D8"/>
    <mergeCell ref="D3:F3"/>
    <mergeCell ref="H3:I3"/>
    <mergeCell ref="D6:F6"/>
    <mergeCell ref="D5:F5"/>
    <mergeCell ref="H10:I10"/>
    <mergeCell ref="H12:I12"/>
  </mergeCells>
  <dataValidations xWindow="94" yWindow="601" count="8">
    <dataValidation type="textLength" operator="lessThan" showInputMessage="1" showErrorMessage="1" error="This field cannot be left blank!" prompt="Enter item part number" sqref="E33:E41" xr:uid="{00000000-0002-0000-0E00-000000000000}">
      <formula1>10</formula1>
    </dataValidation>
    <dataValidation type="textLength" operator="lessThan" allowBlank="1" showInputMessage="1" showErrorMessage="1" prompt="Enter Tigre code if known" sqref="F33:F41" xr:uid="{00000000-0002-0000-0E00-000001000000}">
      <formula1>10</formula1>
    </dataValidation>
    <dataValidation type="textLength" operator="lessThan" showInputMessage="1" showErrorMessage="1" error="This field cannot be left blank!" prompt="Enter item description" sqref="G33:G41" xr:uid="{00000000-0002-0000-0E00-000002000000}">
      <formula1>100</formula1>
    </dataValidation>
    <dataValidation allowBlank="1" showInputMessage="1" showErrorMessage="1" promptTitle="Enter current list price" prompt="Subject to verification" sqref="H33:H41" xr:uid="{00000000-0002-0000-0E00-000003000000}"/>
    <dataValidation type="whole" operator="greaterThanOrEqual" showInputMessage="1" showErrorMessage="1" error="A quantity must be entered!" prompt="Quantities must be box quantities" sqref="C33:C41" xr:uid="{00000000-0002-0000-0E00-000004000000}">
      <formula1>1</formula1>
    </dataValidation>
    <dataValidation type="decimal" operator="greaterThan" allowBlank="1" showInputMessage="1" showErrorMessage="1" error="Entry must be a decimal number less than zero" prompt="Enter multiplier as a decimal number" sqref="I33:I41" xr:uid="{00000000-0002-0000-0E00-000005000000}">
      <formula1>0</formula1>
    </dataValidation>
    <dataValidation allowBlank="1" showInputMessage="1" showErrorMessage="1" promptTitle="Enter current date" prompt="Enter current date in mm/dd/yyyy format" sqref="D1" xr:uid="{00000000-0002-0000-0E00-000006000000}"/>
    <dataValidation type="list" showInputMessage="1" showErrorMessage="1" prompt="Select product line of desired item" sqref="D33:D41" xr:uid="{00000000-0002-0000-0E00-000007000000}">
      <formula1>$J$2:$J$28</formula1>
    </dataValidation>
  </dataValidations>
  <printOptions horizontalCentered="1"/>
  <pageMargins left="0.25" right="0.25" top="0.95" bottom="0.75" header="0.3" footer="0.3"/>
  <pageSetup paperSize="9" scale="63" fitToHeight="0" orientation="portrait" horizontalDpi="4294967292" r:id="rId1"/>
  <headerFooter>
    <oddHeader>&amp;L&amp;G&amp;C&amp;"-,Bold"&amp;22&amp;K002060Non-Standard Items Order/Quote Form&amp;R&amp;G</oddHeader>
    <oddFooter>&amp;L&amp;8V06032014&amp;CCopyright 2014
All rights reserved
For Tigre-ADS USA customer and rep use only&amp;R&amp;P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tabColor theme="2" tint="-0.249977111117893"/>
    <pageSetUpPr fitToPage="1"/>
  </sheetPr>
  <dimension ref="A1:O47"/>
  <sheetViews>
    <sheetView showGridLines="0" workbookViewId="0">
      <selection activeCell="E8" sqref="E8"/>
    </sheetView>
  </sheetViews>
  <sheetFormatPr defaultColWidth="0" defaultRowHeight="15" zeroHeight="1"/>
  <cols>
    <col min="1" max="15" width="9.140625" style="2" customWidth="1"/>
    <col min="16" max="16384" width="9.140625" style="2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</sheetData>
  <sheetProtection algorithmName="SHA-512" hashValue="+jeDYPBDpa+t6iBmbaYqpmMkhlAr9MIgD0XmrqPkAt9bvZjHFpr5nIw3vLYD/rGPTlDff5jTn/IkAP5l7Vh2LA==" saltValue="seU6tBYb2NsfyFD61bWB/Q==" spinCount="100000" sheet="1" objects="1" scenarios="1"/>
  <printOptions horizontalCentered="1"/>
  <pageMargins left="0.7" right="0.7" top="0.95" bottom="0.75" header="0.3" footer="0.3"/>
  <pageSetup scale="70" fitToHeight="0" orientation="portrait" horizontalDpi="4294967292" r:id="rId1"/>
  <headerFooter>
    <oddHeader>&amp;L&amp;G&amp;R&amp;G</oddHeader>
    <oddFooter>&amp;L&amp;8V06032014&amp;CCopyright 2014
All rights reserved
For Tigre-ADS USA customer and rep use only&amp;R&amp;P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Document" shapeId="25602" r:id="rId5">
          <objectPr defaultSize="0" r:id="rId6">
            <anchor moveWithCells="1">
              <from>
                <xdr:col>0</xdr:col>
                <xdr:colOff>314325</xdr:colOff>
                <xdr:row>0</xdr:row>
                <xdr:rowOff>38100</xdr:rowOff>
              </from>
              <to>
                <xdr:col>13</xdr:col>
                <xdr:colOff>590550</xdr:colOff>
                <xdr:row>46</xdr:row>
                <xdr:rowOff>38100</xdr:rowOff>
              </to>
            </anchor>
          </objectPr>
        </oleObject>
      </mc:Choice>
      <mc:Fallback>
        <oleObject progId="Document" shapeId="25602" r:id="rId5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D7925-A56E-4C44-A6E1-1300773593FE}">
  <sheetPr filterMode="1">
    <tabColor theme="0"/>
    <pageSetUpPr fitToPage="1"/>
  </sheetPr>
  <dimension ref="A1:AS2869"/>
  <sheetViews>
    <sheetView showGridLines="0" tabSelected="1" zoomScaleNormal="100" workbookViewId="0">
      <pane xSplit="5" ySplit="7" topLeftCell="F8" activePane="bottomRight" state="frozen"/>
      <selection pane="bottomRight" activeCell="H12" sqref="H12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3.28515625" style="163" customWidth="1"/>
    <col min="2" max="2" width="24.28515625" style="20" customWidth="1"/>
    <col min="3" max="4" width="14.7109375" style="20" customWidth="1"/>
    <col min="5" max="5" width="49.28515625" style="217" bestFit="1" customWidth="1"/>
    <col min="6" max="7" width="10.7109375" style="4" customWidth="1"/>
    <col min="8" max="8" width="10.7109375" style="510" customWidth="1"/>
    <col min="9" max="9" width="12.7109375" style="217" customWidth="1"/>
    <col min="10" max="10" width="10.7109375" style="217" customWidth="1"/>
    <col min="11" max="11" width="11.28515625" style="217" customWidth="1"/>
    <col min="12" max="12" width="10.7109375" style="217" customWidth="1"/>
    <col min="13" max="13" width="13.140625" style="217" customWidth="1"/>
    <col min="14" max="14" width="10.7109375" style="217" customWidth="1"/>
    <col min="15" max="15" width="9.140625" style="2" customWidth="1"/>
    <col min="16" max="17" width="10.7109375" style="217" customWidth="1"/>
    <col min="18" max="18" width="5.42578125" style="2" bestFit="1" customWidth="1"/>
    <col min="19" max="19" width="0" style="11" hidden="1" customWidth="1"/>
    <col min="20" max="45" width="0" style="2" hidden="1" customWidth="1"/>
    <col min="46" max="16384" width="9.140625" style="2" hidden="1"/>
  </cols>
  <sheetData>
    <row r="1" spans="1:19" ht="18.75" hidden="1">
      <c r="E1" s="257" t="s">
        <v>42</v>
      </c>
      <c r="F1" s="257"/>
      <c r="G1" s="257"/>
      <c r="I1" s="170"/>
      <c r="J1" s="170"/>
      <c r="K1" s="170"/>
      <c r="L1" s="170"/>
      <c r="M1" s="170"/>
      <c r="N1" s="170"/>
      <c r="P1" s="170"/>
      <c r="Q1" s="170"/>
    </row>
    <row r="2" spans="1:19" ht="15.75" customHeight="1">
      <c r="B2" s="238"/>
      <c r="C2" s="238"/>
      <c r="D2" s="268"/>
    </row>
    <row r="3" spans="1:19" ht="15">
      <c r="E3" s="436"/>
      <c r="I3" s="2"/>
    </row>
    <row r="4" spans="1:19" ht="15">
      <c r="D4" s="163" t="s">
        <v>334</v>
      </c>
      <c r="E4" s="440" t="s">
        <v>6998</v>
      </c>
      <c r="H4" s="511"/>
      <c r="I4" s="2"/>
      <c r="J4" s="2"/>
      <c r="K4" s="2"/>
      <c r="L4" s="2"/>
      <c r="M4" s="2"/>
      <c r="N4" s="2"/>
      <c r="P4" s="2"/>
      <c r="Q4" s="2"/>
    </row>
    <row r="5" spans="1:19" ht="15">
      <c r="E5" s="438" t="s">
        <v>329</v>
      </c>
      <c r="H5" s="511"/>
      <c r="I5" s="2"/>
      <c r="J5" s="2"/>
      <c r="K5" s="2"/>
      <c r="L5" s="2"/>
      <c r="M5" s="2"/>
      <c r="N5" s="2"/>
      <c r="P5" s="2"/>
      <c r="Q5" s="2"/>
    </row>
    <row r="6" spans="1:19" ht="15">
      <c r="E6" s="17"/>
      <c r="F6" s="20"/>
      <c r="G6" s="20"/>
      <c r="H6" s="511"/>
      <c r="I6" s="17"/>
      <c r="J6" s="17"/>
      <c r="K6" s="576" t="s">
        <v>64</v>
      </c>
      <c r="L6" s="576"/>
      <c r="M6" s="576"/>
      <c r="N6" s="17"/>
      <c r="P6" s="17"/>
      <c r="Q6" s="17"/>
    </row>
    <row r="7" spans="1:19" s="17" customFormat="1" ht="36" customHeight="1">
      <c r="A7" s="44"/>
      <c r="B7" s="149" t="s">
        <v>2</v>
      </c>
      <c r="C7" s="149" t="s">
        <v>48</v>
      </c>
      <c r="D7" s="149" t="s">
        <v>49</v>
      </c>
      <c r="E7" s="149" t="s">
        <v>50</v>
      </c>
      <c r="F7" s="149" t="s">
        <v>65</v>
      </c>
      <c r="G7" s="149" t="s">
        <v>66</v>
      </c>
      <c r="H7" s="176" t="s">
        <v>51</v>
      </c>
      <c r="I7" s="263" t="s">
        <v>68</v>
      </c>
      <c r="J7" s="263" t="s">
        <v>69</v>
      </c>
      <c r="K7" s="263" t="s">
        <v>70</v>
      </c>
      <c r="L7" s="263" t="s">
        <v>71</v>
      </c>
      <c r="M7" s="263" t="s">
        <v>72</v>
      </c>
      <c r="N7" s="263" t="s">
        <v>73</v>
      </c>
      <c r="O7" s="263" t="s">
        <v>336</v>
      </c>
      <c r="P7" s="263" t="s">
        <v>330</v>
      </c>
      <c r="Q7" s="263" t="s">
        <v>331</v>
      </c>
      <c r="S7" s="266"/>
    </row>
    <row r="8" spans="1:19" ht="15" hidden="1" customHeight="1">
      <c r="A8" s="163">
        <v>1</v>
      </c>
      <c r="B8" s="53" t="s">
        <v>6</v>
      </c>
      <c r="C8" s="53" t="s">
        <v>6999</v>
      </c>
      <c r="D8" s="53">
        <v>300005635</v>
      </c>
      <c r="E8" s="55" t="s">
        <v>7000</v>
      </c>
      <c r="F8" s="129">
        <v>100</v>
      </c>
      <c r="G8" s="129">
        <v>8000</v>
      </c>
      <c r="H8" s="512">
        <v>70.37</v>
      </c>
      <c r="I8" s="265" t="s">
        <v>1693</v>
      </c>
      <c r="J8" s="265" t="s">
        <v>77</v>
      </c>
      <c r="K8" s="265" t="s">
        <v>7001</v>
      </c>
      <c r="L8" s="348" t="s">
        <v>1205</v>
      </c>
      <c r="M8" s="265">
        <v>0</v>
      </c>
      <c r="N8" s="347">
        <v>0.08</v>
      </c>
      <c r="O8" s="348" t="s">
        <v>1205</v>
      </c>
      <c r="P8" s="348">
        <v>8</v>
      </c>
      <c r="Q8" s="348" t="s">
        <v>1205</v>
      </c>
    </row>
    <row r="9" spans="1:19" ht="15" hidden="1" customHeight="1">
      <c r="A9" s="163">
        <v>2</v>
      </c>
      <c r="B9" s="53" t="s">
        <v>6</v>
      </c>
      <c r="C9" s="53" t="s">
        <v>7002</v>
      </c>
      <c r="D9" s="53">
        <v>100028841</v>
      </c>
      <c r="E9" s="55" t="s">
        <v>7003</v>
      </c>
      <c r="F9" s="129">
        <v>100</v>
      </c>
      <c r="G9" s="129">
        <v>6300</v>
      </c>
      <c r="H9" s="512">
        <v>13.56</v>
      </c>
      <c r="I9" s="265" t="s">
        <v>76</v>
      </c>
      <c r="J9" s="265" t="s">
        <v>102</v>
      </c>
      <c r="K9" s="265" t="s">
        <v>7004</v>
      </c>
      <c r="L9" s="348" t="s">
        <v>1205</v>
      </c>
      <c r="M9" s="265" t="s">
        <v>7005</v>
      </c>
      <c r="N9" s="347">
        <v>0.109</v>
      </c>
      <c r="O9" s="348" t="s">
        <v>1205</v>
      </c>
      <c r="P9" s="348">
        <v>10.9</v>
      </c>
      <c r="Q9" s="348">
        <v>0.66940792428507967</v>
      </c>
    </row>
    <row r="10" spans="1:19" ht="15" hidden="1" customHeight="1">
      <c r="A10" s="163">
        <v>3</v>
      </c>
      <c r="B10" s="53" t="s">
        <v>6</v>
      </c>
      <c r="C10" s="53" t="s">
        <v>7006</v>
      </c>
      <c r="D10" s="53">
        <v>100028842</v>
      </c>
      <c r="E10" s="55" t="s">
        <v>7007</v>
      </c>
      <c r="F10" s="129">
        <v>100</v>
      </c>
      <c r="G10" s="129">
        <v>4500</v>
      </c>
      <c r="H10" s="512">
        <v>18.600000000000001</v>
      </c>
      <c r="I10" s="265" t="s">
        <v>76</v>
      </c>
      <c r="J10" s="265" t="s">
        <v>102</v>
      </c>
      <c r="K10" s="265" t="s">
        <v>7008</v>
      </c>
      <c r="L10" s="348" t="s">
        <v>1205</v>
      </c>
      <c r="M10" s="265" t="s">
        <v>7009</v>
      </c>
      <c r="N10" s="347">
        <v>0.13900000000000001</v>
      </c>
      <c r="O10" s="348" t="s">
        <v>1205</v>
      </c>
      <c r="P10" s="348">
        <v>13.900000000000002</v>
      </c>
      <c r="Q10" s="348">
        <v>0.98955954024750914</v>
      </c>
    </row>
    <row r="11" spans="1:19" ht="15" hidden="1" customHeight="1">
      <c r="A11" s="163">
        <v>4</v>
      </c>
      <c r="B11" s="53" t="s">
        <v>6</v>
      </c>
      <c r="C11" s="53" t="s">
        <v>7010</v>
      </c>
      <c r="D11" s="53">
        <v>100028843</v>
      </c>
      <c r="E11" s="55" t="s">
        <v>7011</v>
      </c>
      <c r="F11" s="129">
        <v>60</v>
      </c>
      <c r="G11" s="129">
        <v>1080</v>
      </c>
      <c r="H11" s="512">
        <v>64.819999999999993</v>
      </c>
      <c r="I11" s="265" t="s">
        <v>76</v>
      </c>
      <c r="J11" s="265" t="s">
        <v>102</v>
      </c>
      <c r="K11" s="265" t="s">
        <v>7012</v>
      </c>
      <c r="L11" s="348" t="s">
        <v>1205</v>
      </c>
      <c r="M11" s="265" t="s">
        <v>7013</v>
      </c>
      <c r="N11" s="347">
        <v>0.52900000000000003</v>
      </c>
      <c r="O11" s="348" t="s">
        <v>1205</v>
      </c>
      <c r="P11" s="348">
        <v>31.740000000000002</v>
      </c>
      <c r="Q11" s="348">
        <v>2.361325291407383</v>
      </c>
    </row>
    <row r="12" spans="1:19" ht="15" hidden="1" customHeight="1">
      <c r="A12" s="163">
        <v>5</v>
      </c>
      <c r="B12" s="53" t="s">
        <v>6</v>
      </c>
      <c r="C12" s="53" t="s">
        <v>7014</v>
      </c>
      <c r="D12" s="53">
        <v>100028844</v>
      </c>
      <c r="E12" s="55" t="s">
        <v>7015</v>
      </c>
      <c r="F12" s="129">
        <v>25</v>
      </c>
      <c r="G12" s="129">
        <v>600</v>
      </c>
      <c r="H12" s="512">
        <v>110.08</v>
      </c>
      <c r="I12" s="265" t="s">
        <v>76</v>
      </c>
      <c r="J12" s="265" t="s">
        <v>102</v>
      </c>
      <c r="K12" s="265" t="s">
        <v>7016</v>
      </c>
      <c r="L12" s="348" t="s">
        <v>1205</v>
      </c>
      <c r="M12" s="265" t="s">
        <v>7017</v>
      </c>
      <c r="N12" s="347">
        <v>0.95</v>
      </c>
      <c r="O12" s="348" t="s">
        <v>1205</v>
      </c>
      <c r="P12" s="348">
        <v>23.75</v>
      </c>
      <c r="Q12" s="348">
        <v>1.8803145838984718</v>
      </c>
    </row>
    <row r="13" spans="1:19" ht="15" hidden="1" customHeight="1">
      <c r="A13" s="163">
        <v>6</v>
      </c>
      <c r="B13" s="53" t="s">
        <v>6</v>
      </c>
      <c r="C13" s="53" t="s">
        <v>7018</v>
      </c>
      <c r="D13" s="53">
        <v>100028845</v>
      </c>
      <c r="E13" s="55" t="s">
        <v>7019</v>
      </c>
      <c r="F13" s="129">
        <v>15</v>
      </c>
      <c r="G13" s="129">
        <v>180</v>
      </c>
      <c r="H13" s="512">
        <v>360.96</v>
      </c>
      <c r="I13" s="265" t="s">
        <v>76</v>
      </c>
      <c r="J13" s="265" t="s">
        <v>102</v>
      </c>
      <c r="K13" s="265" t="s">
        <v>7020</v>
      </c>
      <c r="L13" s="348" t="s">
        <v>1205</v>
      </c>
      <c r="M13" s="265" t="s">
        <v>7021</v>
      </c>
      <c r="N13" s="347">
        <v>2.31</v>
      </c>
      <c r="O13" s="348" t="s">
        <v>1205</v>
      </c>
      <c r="P13" s="348">
        <v>34.65</v>
      </c>
      <c r="Q13" s="348">
        <v>3.6731726755225957</v>
      </c>
    </row>
    <row r="14" spans="1:19" ht="15" hidden="1" customHeight="1">
      <c r="A14" s="163">
        <v>7</v>
      </c>
      <c r="B14" s="53" t="s">
        <v>6</v>
      </c>
      <c r="C14" s="53" t="s">
        <v>7022</v>
      </c>
      <c r="D14" s="53">
        <v>100028846</v>
      </c>
      <c r="E14" s="55" t="s">
        <v>7023</v>
      </c>
      <c r="F14" s="129">
        <v>100</v>
      </c>
      <c r="G14" s="129">
        <v>6300</v>
      </c>
      <c r="H14" s="512">
        <v>25.67</v>
      </c>
      <c r="I14" s="265" t="s">
        <v>359</v>
      </c>
      <c r="J14" s="265" t="s">
        <v>102</v>
      </c>
      <c r="K14" s="265" t="s">
        <v>7024</v>
      </c>
      <c r="L14" s="348" t="s">
        <v>1205</v>
      </c>
      <c r="M14" s="265" t="s">
        <v>7025</v>
      </c>
      <c r="N14" s="347">
        <v>0.127</v>
      </c>
      <c r="O14" s="348" t="s">
        <v>1205</v>
      </c>
      <c r="P14" s="348">
        <v>12.7</v>
      </c>
      <c r="Q14" s="348">
        <v>0.66940792428507967</v>
      </c>
    </row>
    <row r="15" spans="1:19" ht="15" hidden="1" customHeight="1">
      <c r="A15" s="163">
        <v>8</v>
      </c>
      <c r="B15" s="53" t="s">
        <v>6</v>
      </c>
      <c r="C15" s="53" t="s">
        <v>7026</v>
      </c>
      <c r="D15" s="53">
        <v>100028847</v>
      </c>
      <c r="E15" s="55" t="s">
        <v>7027</v>
      </c>
      <c r="F15" s="129">
        <v>100</v>
      </c>
      <c r="G15" s="129">
        <v>4500</v>
      </c>
      <c r="H15" s="512">
        <v>43.81</v>
      </c>
      <c r="I15" s="265" t="s">
        <v>359</v>
      </c>
      <c r="J15" s="265" t="s">
        <v>102</v>
      </c>
      <c r="K15" s="265" t="s">
        <v>7028</v>
      </c>
      <c r="L15" s="348" t="s">
        <v>1205</v>
      </c>
      <c r="M15" s="265" t="s">
        <v>7029</v>
      </c>
      <c r="N15" s="347">
        <v>0.17199999999999999</v>
      </c>
      <c r="O15" s="348" t="s">
        <v>1205</v>
      </c>
      <c r="P15" s="348">
        <v>17.2</v>
      </c>
      <c r="Q15" s="348">
        <v>0.98955954024750914</v>
      </c>
    </row>
    <row r="16" spans="1:19" ht="15" hidden="1" customHeight="1">
      <c r="A16" s="163">
        <v>9</v>
      </c>
      <c r="B16" s="53" t="s">
        <v>6</v>
      </c>
      <c r="C16" s="53" t="s">
        <v>7030</v>
      </c>
      <c r="D16" s="53">
        <v>100028848</v>
      </c>
      <c r="E16" s="55" t="s">
        <v>7031</v>
      </c>
      <c r="F16" s="129">
        <v>30</v>
      </c>
      <c r="G16" s="129">
        <v>1350</v>
      </c>
      <c r="H16" s="512">
        <v>116.9</v>
      </c>
      <c r="I16" s="265" t="s">
        <v>76</v>
      </c>
      <c r="J16" s="265" t="s">
        <v>102</v>
      </c>
      <c r="K16" s="265" t="s">
        <v>7032</v>
      </c>
      <c r="L16" s="348" t="s">
        <v>1205</v>
      </c>
      <c r="M16" s="265" t="s">
        <v>7033</v>
      </c>
      <c r="N16" s="347">
        <v>0.54600000000000004</v>
      </c>
      <c r="O16" s="348" t="s">
        <v>1205</v>
      </c>
      <c r="P16" s="348">
        <v>16.380000000000003</v>
      </c>
      <c r="Q16" s="348">
        <v>0.98955954024750914</v>
      </c>
    </row>
    <row r="17" spans="1:17" ht="15" hidden="1" customHeight="1">
      <c r="A17" s="163">
        <v>10</v>
      </c>
      <c r="B17" s="53" t="s">
        <v>6</v>
      </c>
      <c r="C17" s="53" t="s">
        <v>7034</v>
      </c>
      <c r="D17" s="53">
        <v>100028849</v>
      </c>
      <c r="E17" s="55" t="s">
        <v>7035</v>
      </c>
      <c r="F17" s="129">
        <v>10</v>
      </c>
      <c r="G17" s="129">
        <v>630</v>
      </c>
      <c r="H17" s="512">
        <v>151.83000000000001</v>
      </c>
      <c r="I17" s="265" t="s">
        <v>76</v>
      </c>
      <c r="J17" s="265" t="s">
        <v>102</v>
      </c>
      <c r="K17" s="265" t="s">
        <v>7036</v>
      </c>
      <c r="L17" s="348" t="s">
        <v>1205</v>
      </c>
      <c r="M17" s="265" t="s">
        <v>7037</v>
      </c>
      <c r="N17" s="347">
        <v>0.97699999999999998</v>
      </c>
      <c r="O17" s="348" t="s">
        <v>1205</v>
      </c>
      <c r="P17" s="348">
        <v>9.77</v>
      </c>
      <c r="Q17" s="348">
        <v>0.66940792428507967</v>
      </c>
    </row>
    <row r="18" spans="1:17" ht="15" hidden="1" customHeight="1">
      <c r="A18" s="163">
        <v>11</v>
      </c>
      <c r="B18" s="53" t="s">
        <v>6</v>
      </c>
      <c r="C18" s="53" t="s">
        <v>7038</v>
      </c>
      <c r="D18" s="53">
        <v>100028850</v>
      </c>
      <c r="E18" s="55" t="s">
        <v>7039</v>
      </c>
      <c r="F18" s="129">
        <v>10</v>
      </c>
      <c r="G18" s="129">
        <v>240</v>
      </c>
      <c r="H18" s="512">
        <v>487.15</v>
      </c>
      <c r="I18" s="265" t="s">
        <v>76</v>
      </c>
      <c r="J18" s="265" t="s">
        <v>102</v>
      </c>
      <c r="K18" s="265" t="s">
        <v>7040</v>
      </c>
      <c r="L18" s="348" t="s">
        <v>1205</v>
      </c>
      <c r="M18" s="265" t="s">
        <v>7041</v>
      </c>
      <c r="N18" s="347">
        <v>2.069</v>
      </c>
      <c r="O18" s="348" t="s">
        <v>1205</v>
      </c>
      <c r="P18" s="348">
        <v>20.689999999999998</v>
      </c>
      <c r="Q18" s="348">
        <v>1.8803145838984718</v>
      </c>
    </row>
    <row r="19" spans="1:17" ht="15" hidden="1" customHeight="1">
      <c r="A19" s="163">
        <v>12</v>
      </c>
      <c r="B19" s="53" t="s">
        <v>6</v>
      </c>
      <c r="C19" s="53" t="s">
        <v>7042</v>
      </c>
      <c r="D19" s="53">
        <v>100028852</v>
      </c>
      <c r="E19" s="55" t="s">
        <v>7043</v>
      </c>
      <c r="F19" s="129">
        <v>25</v>
      </c>
      <c r="G19" s="129">
        <v>3200</v>
      </c>
      <c r="H19" s="512">
        <v>41.25</v>
      </c>
      <c r="I19" s="265" t="s">
        <v>76</v>
      </c>
      <c r="J19" s="265" t="s">
        <v>102</v>
      </c>
      <c r="K19" s="265" t="s">
        <v>7044</v>
      </c>
      <c r="L19" s="348" t="s">
        <v>1205</v>
      </c>
      <c r="M19" s="265" t="s">
        <v>7045</v>
      </c>
      <c r="N19" s="347">
        <v>0.17199999999999999</v>
      </c>
      <c r="O19" s="348" t="s">
        <v>1205</v>
      </c>
      <c r="P19" s="348">
        <v>4.3</v>
      </c>
      <c r="Q19" s="348">
        <v>0.32375720697715193</v>
      </c>
    </row>
    <row r="20" spans="1:17" ht="15" hidden="1" customHeight="1">
      <c r="A20" s="163">
        <v>13</v>
      </c>
      <c r="B20" s="53" t="s">
        <v>6</v>
      </c>
      <c r="C20" s="53" t="s">
        <v>7046</v>
      </c>
      <c r="D20" s="53">
        <v>100028853</v>
      </c>
      <c r="E20" s="55" t="s">
        <v>7047</v>
      </c>
      <c r="F20" s="129">
        <v>25</v>
      </c>
      <c r="G20" s="129">
        <v>1575</v>
      </c>
      <c r="H20" s="512">
        <v>120.83</v>
      </c>
      <c r="I20" s="265" t="s">
        <v>359</v>
      </c>
      <c r="J20" s="265" t="s">
        <v>102</v>
      </c>
      <c r="K20" s="265" t="s">
        <v>7048</v>
      </c>
      <c r="L20" s="348" t="s">
        <v>1205</v>
      </c>
      <c r="M20" s="265" t="s">
        <v>7049</v>
      </c>
      <c r="N20" s="347">
        <v>0.45100000000000001</v>
      </c>
      <c r="O20" s="348" t="s">
        <v>1205</v>
      </c>
      <c r="P20" s="348">
        <v>11.275</v>
      </c>
      <c r="Q20" s="348">
        <v>0.66940792428507967</v>
      </c>
    </row>
    <row r="21" spans="1:17" ht="15" hidden="1" customHeight="1">
      <c r="A21" s="163">
        <v>14</v>
      </c>
      <c r="B21" s="53" t="s">
        <v>6</v>
      </c>
      <c r="C21" s="53" t="s">
        <v>7050</v>
      </c>
      <c r="D21" s="53">
        <v>100028854</v>
      </c>
      <c r="E21" s="55" t="s">
        <v>7051</v>
      </c>
      <c r="F21" s="129">
        <v>20</v>
      </c>
      <c r="G21" s="129">
        <v>1600</v>
      </c>
      <c r="H21" s="512">
        <v>94.08</v>
      </c>
      <c r="I21" s="265" t="s">
        <v>76</v>
      </c>
      <c r="J21" s="265" t="s">
        <v>102</v>
      </c>
      <c r="K21" s="265" t="s">
        <v>7052</v>
      </c>
      <c r="L21" s="348" t="s">
        <v>1205</v>
      </c>
      <c r="M21" s="265" t="s">
        <v>7053</v>
      </c>
      <c r="N21" s="347">
        <v>0.433</v>
      </c>
      <c r="O21" s="348" t="s">
        <v>1205</v>
      </c>
      <c r="P21" s="348">
        <v>8.66</v>
      </c>
      <c r="Q21" s="348">
        <v>0.4856358104657279</v>
      </c>
    </row>
    <row r="22" spans="1:17" ht="15" hidden="1" customHeight="1">
      <c r="A22" s="163">
        <v>15</v>
      </c>
      <c r="B22" s="53" t="s">
        <v>6</v>
      </c>
      <c r="C22" s="53" t="s">
        <v>7054</v>
      </c>
      <c r="D22" s="53">
        <v>100028855</v>
      </c>
      <c r="E22" s="55" t="s">
        <v>7055</v>
      </c>
      <c r="F22" s="129">
        <v>10</v>
      </c>
      <c r="G22" s="129">
        <v>630</v>
      </c>
      <c r="H22" s="512">
        <v>184.41</v>
      </c>
      <c r="I22" s="265" t="s">
        <v>76</v>
      </c>
      <c r="J22" s="265" t="s">
        <v>102</v>
      </c>
      <c r="K22" s="265" t="s">
        <v>7056</v>
      </c>
      <c r="L22" s="348" t="s">
        <v>1205</v>
      </c>
      <c r="M22" s="265" t="s">
        <v>7057</v>
      </c>
      <c r="N22" s="347">
        <v>0.82299999999999995</v>
      </c>
      <c r="O22" s="348" t="s">
        <v>1205</v>
      </c>
      <c r="P22" s="348">
        <v>8.23</v>
      </c>
      <c r="Q22" s="348">
        <v>0.66940792428507967</v>
      </c>
    </row>
    <row r="23" spans="1:17" ht="15" hidden="1" customHeight="1">
      <c r="A23" s="163">
        <v>16</v>
      </c>
      <c r="B23" s="53" t="s">
        <v>6</v>
      </c>
      <c r="C23" s="53" t="s">
        <v>7058</v>
      </c>
      <c r="D23" s="53">
        <v>100028856</v>
      </c>
      <c r="E23" s="55" t="s">
        <v>7059</v>
      </c>
      <c r="F23" s="129">
        <v>10</v>
      </c>
      <c r="G23" s="129">
        <v>630</v>
      </c>
      <c r="H23" s="512">
        <v>197.1</v>
      </c>
      <c r="I23" s="265" t="s">
        <v>76</v>
      </c>
      <c r="J23" s="265" t="s">
        <v>102</v>
      </c>
      <c r="K23" s="265" t="s">
        <v>7060</v>
      </c>
      <c r="L23" s="348" t="s">
        <v>1205</v>
      </c>
      <c r="M23" s="265" t="s">
        <v>7061</v>
      </c>
      <c r="N23" s="347">
        <v>0.93</v>
      </c>
      <c r="O23" s="348" t="s">
        <v>1205</v>
      </c>
      <c r="P23" s="348">
        <v>9.3000000000000007</v>
      </c>
      <c r="Q23" s="348">
        <v>0.66940792428507967</v>
      </c>
    </row>
    <row r="24" spans="1:17" ht="15" hidden="1" customHeight="1">
      <c r="A24" s="163">
        <v>17</v>
      </c>
      <c r="B24" s="53" t="s">
        <v>6</v>
      </c>
      <c r="C24" s="53" t="s">
        <v>7062</v>
      </c>
      <c r="D24" s="53">
        <v>100028851</v>
      </c>
      <c r="E24" s="55" t="s">
        <v>7063</v>
      </c>
      <c r="F24" s="129">
        <v>4</v>
      </c>
      <c r="G24" s="129">
        <v>144</v>
      </c>
      <c r="H24" s="512">
        <v>766.68</v>
      </c>
      <c r="I24" s="265" t="s">
        <v>76</v>
      </c>
      <c r="J24" s="265" t="s">
        <v>102</v>
      </c>
      <c r="K24" s="265" t="s">
        <v>7064</v>
      </c>
      <c r="L24" s="348" t="s">
        <v>1205</v>
      </c>
      <c r="M24" s="265" t="s">
        <v>7065</v>
      </c>
      <c r="N24" s="347">
        <v>2.657</v>
      </c>
      <c r="O24" s="348" t="s">
        <v>1205</v>
      </c>
      <c r="P24" s="348">
        <v>10.628</v>
      </c>
      <c r="Q24" s="348">
        <v>1.8803145838984718</v>
      </c>
    </row>
    <row r="25" spans="1:17" ht="15" hidden="1" customHeight="1">
      <c r="A25" s="163">
        <v>18</v>
      </c>
      <c r="B25" s="53" t="s">
        <v>6</v>
      </c>
      <c r="C25" s="53" t="s">
        <v>7066</v>
      </c>
      <c r="D25" s="53">
        <v>300005637</v>
      </c>
      <c r="E25" s="55" t="s">
        <v>7067</v>
      </c>
      <c r="F25" s="129">
        <v>100</v>
      </c>
      <c r="G25" s="129">
        <v>8000</v>
      </c>
      <c r="H25" s="512">
        <v>60.57</v>
      </c>
      <c r="I25" s="265" t="s">
        <v>1693</v>
      </c>
      <c r="J25" s="265" t="s">
        <v>77</v>
      </c>
      <c r="K25" s="265" t="s">
        <v>7068</v>
      </c>
      <c r="L25" s="348" t="s">
        <v>1205</v>
      </c>
      <c r="M25" s="265">
        <v>0</v>
      </c>
      <c r="N25" s="347">
        <v>0.08</v>
      </c>
      <c r="O25" s="348" t="s">
        <v>1205</v>
      </c>
      <c r="P25" s="348">
        <v>8</v>
      </c>
      <c r="Q25" s="348" t="s">
        <v>1205</v>
      </c>
    </row>
    <row r="26" spans="1:17" ht="15" hidden="1" customHeight="1">
      <c r="A26" s="163">
        <v>19</v>
      </c>
      <c r="B26" s="53" t="s">
        <v>6</v>
      </c>
      <c r="C26" s="53" t="s">
        <v>7069</v>
      </c>
      <c r="D26" s="53">
        <v>100028861</v>
      </c>
      <c r="E26" s="55" t="s">
        <v>7070</v>
      </c>
      <c r="F26" s="129">
        <v>50</v>
      </c>
      <c r="G26" s="129">
        <v>7200</v>
      </c>
      <c r="H26" s="512">
        <v>50.02</v>
      </c>
      <c r="I26" s="265" t="s">
        <v>359</v>
      </c>
      <c r="J26" s="265" t="s">
        <v>102</v>
      </c>
      <c r="K26" s="265" t="s">
        <v>7071</v>
      </c>
      <c r="L26" s="348" t="s">
        <v>1205</v>
      </c>
      <c r="M26" s="265" t="s">
        <v>7072</v>
      </c>
      <c r="N26" s="347">
        <v>8.5999999999999993E-2</v>
      </c>
      <c r="O26" s="348" t="s">
        <v>1205</v>
      </c>
      <c r="P26" s="348">
        <v>4.3</v>
      </c>
      <c r="Q26" s="348">
        <v>0.26544609711836381</v>
      </c>
    </row>
    <row r="27" spans="1:17" ht="15" hidden="1" customHeight="1">
      <c r="A27" s="163">
        <v>20</v>
      </c>
      <c r="B27" s="53" t="s">
        <v>6</v>
      </c>
      <c r="C27" s="53" t="s">
        <v>7073</v>
      </c>
      <c r="D27" s="53">
        <v>100028857</v>
      </c>
      <c r="E27" s="55" t="s">
        <v>7074</v>
      </c>
      <c r="F27" s="129">
        <v>75</v>
      </c>
      <c r="G27" s="129">
        <v>6000</v>
      </c>
      <c r="H27" s="512">
        <v>57.74</v>
      </c>
      <c r="I27" s="265" t="s">
        <v>76</v>
      </c>
      <c r="J27" s="265" t="s">
        <v>102</v>
      </c>
      <c r="K27" s="265" t="s">
        <v>7075</v>
      </c>
      <c r="L27" s="348" t="s">
        <v>1205</v>
      </c>
      <c r="M27" s="265" t="s">
        <v>7076</v>
      </c>
      <c r="N27" s="347">
        <v>0.111</v>
      </c>
      <c r="O27" s="348" t="s">
        <v>1205</v>
      </c>
      <c r="P27" s="348">
        <v>8.3249999999999993</v>
      </c>
      <c r="Q27" s="348">
        <v>0.4856358104657279</v>
      </c>
    </row>
    <row r="28" spans="1:17" ht="15" hidden="1" customHeight="1">
      <c r="A28" s="163">
        <v>21</v>
      </c>
      <c r="B28" s="53" t="s">
        <v>6</v>
      </c>
      <c r="C28" s="53" t="s">
        <v>7077</v>
      </c>
      <c r="D28" s="53">
        <v>100028858</v>
      </c>
      <c r="E28" s="55" t="s">
        <v>7078</v>
      </c>
      <c r="F28" s="129">
        <v>50</v>
      </c>
      <c r="G28" s="129">
        <v>4000</v>
      </c>
      <c r="H28" s="512">
        <v>53.17</v>
      </c>
      <c r="I28" s="265" t="s">
        <v>76</v>
      </c>
      <c r="J28" s="265" t="s">
        <v>102</v>
      </c>
      <c r="K28" s="265" t="s">
        <v>7079</v>
      </c>
      <c r="L28" s="348" t="s">
        <v>1205</v>
      </c>
      <c r="M28" s="265" t="s">
        <v>7080</v>
      </c>
      <c r="N28" s="347">
        <v>0.114</v>
      </c>
      <c r="O28" s="348" t="s">
        <v>1205</v>
      </c>
      <c r="P28" s="348">
        <v>5.7</v>
      </c>
      <c r="Q28" s="348">
        <v>0.4856358104657279</v>
      </c>
    </row>
    <row r="29" spans="1:17" ht="15" hidden="1" customHeight="1">
      <c r="A29" s="163">
        <v>22</v>
      </c>
      <c r="B29" s="53" t="s">
        <v>6</v>
      </c>
      <c r="C29" s="53" t="s">
        <v>7081</v>
      </c>
      <c r="D29" s="53">
        <v>300005636</v>
      </c>
      <c r="E29" s="55" t="s">
        <v>7082</v>
      </c>
      <c r="F29" s="129">
        <v>50</v>
      </c>
      <c r="G29" s="129">
        <v>3600</v>
      </c>
      <c r="H29" s="512">
        <v>115.48</v>
      </c>
      <c r="I29" s="265" t="s">
        <v>1693</v>
      </c>
      <c r="J29" s="265" t="s">
        <v>77</v>
      </c>
      <c r="K29" s="265" t="s">
        <v>7083</v>
      </c>
      <c r="L29" s="348" t="s">
        <v>1205</v>
      </c>
      <c r="M29" s="265">
        <v>0</v>
      </c>
      <c r="N29" s="347">
        <v>0.13</v>
      </c>
      <c r="O29" s="348" t="s">
        <v>1205</v>
      </c>
      <c r="P29" s="348">
        <v>6.5</v>
      </c>
      <c r="Q29" s="348" t="s">
        <v>1205</v>
      </c>
    </row>
    <row r="30" spans="1:17" ht="15" hidden="1" customHeight="1">
      <c r="A30" s="163">
        <v>23</v>
      </c>
      <c r="B30" s="53" t="s">
        <v>6</v>
      </c>
      <c r="C30" s="53" t="s">
        <v>7084</v>
      </c>
      <c r="D30" s="53">
        <v>300005638</v>
      </c>
      <c r="E30" s="55" t="s">
        <v>7085</v>
      </c>
      <c r="F30" s="129">
        <v>75</v>
      </c>
      <c r="G30" s="129">
        <v>7200</v>
      </c>
      <c r="H30" s="512">
        <v>114.39</v>
      </c>
      <c r="I30" s="265" t="s">
        <v>1693</v>
      </c>
      <c r="J30" s="265" t="s">
        <v>77</v>
      </c>
      <c r="K30" s="265" t="s">
        <v>7086</v>
      </c>
      <c r="L30" s="348" t="s">
        <v>1205</v>
      </c>
      <c r="M30" s="265" t="s">
        <v>7087</v>
      </c>
      <c r="N30" s="347">
        <v>0.08</v>
      </c>
      <c r="O30" s="348" t="s">
        <v>1205</v>
      </c>
      <c r="P30" s="348">
        <v>6</v>
      </c>
      <c r="Q30" s="348" t="s">
        <v>1205</v>
      </c>
    </row>
    <row r="31" spans="1:17" ht="15" hidden="1" customHeight="1">
      <c r="A31" s="163">
        <v>24</v>
      </c>
      <c r="B31" s="53" t="s">
        <v>6</v>
      </c>
      <c r="C31" s="53" t="s">
        <v>7088</v>
      </c>
      <c r="D31" s="53">
        <v>100028862</v>
      </c>
      <c r="E31" s="55" t="s">
        <v>7089</v>
      </c>
      <c r="F31" s="129">
        <v>50</v>
      </c>
      <c r="G31" s="129">
        <v>4000</v>
      </c>
      <c r="H31" s="512">
        <v>50.84</v>
      </c>
      <c r="I31" s="265" t="s">
        <v>76</v>
      </c>
      <c r="J31" s="265" t="s">
        <v>102</v>
      </c>
      <c r="K31" s="265" t="s">
        <v>7090</v>
      </c>
      <c r="L31" s="348" t="s">
        <v>1205</v>
      </c>
      <c r="M31" s="265" t="s">
        <v>7091</v>
      </c>
      <c r="N31" s="347">
        <v>0.121</v>
      </c>
      <c r="O31" s="348" t="s">
        <v>1205</v>
      </c>
      <c r="P31" s="348">
        <v>6.05</v>
      </c>
      <c r="Q31" s="348">
        <v>0.4856358104657279</v>
      </c>
    </row>
    <row r="32" spans="1:17" ht="15" hidden="1" customHeight="1">
      <c r="A32" s="163">
        <v>25</v>
      </c>
      <c r="B32" s="53" t="s">
        <v>6</v>
      </c>
      <c r="C32" s="53" t="s">
        <v>7092</v>
      </c>
      <c r="D32" s="53">
        <v>100028863</v>
      </c>
      <c r="E32" s="55" t="s">
        <v>7093</v>
      </c>
      <c r="F32" s="129">
        <v>50</v>
      </c>
      <c r="G32" s="129">
        <v>4000</v>
      </c>
      <c r="H32" s="512">
        <v>50.59</v>
      </c>
      <c r="I32" s="265" t="s">
        <v>76</v>
      </c>
      <c r="J32" s="265" t="s">
        <v>102</v>
      </c>
      <c r="K32" s="265" t="s">
        <v>7094</v>
      </c>
      <c r="L32" s="348" t="s">
        <v>1205</v>
      </c>
      <c r="M32" s="265" t="s">
        <v>7095</v>
      </c>
      <c r="N32" s="347">
        <v>0.11899999999999999</v>
      </c>
      <c r="O32" s="348" t="s">
        <v>1205</v>
      </c>
      <c r="P32" s="348">
        <v>5.9499999999999993</v>
      </c>
      <c r="Q32" s="348">
        <v>0.4856358104657279</v>
      </c>
    </row>
    <row r="33" spans="1:17" ht="15" hidden="1" customHeight="1">
      <c r="A33" s="163">
        <v>26</v>
      </c>
      <c r="B33" s="53" t="s">
        <v>6</v>
      </c>
      <c r="C33" s="53" t="s">
        <v>7096</v>
      </c>
      <c r="D33" s="53">
        <v>100028871</v>
      </c>
      <c r="E33" s="55" t="s">
        <v>7097</v>
      </c>
      <c r="F33" s="129">
        <v>50</v>
      </c>
      <c r="G33" s="129">
        <v>7200</v>
      </c>
      <c r="H33" s="512">
        <v>32.729999999999997</v>
      </c>
      <c r="I33" s="265" t="s">
        <v>76</v>
      </c>
      <c r="J33" s="265" t="s">
        <v>102</v>
      </c>
      <c r="K33" s="265" t="s">
        <v>7098</v>
      </c>
      <c r="L33" s="348" t="s">
        <v>1205</v>
      </c>
      <c r="M33" s="265" t="s">
        <v>7099</v>
      </c>
      <c r="N33" s="347">
        <v>9.0999999999999998E-2</v>
      </c>
      <c r="O33" s="348" t="s">
        <v>1205</v>
      </c>
      <c r="P33" s="348">
        <v>4.55</v>
      </c>
      <c r="Q33" s="348">
        <v>0.26544609711836381</v>
      </c>
    </row>
    <row r="34" spans="1:17" ht="15" hidden="1" customHeight="1">
      <c r="A34" s="163">
        <v>27</v>
      </c>
      <c r="B34" s="53" t="s">
        <v>6</v>
      </c>
      <c r="C34" s="53" t="s">
        <v>7100</v>
      </c>
      <c r="D34" s="53">
        <v>100028872</v>
      </c>
      <c r="E34" s="55" t="s">
        <v>7101</v>
      </c>
      <c r="F34" s="129">
        <v>50</v>
      </c>
      <c r="G34" s="129">
        <v>4000</v>
      </c>
      <c r="H34" s="512">
        <v>43.81</v>
      </c>
      <c r="I34" s="265" t="s">
        <v>76</v>
      </c>
      <c r="J34" s="265" t="s">
        <v>102</v>
      </c>
      <c r="K34" s="265" t="s">
        <v>7102</v>
      </c>
      <c r="L34" s="348" t="s">
        <v>1205</v>
      </c>
      <c r="M34" s="265" t="s">
        <v>7103</v>
      </c>
      <c r="N34" s="347">
        <v>0.128</v>
      </c>
      <c r="O34" s="348" t="s">
        <v>1205</v>
      </c>
      <c r="P34" s="348">
        <v>6.4</v>
      </c>
      <c r="Q34" s="348">
        <v>0.4856358104657279</v>
      </c>
    </row>
    <row r="35" spans="1:17" ht="15" hidden="1" customHeight="1">
      <c r="A35" s="163">
        <v>28</v>
      </c>
      <c r="B35" s="53" t="s">
        <v>6</v>
      </c>
      <c r="C35" s="53" t="s">
        <v>7104</v>
      </c>
      <c r="D35" s="53">
        <v>100028873</v>
      </c>
      <c r="E35" s="55" t="s">
        <v>7105</v>
      </c>
      <c r="F35" s="129">
        <v>25</v>
      </c>
      <c r="G35" s="129">
        <v>1575</v>
      </c>
      <c r="H35" s="512">
        <v>117.65</v>
      </c>
      <c r="I35" s="265" t="s">
        <v>359</v>
      </c>
      <c r="J35" s="265" t="s">
        <v>102</v>
      </c>
      <c r="K35" s="265" t="s">
        <v>7106</v>
      </c>
      <c r="L35" s="348" t="s">
        <v>1205</v>
      </c>
      <c r="M35" s="265" t="s">
        <v>7107</v>
      </c>
      <c r="N35" s="347">
        <v>0.38900000000000001</v>
      </c>
      <c r="O35" s="348" t="s">
        <v>1205</v>
      </c>
      <c r="P35" s="348">
        <v>9.7249999999999996</v>
      </c>
      <c r="Q35" s="348">
        <v>0.66940792428507967</v>
      </c>
    </row>
    <row r="36" spans="1:17" ht="15" hidden="1" customHeight="1">
      <c r="A36" s="163">
        <v>29</v>
      </c>
      <c r="B36" s="53" t="s">
        <v>6</v>
      </c>
      <c r="C36" s="53" t="s">
        <v>7108</v>
      </c>
      <c r="D36" s="53">
        <v>100028874</v>
      </c>
      <c r="E36" s="55" t="s">
        <v>7109</v>
      </c>
      <c r="F36" s="129">
        <v>10</v>
      </c>
      <c r="G36" s="129">
        <v>800</v>
      </c>
      <c r="H36" s="512">
        <v>193.34</v>
      </c>
      <c r="I36" s="265" t="s">
        <v>76</v>
      </c>
      <c r="J36" s="265" t="s">
        <v>102</v>
      </c>
      <c r="K36" s="265" t="s">
        <v>7110</v>
      </c>
      <c r="L36" s="348" t="s">
        <v>1205</v>
      </c>
      <c r="M36" s="265" t="s">
        <v>7111</v>
      </c>
      <c r="N36" s="347">
        <v>0.66</v>
      </c>
      <c r="O36" s="348" t="s">
        <v>1205</v>
      </c>
      <c r="P36" s="348">
        <v>6.6000000000000005</v>
      </c>
      <c r="Q36" s="348">
        <v>0.4856358104657279</v>
      </c>
    </row>
    <row r="37" spans="1:17" ht="15" hidden="1" customHeight="1">
      <c r="A37" s="163">
        <v>30</v>
      </c>
      <c r="B37" s="53" t="s">
        <v>6</v>
      </c>
      <c r="C37" s="53" t="s">
        <v>7112</v>
      </c>
      <c r="D37" s="53">
        <v>300005640</v>
      </c>
      <c r="E37" s="55" t="s">
        <v>7113</v>
      </c>
      <c r="F37" s="129">
        <v>10</v>
      </c>
      <c r="G37" s="129">
        <v>180</v>
      </c>
      <c r="H37" s="512">
        <v>549.79999999999995</v>
      </c>
      <c r="I37" s="265" t="s">
        <v>1693</v>
      </c>
      <c r="J37" s="265" t="s">
        <v>77</v>
      </c>
      <c r="K37" s="265" t="s">
        <v>7114</v>
      </c>
      <c r="L37" s="348" t="s">
        <v>1205</v>
      </c>
      <c r="M37" s="265">
        <v>0</v>
      </c>
      <c r="N37" s="347">
        <v>1.609</v>
      </c>
      <c r="O37" s="348" t="s">
        <v>1205</v>
      </c>
      <c r="P37" s="348">
        <v>16.09</v>
      </c>
      <c r="Q37" s="348" t="s">
        <v>1205</v>
      </c>
    </row>
    <row r="38" spans="1:17" ht="15" hidden="1" customHeight="1">
      <c r="A38" s="163">
        <v>31</v>
      </c>
      <c r="B38" s="53" t="s">
        <v>6</v>
      </c>
      <c r="C38" s="53" t="s">
        <v>7115</v>
      </c>
      <c r="D38" s="53">
        <v>100028866</v>
      </c>
      <c r="E38" s="55" t="s">
        <v>7116</v>
      </c>
      <c r="F38" s="129">
        <v>50</v>
      </c>
      <c r="G38" s="129">
        <v>6400</v>
      </c>
      <c r="H38" s="512">
        <v>57.01</v>
      </c>
      <c r="I38" s="265" t="s">
        <v>359</v>
      </c>
      <c r="J38" s="265" t="s">
        <v>102</v>
      </c>
      <c r="K38" s="265" t="s">
        <v>7117</v>
      </c>
      <c r="L38" s="348" t="s">
        <v>1205</v>
      </c>
      <c r="M38" s="265" t="s">
        <v>7118</v>
      </c>
      <c r="N38" s="347">
        <v>0.159</v>
      </c>
      <c r="O38" s="348" t="s">
        <v>1205</v>
      </c>
      <c r="P38" s="348">
        <v>7.95</v>
      </c>
      <c r="Q38" s="348">
        <v>0.32375720697715193</v>
      </c>
    </row>
    <row r="39" spans="1:17" ht="15" hidden="1" customHeight="1">
      <c r="A39" s="163">
        <v>32</v>
      </c>
      <c r="B39" s="53" t="s">
        <v>6</v>
      </c>
      <c r="C39" s="53" t="s">
        <v>7119</v>
      </c>
      <c r="D39" s="53">
        <v>100028867</v>
      </c>
      <c r="E39" s="55" t="s">
        <v>7120</v>
      </c>
      <c r="F39" s="129">
        <v>50</v>
      </c>
      <c r="G39" s="129">
        <v>3150</v>
      </c>
      <c r="H39" s="512">
        <v>71.14</v>
      </c>
      <c r="I39" s="265" t="s">
        <v>359</v>
      </c>
      <c r="J39" s="265" t="s">
        <v>102</v>
      </c>
      <c r="K39" s="265" t="s">
        <v>7121</v>
      </c>
      <c r="L39" s="348" t="s">
        <v>1205</v>
      </c>
      <c r="M39" s="265" t="s">
        <v>7122</v>
      </c>
      <c r="N39" s="347">
        <v>0.23599999999999999</v>
      </c>
      <c r="O39" s="348" t="s">
        <v>1205</v>
      </c>
      <c r="P39" s="348">
        <v>11.799999999999999</v>
      </c>
      <c r="Q39" s="348">
        <v>0.66940792428507967</v>
      </c>
    </row>
    <row r="40" spans="1:17" ht="15" hidden="1" customHeight="1">
      <c r="A40" s="163">
        <v>33</v>
      </c>
      <c r="B40" s="53" t="s">
        <v>6</v>
      </c>
      <c r="C40" s="53" t="s">
        <v>7123</v>
      </c>
      <c r="D40" s="53">
        <v>100028868</v>
      </c>
      <c r="E40" s="55" t="s">
        <v>7124</v>
      </c>
      <c r="F40" s="129">
        <v>25</v>
      </c>
      <c r="G40" s="129">
        <v>1125</v>
      </c>
      <c r="H40" s="512">
        <v>166.25</v>
      </c>
      <c r="I40" s="265" t="s">
        <v>76</v>
      </c>
      <c r="J40" s="265" t="s">
        <v>102</v>
      </c>
      <c r="K40" s="265" t="s">
        <v>7125</v>
      </c>
      <c r="L40" s="348" t="s">
        <v>1205</v>
      </c>
      <c r="M40" s="265" t="s">
        <v>7126</v>
      </c>
      <c r="N40" s="347">
        <v>0.628</v>
      </c>
      <c r="O40" s="348" t="s">
        <v>1205</v>
      </c>
      <c r="P40" s="348">
        <v>15.7</v>
      </c>
      <c r="Q40" s="348">
        <v>0.98955954024750914</v>
      </c>
    </row>
    <row r="41" spans="1:17" ht="15" hidden="1" customHeight="1">
      <c r="A41" s="163">
        <v>34</v>
      </c>
      <c r="B41" s="53" t="s">
        <v>6</v>
      </c>
      <c r="C41" s="53" t="s">
        <v>7127</v>
      </c>
      <c r="D41" s="53">
        <v>100028869</v>
      </c>
      <c r="E41" s="55" t="s">
        <v>7128</v>
      </c>
      <c r="F41" s="129">
        <v>10</v>
      </c>
      <c r="G41" s="129">
        <v>630</v>
      </c>
      <c r="H41" s="512">
        <v>265.38</v>
      </c>
      <c r="I41" s="265" t="s">
        <v>76</v>
      </c>
      <c r="J41" s="265" t="s">
        <v>102</v>
      </c>
      <c r="K41" s="265" t="s">
        <v>7129</v>
      </c>
      <c r="L41" s="348" t="s">
        <v>1205</v>
      </c>
      <c r="M41" s="265" t="s">
        <v>7130</v>
      </c>
      <c r="N41" s="347">
        <v>1.139</v>
      </c>
      <c r="O41" s="348" t="s">
        <v>1205</v>
      </c>
      <c r="P41" s="348">
        <v>11.39</v>
      </c>
      <c r="Q41" s="348">
        <v>0.98955954024750914</v>
      </c>
    </row>
    <row r="42" spans="1:17" ht="15" hidden="1" customHeight="1">
      <c r="A42" s="163">
        <v>35</v>
      </c>
      <c r="B42" s="53" t="s">
        <v>6</v>
      </c>
      <c r="C42" s="53" t="s">
        <v>7131</v>
      </c>
      <c r="D42" s="53">
        <v>300005639</v>
      </c>
      <c r="E42" s="55" t="s">
        <v>7132</v>
      </c>
      <c r="F42" s="129">
        <v>10</v>
      </c>
      <c r="G42" s="129">
        <v>180</v>
      </c>
      <c r="H42" s="512">
        <v>2193.15</v>
      </c>
      <c r="I42" s="265" t="s">
        <v>1693</v>
      </c>
      <c r="J42" s="265" t="s">
        <v>77</v>
      </c>
      <c r="K42" s="265" t="s">
        <v>7133</v>
      </c>
      <c r="L42" s="348" t="s">
        <v>1205</v>
      </c>
      <c r="M42" s="265">
        <v>0</v>
      </c>
      <c r="N42" s="347">
        <v>2.6230000000000002</v>
      </c>
      <c r="O42" s="348" t="s">
        <v>1205</v>
      </c>
      <c r="P42" s="348">
        <v>26.230000000000004</v>
      </c>
      <c r="Q42" s="348" t="s">
        <v>1205</v>
      </c>
    </row>
    <row r="43" spans="1:17" ht="15" hidden="1" customHeight="1">
      <c r="A43" s="163">
        <v>36</v>
      </c>
      <c r="B43" s="53" t="s">
        <v>6</v>
      </c>
      <c r="C43" s="53" t="s">
        <v>7134</v>
      </c>
      <c r="D43" s="53">
        <v>100028876</v>
      </c>
      <c r="E43" s="55" t="s">
        <v>7135</v>
      </c>
      <c r="F43" s="129">
        <v>100</v>
      </c>
      <c r="G43" s="129">
        <v>14400</v>
      </c>
      <c r="H43" s="512">
        <v>24.26</v>
      </c>
      <c r="I43" s="265" t="s">
        <v>359</v>
      </c>
      <c r="J43" s="265" t="s">
        <v>102</v>
      </c>
      <c r="K43" s="265" t="s">
        <v>7136</v>
      </c>
      <c r="L43" s="348" t="s">
        <v>1205</v>
      </c>
      <c r="M43" s="265" t="s">
        <v>7137</v>
      </c>
      <c r="N43" s="347">
        <v>7.0000000000000007E-2</v>
      </c>
      <c r="O43" s="348" t="s">
        <v>1205</v>
      </c>
      <c r="P43" s="348">
        <v>7.0000000000000009</v>
      </c>
      <c r="Q43" s="348">
        <v>0.26544609711836381</v>
      </c>
    </row>
    <row r="44" spans="1:17" ht="15" hidden="1" customHeight="1">
      <c r="A44" s="163">
        <v>37</v>
      </c>
      <c r="B44" s="53" t="s">
        <v>6</v>
      </c>
      <c r="C44" s="53" t="s">
        <v>7138</v>
      </c>
      <c r="D44" s="53">
        <v>100028877</v>
      </c>
      <c r="E44" s="55" t="s">
        <v>7139</v>
      </c>
      <c r="F44" s="129">
        <v>50</v>
      </c>
      <c r="G44" s="129">
        <v>9000</v>
      </c>
      <c r="H44" s="512">
        <v>27.32</v>
      </c>
      <c r="I44" s="265" t="s">
        <v>76</v>
      </c>
      <c r="J44" s="265" t="s">
        <v>102</v>
      </c>
      <c r="K44" s="265" t="s">
        <v>7140</v>
      </c>
      <c r="L44" s="348" t="s">
        <v>1205</v>
      </c>
      <c r="M44" s="265" t="s">
        <v>7141</v>
      </c>
      <c r="N44" s="347">
        <v>0.105</v>
      </c>
      <c r="O44" s="348" t="s">
        <v>1205</v>
      </c>
      <c r="P44" s="348">
        <v>5.25</v>
      </c>
      <c r="Q44" s="348">
        <v>0.21565729329437433</v>
      </c>
    </row>
    <row r="45" spans="1:17" ht="15" hidden="1" customHeight="1">
      <c r="A45" s="163">
        <v>38</v>
      </c>
      <c r="B45" s="53" t="s">
        <v>6</v>
      </c>
      <c r="C45" s="53" t="s">
        <v>7142</v>
      </c>
      <c r="D45" s="53">
        <v>100028878</v>
      </c>
      <c r="E45" s="55" t="s">
        <v>7143</v>
      </c>
      <c r="F45" s="129">
        <v>25</v>
      </c>
      <c r="G45" s="129">
        <v>3600</v>
      </c>
      <c r="H45" s="512">
        <v>48.61</v>
      </c>
      <c r="I45" s="265" t="s">
        <v>76</v>
      </c>
      <c r="J45" s="265" t="s">
        <v>102</v>
      </c>
      <c r="K45" s="265" t="s">
        <v>7144</v>
      </c>
      <c r="L45" s="348" t="s">
        <v>1205</v>
      </c>
      <c r="M45" s="265" t="s">
        <v>7145</v>
      </c>
      <c r="N45" s="347">
        <v>0.26100000000000001</v>
      </c>
      <c r="O45" s="348" t="s">
        <v>1205</v>
      </c>
      <c r="P45" s="348">
        <v>6.5250000000000004</v>
      </c>
      <c r="Q45" s="348">
        <v>0.26544609711836381</v>
      </c>
    </row>
    <row r="46" spans="1:17" ht="15" hidden="1" customHeight="1">
      <c r="A46" s="163">
        <v>39</v>
      </c>
      <c r="B46" s="53" t="s">
        <v>6</v>
      </c>
      <c r="C46" s="53" t="s">
        <v>7146</v>
      </c>
      <c r="D46" s="53">
        <v>100028879</v>
      </c>
      <c r="E46" s="55" t="s">
        <v>7147</v>
      </c>
      <c r="F46" s="129">
        <v>30</v>
      </c>
      <c r="G46" s="129">
        <v>1890</v>
      </c>
      <c r="H46" s="512">
        <v>72.05</v>
      </c>
      <c r="I46" s="265" t="s">
        <v>76</v>
      </c>
      <c r="J46" s="265" t="s">
        <v>102</v>
      </c>
      <c r="K46" s="265" t="s">
        <v>7148</v>
      </c>
      <c r="L46" s="348" t="s">
        <v>1205</v>
      </c>
      <c r="M46" s="265" t="s">
        <v>7149</v>
      </c>
      <c r="N46" s="347">
        <v>0.47099999999999997</v>
      </c>
      <c r="O46" s="348" t="s">
        <v>1205</v>
      </c>
      <c r="P46" s="348">
        <v>14.129999999999999</v>
      </c>
      <c r="Q46" s="348">
        <v>0.66940792428507967</v>
      </c>
    </row>
    <row r="47" spans="1:17" ht="15" hidden="1" customHeight="1">
      <c r="A47" s="163">
        <v>40</v>
      </c>
      <c r="B47" s="53" t="s">
        <v>6</v>
      </c>
      <c r="C47" s="53" t="s">
        <v>7150</v>
      </c>
      <c r="D47" s="53">
        <v>100028880</v>
      </c>
      <c r="E47" s="55" t="s">
        <v>7151</v>
      </c>
      <c r="F47" s="129">
        <v>10</v>
      </c>
      <c r="G47" s="129">
        <v>800</v>
      </c>
      <c r="H47" s="512">
        <v>228.76</v>
      </c>
      <c r="I47" s="265" t="s">
        <v>76</v>
      </c>
      <c r="J47" s="265" t="s">
        <v>102</v>
      </c>
      <c r="K47" s="265" t="s">
        <v>7152</v>
      </c>
      <c r="L47" s="348" t="s">
        <v>1205</v>
      </c>
      <c r="M47" s="265" t="s">
        <v>7153</v>
      </c>
      <c r="N47" s="347">
        <v>0.86799999999999999</v>
      </c>
      <c r="O47" s="348" t="s">
        <v>1205</v>
      </c>
      <c r="P47" s="348">
        <v>8.68</v>
      </c>
      <c r="Q47" s="348">
        <v>0.4856358104657279</v>
      </c>
    </row>
    <row r="48" spans="1:17" ht="15" hidden="1" customHeight="1">
      <c r="A48" s="163">
        <v>41</v>
      </c>
      <c r="B48" s="53" t="s">
        <v>6</v>
      </c>
      <c r="C48" s="53" t="s">
        <v>7154</v>
      </c>
      <c r="D48" s="53">
        <v>100028881</v>
      </c>
      <c r="E48" s="55" t="s">
        <v>7155</v>
      </c>
      <c r="F48" s="129">
        <v>50</v>
      </c>
      <c r="G48" s="129">
        <v>7200</v>
      </c>
      <c r="H48" s="512">
        <v>23.52</v>
      </c>
      <c r="I48" s="265" t="s">
        <v>76</v>
      </c>
      <c r="J48" s="265" t="s">
        <v>102</v>
      </c>
      <c r="K48" s="265" t="s">
        <v>7156</v>
      </c>
      <c r="L48" s="348" t="s">
        <v>1205</v>
      </c>
      <c r="M48" s="265" t="s">
        <v>7157</v>
      </c>
      <c r="N48" s="347">
        <v>0.123</v>
      </c>
      <c r="O48" s="348" t="s">
        <v>1205</v>
      </c>
      <c r="P48" s="348">
        <v>6.15</v>
      </c>
      <c r="Q48" s="348">
        <v>0.26544609711836381</v>
      </c>
    </row>
    <row r="49" spans="1:17" ht="15" hidden="1" customHeight="1">
      <c r="A49" s="163">
        <v>42</v>
      </c>
      <c r="B49" s="53" t="s">
        <v>6</v>
      </c>
      <c r="C49" s="53" t="s">
        <v>7158</v>
      </c>
      <c r="D49" s="53">
        <v>100028882</v>
      </c>
      <c r="E49" s="55" t="s">
        <v>7159</v>
      </c>
      <c r="F49" s="129">
        <v>30</v>
      </c>
      <c r="G49" s="129">
        <v>1890</v>
      </c>
      <c r="H49" s="512">
        <v>113.18</v>
      </c>
      <c r="I49" s="265" t="s">
        <v>359</v>
      </c>
      <c r="J49" s="265" t="s">
        <v>102</v>
      </c>
      <c r="K49" s="265" t="s">
        <v>7160</v>
      </c>
      <c r="L49" s="348" t="s">
        <v>1205</v>
      </c>
      <c r="M49" s="265" t="s">
        <v>7161</v>
      </c>
      <c r="N49" s="347">
        <v>0.40400000000000003</v>
      </c>
      <c r="O49" s="348" t="s">
        <v>1205</v>
      </c>
      <c r="P49" s="348">
        <v>12.120000000000001</v>
      </c>
      <c r="Q49" s="348">
        <v>0.66940792428507967</v>
      </c>
    </row>
    <row r="50" spans="1:17" ht="15" hidden="1" customHeight="1">
      <c r="A50" s="163">
        <v>43</v>
      </c>
      <c r="B50" s="53" t="s">
        <v>6</v>
      </c>
      <c r="C50" s="53" t="s">
        <v>7162</v>
      </c>
      <c r="D50" s="53">
        <v>100028883</v>
      </c>
      <c r="E50" s="55" t="s">
        <v>7163</v>
      </c>
      <c r="F50" s="129">
        <v>30</v>
      </c>
      <c r="G50" s="129">
        <v>1890</v>
      </c>
      <c r="H50" s="512">
        <v>59.61</v>
      </c>
      <c r="I50" s="265" t="s">
        <v>76</v>
      </c>
      <c r="J50" s="265" t="s">
        <v>102</v>
      </c>
      <c r="K50" s="265" t="s">
        <v>7164</v>
      </c>
      <c r="L50" s="348" t="s">
        <v>1205</v>
      </c>
      <c r="M50" s="265" t="s">
        <v>7165</v>
      </c>
      <c r="N50" s="347">
        <v>0.40100000000000002</v>
      </c>
      <c r="O50" s="348" t="s">
        <v>1205</v>
      </c>
      <c r="P50" s="348">
        <v>12.030000000000001</v>
      </c>
      <c r="Q50" s="348">
        <v>0.66940792428507967</v>
      </c>
    </row>
    <row r="51" spans="1:17" ht="15" hidden="1" customHeight="1">
      <c r="A51" s="163">
        <v>44</v>
      </c>
      <c r="B51" s="53" t="s">
        <v>6</v>
      </c>
      <c r="C51" s="53" t="s">
        <v>7166</v>
      </c>
      <c r="D51" s="53">
        <v>100028884</v>
      </c>
      <c r="E51" s="55" t="s">
        <v>7167</v>
      </c>
      <c r="F51" s="129">
        <v>30</v>
      </c>
      <c r="G51" s="129">
        <v>1350</v>
      </c>
      <c r="H51" s="512">
        <v>196.81</v>
      </c>
      <c r="I51" s="265" t="s">
        <v>76</v>
      </c>
      <c r="J51" s="265" t="s">
        <v>102</v>
      </c>
      <c r="K51" s="265" t="s">
        <v>7168</v>
      </c>
      <c r="L51" s="348" t="s">
        <v>1205</v>
      </c>
      <c r="M51" s="265" t="s">
        <v>7169</v>
      </c>
      <c r="N51" s="347">
        <v>0.61099999999999999</v>
      </c>
      <c r="O51" s="348" t="s">
        <v>1205</v>
      </c>
      <c r="P51" s="348">
        <v>18.329999999999998</v>
      </c>
      <c r="Q51" s="348">
        <v>0.98955954024750914</v>
      </c>
    </row>
    <row r="52" spans="1:17" ht="15" hidden="1" customHeight="1">
      <c r="A52" s="163">
        <v>45</v>
      </c>
      <c r="B52" s="53" t="s">
        <v>6</v>
      </c>
      <c r="C52" s="53" t="s">
        <v>7170</v>
      </c>
      <c r="D52" s="53">
        <v>100028885</v>
      </c>
      <c r="E52" s="55" t="s">
        <v>7171</v>
      </c>
      <c r="F52" s="129">
        <v>30</v>
      </c>
      <c r="G52" s="129">
        <v>1350</v>
      </c>
      <c r="H52" s="512">
        <v>101.64</v>
      </c>
      <c r="I52" s="265" t="s">
        <v>76</v>
      </c>
      <c r="J52" s="265" t="s">
        <v>102</v>
      </c>
      <c r="K52" s="265" t="s">
        <v>7172</v>
      </c>
      <c r="L52" s="348" t="s">
        <v>1205</v>
      </c>
      <c r="M52" s="265" t="s">
        <v>7173</v>
      </c>
      <c r="N52" s="347">
        <v>0.53100000000000003</v>
      </c>
      <c r="O52" s="348" t="s">
        <v>1205</v>
      </c>
      <c r="P52" s="348">
        <v>15.930000000000001</v>
      </c>
      <c r="Q52" s="348">
        <v>0.98955954024750914</v>
      </c>
    </row>
    <row r="53" spans="1:17" ht="15" hidden="1" customHeight="1">
      <c r="A53" s="163">
        <v>46</v>
      </c>
      <c r="B53" s="53" t="s">
        <v>6</v>
      </c>
      <c r="C53" s="53" t="s">
        <v>7174</v>
      </c>
      <c r="D53" s="53">
        <v>100028886</v>
      </c>
      <c r="E53" s="55" t="s">
        <v>7175</v>
      </c>
      <c r="F53" s="129">
        <v>10</v>
      </c>
      <c r="G53" s="129">
        <v>320</v>
      </c>
      <c r="H53" s="512">
        <v>505.43</v>
      </c>
      <c r="I53" s="265" t="s">
        <v>76</v>
      </c>
      <c r="J53" s="265" t="s">
        <v>102</v>
      </c>
      <c r="K53" s="265" t="s">
        <v>7176</v>
      </c>
      <c r="L53" s="348" t="s">
        <v>1205</v>
      </c>
      <c r="M53" s="265" t="s">
        <v>7177</v>
      </c>
      <c r="N53" s="347">
        <v>2.137</v>
      </c>
      <c r="O53" s="348" t="s">
        <v>1205</v>
      </c>
      <c r="P53" s="348">
        <v>21.37</v>
      </c>
      <c r="Q53" s="348">
        <v>1.3788503419060438</v>
      </c>
    </row>
    <row r="54" spans="1:17" ht="15" hidden="1" customHeight="1">
      <c r="A54" s="163">
        <v>47</v>
      </c>
      <c r="B54" s="53" t="s">
        <v>6</v>
      </c>
      <c r="C54" s="53" t="s">
        <v>7178</v>
      </c>
      <c r="D54" s="53">
        <v>100028887</v>
      </c>
      <c r="E54" s="55" t="s">
        <v>7179</v>
      </c>
      <c r="F54" s="129">
        <v>50</v>
      </c>
      <c r="G54" s="129">
        <v>6400</v>
      </c>
      <c r="H54" s="512">
        <v>25.83</v>
      </c>
      <c r="I54" s="265" t="s">
        <v>359</v>
      </c>
      <c r="J54" s="265" t="s">
        <v>102</v>
      </c>
      <c r="K54" s="265" t="s">
        <v>7180</v>
      </c>
      <c r="L54" s="348" t="s">
        <v>1205</v>
      </c>
      <c r="M54" s="265" t="s">
        <v>7181</v>
      </c>
      <c r="N54" s="347">
        <v>0.10100000000000001</v>
      </c>
      <c r="O54" s="348" t="s">
        <v>1205</v>
      </c>
      <c r="P54" s="348">
        <v>5.0500000000000007</v>
      </c>
      <c r="Q54" s="348">
        <v>0.32375720697715193</v>
      </c>
    </row>
    <row r="55" spans="1:17" ht="15" hidden="1" customHeight="1">
      <c r="A55" s="163">
        <v>48</v>
      </c>
      <c r="B55" s="53" t="s">
        <v>6</v>
      </c>
      <c r="C55" s="53" t="s">
        <v>7182</v>
      </c>
      <c r="D55" s="53">
        <v>300005641</v>
      </c>
      <c r="E55" s="55" t="s">
        <v>7183</v>
      </c>
      <c r="F55" s="129">
        <v>25</v>
      </c>
      <c r="G55" s="129">
        <v>7500</v>
      </c>
      <c r="H55" s="512">
        <v>39.1</v>
      </c>
      <c r="I55" s="265" t="s">
        <v>359</v>
      </c>
      <c r="J55" s="265" t="s">
        <v>77</v>
      </c>
      <c r="K55" s="265" t="s">
        <v>7184</v>
      </c>
      <c r="L55" s="348" t="s">
        <v>1205</v>
      </c>
      <c r="M55" s="265" t="s">
        <v>7185</v>
      </c>
      <c r="N55" s="347">
        <v>7.0000000000000007E-2</v>
      </c>
      <c r="O55" s="348" t="s">
        <v>1205</v>
      </c>
      <c r="P55" s="348">
        <v>1.7500000000000002</v>
      </c>
      <c r="Q55" s="348" t="s">
        <v>1205</v>
      </c>
    </row>
    <row r="56" spans="1:17" ht="15" hidden="1" customHeight="1">
      <c r="A56" s="163">
        <v>49</v>
      </c>
      <c r="B56" s="53" t="s">
        <v>6</v>
      </c>
      <c r="C56" s="53" t="s">
        <v>7186</v>
      </c>
      <c r="D56" s="53">
        <v>100028889</v>
      </c>
      <c r="E56" s="55" t="s">
        <v>7187</v>
      </c>
      <c r="F56" s="129">
        <v>50</v>
      </c>
      <c r="G56" s="129">
        <v>7200</v>
      </c>
      <c r="H56" s="512">
        <v>34.68</v>
      </c>
      <c r="I56" s="265" t="s">
        <v>359</v>
      </c>
      <c r="J56" s="265" t="s">
        <v>102</v>
      </c>
      <c r="K56" s="265" t="s">
        <v>7188</v>
      </c>
      <c r="L56" s="348" t="s">
        <v>1205</v>
      </c>
      <c r="M56" s="265" t="s">
        <v>7189</v>
      </c>
      <c r="N56" s="347">
        <v>0.122</v>
      </c>
      <c r="O56" s="348" t="s">
        <v>1205</v>
      </c>
      <c r="P56" s="348">
        <v>6.1</v>
      </c>
      <c r="Q56" s="348">
        <v>0.26544609711836381</v>
      </c>
    </row>
    <row r="57" spans="1:17" ht="15" hidden="1" customHeight="1">
      <c r="A57" s="163">
        <v>50</v>
      </c>
      <c r="B57" s="53" t="s">
        <v>6</v>
      </c>
      <c r="C57" s="53" t="s">
        <v>7190</v>
      </c>
      <c r="D57" s="53">
        <v>100028890</v>
      </c>
      <c r="E57" s="55" t="s">
        <v>7191</v>
      </c>
      <c r="F57" s="129">
        <v>25</v>
      </c>
      <c r="G57" s="129">
        <v>1125</v>
      </c>
      <c r="H57" s="512">
        <v>96.86</v>
      </c>
      <c r="I57" s="265" t="s">
        <v>359</v>
      </c>
      <c r="J57" s="265" t="s">
        <v>102</v>
      </c>
      <c r="K57" s="265" t="s">
        <v>7192</v>
      </c>
      <c r="L57" s="348" t="s">
        <v>1205</v>
      </c>
      <c r="M57" s="265" t="s">
        <v>7193</v>
      </c>
      <c r="N57" s="347">
        <v>0.46</v>
      </c>
      <c r="O57" s="348" t="s">
        <v>1205</v>
      </c>
      <c r="P57" s="348">
        <v>11.5</v>
      </c>
      <c r="Q57" s="348">
        <v>0.98955954024750914</v>
      </c>
    </row>
    <row r="58" spans="1:17" ht="15" hidden="1" customHeight="1">
      <c r="A58" s="163">
        <v>51</v>
      </c>
      <c r="B58" s="53" t="s">
        <v>6</v>
      </c>
      <c r="C58" s="53" t="s">
        <v>7194</v>
      </c>
      <c r="D58" s="53">
        <v>100028891</v>
      </c>
      <c r="E58" s="55" t="s">
        <v>7195</v>
      </c>
      <c r="F58" s="129">
        <v>25</v>
      </c>
      <c r="G58" s="129">
        <v>800</v>
      </c>
      <c r="H58" s="512">
        <v>219.29</v>
      </c>
      <c r="I58" s="265" t="s">
        <v>359</v>
      </c>
      <c r="J58" s="265" t="s">
        <v>102</v>
      </c>
      <c r="K58" s="265" t="s">
        <v>7196</v>
      </c>
      <c r="L58" s="348" t="s">
        <v>1205</v>
      </c>
      <c r="M58" s="265" t="s">
        <v>7197</v>
      </c>
      <c r="N58" s="347">
        <v>0.82699999999999996</v>
      </c>
      <c r="O58" s="348" t="s">
        <v>1205</v>
      </c>
      <c r="P58" s="348">
        <v>20.674999999999997</v>
      </c>
      <c r="Q58" s="348">
        <v>1.3788503419060438</v>
      </c>
    </row>
    <row r="59" spans="1:17" ht="15" hidden="1" customHeight="1">
      <c r="A59" s="163">
        <v>52</v>
      </c>
      <c r="B59" s="53" t="s">
        <v>6</v>
      </c>
      <c r="C59" s="53" t="s">
        <v>7198</v>
      </c>
      <c r="D59" s="53">
        <v>300005642</v>
      </c>
      <c r="E59" s="55" t="s">
        <v>7199</v>
      </c>
      <c r="F59" s="129">
        <v>7</v>
      </c>
      <c r="G59" s="129">
        <v>245</v>
      </c>
      <c r="H59" s="512">
        <v>4303.1400000000003</v>
      </c>
      <c r="I59" s="265" t="s">
        <v>1693</v>
      </c>
      <c r="J59" s="265" t="s">
        <v>77</v>
      </c>
      <c r="K59" s="265" t="s">
        <v>7200</v>
      </c>
      <c r="L59" s="348" t="s">
        <v>1205</v>
      </c>
      <c r="M59" s="265">
        <v>0</v>
      </c>
      <c r="N59" s="347">
        <v>0.28000000000000003</v>
      </c>
      <c r="O59" s="348" t="s">
        <v>1205</v>
      </c>
      <c r="P59" s="348">
        <v>1.9600000000000002</v>
      </c>
      <c r="Q59" s="348" t="s">
        <v>1205</v>
      </c>
    </row>
    <row r="60" spans="1:17" ht="15" hidden="1" customHeight="1">
      <c r="A60" s="163">
        <v>53</v>
      </c>
      <c r="B60" s="53" t="s">
        <v>6</v>
      </c>
      <c r="C60" s="53" t="s">
        <v>7201</v>
      </c>
      <c r="D60" s="53">
        <v>300006069</v>
      </c>
      <c r="E60" s="55" t="s">
        <v>7202</v>
      </c>
      <c r="F60" s="129">
        <v>25</v>
      </c>
      <c r="G60" s="129">
        <v>5250</v>
      </c>
      <c r="H60" s="512">
        <v>107.6</v>
      </c>
      <c r="I60" s="265" t="s">
        <v>1693</v>
      </c>
      <c r="J60" s="265" t="s">
        <v>77</v>
      </c>
      <c r="K60" s="265" t="s">
        <v>7203</v>
      </c>
      <c r="L60" s="348" t="s">
        <v>1205</v>
      </c>
      <c r="M60" s="265">
        <v>0</v>
      </c>
      <c r="N60" s="347">
        <v>0.16</v>
      </c>
      <c r="O60" s="348" t="s">
        <v>1205</v>
      </c>
      <c r="P60" s="348">
        <v>4</v>
      </c>
      <c r="Q60" s="348" t="s">
        <v>1205</v>
      </c>
    </row>
    <row r="61" spans="1:17" ht="15" hidden="1" customHeight="1">
      <c r="A61" s="163">
        <v>54</v>
      </c>
      <c r="B61" s="53" t="s">
        <v>6</v>
      </c>
      <c r="C61" s="53" t="s">
        <v>7204</v>
      </c>
      <c r="D61" s="53">
        <v>300006070</v>
      </c>
      <c r="E61" s="55" t="s">
        <v>7205</v>
      </c>
      <c r="F61" s="129">
        <v>25</v>
      </c>
      <c r="G61" s="129" t="s">
        <v>1205</v>
      </c>
      <c r="H61" s="512">
        <v>139.65</v>
      </c>
      <c r="I61" s="265" t="s">
        <v>1693</v>
      </c>
      <c r="J61" s="265" t="s">
        <v>77</v>
      </c>
      <c r="K61" s="265" t="s">
        <v>7206</v>
      </c>
      <c r="L61" s="348" t="s">
        <v>1205</v>
      </c>
      <c r="M61" s="265">
        <v>0</v>
      </c>
      <c r="N61" s="347">
        <v>0.3</v>
      </c>
      <c r="O61" s="348" t="s">
        <v>1205</v>
      </c>
      <c r="P61" s="348">
        <v>7.5</v>
      </c>
      <c r="Q61" s="348" t="s">
        <v>1205</v>
      </c>
    </row>
    <row r="62" spans="1:17" ht="15" hidden="1" customHeight="1">
      <c r="A62" s="163">
        <v>55</v>
      </c>
      <c r="B62" s="53" t="s">
        <v>6</v>
      </c>
      <c r="C62" s="53" t="s">
        <v>7207</v>
      </c>
      <c r="D62" s="53">
        <v>100028896</v>
      </c>
      <c r="E62" s="55" t="s">
        <v>7208</v>
      </c>
      <c r="F62" s="129">
        <v>50</v>
      </c>
      <c r="G62" s="129">
        <v>9000</v>
      </c>
      <c r="H62" s="512">
        <v>54.65</v>
      </c>
      <c r="I62" s="265" t="s">
        <v>359</v>
      </c>
      <c r="J62" s="265" t="s">
        <v>102</v>
      </c>
      <c r="K62" s="265" t="s">
        <v>7209</v>
      </c>
      <c r="L62" s="348" t="s">
        <v>1205</v>
      </c>
      <c r="M62" s="265" t="s">
        <v>7210</v>
      </c>
      <c r="N62" s="347">
        <v>8.1000000000000003E-2</v>
      </c>
      <c r="O62" s="348" t="s">
        <v>1205</v>
      </c>
      <c r="P62" s="348">
        <v>4.05</v>
      </c>
      <c r="Q62" s="348">
        <v>0.26544609711836381</v>
      </c>
    </row>
    <row r="63" spans="1:17" ht="15" hidden="1" customHeight="1">
      <c r="A63" s="163">
        <v>56</v>
      </c>
      <c r="B63" s="53" t="s">
        <v>6</v>
      </c>
      <c r="C63" s="53" t="s">
        <v>7211</v>
      </c>
      <c r="D63" s="53">
        <v>100028897</v>
      </c>
      <c r="E63" s="55" t="s">
        <v>7212</v>
      </c>
      <c r="F63" s="129">
        <v>50</v>
      </c>
      <c r="G63" s="129">
        <v>4000</v>
      </c>
      <c r="H63" s="512">
        <v>91.23</v>
      </c>
      <c r="I63" s="265" t="s">
        <v>359</v>
      </c>
      <c r="J63" s="265" t="s">
        <v>102</v>
      </c>
      <c r="K63" s="265" t="s">
        <v>7213</v>
      </c>
      <c r="L63" s="348" t="s">
        <v>1205</v>
      </c>
      <c r="M63" s="265" t="s">
        <v>7214</v>
      </c>
      <c r="N63" s="347">
        <v>0.11600000000000001</v>
      </c>
      <c r="O63" s="348" t="s">
        <v>1205</v>
      </c>
      <c r="P63" s="348">
        <v>5.8000000000000007</v>
      </c>
      <c r="Q63" s="348">
        <v>0.4856358104657279</v>
      </c>
    </row>
    <row r="64" spans="1:17" ht="15" hidden="1" customHeight="1">
      <c r="A64" s="163">
        <v>57</v>
      </c>
      <c r="B64" s="53" t="s">
        <v>6</v>
      </c>
      <c r="C64" s="53" t="s">
        <v>7215</v>
      </c>
      <c r="D64" s="53">
        <v>100028898</v>
      </c>
      <c r="E64" s="55" t="s">
        <v>7216</v>
      </c>
      <c r="F64" s="129">
        <v>10</v>
      </c>
      <c r="G64" s="129">
        <v>1800</v>
      </c>
      <c r="H64" s="512">
        <v>152.53</v>
      </c>
      <c r="I64" s="265" t="s">
        <v>76</v>
      </c>
      <c r="J64" s="265" t="s">
        <v>102</v>
      </c>
      <c r="K64" s="265" t="s">
        <v>7217</v>
      </c>
      <c r="L64" s="348" t="s">
        <v>1205</v>
      </c>
      <c r="M64" s="265" t="s">
        <v>7218</v>
      </c>
      <c r="N64" s="347">
        <v>0.39800000000000002</v>
      </c>
      <c r="O64" s="348" t="s">
        <v>1205</v>
      </c>
      <c r="P64" s="348">
        <v>3.9800000000000004</v>
      </c>
      <c r="Q64" s="348">
        <v>0.21565729329437433</v>
      </c>
    </row>
    <row r="65" spans="1:17" ht="15" hidden="1" customHeight="1">
      <c r="A65" s="163">
        <v>58</v>
      </c>
      <c r="B65" s="53" t="s">
        <v>6</v>
      </c>
      <c r="C65" s="53" t="s">
        <v>7219</v>
      </c>
      <c r="D65" s="53">
        <v>100028899</v>
      </c>
      <c r="E65" s="55" t="s">
        <v>7220</v>
      </c>
      <c r="F65" s="129">
        <v>5</v>
      </c>
      <c r="G65" s="129">
        <v>900</v>
      </c>
      <c r="H65" s="512">
        <v>217.76</v>
      </c>
      <c r="I65" s="265" t="s">
        <v>76</v>
      </c>
      <c r="J65" s="265" t="s">
        <v>102</v>
      </c>
      <c r="K65" s="265" t="s">
        <v>7221</v>
      </c>
      <c r="L65" s="348" t="s">
        <v>1205</v>
      </c>
      <c r="M65" s="265" t="s">
        <v>7222</v>
      </c>
      <c r="N65" s="347">
        <v>0.71299999999999997</v>
      </c>
      <c r="O65" s="348" t="s">
        <v>1205</v>
      </c>
      <c r="P65" s="348">
        <v>3.5649999999999999</v>
      </c>
      <c r="Q65" s="348">
        <v>0.21565729329437433</v>
      </c>
    </row>
    <row r="66" spans="1:17" ht="15" hidden="1" customHeight="1">
      <c r="A66" s="163">
        <v>59</v>
      </c>
      <c r="B66" s="53" t="s">
        <v>6</v>
      </c>
      <c r="C66" s="53" t="s">
        <v>7223</v>
      </c>
      <c r="D66" s="53">
        <v>100028900</v>
      </c>
      <c r="E66" s="55" t="s">
        <v>7224</v>
      </c>
      <c r="F66" s="129">
        <v>8</v>
      </c>
      <c r="G66" s="129">
        <v>360</v>
      </c>
      <c r="H66" s="512">
        <v>549.91</v>
      </c>
      <c r="I66" s="265" t="s">
        <v>359</v>
      </c>
      <c r="J66" s="265" t="s">
        <v>102</v>
      </c>
      <c r="K66" s="265" t="s">
        <v>7225</v>
      </c>
      <c r="L66" s="348" t="s">
        <v>1205</v>
      </c>
      <c r="M66" s="265" t="s">
        <v>7226</v>
      </c>
      <c r="N66" s="347">
        <v>1.786</v>
      </c>
      <c r="O66" s="348" t="s">
        <v>1205</v>
      </c>
      <c r="P66" s="348">
        <v>14.288</v>
      </c>
      <c r="Q66" s="348">
        <v>0.98955954024750914</v>
      </c>
    </row>
    <row r="67" spans="1:17" ht="15" hidden="1" customHeight="1">
      <c r="A67" s="163">
        <v>60</v>
      </c>
      <c r="B67" s="53" t="s">
        <v>6</v>
      </c>
      <c r="C67" s="53" t="s">
        <v>7227</v>
      </c>
      <c r="D67" s="53">
        <v>300005644</v>
      </c>
      <c r="E67" s="55" t="s">
        <v>7228</v>
      </c>
      <c r="F67" s="129">
        <v>20</v>
      </c>
      <c r="G67" s="129">
        <v>600</v>
      </c>
      <c r="H67" s="512">
        <v>248.57</v>
      </c>
      <c r="I67" s="265" t="s">
        <v>359</v>
      </c>
      <c r="J67" s="265" t="s">
        <v>77</v>
      </c>
      <c r="K67" s="265" t="s">
        <v>7229</v>
      </c>
      <c r="L67" s="348" t="s">
        <v>1205</v>
      </c>
      <c r="M67" s="265" t="s">
        <v>7230</v>
      </c>
      <c r="N67" s="347">
        <v>0.65900000000000003</v>
      </c>
      <c r="O67" s="348" t="s">
        <v>1205</v>
      </c>
      <c r="P67" s="348">
        <v>13.18</v>
      </c>
      <c r="Q67" s="348" t="s">
        <v>1205</v>
      </c>
    </row>
    <row r="68" spans="1:17" ht="15" hidden="1" customHeight="1">
      <c r="A68" s="163">
        <v>61</v>
      </c>
      <c r="B68" s="53" t="s">
        <v>6</v>
      </c>
      <c r="C68" s="53" t="s">
        <v>7231</v>
      </c>
      <c r="D68" s="53">
        <v>300005645</v>
      </c>
      <c r="E68" s="55" t="s">
        <v>7232</v>
      </c>
      <c r="F68" s="129">
        <v>10</v>
      </c>
      <c r="G68" s="129">
        <v>700</v>
      </c>
      <c r="H68" s="512">
        <v>366.77</v>
      </c>
      <c r="I68" s="265" t="s">
        <v>1693</v>
      </c>
      <c r="J68" s="265" t="s">
        <v>77</v>
      </c>
      <c r="K68" s="265" t="s">
        <v>7233</v>
      </c>
      <c r="L68" s="348" t="s">
        <v>1205</v>
      </c>
      <c r="M68" s="265" t="s">
        <v>7234</v>
      </c>
      <c r="N68" s="347">
        <v>0.77</v>
      </c>
      <c r="O68" s="348" t="s">
        <v>1205</v>
      </c>
      <c r="P68" s="348">
        <v>7.7</v>
      </c>
      <c r="Q68" s="348" t="s">
        <v>1205</v>
      </c>
    </row>
    <row r="69" spans="1:17" ht="15" hidden="1" customHeight="1">
      <c r="A69" s="163">
        <v>62</v>
      </c>
      <c r="B69" s="53" t="s">
        <v>6</v>
      </c>
      <c r="C69" s="53" t="s">
        <v>7235</v>
      </c>
      <c r="D69" s="53">
        <v>300005646</v>
      </c>
      <c r="E69" s="55" t="s">
        <v>7236</v>
      </c>
      <c r="F69" s="129">
        <v>25</v>
      </c>
      <c r="G69" s="129">
        <v>4200</v>
      </c>
      <c r="H69" s="512">
        <v>193.42</v>
      </c>
      <c r="I69" s="265" t="s">
        <v>1693</v>
      </c>
      <c r="J69" s="265" t="s">
        <v>77</v>
      </c>
      <c r="K69" s="265" t="s">
        <v>7237</v>
      </c>
      <c r="L69" s="348" t="s">
        <v>1205</v>
      </c>
      <c r="M69" s="265">
        <v>0</v>
      </c>
      <c r="N69" s="347">
        <v>0.12</v>
      </c>
      <c r="O69" s="348" t="s">
        <v>1205</v>
      </c>
      <c r="P69" s="348">
        <v>3</v>
      </c>
      <c r="Q69" s="348" t="s">
        <v>1205</v>
      </c>
    </row>
    <row r="70" spans="1:17" ht="15" hidden="1" customHeight="1">
      <c r="A70" s="163">
        <v>63</v>
      </c>
      <c r="B70" s="53" t="s">
        <v>6</v>
      </c>
      <c r="C70" s="53" t="s">
        <v>7238</v>
      </c>
      <c r="D70" s="53">
        <v>100028904</v>
      </c>
      <c r="E70" s="55" t="s">
        <v>7239</v>
      </c>
      <c r="F70" s="129">
        <v>25</v>
      </c>
      <c r="G70" s="129">
        <v>3200</v>
      </c>
      <c r="H70" s="512">
        <v>71.39</v>
      </c>
      <c r="I70" s="265" t="s">
        <v>359</v>
      </c>
      <c r="J70" s="265" t="s">
        <v>102</v>
      </c>
      <c r="K70" s="265" t="s">
        <v>7240</v>
      </c>
      <c r="L70" s="348" t="s">
        <v>1205</v>
      </c>
      <c r="M70" s="265" t="s">
        <v>7241</v>
      </c>
      <c r="N70" s="347">
        <v>0.182</v>
      </c>
      <c r="O70" s="348" t="s">
        <v>1205</v>
      </c>
      <c r="P70" s="348">
        <v>4.55</v>
      </c>
      <c r="Q70" s="348">
        <v>0.32375720697715193</v>
      </c>
    </row>
    <row r="71" spans="1:17" ht="15" hidden="1" customHeight="1">
      <c r="A71" s="163">
        <v>64</v>
      </c>
      <c r="B71" s="53" t="s">
        <v>6</v>
      </c>
      <c r="C71" s="53" t="s">
        <v>7242</v>
      </c>
      <c r="D71" s="53">
        <v>100028905</v>
      </c>
      <c r="E71" s="55" t="s">
        <v>7243</v>
      </c>
      <c r="F71" s="129">
        <v>20</v>
      </c>
      <c r="G71" s="129">
        <v>1600</v>
      </c>
      <c r="H71" s="512">
        <v>112.29</v>
      </c>
      <c r="I71" s="265" t="s">
        <v>359</v>
      </c>
      <c r="J71" s="265" t="s">
        <v>102</v>
      </c>
      <c r="K71" s="265" t="s">
        <v>7244</v>
      </c>
      <c r="L71" s="348" t="s">
        <v>1205</v>
      </c>
      <c r="M71" s="265" t="s">
        <v>7245</v>
      </c>
      <c r="N71" s="347">
        <v>0.46100000000000002</v>
      </c>
      <c r="O71" s="348" t="s">
        <v>1205</v>
      </c>
      <c r="P71" s="348">
        <v>9.2200000000000006</v>
      </c>
      <c r="Q71" s="348">
        <v>0.4856358104657279</v>
      </c>
    </row>
    <row r="72" spans="1:17" ht="15" hidden="1" customHeight="1">
      <c r="A72" s="163">
        <v>65</v>
      </c>
      <c r="B72" s="53" t="s">
        <v>6</v>
      </c>
      <c r="C72" s="53" t="s">
        <v>7246</v>
      </c>
      <c r="D72" s="53">
        <v>100028906</v>
      </c>
      <c r="E72" s="55" t="s">
        <v>7247</v>
      </c>
      <c r="F72" s="129">
        <v>15</v>
      </c>
      <c r="G72" s="129">
        <v>945</v>
      </c>
      <c r="H72" s="512">
        <v>133.02000000000001</v>
      </c>
      <c r="I72" s="265" t="s">
        <v>359</v>
      </c>
      <c r="J72" s="265" t="s">
        <v>102</v>
      </c>
      <c r="K72" s="265" t="s">
        <v>7248</v>
      </c>
      <c r="L72" s="348" t="s">
        <v>1205</v>
      </c>
      <c r="M72" s="265" t="s">
        <v>7249</v>
      </c>
      <c r="N72" s="347">
        <v>0.78900000000000003</v>
      </c>
      <c r="O72" s="348" t="s">
        <v>1205</v>
      </c>
      <c r="P72" s="348">
        <v>11.835000000000001</v>
      </c>
      <c r="Q72" s="348">
        <v>0.66940792428507967</v>
      </c>
    </row>
    <row r="73" spans="1:17" ht="15" hidden="1" customHeight="1">
      <c r="A73" s="163">
        <v>66</v>
      </c>
      <c r="B73" s="53" t="s">
        <v>6</v>
      </c>
      <c r="C73" s="53" t="s">
        <v>7250</v>
      </c>
      <c r="D73" s="53">
        <v>300005647</v>
      </c>
      <c r="E73" s="55" t="s">
        <v>7251</v>
      </c>
      <c r="F73" s="129">
        <v>20</v>
      </c>
      <c r="G73" s="129">
        <v>1440</v>
      </c>
      <c r="H73" s="512">
        <v>156.04</v>
      </c>
      <c r="I73" s="265" t="s">
        <v>359</v>
      </c>
      <c r="J73" s="265" t="s">
        <v>77</v>
      </c>
      <c r="K73" s="265" t="s">
        <v>7252</v>
      </c>
      <c r="L73" s="348" t="s">
        <v>1205</v>
      </c>
      <c r="M73" s="265">
        <v>0</v>
      </c>
      <c r="N73" s="347">
        <v>0.31</v>
      </c>
      <c r="O73" s="348" t="s">
        <v>1205</v>
      </c>
      <c r="P73" s="348">
        <v>6.2</v>
      </c>
      <c r="Q73" s="348" t="s">
        <v>1205</v>
      </c>
    </row>
    <row r="74" spans="1:17" ht="15" hidden="1" customHeight="1">
      <c r="A74" s="163">
        <v>67</v>
      </c>
      <c r="B74" s="53" t="s">
        <v>6</v>
      </c>
      <c r="C74" s="53" t="s">
        <v>7253</v>
      </c>
      <c r="D74" s="53">
        <v>300005648</v>
      </c>
      <c r="E74" s="55" t="s">
        <v>7254</v>
      </c>
      <c r="F74" s="129">
        <v>20</v>
      </c>
      <c r="G74" s="129">
        <v>750</v>
      </c>
      <c r="H74" s="512">
        <v>277.85000000000002</v>
      </c>
      <c r="I74" s="265" t="s">
        <v>359</v>
      </c>
      <c r="J74" s="265" t="s">
        <v>77</v>
      </c>
      <c r="K74" s="265" t="s">
        <v>7255</v>
      </c>
      <c r="L74" s="348" t="s">
        <v>1205</v>
      </c>
      <c r="M74" s="265">
        <v>0</v>
      </c>
      <c r="N74" s="347">
        <v>0.72</v>
      </c>
      <c r="O74" s="348" t="s">
        <v>1205</v>
      </c>
      <c r="P74" s="348">
        <v>14.399999999999999</v>
      </c>
      <c r="Q74" s="348" t="s">
        <v>1205</v>
      </c>
    </row>
    <row r="75" spans="1:17" ht="15" hidden="1" customHeight="1">
      <c r="A75" s="163">
        <v>68</v>
      </c>
      <c r="B75" s="53" t="s">
        <v>6</v>
      </c>
      <c r="C75" s="53" t="s">
        <v>7256</v>
      </c>
      <c r="D75" s="53">
        <v>100028909</v>
      </c>
      <c r="E75" s="55" t="s">
        <v>7257</v>
      </c>
      <c r="F75" s="129">
        <v>20</v>
      </c>
      <c r="G75" s="129">
        <v>480</v>
      </c>
      <c r="H75" s="512">
        <v>385.92</v>
      </c>
      <c r="I75" s="265" t="s">
        <v>76</v>
      </c>
      <c r="J75" s="265" t="s">
        <v>102</v>
      </c>
      <c r="K75" s="265" t="s">
        <v>7258</v>
      </c>
      <c r="L75" s="348" t="s">
        <v>1205</v>
      </c>
      <c r="M75" s="265" t="s">
        <v>7259</v>
      </c>
      <c r="N75" s="347">
        <v>1.2849999999999999</v>
      </c>
      <c r="O75" s="348" t="s">
        <v>1205</v>
      </c>
      <c r="P75" s="348">
        <v>25.7</v>
      </c>
      <c r="Q75" s="348">
        <v>1.8803145838984718</v>
      </c>
    </row>
    <row r="76" spans="1:17" ht="15" hidden="1" customHeight="1">
      <c r="A76" s="163">
        <v>69</v>
      </c>
      <c r="B76" s="53" t="s">
        <v>6</v>
      </c>
      <c r="C76" s="53" t="s">
        <v>7260</v>
      </c>
      <c r="D76" s="53">
        <v>300005649</v>
      </c>
      <c r="E76" s="55" t="s">
        <v>7261</v>
      </c>
      <c r="F76" s="129">
        <v>10</v>
      </c>
      <c r="G76" s="129">
        <v>350</v>
      </c>
      <c r="H76" s="512">
        <v>923.7</v>
      </c>
      <c r="I76" s="265" t="s">
        <v>1693</v>
      </c>
      <c r="J76" s="265" t="s">
        <v>77</v>
      </c>
      <c r="K76" s="265" t="s">
        <v>7262</v>
      </c>
      <c r="L76" s="348" t="s">
        <v>1205</v>
      </c>
      <c r="M76" s="265">
        <v>0</v>
      </c>
      <c r="N76" s="347">
        <v>0.96</v>
      </c>
      <c r="O76" s="348" t="s">
        <v>1205</v>
      </c>
      <c r="P76" s="348">
        <v>9.6</v>
      </c>
      <c r="Q76" s="348" t="s">
        <v>1205</v>
      </c>
    </row>
    <row r="77" spans="1:17" ht="15" hidden="1" customHeight="1">
      <c r="A77" s="163">
        <v>70</v>
      </c>
      <c r="B77" s="53" t="s">
        <v>6</v>
      </c>
      <c r="C77" s="53" t="s">
        <v>7263</v>
      </c>
      <c r="D77" s="53">
        <v>300005650</v>
      </c>
      <c r="E77" s="55" t="s">
        <v>7264</v>
      </c>
      <c r="F77" s="129">
        <v>4</v>
      </c>
      <c r="G77" s="129" t="s">
        <v>1205</v>
      </c>
      <c r="H77" s="512">
        <v>541.34</v>
      </c>
      <c r="I77" s="265" t="s">
        <v>359</v>
      </c>
      <c r="J77" s="265" t="s">
        <v>77</v>
      </c>
      <c r="K77" s="265" t="s">
        <v>7265</v>
      </c>
      <c r="L77" s="348" t="s">
        <v>1205</v>
      </c>
      <c r="M77" s="265">
        <v>0</v>
      </c>
      <c r="N77" s="347">
        <v>1</v>
      </c>
      <c r="O77" s="348" t="s">
        <v>1205</v>
      </c>
      <c r="P77" s="348">
        <v>4</v>
      </c>
      <c r="Q77" s="348" t="s">
        <v>1205</v>
      </c>
    </row>
    <row r="78" spans="1:17" ht="15" hidden="1" customHeight="1">
      <c r="A78" s="163">
        <v>71</v>
      </c>
      <c r="B78" s="53" t="s">
        <v>6</v>
      </c>
      <c r="C78" s="53" t="s">
        <v>7266</v>
      </c>
      <c r="D78" s="53">
        <v>300005651</v>
      </c>
      <c r="E78" s="55" t="s">
        <v>7267</v>
      </c>
      <c r="F78" s="129">
        <v>6</v>
      </c>
      <c r="G78" s="129" t="s">
        <v>1205</v>
      </c>
      <c r="H78" s="512">
        <v>1734.39</v>
      </c>
      <c r="I78" s="265" t="s">
        <v>359</v>
      </c>
      <c r="J78" s="265" t="s">
        <v>77</v>
      </c>
      <c r="K78" s="265" t="s">
        <v>7268</v>
      </c>
      <c r="L78" s="348" t="s">
        <v>1205</v>
      </c>
      <c r="M78" s="265">
        <v>0</v>
      </c>
      <c r="N78" s="347">
        <v>2</v>
      </c>
      <c r="O78" s="348" t="s">
        <v>1205</v>
      </c>
      <c r="P78" s="348">
        <v>12</v>
      </c>
      <c r="Q78" s="348" t="s">
        <v>1205</v>
      </c>
    </row>
    <row r="79" spans="1:17" ht="15" hidden="1" customHeight="1">
      <c r="A79" s="163">
        <v>72</v>
      </c>
      <c r="B79" s="53" t="s">
        <v>6</v>
      </c>
      <c r="C79" s="53" t="s">
        <v>7269</v>
      </c>
      <c r="D79" s="53">
        <v>100028913</v>
      </c>
      <c r="E79" s="55" t="s">
        <v>7270</v>
      </c>
      <c r="F79" s="129">
        <v>25</v>
      </c>
      <c r="G79" s="129">
        <v>4500</v>
      </c>
      <c r="H79" s="512">
        <v>74.489999999999995</v>
      </c>
      <c r="I79" s="265" t="s">
        <v>359</v>
      </c>
      <c r="J79" s="265" t="s">
        <v>102</v>
      </c>
      <c r="K79" s="265" t="s">
        <v>7271</v>
      </c>
      <c r="L79" s="348" t="s">
        <v>1205</v>
      </c>
      <c r="M79" s="265" t="s">
        <v>7272</v>
      </c>
      <c r="N79" s="347">
        <v>0.11899999999999999</v>
      </c>
      <c r="O79" s="348" t="s">
        <v>1205</v>
      </c>
      <c r="P79" s="348">
        <v>2.9749999999999996</v>
      </c>
      <c r="Q79" s="348">
        <v>0.21565729329437433</v>
      </c>
    </row>
    <row r="80" spans="1:17" ht="15" hidden="1" customHeight="1">
      <c r="A80" s="163">
        <v>73</v>
      </c>
      <c r="B80" s="53" t="s">
        <v>6</v>
      </c>
      <c r="C80" s="53" t="s">
        <v>7273</v>
      </c>
      <c r="D80" s="53">
        <v>100028914</v>
      </c>
      <c r="E80" s="55" t="s">
        <v>7274</v>
      </c>
      <c r="F80" s="129">
        <v>25</v>
      </c>
      <c r="G80" s="129">
        <v>3200</v>
      </c>
      <c r="H80" s="512">
        <v>51.96</v>
      </c>
      <c r="I80" s="265" t="s">
        <v>76</v>
      </c>
      <c r="J80" s="265" t="s">
        <v>102</v>
      </c>
      <c r="K80" s="265" t="s">
        <v>7275</v>
      </c>
      <c r="L80" s="348" t="s">
        <v>1205</v>
      </c>
      <c r="M80" s="265" t="s">
        <v>7276</v>
      </c>
      <c r="N80" s="347">
        <v>0.16300000000000001</v>
      </c>
      <c r="O80" s="348" t="s">
        <v>1205</v>
      </c>
      <c r="P80" s="348">
        <v>4.0750000000000002</v>
      </c>
      <c r="Q80" s="348">
        <v>0.32375720697715193</v>
      </c>
    </row>
    <row r="81" spans="1:17" ht="15" hidden="1" customHeight="1">
      <c r="A81" s="163">
        <v>74</v>
      </c>
      <c r="B81" s="53" t="s">
        <v>6</v>
      </c>
      <c r="C81" s="53" t="s">
        <v>7277</v>
      </c>
      <c r="D81" s="53">
        <v>100028915</v>
      </c>
      <c r="E81" s="55" t="s">
        <v>7278</v>
      </c>
      <c r="F81" s="129">
        <v>12</v>
      </c>
      <c r="G81" s="129">
        <v>960</v>
      </c>
      <c r="H81" s="512">
        <v>131.44999999999999</v>
      </c>
      <c r="I81" s="265" t="s">
        <v>76</v>
      </c>
      <c r="J81" s="265" t="s">
        <v>102</v>
      </c>
      <c r="K81" s="265" t="s">
        <v>7279</v>
      </c>
      <c r="L81" s="348" t="s">
        <v>1205</v>
      </c>
      <c r="M81" s="265" t="s">
        <v>7280</v>
      </c>
      <c r="N81" s="347">
        <v>0.51600000000000001</v>
      </c>
      <c r="O81" s="348" t="s">
        <v>1205</v>
      </c>
      <c r="P81" s="348">
        <v>6.1920000000000002</v>
      </c>
      <c r="Q81" s="348">
        <v>0.4856358104657279</v>
      </c>
    </row>
    <row r="82" spans="1:17" ht="15" hidden="1" customHeight="1">
      <c r="A82" s="163">
        <v>75</v>
      </c>
      <c r="B82" s="53" t="s">
        <v>6</v>
      </c>
      <c r="C82" s="53" t="s">
        <v>7281</v>
      </c>
      <c r="D82" s="53">
        <v>100028916</v>
      </c>
      <c r="E82" s="55" t="s">
        <v>7282</v>
      </c>
      <c r="F82" s="129">
        <v>5</v>
      </c>
      <c r="G82" s="129">
        <v>640</v>
      </c>
      <c r="H82" s="512">
        <v>252.9</v>
      </c>
      <c r="I82" s="265" t="s">
        <v>76</v>
      </c>
      <c r="J82" s="265" t="s">
        <v>102</v>
      </c>
      <c r="K82" s="265" t="s">
        <v>7283</v>
      </c>
      <c r="L82" s="348" t="s">
        <v>1205</v>
      </c>
      <c r="M82" s="265" t="s">
        <v>7284</v>
      </c>
      <c r="N82" s="347">
        <v>0.84799999999999998</v>
      </c>
      <c r="O82" s="348" t="s">
        <v>1205</v>
      </c>
      <c r="P82" s="348">
        <v>4.24</v>
      </c>
      <c r="Q82" s="348">
        <v>0.32375720697715193</v>
      </c>
    </row>
    <row r="83" spans="1:17" ht="15" hidden="1" customHeight="1">
      <c r="A83" s="163">
        <v>76</v>
      </c>
      <c r="B83" s="53" t="s">
        <v>6</v>
      </c>
      <c r="C83" s="53" t="s">
        <v>7285</v>
      </c>
      <c r="D83" s="53">
        <v>100028917</v>
      </c>
      <c r="E83" s="55" t="s">
        <v>7286</v>
      </c>
      <c r="F83" s="129">
        <v>6</v>
      </c>
      <c r="G83" s="129">
        <v>144</v>
      </c>
      <c r="H83" s="512">
        <v>1328.55</v>
      </c>
      <c r="I83" s="265" t="s">
        <v>76</v>
      </c>
      <c r="J83" s="265" t="s">
        <v>102</v>
      </c>
      <c r="K83" s="265" t="s">
        <v>7287</v>
      </c>
      <c r="L83" s="348" t="s">
        <v>1205</v>
      </c>
      <c r="M83" s="265" t="s">
        <v>7288</v>
      </c>
      <c r="N83" s="347">
        <v>2.4769999999999999</v>
      </c>
      <c r="O83" s="348" t="s">
        <v>1205</v>
      </c>
      <c r="P83" s="348">
        <v>14.861999999999998</v>
      </c>
      <c r="Q83" s="348">
        <v>1.8803145838984718</v>
      </c>
    </row>
    <row r="84" spans="1:17" ht="15" hidden="1" customHeight="1">
      <c r="A84" s="163">
        <v>77</v>
      </c>
      <c r="B84" s="53" t="s">
        <v>6</v>
      </c>
      <c r="C84" s="53" t="s">
        <v>7289</v>
      </c>
      <c r="D84" s="53">
        <v>300005652</v>
      </c>
      <c r="E84" s="55" t="s">
        <v>7290</v>
      </c>
      <c r="F84" s="129">
        <v>100</v>
      </c>
      <c r="G84" s="129">
        <v>44800</v>
      </c>
      <c r="H84" s="512">
        <v>32</v>
      </c>
      <c r="I84" s="265" t="s">
        <v>1693</v>
      </c>
      <c r="J84" s="265" t="s">
        <v>77</v>
      </c>
      <c r="K84" s="265" t="s">
        <v>7291</v>
      </c>
      <c r="L84" s="348" t="s">
        <v>1205</v>
      </c>
      <c r="M84" s="265">
        <v>0</v>
      </c>
      <c r="N84" s="347">
        <v>1.2E-2</v>
      </c>
      <c r="O84" s="348" t="s">
        <v>1205</v>
      </c>
      <c r="P84" s="348">
        <v>1.2</v>
      </c>
      <c r="Q84" s="348" t="s">
        <v>1205</v>
      </c>
    </row>
    <row r="85" spans="1:17" ht="15" hidden="1" customHeight="1">
      <c r="A85" s="163">
        <v>78</v>
      </c>
      <c r="B85" s="53" t="s">
        <v>6</v>
      </c>
      <c r="C85" s="53" t="s">
        <v>7292</v>
      </c>
      <c r="D85" s="53">
        <v>300005653</v>
      </c>
      <c r="E85" s="55" t="s">
        <v>7293</v>
      </c>
      <c r="F85" s="129">
        <v>100</v>
      </c>
      <c r="G85" s="129" t="s">
        <v>1205</v>
      </c>
      <c r="H85" s="512">
        <v>33.75</v>
      </c>
      <c r="I85" s="265" t="s">
        <v>359</v>
      </c>
      <c r="J85" s="265" t="s">
        <v>77</v>
      </c>
      <c r="K85" s="265" t="s">
        <v>7294</v>
      </c>
      <c r="L85" s="348" t="s">
        <v>1205</v>
      </c>
      <c r="M85" s="265">
        <v>0</v>
      </c>
      <c r="N85" s="347">
        <v>0.02</v>
      </c>
      <c r="O85" s="348" t="s">
        <v>1205</v>
      </c>
      <c r="P85" s="348">
        <v>2</v>
      </c>
      <c r="Q85" s="348" t="s">
        <v>1205</v>
      </c>
    </row>
    <row r="86" spans="1:17" ht="15" hidden="1" customHeight="1">
      <c r="A86" s="163">
        <v>79</v>
      </c>
      <c r="B86" s="53" t="s">
        <v>6</v>
      </c>
      <c r="C86" s="53" t="s">
        <v>7295</v>
      </c>
      <c r="D86" s="53">
        <v>300005654</v>
      </c>
      <c r="E86" s="55" t="s">
        <v>7296</v>
      </c>
      <c r="F86" s="129">
        <v>50</v>
      </c>
      <c r="G86" s="129">
        <v>8400</v>
      </c>
      <c r="H86" s="512">
        <v>34.9</v>
      </c>
      <c r="I86" s="265" t="s">
        <v>359</v>
      </c>
      <c r="J86" s="265" t="s">
        <v>77</v>
      </c>
      <c r="K86" s="265" t="s">
        <v>7297</v>
      </c>
      <c r="L86" s="348" t="s">
        <v>1205</v>
      </c>
      <c r="M86" s="265">
        <v>0</v>
      </c>
      <c r="N86" s="347">
        <v>0.04</v>
      </c>
      <c r="O86" s="348" t="s">
        <v>1205</v>
      </c>
      <c r="P86" s="348">
        <v>2</v>
      </c>
      <c r="Q86" s="348" t="s">
        <v>1205</v>
      </c>
    </row>
    <row r="87" spans="1:17" ht="15" hidden="1" customHeight="1">
      <c r="A87" s="163">
        <v>80</v>
      </c>
      <c r="B87" s="53" t="s">
        <v>6</v>
      </c>
      <c r="C87" s="53" t="s">
        <v>7298</v>
      </c>
      <c r="D87" s="53">
        <v>300005656</v>
      </c>
      <c r="E87" s="55" t="s">
        <v>7299</v>
      </c>
      <c r="F87" s="129">
        <v>50</v>
      </c>
      <c r="G87" s="129">
        <v>4500</v>
      </c>
      <c r="H87" s="512">
        <v>121.27</v>
      </c>
      <c r="I87" s="265" t="s">
        <v>1693</v>
      </c>
      <c r="J87" s="265" t="s">
        <v>77</v>
      </c>
      <c r="K87" s="265" t="s">
        <v>7300</v>
      </c>
      <c r="L87" s="348" t="s">
        <v>1205</v>
      </c>
      <c r="M87" s="265">
        <v>0</v>
      </c>
      <c r="N87" s="347">
        <v>0.17</v>
      </c>
      <c r="O87" s="348" t="s">
        <v>1205</v>
      </c>
      <c r="P87" s="348">
        <v>8.5</v>
      </c>
      <c r="Q87" s="348" t="s">
        <v>1205</v>
      </c>
    </row>
    <row r="88" spans="1:17" ht="15" hidden="1" customHeight="1">
      <c r="A88" s="163">
        <v>81</v>
      </c>
      <c r="B88" s="53" t="s">
        <v>6</v>
      </c>
      <c r="C88" s="53" t="s">
        <v>7301</v>
      </c>
      <c r="D88" s="53">
        <v>100028924</v>
      </c>
      <c r="E88" s="55" t="s">
        <v>7302</v>
      </c>
      <c r="F88" s="129">
        <v>100</v>
      </c>
      <c r="G88" s="129">
        <v>3200</v>
      </c>
      <c r="H88" s="512">
        <v>28.85</v>
      </c>
      <c r="I88" s="265" t="s">
        <v>76</v>
      </c>
      <c r="J88" s="265" t="s">
        <v>102</v>
      </c>
      <c r="K88" s="265" t="s">
        <v>7303</v>
      </c>
      <c r="L88" s="348" t="s">
        <v>1205</v>
      </c>
      <c r="M88" s="265" t="s">
        <v>7304</v>
      </c>
      <c r="N88" s="347">
        <v>0.23300000000000001</v>
      </c>
      <c r="O88" s="348" t="s">
        <v>1205</v>
      </c>
      <c r="P88" s="348">
        <v>23.3</v>
      </c>
      <c r="Q88" s="348">
        <v>1.3788503419060438</v>
      </c>
    </row>
    <row r="89" spans="1:17" ht="15" hidden="1" customHeight="1">
      <c r="A89" s="163">
        <v>82</v>
      </c>
      <c r="B89" s="53" t="s">
        <v>6</v>
      </c>
      <c r="C89" s="53" t="s">
        <v>7305</v>
      </c>
      <c r="D89" s="53">
        <v>100028925</v>
      </c>
      <c r="E89" s="55" t="s">
        <v>7306</v>
      </c>
      <c r="F89" s="129">
        <v>50</v>
      </c>
      <c r="G89" s="129">
        <v>1600</v>
      </c>
      <c r="H89" s="512">
        <v>45.43</v>
      </c>
      <c r="I89" s="265" t="s">
        <v>76</v>
      </c>
      <c r="J89" s="265" t="s">
        <v>102</v>
      </c>
      <c r="K89" s="265" t="s">
        <v>7307</v>
      </c>
      <c r="L89" s="348" t="s">
        <v>1205</v>
      </c>
      <c r="M89" s="265" t="s">
        <v>7308</v>
      </c>
      <c r="N89" s="347">
        <v>0.36699999999999999</v>
      </c>
      <c r="O89" s="348" t="s">
        <v>1205</v>
      </c>
      <c r="P89" s="348">
        <v>18.350000000000001</v>
      </c>
      <c r="Q89" s="348">
        <v>1.3788503419060438</v>
      </c>
    </row>
    <row r="90" spans="1:17" ht="15" hidden="1" customHeight="1">
      <c r="A90" s="163">
        <v>83</v>
      </c>
      <c r="B90" s="53" t="s">
        <v>6</v>
      </c>
      <c r="C90" s="53" t="s">
        <v>7309</v>
      </c>
      <c r="D90" s="53">
        <v>100028926</v>
      </c>
      <c r="E90" s="55" t="s">
        <v>7310</v>
      </c>
      <c r="F90" s="129">
        <v>25</v>
      </c>
      <c r="G90" s="129">
        <v>450</v>
      </c>
      <c r="H90" s="512">
        <v>133.56</v>
      </c>
      <c r="I90" s="265" t="s">
        <v>76</v>
      </c>
      <c r="J90" s="265" t="s">
        <v>102</v>
      </c>
      <c r="K90" s="265" t="s">
        <v>7311</v>
      </c>
      <c r="L90" s="348" t="s">
        <v>1205</v>
      </c>
      <c r="M90" s="265" t="s">
        <v>7312</v>
      </c>
      <c r="N90" s="347">
        <v>1.1459999999999999</v>
      </c>
      <c r="O90" s="348" t="s">
        <v>1205</v>
      </c>
      <c r="P90" s="348">
        <v>28.65</v>
      </c>
      <c r="Q90" s="348">
        <v>2.361325291407383</v>
      </c>
    </row>
    <row r="91" spans="1:17" ht="15" hidden="1" customHeight="1">
      <c r="A91" s="163">
        <v>84</v>
      </c>
      <c r="B91" s="53" t="s">
        <v>6</v>
      </c>
      <c r="C91" s="53" t="s">
        <v>7313</v>
      </c>
      <c r="D91" s="53">
        <v>100028927</v>
      </c>
      <c r="E91" s="55" t="s">
        <v>7314</v>
      </c>
      <c r="F91" s="129">
        <v>10</v>
      </c>
      <c r="G91" s="129">
        <v>180</v>
      </c>
      <c r="H91" s="512">
        <v>263.77</v>
      </c>
      <c r="I91" s="265" t="s">
        <v>76</v>
      </c>
      <c r="J91" s="265" t="s">
        <v>102</v>
      </c>
      <c r="K91" s="265" t="s">
        <v>7315</v>
      </c>
      <c r="L91" s="348" t="s">
        <v>1205</v>
      </c>
      <c r="M91" s="265" t="s">
        <v>7316</v>
      </c>
      <c r="N91" s="347">
        <v>2.1269999999999998</v>
      </c>
      <c r="O91" s="348" t="s">
        <v>1205</v>
      </c>
      <c r="P91" s="348">
        <v>21.269999999999996</v>
      </c>
      <c r="Q91" s="348">
        <v>2.361325291407383</v>
      </c>
    </row>
    <row r="92" spans="1:17" ht="15" hidden="1" customHeight="1">
      <c r="A92" s="163">
        <v>85</v>
      </c>
      <c r="B92" s="53" t="s">
        <v>6</v>
      </c>
      <c r="C92" s="53" t="s">
        <v>7317</v>
      </c>
      <c r="D92" s="53">
        <v>100028928</v>
      </c>
      <c r="E92" s="55" t="s">
        <v>7318</v>
      </c>
      <c r="F92" s="129">
        <v>5</v>
      </c>
      <c r="G92" s="129">
        <v>60</v>
      </c>
      <c r="H92" s="512">
        <v>925.67</v>
      </c>
      <c r="I92" s="265" t="s">
        <v>76</v>
      </c>
      <c r="J92" s="265" t="s">
        <v>102</v>
      </c>
      <c r="K92" s="265" t="s">
        <v>7319</v>
      </c>
      <c r="L92" s="348" t="s">
        <v>1205</v>
      </c>
      <c r="M92" s="265" t="s">
        <v>7320</v>
      </c>
      <c r="N92" s="347">
        <v>4.6950000000000003</v>
      </c>
      <c r="O92" s="348" t="s">
        <v>1205</v>
      </c>
      <c r="P92" s="348">
        <v>23.475000000000001</v>
      </c>
      <c r="Q92" s="348">
        <v>2.7986077527791204</v>
      </c>
    </row>
    <row r="93" spans="1:17" ht="15" hidden="1" customHeight="1">
      <c r="A93" s="163">
        <v>86</v>
      </c>
      <c r="B93" s="53" t="s">
        <v>6</v>
      </c>
      <c r="C93" s="53" t="s">
        <v>7321</v>
      </c>
      <c r="D93" s="53">
        <v>300005655</v>
      </c>
      <c r="E93" s="55" t="s">
        <v>7322</v>
      </c>
      <c r="F93" s="129">
        <v>10</v>
      </c>
      <c r="G93" s="129">
        <v>360</v>
      </c>
      <c r="H93" s="512">
        <v>445.65</v>
      </c>
      <c r="I93" s="265" t="s">
        <v>1693</v>
      </c>
      <c r="J93" s="265" t="s">
        <v>77</v>
      </c>
      <c r="K93" s="265" t="s">
        <v>7323</v>
      </c>
      <c r="L93" s="348" t="s">
        <v>1205</v>
      </c>
      <c r="M93" s="265">
        <v>0</v>
      </c>
      <c r="N93" s="347">
        <v>0.11</v>
      </c>
      <c r="O93" s="348" t="s">
        <v>1205</v>
      </c>
      <c r="P93" s="348">
        <v>1.1000000000000001</v>
      </c>
      <c r="Q93" s="348" t="s">
        <v>1205</v>
      </c>
    </row>
    <row r="94" spans="1:17" ht="15" hidden="1" customHeight="1">
      <c r="A94" s="163">
        <v>87</v>
      </c>
      <c r="B94" s="53" t="s">
        <v>6</v>
      </c>
      <c r="C94" s="53" t="s">
        <v>7324</v>
      </c>
      <c r="D94" s="53">
        <v>100028929</v>
      </c>
      <c r="E94" s="55" t="s">
        <v>7325</v>
      </c>
      <c r="F94" s="129">
        <v>100</v>
      </c>
      <c r="G94" s="129">
        <v>3200</v>
      </c>
      <c r="H94" s="512">
        <v>37.369999999999997</v>
      </c>
      <c r="I94" s="265" t="s">
        <v>76</v>
      </c>
      <c r="J94" s="265" t="s">
        <v>102</v>
      </c>
      <c r="K94" s="265" t="s">
        <v>7326</v>
      </c>
      <c r="L94" s="348" t="s">
        <v>1205</v>
      </c>
      <c r="M94" s="265" t="s">
        <v>7327</v>
      </c>
      <c r="N94" s="347">
        <v>0.20799999999999999</v>
      </c>
      <c r="O94" s="348" t="s">
        <v>1205</v>
      </c>
      <c r="P94" s="348">
        <v>20.8</v>
      </c>
      <c r="Q94" s="348">
        <v>1.3788503419060438</v>
      </c>
    </row>
    <row r="95" spans="1:17" ht="15" hidden="1" customHeight="1">
      <c r="A95" s="163">
        <v>88</v>
      </c>
      <c r="B95" s="53" t="s">
        <v>6</v>
      </c>
      <c r="C95" s="53" t="s">
        <v>7328</v>
      </c>
      <c r="D95" s="53">
        <v>100028930</v>
      </c>
      <c r="E95" s="55" t="s">
        <v>7329</v>
      </c>
      <c r="F95" s="129">
        <v>50</v>
      </c>
      <c r="G95" s="129">
        <v>1600</v>
      </c>
      <c r="H95" s="512">
        <v>57.33</v>
      </c>
      <c r="I95" s="265" t="s">
        <v>76</v>
      </c>
      <c r="J95" s="265" t="s">
        <v>102</v>
      </c>
      <c r="K95" s="265" t="s">
        <v>7330</v>
      </c>
      <c r="L95" s="348" t="s">
        <v>1205</v>
      </c>
      <c r="M95" s="265" t="s">
        <v>7331</v>
      </c>
      <c r="N95" s="347">
        <v>0.34399999999999997</v>
      </c>
      <c r="O95" s="348" t="s">
        <v>1205</v>
      </c>
      <c r="P95" s="348">
        <v>17.2</v>
      </c>
      <c r="Q95" s="348">
        <v>1.3788503419060438</v>
      </c>
    </row>
    <row r="96" spans="1:17" ht="15" hidden="1" customHeight="1">
      <c r="A96" s="163">
        <v>89</v>
      </c>
      <c r="B96" s="53" t="s">
        <v>6</v>
      </c>
      <c r="C96" s="53" t="s">
        <v>7332</v>
      </c>
      <c r="D96" s="53">
        <v>100028931</v>
      </c>
      <c r="E96" s="55" t="s">
        <v>7333</v>
      </c>
      <c r="F96" s="129">
        <v>20</v>
      </c>
      <c r="G96" s="129">
        <v>480</v>
      </c>
      <c r="H96" s="512">
        <v>159.69</v>
      </c>
      <c r="I96" s="265" t="s">
        <v>76</v>
      </c>
      <c r="J96" s="265" t="s">
        <v>102</v>
      </c>
      <c r="K96" s="265" t="s">
        <v>7334</v>
      </c>
      <c r="L96" s="348" t="s">
        <v>1205</v>
      </c>
      <c r="M96" s="265" t="s">
        <v>7335</v>
      </c>
      <c r="N96" s="347">
        <v>1.0880000000000001</v>
      </c>
      <c r="O96" s="348" t="s">
        <v>1205</v>
      </c>
      <c r="P96" s="348">
        <v>21.76</v>
      </c>
      <c r="Q96" s="348">
        <v>1.8803145838984718</v>
      </c>
    </row>
    <row r="97" spans="1:17" ht="15" hidden="1" customHeight="1">
      <c r="A97" s="163">
        <v>90</v>
      </c>
      <c r="B97" s="53" t="s">
        <v>6</v>
      </c>
      <c r="C97" s="53" t="s">
        <v>7336</v>
      </c>
      <c r="D97" s="53">
        <v>100028932</v>
      </c>
      <c r="E97" s="55" t="s">
        <v>7337</v>
      </c>
      <c r="F97" s="129">
        <v>10</v>
      </c>
      <c r="G97" s="129">
        <v>240</v>
      </c>
      <c r="H97" s="512">
        <v>266.95</v>
      </c>
      <c r="I97" s="265" t="s">
        <v>76</v>
      </c>
      <c r="J97" s="265" t="s">
        <v>102</v>
      </c>
      <c r="K97" s="265" t="s">
        <v>7338</v>
      </c>
      <c r="L97" s="348" t="s">
        <v>1205</v>
      </c>
      <c r="M97" s="265" t="s">
        <v>7339</v>
      </c>
      <c r="N97" s="347">
        <v>2.0289999999999999</v>
      </c>
      <c r="O97" s="348" t="s">
        <v>1205</v>
      </c>
      <c r="P97" s="348">
        <v>20.29</v>
      </c>
      <c r="Q97" s="348">
        <v>1.8803145838984718</v>
      </c>
    </row>
    <row r="98" spans="1:17" ht="15" hidden="1" customHeight="1">
      <c r="A98" s="163">
        <v>91</v>
      </c>
      <c r="B98" s="53" t="s">
        <v>6</v>
      </c>
      <c r="C98" s="53" t="s">
        <v>7340</v>
      </c>
      <c r="D98" s="53">
        <v>100028933</v>
      </c>
      <c r="E98" s="55" t="s">
        <v>7341</v>
      </c>
      <c r="F98" s="129">
        <v>5</v>
      </c>
      <c r="G98" s="129">
        <v>60</v>
      </c>
      <c r="H98" s="512">
        <v>1193.94</v>
      </c>
      <c r="I98" s="265" t="s">
        <v>76</v>
      </c>
      <c r="J98" s="265" t="s">
        <v>102</v>
      </c>
      <c r="K98" s="265" t="s">
        <v>7342</v>
      </c>
      <c r="L98" s="348" t="s">
        <v>1205</v>
      </c>
      <c r="M98" s="265" t="s">
        <v>7343</v>
      </c>
      <c r="N98" s="347">
        <v>4.7229999999999999</v>
      </c>
      <c r="O98" s="348" t="s">
        <v>1205</v>
      </c>
      <c r="P98" s="348">
        <v>23.614999999999998</v>
      </c>
      <c r="Q98" s="348">
        <v>2.7986077527791204</v>
      </c>
    </row>
    <row r="99" spans="1:17" ht="15" hidden="1" customHeight="1">
      <c r="A99" s="163">
        <v>92</v>
      </c>
      <c r="B99" s="53" t="s">
        <v>6</v>
      </c>
      <c r="C99" s="53" t="s">
        <v>7344</v>
      </c>
      <c r="D99" s="53">
        <v>100028934</v>
      </c>
      <c r="E99" s="55" t="s">
        <v>7345</v>
      </c>
      <c r="F99" s="129">
        <v>25</v>
      </c>
      <c r="G99" s="129">
        <v>450</v>
      </c>
      <c r="H99" s="512">
        <v>230.5</v>
      </c>
      <c r="I99" s="265" t="s">
        <v>76</v>
      </c>
      <c r="J99" s="265" t="s">
        <v>102</v>
      </c>
      <c r="K99" s="265" t="s">
        <v>7346</v>
      </c>
      <c r="L99" s="348" t="s">
        <v>1205</v>
      </c>
      <c r="M99" s="265" t="s">
        <v>7347</v>
      </c>
      <c r="N99" s="347">
        <v>1.1759999999999999</v>
      </c>
      <c r="O99" s="348" t="s">
        <v>1205</v>
      </c>
      <c r="P99" s="348">
        <v>29.4</v>
      </c>
      <c r="Q99" s="348">
        <v>2.361325291407383</v>
      </c>
    </row>
    <row r="100" spans="1:17" ht="15" hidden="1" customHeight="1">
      <c r="A100" s="163">
        <v>93</v>
      </c>
      <c r="B100" s="53" t="s">
        <v>6</v>
      </c>
      <c r="C100" s="53" t="s">
        <v>7348</v>
      </c>
      <c r="D100" s="53">
        <v>300005657</v>
      </c>
      <c r="E100" s="55" t="s">
        <v>7349</v>
      </c>
      <c r="F100" s="129">
        <v>15</v>
      </c>
      <c r="G100" s="129">
        <v>180</v>
      </c>
      <c r="H100" s="512">
        <v>984.7</v>
      </c>
      <c r="I100" s="265" t="s">
        <v>1693</v>
      </c>
      <c r="J100" s="265" t="s">
        <v>77</v>
      </c>
      <c r="K100" s="265" t="s">
        <v>7350</v>
      </c>
      <c r="L100" s="348" t="s">
        <v>1205</v>
      </c>
      <c r="M100" s="265">
        <v>0</v>
      </c>
      <c r="N100" s="347">
        <v>1.84</v>
      </c>
      <c r="O100" s="348" t="s">
        <v>1205</v>
      </c>
      <c r="P100" s="348">
        <v>27.6</v>
      </c>
      <c r="Q100" s="348" t="s">
        <v>1205</v>
      </c>
    </row>
    <row r="101" spans="1:17" ht="15" hidden="1" customHeight="1">
      <c r="A101" s="163">
        <v>94</v>
      </c>
      <c r="B101" s="53" t="s">
        <v>6</v>
      </c>
      <c r="C101" s="53" t="s">
        <v>7351</v>
      </c>
      <c r="D101" s="53">
        <v>100028936</v>
      </c>
      <c r="E101" s="55" t="s">
        <v>7352</v>
      </c>
      <c r="F101" s="129">
        <v>50</v>
      </c>
      <c r="G101" s="129">
        <v>2250</v>
      </c>
      <c r="H101" s="512">
        <v>66.97</v>
      </c>
      <c r="I101" s="265" t="s">
        <v>359</v>
      </c>
      <c r="J101" s="265" t="s">
        <v>102</v>
      </c>
      <c r="K101" s="265" t="s">
        <v>7353</v>
      </c>
      <c r="L101" s="348" t="s">
        <v>1205</v>
      </c>
      <c r="M101" s="265" t="s">
        <v>7354</v>
      </c>
      <c r="N101" s="347">
        <v>0.3</v>
      </c>
      <c r="O101" s="348" t="s">
        <v>1205</v>
      </c>
      <c r="P101" s="348">
        <v>15</v>
      </c>
      <c r="Q101" s="348">
        <v>0.98955954024750914</v>
      </c>
    </row>
    <row r="102" spans="1:17" ht="15" hidden="1" customHeight="1">
      <c r="A102" s="163">
        <v>95</v>
      </c>
      <c r="B102" s="53" t="s">
        <v>6</v>
      </c>
      <c r="C102" s="53" t="s">
        <v>7355</v>
      </c>
      <c r="D102" s="53">
        <v>100028937</v>
      </c>
      <c r="E102" s="55" t="s">
        <v>7356</v>
      </c>
      <c r="F102" s="129">
        <v>25</v>
      </c>
      <c r="G102" s="129">
        <v>800</v>
      </c>
      <c r="H102" s="512">
        <v>74.569999999999993</v>
      </c>
      <c r="I102" s="265" t="s">
        <v>76</v>
      </c>
      <c r="J102" s="265" t="s">
        <v>102</v>
      </c>
      <c r="K102" s="265" t="s">
        <v>7357</v>
      </c>
      <c r="L102" s="348" t="s">
        <v>1205</v>
      </c>
      <c r="M102" s="265" t="s">
        <v>7358</v>
      </c>
      <c r="N102" s="347">
        <v>0.51</v>
      </c>
      <c r="O102" s="348" t="s">
        <v>1205</v>
      </c>
      <c r="P102" s="348">
        <v>12.75</v>
      </c>
      <c r="Q102" s="348">
        <v>1.3788503419060438</v>
      </c>
    </row>
    <row r="103" spans="1:17" ht="15" hidden="1" customHeight="1">
      <c r="A103" s="163">
        <v>96</v>
      </c>
      <c r="B103" s="53" t="s">
        <v>6</v>
      </c>
      <c r="C103" s="53" t="s">
        <v>7359</v>
      </c>
      <c r="D103" s="53">
        <v>100028938</v>
      </c>
      <c r="E103" s="55" t="s">
        <v>7360</v>
      </c>
      <c r="F103" s="129">
        <v>10</v>
      </c>
      <c r="G103" s="129">
        <v>320</v>
      </c>
      <c r="H103" s="512">
        <v>171.71</v>
      </c>
      <c r="I103" s="265" t="s">
        <v>76</v>
      </c>
      <c r="J103" s="265" t="s">
        <v>102</v>
      </c>
      <c r="K103" s="265" t="s">
        <v>7361</v>
      </c>
      <c r="L103" s="348" t="s">
        <v>1205</v>
      </c>
      <c r="M103" s="265" t="s">
        <v>7362</v>
      </c>
      <c r="N103" s="347">
        <v>1.476</v>
      </c>
      <c r="O103" s="348" t="s">
        <v>1205</v>
      </c>
      <c r="P103" s="348">
        <v>14.76</v>
      </c>
      <c r="Q103" s="348">
        <v>1.3788503419060438</v>
      </c>
    </row>
    <row r="104" spans="1:17" ht="15" hidden="1" customHeight="1">
      <c r="A104" s="163">
        <v>97</v>
      </c>
      <c r="B104" s="53" t="s">
        <v>6</v>
      </c>
      <c r="C104" s="53" t="s">
        <v>7363</v>
      </c>
      <c r="D104" s="53">
        <v>100028939</v>
      </c>
      <c r="E104" s="55" t="s">
        <v>7364</v>
      </c>
      <c r="F104" s="129">
        <v>5</v>
      </c>
      <c r="G104" s="129">
        <v>160</v>
      </c>
      <c r="H104" s="512">
        <v>324.70999999999998</v>
      </c>
      <c r="I104" s="265" t="s">
        <v>76</v>
      </c>
      <c r="J104" s="265" t="s">
        <v>102</v>
      </c>
      <c r="K104" s="265" t="s">
        <v>7365</v>
      </c>
      <c r="L104" s="348" t="s">
        <v>1205</v>
      </c>
      <c r="M104" s="265" t="s">
        <v>7366</v>
      </c>
      <c r="N104" s="347">
        <v>2.6579999999999999</v>
      </c>
      <c r="O104" s="348" t="s">
        <v>1205</v>
      </c>
      <c r="P104" s="348">
        <v>13.29</v>
      </c>
      <c r="Q104" s="348">
        <v>1.3788503419060438</v>
      </c>
    </row>
    <row r="105" spans="1:17" ht="15" hidden="1" customHeight="1">
      <c r="A105" s="163">
        <v>98</v>
      </c>
      <c r="B105" s="53" t="s">
        <v>6</v>
      </c>
      <c r="C105" s="53" t="s">
        <v>7367</v>
      </c>
      <c r="D105" s="53">
        <v>100028940</v>
      </c>
      <c r="E105" s="55" t="s">
        <v>7368</v>
      </c>
      <c r="F105" s="129">
        <v>3</v>
      </c>
      <c r="G105" s="129">
        <v>36</v>
      </c>
      <c r="H105" s="512">
        <v>1294.74</v>
      </c>
      <c r="I105" s="265" t="s">
        <v>76</v>
      </c>
      <c r="J105" s="265" t="s">
        <v>102</v>
      </c>
      <c r="K105" s="265" t="s">
        <v>7369</v>
      </c>
      <c r="L105" s="348" t="s">
        <v>1205</v>
      </c>
      <c r="M105" s="265" t="s">
        <v>7370</v>
      </c>
      <c r="N105" s="347">
        <v>7.2</v>
      </c>
      <c r="O105" s="348" t="s">
        <v>1205</v>
      </c>
      <c r="P105" s="348">
        <v>21.6</v>
      </c>
      <c r="Q105" s="348">
        <v>3.6731726755225957</v>
      </c>
    </row>
    <row r="106" spans="1:17" ht="15" hidden="1" customHeight="1">
      <c r="A106" s="163">
        <v>99</v>
      </c>
      <c r="B106" s="53" t="s">
        <v>6</v>
      </c>
      <c r="C106" s="53" t="s">
        <v>7371</v>
      </c>
      <c r="D106" s="53">
        <v>300005658</v>
      </c>
      <c r="E106" s="55" t="s">
        <v>7372</v>
      </c>
      <c r="F106" s="129">
        <v>10</v>
      </c>
      <c r="G106" s="129">
        <v>2250</v>
      </c>
      <c r="H106" s="512">
        <v>96.74</v>
      </c>
      <c r="I106" s="265" t="s">
        <v>1693</v>
      </c>
      <c r="J106" s="265" t="s">
        <v>77</v>
      </c>
      <c r="K106" s="265" t="s">
        <v>7373</v>
      </c>
      <c r="L106" s="348" t="s">
        <v>1205</v>
      </c>
      <c r="M106" s="265">
        <v>0</v>
      </c>
      <c r="N106" s="347">
        <v>0.27</v>
      </c>
      <c r="O106" s="348" t="s">
        <v>1205</v>
      </c>
      <c r="P106" s="348">
        <v>2.7</v>
      </c>
      <c r="Q106" s="348" t="s">
        <v>1205</v>
      </c>
    </row>
    <row r="107" spans="1:17" ht="15" hidden="1" customHeight="1">
      <c r="A107" s="163">
        <v>100</v>
      </c>
      <c r="B107" s="53" t="s">
        <v>6</v>
      </c>
      <c r="C107" s="53" t="s">
        <v>7374</v>
      </c>
      <c r="D107" s="53">
        <v>100028942</v>
      </c>
      <c r="E107" s="55" t="s">
        <v>7375</v>
      </c>
      <c r="F107" s="129">
        <v>25</v>
      </c>
      <c r="G107" s="129">
        <v>1125</v>
      </c>
      <c r="H107" s="512">
        <v>122.9</v>
      </c>
      <c r="I107" s="265" t="s">
        <v>76</v>
      </c>
      <c r="J107" s="265" t="s">
        <v>102</v>
      </c>
      <c r="K107" s="265" t="s">
        <v>7376</v>
      </c>
      <c r="L107" s="348" t="s">
        <v>1205</v>
      </c>
      <c r="M107" s="265" t="s">
        <v>7377</v>
      </c>
      <c r="N107" s="347">
        <v>0.44</v>
      </c>
      <c r="O107" s="348" t="s">
        <v>1205</v>
      </c>
      <c r="P107" s="348">
        <v>11</v>
      </c>
      <c r="Q107" s="348">
        <v>0.98955954024750914</v>
      </c>
    </row>
    <row r="108" spans="1:17" ht="15" hidden="1" customHeight="1">
      <c r="A108" s="163">
        <v>101</v>
      </c>
      <c r="B108" s="53" t="s">
        <v>6</v>
      </c>
      <c r="C108" s="53" t="s">
        <v>7378</v>
      </c>
      <c r="D108" s="53">
        <v>100028943</v>
      </c>
      <c r="E108" s="55" t="s">
        <v>7379</v>
      </c>
      <c r="F108" s="129">
        <v>20</v>
      </c>
      <c r="G108" s="129">
        <v>360</v>
      </c>
      <c r="H108" s="512">
        <v>305.94</v>
      </c>
      <c r="I108" s="265" t="s">
        <v>76</v>
      </c>
      <c r="J108" s="265" t="s">
        <v>102</v>
      </c>
      <c r="K108" s="265" t="s">
        <v>7380</v>
      </c>
      <c r="L108" s="348" t="s">
        <v>1205</v>
      </c>
      <c r="M108" s="265" t="s">
        <v>7381</v>
      </c>
      <c r="N108" s="347">
        <v>1.2549999999999999</v>
      </c>
      <c r="O108" s="348" t="s">
        <v>1205</v>
      </c>
      <c r="P108" s="348">
        <v>25.099999999999998</v>
      </c>
      <c r="Q108" s="348">
        <v>2.361325291407383</v>
      </c>
    </row>
    <row r="109" spans="1:17" ht="15" hidden="1" customHeight="1">
      <c r="A109" s="163">
        <v>102</v>
      </c>
      <c r="B109" s="53" t="s">
        <v>6</v>
      </c>
      <c r="C109" s="53" t="s">
        <v>7382</v>
      </c>
      <c r="D109" s="53">
        <v>100028944</v>
      </c>
      <c r="E109" s="55" t="s">
        <v>7383</v>
      </c>
      <c r="F109" s="129">
        <v>5</v>
      </c>
      <c r="G109" s="129">
        <v>160</v>
      </c>
      <c r="H109" s="512">
        <v>471.25</v>
      </c>
      <c r="I109" s="265" t="s">
        <v>359</v>
      </c>
      <c r="J109" s="265" t="s">
        <v>102</v>
      </c>
      <c r="K109" s="265" t="s">
        <v>7384</v>
      </c>
      <c r="L109" s="348" t="s">
        <v>1205</v>
      </c>
      <c r="M109" s="265" t="s">
        <v>7385</v>
      </c>
      <c r="N109" s="347">
        <v>2.52</v>
      </c>
      <c r="O109" s="348" t="s">
        <v>1205</v>
      </c>
      <c r="P109" s="348">
        <v>12.6</v>
      </c>
      <c r="Q109" s="348">
        <v>1.3788503419060438</v>
      </c>
    </row>
    <row r="110" spans="1:17" ht="15" hidden="1" customHeight="1">
      <c r="A110" s="163">
        <v>103</v>
      </c>
      <c r="B110" s="53" t="s">
        <v>6</v>
      </c>
      <c r="C110" s="53" t="s">
        <v>7386</v>
      </c>
      <c r="D110" s="53">
        <v>100028947</v>
      </c>
      <c r="E110" s="55" t="s">
        <v>7387</v>
      </c>
      <c r="F110" s="129">
        <v>40</v>
      </c>
      <c r="G110" s="129">
        <v>2520</v>
      </c>
      <c r="H110" s="512">
        <v>67.260000000000005</v>
      </c>
      <c r="I110" s="265" t="s">
        <v>76</v>
      </c>
      <c r="J110" s="265" t="s">
        <v>102</v>
      </c>
      <c r="K110" s="265" t="s">
        <v>7388</v>
      </c>
      <c r="L110" s="348" t="s">
        <v>1205</v>
      </c>
      <c r="M110" s="265" t="s">
        <v>7389</v>
      </c>
      <c r="N110" s="347">
        <v>0.21199999999999999</v>
      </c>
      <c r="O110" s="348" t="s">
        <v>1205</v>
      </c>
      <c r="P110" s="348">
        <v>8.48</v>
      </c>
      <c r="Q110" s="348">
        <v>0.66940792428507967</v>
      </c>
    </row>
    <row r="111" spans="1:17" ht="15" hidden="1" customHeight="1">
      <c r="A111" s="163">
        <v>104</v>
      </c>
      <c r="B111" s="53" t="s">
        <v>6</v>
      </c>
      <c r="C111" s="53" t="s">
        <v>7390</v>
      </c>
      <c r="D111" s="53">
        <v>100028948</v>
      </c>
      <c r="E111" s="55" t="s">
        <v>7391</v>
      </c>
      <c r="F111" s="129">
        <v>25</v>
      </c>
      <c r="G111" s="129">
        <v>1575</v>
      </c>
      <c r="H111" s="512">
        <v>78.209999999999994</v>
      </c>
      <c r="I111" s="265" t="s">
        <v>359</v>
      </c>
      <c r="J111" s="265" t="s">
        <v>102</v>
      </c>
      <c r="K111" s="265" t="s">
        <v>7392</v>
      </c>
      <c r="L111" s="348" t="s">
        <v>1205</v>
      </c>
      <c r="M111" s="265" t="s">
        <v>7393</v>
      </c>
      <c r="N111" s="347">
        <v>0.309</v>
      </c>
      <c r="O111" s="348" t="s">
        <v>1205</v>
      </c>
      <c r="P111" s="348">
        <v>7.7249999999999996</v>
      </c>
      <c r="Q111" s="348">
        <v>0.66940792428507967</v>
      </c>
    </row>
    <row r="112" spans="1:17" ht="15" hidden="1" customHeight="1">
      <c r="A112" s="163">
        <v>105</v>
      </c>
      <c r="B112" s="53" t="s">
        <v>6</v>
      </c>
      <c r="C112" s="53" t="s">
        <v>7394</v>
      </c>
      <c r="D112" s="53">
        <v>100028949</v>
      </c>
      <c r="E112" s="55" t="s">
        <v>7395</v>
      </c>
      <c r="F112" s="129">
        <v>20</v>
      </c>
      <c r="G112" s="129">
        <v>640</v>
      </c>
      <c r="H112" s="512">
        <v>288.89999999999998</v>
      </c>
      <c r="I112" s="265" t="s">
        <v>76</v>
      </c>
      <c r="J112" s="265" t="s">
        <v>102</v>
      </c>
      <c r="K112" s="265" t="s">
        <v>7396</v>
      </c>
      <c r="L112" s="348" t="s">
        <v>1205</v>
      </c>
      <c r="M112" s="265" t="s">
        <v>7397</v>
      </c>
      <c r="N112" s="347">
        <v>0.93500000000000005</v>
      </c>
      <c r="O112" s="348" t="s">
        <v>1205</v>
      </c>
      <c r="P112" s="348">
        <v>18.700000000000003</v>
      </c>
      <c r="Q112" s="348">
        <v>1.3788503419060438</v>
      </c>
    </row>
    <row r="113" spans="1:17" ht="15" hidden="1" customHeight="1">
      <c r="A113" s="163">
        <v>106</v>
      </c>
      <c r="B113" s="53" t="s">
        <v>6</v>
      </c>
      <c r="C113" s="53" t="s">
        <v>7398</v>
      </c>
      <c r="D113" s="53">
        <v>100028950</v>
      </c>
      <c r="E113" s="55" t="s">
        <v>7399</v>
      </c>
      <c r="F113" s="129">
        <v>10</v>
      </c>
      <c r="G113" s="129">
        <v>320</v>
      </c>
      <c r="H113" s="512">
        <v>385.06</v>
      </c>
      <c r="I113" s="265" t="s">
        <v>76</v>
      </c>
      <c r="J113" s="265" t="s">
        <v>102</v>
      </c>
      <c r="K113" s="265" t="s">
        <v>7400</v>
      </c>
      <c r="L113" s="348" t="s">
        <v>1205</v>
      </c>
      <c r="M113" s="265" t="s">
        <v>7401</v>
      </c>
      <c r="N113" s="347">
        <v>1.66</v>
      </c>
      <c r="O113" s="348" t="s">
        <v>1205</v>
      </c>
      <c r="P113" s="348">
        <v>16.599999999999998</v>
      </c>
      <c r="Q113" s="348">
        <v>1.3788503419060438</v>
      </c>
    </row>
    <row r="114" spans="1:17" ht="15" hidden="1" customHeight="1">
      <c r="A114" s="163">
        <v>107</v>
      </c>
      <c r="B114" s="53" t="s">
        <v>6</v>
      </c>
      <c r="C114" s="53" t="s">
        <v>7402</v>
      </c>
      <c r="D114" s="53">
        <v>300005659</v>
      </c>
      <c r="E114" s="55" t="s">
        <v>7403</v>
      </c>
      <c r="F114" s="129">
        <v>40</v>
      </c>
      <c r="G114" s="129">
        <v>3200</v>
      </c>
      <c r="H114" s="512">
        <v>147.13999999999999</v>
      </c>
      <c r="I114" s="265" t="s">
        <v>1693</v>
      </c>
      <c r="J114" s="265" t="s">
        <v>77</v>
      </c>
      <c r="K114" s="265" t="s">
        <v>7404</v>
      </c>
      <c r="L114" s="348" t="s">
        <v>1205</v>
      </c>
      <c r="M114" s="265">
        <v>0</v>
      </c>
      <c r="N114" s="347">
        <v>0.16800000000000001</v>
      </c>
      <c r="O114" s="348" t="s">
        <v>1205</v>
      </c>
      <c r="P114" s="348">
        <v>6.7200000000000006</v>
      </c>
      <c r="Q114" s="348" t="s">
        <v>1205</v>
      </c>
    </row>
    <row r="115" spans="1:17" ht="15" hidden="1" customHeight="1">
      <c r="A115" s="163">
        <v>108</v>
      </c>
      <c r="B115" s="53" t="s">
        <v>6</v>
      </c>
      <c r="C115" s="53" t="s">
        <v>7405</v>
      </c>
      <c r="D115" s="53">
        <v>100028952</v>
      </c>
      <c r="E115" s="55" t="s">
        <v>7406</v>
      </c>
      <c r="F115" s="129">
        <v>25</v>
      </c>
      <c r="G115" s="129">
        <v>1575</v>
      </c>
      <c r="H115" s="512">
        <v>157.16</v>
      </c>
      <c r="I115" s="265" t="s">
        <v>359</v>
      </c>
      <c r="J115" s="265" t="s">
        <v>102</v>
      </c>
      <c r="K115" s="265" t="s">
        <v>7407</v>
      </c>
      <c r="L115" s="348" t="s">
        <v>1205</v>
      </c>
      <c r="M115" s="265" t="s">
        <v>7408</v>
      </c>
      <c r="N115" s="347">
        <v>0.318</v>
      </c>
      <c r="O115" s="348" t="s">
        <v>1205</v>
      </c>
      <c r="P115" s="348">
        <v>7.95</v>
      </c>
      <c r="Q115" s="348">
        <v>0.66940792428507967</v>
      </c>
    </row>
    <row r="116" spans="1:17" ht="15" hidden="1" customHeight="1">
      <c r="A116" s="163">
        <v>109</v>
      </c>
      <c r="B116" s="53" t="s">
        <v>6</v>
      </c>
      <c r="C116" s="53" t="s">
        <v>7409</v>
      </c>
      <c r="D116" s="53">
        <v>100028953</v>
      </c>
      <c r="E116" s="55" t="s">
        <v>7410</v>
      </c>
      <c r="F116" s="129">
        <v>20</v>
      </c>
      <c r="G116" s="129">
        <v>480</v>
      </c>
      <c r="H116" s="512">
        <v>338.96</v>
      </c>
      <c r="I116" s="265" t="s">
        <v>76</v>
      </c>
      <c r="J116" s="265" t="s">
        <v>102</v>
      </c>
      <c r="K116" s="265" t="s">
        <v>7411</v>
      </c>
      <c r="L116" s="348" t="s">
        <v>1205</v>
      </c>
      <c r="M116" s="265" t="s">
        <v>7412</v>
      </c>
      <c r="N116" s="347">
        <v>0.88800000000000001</v>
      </c>
      <c r="O116" s="348" t="s">
        <v>1205</v>
      </c>
      <c r="P116" s="348">
        <v>17.760000000000002</v>
      </c>
      <c r="Q116" s="348">
        <v>1.8803145838984718</v>
      </c>
    </row>
    <row r="117" spans="1:17" ht="15" hidden="1" customHeight="1">
      <c r="A117" s="163">
        <v>110</v>
      </c>
      <c r="B117" s="53" t="s">
        <v>6</v>
      </c>
      <c r="C117" s="53" t="s">
        <v>7413</v>
      </c>
      <c r="D117" s="53">
        <v>300005660</v>
      </c>
      <c r="E117" s="55" t="s">
        <v>7414</v>
      </c>
      <c r="F117" s="129">
        <v>10</v>
      </c>
      <c r="G117" s="129">
        <v>320</v>
      </c>
      <c r="H117" s="512">
        <v>1175.19</v>
      </c>
      <c r="I117" s="265" t="s">
        <v>1693</v>
      </c>
      <c r="J117" s="265" t="s">
        <v>77</v>
      </c>
      <c r="K117" s="265" t="s">
        <v>7415</v>
      </c>
      <c r="L117" s="348" t="s">
        <v>1205</v>
      </c>
      <c r="M117" s="265">
        <v>0</v>
      </c>
      <c r="N117" s="347">
        <v>1.431</v>
      </c>
      <c r="O117" s="348" t="s">
        <v>1205</v>
      </c>
      <c r="P117" s="348">
        <v>14.31</v>
      </c>
      <c r="Q117" s="348" t="s">
        <v>1205</v>
      </c>
    </row>
    <row r="118" spans="1:17" ht="15" hidden="1" customHeight="1">
      <c r="A118" s="163">
        <v>111</v>
      </c>
      <c r="B118" s="53" t="s">
        <v>6</v>
      </c>
      <c r="C118" s="53" t="s">
        <v>7416</v>
      </c>
      <c r="D118" s="53">
        <v>100028955</v>
      </c>
      <c r="E118" s="55" t="s">
        <v>7417</v>
      </c>
      <c r="F118" s="129">
        <v>100</v>
      </c>
      <c r="G118" s="129">
        <v>3200</v>
      </c>
      <c r="H118" s="512">
        <v>28.23</v>
      </c>
      <c r="I118" s="265" t="s">
        <v>76</v>
      </c>
      <c r="J118" s="265" t="s">
        <v>102</v>
      </c>
      <c r="K118" s="265" t="s">
        <v>7418</v>
      </c>
      <c r="L118" s="348" t="s">
        <v>1205</v>
      </c>
      <c r="M118" s="265" t="s">
        <v>7419</v>
      </c>
      <c r="N118" s="347">
        <v>0.20100000000000001</v>
      </c>
      <c r="O118" s="348" t="s">
        <v>1205</v>
      </c>
      <c r="P118" s="348">
        <v>20.100000000000001</v>
      </c>
      <c r="Q118" s="348">
        <v>1.3788503419060438</v>
      </c>
    </row>
    <row r="119" spans="1:17" ht="15" hidden="1" customHeight="1">
      <c r="A119" s="163">
        <v>112</v>
      </c>
      <c r="B119" s="53" t="s">
        <v>6</v>
      </c>
      <c r="C119" s="53" t="s">
        <v>7420</v>
      </c>
      <c r="D119" s="53">
        <v>100028956</v>
      </c>
      <c r="E119" s="55" t="s">
        <v>7421</v>
      </c>
      <c r="F119" s="129">
        <v>50</v>
      </c>
      <c r="G119" s="129">
        <v>1600</v>
      </c>
      <c r="H119" s="512">
        <v>42.12</v>
      </c>
      <c r="I119" s="265" t="s">
        <v>76</v>
      </c>
      <c r="J119" s="265" t="s">
        <v>102</v>
      </c>
      <c r="K119" s="265" t="s">
        <v>7422</v>
      </c>
      <c r="L119" s="348" t="s">
        <v>1205</v>
      </c>
      <c r="M119" s="265" t="s">
        <v>7423</v>
      </c>
      <c r="N119" s="347">
        <v>0.35599999999999998</v>
      </c>
      <c r="O119" s="348" t="s">
        <v>1205</v>
      </c>
      <c r="P119" s="348">
        <v>17.8</v>
      </c>
      <c r="Q119" s="348">
        <v>1.3788503419060438</v>
      </c>
    </row>
    <row r="120" spans="1:17" ht="15" hidden="1" customHeight="1">
      <c r="A120" s="163">
        <v>113</v>
      </c>
      <c r="B120" s="53" t="s">
        <v>6</v>
      </c>
      <c r="C120" s="53" t="s">
        <v>7424</v>
      </c>
      <c r="D120" s="53">
        <v>100028957</v>
      </c>
      <c r="E120" s="55" t="s">
        <v>7425</v>
      </c>
      <c r="F120" s="129">
        <v>20</v>
      </c>
      <c r="G120" s="129">
        <v>480</v>
      </c>
      <c r="H120" s="512">
        <v>119.59</v>
      </c>
      <c r="I120" s="265" t="s">
        <v>76</v>
      </c>
      <c r="J120" s="265" t="s">
        <v>102</v>
      </c>
      <c r="K120" s="265" t="s">
        <v>7426</v>
      </c>
      <c r="L120" s="348" t="s">
        <v>1205</v>
      </c>
      <c r="M120" s="265" t="s">
        <v>7427</v>
      </c>
      <c r="N120" s="347">
        <v>1.0109999999999999</v>
      </c>
      <c r="O120" s="348" t="s">
        <v>1205</v>
      </c>
      <c r="P120" s="348">
        <v>20.22</v>
      </c>
      <c r="Q120" s="348">
        <v>1.8803145838984718</v>
      </c>
    </row>
    <row r="121" spans="1:17" ht="15" hidden="1" customHeight="1">
      <c r="A121" s="163">
        <v>114</v>
      </c>
      <c r="B121" s="53" t="s">
        <v>6</v>
      </c>
      <c r="C121" s="53" t="s">
        <v>7428</v>
      </c>
      <c r="D121" s="53">
        <v>100028958</v>
      </c>
      <c r="E121" s="55" t="s">
        <v>7429</v>
      </c>
      <c r="F121" s="129">
        <v>10</v>
      </c>
      <c r="G121" s="129">
        <v>240</v>
      </c>
      <c r="H121" s="512">
        <v>219.08</v>
      </c>
      <c r="I121" s="265" t="s">
        <v>76</v>
      </c>
      <c r="J121" s="265" t="s">
        <v>102</v>
      </c>
      <c r="K121" s="265" t="s">
        <v>7430</v>
      </c>
      <c r="L121" s="348" t="s">
        <v>1205</v>
      </c>
      <c r="M121" s="265" t="s">
        <v>7431</v>
      </c>
      <c r="N121" s="347">
        <v>1.8540000000000001</v>
      </c>
      <c r="O121" s="348" t="s">
        <v>1205</v>
      </c>
      <c r="P121" s="348">
        <v>18.54</v>
      </c>
      <c r="Q121" s="348">
        <v>1.8803145838984718</v>
      </c>
    </row>
    <row r="122" spans="1:17" ht="15" hidden="1" customHeight="1">
      <c r="A122" s="163">
        <v>115</v>
      </c>
      <c r="B122" s="53" t="s">
        <v>6</v>
      </c>
      <c r="C122" s="53" t="s">
        <v>7432</v>
      </c>
      <c r="D122" s="53">
        <v>100028959</v>
      </c>
      <c r="E122" s="55" t="s">
        <v>7433</v>
      </c>
      <c r="F122" s="129">
        <v>3</v>
      </c>
      <c r="G122" s="129">
        <v>72</v>
      </c>
      <c r="H122" s="512">
        <v>811.2</v>
      </c>
      <c r="I122" s="265" t="s">
        <v>76</v>
      </c>
      <c r="J122" s="265" t="s">
        <v>102</v>
      </c>
      <c r="K122" s="265" t="s">
        <v>7434</v>
      </c>
      <c r="L122" s="348" t="s">
        <v>1205</v>
      </c>
      <c r="M122" s="265" t="s">
        <v>7435</v>
      </c>
      <c r="N122" s="347">
        <v>3.9820000000000002</v>
      </c>
      <c r="O122" s="348" t="s">
        <v>1205</v>
      </c>
      <c r="P122" s="348">
        <v>11.946000000000002</v>
      </c>
      <c r="Q122" s="348">
        <v>1.8803145838984718</v>
      </c>
    </row>
    <row r="123" spans="1:17" ht="15" hidden="1" customHeight="1">
      <c r="A123" s="163">
        <v>116</v>
      </c>
      <c r="B123" s="53" t="s">
        <v>6</v>
      </c>
      <c r="C123" s="53" t="s">
        <v>7436</v>
      </c>
      <c r="D123" s="53">
        <v>100028960</v>
      </c>
      <c r="E123" s="55" t="s">
        <v>7437</v>
      </c>
      <c r="F123" s="129">
        <v>100</v>
      </c>
      <c r="G123" s="129">
        <v>3200</v>
      </c>
      <c r="H123" s="512">
        <v>27.07</v>
      </c>
      <c r="I123" s="265" t="s">
        <v>76</v>
      </c>
      <c r="J123" s="265" t="s">
        <v>102</v>
      </c>
      <c r="K123" s="265" t="s">
        <v>7438</v>
      </c>
      <c r="L123" s="348" t="s">
        <v>1205</v>
      </c>
      <c r="M123" s="265" t="s">
        <v>7439</v>
      </c>
      <c r="N123" s="347">
        <v>0.192</v>
      </c>
      <c r="O123" s="348" t="s">
        <v>1205</v>
      </c>
      <c r="P123" s="348">
        <v>19.2</v>
      </c>
      <c r="Q123" s="348">
        <v>1.3788503419060438</v>
      </c>
    </row>
    <row r="124" spans="1:17" ht="15" hidden="1" customHeight="1">
      <c r="A124" s="163">
        <v>117</v>
      </c>
      <c r="B124" s="53" t="s">
        <v>6</v>
      </c>
      <c r="C124" s="53" t="s">
        <v>7440</v>
      </c>
      <c r="D124" s="53">
        <v>100028961</v>
      </c>
      <c r="E124" s="55" t="s">
        <v>7441</v>
      </c>
      <c r="F124" s="129">
        <v>50</v>
      </c>
      <c r="G124" s="129">
        <v>1600</v>
      </c>
      <c r="H124" s="512">
        <v>42.94</v>
      </c>
      <c r="I124" s="265" t="s">
        <v>76</v>
      </c>
      <c r="J124" s="265" t="s">
        <v>102</v>
      </c>
      <c r="K124" s="265" t="s">
        <v>7442</v>
      </c>
      <c r="L124" s="348" t="s">
        <v>1205</v>
      </c>
      <c r="M124" s="265" t="s">
        <v>7443</v>
      </c>
      <c r="N124" s="347">
        <v>0.31</v>
      </c>
      <c r="O124" s="348" t="s">
        <v>1205</v>
      </c>
      <c r="P124" s="348">
        <v>15.5</v>
      </c>
      <c r="Q124" s="348">
        <v>1.3788503419060438</v>
      </c>
    </row>
    <row r="125" spans="1:17" ht="15" hidden="1" customHeight="1">
      <c r="A125" s="163">
        <v>118</v>
      </c>
      <c r="B125" s="53" t="s">
        <v>6</v>
      </c>
      <c r="C125" s="53" t="s">
        <v>7444</v>
      </c>
      <c r="D125" s="53">
        <v>100028962</v>
      </c>
      <c r="E125" s="55" t="s">
        <v>7445</v>
      </c>
      <c r="F125" s="129">
        <v>20</v>
      </c>
      <c r="G125" s="129">
        <v>480</v>
      </c>
      <c r="H125" s="512">
        <v>113.39</v>
      </c>
      <c r="I125" s="265" t="s">
        <v>76</v>
      </c>
      <c r="J125" s="265" t="s">
        <v>102</v>
      </c>
      <c r="K125" s="265" t="s">
        <v>7446</v>
      </c>
      <c r="L125" s="348" t="s">
        <v>1205</v>
      </c>
      <c r="M125" s="265" t="s">
        <v>7447</v>
      </c>
      <c r="N125" s="347">
        <v>0.93200000000000005</v>
      </c>
      <c r="O125" s="348" t="s">
        <v>1205</v>
      </c>
      <c r="P125" s="348">
        <v>18.64</v>
      </c>
      <c r="Q125" s="348">
        <v>1.8803145838984718</v>
      </c>
    </row>
    <row r="126" spans="1:17" ht="15" hidden="1" customHeight="1">
      <c r="A126" s="163">
        <v>119</v>
      </c>
      <c r="B126" s="53" t="s">
        <v>6</v>
      </c>
      <c r="C126" s="53" t="s">
        <v>7448</v>
      </c>
      <c r="D126" s="53">
        <v>100028963</v>
      </c>
      <c r="E126" s="55" t="s">
        <v>7449</v>
      </c>
      <c r="F126" s="129">
        <v>10</v>
      </c>
      <c r="G126" s="129">
        <v>240</v>
      </c>
      <c r="H126" s="512">
        <v>194.41</v>
      </c>
      <c r="I126" s="265" t="s">
        <v>76</v>
      </c>
      <c r="J126" s="265" t="s">
        <v>102</v>
      </c>
      <c r="K126" s="265" t="s">
        <v>7450</v>
      </c>
      <c r="L126" s="348" t="s">
        <v>1205</v>
      </c>
      <c r="M126" s="265" t="s">
        <v>7451</v>
      </c>
      <c r="N126" s="347">
        <v>1.6879999999999999</v>
      </c>
      <c r="O126" s="348" t="s">
        <v>1205</v>
      </c>
      <c r="P126" s="348">
        <v>16.88</v>
      </c>
      <c r="Q126" s="348">
        <v>1.8803145838984718</v>
      </c>
    </row>
    <row r="127" spans="1:17" ht="15" hidden="1" customHeight="1">
      <c r="A127" s="163">
        <v>120</v>
      </c>
      <c r="B127" s="53" t="s">
        <v>6</v>
      </c>
      <c r="C127" s="53" t="s">
        <v>7452</v>
      </c>
      <c r="D127" s="53">
        <v>100028964</v>
      </c>
      <c r="E127" s="55" t="s">
        <v>7453</v>
      </c>
      <c r="F127" s="129">
        <v>3</v>
      </c>
      <c r="G127" s="129">
        <v>96</v>
      </c>
      <c r="H127" s="512">
        <v>960.8</v>
      </c>
      <c r="I127" s="265" t="s">
        <v>76</v>
      </c>
      <c r="J127" s="265" t="s">
        <v>102</v>
      </c>
      <c r="K127" s="265" t="s">
        <v>7454</v>
      </c>
      <c r="L127" s="348" t="s">
        <v>1205</v>
      </c>
      <c r="M127" s="265" t="s">
        <v>7455</v>
      </c>
      <c r="N127" s="347">
        <v>3.8239999999999998</v>
      </c>
      <c r="O127" s="348" t="s">
        <v>1205</v>
      </c>
      <c r="P127" s="348">
        <v>11.472</v>
      </c>
      <c r="Q127" s="348">
        <v>1.3788503419060438</v>
      </c>
    </row>
    <row r="128" spans="1:17" ht="15" hidden="1" customHeight="1">
      <c r="A128" s="163">
        <v>121</v>
      </c>
      <c r="B128" s="53" t="s">
        <v>6</v>
      </c>
      <c r="C128" s="53" t="s">
        <v>7456</v>
      </c>
      <c r="D128" s="53">
        <v>100028965</v>
      </c>
      <c r="E128" s="55" t="s">
        <v>7457</v>
      </c>
      <c r="F128" s="129">
        <v>50</v>
      </c>
      <c r="G128" s="129">
        <v>4000</v>
      </c>
      <c r="H128" s="512">
        <v>40.18</v>
      </c>
      <c r="I128" s="265" t="s">
        <v>76</v>
      </c>
      <c r="J128" s="265" t="s">
        <v>102</v>
      </c>
      <c r="K128" s="265" t="s">
        <v>7458</v>
      </c>
      <c r="L128" s="348" t="s">
        <v>1205</v>
      </c>
      <c r="M128" s="265" t="s">
        <v>7459</v>
      </c>
      <c r="N128" s="347">
        <v>0.16</v>
      </c>
      <c r="O128" s="348" t="s">
        <v>1205</v>
      </c>
      <c r="P128" s="348">
        <v>8</v>
      </c>
      <c r="Q128" s="348">
        <v>0.4856358104657279</v>
      </c>
    </row>
    <row r="129" spans="1:17" ht="15" hidden="1" customHeight="1">
      <c r="A129" s="163">
        <v>122</v>
      </c>
      <c r="B129" s="53" t="s">
        <v>6</v>
      </c>
      <c r="C129" s="53" t="s">
        <v>7460</v>
      </c>
      <c r="D129" s="53">
        <v>100028966</v>
      </c>
      <c r="E129" s="55" t="s">
        <v>7461</v>
      </c>
      <c r="F129" s="129">
        <v>25</v>
      </c>
      <c r="G129" s="129">
        <v>2000</v>
      </c>
      <c r="H129" s="512">
        <v>47.53</v>
      </c>
      <c r="I129" s="265" t="s">
        <v>76</v>
      </c>
      <c r="J129" s="265" t="s">
        <v>102</v>
      </c>
      <c r="K129" s="265" t="s">
        <v>7462</v>
      </c>
      <c r="L129" s="348" t="s">
        <v>1205</v>
      </c>
      <c r="M129" s="265" t="s">
        <v>7463</v>
      </c>
      <c r="N129" s="347">
        <v>0.217</v>
      </c>
      <c r="O129" s="348" t="s">
        <v>1205</v>
      </c>
      <c r="P129" s="348">
        <v>5.4249999999999998</v>
      </c>
      <c r="Q129" s="348">
        <v>0.4856358104657279</v>
      </c>
    </row>
    <row r="130" spans="1:17" ht="15" hidden="1" customHeight="1">
      <c r="A130" s="163">
        <v>123</v>
      </c>
      <c r="B130" s="53" t="s">
        <v>6</v>
      </c>
      <c r="C130" s="53" t="s">
        <v>7464</v>
      </c>
      <c r="D130" s="53">
        <v>100028967</v>
      </c>
      <c r="E130" s="55" t="s">
        <v>7465</v>
      </c>
      <c r="F130" s="129">
        <v>20</v>
      </c>
      <c r="G130" s="129">
        <v>640</v>
      </c>
      <c r="H130" s="512">
        <v>117.31</v>
      </c>
      <c r="I130" s="265" t="s">
        <v>76</v>
      </c>
      <c r="J130" s="265" t="s">
        <v>102</v>
      </c>
      <c r="K130" s="265" t="s">
        <v>7466</v>
      </c>
      <c r="L130" s="348" t="s">
        <v>1205</v>
      </c>
      <c r="M130" s="265" t="s">
        <v>7467</v>
      </c>
      <c r="N130" s="347">
        <v>0.77600000000000002</v>
      </c>
      <c r="O130" s="348" t="s">
        <v>1205</v>
      </c>
      <c r="P130" s="348">
        <v>15.52</v>
      </c>
      <c r="Q130" s="348">
        <v>1.3788503419060438</v>
      </c>
    </row>
    <row r="131" spans="1:17" ht="15" hidden="1" customHeight="1">
      <c r="A131" s="163">
        <v>124</v>
      </c>
      <c r="B131" s="53" t="s">
        <v>6</v>
      </c>
      <c r="C131" s="53" t="s">
        <v>7468</v>
      </c>
      <c r="D131" s="53">
        <v>100028968</v>
      </c>
      <c r="E131" s="55" t="s">
        <v>7469</v>
      </c>
      <c r="F131" s="129">
        <v>15</v>
      </c>
      <c r="G131" s="129">
        <v>480</v>
      </c>
      <c r="H131" s="512">
        <v>185.44</v>
      </c>
      <c r="I131" s="265" t="s">
        <v>76</v>
      </c>
      <c r="J131" s="265" t="s">
        <v>102</v>
      </c>
      <c r="K131" s="265" t="s">
        <v>7470</v>
      </c>
      <c r="L131" s="348" t="s">
        <v>1205</v>
      </c>
      <c r="M131" s="265" t="s">
        <v>7471</v>
      </c>
      <c r="N131" s="347">
        <v>1.3080000000000001</v>
      </c>
      <c r="O131" s="348" t="s">
        <v>1205</v>
      </c>
      <c r="P131" s="348">
        <v>19.62</v>
      </c>
      <c r="Q131" s="348">
        <v>1.3788503419060438</v>
      </c>
    </row>
    <row r="132" spans="1:17" ht="15" hidden="1" customHeight="1">
      <c r="A132" s="163">
        <v>125</v>
      </c>
      <c r="B132" s="53" t="s">
        <v>6</v>
      </c>
      <c r="C132" s="53" t="s">
        <v>7472</v>
      </c>
      <c r="D132" s="53">
        <v>100028969</v>
      </c>
      <c r="E132" s="55" t="s">
        <v>7473</v>
      </c>
      <c r="F132" s="129">
        <v>3</v>
      </c>
      <c r="G132" s="129">
        <v>96</v>
      </c>
      <c r="H132" s="512">
        <v>1070.93</v>
      </c>
      <c r="I132" s="265" t="s">
        <v>76</v>
      </c>
      <c r="J132" s="265" t="s">
        <v>102</v>
      </c>
      <c r="K132" s="265" t="s">
        <v>7474</v>
      </c>
      <c r="L132" s="348" t="s">
        <v>1205</v>
      </c>
      <c r="M132" s="265" t="s">
        <v>7475</v>
      </c>
      <c r="N132" s="347">
        <v>3.7759999999999998</v>
      </c>
      <c r="O132" s="348" t="s">
        <v>1205</v>
      </c>
      <c r="P132" s="348">
        <v>11.327999999999999</v>
      </c>
      <c r="Q132" s="348">
        <v>1.3788503419060438</v>
      </c>
    </row>
    <row r="133" spans="1:17" ht="15" hidden="1" customHeight="1">
      <c r="A133" s="163">
        <v>126</v>
      </c>
      <c r="B133" s="53" t="s">
        <v>6</v>
      </c>
      <c r="C133" s="53" t="s">
        <v>7476</v>
      </c>
      <c r="D133" s="53">
        <v>100028970</v>
      </c>
      <c r="E133" s="55" t="s">
        <v>7477</v>
      </c>
      <c r="F133" s="129">
        <v>50</v>
      </c>
      <c r="G133" s="129">
        <v>4000</v>
      </c>
      <c r="H133" s="512">
        <v>108.72</v>
      </c>
      <c r="I133" s="265" t="s">
        <v>76</v>
      </c>
      <c r="J133" s="265" t="s">
        <v>102</v>
      </c>
      <c r="K133" s="265" t="s">
        <v>7478</v>
      </c>
      <c r="L133" s="348" t="s">
        <v>1205</v>
      </c>
      <c r="M133" s="265" t="s">
        <v>7479</v>
      </c>
      <c r="N133" s="347">
        <v>0.14299999999999999</v>
      </c>
      <c r="O133" s="348" t="s">
        <v>1205</v>
      </c>
      <c r="P133" s="348">
        <v>7.1499999999999995</v>
      </c>
      <c r="Q133" s="348">
        <v>0.4856358104657279</v>
      </c>
    </row>
    <row r="134" spans="1:17" ht="15" hidden="1" customHeight="1">
      <c r="A134" s="163">
        <v>127</v>
      </c>
      <c r="B134" s="53" t="s">
        <v>6</v>
      </c>
      <c r="C134" s="53" t="s">
        <v>7480</v>
      </c>
      <c r="D134" s="53">
        <v>100028971</v>
      </c>
      <c r="E134" s="55" t="s">
        <v>7481</v>
      </c>
      <c r="F134" s="129">
        <v>25</v>
      </c>
      <c r="G134" s="129">
        <v>2000</v>
      </c>
      <c r="H134" s="512">
        <v>116.32</v>
      </c>
      <c r="I134" s="265" t="s">
        <v>76</v>
      </c>
      <c r="J134" s="265" t="s">
        <v>102</v>
      </c>
      <c r="K134" s="265" t="s">
        <v>7482</v>
      </c>
      <c r="L134" s="348" t="s">
        <v>1205</v>
      </c>
      <c r="M134" s="265" t="s">
        <v>7483</v>
      </c>
      <c r="N134" s="347">
        <v>0.21199999999999999</v>
      </c>
      <c r="O134" s="348" t="s">
        <v>1205</v>
      </c>
      <c r="P134" s="348">
        <v>5.3</v>
      </c>
      <c r="Q134" s="348">
        <v>0.4856358104657279</v>
      </c>
    </row>
    <row r="135" spans="1:17" ht="15" hidden="1" customHeight="1">
      <c r="A135" s="163">
        <v>128</v>
      </c>
      <c r="B135" s="53" t="s">
        <v>6</v>
      </c>
      <c r="C135" s="53" t="s">
        <v>7484</v>
      </c>
      <c r="D135" s="53">
        <v>100028972</v>
      </c>
      <c r="E135" s="55" t="s">
        <v>7485</v>
      </c>
      <c r="F135" s="129">
        <v>20</v>
      </c>
      <c r="G135" s="129">
        <v>640</v>
      </c>
      <c r="H135" s="512">
        <v>181.72</v>
      </c>
      <c r="I135" s="265" t="s">
        <v>76</v>
      </c>
      <c r="J135" s="265" t="s">
        <v>102</v>
      </c>
      <c r="K135" s="265" t="s">
        <v>7486</v>
      </c>
      <c r="L135" s="348" t="s">
        <v>1205</v>
      </c>
      <c r="M135" s="265" t="s">
        <v>7487</v>
      </c>
      <c r="N135" s="347">
        <v>0.73199999999999998</v>
      </c>
      <c r="O135" s="348" t="s">
        <v>1205</v>
      </c>
      <c r="P135" s="348">
        <v>14.64</v>
      </c>
      <c r="Q135" s="348">
        <v>1.3788503419060438</v>
      </c>
    </row>
    <row r="136" spans="1:17" ht="15" hidden="1" customHeight="1">
      <c r="A136" s="163">
        <v>129</v>
      </c>
      <c r="B136" s="53" t="s">
        <v>6</v>
      </c>
      <c r="C136" s="53" t="s">
        <v>7488</v>
      </c>
      <c r="D136" s="53">
        <v>100028973</v>
      </c>
      <c r="E136" s="55" t="s">
        <v>7489</v>
      </c>
      <c r="F136" s="129">
        <v>10</v>
      </c>
      <c r="G136" s="129">
        <v>320</v>
      </c>
      <c r="H136" s="512">
        <v>263.64</v>
      </c>
      <c r="I136" s="265" t="s">
        <v>76</v>
      </c>
      <c r="J136" s="265" t="s">
        <v>102</v>
      </c>
      <c r="K136" s="265" t="s">
        <v>7490</v>
      </c>
      <c r="L136" s="348" t="s">
        <v>1205</v>
      </c>
      <c r="M136" s="265" t="s">
        <v>7491</v>
      </c>
      <c r="N136" s="347">
        <v>1.2889999999999999</v>
      </c>
      <c r="O136" s="348" t="s">
        <v>1205</v>
      </c>
      <c r="P136" s="348">
        <v>12.889999999999999</v>
      </c>
      <c r="Q136" s="348">
        <v>1.3788503419060438</v>
      </c>
    </row>
    <row r="137" spans="1:17" ht="15" hidden="1" customHeight="1">
      <c r="A137" s="163">
        <v>130</v>
      </c>
      <c r="B137" s="53" t="s">
        <v>6</v>
      </c>
      <c r="C137" s="53" t="s">
        <v>7492</v>
      </c>
      <c r="D137" s="53">
        <v>100028974</v>
      </c>
      <c r="E137" s="55" t="s">
        <v>7493</v>
      </c>
      <c r="F137" s="129">
        <v>5</v>
      </c>
      <c r="G137" s="129">
        <v>120</v>
      </c>
      <c r="H137" s="512">
        <v>1037.56</v>
      </c>
      <c r="I137" s="265" t="s">
        <v>359</v>
      </c>
      <c r="J137" s="265" t="s">
        <v>102</v>
      </c>
      <c r="K137" s="265" t="s">
        <v>7494</v>
      </c>
      <c r="L137" s="348" t="s">
        <v>1205</v>
      </c>
      <c r="M137" s="265" t="s">
        <v>7495</v>
      </c>
      <c r="N137" s="347">
        <v>3.3759999999999999</v>
      </c>
      <c r="O137" s="348" t="s">
        <v>1205</v>
      </c>
      <c r="P137" s="348">
        <v>16.88</v>
      </c>
      <c r="Q137" s="348">
        <v>1.8803145838984718</v>
      </c>
    </row>
    <row r="138" spans="1:17" ht="15" hidden="1" customHeight="1">
      <c r="A138" s="163">
        <v>131</v>
      </c>
      <c r="B138" s="53" t="s">
        <v>6</v>
      </c>
      <c r="C138" s="53" t="s">
        <v>7496</v>
      </c>
      <c r="D138" s="53">
        <v>300005661</v>
      </c>
      <c r="E138" s="55" t="s">
        <v>7497</v>
      </c>
      <c r="F138" s="129">
        <v>6</v>
      </c>
      <c r="G138" s="129">
        <v>108</v>
      </c>
      <c r="H138" s="512">
        <v>1026.4000000000001</v>
      </c>
      <c r="I138" s="265" t="s">
        <v>1693</v>
      </c>
      <c r="J138" s="265" t="s">
        <v>77</v>
      </c>
      <c r="K138" s="265" t="s">
        <v>7498</v>
      </c>
      <c r="L138" s="348" t="s">
        <v>1205</v>
      </c>
      <c r="M138" s="265">
        <v>0</v>
      </c>
      <c r="N138" s="347">
        <v>2.5299999999999998</v>
      </c>
      <c r="O138" s="348" t="s">
        <v>1205</v>
      </c>
      <c r="P138" s="348">
        <v>15.18</v>
      </c>
      <c r="Q138" s="348" t="s">
        <v>1205</v>
      </c>
    </row>
    <row r="139" spans="1:17" ht="15" hidden="1" customHeight="1">
      <c r="A139" s="163">
        <v>132</v>
      </c>
      <c r="B139" s="53" t="s">
        <v>6</v>
      </c>
      <c r="C139" s="53" t="s">
        <v>7499</v>
      </c>
      <c r="D139" s="53">
        <v>300005662</v>
      </c>
      <c r="E139" s="55" t="s">
        <v>7500</v>
      </c>
      <c r="F139" s="129">
        <v>50</v>
      </c>
      <c r="G139" s="129">
        <v>1440</v>
      </c>
      <c r="H139" s="512">
        <v>254.44</v>
      </c>
      <c r="I139" s="265" t="s">
        <v>1693</v>
      </c>
      <c r="J139" s="265" t="s">
        <v>77</v>
      </c>
      <c r="K139" s="265" t="s">
        <v>7501</v>
      </c>
      <c r="L139" s="348" t="s">
        <v>1205</v>
      </c>
      <c r="M139" s="265">
        <v>0</v>
      </c>
      <c r="N139" s="347">
        <v>0.34300000000000003</v>
      </c>
      <c r="O139" s="348" t="s">
        <v>1205</v>
      </c>
      <c r="P139" s="348">
        <v>17.150000000000002</v>
      </c>
      <c r="Q139" s="348" t="s">
        <v>1205</v>
      </c>
    </row>
    <row r="140" spans="1:17" ht="15" hidden="1" customHeight="1">
      <c r="A140" s="163">
        <v>133</v>
      </c>
      <c r="B140" s="53" t="s">
        <v>6</v>
      </c>
      <c r="C140" s="53" t="s">
        <v>7502</v>
      </c>
      <c r="D140" s="53">
        <v>100028977</v>
      </c>
      <c r="E140" s="55" t="s">
        <v>7503</v>
      </c>
      <c r="F140" s="129">
        <v>25</v>
      </c>
      <c r="G140" s="129">
        <v>875</v>
      </c>
      <c r="H140" s="512">
        <v>158.54</v>
      </c>
      <c r="I140" s="265" t="s">
        <v>76</v>
      </c>
      <c r="J140" s="265" t="s">
        <v>102</v>
      </c>
      <c r="K140" s="265" t="s">
        <v>7504</v>
      </c>
      <c r="L140" s="348" t="s">
        <v>1205</v>
      </c>
      <c r="M140" s="265" t="s">
        <v>7505</v>
      </c>
      <c r="N140" s="347">
        <v>0.56399999999999995</v>
      </c>
      <c r="O140" s="348" t="s">
        <v>1205</v>
      </c>
      <c r="P140" s="348">
        <v>14.099999999999998</v>
      </c>
      <c r="Q140" s="348">
        <v>1.3788503419060438</v>
      </c>
    </row>
    <row r="141" spans="1:17" ht="15" hidden="1" customHeight="1">
      <c r="A141" s="163">
        <v>134</v>
      </c>
      <c r="B141" s="53" t="s">
        <v>6</v>
      </c>
      <c r="C141" s="53" t="s">
        <v>7506</v>
      </c>
      <c r="D141" s="53">
        <v>300005663</v>
      </c>
      <c r="E141" s="55" t="s">
        <v>7507</v>
      </c>
      <c r="F141" s="129">
        <v>20</v>
      </c>
      <c r="G141" s="129">
        <v>1200</v>
      </c>
      <c r="H141" s="512">
        <v>154.57</v>
      </c>
      <c r="I141" s="265" t="s">
        <v>1693</v>
      </c>
      <c r="J141" s="265" t="s">
        <v>77</v>
      </c>
      <c r="K141" s="265" t="s">
        <v>7508</v>
      </c>
      <c r="L141" s="348" t="s">
        <v>1205</v>
      </c>
      <c r="M141" s="265">
        <v>0</v>
      </c>
      <c r="N141" s="347">
        <v>0.379</v>
      </c>
      <c r="O141" s="348" t="s">
        <v>1205</v>
      </c>
      <c r="P141" s="348">
        <v>7.58</v>
      </c>
      <c r="Q141" s="348" t="s">
        <v>1205</v>
      </c>
    </row>
    <row r="142" spans="1:17" ht="15" hidden="1" customHeight="1">
      <c r="A142" s="163">
        <v>135</v>
      </c>
      <c r="B142" s="53" t="s">
        <v>6</v>
      </c>
      <c r="C142" s="53" t="s">
        <v>7509</v>
      </c>
      <c r="D142" s="53">
        <v>100028979</v>
      </c>
      <c r="E142" s="55" t="s">
        <v>7510</v>
      </c>
      <c r="F142" s="129">
        <v>10</v>
      </c>
      <c r="G142" s="129">
        <v>270</v>
      </c>
      <c r="H142" s="512">
        <v>439</v>
      </c>
      <c r="I142" s="265" t="s">
        <v>359</v>
      </c>
      <c r="J142" s="265" t="s">
        <v>102</v>
      </c>
      <c r="K142" s="265" t="s">
        <v>7511</v>
      </c>
      <c r="L142" s="348" t="s">
        <v>1205</v>
      </c>
      <c r="M142" s="265" t="s">
        <v>7512</v>
      </c>
      <c r="N142" s="347">
        <v>1.6919999999999999</v>
      </c>
      <c r="O142" s="348" t="s">
        <v>1205</v>
      </c>
      <c r="P142" s="348">
        <v>16.919999999999998</v>
      </c>
      <c r="Q142" s="348">
        <v>1.8803145838984718</v>
      </c>
    </row>
    <row r="143" spans="1:17" ht="15" hidden="1" customHeight="1">
      <c r="A143" s="163">
        <v>136</v>
      </c>
      <c r="B143" s="53" t="s">
        <v>6</v>
      </c>
      <c r="C143" s="53" t="s">
        <v>7513</v>
      </c>
      <c r="D143" s="53">
        <v>300005664</v>
      </c>
      <c r="E143" s="55" t="s">
        <v>7514</v>
      </c>
      <c r="F143" s="129">
        <v>1</v>
      </c>
      <c r="G143" s="129" t="s">
        <v>1205</v>
      </c>
      <c r="H143" s="512">
        <v>5509.85</v>
      </c>
      <c r="I143" s="265" t="s">
        <v>1693</v>
      </c>
      <c r="J143" s="265" t="s">
        <v>77</v>
      </c>
      <c r="K143" s="265" t="s">
        <v>7515</v>
      </c>
      <c r="L143" s="348" t="s">
        <v>1205</v>
      </c>
      <c r="M143" s="265">
        <v>0</v>
      </c>
      <c r="N143" s="347">
        <v>2.95</v>
      </c>
      <c r="O143" s="348" t="s">
        <v>1205</v>
      </c>
      <c r="P143" s="348">
        <v>2.95</v>
      </c>
      <c r="Q143" s="348" t="s">
        <v>1205</v>
      </c>
    </row>
    <row r="144" spans="1:17" ht="15" hidden="1" customHeight="1">
      <c r="A144" s="163">
        <v>137</v>
      </c>
      <c r="B144" s="53" t="s">
        <v>6</v>
      </c>
      <c r="C144" s="53" t="s">
        <v>7516</v>
      </c>
      <c r="D144" s="53">
        <v>100028981</v>
      </c>
      <c r="E144" s="55" t="s">
        <v>7517</v>
      </c>
      <c r="F144" s="129">
        <v>10</v>
      </c>
      <c r="G144" s="129">
        <v>240</v>
      </c>
      <c r="H144" s="512">
        <v>214.79</v>
      </c>
      <c r="I144" s="265" t="s">
        <v>76</v>
      </c>
      <c r="J144" s="265" t="s">
        <v>102</v>
      </c>
      <c r="K144" s="265" t="s">
        <v>7518</v>
      </c>
      <c r="L144" s="348" t="s">
        <v>1205</v>
      </c>
      <c r="M144" s="265" t="s">
        <v>7519</v>
      </c>
      <c r="N144" s="347">
        <v>1.77</v>
      </c>
      <c r="O144" s="348" t="s">
        <v>1205</v>
      </c>
      <c r="P144" s="348">
        <v>17.7</v>
      </c>
      <c r="Q144" s="348">
        <v>1.8803145838984718</v>
      </c>
    </row>
    <row r="145" spans="1:17" ht="15" hidden="1" customHeight="1">
      <c r="A145" s="163">
        <v>138</v>
      </c>
      <c r="B145" s="53" t="s">
        <v>6</v>
      </c>
      <c r="C145" s="53" t="s">
        <v>7520</v>
      </c>
      <c r="D145" s="53">
        <v>100028982</v>
      </c>
      <c r="E145" s="55" t="s">
        <v>7521</v>
      </c>
      <c r="F145" s="129">
        <v>10</v>
      </c>
      <c r="G145" s="129">
        <v>240</v>
      </c>
      <c r="H145" s="512">
        <v>454.27</v>
      </c>
      <c r="I145" s="265" t="s">
        <v>359</v>
      </c>
      <c r="J145" s="265" t="s">
        <v>102</v>
      </c>
      <c r="K145" s="265" t="s">
        <v>7522</v>
      </c>
      <c r="L145" s="348" t="s">
        <v>1205</v>
      </c>
      <c r="M145" s="265" t="s">
        <v>7523</v>
      </c>
      <c r="N145" s="347">
        <v>1.7869999999999999</v>
      </c>
      <c r="O145" s="348" t="s">
        <v>1205</v>
      </c>
      <c r="P145" s="348">
        <v>17.869999999999997</v>
      </c>
      <c r="Q145" s="348">
        <v>1.8803145838984718</v>
      </c>
    </row>
    <row r="146" spans="1:17" ht="15" hidden="1" customHeight="1">
      <c r="A146" s="163">
        <v>139</v>
      </c>
      <c r="B146" s="53" t="s">
        <v>6</v>
      </c>
      <c r="C146" s="53" t="s">
        <v>7524</v>
      </c>
      <c r="D146" s="53">
        <v>300005665</v>
      </c>
      <c r="E146" s="55" t="s">
        <v>7525</v>
      </c>
      <c r="F146" s="129">
        <v>20</v>
      </c>
      <c r="G146" s="129">
        <v>2880</v>
      </c>
      <c r="H146" s="512">
        <v>166.03</v>
      </c>
      <c r="I146" s="265" t="s">
        <v>1693</v>
      </c>
      <c r="J146" s="265" t="s">
        <v>77</v>
      </c>
      <c r="K146" s="265" t="s">
        <v>7526</v>
      </c>
      <c r="L146" s="348" t="s">
        <v>1205</v>
      </c>
      <c r="M146" s="265" t="s">
        <v>7527</v>
      </c>
      <c r="N146" s="347">
        <v>0.18</v>
      </c>
      <c r="O146" s="348" t="s">
        <v>1205</v>
      </c>
      <c r="P146" s="348">
        <v>3.5999999999999996</v>
      </c>
      <c r="Q146" s="348" t="s">
        <v>1205</v>
      </c>
    </row>
    <row r="147" spans="1:17" ht="15" hidden="1" customHeight="1">
      <c r="A147" s="163">
        <v>140</v>
      </c>
      <c r="B147" s="53" t="s">
        <v>6</v>
      </c>
      <c r="C147" s="53" t="s">
        <v>7528</v>
      </c>
      <c r="D147" s="53">
        <v>100028984</v>
      </c>
      <c r="E147" s="55" t="s">
        <v>7529</v>
      </c>
      <c r="F147" s="129">
        <v>30</v>
      </c>
      <c r="G147" s="129">
        <v>1890</v>
      </c>
      <c r="H147" s="512">
        <v>77.09</v>
      </c>
      <c r="I147" s="265" t="s">
        <v>359</v>
      </c>
      <c r="J147" s="265" t="s">
        <v>102</v>
      </c>
      <c r="K147" s="265" t="s">
        <v>7530</v>
      </c>
      <c r="L147" s="348" t="s">
        <v>1205</v>
      </c>
      <c r="M147" s="265" t="s">
        <v>7531</v>
      </c>
      <c r="N147" s="347">
        <v>0.32</v>
      </c>
      <c r="O147" s="348" t="s">
        <v>1205</v>
      </c>
      <c r="P147" s="348">
        <v>9.6</v>
      </c>
      <c r="Q147" s="348">
        <v>0.66940792428507967</v>
      </c>
    </row>
    <row r="148" spans="1:17" ht="15" hidden="1" customHeight="1">
      <c r="A148" s="163">
        <v>141</v>
      </c>
      <c r="B148" s="53" t="s">
        <v>6</v>
      </c>
      <c r="C148" s="53" t="s">
        <v>7532</v>
      </c>
      <c r="D148" s="53">
        <v>100028985</v>
      </c>
      <c r="E148" s="55" t="s">
        <v>7533</v>
      </c>
      <c r="F148" s="129">
        <v>25</v>
      </c>
      <c r="G148" s="129">
        <v>450</v>
      </c>
      <c r="H148" s="512">
        <v>199.82</v>
      </c>
      <c r="I148" s="265" t="s">
        <v>76</v>
      </c>
      <c r="J148" s="265" t="s">
        <v>102</v>
      </c>
      <c r="K148" s="265" t="s">
        <v>7534</v>
      </c>
      <c r="L148" s="348" t="s">
        <v>1205</v>
      </c>
      <c r="M148" s="265" t="s">
        <v>7535</v>
      </c>
      <c r="N148" s="347">
        <v>0.99399999999999999</v>
      </c>
      <c r="O148" s="348" t="s">
        <v>1205</v>
      </c>
      <c r="P148" s="348">
        <v>24.85</v>
      </c>
      <c r="Q148" s="348">
        <v>2.361325291407383</v>
      </c>
    </row>
    <row r="149" spans="1:17" ht="15" hidden="1" customHeight="1">
      <c r="A149" s="163">
        <v>142</v>
      </c>
      <c r="B149" s="53" t="s">
        <v>6</v>
      </c>
      <c r="C149" s="53" t="s">
        <v>7536</v>
      </c>
      <c r="D149" s="53">
        <v>300005666</v>
      </c>
      <c r="E149" s="55" t="s">
        <v>7537</v>
      </c>
      <c r="F149" s="129">
        <v>5</v>
      </c>
      <c r="G149" s="129" t="s">
        <v>1205</v>
      </c>
      <c r="H149" s="512">
        <v>811.96</v>
      </c>
      <c r="I149" s="265" t="s">
        <v>359</v>
      </c>
      <c r="J149" s="265" t="s">
        <v>77</v>
      </c>
      <c r="K149" s="265" t="s">
        <v>7538</v>
      </c>
      <c r="L149" s="348" t="s">
        <v>1205</v>
      </c>
      <c r="M149" s="265">
        <v>0</v>
      </c>
      <c r="N149" s="347">
        <v>1.6</v>
      </c>
      <c r="O149" s="348" t="s">
        <v>1205</v>
      </c>
      <c r="P149" s="348">
        <v>8</v>
      </c>
      <c r="Q149" s="348" t="s">
        <v>1205</v>
      </c>
    </row>
    <row r="150" spans="1:17" ht="15" hidden="1" customHeight="1">
      <c r="A150" s="163">
        <v>143</v>
      </c>
      <c r="B150" s="53" t="s">
        <v>6</v>
      </c>
      <c r="C150" s="53" t="s">
        <v>7539</v>
      </c>
      <c r="D150" s="53">
        <v>100028987</v>
      </c>
      <c r="E150" s="55" t="s">
        <v>7540</v>
      </c>
      <c r="F150" s="129">
        <v>25</v>
      </c>
      <c r="G150" s="129">
        <v>2250</v>
      </c>
      <c r="H150" s="512">
        <v>64.989999999999995</v>
      </c>
      <c r="I150" s="265" t="s">
        <v>359</v>
      </c>
      <c r="J150" s="265" t="s">
        <v>102</v>
      </c>
      <c r="K150" s="265" t="s">
        <v>7541</v>
      </c>
      <c r="L150" s="348" t="s">
        <v>1205</v>
      </c>
      <c r="M150" s="265" t="s">
        <v>7542</v>
      </c>
      <c r="N150" s="347">
        <v>0.20200000000000001</v>
      </c>
      <c r="O150" s="348" t="s">
        <v>1205</v>
      </c>
      <c r="P150" s="348">
        <v>5.0500000000000007</v>
      </c>
      <c r="Q150" s="348">
        <v>0.32375720697715193</v>
      </c>
    </row>
    <row r="151" spans="1:17" ht="15" hidden="1" customHeight="1">
      <c r="A151" s="163">
        <v>144</v>
      </c>
      <c r="B151" s="53" t="s">
        <v>6</v>
      </c>
      <c r="C151" s="53" t="s">
        <v>7543</v>
      </c>
      <c r="D151" s="53">
        <v>100028988</v>
      </c>
      <c r="E151" s="55" t="s">
        <v>7544</v>
      </c>
      <c r="F151" s="129">
        <v>20</v>
      </c>
      <c r="G151" s="129">
        <v>1600</v>
      </c>
      <c r="H151" s="512">
        <v>89.25</v>
      </c>
      <c r="I151" s="265" t="s">
        <v>359</v>
      </c>
      <c r="J151" s="265" t="s">
        <v>102</v>
      </c>
      <c r="K151" s="265" t="s">
        <v>7545</v>
      </c>
      <c r="L151" s="348" t="s">
        <v>1205</v>
      </c>
      <c r="M151" s="265" t="s">
        <v>7546</v>
      </c>
      <c r="N151" s="347">
        <v>0.30199999999999999</v>
      </c>
      <c r="O151" s="348" t="s">
        <v>1205</v>
      </c>
      <c r="P151" s="348">
        <v>6.04</v>
      </c>
      <c r="Q151" s="348">
        <v>0.4856358104657279</v>
      </c>
    </row>
    <row r="152" spans="1:17" ht="15" hidden="1" customHeight="1">
      <c r="A152" s="163">
        <v>145</v>
      </c>
      <c r="B152" s="53" t="s">
        <v>6</v>
      </c>
      <c r="C152" s="53" t="s">
        <v>7547</v>
      </c>
      <c r="D152" s="53">
        <v>100028989</v>
      </c>
      <c r="E152" s="55" t="s">
        <v>7548</v>
      </c>
      <c r="F152" s="129">
        <v>5</v>
      </c>
      <c r="G152" s="129">
        <v>400</v>
      </c>
      <c r="H152" s="512">
        <v>239.22</v>
      </c>
      <c r="I152" s="265" t="s">
        <v>359</v>
      </c>
      <c r="J152" s="265" t="s">
        <v>102</v>
      </c>
      <c r="K152" s="265" t="s">
        <v>7549</v>
      </c>
      <c r="L152" s="348" t="s">
        <v>1205</v>
      </c>
      <c r="M152" s="265" t="s">
        <v>7550</v>
      </c>
      <c r="N152" s="347">
        <v>1.0009999999999999</v>
      </c>
      <c r="O152" s="348" t="s">
        <v>1205</v>
      </c>
      <c r="P152" s="348">
        <v>5.004999999999999</v>
      </c>
      <c r="Q152" s="348">
        <v>0.4856358104657279</v>
      </c>
    </row>
    <row r="153" spans="1:17" ht="15" hidden="1" customHeight="1">
      <c r="A153" s="163">
        <v>146</v>
      </c>
      <c r="B153" s="53" t="s">
        <v>6</v>
      </c>
      <c r="C153" s="53" t="s">
        <v>7551</v>
      </c>
      <c r="D153" s="53">
        <v>300005667</v>
      </c>
      <c r="E153" s="55" t="s">
        <v>7552</v>
      </c>
      <c r="F153" s="129">
        <v>50</v>
      </c>
      <c r="G153" s="129">
        <v>2000</v>
      </c>
      <c r="H153" s="512">
        <v>130.01</v>
      </c>
      <c r="I153" s="265" t="s">
        <v>1693</v>
      </c>
      <c r="J153" s="265" t="s">
        <v>77</v>
      </c>
      <c r="K153" s="265" t="s">
        <v>7553</v>
      </c>
      <c r="L153" s="348" t="s">
        <v>1205</v>
      </c>
      <c r="M153" s="265">
        <v>0</v>
      </c>
      <c r="N153" s="347">
        <v>0.24</v>
      </c>
      <c r="O153" s="348" t="s">
        <v>1205</v>
      </c>
      <c r="P153" s="348">
        <v>12</v>
      </c>
      <c r="Q153" s="348" t="s">
        <v>1205</v>
      </c>
    </row>
    <row r="154" spans="1:17" ht="15" hidden="1" customHeight="1">
      <c r="A154" s="163">
        <v>147</v>
      </c>
      <c r="B154" s="53" t="s">
        <v>6</v>
      </c>
      <c r="C154" s="53" t="s">
        <v>7554</v>
      </c>
      <c r="D154" s="53">
        <v>100028992</v>
      </c>
      <c r="E154" s="55" t="s">
        <v>7555</v>
      </c>
      <c r="F154" s="129">
        <v>100</v>
      </c>
      <c r="G154" s="129">
        <v>1800</v>
      </c>
      <c r="H154" s="512">
        <v>50.31</v>
      </c>
      <c r="I154" s="265" t="s">
        <v>76</v>
      </c>
      <c r="J154" s="265" t="s">
        <v>102</v>
      </c>
      <c r="K154" s="265" t="s">
        <v>7556</v>
      </c>
      <c r="L154" s="348" t="s">
        <v>1205</v>
      </c>
      <c r="M154" s="265" t="s">
        <v>7557</v>
      </c>
      <c r="N154" s="347">
        <v>0.30499999999999999</v>
      </c>
      <c r="O154" s="348" t="s">
        <v>1205</v>
      </c>
      <c r="P154" s="348">
        <v>30.5</v>
      </c>
      <c r="Q154" s="348">
        <v>2.361325291407383</v>
      </c>
    </row>
    <row r="155" spans="1:17" ht="15" hidden="1" customHeight="1">
      <c r="A155" s="163">
        <v>148</v>
      </c>
      <c r="B155" s="53" t="s">
        <v>6</v>
      </c>
      <c r="C155" s="53" t="s">
        <v>7558</v>
      </c>
      <c r="D155" s="53">
        <v>100028993</v>
      </c>
      <c r="E155" s="55" t="s">
        <v>7559</v>
      </c>
      <c r="F155" s="129">
        <v>35</v>
      </c>
      <c r="G155" s="129">
        <v>840</v>
      </c>
      <c r="H155" s="512">
        <v>74.069999999999993</v>
      </c>
      <c r="I155" s="265" t="s">
        <v>76</v>
      </c>
      <c r="J155" s="265" t="s">
        <v>102</v>
      </c>
      <c r="K155" s="265" t="s">
        <v>7560</v>
      </c>
      <c r="L155" s="348" t="s">
        <v>1205</v>
      </c>
      <c r="M155" s="265" t="s">
        <v>7561</v>
      </c>
      <c r="N155" s="347">
        <v>0.51700000000000002</v>
      </c>
      <c r="O155" s="348" t="s">
        <v>1205</v>
      </c>
      <c r="P155" s="348">
        <v>18.094999999999999</v>
      </c>
      <c r="Q155" s="348">
        <v>1.8803145838984718</v>
      </c>
    </row>
    <row r="156" spans="1:17" ht="15" hidden="1" customHeight="1">
      <c r="A156" s="163">
        <v>149</v>
      </c>
      <c r="B156" s="53" t="s">
        <v>6</v>
      </c>
      <c r="C156" s="53" t="s">
        <v>7562</v>
      </c>
      <c r="D156" s="53">
        <v>100028994</v>
      </c>
      <c r="E156" s="55" t="s">
        <v>7563</v>
      </c>
      <c r="F156" s="129">
        <v>30</v>
      </c>
      <c r="G156" s="129">
        <v>360</v>
      </c>
      <c r="H156" s="512">
        <v>195.07</v>
      </c>
      <c r="I156" s="265" t="s">
        <v>76</v>
      </c>
      <c r="J156" s="265" t="s">
        <v>102</v>
      </c>
      <c r="K156" s="265" t="s">
        <v>7564</v>
      </c>
      <c r="L156" s="348" t="s">
        <v>1205</v>
      </c>
      <c r="M156" s="265" t="s">
        <v>7565</v>
      </c>
      <c r="N156" s="347">
        <v>1.4930000000000001</v>
      </c>
      <c r="O156" s="348" t="s">
        <v>1205</v>
      </c>
      <c r="P156" s="348">
        <v>44.790000000000006</v>
      </c>
      <c r="Q156" s="348">
        <v>3.6731726755225957</v>
      </c>
    </row>
    <row r="157" spans="1:17" ht="15" hidden="1" customHeight="1">
      <c r="A157" s="163">
        <v>150</v>
      </c>
      <c r="B157" s="53" t="s">
        <v>6</v>
      </c>
      <c r="C157" s="53" t="s">
        <v>7566</v>
      </c>
      <c r="D157" s="53">
        <v>100028995</v>
      </c>
      <c r="E157" s="55" t="s">
        <v>7567</v>
      </c>
      <c r="F157" s="129">
        <v>5</v>
      </c>
      <c r="G157" s="129">
        <v>160</v>
      </c>
      <c r="H157" s="512">
        <v>356.21</v>
      </c>
      <c r="I157" s="265" t="s">
        <v>76</v>
      </c>
      <c r="J157" s="265" t="s">
        <v>102</v>
      </c>
      <c r="K157" s="265" t="s">
        <v>7568</v>
      </c>
      <c r="L157" s="348" t="s">
        <v>1205</v>
      </c>
      <c r="M157" s="265" t="s">
        <v>7569</v>
      </c>
      <c r="N157" s="347">
        <v>2.9740000000000002</v>
      </c>
      <c r="O157" s="348" t="s">
        <v>1205</v>
      </c>
      <c r="P157" s="348">
        <v>14.870000000000001</v>
      </c>
      <c r="Q157" s="348">
        <v>1.3788503419060438</v>
      </c>
    </row>
    <row r="158" spans="1:17" ht="15" hidden="1" customHeight="1">
      <c r="A158" s="163">
        <v>151</v>
      </c>
      <c r="B158" s="53" t="s">
        <v>6</v>
      </c>
      <c r="C158" s="53" t="s">
        <v>7570</v>
      </c>
      <c r="D158" s="53">
        <v>100028996</v>
      </c>
      <c r="E158" s="55" t="s">
        <v>7571</v>
      </c>
      <c r="F158" s="129">
        <v>4</v>
      </c>
      <c r="G158" s="129">
        <v>48</v>
      </c>
      <c r="H158" s="512">
        <v>1430.47</v>
      </c>
      <c r="I158" s="265" t="s">
        <v>76</v>
      </c>
      <c r="J158" s="265" t="s">
        <v>102</v>
      </c>
      <c r="K158" s="265" t="s">
        <v>7572</v>
      </c>
      <c r="L158" s="348" t="s">
        <v>1205</v>
      </c>
      <c r="M158" s="265" t="s">
        <v>7573</v>
      </c>
      <c r="N158" s="347">
        <v>6.8339999999999996</v>
      </c>
      <c r="O158" s="348" t="s">
        <v>1205</v>
      </c>
      <c r="P158" s="348">
        <v>27.335999999999999</v>
      </c>
      <c r="Q158" s="348">
        <v>3.6731726755225957</v>
      </c>
    </row>
    <row r="159" spans="1:17" ht="15" hidden="1" customHeight="1">
      <c r="A159" s="163">
        <v>152</v>
      </c>
      <c r="B159" s="53" t="s">
        <v>6</v>
      </c>
      <c r="C159" s="53" t="s">
        <v>7574</v>
      </c>
      <c r="D159" s="53">
        <v>100028997</v>
      </c>
      <c r="E159" s="55" t="s">
        <v>7575</v>
      </c>
      <c r="F159" s="129">
        <v>25</v>
      </c>
      <c r="G159" s="129">
        <v>1125</v>
      </c>
      <c r="H159" s="512">
        <v>65.19</v>
      </c>
      <c r="I159" s="265" t="s">
        <v>76</v>
      </c>
      <c r="J159" s="265" t="s">
        <v>102</v>
      </c>
      <c r="K159" s="265" t="s">
        <v>7576</v>
      </c>
      <c r="L159" s="348" t="s">
        <v>1205</v>
      </c>
      <c r="M159" s="265" t="s">
        <v>7577</v>
      </c>
      <c r="N159" s="347">
        <v>0.42699999999999999</v>
      </c>
      <c r="O159" s="348" t="s">
        <v>1205</v>
      </c>
      <c r="P159" s="348">
        <v>10.674999999999999</v>
      </c>
      <c r="Q159" s="348">
        <v>0.98955954024750914</v>
      </c>
    </row>
    <row r="160" spans="1:17" ht="15" hidden="1" customHeight="1">
      <c r="A160" s="163">
        <v>153</v>
      </c>
      <c r="B160" s="53" t="s">
        <v>6</v>
      </c>
      <c r="C160" s="53" t="s">
        <v>7578</v>
      </c>
      <c r="D160" s="53">
        <v>100028998</v>
      </c>
      <c r="E160" s="55" t="s">
        <v>7579</v>
      </c>
      <c r="F160" s="129">
        <v>25</v>
      </c>
      <c r="G160" s="129">
        <v>800</v>
      </c>
      <c r="H160" s="512">
        <v>78.66</v>
      </c>
      <c r="I160" s="265" t="s">
        <v>76</v>
      </c>
      <c r="J160" s="265" t="s">
        <v>102</v>
      </c>
      <c r="K160" s="265" t="s">
        <v>7580</v>
      </c>
      <c r="L160" s="348" t="s">
        <v>1205</v>
      </c>
      <c r="M160" s="265" t="s">
        <v>7581</v>
      </c>
      <c r="N160" s="347">
        <v>0.53</v>
      </c>
      <c r="O160" s="348" t="s">
        <v>1205</v>
      </c>
      <c r="P160" s="348">
        <v>13.25</v>
      </c>
      <c r="Q160" s="348">
        <v>1.3788503419060438</v>
      </c>
    </row>
    <row r="161" spans="1:17" ht="15" hidden="1" customHeight="1">
      <c r="A161" s="163">
        <v>154</v>
      </c>
      <c r="B161" s="53" t="s">
        <v>6</v>
      </c>
      <c r="C161" s="53" t="s">
        <v>7582</v>
      </c>
      <c r="D161" s="53">
        <v>100028999</v>
      </c>
      <c r="E161" s="55" t="s">
        <v>7583</v>
      </c>
      <c r="F161" s="129">
        <v>50</v>
      </c>
      <c r="G161" s="129">
        <v>1200</v>
      </c>
      <c r="H161" s="512">
        <v>65.44</v>
      </c>
      <c r="I161" s="265" t="s">
        <v>76</v>
      </c>
      <c r="J161" s="265" t="s">
        <v>102</v>
      </c>
      <c r="K161" s="265" t="s">
        <v>7584</v>
      </c>
      <c r="L161" s="348" t="s">
        <v>1205</v>
      </c>
      <c r="M161" s="265" t="s">
        <v>7585</v>
      </c>
      <c r="N161" s="347">
        <v>0.42599999999999999</v>
      </c>
      <c r="O161" s="348" t="s">
        <v>1205</v>
      </c>
      <c r="P161" s="348">
        <v>21.3</v>
      </c>
      <c r="Q161" s="348">
        <v>1.8803145838984718</v>
      </c>
    </row>
    <row r="162" spans="1:17" ht="15" hidden="1" customHeight="1">
      <c r="A162" s="163">
        <v>155</v>
      </c>
      <c r="B162" s="53" t="s">
        <v>6</v>
      </c>
      <c r="C162" s="53" t="s">
        <v>7586</v>
      </c>
      <c r="D162" s="53">
        <v>100029000</v>
      </c>
      <c r="E162" s="55" t="s">
        <v>7587</v>
      </c>
      <c r="F162" s="129">
        <v>20</v>
      </c>
      <c r="G162" s="129">
        <v>640</v>
      </c>
      <c r="H162" s="512">
        <v>141.69999999999999</v>
      </c>
      <c r="I162" s="265" t="s">
        <v>76</v>
      </c>
      <c r="J162" s="265" t="s">
        <v>102</v>
      </c>
      <c r="K162" s="265" t="s">
        <v>7588</v>
      </c>
      <c r="L162" s="348" t="s">
        <v>1205</v>
      </c>
      <c r="M162" s="265" t="s">
        <v>7589</v>
      </c>
      <c r="N162" s="347">
        <v>0.93899999999999995</v>
      </c>
      <c r="O162" s="348" t="s">
        <v>1205</v>
      </c>
      <c r="P162" s="348">
        <v>18.779999999999998</v>
      </c>
      <c r="Q162" s="348">
        <v>1.3788503419060438</v>
      </c>
    </row>
    <row r="163" spans="1:17" ht="15" hidden="1" customHeight="1">
      <c r="A163" s="163">
        <v>156</v>
      </c>
      <c r="B163" s="53" t="s">
        <v>6</v>
      </c>
      <c r="C163" s="53" t="s">
        <v>7590</v>
      </c>
      <c r="D163" s="53">
        <v>100029001</v>
      </c>
      <c r="E163" s="55" t="s">
        <v>7591</v>
      </c>
      <c r="F163" s="129">
        <v>10</v>
      </c>
      <c r="G163" s="129">
        <v>320</v>
      </c>
      <c r="H163" s="512">
        <v>146.69999999999999</v>
      </c>
      <c r="I163" s="265" t="s">
        <v>76</v>
      </c>
      <c r="J163" s="265" t="s">
        <v>102</v>
      </c>
      <c r="K163" s="265" t="s">
        <v>7592</v>
      </c>
      <c r="L163" s="348" t="s">
        <v>1205</v>
      </c>
      <c r="M163" s="265" t="s">
        <v>7593</v>
      </c>
      <c r="N163" s="347">
        <v>1.1180000000000001</v>
      </c>
      <c r="O163" s="348" t="s">
        <v>1205</v>
      </c>
      <c r="P163" s="348">
        <v>11.180000000000001</v>
      </c>
      <c r="Q163" s="348">
        <v>1.3788503419060438</v>
      </c>
    </row>
    <row r="164" spans="1:17" ht="15" hidden="1" customHeight="1">
      <c r="A164" s="163">
        <v>157</v>
      </c>
      <c r="B164" s="53" t="s">
        <v>6</v>
      </c>
      <c r="C164" s="53" t="s">
        <v>7594</v>
      </c>
      <c r="D164" s="53">
        <v>100029002</v>
      </c>
      <c r="E164" s="55" t="s">
        <v>7595</v>
      </c>
      <c r="F164" s="129">
        <v>10</v>
      </c>
      <c r="G164" s="129">
        <v>320</v>
      </c>
      <c r="H164" s="512">
        <v>306.51</v>
      </c>
      <c r="I164" s="265" t="s">
        <v>76</v>
      </c>
      <c r="J164" s="265" t="s">
        <v>102</v>
      </c>
      <c r="K164" s="265" t="s">
        <v>7596</v>
      </c>
      <c r="L164" s="348" t="s">
        <v>1205</v>
      </c>
      <c r="M164" s="265" t="s">
        <v>7597</v>
      </c>
      <c r="N164" s="347">
        <v>1.671</v>
      </c>
      <c r="O164" s="348" t="s">
        <v>1205</v>
      </c>
      <c r="P164" s="348">
        <v>16.71</v>
      </c>
      <c r="Q164" s="348">
        <v>1.3788503419060438</v>
      </c>
    </row>
    <row r="165" spans="1:17" ht="15" hidden="1" customHeight="1">
      <c r="A165" s="163">
        <v>158</v>
      </c>
      <c r="B165" s="53" t="s">
        <v>6</v>
      </c>
      <c r="C165" s="53" t="s">
        <v>7598</v>
      </c>
      <c r="D165" s="53">
        <v>100029003</v>
      </c>
      <c r="E165" s="55" t="s">
        <v>7599</v>
      </c>
      <c r="F165" s="129">
        <v>10</v>
      </c>
      <c r="G165" s="129">
        <v>180</v>
      </c>
      <c r="H165" s="512">
        <v>416.6</v>
      </c>
      <c r="I165" s="265" t="s">
        <v>76</v>
      </c>
      <c r="J165" s="265" t="s">
        <v>102</v>
      </c>
      <c r="K165" s="265" t="s">
        <v>7600</v>
      </c>
      <c r="L165" s="348" t="s">
        <v>1205</v>
      </c>
      <c r="M165" s="265" t="s">
        <v>7601</v>
      </c>
      <c r="N165" s="347">
        <v>2.1989999999999998</v>
      </c>
      <c r="O165" s="348" t="s">
        <v>1205</v>
      </c>
      <c r="P165" s="348">
        <v>21.99</v>
      </c>
      <c r="Q165" s="348">
        <v>2.361325291407383</v>
      </c>
    </row>
    <row r="166" spans="1:17" ht="15" hidden="1" customHeight="1">
      <c r="A166" s="163">
        <v>159</v>
      </c>
      <c r="B166" s="53" t="s">
        <v>6</v>
      </c>
      <c r="C166" s="53" t="s">
        <v>7602</v>
      </c>
      <c r="D166" s="53">
        <v>100029004</v>
      </c>
      <c r="E166" s="55" t="s">
        <v>7603</v>
      </c>
      <c r="F166" s="129">
        <v>6</v>
      </c>
      <c r="G166" s="129">
        <v>72</v>
      </c>
      <c r="H166" s="512">
        <v>1383.4</v>
      </c>
      <c r="I166" s="265" t="s">
        <v>76</v>
      </c>
      <c r="J166" s="265" t="s">
        <v>102</v>
      </c>
      <c r="K166" s="265" t="s">
        <v>7604</v>
      </c>
      <c r="L166" s="348" t="s">
        <v>1205</v>
      </c>
      <c r="M166" s="265" t="s">
        <v>7605</v>
      </c>
      <c r="N166" s="347">
        <v>4.883</v>
      </c>
      <c r="O166" s="348" t="s">
        <v>1205</v>
      </c>
      <c r="P166" s="348">
        <v>29.298000000000002</v>
      </c>
      <c r="Q166" s="348">
        <v>3.6731726755225957</v>
      </c>
    </row>
    <row r="167" spans="1:17" ht="15" hidden="1" customHeight="1">
      <c r="A167" s="163">
        <v>160</v>
      </c>
      <c r="B167" s="53" t="s">
        <v>6</v>
      </c>
      <c r="C167" s="53" t="s">
        <v>7606</v>
      </c>
      <c r="D167" s="53">
        <v>100029005</v>
      </c>
      <c r="E167" s="55" t="s">
        <v>7607</v>
      </c>
      <c r="F167" s="129">
        <v>20</v>
      </c>
      <c r="G167" s="129">
        <v>1600</v>
      </c>
      <c r="H167" s="512">
        <v>150.91999999999999</v>
      </c>
      <c r="I167" s="265" t="s">
        <v>359</v>
      </c>
      <c r="J167" s="265" t="s">
        <v>102</v>
      </c>
      <c r="K167" s="265" t="s">
        <v>7608</v>
      </c>
      <c r="L167" s="348" t="s">
        <v>1205</v>
      </c>
      <c r="M167" s="265" t="s">
        <v>7609</v>
      </c>
      <c r="N167" s="347">
        <v>0.32100000000000001</v>
      </c>
      <c r="O167" s="348" t="s">
        <v>1205</v>
      </c>
      <c r="P167" s="348">
        <v>6.42</v>
      </c>
      <c r="Q167" s="348">
        <v>0.4856358104657279</v>
      </c>
    </row>
    <row r="168" spans="1:17" ht="15" hidden="1" customHeight="1">
      <c r="A168" s="163">
        <v>161</v>
      </c>
      <c r="B168" s="53" t="s">
        <v>6</v>
      </c>
      <c r="C168" s="53" t="s">
        <v>7610</v>
      </c>
      <c r="D168" s="53">
        <v>100029006</v>
      </c>
      <c r="E168" s="55" t="s">
        <v>7611</v>
      </c>
      <c r="F168" s="129">
        <v>25</v>
      </c>
      <c r="G168" s="129">
        <v>800</v>
      </c>
      <c r="H168" s="512">
        <v>146.38</v>
      </c>
      <c r="I168" s="265" t="s">
        <v>76</v>
      </c>
      <c r="J168" s="265" t="s">
        <v>102</v>
      </c>
      <c r="K168" s="265" t="s">
        <v>7612</v>
      </c>
      <c r="L168" s="348" t="s">
        <v>1205</v>
      </c>
      <c r="M168" s="265" t="s">
        <v>7613</v>
      </c>
      <c r="N168" s="347">
        <v>0.52200000000000002</v>
      </c>
      <c r="O168" s="348" t="s">
        <v>1205</v>
      </c>
      <c r="P168" s="348">
        <v>13.05</v>
      </c>
      <c r="Q168" s="348">
        <v>1.3788503419060438</v>
      </c>
    </row>
    <row r="169" spans="1:17" ht="15" hidden="1" customHeight="1">
      <c r="A169" s="163">
        <v>162</v>
      </c>
      <c r="B169" s="53" t="s">
        <v>6</v>
      </c>
      <c r="C169" s="53" t="s">
        <v>7614</v>
      </c>
      <c r="D169" s="53">
        <v>100029007</v>
      </c>
      <c r="E169" s="55" t="s">
        <v>7615</v>
      </c>
      <c r="F169" s="129">
        <v>30</v>
      </c>
      <c r="G169" s="129">
        <v>360</v>
      </c>
      <c r="H169" s="512">
        <v>244.02</v>
      </c>
      <c r="I169" s="265" t="s">
        <v>76</v>
      </c>
      <c r="J169" s="265" t="s">
        <v>102</v>
      </c>
      <c r="K169" s="265" t="s">
        <v>7616</v>
      </c>
      <c r="L169" s="348" t="s">
        <v>1205</v>
      </c>
      <c r="M169" s="265" t="s">
        <v>7617</v>
      </c>
      <c r="N169" s="347">
        <v>1.4670000000000001</v>
      </c>
      <c r="O169" s="348" t="s">
        <v>1205</v>
      </c>
      <c r="P169" s="348">
        <v>44.010000000000005</v>
      </c>
      <c r="Q169" s="348">
        <v>3.6731726755225957</v>
      </c>
    </row>
    <row r="170" spans="1:17" ht="15" hidden="1" customHeight="1">
      <c r="A170" s="163">
        <v>163</v>
      </c>
      <c r="B170" s="53" t="s">
        <v>6</v>
      </c>
      <c r="C170" s="53" t="s">
        <v>7618</v>
      </c>
      <c r="D170" s="53">
        <v>100029008</v>
      </c>
      <c r="E170" s="55" t="s">
        <v>7619</v>
      </c>
      <c r="F170" s="129">
        <v>10</v>
      </c>
      <c r="G170" s="129">
        <v>180</v>
      </c>
      <c r="H170" s="512">
        <v>616.21</v>
      </c>
      <c r="I170" s="265" t="s">
        <v>76</v>
      </c>
      <c r="J170" s="265" t="s">
        <v>102</v>
      </c>
      <c r="K170" s="265" t="s">
        <v>7620</v>
      </c>
      <c r="L170" s="348" t="s">
        <v>1205</v>
      </c>
      <c r="M170" s="265" t="s">
        <v>7621</v>
      </c>
      <c r="N170" s="347">
        <v>2.7050000000000001</v>
      </c>
      <c r="O170" s="348" t="s">
        <v>1205</v>
      </c>
      <c r="P170" s="348">
        <v>27.05</v>
      </c>
      <c r="Q170" s="348">
        <v>2.361325291407383</v>
      </c>
    </row>
    <row r="171" spans="1:17" ht="15" hidden="1" customHeight="1">
      <c r="A171" s="163">
        <v>164</v>
      </c>
      <c r="B171" s="53" t="s">
        <v>6</v>
      </c>
      <c r="C171" s="53" t="s">
        <v>7622</v>
      </c>
      <c r="D171" s="53">
        <v>100029010</v>
      </c>
      <c r="E171" s="55" t="s">
        <v>7623</v>
      </c>
      <c r="F171" s="129">
        <v>50</v>
      </c>
      <c r="G171" s="129">
        <v>1200</v>
      </c>
      <c r="H171" s="512">
        <v>139.79</v>
      </c>
      <c r="I171" s="265" t="s">
        <v>76</v>
      </c>
      <c r="J171" s="265" t="s">
        <v>102</v>
      </c>
      <c r="K171" s="265" t="s">
        <v>7624</v>
      </c>
      <c r="L171" s="348" t="s">
        <v>1205</v>
      </c>
      <c r="M171" s="265" t="s">
        <v>7625</v>
      </c>
      <c r="N171" s="347">
        <v>0.42899999999999999</v>
      </c>
      <c r="O171" s="348" t="s">
        <v>1205</v>
      </c>
      <c r="P171" s="348">
        <v>21.45</v>
      </c>
      <c r="Q171" s="348">
        <v>1.8803145838984718</v>
      </c>
    </row>
    <row r="172" spans="1:17" ht="15" hidden="1" customHeight="1">
      <c r="A172" s="163">
        <v>165</v>
      </c>
      <c r="B172" s="53" t="s">
        <v>6</v>
      </c>
      <c r="C172" s="53" t="s">
        <v>7626</v>
      </c>
      <c r="D172" s="53">
        <v>300005668</v>
      </c>
      <c r="E172" s="55" t="s">
        <v>7627</v>
      </c>
      <c r="F172" s="129">
        <v>10</v>
      </c>
      <c r="G172" s="129">
        <v>450</v>
      </c>
      <c r="H172" s="512">
        <v>513.32000000000005</v>
      </c>
      <c r="I172" s="265" t="s">
        <v>1693</v>
      </c>
      <c r="J172" s="265" t="s">
        <v>77</v>
      </c>
      <c r="K172" s="265" t="s">
        <v>7628</v>
      </c>
      <c r="L172" s="348" t="s">
        <v>1205</v>
      </c>
      <c r="M172" s="265">
        <v>0</v>
      </c>
      <c r="N172" s="347">
        <v>0.78600000000000003</v>
      </c>
      <c r="O172" s="348" t="s">
        <v>1205</v>
      </c>
      <c r="P172" s="348">
        <v>7.86</v>
      </c>
      <c r="Q172" s="348" t="s">
        <v>1205</v>
      </c>
    </row>
    <row r="173" spans="1:17" ht="15" hidden="1" customHeight="1">
      <c r="A173" s="163">
        <v>166</v>
      </c>
      <c r="B173" s="53" t="s">
        <v>6</v>
      </c>
      <c r="C173" s="53" t="s">
        <v>7629</v>
      </c>
      <c r="D173" s="53">
        <v>300005669</v>
      </c>
      <c r="E173" s="55" t="s">
        <v>7630</v>
      </c>
      <c r="F173" s="129">
        <v>20</v>
      </c>
      <c r="G173" s="129">
        <v>350</v>
      </c>
      <c r="H173" s="512">
        <v>458.4</v>
      </c>
      <c r="I173" s="265" t="s">
        <v>1693</v>
      </c>
      <c r="J173" s="265" t="s">
        <v>77</v>
      </c>
      <c r="K173" s="265" t="s">
        <v>7631</v>
      </c>
      <c r="L173" s="348" t="s">
        <v>1205</v>
      </c>
      <c r="M173" s="265">
        <v>0</v>
      </c>
      <c r="N173" s="347">
        <v>0.85</v>
      </c>
      <c r="O173" s="348" t="s">
        <v>1205</v>
      </c>
      <c r="P173" s="348">
        <v>17</v>
      </c>
      <c r="Q173" s="348" t="s">
        <v>1205</v>
      </c>
    </row>
    <row r="174" spans="1:17" ht="15" hidden="1" customHeight="1">
      <c r="A174" s="163">
        <v>167</v>
      </c>
      <c r="B174" s="53" t="s">
        <v>6</v>
      </c>
      <c r="C174" s="53" t="s">
        <v>7632</v>
      </c>
      <c r="D174" s="53">
        <v>300005670</v>
      </c>
      <c r="E174" s="55" t="s">
        <v>7633</v>
      </c>
      <c r="F174" s="129">
        <v>10</v>
      </c>
      <c r="G174" s="129">
        <v>180</v>
      </c>
      <c r="H174" s="512">
        <v>595.45000000000005</v>
      </c>
      <c r="I174" s="265" t="s">
        <v>1693</v>
      </c>
      <c r="J174" s="265" t="s">
        <v>77</v>
      </c>
      <c r="K174" s="265" t="s">
        <v>7634</v>
      </c>
      <c r="L174" s="348" t="s">
        <v>1205</v>
      </c>
      <c r="M174" s="265">
        <v>0</v>
      </c>
      <c r="N174" s="347">
        <v>1.629</v>
      </c>
      <c r="O174" s="348" t="s">
        <v>1205</v>
      </c>
      <c r="P174" s="348">
        <v>16.29</v>
      </c>
      <c r="Q174" s="348" t="s">
        <v>1205</v>
      </c>
    </row>
    <row r="175" spans="1:17" ht="15" hidden="1" customHeight="1">
      <c r="A175" s="163">
        <v>168</v>
      </c>
      <c r="B175" s="53" t="s">
        <v>6</v>
      </c>
      <c r="C175" s="53" t="s">
        <v>7635</v>
      </c>
      <c r="D175" s="53">
        <v>300005671</v>
      </c>
      <c r="E175" s="55" t="s">
        <v>7636</v>
      </c>
      <c r="F175" s="129">
        <v>10</v>
      </c>
      <c r="G175" s="129">
        <v>180</v>
      </c>
      <c r="H175" s="512">
        <v>908.49</v>
      </c>
      <c r="I175" s="265" t="s">
        <v>1693</v>
      </c>
      <c r="J175" s="265" t="s">
        <v>77</v>
      </c>
      <c r="K175" s="265" t="s">
        <v>7637</v>
      </c>
      <c r="L175" s="348" t="s">
        <v>1205</v>
      </c>
      <c r="M175" s="265">
        <v>0</v>
      </c>
      <c r="N175" s="347">
        <v>1.756</v>
      </c>
      <c r="O175" s="348" t="s">
        <v>1205</v>
      </c>
      <c r="P175" s="348">
        <v>17.559999999999999</v>
      </c>
      <c r="Q175" s="348" t="s">
        <v>1205</v>
      </c>
    </row>
    <row r="176" spans="1:17" ht="15" hidden="1" customHeight="1">
      <c r="A176" s="163">
        <v>169</v>
      </c>
      <c r="B176" s="53" t="s">
        <v>6</v>
      </c>
      <c r="C176" s="53" t="s">
        <v>7638</v>
      </c>
      <c r="D176" s="53">
        <v>300005672</v>
      </c>
      <c r="E176" s="55" t="s">
        <v>7639</v>
      </c>
      <c r="F176" s="129">
        <v>5</v>
      </c>
      <c r="G176" s="129">
        <v>120</v>
      </c>
      <c r="H176" s="512">
        <v>927.6</v>
      </c>
      <c r="I176" s="265" t="s">
        <v>359</v>
      </c>
      <c r="J176" s="265" t="s">
        <v>77</v>
      </c>
      <c r="K176" s="265" t="s">
        <v>7640</v>
      </c>
      <c r="L176" s="348" t="s">
        <v>1205</v>
      </c>
      <c r="M176" s="265">
        <v>0</v>
      </c>
      <c r="N176" s="347">
        <v>2.78</v>
      </c>
      <c r="O176" s="348" t="s">
        <v>1205</v>
      </c>
      <c r="P176" s="348">
        <v>13.899999999999999</v>
      </c>
      <c r="Q176" s="348" t="s">
        <v>1205</v>
      </c>
    </row>
    <row r="177" spans="1:17" ht="15" hidden="1" customHeight="1">
      <c r="A177" s="163">
        <v>170</v>
      </c>
      <c r="B177" s="53" t="s">
        <v>6</v>
      </c>
      <c r="C177" s="53" t="s">
        <v>7641</v>
      </c>
      <c r="D177" s="53">
        <v>300005673</v>
      </c>
      <c r="E177" s="55" t="s">
        <v>7642</v>
      </c>
      <c r="F177" s="129">
        <v>10</v>
      </c>
      <c r="G177" s="129">
        <v>180</v>
      </c>
      <c r="H177" s="512">
        <v>595.45000000000005</v>
      </c>
      <c r="I177" s="265" t="s">
        <v>1693</v>
      </c>
      <c r="J177" s="265" t="s">
        <v>77</v>
      </c>
      <c r="K177" s="265" t="s">
        <v>7643</v>
      </c>
      <c r="L177" s="348" t="s">
        <v>1205</v>
      </c>
      <c r="M177" s="265">
        <v>0</v>
      </c>
      <c r="N177" s="347">
        <v>1.647</v>
      </c>
      <c r="O177" s="348" t="s">
        <v>1205</v>
      </c>
      <c r="P177" s="348">
        <v>16.47</v>
      </c>
      <c r="Q177" s="348" t="s">
        <v>1205</v>
      </c>
    </row>
    <row r="178" spans="1:17" ht="15" hidden="1" customHeight="1">
      <c r="A178" s="163">
        <v>171</v>
      </c>
      <c r="B178" s="53" t="s">
        <v>6</v>
      </c>
      <c r="C178" s="53" t="s">
        <v>7644</v>
      </c>
      <c r="D178" s="53">
        <v>300005674</v>
      </c>
      <c r="E178" s="55" t="s">
        <v>7645</v>
      </c>
      <c r="F178" s="129">
        <v>10</v>
      </c>
      <c r="G178" s="129">
        <v>180</v>
      </c>
      <c r="H178" s="512">
        <v>1028.02</v>
      </c>
      <c r="I178" s="265" t="s">
        <v>1693</v>
      </c>
      <c r="J178" s="265" t="s">
        <v>77</v>
      </c>
      <c r="K178" s="265" t="s">
        <v>7646</v>
      </c>
      <c r="L178" s="348" t="s">
        <v>1205</v>
      </c>
      <c r="M178" s="265">
        <v>0</v>
      </c>
      <c r="N178" s="347">
        <v>1.7729999999999999</v>
      </c>
      <c r="O178" s="348" t="s">
        <v>1205</v>
      </c>
      <c r="P178" s="348">
        <v>17.73</v>
      </c>
      <c r="Q178" s="348" t="s">
        <v>1205</v>
      </c>
    </row>
    <row r="179" spans="1:17" ht="15" hidden="1" customHeight="1">
      <c r="A179" s="163">
        <v>172</v>
      </c>
      <c r="B179" s="53" t="s">
        <v>6</v>
      </c>
      <c r="C179" s="53" t="s">
        <v>7647</v>
      </c>
      <c r="D179" s="53">
        <v>300005675</v>
      </c>
      <c r="E179" s="55" t="s">
        <v>7648</v>
      </c>
      <c r="F179" s="129">
        <v>5</v>
      </c>
      <c r="G179" s="129">
        <v>80</v>
      </c>
      <c r="H179" s="512">
        <v>927.6</v>
      </c>
      <c r="I179" s="265" t="s">
        <v>359</v>
      </c>
      <c r="J179" s="265" t="s">
        <v>77</v>
      </c>
      <c r="K179" s="265" t="s">
        <v>7649</v>
      </c>
      <c r="L179" s="348" t="s">
        <v>1205</v>
      </c>
      <c r="M179" s="265">
        <v>0</v>
      </c>
      <c r="N179" s="347">
        <v>2.78</v>
      </c>
      <c r="O179" s="348" t="s">
        <v>1205</v>
      </c>
      <c r="P179" s="348">
        <v>13.899999999999999</v>
      </c>
      <c r="Q179" s="348" t="s">
        <v>1205</v>
      </c>
    </row>
    <row r="180" spans="1:17" ht="15" hidden="1" customHeight="1">
      <c r="A180" s="163">
        <v>173</v>
      </c>
      <c r="B180" s="53" t="s">
        <v>6</v>
      </c>
      <c r="C180" s="53" t="s">
        <v>7650</v>
      </c>
      <c r="D180" s="53">
        <v>300005676</v>
      </c>
      <c r="E180" s="55" t="s">
        <v>7651</v>
      </c>
      <c r="F180" s="129">
        <v>5</v>
      </c>
      <c r="G180" s="129">
        <v>150</v>
      </c>
      <c r="H180" s="512">
        <v>583.85</v>
      </c>
      <c r="I180" s="265" t="s">
        <v>1693</v>
      </c>
      <c r="J180" s="265" t="s">
        <v>77</v>
      </c>
      <c r="K180" s="265" t="s">
        <v>7652</v>
      </c>
      <c r="L180" s="348" t="s">
        <v>1205</v>
      </c>
      <c r="M180" s="265">
        <v>0</v>
      </c>
      <c r="N180" s="347">
        <v>1.9910000000000001</v>
      </c>
      <c r="O180" s="348" t="s">
        <v>1205</v>
      </c>
      <c r="P180" s="348">
        <v>9.9550000000000001</v>
      </c>
      <c r="Q180" s="348" t="s">
        <v>1205</v>
      </c>
    </row>
    <row r="181" spans="1:17" ht="15" hidden="1" customHeight="1">
      <c r="A181" s="163">
        <v>174</v>
      </c>
      <c r="B181" s="53" t="s">
        <v>6</v>
      </c>
      <c r="C181" s="53" t="s">
        <v>7653</v>
      </c>
      <c r="D181" s="53">
        <v>300005677</v>
      </c>
      <c r="E181" s="55" t="s">
        <v>7654</v>
      </c>
      <c r="F181" s="129">
        <v>5</v>
      </c>
      <c r="G181" s="129">
        <v>90</v>
      </c>
      <c r="H181" s="512">
        <v>2302.16</v>
      </c>
      <c r="I181" s="265" t="s">
        <v>1693</v>
      </c>
      <c r="J181" s="265" t="s">
        <v>77</v>
      </c>
      <c r="K181" s="265" t="s">
        <v>7655</v>
      </c>
      <c r="L181" s="348" t="s">
        <v>1205</v>
      </c>
      <c r="M181" s="265">
        <v>0</v>
      </c>
      <c r="N181" s="347">
        <v>2.9</v>
      </c>
      <c r="O181" s="348" t="s">
        <v>1205</v>
      </c>
      <c r="P181" s="348">
        <v>14.5</v>
      </c>
      <c r="Q181" s="348" t="s">
        <v>1205</v>
      </c>
    </row>
    <row r="182" spans="1:17" ht="15" hidden="1" customHeight="1">
      <c r="A182" s="163">
        <v>175</v>
      </c>
      <c r="B182" s="53" t="s">
        <v>6</v>
      </c>
      <c r="C182" s="53" t="s">
        <v>7656</v>
      </c>
      <c r="D182" s="53">
        <v>100029023</v>
      </c>
      <c r="E182" s="55" t="s">
        <v>7657</v>
      </c>
      <c r="F182" s="129">
        <v>25</v>
      </c>
      <c r="G182" s="129">
        <v>1125</v>
      </c>
      <c r="H182" s="512">
        <v>110.95</v>
      </c>
      <c r="I182" s="265" t="s">
        <v>359</v>
      </c>
      <c r="J182" s="265" t="s">
        <v>102</v>
      </c>
      <c r="K182" s="265" t="s">
        <v>7658</v>
      </c>
      <c r="L182" s="348" t="s">
        <v>1205</v>
      </c>
      <c r="M182" s="265" t="s">
        <v>7659</v>
      </c>
      <c r="N182" s="347">
        <v>0.41799999999999998</v>
      </c>
      <c r="O182" s="348" t="s">
        <v>1205</v>
      </c>
      <c r="P182" s="348">
        <v>10.45</v>
      </c>
      <c r="Q182" s="348">
        <v>0.98955954024750914</v>
      </c>
    </row>
    <row r="183" spans="1:17" ht="15" hidden="1" customHeight="1">
      <c r="A183" s="163">
        <v>176</v>
      </c>
      <c r="B183" s="53" t="s">
        <v>6</v>
      </c>
      <c r="C183" s="53" t="s">
        <v>7660</v>
      </c>
      <c r="D183" s="53">
        <v>100029024</v>
      </c>
      <c r="E183" s="55" t="s">
        <v>7661</v>
      </c>
      <c r="F183" s="129">
        <v>20</v>
      </c>
      <c r="G183" s="129">
        <v>640</v>
      </c>
      <c r="H183" s="512">
        <v>153.18</v>
      </c>
      <c r="I183" s="265" t="s">
        <v>359</v>
      </c>
      <c r="J183" s="265" t="s">
        <v>102</v>
      </c>
      <c r="K183" s="265" t="s">
        <v>7662</v>
      </c>
      <c r="L183" s="348" t="s">
        <v>1205</v>
      </c>
      <c r="M183" s="265" t="s">
        <v>7663</v>
      </c>
      <c r="N183" s="347">
        <v>0.65600000000000003</v>
      </c>
      <c r="O183" s="348" t="s">
        <v>1205</v>
      </c>
      <c r="P183" s="348">
        <v>13.120000000000001</v>
      </c>
      <c r="Q183" s="348">
        <v>1.3788503419060438</v>
      </c>
    </row>
    <row r="184" spans="1:17" ht="15" hidden="1" customHeight="1">
      <c r="A184" s="163">
        <v>177</v>
      </c>
      <c r="B184" s="53" t="s">
        <v>6</v>
      </c>
      <c r="C184" s="53" t="s">
        <v>7664</v>
      </c>
      <c r="D184" s="53">
        <v>100026960</v>
      </c>
      <c r="E184" s="55" t="s">
        <v>7665</v>
      </c>
      <c r="F184" s="129">
        <v>10</v>
      </c>
      <c r="G184" s="129">
        <v>180</v>
      </c>
      <c r="H184" s="512">
        <v>428.35</v>
      </c>
      <c r="I184" s="265" t="s">
        <v>359</v>
      </c>
      <c r="J184" s="265" t="s">
        <v>102</v>
      </c>
      <c r="K184" s="265" t="s">
        <v>7666</v>
      </c>
      <c r="L184" s="348" t="s">
        <v>1205</v>
      </c>
      <c r="M184" s="265" t="s">
        <v>7667</v>
      </c>
      <c r="N184" s="347">
        <v>1.925</v>
      </c>
      <c r="O184" s="348" t="s">
        <v>1205</v>
      </c>
      <c r="P184" s="348">
        <v>19.25</v>
      </c>
      <c r="Q184" s="348">
        <v>2.361325291407383</v>
      </c>
    </row>
    <row r="185" spans="1:17" ht="15" hidden="1" customHeight="1">
      <c r="A185" s="163">
        <v>178</v>
      </c>
      <c r="B185" s="53" t="s">
        <v>6</v>
      </c>
      <c r="C185" s="53" t="s">
        <v>7668</v>
      </c>
      <c r="D185" s="53">
        <v>100029026</v>
      </c>
      <c r="E185" s="55" t="s">
        <v>7669</v>
      </c>
      <c r="F185" s="129">
        <v>6</v>
      </c>
      <c r="G185" s="129">
        <v>108</v>
      </c>
      <c r="H185" s="512">
        <v>688.94</v>
      </c>
      <c r="I185" s="265" t="s">
        <v>76</v>
      </c>
      <c r="J185" s="265" t="s">
        <v>102</v>
      </c>
      <c r="K185" s="265" t="s">
        <v>7670</v>
      </c>
      <c r="L185" s="348" t="s">
        <v>1205</v>
      </c>
      <c r="M185" s="265" t="s">
        <v>7671</v>
      </c>
      <c r="N185" s="347">
        <v>3.4870000000000001</v>
      </c>
      <c r="O185" s="348" t="s">
        <v>1205</v>
      </c>
      <c r="P185" s="348">
        <v>20.922000000000001</v>
      </c>
      <c r="Q185" s="348">
        <v>2.361325291407383</v>
      </c>
    </row>
    <row r="186" spans="1:17" ht="15" hidden="1" customHeight="1">
      <c r="A186" s="163">
        <v>179</v>
      </c>
      <c r="B186" s="53" t="s">
        <v>6</v>
      </c>
      <c r="C186" s="53" t="s">
        <v>7672</v>
      </c>
      <c r="D186" s="53">
        <v>100029027</v>
      </c>
      <c r="E186" s="55" t="s">
        <v>7673</v>
      </c>
      <c r="F186" s="129">
        <v>25</v>
      </c>
      <c r="G186" s="129">
        <v>800</v>
      </c>
      <c r="H186" s="512">
        <v>117.65</v>
      </c>
      <c r="I186" s="265" t="s">
        <v>76</v>
      </c>
      <c r="J186" s="265" t="s">
        <v>102</v>
      </c>
      <c r="K186" s="265" t="s">
        <v>7674</v>
      </c>
      <c r="L186" s="348" t="s">
        <v>1205</v>
      </c>
      <c r="M186" s="265" t="s">
        <v>7675</v>
      </c>
      <c r="N186" s="347">
        <v>0.56399999999999995</v>
      </c>
      <c r="O186" s="348" t="s">
        <v>1205</v>
      </c>
      <c r="P186" s="348">
        <v>14.099999999999998</v>
      </c>
      <c r="Q186" s="348">
        <v>1.3788503419060438</v>
      </c>
    </row>
    <row r="187" spans="1:17" ht="15" hidden="1" customHeight="1">
      <c r="A187" s="163">
        <v>180</v>
      </c>
      <c r="B187" s="53" t="s">
        <v>6</v>
      </c>
      <c r="C187" s="53" t="s">
        <v>7676</v>
      </c>
      <c r="D187" s="53">
        <v>100029028</v>
      </c>
      <c r="E187" s="55" t="s">
        <v>7677</v>
      </c>
      <c r="F187" s="129">
        <v>20</v>
      </c>
      <c r="G187" s="129">
        <v>360</v>
      </c>
      <c r="H187" s="512">
        <v>278.93</v>
      </c>
      <c r="I187" s="265" t="s">
        <v>359</v>
      </c>
      <c r="J187" s="265" t="s">
        <v>102</v>
      </c>
      <c r="K187" s="265" t="s">
        <v>7678</v>
      </c>
      <c r="L187" s="348" t="s">
        <v>1205</v>
      </c>
      <c r="M187" s="265" t="s">
        <v>7679</v>
      </c>
      <c r="N187" s="347">
        <v>1.091</v>
      </c>
      <c r="O187" s="348" t="s">
        <v>1205</v>
      </c>
      <c r="P187" s="348">
        <v>21.82</v>
      </c>
      <c r="Q187" s="348">
        <v>2.361325291407383</v>
      </c>
    </row>
    <row r="188" spans="1:17" ht="15" hidden="1" customHeight="1">
      <c r="A188" s="163">
        <v>181</v>
      </c>
      <c r="B188" s="53" t="s">
        <v>6</v>
      </c>
      <c r="C188" s="53" t="s">
        <v>7680</v>
      </c>
      <c r="D188" s="53">
        <v>100029029</v>
      </c>
      <c r="E188" s="55" t="s">
        <v>7681</v>
      </c>
      <c r="F188" s="129">
        <v>10</v>
      </c>
      <c r="G188" s="129">
        <v>450</v>
      </c>
      <c r="H188" s="512">
        <v>296.64</v>
      </c>
      <c r="I188" s="265" t="s">
        <v>359</v>
      </c>
      <c r="J188" s="265" t="s">
        <v>102</v>
      </c>
      <c r="K188" s="265" t="s">
        <v>7682</v>
      </c>
      <c r="L188" s="348" t="s">
        <v>1205</v>
      </c>
      <c r="M188" s="265" t="s">
        <v>7683</v>
      </c>
      <c r="N188" s="347">
        <v>1.1519999999999999</v>
      </c>
      <c r="O188" s="348" t="s">
        <v>1205</v>
      </c>
      <c r="P188" s="348">
        <v>11.52</v>
      </c>
      <c r="Q188" s="348">
        <v>0.98955954024750914</v>
      </c>
    </row>
    <row r="189" spans="1:17" ht="15" hidden="1" customHeight="1">
      <c r="A189" s="163">
        <v>182</v>
      </c>
      <c r="B189" s="53" t="s">
        <v>6</v>
      </c>
      <c r="C189" s="53" t="s">
        <v>7684</v>
      </c>
      <c r="D189" s="53">
        <v>100029030</v>
      </c>
      <c r="E189" s="55" t="s">
        <v>7685</v>
      </c>
      <c r="F189" s="129">
        <v>7</v>
      </c>
      <c r="G189" s="129">
        <v>224</v>
      </c>
      <c r="H189" s="512">
        <v>557.39</v>
      </c>
      <c r="I189" s="265" t="s">
        <v>359</v>
      </c>
      <c r="J189" s="265" t="s">
        <v>102</v>
      </c>
      <c r="K189" s="265" t="s">
        <v>7686</v>
      </c>
      <c r="L189" s="348" t="s">
        <v>1205</v>
      </c>
      <c r="M189" s="265" t="s">
        <v>7687</v>
      </c>
      <c r="N189" s="347">
        <v>1.861</v>
      </c>
      <c r="O189" s="348" t="s">
        <v>1205</v>
      </c>
      <c r="P189" s="348">
        <v>13.026999999999999</v>
      </c>
      <c r="Q189" s="348">
        <v>1.3788503419060438</v>
      </c>
    </row>
    <row r="190" spans="1:17" ht="15" hidden="1" customHeight="1">
      <c r="A190" s="163">
        <v>183</v>
      </c>
      <c r="B190" s="53" t="s">
        <v>6</v>
      </c>
      <c r="C190" s="53" t="s">
        <v>7688</v>
      </c>
      <c r="D190" s="53">
        <v>100029031</v>
      </c>
      <c r="E190" s="55" t="s">
        <v>7689</v>
      </c>
      <c r="F190" s="129">
        <v>8</v>
      </c>
      <c r="G190" s="129">
        <v>144</v>
      </c>
      <c r="H190" s="512">
        <v>591.24</v>
      </c>
      <c r="I190" s="265" t="s">
        <v>359</v>
      </c>
      <c r="J190" s="265" t="s">
        <v>102</v>
      </c>
      <c r="K190" s="265" t="s">
        <v>7690</v>
      </c>
      <c r="L190" s="348" t="s">
        <v>1205</v>
      </c>
      <c r="M190" s="265" t="s">
        <v>7691</v>
      </c>
      <c r="N190" s="347">
        <v>2.472</v>
      </c>
      <c r="O190" s="348" t="s">
        <v>1205</v>
      </c>
      <c r="P190" s="348">
        <v>19.776</v>
      </c>
      <c r="Q190" s="348">
        <v>2.361325291407383</v>
      </c>
    </row>
    <row r="191" spans="1:17" ht="15" hidden="1" customHeight="1">
      <c r="A191" s="163">
        <v>184</v>
      </c>
      <c r="B191" s="53" t="s">
        <v>6</v>
      </c>
      <c r="C191" s="53" t="s">
        <v>7692</v>
      </c>
      <c r="D191" s="53">
        <v>300005833</v>
      </c>
      <c r="E191" s="55" t="s">
        <v>7693</v>
      </c>
      <c r="F191" s="129">
        <v>10</v>
      </c>
      <c r="G191" s="129">
        <v>72</v>
      </c>
      <c r="H191" s="512">
        <v>1468.2</v>
      </c>
      <c r="I191" s="265" t="s">
        <v>1693</v>
      </c>
      <c r="J191" s="265" t="s">
        <v>77</v>
      </c>
      <c r="K191" s="265" t="s">
        <v>7694</v>
      </c>
      <c r="L191" s="348" t="s">
        <v>1205</v>
      </c>
      <c r="M191" s="265">
        <v>0</v>
      </c>
      <c r="N191" s="347">
        <v>3.25</v>
      </c>
      <c r="O191" s="348" t="s">
        <v>1205</v>
      </c>
      <c r="P191" s="348">
        <v>32.5</v>
      </c>
      <c r="Q191" s="348" t="s">
        <v>1205</v>
      </c>
    </row>
    <row r="192" spans="1:17" ht="15" hidden="1" customHeight="1">
      <c r="A192" s="163">
        <v>185</v>
      </c>
      <c r="B192" s="53" t="s">
        <v>6</v>
      </c>
      <c r="C192" s="53" t="s">
        <v>7695</v>
      </c>
      <c r="D192" s="53">
        <v>300005678</v>
      </c>
      <c r="E192" s="55" t="s">
        <v>7696</v>
      </c>
      <c r="F192" s="129">
        <v>5</v>
      </c>
      <c r="G192" s="129">
        <v>72</v>
      </c>
      <c r="H192" s="512">
        <v>1630.75</v>
      </c>
      <c r="I192" s="265" t="s">
        <v>359</v>
      </c>
      <c r="J192" s="265" t="s">
        <v>77</v>
      </c>
      <c r="K192" s="265" t="s">
        <v>7697</v>
      </c>
      <c r="L192" s="348" t="s">
        <v>1205</v>
      </c>
      <c r="M192" s="265">
        <v>0</v>
      </c>
      <c r="N192" s="347">
        <v>3.5339999999999998</v>
      </c>
      <c r="O192" s="348" t="s">
        <v>1205</v>
      </c>
      <c r="P192" s="348">
        <v>17.669999999999998</v>
      </c>
      <c r="Q192" s="348" t="s">
        <v>1205</v>
      </c>
    </row>
    <row r="193" spans="1:17" ht="15" hidden="1" customHeight="1">
      <c r="A193" s="163">
        <v>186</v>
      </c>
      <c r="B193" s="53" t="s">
        <v>6</v>
      </c>
      <c r="C193" s="53" t="s">
        <v>7698</v>
      </c>
      <c r="D193" s="53">
        <v>300005679</v>
      </c>
      <c r="E193" s="55" t="s">
        <v>7699</v>
      </c>
      <c r="F193" s="129">
        <v>25</v>
      </c>
      <c r="G193" s="129">
        <v>900</v>
      </c>
      <c r="H193" s="512">
        <v>316.61</v>
      </c>
      <c r="I193" s="265" t="s">
        <v>1693</v>
      </c>
      <c r="J193" s="265" t="s">
        <v>77</v>
      </c>
      <c r="K193" s="265" t="s">
        <v>7700</v>
      </c>
      <c r="L193" s="348" t="s">
        <v>1205</v>
      </c>
      <c r="M193" s="265">
        <v>0</v>
      </c>
      <c r="N193" s="347">
        <v>0.37</v>
      </c>
      <c r="O193" s="348" t="s">
        <v>1205</v>
      </c>
      <c r="P193" s="348">
        <v>9.25</v>
      </c>
      <c r="Q193" s="348" t="s">
        <v>1205</v>
      </c>
    </row>
    <row r="194" spans="1:17" ht="15" hidden="1" customHeight="1">
      <c r="A194" s="163">
        <v>187</v>
      </c>
      <c r="B194" s="53" t="s">
        <v>6</v>
      </c>
      <c r="C194" s="53" t="s">
        <v>7701</v>
      </c>
      <c r="D194" s="53">
        <v>300005680</v>
      </c>
      <c r="E194" s="55" t="s">
        <v>7702</v>
      </c>
      <c r="F194" s="129">
        <v>5</v>
      </c>
      <c r="G194" s="129">
        <v>175</v>
      </c>
      <c r="H194" s="512">
        <v>724.4</v>
      </c>
      <c r="I194" s="265" t="s">
        <v>1693</v>
      </c>
      <c r="J194" s="265" t="s">
        <v>77</v>
      </c>
      <c r="K194" s="265" t="s">
        <v>7703</v>
      </c>
      <c r="L194" s="348" t="s">
        <v>1205</v>
      </c>
      <c r="M194" s="265">
        <v>0</v>
      </c>
      <c r="N194" s="347">
        <v>2.2200000000000002</v>
      </c>
      <c r="O194" s="348" t="s">
        <v>1205</v>
      </c>
      <c r="P194" s="348">
        <v>11.100000000000001</v>
      </c>
      <c r="Q194" s="348" t="s">
        <v>1205</v>
      </c>
    </row>
    <row r="195" spans="1:17" ht="15" hidden="1" customHeight="1">
      <c r="A195" s="163">
        <v>188</v>
      </c>
      <c r="B195" s="53" t="s">
        <v>6</v>
      </c>
      <c r="C195" s="53" t="s">
        <v>7704</v>
      </c>
      <c r="D195" s="53">
        <v>300005681</v>
      </c>
      <c r="E195" s="55" t="s">
        <v>7705</v>
      </c>
      <c r="F195" s="129">
        <v>4</v>
      </c>
      <c r="G195" s="129">
        <v>32</v>
      </c>
      <c r="H195" s="512">
        <v>1328.3</v>
      </c>
      <c r="I195" s="265" t="s">
        <v>1693</v>
      </c>
      <c r="J195" s="265" t="s">
        <v>77</v>
      </c>
      <c r="K195" s="265" t="s">
        <v>7706</v>
      </c>
      <c r="L195" s="348" t="s">
        <v>1205</v>
      </c>
      <c r="M195" s="265">
        <v>0</v>
      </c>
      <c r="N195" s="347">
        <v>6.33</v>
      </c>
      <c r="O195" s="348" t="s">
        <v>1205</v>
      </c>
      <c r="P195" s="348">
        <v>25.32</v>
      </c>
      <c r="Q195" s="348" t="s">
        <v>1205</v>
      </c>
    </row>
    <row r="196" spans="1:17" ht="15" hidden="1" customHeight="1">
      <c r="A196" s="163">
        <v>189</v>
      </c>
      <c r="B196" s="53" t="s">
        <v>6</v>
      </c>
      <c r="C196" s="53" t="s">
        <v>7707</v>
      </c>
      <c r="D196" s="53">
        <v>100029044</v>
      </c>
      <c r="E196" s="55" t="s">
        <v>7708</v>
      </c>
      <c r="F196" s="129">
        <v>20</v>
      </c>
      <c r="G196" s="129">
        <v>2560</v>
      </c>
      <c r="H196" s="512">
        <v>112.38</v>
      </c>
      <c r="I196" s="265" t="s">
        <v>76</v>
      </c>
      <c r="J196" s="265" t="s">
        <v>102</v>
      </c>
      <c r="K196" s="265" t="s">
        <v>7709</v>
      </c>
      <c r="L196" s="348" t="s">
        <v>1205</v>
      </c>
      <c r="M196" s="265" t="s">
        <v>7710</v>
      </c>
      <c r="N196" s="347">
        <v>0.27700000000000002</v>
      </c>
      <c r="O196" s="348" t="s">
        <v>1205</v>
      </c>
      <c r="P196" s="348">
        <v>5.5400000000000009</v>
      </c>
      <c r="Q196" s="348">
        <v>0.32375720697715193</v>
      </c>
    </row>
    <row r="197" spans="1:17" ht="15" hidden="1" customHeight="1">
      <c r="A197" s="163">
        <v>190</v>
      </c>
      <c r="B197" s="53" t="s">
        <v>6</v>
      </c>
      <c r="C197" s="53" t="s">
        <v>7711</v>
      </c>
      <c r="D197" s="53">
        <v>100029045</v>
      </c>
      <c r="E197" s="55" t="s">
        <v>7712</v>
      </c>
      <c r="F197" s="129">
        <v>20</v>
      </c>
      <c r="G197" s="129">
        <v>1260</v>
      </c>
      <c r="H197" s="512">
        <v>121.12</v>
      </c>
      <c r="I197" s="265" t="s">
        <v>76</v>
      </c>
      <c r="J197" s="265" t="s">
        <v>102</v>
      </c>
      <c r="K197" s="265" t="s">
        <v>7713</v>
      </c>
      <c r="L197" s="348" t="s">
        <v>1205</v>
      </c>
      <c r="M197" s="265" t="s">
        <v>7714</v>
      </c>
      <c r="N197" s="347">
        <v>0.41</v>
      </c>
      <c r="O197" s="348" t="s">
        <v>1205</v>
      </c>
      <c r="P197" s="348">
        <v>8.1999999999999993</v>
      </c>
      <c r="Q197" s="348">
        <v>0.66940792428507967</v>
      </c>
    </row>
    <row r="198" spans="1:17" ht="15" hidden="1" customHeight="1">
      <c r="A198" s="163">
        <v>191</v>
      </c>
      <c r="B198" s="53" t="s">
        <v>6</v>
      </c>
      <c r="C198" s="53" t="s">
        <v>7715</v>
      </c>
      <c r="D198" s="53">
        <v>100029046</v>
      </c>
      <c r="E198" s="55" t="s">
        <v>7716</v>
      </c>
      <c r="F198" s="129">
        <v>10</v>
      </c>
      <c r="G198" s="129">
        <v>450</v>
      </c>
      <c r="H198" s="512">
        <v>234.96</v>
      </c>
      <c r="I198" s="265" t="s">
        <v>76</v>
      </c>
      <c r="J198" s="265" t="s">
        <v>102</v>
      </c>
      <c r="K198" s="265" t="s">
        <v>7717</v>
      </c>
      <c r="L198" s="348" t="s">
        <v>1205</v>
      </c>
      <c r="M198" s="265" t="s">
        <v>7718</v>
      </c>
      <c r="N198" s="347">
        <v>1.1659999999999999</v>
      </c>
      <c r="O198" s="348" t="s">
        <v>1205</v>
      </c>
      <c r="P198" s="348">
        <v>11.66</v>
      </c>
      <c r="Q198" s="348">
        <v>0.98955954024750914</v>
      </c>
    </row>
    <row r="199" spans="1:17" ht="15" hidden="1" customHeight="1">
      <c r="A199" s="163">
        <v>192</v>
      </c>
      <c r="B199" s="53" t="s">
        <v>6</v>
      </c>
      <c r="C199" s="53" t="s">
        <v>7719</v>
      </c>
      <c r="D199" s="53">
        <v>100029047</v>
      </c>
      <c r="E199" s="55" t="s">
        <v>7720</v>
      </c>
      <c r="F199" s="129">
        <v>10</v>
      </c>
      <c r="G199" s="129">
        <v>240</v>
      </c>
      <c r="H199" s="512">
        <v>417.88</v>
      </c>
      <c r="I199" s="265" t="s">
        <v>359</v>
      </c>
      <c r="J199" s="265" t="s">
        <v>102</v>
      </c>
      <c r="K199" s="265" t="s">
        <v>7721</v>
      </c>
      <c r="L199" s="348" t="s">
        <v>1205</v>
      </c>
      <c r="M199" s="265" t="s">
        <v>7722</v>
      </c>
      <c r="N199" s="347">
        <v>2.1030000000000002</v>
      </c>
      <c r="O199" s="348" t="s">
        <v>1205</v>
      </c>
      <c r="P199" s="348">
        <v>21.03</v>
      </c>
      <c r="Q199" s="348">
        <v>1.8803145838984718</v>
      </c>
    </row>
    <row r="200" spans="1:17" ht="15" hidden="1" customHeight="1">
      <c r="A200" s="163">
        <v>193</v>
      </c>
      <c r="B200" s="53" t="s">
        <v>6</v>
      </c>
      <c r="C200" s="53" t="s">
        <v>7723</v>
      </c>
      <c r="D200" s="53">
        <v>100029039</v>
      </c>
      <c r="E200" s="55" t="s">
        <v>7724</v>
      </c>
      <c r="F200" s="129">
        <v>5</v>
      </c>
      <c r="G200" s="129">
        <v>70</v>
      </c>
      <c r="H200" s="512">
        <v>2341.2600000000002</v>
      </c>
      <c r="I200" s="265" t="s">
        <v>76</v>
      </c>
      <c r="J200" s="265" t="s">
        <v>102</v>
      </c>
      <c r="K200" s="265" t="s">
        <v>7725</v>
      </c>
      <c r="L200" s="348" t="s">
        <v>1205</v>
      </c>
      <c r="M200" s="265" t="s">
        <v>7726</v>
      </c>
      <c r="N200" s="347">
        <v>6.5350000000000001</v>
      </c>
      <c r="O200" s="348" t="s">
        <v>1205</v>
      </c>
      <c r="P200" s="348">
        <v>32.674999999999997</v>
      </c>
      <c r="Q200" s="348">
        <v>3.6731726755225957</v>
      </c>
    </row>
    <row r="201" spans="1:17" ht="15" hidden="1" customHeight="1">
      <c r="A201" s="163">
        <v>194</v>
      </c>
      <c r="B201" s="53" t="s">
        <v>6</v>
      </c>
      <c r="C201" s="53" t="s">
        <v>7727</v>
      </c>
      <c r="D201" s="53">
        <v>100029040</v>
      </c>
      <c r="E201" s="55" t="s">
        <v>7728</v>
      </c>
      <c r="F201" s="129">
        <v>10</v>
      </c>
      <c r="G201" s="129">
        <v>1800</v>
      </c>
      <c r="H201" s="512">
        <v>127.98</v>
      </c>
      <c r="I201" s="265" t="s">
        <v>359</v>
      </c>
      <c r="J201" s="265" t="s">
        <v>102</v>
      </c>
      <c r="K201" s="265" t="s">
        <v>7729</v>
      </c>
      <c r="L201" s="348" t="s">
        <v>1205</v>
      </c>
      <c r="M201" s="265" t="s">
        <v>7730</v>
      </c>
      <c r="N201" s="347">
        <v>0.35699999999999998</v>
      </c>
      <c r="O201" s="348" t="s">
        <v>1205</v>
      </c>
      <c r="P201" s="348">
        <v>3.57</v>
      </c>
      <c r="Q201" s="348">
        <v>0.21565729329437433</v>
      </c>
    </row>
    <row r="202" spans="1:17" ht="15" hidden="1" customHeight="1">
      <c r="A202" s="163">
        <v>195</v>
      </c>
      <c r="B202" s="53" t="s">
        <v>6</v>
      </c>
      <c r="C202" s="53" t="s">
        <v>7731</v>
      </c>
      <c r="D202" s="53">
        <v>100029041</v>
      </c>
      <c r="E202" s="55" t="s">
        <v>7732</v>
      </c>
      <c r="F202" s="129">
        <v>10</v>
      </c>
      <c r="G202" s="129">
        <v>800</v>
      </c>
      <c r="H202" s="512">
        <v>148.44</v>
      </c>
      <c r="I202" s="265" t="s">
        <v>76</v>
      </c>
      <c r="J202" s="265" t="s">
        <v>102</v>
      </c>
      <c r="K202" s="265" t="s">
        <v>7733</v>
      </c>
      <c r="L202" s="348" t="s">
        <v>1205</v>
      </c>
      <c r="M202" s="265" t="s">
        <v>7734</v>
      </c>
      <c r="N202" s="347">
        <v>0.51300000000000001</v>
      </c>
      <c r="O202" s="348" t="s">
        <v>1205</v>
      </c>
      <c r="P202" s="348">
        <v>5.13</v>
      </c>
      <c r="Q202" s="348">
        <v>0.4856358104657279</v>
      </c>
    </row>
    <row r="203" spans="1:17" ht="15" hidden="1" customHeight="1">
      <c r="A203" s="163">
        <v>196</v>
      </c>
      <c r="B203" s="53" t="s">
        <v>6</v>
      </c>
      <c r="C203" s="53" t="s">
        <v>7735</v>
      </c>
      <c r="D203" s="53">
        <v>100029042</v>
      </c>
      <c r="E203" s="55" t="s">
        <v>7736</v>
      </c>
      <c r="F203" s="129">
        <v>10</v>
      </c>
      <c r="G203" s="129">
        <v>450</v>
      </c>
      <c r="H203" s="512">
        <v>283.58</v>
      </c>
      <c r="I203" s="265" t="s">
        <v>76</v>
      </c>
      <c r="J203" s="265" t="s">
        <v>102</v>
      </c>
      <c r="K203" s="265" t="s">
        <v>7737</v>
      </c>
      <c r="L203" s="348" t="s">
        <v>1205</v>
      </c>
      <c r="M203" s="265" t="s">
        <v>7738</v>
      </c>
      <c r="N203" s="347">
        <v>1.4079999999999999</v>
      </c>
      <c r="O203" s="348" t="s">
        <v>1205</v>
      </c>
      <c r="P203" s="348">
        <v>14.079999999999998</v>
      </c>
      <c r="Q203" s="348">
        <v>0.98955954024750914</v>
      </c>
    </row>
    <row r="204" spans="1:17" ht="15" hidden="1" customHeight="1">
      <c r="A204" s="163">
        <v>197</v>
      </c>
      <c r="B204" s="53" t="s">
        <v>6</v>
      </c>
      <c r="C204" s="53" t="s">
        <v>7739</v>
      </c>
      <c r="D204" s="53">
        <v>100029043</v>
      </c>
      <c r="E204" s="55" t="s">
        <v>7740</v>
      </c>
      <c r="F204" s="129">
        <v>5</v>
      </c>
      <c r="G204" s="129">
        <v>225</v>
      </c>
      <c r="H204" s="512">
        <v>489.93</v>
      </c>
      <c r="I204" s="265" t="s">
        <v>76</v>
      </c>
      <c r="J204" s="265" t="s">
        <v>102</v>
      </c>
      <c r="K204" s="265" t="s">
        <v>7741</v>
      </c>
      <c r="L204" s="348" t="s">
        <v>1205</v>
      </c>
      <c r="M204" s="265" t="s">
        <v>7742</v>
      </c>
      <c r="N204" s="347">
        <v>2.5550000000000002</v>
      </c>
      <c r="O204" s="348" t="s">
        <v>1205</v>
      </c>
      <c r="P204" s="348">
        <v>12.775</v>
      </c>
      <c r="Q204" s="348">
        <v>0.98955954024750914</v>
      </c>
    </row>
    <row r="205" spans="1:17" ht="15" hidden="1" customHeight="1">
      <c r="A205" s="163">
        <v>198</v>
      </c>
      <c r="B205" s="53" t="s">
        <v>6</v>
      </c>
      <c r="C205" s="53" t="s">
        <v>7743</v>
      </c>
      <c r="D205" s="53">
        <v>100029048</v>
      </c>
      <c r="E205" s="55" t="s">
        <v>7744</v>
      </c>
      <c r="F205" s="129">
        <v>10</v>
      </c>
      <c r="G205" s="129">
        <v>300</v>
      </c>
      <c r="H205" s="512">
        <v>396.67</v>
      </c>
      <c r="I205" s="265" t="s">
        <v>76</v>
      </c>
      <c r="J205" s="265" t="s">
        <v>102</v>
      </c>
      <c r="K205" s="265" t="s">
        <v>7745</v>
      </c>
      <c r="L205" s="348" t="s">
        <v>1205</v>
      </c>
      <c r="M205" s="265" t="s">
        <v>7746</v>
      </c>
      <c r="N205" s="347">
        <v>1.3260000000000001</v>
      </c>
      <c r="O205" s="348" t="s">
        <v>1205</v>
      </c>
      <c r="P205" s="348">
        <v>13.260000000000002</v>
      </c>
      <c r="Q205" s="348">
        <v>0.98955954024750914</v>
      </c>
    </row>
    <row r="206" spans="1:17" ht="15" hidden="1" customHeight="1">
      <c r="A206" s="163">
        <v>199</v>
      </c>
      <c r="B206" s="53" t="s">
        <v>6</v>
      </c>
      <c r="C206" s="53" t="s">
        <v>7747</v>
      </c>
      <c r="D206" s="53">
        <v>100029049</v>
      </c>
      <c r="E206" s="55" t="s">
        <v>7748</v>
      </c>
      <c r="F206" s="129">
        <v>10</v>
      </c>
      <c r="G206" s="129">
        <v>180</v>
      </c>
      <c r="H206" s="512">
        <v>570.02</v>
      </c>
      <c r="I206" s="265" t="s">
        <v>359</v>
      </c>
      <c r="J206" s="265" t="s">
        <v>102</v>
      </c>
      <c r="K206" s="265" t="s">
        <v>7749</v>
      </c>
      <c r="L206" s="348" t="s">
        <v>1205</v>
      </c>
      <c r="M206" s="265" t="s">
        <v>7750</v>
      </c>
      <c r="N206" s="347">
        <v>2.391</v>
      </c>
      <c r="O206" s="348" t="s">
        <v>1205</v>
      </c>
      <c r="P206" s="348">
        <v>23.91</v>
      </c>
      <c r="Q206" s="348">
        <v>1.8803145838984718</v>
      </c>
    </row>
    <row r="207" spans="1:17" ht="15" hidden="1" customHeight="1">
      <c r="A207" s="163">
        <v>200</v>
      </c>
      <c r="B207" s="53" t="s">
        <v>6</v>
      </c>
      <c r="C207" s="53" t="s">
        <v>7751</v>
      </c>
      <c r="D207" s="53">
        <v>100029050</v>
      </c>
      <c r="E207" s="55" t="s">
        <v>7752</v>
      </c>
      <c r="F207" s="129">
        <v>12</v>
      </c>
      <c r="G207" s="129">
        <v>216</v>
      </c>
      <c r="H207" s="512">
        <v>448.92</v>
      </c>
      <c r="I207" s="265" t="s">
        <v>76</v>
      </c>
      <c r="J207" s="265" t="s">
        <v>102</v>
      </c>
      <c r="K207" s="265" t="s">
        <v>7753</v>
      </c>
      <c r="L207" s="348" t="s">
        <v>1205</v>
      </c>
      <c r="M207" s="265" t="s">
        <v>7754</v>
      </c>
      <c r="N207" s="347">
        <v>2.1019999999999999</v>
      </c>
      <c r="O207" s="348" t="s">
        <v>1205</v>
      </c>
      <c r="P207" s="348">
        <v>25.223999999999997</v>
      </c>
      <c r="Q207" s="348">
        <v>2.361325291407383</v>
      </c>
    </row>
    <row r="208" spans="1:17" ht="15" hidden="1" customHeight="1">
      <c r="A208" s="163">
        <v>201</v>
      </c>
      <c r="B208" s="53" t="s">
        <v>6</v>
      </c>
      <c r="C208" s="53" t="s">
        <v>7755</v>
      </c>
      <c r="D208" s="53">
        <v>100029051</v>
      </c>
      <c r="E208" s="55" t="s">
        <v>7756</v>
      </c>
      <c r="F208" s="129">
        <v>5</v>
      </c>
      <c r="G208" s="129">
        <v>120</v>
      </c>
      <c r="H208" s="512">
        <v>581.12</v>
      </c>
      <c r="I208" s="265" t="s">
        <v>76</v>
      </c>
      <c r="J208" s="265" t="s">
        <v>102</v>
      </c>
      <c r="K208" s="265" t="s">
        <v>7757</v>
      </c>
      <c r="L208" s="348" t="s">
        <v>1205</v>
      </c>
      <c r="M208" s="265" t="s">
        <v>7758</v>
      </c>
      <c r="N208" s="347">
        <v>3.9220000000000002</v>
      </c>
      <c r="O208" s="348" t="s">
        <v>1205</v>
      </c>
      <c r="P208" s="348">
        <v>19.61</v>
      </c>
      <c r="Q208" s="348">
        <v>1.8803145838984718</v>
      </c>
    </row>
    <row r="209" spans="1:17" ht="15" hidden="1" customHeight="1">
      <c r="A209" s="163">
        <v>202</v>
      </c>
      <c r="B209" s="53" t="s">
        <v>6</v>
      </c>
      <c r="C209" s="53" t="s">
        <v>7759</v>
      </c>
      <c r="D209" s="53">
        <v>300005682</v>
      </c>
      <c r="E209" s="55" t="s">
        <v>7760</v>
      </c>
      <c r="F209" s="129">
        <v>3</v>
      </c>
      <c r="G209" s="129" t="s">
        <v>1205</v>
      </c>
      <c r="H209" s="512">
        <v>5809.97</v>
      </c>
      <c r="I209" s="265" t="s">
        <v>1693</v>
      </c>
      <c r="J209" s="265" t="s">
        <v>77</v>
      </c>
      <c r="K209" s="265" t="s">
        <v>7761</v>
      </c>
      <c r="L209" s="348" t="s">
        <v>1205</v>
      </c>
      <c r="M209" s="265">
        <v>0</v>
      </c>
      <c r="N209" s="347">
        <v>7.54</v>
      </c>
      <c r="O209" s="348" t="s">
        <v>1205</v>
      </c>
      <c r="P209" s="348">
        <v>22.62</v>
      </c>
      <c r="Q209" s="348" t="s">
        <v>1205</v>
      </c>
    </row>
    <row r="210" spans="1:17" ht="15" hidden="1" customHeight="1">
      <c r="A210" s="163">
        <v>203</v>
      </c>
      <c r="B210" s="53" t="s">
        <v>6</v>
      </c>
      <c r="C210" s="53" t="s">
        <v>7762</v>
      </c>
      <c r="D210" s="53">
        <v>300005683</v>
      </c>
      <c r="E210" s="55" t="s">
        <v>7763</v>
      </c>
      <c r="F210" s="129">
        <v>10</v>
      </c>
      <c r="G210" s="129">
        <v>0</v>
      </c>
      <c r="H210" s="512">
        <v>921.01</v>
      </c>
      <c r="I210" s="265" t="s">
        <v>1693</v>
      </c>
      <c r="J210" s="265" t="s">
        <v>77</v>
      </c>
      <c r="K210" s="265" t="s">
        <v>7764</v>
      </c>
      <c r="L210" s="348" t="s">
        <v>1205</v>
      </c>
      <c r="M210" s="265">
        <v>0</v>
      </c>
      <c r="N210" s="347">
        <v>2.48</v>
      </c>
      <c r="O210" s="348" t="s">
        <v>1205</v>
      </c>
      <c r="P210" s="348">
        <v>24.8</v>
      </c>
      <c r="Q210" s="348" t="s">
        <v>1205</v>
      </c>
    </row>
    <row r="211" spans="1:17" ht="15" hidden="1" customHeight="1">
      <c r="A211" s="163">
        <v>204</v>
      </c>
      <c r="B211" s="53" t="s">
        <v>6</v>
      </c>
      <c r="C211" s="53" t="s">
        <v>7765</v>
      </c>
      <c r="D211" s="53">
        <v>300005684</v>
      </c>
      <c r="E211" s="55" t="s">
        <v>7766</v>
      </c>
      <c r="F211" s="129">
        <v>20</v>
      </c>
      <c r="G211" s="129">
        <v>0</v>
      </c>
      <c r="H211" s="512">
        <v>299.75</v>
      </c>
      <c r="I211" s="265" t="s">
        <v>1693</v>
      </c>
      <c r="J211" s="265" t="s">
        <v>77</v>
      </c>
      <c r="K211" s="265" t="s">
        <v>7767</v>
      </c>
      <c r="L211" s="348" t="s">
        <v>1205</v>
      </c>
      <c r="M211" s="265">
        <v>0</v>
      </c>
      <c r="N211" s="347">
        <v>0.55100000000000005</v>
      </c>
      <c r="O211" s="348" t="s">
        <v>1205</v>
      </c>
      <c r="P211" s="348">
        <v>11.020000000000001</v>
      </c>
      <c r="Q211" s="348" t="s">
        <v>1205</v>
      </c>
    </row>
    <row r="212" spans="1:17" ht="15" hidden="1" customHeight="1">
      <c r="A212" s="163">
        <v>205</v>
      </c>
      <c r="B212" s="53" t="s">
        <v>6</v>
      </c>
      <c r="C212" s="53" t="s">
        <v>7768</v>
      </c>
      <c r="D212" s="53">
        <v>300005685</v>
      </c>
      <c r="E212" s="55" t="s">
        <v>7769</v>
      </c>
      <c r="F212" s="129">
        <v>25</v>
      </c>
      <c r="G212" s="129">
        <v>360</v>
      </c>
      <c r="H212" s="512">
        <v>442</v>
      </c>
      <c r="I212" s="265" t="s">
        <v>359</v>
      </c>
      <c r="J212" s="265" t="s">
        <v>77</v>
      </c>
      <c r="K212" s="265" t="s">
        <v>7770</v>
      </c>
      <c r="L212" s="348" t="s">
        <v>1205</v>
      </c>
      <c r="M212" s="265">
        <v>0</v>
      </c>
      <c r="N212" s="347">
        <v>0.74</v>
      </c>
      <c r="O212" s="348" t="s">
        <v>1205</v>
      </c>
      <c r="P212" s="348">
        <v>18.5</v>
      </c>
      <c r="Q212" s="348" t="s">
        <v>1205</v>
      </c>
    </row>
    <row r="213" spans="1:17" ht="15" hidden="1" customHeight="1">
      <c r="A213" s="163">
        <v>206</v>
      </c>
      <c r="B213" s="53" t="s">
        <v>6</v>
      </c>
      <c r="C213" s="53" t="s">
        <v>7771</v>
      </c>
      <c r="D213" s="53">
        <v>100029056</v>
      </c>
      <c r="E213" s="55" t="s">
        <v>7772</v>
      </c>
      <c r="F213" s="129">
        <v>50</v>
      </c>
      <c r="G213" s="129">
        <v>900</v>
      </c>
      <c r="H213" s="512">
        <v>122.03</v>
      </c>
      <c r="I213" s="265" t="s">
        <v>76</v>
      </c>
      <c r="J213" s="265" t="s">
        <v>102</v>
      </c>
      <c r="K213" s="265" t="s">
        <v>7773</v>
      </c>
      <c r="L213" s="348" t="s">
        <v>1205</v>
      </c>
      <c r="M213" s="265" t="s">
        <v>7774</v>
      </c>
      <c r="N213" s="347">
        <v>0.51100000000000001</v>
      </c>
      <c r="O213" s="348" t="s">
        <v>1205</v>
      </c>
      <c r="P213" s="348">
        <v>25.55</v>
      </c>
      <c r="Q213" s="348">
        <v>2.361325291407383</v>
      </c>
    </row>
    <row r="214" spans="1:17" ht="15" hidden="1" customHeight="1">
      <c r="A214" s="163">
        <v>207</v>
      </c>
      <c r="B214" s="53" t="s">
        <v>6</v>
      </c>
      <c r="C214" s="53" t="s">
        <v>7775</v>
      </c>
      <c r="D214" s="53">
        <v>100029057</v>
      </c>
      <c r="E214" s="55" t="s">
        <v>7776</v>
      </c>
      <c r="F214" s="129">
        <v>20</v>
      </c>
      <c r="G214" s="129">
        <v>640</v>
      </c>
      <c r="H214" s="512">
        <v>152.41</v>
      </c>
      <c r="I214" s="265" t="s">
        <v>76</v>
      </c>
      <c r="J214" s="265" t="s">
        <v>102</v>
      </c>
      <c r="K214" s="265" t="s">
        <v>7777</v>
      </c>
      <c r="L214" s="348" t="s">
        <v>1205</v>
      </c>
      <c r="M214" s="265" t="s">
        <v>7778</v>
      </c>
      <c r="N214" s="347">
        <v>0.79800000000000004</v>
      </c>
      <c r="O214" s="348" t="s">
        <v>1205</v>
      </c>
      <c r="P214" s="348">
        <v>15.96</v>
      </c>
      <c r="Q214" s="348">
        <v>1.3788503419060438</v>
      </c>
    </row>
    <row r="215" spans="1:17" ht="15" hidden="1" customHeight="1">
      <c r="A215" s="163">
        <v>208</v>
      </c>
      <c r="B215" s="53" t="s">
        <v>6</v>
      </c>
      <c r="C215" s="53" t="s">
        <v>7779</v>
      </c>
      <c r="D215" s="53">
        <v>100029058</v>
      </c>
      <c r="E215" s="55" t="s">
        <v>7780</v>
      </c>
      <c r="F215" s="129">
        <v>10</v>
      </c>
      <c r="G215" s="129">
        <v>180</v>
      </c>
      <c r="H215" s="512">
        <v>335.58</v>
      </c>
      <c r="I215" s="265" t="s">
        <v>76</v>
      </c>
      <c r="J215" s="265" t="s">
        <v>102</v>
      </c>
      <c r="K215" s="265" t="s">
        <v>7781</v>
      </c>
      <c r="L215" s="348" t="s">
        <v>1205</v>
      </c>
      <c r="M215" s="265" t="s">
        <v>7782</v>
      </c>
      <c r="N215" s="347">
        <v>2.4990000000000001</v>
      </c>
      <c r="O215" s="348" t="s">
        <v>1205</v>
      </c>
      <c r="P215" s="348">
        <v>24.990000000000002</v>
      </c>
      <c r="Q215" s="348">
        <v>2.361325291407383</v>
      </c>
    </row>
    <row r="216" spans="1:17" ht="15" hidden="1" customHeight="1">
      <c r="A216" s="163">
        <v>209</v>
      </c>
      <c r="B216" s="53" t="s">
        <v>6</v>
      </c>
      <c r="C216" s="53" t="s">
        <v>7783</v>
      </c>
      <c r="D216" s="53">
        <v>100029059</v>
      </c>
      <c r="E216" s="55" t="s">
        <v>7784</v>
      </c>
      <c r="F216" s="129">
        <v>8</v>
      </c>
      <c r="G216" s="129">
        <v>96</v>
      </c>
      <c r="H216" s="512">
        <v>660.94</v>
      </c>
      <c r="I216" s="265" t="s">
        <v>76</v>
      </c>
      <c r="J216" s="265" t="s">
        <v>102</v>
      </c>
      <c r="K216" s="265" t="s">
        <v>7785</v>
      </c>
      <c r="L216" s="348" t="s">
        <v>1205</v>
      </c>
      <c r="M216" s="265" t="s">
        <v>7786</v>
      </c>
      <c r="N216" s="347">
        <v>4.5990000000000002</v>
      </c>
      <c r="O216" s="348" t="s">
        <v>1205</v>
      </c>
      <c r="P216" s="348">
        <v>36.792000000000002</v>
      </c>
      <c r="Q216" s="348">
        <v>3.6731726755225957</v>
      </c>
    </row>
    <row r="217" spans="1:17" ht="15" hidden="1" customHeight="1">
      <c r="A217" s="163">
        <v>210</v>
      </c>
      <c r="B217" s="53" t="s">
        <v>6</v>
      </c>
      <c r="C217" s="53" t="s">
        <v>7787</v>
      </c>
      <c r="D217" s="53">
        <v>100029060</v>
      </c>
      <c r="E217" s="55" t="s">
        <v>7788</v>
      </c>
      <c r="F217" s="129">
        <v>20</v>
      </c>
      <c r="G217" s="129">
        <v>900</v>
      </c>
      <c r="H217" s="512">
        <v>201.56</v>
      </c>
      <c r="I217" s="265" t="s">
        <v>76</v>
      </c>
      <c r="J217" s="265" t="s">
        <v>102</v>
      </c>
      <c r="K217" s="265" t="s">
        <v>7789</v>
      </c>
      <c r="L217" s="348" t="s">
        <v>1205</v>
      </c>
      <c r="M217" s="265" t="s">
        <v>7790</v>
      </c>
      <c r="N217" s="347">
        <v>0.59599999999999997</v>
      </c>
      <c r="O217" s="348" t="s">
        <v>1205</v>
      </c>
      <c r="P217" s="348">
        <v>11.92</v>
      </c>
      <c r="Q217" s="348">
        <v>0.98955954024750914</v>
      </c>
    </row>
    <row r="218" spans="1:17" ht="15" hidden="1" customHeight="1">
      <c r="A218" s="163">
        <v>211</v>
      </c>
      <c r="B218" s="53" t="s">
        <v>6</v>
      </c>
      <c r="C218" s="53" t="s">
        <v>7791</v>
      </c>
      <c r="D218" s="53">
        <v>100029061</v>
      </c>
      <c r="E218" s="55" t="s">
        <v>7792</v>
      </c>
      <c r="F218" s="129">
        <v>15</v>
      </c>
      <c r="G218" s="129">
        <v>450</v>
      </c>
      <c r="H218" s="512">
        <v>331.5</v>
      </c>
      <c r="I218" s="265" t="s">
        <v>76</v>
      </c>
      <c r="J218" s="265" t="s">
        <v>102</v>
      </c>
      <c r="K218" s="265" t="s">
        <v>7793</v>
      </c>
      <c r="L218" s="348" t="s">
        <v>1205</v>
      </c>
      <c r="M218" s="265" t="s">
        <v>7794</v>
      </c>
      <c r="N218" s="347">
        <v>1.1459999999999999</v>
      </c>
      <c r="O218" s="348" t="s">
        <v>1205</v>
      </c>
      <c r="P218" s="348">
        <v>17.189999999999998</v>
      </c>
      <c r="Q218" s="348">
        <v>2.361325291407383</v>
      </c>
    </row>
    <row r="219" spans="1:17" ht="15" hidden="1" customHeight="1">
      <c r="A219" s="163">
        <v>212</v>
      </c>
      <c r="B219" s="53" t="s">
        <v>6</v>
      </c>
      <c r="C219" s="53" t="s">
        <v>7795</v>
      </c>
      <c r="D219" s="53">
        <v>100029062</v>
      </c>
      <c r="E219" s="55" t="s">
        <v>7796</v>
      </c>
      <c r="F219" s="129">
        <v>10</v>
      </c>
      <c r="G219" s="129">
        <v>320</v>
      </c>
      <c r="H219" s="512">
        <v>229.26</v>
      </c>
      <c r="I219" s="265" t="s">
        <v>76</v>
      </c>
      <c r="J219" s="265" t="s">
        <v>102</v>
      </c>
      <c r="K219" s="265" t="s">
        <v>7797</v>
      </c>
      <c r="L219" s="348" t="s">
        <v>1205</v>
      </c>
      <c r="M219" s="265" t="s">
        <v>7798</v>
      </c>
      <c r="N219" s="347">
        <v>1.4610000000000001</v>
      </c>
      <c r="O219" s="348" t="s">
        <v>1205</v>
      </c>
      <c r="P219" s="348">
        <v>14.610000000000001</v>
      </c>
      <c r="Q219" s="348">
        <v>1.3788503419060438</v>
      </c>
    </row>
    <row r="220" spans="1:17" ht="15" hidden="1" customHeight="1">
      <c r="A220" s="163">
        <v>213</v>
      </c>
      <c r="B220" s="53" t="s">
        <v>6</v>
      </c>
      <c r="C220" s="53" t="s">
        <v>7799</v>
      </c>
      <c r="D220" s="53">
        <v>100029063</v>
      </c>
      <c r="E220" s="55" t="s">
        <v>7800</v>
      </c>
      <c r="F220" s="129">
        <v>5</v>
      </c>
      <c r="G220" s="129">
        <v>225</v>
      </c>
      <c r="H220" s="512">
        <v>345.25</v>
      </c>
      <c r="I220" s="265" t="s">
        <v>76</v>
      </c>
      <c r="J220" s="265" t="s">
        <v>102</v>
      </c>
      <c r="K220" s="265" t="s">
        <v>7801</v>
      </c>
      <c r="L220" s="348" t="s">
        <v>1205</v>
      </c>
      <c r="M220" s="265" t="s">
        <v>7802</v>
      </c>
      <c r="N220" s="347">
        <v>2.1139999999999999</v>
      </c>
      <c r="O220" s="348" t="s">
        <v>1205</v>
      </c>
      <c r="P220" s="348">
        <v>10.57</v>
      </c>
      <c r="Q220" s="348">
        <v>0.98955954024750914</v>
      </c>
    </row>
    <row r="221" spans="1:17" ht="15" hidden="1" customHeight="1">
      <c r="A221" s="163">
        <v>214</v>
      </c>
      <c r="B221" s="53" t="s">
        <v>6</v>
      </c>
      <c r="C221" s="53" t="s">
        <v>7803</v>
      </c>
      <c r="D221" s="53">
        <v>100029064</v>
      </c>
      <c r="E221" s="55" t="s">
        <v>7804</v>
      </c>
      <c r="F221" s="129">
        <v>6</v>
      </c>
      <c r="G221" s="129">
        <v>144</v>
      </c>
      <c r="H221" s="512">
        <v>445.4</v>
      </c>
      <c r="I221" s="265" t="s">
        <v>76</v>
      </c>
      <c r="J221" s="265" t="s">
        <v>102</v>
      </c>
      <c r="K221" s="265" t="s">
        <v>7805</v>
      </c>
      <c r="L221" s="348" t="s">
        <v>1205</v>
      </c>
      <c r="M221" s="265" t="s">
        <v>7806</v>
      </c>
      <c r="N221" s="347">
        <v>3.3769999999999998</v>
      </c>
      <c r="O221" s="348" t="s">
        <v>1205</v>
      </c>
      <c r="P221" s="348">
        <v>20.262</v>
      </c>
      <c r="Q221" s="348">
        <v>1.8803145838984718</v>
      </c>
    </row>
    <row r="222" spans="1:17" ht="15" hidden="1" customHeight="1">
      <c r="A222" s="163">
        <v>215</v>
      </c>
      <c r="B222" s="53" t="s">
        <v>6</v>
      </c>
      <c r="C222" s="53" t="s">
        <v>7807</v>
      </c>
      <c r="D222" s="53">
        <v>100029070</v>
      </c>
      <c r="E222" s="55" t="s">
        <v>7808</v>
      </c>
      <c r="F222" s="129">
        <v>4</v>
      </c>
      <c r="G222" s="129">
        <v>48</v>
      </c>
      <c r="H222" s="512">
        <v>2689.35</v>
      </c>
      <c r="I222" s="265" t="s">
        <v>359</v>
      </c>
      <c r="J222" s="265" t="s">
        <v>102</v>
      </c>
      <c r="K222" s="265" t="s">
        <v>7809</v>
      </c>
      <c r="L222" s="348" t="s">
        <v>1205</v>
      </c>
      <c r="M222" s="265" t="s">
        <v>7810</v>
      </c>
      <c r="N222" s="347">
        <v>6.9989999999999997</v>
      </c>
      <c r="O222" s="348" t="s">
        <v>1205</v>
      </c>
      <c r="P222" s="348">
        <v>27.995999999999999</v>
      </c>
      <c r="Q222" s="348">
        <v>3.6731726755225957</v>
      </c>
    </row>
    <row r="223" spans="1:17" ht="15" hidden="1" customHeight="1">
      <c r="A223" s="163">
        <v>216</v>
      </c>
      <c r="B223" s="53" t="s">
        <v>6</v>
      </c>
      <c r="C223" s="53" t="s">
        <v>7811</v>
      </c>
      <c r="D223" s="53">
        <v>300005686</v>
      </c>
      <c r="E223" s="55" t="s">
        <v>7812</v>
      </c>
      <c r="F223" s="129">
        <v>10</v>
      </c>
      <c r="G223" s="129">
        <v>450</v>
      </c>
      <c r="H223" s="512">
        <v>576.75</v>
      </c>
      <c r="I223" s="265" t="s">
        <v>1693</v>
      </c>
      <c r="J223" s="265" t="s">
        <v>77</v>
      </c>
      <c r="K223" s="265" t="s">
        <v>7813</v>
      </c>
      <c r="L223" s="348" t="s">
        <v>1205</v>
      </c>
      <c r="M223" s="265">
        <v>0</v>
      </c>
      <c r="N223" s="347">
        <v>0.65200000000000002</v>
      </c>
      <c r="O223" s="348" t="s">
        <v>1205</v>
      </c>
      <c r="P223" s="348">
        <v>6.5200000000000005</v>
      </c>
      <c r="Q223" s="348" t="s">
        <v>1205</v>
      </c>
    </row>
    <row r="224" spans="1:17" ht="15" hidden="1" customHeight="1">
      <c r="A224" s="163">
        <v>217</v>
      </c>
      <c r="B224" s="53" t="s">
        <v>6</v>
      </c>
      <c r="C224" s="53" t="s">
        <v>7814</v>
      </c>
      <c r="D224" s="53">
        <v>300005687</v>
      </c>
      <c r="E224" s="55" t="s">
        <v>7815</v>
      </c>
      <c r="F224" s="129">
        <v>10</v>
      </c>
      <c r="G224" s="129">
        <v>300</v>
      </c>
      <c r="H224" s="512">
        <v>430.94</v>
      </c>
      <c r="I224" s="265" t="s">
        <v>1693</v>
      </c>
      <c r="J224" s="265" t="s">
        <v>77</v>
      </c>
      <c r="K224" s="265" t="s">
        <v>7816</v>
      </c>
      <c r="L224" s="348" t="s">
        <v>1205</v>
      </c>
      <c r="M224" s="265">
        <v>0</v>
      </c>
      <c r="N224" s="347">
        <v>1.2450000000000001</v>
      </c>
      <c r="O224" s="348" t="s">
        <v>1205</v>
      </c>
      <c r="P224" s="348">
        <v>12.450000000000001</v>
      </c>
      <c r="Q224" s="348" t="s">
        <v>1205</v>
      </c>
    </row>
    <row r="225" spans="1:17" ht="15" hidden="1" customHeight="1">
      <c r="A225" s="163">
        <v>218</v>
      </c>
      <c r="B225" s="53" t="s">
        <v>6</v>
      </c>
      <c r="C225" s="53" t="s">
        <v>7817</v>
      </c>
      <c r="D225" s="53">
        <v>300005688</v>
      </c>
      <c r="E225" s="55" t="s">
        <v>7818</v>
      </c>
      <c r="F225" s="129">
        <v>10</v>
      </c>
      <c r="G225" s="129">
        <v>80</v>
      </c>
      <c r="H225" s="512">
        <v>2485.39</v>
      </c>
      <c r="I225" s="265" t="s">
        <v>1693</v>
      </c>
      <c r="J225" s="265" t="s">
        <v>77</v>
      </c>
      <c r="K225" s="265" t="s">
        <v>7819</v>
      </c>
      <c r="L225" s="348" t="s">
        <v>1205</v>
      </c>
      <c r="M225" s="265">
        <v>0</v>
      </c>
      <c r="N225" s="347">
        <v>3.7229999999999999</v>
      </c>
      <c r="O225" s="348" t="s">
        <v>1205</v>
      </c>
      <c r="P225" s="348">
        <v>37.229999999999997</v>
      </c>
      <c r="Q225" s="348" t="s">
        <v>1205</v>
      </c>
    </row>
    <row r="226" spans="1:17" ht="15" hidden="1" customHeight="1">
      <c r="A226" s="163">
        <v>219</v>
      </c>
      <c r="B226" s="53" t="s">
        <v>6</v>
      </c>
      <c r="C226" s="53" t="s">
        <v>7820</v>
      </c>
      <c r="D226" s="53">
        <v>300005689</v>
      </c>
      <c r="E226" s="55" t="s">
        <v>7821</v>
      </c>
      <c r="F226" s="129">
        <v>5</v>
      </c>
      <c r="G226" s="129">
        <v>35</v>
      </c>
      <c r="H226" s="512">
        <v>2914.77</v>
      </c>
      <c r="I226" s="265" t="s">
        <v>1693</v>
      </c>
      <c r="J226" s="265" t="s">
        <v>77</v>
      </c>
      <c r="K226" s="265" t="s">
        <v>7822</v>
      </c>
      <c r="L226" s="348" t="s">
        <v>1205</v>
      </c>
      <c r="M226" s="265">
        <v>0</v>
      </c>
      <c r="N226" s="347">
        <v>6.53</v>
      </c>
      <c r="O226" s="348" t="s">
        <v>1205</v>
      </c>
      <c r="P226" s="348">
        <v>32.65</v>
      </c>
      <c r="Q226" s="348" t="s">
        <v>1205</v>
      </c>
    </row>
    <row r="227" spans="1:17" ht="15" hidden="1" customHeight="1">
      <c r="A227" s="163">
        <v>220</v>
      </c>
      <c r="B227" s="53" t="s">
        <v>6</v>
      </c>
      <c r="C227" s="53" t="s">
        <v>7823</v>
      </c>
      <c r="D227" s="53">
        <v>100029077</v>
      </c>
      <c r="E227" s="55" t="s">
        <v>7824</v>
      </c>
      <c r="F227" s="129">
        <v>50</v>
      </c>
      <c r="G227" s="129">
        <v>1200</v>
      </c>
      <c r="H227" s="512">
        <v>91.68</v>
      </c>
      <c r="I227" s="265" t="s">
        <v>359</v>
      </c>
      <c r="J227" s="265" t="s">
        <v>102</v>
      </c>
      <c r="K227" s="265" t="s">
        <v>7825</v>
      </c>
      <c r="L227" s="348" t="s">
        <v>1205</v>
      </c>
      <c r="M227" s="265" t="s">
        <v>7826</v>
      </c>
      <c r="N227" s="347">
        <v>0.41899999999999998</v>
      </c>
      <c r="O227" s="348" t="s">
        <v>1205</v>
      </c>
      <c r="P227" s="348">
        <v>20.95</v>
      </c>
      <c r="Q227" s="348">
        <v>1.8803145838984718</v>
      </c>
    </row>
    <row r="228" spans="1:17" ht="15" hidden="1" customHeight="1">
      <c r="A228" s="163">
        <v>221</v>
      </c>
      <c r="B228" s="53" t="s">
        <v>6</v>
      </c>
      <c r="C228" s="53" t="s">
        <v>7827</v>
      </c>
      <c r="D228" s="53">
        <v>100029078</v>
      </c>
      <c r="E228" s="55" t="s">
        <v>7828</v>
      </c>
      <c r="F228" s="129">
        <v>25</v>
      </c>
      <c r="G228" s="129">
        <v>600</v>
      </c>
      <c r="H228" s="512">
        <v>90.24</v>
      </c>
      <c r="I228" s="265" t="s">
        <v>76</v>
      </c>
      <c r="J228" s="265" t="s">
        <v>102</v>
      </c>
      <c r="K228" s="265" t="s">
        <v>7829</v>
      </c>
      <c r="L228" s="348" t="s">
        <v>1205</v>
      </c>
      <c r="M228" s="265" t="s">
        <v>7830</v>
      </c>
      <c r="N228" s="347">
        <v>0.65700000000000003</v>
      </c>
      <c r="O228" s="348" t="s">
        <v>1205</v>
      </c>
      <c r="P228" s="348">
        <v>16.425000000000001</v>
      </c>
      <c r="Q228" s="348">
        <v>1.8803145838984718</v>
      </c>
    </row>
    <row r="229" spans="1:17" ht="15" hidden="1" customHeight="1">
      <c r="A229" s="163">
        <v>222</v>
      </c>
      <c r="B229" s="53" t="s">
        <v>6</v>
      </c>
      <c r="C229" s="53" t="s">
        <v>7831</v>
      </c>
      <c r="D229" s="53">
        <v>100029079</v>
      </c>
      <c r="E229" s="55" t="s">
        <v>7832</v>
      </c>
      <c r="F229" s="129">
        <v>25</v>
      </c>
      <c r="G229" s="129">
        <v>300</v>
      </c>
      <c r="H229" s="512">
        <v>243.68</v>
      </c>
      <c r="I229" s="265" t="s">
        <v>76</v>
      </c>
      <c r="J229" s="265" t="s">
        <v>102</v>
      </c>
      <c r="K229" s="265" t="s">
        <v>7833</v>
      </c>
      <c r="L229" s="348" t="s">
        <v>1205</v>
      </c>
      <c r="M229" s="265" t="s">
        <v>7834</v>
      </c>
      <c r="N229" s="347">
        <v>1.917</v>
      </c>
      <c r="O229" s="348" t="s">
        <v>1205</v>
      </c>
      <c r="P229" s="348">
        <v>47.925000000000004</v>
      </c>
      <c r="Q229" s="348">
        <v>3.6731726755225957</v>
      </c>
    </row>
    <row r="230" spans="1:17" ht="15" hidden="1" customHeight="1">
      <c r="A230" s="163">
        <v>223</v>
      </c>
      <c r="B230" s="53" t="s">
        <v>6</v>
      </c>
      <c r="C230" s="53" t="s">
        <v>7835</v>
      </c>
      <c r="D230" s="53">
        <v>100029080</v>
      </c>
      <c r="E230" s="55" t="s">
        <v>7836</v>
      </c>
      <c r="F230" s="129">
        <v>5</v>
      </c>
      <c r="G230" s="129">
        <v>120</v>
      </c>
      <c r="H230" s="512">
        <v>443.18</v>
      </c>
      <c r="I230" s="265" t="s">
        <v>76</v>
      </c>
      <c r="J230" s="265" t="s">
        <v>102</v>
      </c>
      <c r="K230" s="265" t="s">
        <v>7837</v>
      </c>
      <c r="L230" s="348" t="s">
        <v>1205</v>
      </c>
      <c r="M230" s="265" t="s">
        <v>7838</v>
      </c>
      <c r="N230" s="347">
        <v>3.6349999999999998</v>
      </c>
      <c r="O230" s="348" t="s">
        <v>1205</v>
      </c>
      <c r="P230" s="348">
        <v>18.174999999999997</v>
      </c>
      <c r="Q230" s="348">
        <v>1.8803145838984718</v>
      </c>
    </row>
    <row r="231" spans="1:17" ht="15" hidden="1" customHeight="1">
      <c r="A231" s="163">
        <v>224</v>
      </c>
      <c r="B231" s="53" t="s">
        <v>6</v>
      </c>
      <c r="C231" s="53" t="s">
        <v>7839</v>
      </c>
      <c r="D231" s="53">
        <v>100029081</v>
      </c>
      <c r="E231" s="55" t="s">
        <v>7840</v>
      </c>
      <c r="F231" s="129">
        <v>4</v>
      </c>
      <c r="G231" s="129">
        <v>48</v>
      </c>
      <c r="H231" s="512">
        <v>1279.27</v>
      </c>
      <c r="I231" s="265" t="s">
        <v>76</v>
      </c>
      <c r="J231" s="265" t="s">
        <v>102</v>
      </c>
      <c r="K231" s="265" t="s">
        <v>7841</v>
      </c>
      <c r="L231" s="348" t="s">
        <v>1205</v>
      </c>
      <c r="M231" s="265" t="s">
        <v>7842</v>
      </c>
      <c r="N231" s="347">
        <v>7.734</v>
      </c>
      <c r="O231" s="348" t="s">
        <v>1205</v>
      </c>
      <c r="P231" s="348">
        <v>30.936</v>
      </c>
      <c r="Q231" s="348">
        <v>3.6731726755225957</v>
      </c>
    </row>
    <row r="232" spans="1:17" ht="15" hidden="1" customHeight="1">
      <c r="A232" s="163">
        <v>225</v>
      </c>
      <c r="B232" s="53" t="s">
        <v>6</v>
      </c>
      <c r="C232" s="53" t="s">
        <v>7843</v>
      </c>
      <c r="D232" s="53">
        <v>100029082</v>
      </c>
      <c r="E232" s="55" t="s">
        <v>7844</v>
      </c>
      <c r="F232" s="129">
        <v>25</v>
      </c>
      <c r="G232" s="129">
        <v>800</v>
      </c>
      <c r="H232" s="512">
        <v>126.24</v>
      </c>
      <c r="I232" s="265" t="s">
        <v>359</v>
      </c>
      <c r="J232" s="265" t="s">
        <v>102</v>
      </c>
      <c r="K232" s="265" t="s">
        <v>7845</v>
      </c>
      <c r="L232" s="348" t="s">
        <v>1205</v>
      </c>
      <c r="M232" s="265" t="s">
        <v>7846</v>
      </c>
      <c r="N232" s="347">
        <v>0.49099999999999999</v>
      </c>
      <c r="O232" s="348" t="s">
        <v>1205</v>
      </c>
      <c r="P232" s="348">
        <v>12.275</v>
      </c>
      <c r="Q232" s="348">
        <v>1.3788503419060438</v>
      </c>
    </row>
    <row r="233" spans="1:17" ht="15" hidden="1" customHeight="1">
      <c r="A233" s="163">
        <v>226</v>
      </c>
      <c r="B233" s="53" t="s">
        <v>6</v>
      </c>
      <c r="C233" s="53" t="s">
        <v>7847</v>
      </c>
      <c r="D233" s="53">
        <v>300005690</v>
      </c>
      <c r="E233" s="55" t="s">
        <v>7848</v>
      </c>
      <c r="F233" s="129">
        <v>10</v>
      </c>
      <c r="G233" s="129">
        <v>480</v>
      </c>
      <c r="H233" s="512">
        <v>586.29</v>
      </c>
      <c r="I233" s="265" t="s">
        <v>1693</v>
      </c>
      <c r="J233" s="265" t="s">
        <v>77</v>
      </c>
      <c r="K233" s="265" t="s">
        <v>7849</v>
      </c>
      <c r="L233" s="348" t="s">
        <v>1205</v>
      </c>
      <c r="M233" s="265">
        <v>0</v>
      </c>
      <c r="N233" s="347">
        <v>0.60899999999999999</v>
      </c>
      <c r="O233" s="348" t="s">
        <v>1205</v>
      </c>
      <c r="P233" s="348">
        <v>6.09</v>
      </c>
      <c r="Q233" s="348" t="s">
        <v>1205</v>
      </c>
    </row>
    <row r="234" spans="1:17" ht="15" hidden="1" customHeight="1">
      <c r="A234" s="163">
        <v>227</v>
      </c>
      <c r="B234" s="53" t="s">
        <v>6</v>
      </c>
      <c r="C234" s="53" t="s">
        <v>7850</v>
      </c>
      <c r="D234" s="53">
        <v>100029084</v>
      </c>
      <c r="E234" s="55" t="s">
        <v>7851</v>
      </c>
      <c r="F234" s="129">
        <v>25</v>
      </c>
      <c r="G234" s="129">
        <v>800</v>
      </c>
      <c r="H234" s="512">
        <v>110.41</v>
      </c>
      <c r="I234" s="265" t="s">
        <v>76</v>
      </c>
      <c r="J234" s="265" t="s">
        <v>102</v>
      </c>
      <c r="K234" s="265" t="s">
        <v>7852</v>
      </c>
      <c r="L234" s="348" t="s">
        <v>1205</v>
      </c>
      <c r="M234" s="265" t="s">
        <v>7853</v>
      </c>
      <c r="N234" s="347">
        <v>0.54600000000000004</v>
      </c>
      <c r="O234" s="348" t="s">
        <v>1205</v>
      </c>
      <c r="P234" s="348">
        <v>13.65</v>
      </c>
      <c r="Q234" s="348">
        <v>1.3788503419060438</v>
      </c>
    </row>
    <row r="235" spans="1:17" ht="15" hidden="1" customHeight="1">
      <c r="A235" s="163">
        <v>228</v>
      </c>
      <c r="B235" s="53" t="s">
        <v>6</v>
      </c>
      <c r="C235" s="53" t="s">
        <v>7854</v>
      </c>
      <c r="D235" s="53">
        <v>100029085</v>
      </c>
      <c r="E235" s="55" t="s">
        <v>7855</v>
      </c>
      <c r="F235" s="129">
        <v>15</v>
      </c>
      <c r="G235" s="129">
        <v>270</v>
      </c>
      <c r="H235" s="512">
        <v>163.33000000000001</v>
      </c>
      <c r="I235" s="265" t="s">
        <v>76</v>
      </c>
      <c r="J235" s="265" t="s">
        <v>102</v>
      </c>
      <c r="K235" s="265" t="s">
        <v>7856</v>
      </c>
      <c r="L235" s="348" t="s">
        <v>1205</v>
      </c>
      <c r="M235" s="265" t="s">
        <v>7857</v>
      </c>
      <c r="N235" s="347">
        <v>1.228</v>
      </c>
      <c r="O235" s="348" t="s">
        <v>1205</v>
      </c>
      <c r="P235" s="348">
        <v>18.419999999999998</v>
      </c>
      <c r="Q235" s="348">
        <v>2.361325291407383</v>
      </c>
    </row>
    <row r="236" spans="1:17" ht="15" hidden="1" customHeight="1">
      <c r="A236" s="163">
        <v>229</v>
      </c>
      <c r="B236" s="53" t="s">
        <v>6</v>
      </c>
      <c r="C236" s="53" t="s">
        <v>7858</v>
      </c>
      <c r="D236" s="53">
        <v>100029086</v>
      </c>
      <c r="E236" s="55" t="s">
        <v>7859</v>
      </c>
      <c r="F236" s="129">
        <v>25</v>
      </c>
      <c r="G236" s="129">
        <v>300</v>
      </c>
      <c r="H236" s="512">
        <v>180.27</v>
      </c>
      <c r="I236" s="265" t="s">
        <v>76</v>
      </c>
      <c r="J236" s="265" t="s">
        <v>102</v>
      </c>
      <c r="K236" s="265" t="s">
        <v>7860</v>
      </c>
      <c r="L236" s="348" t="s">
        <v>1205</v>
      </c>
      <c r="M236" s="265" t="s">
        <v>7861</v>
      </c>
      <c r="N236" s="347">
        <v>1.3420000000000001</v>
      </c>
      <c r="O236" s="348" t="s">
        <v>1205</v>
      </c>
      <c r="P236" s="348">
        <v>33.550000000000004</v>
      </c>
      <c r="Q236" s="348">
        <v>2.7986077527791204</v>
      </c>
    </row>
    <row r="237" spans="1:17" ht="15" hidden="1" customHeight="1">
      <c r="A237" s="163">
        <v>230</v>
      </c>
      <c r="B237" s="53" t="s">
        <v>6</v>
      </c>
      <c r="C237" s="53" t="s">
        <v>7862</v>
      </c>
      <c r="D237" s="53">
        <v>300005691</v>
      </c>
      <c r="E237" s="55" t="s">
        <v>7863</v>
      </c>
      <c r="F237" s="129">
        <v>10</v>
      </c>
      <c r="G237" s="129">
        <v>180</v>
      </c>
      <c r="H237" s="512">
        <v>1102.3</v>
      </c>
      <c r="I237" s="265" t="s">
        <v>1693</v>
      </c>
      <c r="J237" s="265" t="s">
        <v>77</v>
      </c>
      <c r="K237" s="265" t="s">
        <v>7864</v>
      </c>
      <c r="L237" s="348" t="s">
        <v>1205</v>
      </c>
      <c r="M237" s="265">
        <v>0</v>
      </c>
      <c r="N237" s="347">
        <v>1.45</v>
      </c>
      <c r="O237" s="348" t="s">
        <v>1205</v>
      </c>
      <c r="P237" s="348">
        <v>14.5</v>
      </c>
      <c r="Q237" s="348" t="s">
        <v>1205</v>
      </c>
    </row>
    <row r="238" spans="1:17" ht="15" hidden="1" customHeight="1">
      <c r="A238" s="163">
        <v>231</v>
      </c>
      <c r="B238" s="53" t="s">
        <v>6</v>
      </c>
      <c r="C238" s="53" t="s">
        <v>7865</v>
      </c>
      <c r="D238" s="53">
        <v>100029088</v>
      </c>
      <c r="E238" s="55" t="s">
        <v>7866</v>
      </c>
      <c r="F238" s="129">
        <v>10</v>
      </c>
      <c r="G238" s="129">
        <v>180</v>
      </c>
      <c r="H238" s="512">
        <v>265.22000000000003</v>
      </c>
      <c r="I238" s="265" t="s">
        <v>76</v>
      </c>
      <c r="J238" s="265" t="s">
        <v>102</v>
      </c>
      <c r="K238" s="265" t="s">
        <v>7867</v>
      </c>
      <c r="L238" s="348" t="s">
        <v>1205</v>
      </c>
      <c r="M238" s="265" t="s">
        <v>7868</v>
      </c>
      <c r="N238" s="347">
        <v>2.0129999999999999</v>
      </c>
      <c r="O238" s="348" t="s">
        <v>1205</v>
      </c>
      <c r="P238" s="348">
        <v>20.13</v>
      </c>
      <c r="Q238" s="348">
        <v>2.361325291407383</v>
      </c>
    </row>
    <row r="239" spans="1:17" ht="15" hidden="1" customHeight="1">
      <c r="A239" s="163">
        <v>232</v>
      </c>
      <c r="B239" s="53" t="s">
        <v>6</v>
      </c>
      <c r="C239" s="53" t="s">
        <v>7869</v>
      </c>
      <c r="D239" s="53">
        <v>100029089</v>
      </c>
      <c r="E239" s="55" t="s">
        <v>7870</v>
      </c>
      <c r="F239" s="129">
        <v>10</v>
      </c>
      <c r="G239" s="129">
        <v>180</v>
      </c>
      <c r="H239" s="512">
        <v>359.75</v>
      </c>
      <c r="I239" s="265" t="s">
        <v>76</v>
      </c>
      <c r="J239" s="265" t="s">
        <v>102</v>
      </c>
      <c r="K239" s="265" t="s">
        <v>7871</v>
      </c>
      <c r="L239" s="348" t="s">
        <v>1205</v>
      </c>
      <c r="M239" s="265" t="s">
        <v>7872</v>
      </c>
      <c r="N239" s="347">
        <v>2.7389999999999999</v>
      </c>
      <c r="O239" s="348" t="s">
        <v>1205</v>
      </c>
      <c r="P239" s="348">
        <v>27.39</v>
      </c>
      <c r="Q239" s="348">
        <v>2.361325291407383</v>
      </c>
    </row>
    <row r="240" spans="1:17" ht="15" hidden="1" customHeight="1">
      <c r="A240" s="163">
        <v>233</v>
      </c>
      <c r="B240" s="53" t="s">
        <v>6</v>
      </c>
      <c r="C240" s="53" t="s">
        <v>7873</v>
      </c>
      <c r="D240" s="53">
        <v>100029090</v>
      </c>
      <c r="E240" s="55" t="s">
        <v>7874</v>
      </c>
      <c r="F240" s="129">
        <v>5</v>
      </c>
      <c r="G240" s="129">
        <v>60</v>
      </c>
      <c r="H240" s="512">
        <v>1270.43</v>
      </c>
      <c r="I240" s="265" t="s">
        <v>76</v>
      </c>
      <c r="J240" s="265" t="s">
        <v>102</v>
      </c>
      <c r="K240" s="265" t="s">
        <v>7875</v>
      </c>
      <c r="L240" s="348" t="s">
        <v>1205</v>
      </c>
      <c r="M240" s="265" t="s">
        <v>7876</v>
      </c>
      <c r="N240" s="347">
        <v>5.2489999999999997</v>
      </c>
      <c r="O240" s="348" t="s">
        <v>1205</v>
      </c>
      <c r="P240" s="348">
        <v>26.244999999999997</v>
      </c>
      <c r="Q240" s="348">
        <v>3.6731726755225957</v>
      </c>
    </row>
    <row r="241" spans="1:17" ht="15" hidden="1" customHeight="1">
      <c r="A241" s="163">
        <v>234</v>
      </c>
      <c r="B241" s="53" t="s">
        <v>6</v>
      </c>
      <c r="C241" s="53" t="s">
        <v>7877</v>
      </c>
      <c r="D241" s="53">
        <v>100029091</v>
      </c>
      <c r="E241" s="55" t="s">
        <v>7878</v>
      </c>
      <c r="F241" s="129">
        <v>5</v>
      </c>
      <c r="G241" s="129">
        <v>60</v>
      </c>
      <c r="H241" s="512">
        <v>1032.8900000000001</v>
      </c>
      <c r="I241" s="265" t="s">
        <v>76</v>
      </c>
      <c r="J241" s="265" t="s">
        <v>102</v>
      </c>
      <c r="K241" s="265" t="s">
        <v>7879</v>
      </c>
      <c r="L241" s="348" t="s">
        <v>1205</v>
      </c>
      <c r="M241" s="265" t="s">
        <v>7880</v>
      </c>
      <c r="N241" s="347">
        <v>5.3769999999999998</v>
      </c>
      <c r="O241" s="348" t="s">
        <v>1205</v>
      </c>
      <c r="P241" s="348">
        <v>26.884999999999998</v>
      </c>
      <c r="Q241" s="348">
        <v>3.6731726755225957</v>
      </c>
    </row>
    <row r="242" spans="1:17" ht="15" hidden="1" customHeight="1">
      <c r="A242" s="163">
        <v>235</v>
      </c>
      <c r="B242" s="53" t="s">
        <v>6</v>
      </c>
      <c r="C242" s="53" t="s">
        <v>7881</v>
      </c>
      <c r="D242" s="53">
        <v>300005692</v>
      </c>
      <c r="E242" s="55" t="s">
        <v>7882</v>
      </c>
      <c r="F242" s="129">
        <v>50</v>
      </c>
      <c r="G242" s="129">
        <v>1600</v>
      </c>
      <c r="H242" s="512">
        <v>288.67</v>
      </c>
      <c r="I242" s="265" t="s">
        <v>359</v>
      </c>
      <c r="J242" s="265" t="s">
        <v>77</v>
      </c>
      <c r="K242" s="265" t="s">
        <v>7883</v>
      </c>
      <c r="L242" s="348" t="s">
        <v>1205</v>
      </c>
      <c r="M242" s="265">
        <v>0</v>
      </c>
      <c r="N242" s="347">
        <v>0.37</v>
      </c>
      <c r="O242" s="348" t="s">
        <v>1205</v>
      </c>
      <c r="P242" s="348">
        <v>18.5</v>
      </c>
      <c r="Q242" s="348" t="s">
        <v>1205</v>
      </c>
    </row>
    <row r="243" spans="1:17" ht="15" hidden="1" customHeight="1">
      <c r="A243" s="163">
        <v>236</v>
      </c>
      <c r="B243" s="53" t="s">
        <v>6</v>
      </c>
      <c r="C243" s="53" t="s">
        <v>7884</v>
      </c>
      <c r="D243" s="53">
        <v>300005693</v>
      </c>
      <c r="E243" s="55" t="s">
        <v>7885</v>
      </c>
      <c r="F243" s="129">
        <v>30</v>
      </c>
      <c r="G243" s="129">
        <v>720</v>
      </c>
      <c r="H243" s="512">
        <v>363.71</v>
      </c>
      <c r="I243" s="265" t="s">
        <v>1693</v>
      </c>
      <c r="J243" s="265" t="s">
        <v>77</v>
      </c>
      <c r="K243" s="265" t="s">
        <v>7886</v>
      </c>
      <c r="L243" s="348" t="s">
        <v>1205</v>
      </c>
      <c r="M243" s="265">
        <v>0</v>
      </c>
      <c r="N243" s="347">
        <v>0.56000000000000005</v>
      </c>
      <c r="O243" s="348" t="s">
        <v>1205</v>
      </c>
      <c r="P243" s="348">
        <v>16.8</v>
      </c>
      <c r="Q243" s="348" t="s">
        <v>1205</v>
      </c>
    </row>
    <row r="244" spans="1:17" ht="15" hidden="1" customHeight="1">
      <c r="A244" s="163">
        <v>237</v>
      </c>
      <c r="B244" s="53" t="s">
        <v>6</v>
      </c>
      <c r="C244" s="53" t="s">
        <v>7887</v>
      </c>
      <c r="D244" s="53">
        <v>300005694</v>
      </c>
      <c r="E244" s="55" t="s">
        <v>7888</v>
      </c>
      <c r="F244" s="129">
        <v>10</v>
      </c>
      <c r="G244" s="129">
        <v>320</v>
      </c>
      <c r="H244" s="512">
        <v>769.47</v>
      </c>
      <c r="I244" s="265" t="s">
        <v>1693</v>
      </c>
      <c r="J244" s="265" t="s">
        <v>77</v>
      </c>
      <c r="K244" s="265" t="s">
        <v>7889</v>
      </c>
      <c r="L244" s="348" t="s">
        <v>1205</v>
      </c>
      <c r="M244" s="265">
        <v>0</v>
      </c>
      <c r="N244" s="347">
        <v>1.66</v>
      </c>
      <c r="O244" s="348" t="s">
        <v>1205</v>
      </c>
      <c r="P244" s="348">
        <v>16.599999999999998</v>
      </c>
      <c r="Q244" s="348" t="s">
        <v>1205</v>
      </c>
    </row>
    <row r="245" spans="1:17" ht="15" hidden="1" customHeight="1">
      <c r="A245" s="163">
        <v>238</v>
      </c>
      <c r="B245" s="53" t="s">
        <v>6</v>
      </c>
      <c r="C245" s="53" t="s">
        <v>7890</v>
      </c>
      <c r="D245" s="53">
        <v>100029095</v>
      </c>
      <c r="E245" s="55" t="s">
        <v>7891</v>
      </c>
      <c r="F245" s="129">
        <v>10</v>
      </c>
      <c r="G245" s="129">
        <v>120</v>
      </c>
      <c r="H245" s="512">
        <v>742.65</v>
      </c>
      <c r="I245" s="265" t="s">
        <v>76</v>
      </c>
      <c r="J245" s="265" t="s">
        <v>102</v>
      </c>
      <c r="K245" s="265" t="s">
        <v>7892</v>
      </c>
      <c r="L245" s="348" t="s">
        <v>1205</v>
      </c>
      <c r="M245" s="265" t="s">
        <v>7893</v>
      </c>
      <c r="N245" s="347">
        <v>3.3959999999999999</v>
      </c>
      <c r="O245" s="348" t="s">
        <v>1205</v>
      </c>
      <c r="P245" s="348">
        <v>33.96</v>
      </c>
      <c r="Q245" s="348">
        <v>3.6731726755225957</v>
      </c>
    </row>
    <row r="246" spans="1:17" ht="15" hidden="1" customHeight="1">
      <c r="A246" s="163">
        <v>239</v>
      </c>
      <c r="B246" s="53" t="s">
        <v>6</v>
      </c>
      <c r="C246" s="53" t="s">
        <v>7894</v>
      </c>
      <c r="D246" s="53">
        <v>300005695</v>
      </c>
      <c r="E246" s="55" t="s">
        <v>7895</v>
      </c>
      <c r="F246" s="129">
        <v>20</v>
      </c>
      <c r="G246" s="129">
        <v>480</v>
      </c>
      <c r="H246" s="512">
        <v>727.41</v>
      </c>
      <c r="I246" s="265" t="s">
        <v>1693</v>
      </c>
      <c r="J246" s="265" t="s">
        <v>77</v>
      </c>
      <c r="K246" s="265" t="s">
        <v>7896</v>
      </c>
      <c r="L246" s="348" t="s">
        <v>1205</v>
      </c>
      <c r="M246" s="265">
        <v>0</v>
      </c>
      <c r="N246" s="347">
        <v>1.0509999999999999</v>
      </c>
      <c r="O246" s="348" t="s">
        <v>1205</v>
      </c>
      <c r="P246" s="348">
        <v>21.02</v>
      </c>
      <c r="Q246" s="348" t="s">
        <v>1205</v>
      </c>
    </row>
    <row r="247" spans="1:17" ht="15" hidden="1" customHeight="1">
      <c r="A247" s="163">
        <v>240</v>
      </c>
      <c r="B247" s="53" t="s">
        <v>6</v>
      </c>
      <c r="C247" s="53" t="s">
        <v>7897</v>
      </c>
      <c r="D247" s="53">
        <v>300005696</v>
      </c>
      <c r="E247" s="55" t="s">
        <v>7898</v>
      </c>
      <c r="F247" s="129">
        <v>10</v>
      </c>
      <c r="G247" s="129">
        <v>240</v>
      </c>
      <c r="H247" s="512">
        <v>1000.16</v>
      </c>
      <c r="I247" s="265" t="s">
        <v>359</v>
      </c>
      <c r="J247" s="265" t="s">
        <v>77</v>
      </c>
      <c r="K247" s="265" t="s">
        <v>7899</v>
      </c>
      <c r="L247" s="348" t="s">
        <v>1205</v>
      </c>
      <c r="M247" s="265">
        <v>0</v>
      </c>
      <c r="N247" s="347">
        <v>1.7809999999999999</v>
      </c>
      <c r="O247" s="348" t="s">
        <v>1205</v>
      </c>
      <c r="P247" s="348">
        <v>17.809999999999999</v>
      </c>
      <c r="Q247" s="348" t="s">
        <v>1205</v>
      </c>
    </row>
    <row r="248" spans="1:17" ht="15" hidden="1" customHeight="1">
      <c r="A248" s="163">
        <v>241</v>
      </c>
      <c r="B248" s="53" t="s">
        <v>6</v>
      </c>
      <c r="C248" s="53" t="s">
        <v>7900</v>
      </c>
      <c r="D248" s="53">
        <v>300005697</v>
      </c>
      <c r="E248" s="55" t="s">
        <v>7901</v>
      </c>
      <c r="F248" s="129">
        <v>10</v>
      </c>
      <c r="G248" s="129">
        <v>80</v>
      </c>
      <c r="H248" s="512">
        <v>1645.4</v>
      </c>
      <c r="I248" s="265" t="s">
        <v>1693</v>
      </c>
      <c r="J248" s="265" t="s">
        <v>77</v>
      </c>
      <c r="K248" s="265" t="s">
        <v>7902</v>
      </c>
      <c r="L248" s="348" t="s">
        <v>1205</v>
      </c>
      <c r="M248" s="265">
        <v>0</v>
      </c>
      <c r="N248" s="347">
        <v>2.4630000000000001</v>
      </c>
      <c r="O248" s="348" t="s">
        <v>1205</v>
      </c>
      <c r="P248" s="348">
        <v>24.630000000000003</v>
      </c>
      <c r="Q248" s="348" t="s">
        <v>1205</v>
      </c>
    </row>
    <row r="249" spans="1:17" ht="15" hidden="1" customHeight="1">
      <c r="A249" s="163">
        <v>242</v>
      </c>
      <c r="B249" s="53" t="s">
        <v>6</v>
      </c>
      <c r="C249" s="53" t="s">
        <v>7903</v>
      </c>
      <c r="D249" s="53">
        <v>100029099</v>
      </c>
      <c r="E249" s="55" t="s">
        <v>7904</v>
      </c>
      <c r="F249" s="129">
        <v>25</v>
      </c>
      <c r="G249" s="129">
        <v>1280</v>
      </c>
      <c r="H249" s="512">
        <v>210.98</v>
      </c>
      <c r="I249" s="265" t="s">
        <v>359</v>
      </c>
      <c r="J249" s="265" t="s">
        <v>102</v>
      </c>
      <c r="K249" s="265" t="s">
        <v>7905</v>
      </c>
      <c r="L249" s="348" t="s">
        <v>1205</v>
      </c>
      <c r="M249" s="265" t="s">
        <v>7906</v>
      </c>
      <c r="N249" s="347">
        <v>0.56000000000000005</v>
      </c>
      <c r="O249" s="348" t="s">
        <v>1205</v>
      </c>
      <c r="P249" s="348">
        <v>14.000000000000002</v>
      </c>
      <c r="Q249" s="348">
        <v>1.3788503419060438</v>
      </c>
    </row>
    <row r="250" spans="1:17" ht="15" hidden="1" customHeight="1">
      <c r="A250" s="163">
        <v>243</v>
      </c>
      <c r="B250" s="53" t="s">
        <v>6</v>
      </c>
      <c r="C250" s="53" t="s">
        <v>7907</v>
      </c>
      <c r="D250" s="53">
        <v>300005698</v>
      </c>
      <c r="E250" s="55" t="s">
        <v>7908</v>
      </c>
      <c r="F250" s="129">
        <v>20</v>
      </c>
      <c r="G250" s="129">
        <v>600</v>
      </c>
      <c r="H250" s="512">
        <v>244.6</v>
      </c>
      <c r="I250" s="265" t="s">
        <v>1693</v>
      </c>
      <c r="J250" s="265" t="s">
        <v>77</v>
      </c>
      <c r="K250" s="265" t="s">
        <v>7909</v>
      </c>
      <c r="L250" s="348" t="s">
        <v>1205</v>
      </c>
      <c r="M250" s="265" t="s">
        <v>7910</v>
      </c>
      <c r="N250" s="347">
        <v>0.81100000000000005</v>
      </c>
      <c r="O250" s="348" t="s">
        <v>1205</v>
      </c>
      <c r="P250" s="348">
        <v>16.220000000000002</v>
      </c>
      <c r="Q250" s="348" t="s">
        <v>1205</v>
      </c>
    </row>
    <row r="251" spans="1:17" ht="15" hidden="1" customHeight="1">
      <c r="A251" s="163">
        <v>244</v>
      </c>
      <c r="B251" s="53" t="s">
        <v>6</v>
      </c>
      <c r="C251" s="53" t="s">
        <v>7911</v>
      </c>
      <c r="D251" s="53">
        <v>100029101</v>
      </c>
      <c r="E251" s="55" t="s">
        <v>7912</v>
      </c>
      <c r="F251" s="129">
        <v>10</v>
      </c>
      <c r="G251" s="129">
        <v>120</v>
      </c>
      <c r="H251" s="512">
        <v>489.62</v>
      </c>
      <c r="I251" s="265" t="s">
        <v>76</v>
      </c>
      <c r="J251" s="265" t="s">
        <v>102</v>
      </c>
      <c r="K251" s="265" t="s">
        <v>7913</v>
      </c>
      <c r="L251" s="348" t="s">
        <v>1205</v>
      </c>
      <c r="M251" s="265" t="s">
        <v>7914</v>
      </c>
      <c r="N251" s="347">
        <v>2.4409999999999998</v>
      </c>
      <c r="O251" s="348" t="s">
        <v>1205</v>
      </c>
      <c r="P251" s="348">
        <v>24.409999999999997</v>
      </c>
      <c r="Q251" s="348">
        <v>3.6731726755225957</v>
      </c>
    </row>
    <row r="252" spans="1:17" ht="15" hidden="1" customHeight="1">
      <c r="A252" s="163">
        <v>245</v>
      </c>
      <c r="B252" s="53" t="s">
        <v>6</v>
      </c>
      <c r="C252" s="53" t="s">
        <v>7915</v>
      </c>
      <c r="D252" s="53">
        <v>100029102</v>
      </c>
      <c r="E252" s="55" t="s">
        <v>7916</v>
      </c>
      <c r="F252" s="129">
        <v>5</v>
      </c>
      <c r="G252" s="129">
        <v>70</v>
      </c>
      <c r="H252" s="512">
        <v>1055.22</v>
      </c>
      <c r="I252" s="265" t="s">
        <v>76</v>
      </c>
      <c r="J252" s="265" t="s">
        <v>102</v>
      </c>
      <c r="K252" s="265" t="s">
        <v>7917</v>
      </c>
      <c r="L252" s="348" t="s">
        <v>1205</v>
      </c>
      <c r="M252" s="265" t="s">
        <v>7918</v>
      </c>
      <c r="N252" s="347">
        <v>4.4690000000000003</v>
      </c>
      <c r="O252" s="348" t="s">
        <v>1205</v>
      </c>
      <c r="P252" s="348">
        <v>22.345000000000002</v>
      </c>
      <c r="Q252" s="348">
        <v>3.6731726755225957</v>
      </c>
    </row>
    <row r="253" spans="1:17" ht="15" hidden="1" customHeight="1">
      <c r="A253" s="163">
        <v>246</v>
      </c>
      <c r="B253" s="53" t="s">
        <v>6</v>
      </c>
      <c r="C253" s="53" t="s">
        <v>7919</v>
      </c>
      <c r="D253" s="53">
        <v>300005699</v>
      </c>
      <c r="E253" s="55" t="s">
        <v>7920</v>
      </c>
      <c r="F253" s="129">
        <v>2</v>
      </c>
      <c r="G253" s="129">
        <v>16</v>
      </c>
      <c r="H253" s="512">
        <v>7397.5</v>
      </c>
      <c r="I253" s="265" t="s">
        <v>1693</v>
      </c>
      <c r="J253" s="265" t="s">
        <v>77</v>
      </c>
      <c r="K253" s="265" t="s">
        <v>7921</v>
      </c>
      <c r="L253" s="348" t="s">
        <v>1205</v>
      </c>
      <c r="M253" s="265">
        <v>0</v>
      </c>
      <c r="N253" s="347">
        <v>9.9019999999999992</v>
      </c>
      <c r="O253" s="348" t="s">
        <v>1205</v>
      </c>
      <c r="P253" s="348">
        <v>19.803999999999998</v>
      </c>
      <c r="Q253" s="348" t="s">
        <v>1205</v>
      </c>
    </row>
    <row r="254" spans="1:17" ht="15" hidden="1" customHeight="1">
      <c r="A254" s="163">
        <v>247</v>
      </c>
      <c r="B254" s="53" t="s">
        <v>6</v>
      </c>
      <c r="C254" s="53" t="s">
        <v>7922</v>
      </c>
      <c r="D254" s="53">
        <v>300005700</v>
      </c>
      <c r="E254" s="55" t="s">
        <v>7923</v>
      </c>
      <c r="F254" s="129">
        <v>3</v>
      </c>
      <c r="G254" s="129">
        <v>35</v>
      </c>
      <c r="H254" s="512">
        <v>6062.91</v>
      </c>
      <c r="I254" s="265" t="s">
        <v>359</v>
      </c>
      <c r="J254" s="265" t="s">
        <v>77</v>
      </c>
      <c r="K254" s="265" t="s">
        <v>7924</v>
      </c>
      <c r="L254" s="348" t="s">
        <v>1205</v>
      </c>
      <c r="M254" s="265">
        <v>0</v>
      </c>
      <c r="N254" s="347">
        <v>5.16</v>
      </c>
      <c r="O254" s="348" t="s">
        <v>1205</v>
      </c>
      <c r="P254" s="348">
        <v>15.48</v>
      </c>
      <c r="Q254" s="348" t="s">
        <v>1205</v>
      </c>
    </row>
    <row r="255" spans="1:17" ht="15" hidden="1" customHeight="1">
      <c r="A255" s="163">
        <v>248</v>
      </c>
      <c r="B255" s="53" t="s">
        <v>6</v>
      </c>
      <c r="C255" s="53" t="s">
        <v>7925</v>
      </c>
      <c r="D255" s="53">
        <v>100029105</v>
      </c>
      <c r="E255" s="55" t="s">
        <v>7926</v>
      </c>
      <c r="F255" s="129">
        <v>10</v>
      </c>
      <c r="G255" s="129">
        <v>630</v>
      </c>
      <c r="H255" s="512">
        <v>227.94</v>
      </c>
      <c r="I255" s="265" t="s">
        <v>359</v>
      </c>
      <c r="J255" s="265" t="s">
        <v>102</v>
      </c>
      <c r="K255" s="265" t="s">
        <v>7927</v>
      </c>
      <c r="L255" s="348" t="s">
        <v>1205</v>
      </c>
      <c r="M255" s="265" t="s">
        <v>7928</v>
      </c>
      <c r="N255" s="347">
        <v>0.72899999999999998</v>
      </c>
      <c r="O255" s="348" t="s">
        <v>1205</v>
      </c>
      <c r="P255" s="348">
        <v>7.29</v>
      </c>
      <c r="Q255" s="348">
        <v>0.66940792428507967</v>
      </c>
    </row>
    <row r="256" spans="1:17" ht="15" hidden="1" customHeight="1">
      <c r="A256" s="163">
        <v>249</v>
      </c>
      <c r="B256" s="53" t="s">
        <v>6</v>
      </c>
      <c r="C256" s="53" t="s">
        <v>7929</v>
      </c>
      <c r="D256" s="53">
        <v>300005701</v>
      </c>
      <c r="E256" s="55" t="s">
        <v>7930</v>
      </c>
      <c r="F256" s="129">
        <v>10</v>
      </c>
      <c r="G256" s="129">
        <v>300</v>
      </c>
      <c r="H256" s="512">
        <v>474.81</v>
      </c>
      <c r="I256" s="265" t="s">
        <v>1693</v>
      </c>
      <c r="J256" s="265" t="s">
        <v>77</v>
      </c>
      <c r="K256" s="265" t="s">
        <v>7931</v>
      </c>
      <c r="L256" s="348" t="s">
        <v>1205</v>
      </c>
      <c r="M256" s="265">
        <v>0</v>
      </c>
      <c r="N256" s="347">
        <v>1.19</v>
      </c>
      <c r="O256" s="348" t="s">
        <v>1205</v>
      </c>
      <c r="P256" s="348">
        <v>11.899999999999999</v>
      </c>
      <c r="Q256" s="348" t="s">
        <v>1205</v>
      </c>
    </row>
    <row r="257" spans="1:17" ht="15" hidden="1" customHeight="1">
      <c r="A257" s="163">
        <v>250</v>
      </c>
      <c r="B257" s="53" t="s">
        <v>6</v>
      </c>
      <c r="C257" s="53" t="s">
        <v>7932</v>
      </c>
      <c r="D257" s="53">
        <v>100029107</v>
      </c>
      <c r="E257" s="55" t="s">
        <v>7933</v>
      </c>
      <c r="F257" s="129">
        <v>10</v>
      </c>
      <c r="G257" s="129">
        <v>210</v>
      </c>
      <c r="H257" s="512">
        <v>364.92</v>
      </c>
      <c r="I257" s="265" t="s">
        <v>76</v>
      </c>
      <c r="J257" s="265" t="s">
        <v>102</v>
      </c>
      <c r="K257" s="265" t="s">
        <v>7934</v>
      </c>
      <c r="L257" s="348" t="s">
        <v>1205</v>
      </c>
      <c r="M257" s="265" t="s">
        <v>7935</v>
      </c>
      <c r="N257" s="347">
        <v>1.5289999999999999</v>
      </c>
      <c r="O257" s="348" t="s">
        <v>1205</v>
      </c>
      <c r="P257" s="348">
        <v>15.29</v>
      </c>
      <c r="Q257" s="348">
        <v>1.8803145838984718</v>
      </c>
    </row>
    <row r="258" spans="1:17" ht="15" hidden="1" customHeight="1">
      <c r="A258" s="163">
        <v>251</v>
      </c>
      <c r="B258" s="53" t="s">
        <v>6</v>
      </c>
      <c r="C258" s="53" t="s">
        <v>7936</v>
      </c>
      <c r="D258" s="53">
        <v>300005702</v>
      </c>
      <c r="E258" s="55" t="s">
        <v>7937</v>
      </c>
      <c r="F258" s="129">
        <v>5</v>
      </c>
      <c r="G258" s="129">
        <v>150</v>
      </c>
      <c r="H258" s="512">
        <v>1579.5</v>
      </c>
      <c r="I258" s="265" t="s">
        <v>1693</v>
      </c>
      <c r="J258" s="265" t="s">
        <v>77</v>
      </c>
      <c r="K258" s="265" t="s">
        <v>7938</v>
      </c>
      <c r="L258" s="348" t="s">
        <v>1205</v>
      </c>
      <c r="M258" s="265">
        <v>0</v>
      </c>
      <c r="N258" s="347">
        <v>1.71</v>
      </c>
      <c r="O258" s="348" t="s">
        <v>1205</v>
      </c>
      <c r="P258" s="348">
        <v>8.5500000000000007</v>
      </c>
      <c r="Q258" s="348" t="s">
        <v>1205</v>
      </c>
    </row>
    <row r="259" spans="1:17" ht="15" hidden="1" customHeight="1">
      <c r="A259" s="163">
        <v>252</v>
      </c>
      <c r="B259" s="53" t="s">
        <v>6</v>
      </c>
      <c r="C259" s="53" t="s">
        <v>7939</v>
      </c>
      <c r="D259" s="53">
        <v>100029109</v>
      </c>
      <c r="E259" s="55" t="s">
        <v>7940</v>
      </c>
      <c r="F259" s="129">
        <v>5</v>
      </c>
      <c r="G259" s="129">
        <v>90</v>
      </c>
      <c r="H259" s="512">
        <v>786.55</v>
      </c>
      <c r="I259" s="265" t="s">
        <v>76</v>
      </c>
      <c r="J259" s="265" t="s">
        <v>102</v>
      </c>
      <c r="K259" s="265" t="s">
        <v>7941</v>
      </c>
      <c r="L259" s="348" t="s">
        <v>1205</v>
      </c>
      <c r="M259" s="265" t="s">
        <v>7942</v>
      </c>
      <c r="N259" s="347">
        <v>3.2930000000000001</v>
      </c>
      <c r="O259" s="348" t="s">
        <v>1205</v>
      </c>
      <c r="P259" s="348">
        <v>16.465</v>
      </c>
      <c r="Q259" s="348">
        <v>2.7986077527791204</v>
      </c>
    </row>
    <row r="260" spans="1:17" ht="15" hidden="1" customHeight="1">
      <c r="A260" s="163">
        <v>253</v>
      </c>
      <c r="B260" s="53" t="s">
        <v>6</v>
      </c>
      <c r="C260" s="53" t="s">
        <v>7943</v>
      </c>
      <c r="D260" s="53">
        <v>100029110</v>
      </c>
      <c r="E260" s="55" t="s">
        <v>7944</v>
      </c>
      <c r="F260" s="129">
        <v>20</v>
      </c>
      <c r="G260" s="129">
        <v>1260</v>
      </c>
      <c r="H260" s="512">
        <v>91.52</v>
      </c>
      <c r="I260" s="265" t="s">
        <v>76</v>
      </c>
      <c r="J260" s="265" t="s">
        <v>102</v>
      </c>
      <c r="K260" s="265" t="s">
        <v>7945</v>
      </c>
      <c r="L260" s="348" t="s">
        <v>1205</v>
      </c>
      <c r="M260" s="265" t="s">
        <v>7946</v>
      </c>
      <c r="N260" s="347">
        <v>0.378</v>
      </c>
      <c r="O260" s="348" t="s">
        <v>1205</v>
      </c>
      <c r="P260" s="348">
        <v>7.5600000000000005</v>
      </c>
      <c r="Q260" s="348">
        <v>0.66940792428507967</v>
      </c>
    </row>
    <row r="261" spans="1:17" ht="15" hidden="1" customHeight="1">
      <c r="A261" s="163">
        <v>254</v>
      </c>
      <c r="B261" s="53" t="s">
        <v>6</v>
      </c>
      <c r="C261" s="53" t="s">
        <v>7947</v>
      </c>
      <c r="D261" s="53">
        <v>100029111</v>
      </c>
      <c r="E261" s="55" t="s">
        <v>7948</v>
      </c>
      <c r="F261" s="129">
        <v>35</v>
      </c>
      <c r="G261" s="129">
        <v>840</v>
      </c>
      <c r="H261" s="512">
        <v>174.03</v>
      </c>
      <c r="I261" s="265" t="s">
        <v>76</v>
      </c>
      <c r="J261" s="265" t="s">
        <v>102</v>
      </c>
      <c r="K261" s="265" t="s">
        <v>7949</v>
      </c>
      <c r="L261" s="348" t="s">
        <v>1205</v>
      </c>
      <c r="M261" s="265" t="s">
        <v>7950</v>
      </c>
      <c r="N261" s="347">
        <v>0.66500000000000004</v>
      </c>
      <c r="O261" s="348" t="s">
        <v>1205</v>
      </c>
      <c r="P261" s="348">
        <v>23.275000000000002</v>
      </c>
      <c r="Q261" s="348">
        <v>1.8803145838984718</v>
      </c>
    </row>
    <row r="262" spans="1:17" ht="15" hidden="1" customHeight="1">
      <c r="A262" s="163">
        <v>255</v>
      </c>
      <c r="B262" s="53" t="s">
        <v>6</v>
      </c>
      <c r="C262" s="53" t="s">
        <v>7951</v>
      </c>
      <c r="D262" s="53">
        <v>100029112</v>
      </c>
      <c r="E262" s="55" t="s">
        <v>7952</v>
      </c>
      <c r="F262" s="129">
        <v>10</v>
      </c>
      <c r="G262" s="129">
        <v>240</v>
      </c>
      <c r="H262" s="512">
        <v>573.46</v>
      </c>
      <c r="I262" s="265" t="s">
        <v>359</v>
      </c>
      <c r="J262" s="265" t="s">
        <v>102</v>
      </c>
      <c r="K262" s="265" t="s">
        <v>7953</v>
      </c>
      <c r="L262" s="348" t="s">
        <v>1205</v>
      </c>
      <c r="M262" s="265" t="s">
        <v>7954</v>
      </c>
      <c r="N262" s="347">
        <v>1.9530000000000001</v>
      </c>
      <c r="O262" s="348" t="s">
        <v>1205</v>
      </c>
      <c r="P262" s="348">
        <v>19.53</v>
      </c>
      <c r="Q262" s="348">
        <v>1.8803145838984718</v>
      </c>
    </row>
    <row r="263" spans="1:17" ht="15" hidden="1" customHeight="1">
      <c r="A263" s="163">
        <v>256</v>
      </c>
      <c r="B263" s="53" t="s">
        <v>6</v>
      </c>
      <c r="C263" s="53" t="s">
        <v>7955</v>
      </c>
      <c r="D263" s="53">
        <v>100029113</v>
      </c>
      <c r="E263" s="55" t="s">
        <v>7956</v>
      </c>
      <c r="F263" s="129">
        <v>5</v>
      </c>
      <c r="G263" s="129">
        <v>120</v>
      </c>
      <c r="H263" s="512">
        <v>886.35</v>
      </c>
      <c r="I263" s="265" t="s">
        <v>359</v>
      </c>
      <c r="J263" s="265" t="s">
        <v>102</v>
      </c>
      <c r="K263" s="265" t="s">
        <v>7957</v>
      </c>
      <c r="L263" s="348" t="s">
        <v>1205</v>
      </c>
      <c r="M263" s="265" t="s">
        <v>7958</v>
      </c>
      <c r="N263" s="347">
        <v>3.4220000000000002</v>
      </c>
      <c r="O263" s="348" t="s">
        <v>1205</v>
      </c>
      <c r="P263" s="348">
        <v>17.11</v>
      </c>
      <c r="Q263" s="348">
        <v>1.8803145838984718</v>
      </c>
    </row>
    <row r="264" spans="1:17" ht="15" hidden="1" customHeight="1">
      <c r="A264" s="163">
        <v>257</v>
      </c>
      <c r="B264" s="53" t="s">
        <v>6</v>
      </c>
      <c r="C264" s="53" t="s">
        <v>7959</v>
      </c>
      <c r="D264" s="53">
        <v>100029114</v>
      </c>
      <c r="E264" s="55" t="s">
        <v>7960</v>
      </c>
      <c r="F264" s="129">
        <v>25</v>
      </c>
      <c r="G264" s="129">
        <v>1125</v>
      </c>
      <c r="H264" s="512">
        <v>107.07</v>
      </c>
      <c r="I264" s="265" t="s">
        <v>76</v>
      </c>
      <c r="J264" s="265" t="s">
        <v>102</v>
      </c>
      <c r="K264" s="265" t="s">
        <v>7961</v>
      </c>
      <c r="L264" s="348" t="s">
        <v>1205</v>
      </c>
      <c r="M264" s="265" t="s">
        <v>7962</v>
      </c>
      <c r="N264" s="347">
        <v>0.54200000000000004</v>
      </c>
      <c r="O264" s="348" t="s">
        <v>1205</v>
      </c>
      <c r="P264" s="348">
        <v>13.55</v>
      </c>
      <c r="Q264" s="348">
        <v>0.98955954024750914</v>
      </c>
    </row>
    <row r="265" spans="1:17" ht="15" hidden="1" customHeight="1">
      <c r="A265" s="163">
        <v>258</v>
      </c>
      <c r="B265" s="53" t="s">
        <v>6</v>
      </c>
      <c r="C265" s="53" t="s">
        <v>7963</v>
      </c>
      <c r="D265" s="53">
        <v>100029115</v>
      </c>
      <c r="E265" s="55" t="s">
        <v>7964</v>
      </c>
      <c r="F265" s="129">
        <v>20</v>
      </c>
      <c r="G265" s="129">
        <v>640</v>
      </c>
      <c r="H265" s="512">
        <v>130.25</v>
      </c>
      <c r="I265" s="265" t="s">
        <v>76</v>
      </c>
      <c r="J265" s="265" t="s">
        <v>102</v>
      </c>
      <c r="K265" s="265" t="s">
        <v>7965</v>
      </c>
      <c r="L265" s="348" t="s">
        <v>1205</v>
      </c>
      <c r="M265" s="265" t="s">
        <v>7966</v>
      </c>
      <c r="N265" s="347">
        <v>0.98299999999999998</v>
      </c>
      <c r="O265" s="348" t="s">
        <v>1205</v>
      </c>
      <c r="P265" s="348">
        <v>19.66</v>
      </c>
      <c r="Q265" s="348">
        <v>1.3788503419060438</v>
      </c>
    </row>
    <row r="266" spans="1:17" ht="15" hidden="1" customHeight="1">
      <c r="A266" s="163">
        <v>259</v>
      </c>
      <c r="B266" s="53" t="s">
        <v>6</v>
      </c>
      <c r="C266" s="53" t="s">
        <v>7967</v>
      </c>
      <c r="D266" s="53">
        <v>100029116</v>
      </c>
      <c r="E266" s="55" t="s">
        <v>7968</v>
      </c>
      <c r="F266" s="129">
        <v>10</v>
      </c>
      <c r="G266" s="129">
        <v>180</v>
      </c>
      <c r="H266" s="512">
        <v>440.33</v>
      </c>
      <c r="I266" s="265" t="s">
        <v>76</v>
      </c>
      <c r="J266" s="265" t="s">
        <v>102</v>
      </c>
      <c r="K266" s="265" t="s">
        <v>7969</v>
      </c>
      <c r="L266" s="348" t="s">
        <v>1205</v>
      </c>
      <c r="M266" s="265" t="s">
        <v>7970</v>
      </c>
      <c r="N266" s="347">
        <v>2.782</v>
      </c>
      <c r="O266" s="348" t="s">
        <v>1205</v>
      </c>
      <c r="P266" s="348">
        <v>27.82</v>
      </c>
      <c r="Q266" s="348">
        <v>2.361325291407383</v>
      </c>
    </row>
    <row r="267" spans="1:17" ht="15" hidden="1" customHeight="1">
      <c r="A267" s="163">
        <v>260</v>
      </c>
      <c r="B267" s="53" t="s">
        <v>6</v>
      </c>
      <c r="C267" s="53" t="s">
        <v>7971</v>
      </c>
      <c r="D267" s="53">
        <v>100029117</v>
      </c>
      <c r="E267" s="55" t="s">
        <v>7972</v>
      </c>
      <c r="F267" s="129">
        <v>4</v>
      </c>
      <c r="G267" s="129">
        <v>96</v>
      </c>
      <c r="H267" s="512">
        <v>1060.47</v>
      </c>
      <c r="I267" s="265" t="s">
        <v>76</v>
      </c>
      <c r="J267" s="265" t="s">
        <v>102</v>
      </c>
      <c r="K267" s="265" t="s">
        <v>7973</v>
      </c>
      <c r="L267" s="348" t="s">
        <v>1205</v>
      </c>
      <c r="M267" s="265" t="s">
        <v>7974</v>
      </c>
      <c r="N267" s="347">
        <v>5.0449999999999999</v>
      </c>
      <c r="O267" s="348" t="s">
        <v>1205</v>
      </c>
      <c r="P267" s="348">
        <v>20.18</v>
      </c>
      <c r="Q267" s="348">
        <v>1.8803145838984718</v>
      </c>
    </row>
    <row r="268" spans="1:17" ht="15" hidden="1" customHeight="1">
      <c r="A268" s="163">
        <v>261</v>
      </c>
      <c r="B268" s="53" t="s">
        <v>6</v>
      </c>
      <c r="C268" s="53" t="s">
        <v>7975</v>
      </c>
      <c r="D268" s="53">
        <v>100029118</v>
      </c>
      <c r="E268" s="55" t="s">
        <v>7976</v>
      </c>
      <c r="F268" s="129">
        <v>50</v>
      </c>
      <c r="G268" s="129">
        <v>900</v>
      </c>
      <c r="H268" s="512">
        <v>167.29</v>
      </c>
      <c r="I268" s="265" t="s">
        <v>359</v>
      </c>
      <c r="J268" s="265" t="s">
        <v>102</v>
      </c>
      <c r="K268" s="265" t="s">
        <v>7977</v>
      </c>
      <c r="L268" s="348" t="s">
        <v>1205</v>
      </c>
      <c r="M268" s="265" t="s">
        <v>7978</v>
      </c>
      <c r="N268" s="347">
        <v>0.63</v>
      </c>
      <c r="O268" s="348" t="s">
        <v>1205</v>
      </c>
      <c r="P268" s="348">
        <v>31.5</v>
      </c>
      <c r="Q268" s="348">
        <v>2.361325291407383</v>
      </c>
    </row>
    <row r="269" spans="1:17" ht="15" hidden="1" customHeight="1">
      <c r="A269" s="163">
        <v>262</v>
      </c>
      <c r="B269" s="53" t="s">
        <v>6</v>
      </c>
      <c r="C269" s="53" t="s">
        <v>7979</v>
      </c>
      <c r="D269" s="53">
        <v>100029119</v>
      </c>
      <c r="E269" s="55" t="s">
        <v>7980</v>
      </c>
      <c r="F269" s="129">
        <v>25</v>
      </c>
      <c r="G269" s="129">
        <v>800</v>
      </c>
      <c r="H269" s="512">
        <v>127.52</v>
      </c>
      <c r="I269" s="265" t="s">
        <v>76</v>
      </c>
      <c r="J269" s="265" t="s">
        <v>102</v>
      </c>
      <c r="K269" s="265" t="s">
        <v>7981</v>
      </c>
      <c r="L269" s="348" t="s">
        <v>1205</v>
      </c>
      <c r="M269" s="265" t="s">
        <v>7982</v>
      </c>
      <c r="N269" s="347">
        <v>0.63900000000000001</v>
      </c>
      <c r="O269" s="348" t="s">
        <v>1205</v>
      </c>
      <c r="P269" s="348">
        <v>15.975</v>
      </c>
      <c r="Q269" s="348">
        <v>1.3788503419060438</v>
      </c>
    </row>
    <row r="270" spans="1:17" ht="15" hidden="1" customHeight="1">
      <c r="A270" s="163">
        <v>263</v>
      </c>
      <c r="B270" s="53" t="s">
        <v>6</v>
      </c>
      <c r="C270" s="53" t="s">
        <v>7983</v>
      </c>
      <c r="D270" s="53">
        <v>100029120</v>
      </c>
      <c r="E270" s="55" t="s">
        <v>7984</v>
      </c>
      <c r="F270" s="129">
        <v>20</v>
      </c>
      <c r="G270" s="129">
        <v>360</v>
      </c>
      <c r="H270" s="512">
        <v>293.86</v>
      </c>
      <c r="I270" s="265" t="s">
        <v>359</v>
      </c>
      <c r="J270" s="265" t="s">
        <v>102</v>
      </c>
      <c r="K270" s="265" t="s">
        <v>7985</v>
      </c>
      <c r="L270" s="348" t="s">
        <v>1205</v>
      </c>
      <c r="M270" s="265" t="s">
        <v>7986</v>
      </c>
      <c r="N270" s="347">
        <v>1.014</v>
      </c>
      <c r="O270" s="348" t="s">
        <v>1205</v>
      </c>
      <c r="P270" s="348">
        <v>20.28</v>
      </c>
      <c r="Q270" s="348">
        <v>2.361325291407383</v>
      </c>
    </row>
    <row r="271" spans="1:17" ht="15" hidden="1" customHeight="1">
      <c r="A271" s="163">
        <v>264</v>
      </c>
      <c r="B271" s="53" t="s">
        <v>6</v>
      </c>
      <c r="C271" s="53" t="s">
        <v>7987</v>
      </c>
      <c r="D271" s="53">
        <v>300005703</v>
      </c>
      <c r="E271" s="55" t="s">
        <v>7988</v>
      </c>
      <c r="F271" s="129">
        <v>25</v>
      </c>
      <c r="G271" s="129">
        <v>750</v>
      </c>
      <c r="H271" s="512">
        <v>632.04</v>
      </c>
      <c r="I271" s="265" t="s">
        <v>1693</v>
      </c>
      <c r="J271" s="265" t="s">
        <v>77</v>
      </c>
      <c r="K271" s="265" t="s">
        <v>7989</v>
      </c>
      <c r="L271" s="348" t="s">
        <v>1205</v>
      </c>
      <c r="M271" s="265">
        <v>0</v>
      </c>
      <c r="N271" s="347">
        <v>0.61</v>
      </c>
      <c r="O271" s="348" t="s">
        <v>1205</v>
      </c>
      <c r="P271" s="348">
        <v>15.25</v>
      </c>
      <c r="Q271" s="348" t="s">
        <v>1205</v>
      </c>
    </row>
    <row r="272" spans="1:17" ht="15" hidden="1" customHeight="1">
      <c r="A272" s="163">
        <v>265</v>
      </c>
      <c r="B272" s="53" t="s">
        <v>6</v>
      </c>
      <c r="C272" s="53" t="s">
        <v>7990</v>
      </c>
      <c r="D272" s="53">
        <v>100029124</v>
      </c>
      <c r="E272" s="55" t="s">
        <v>7991</v>
      </c>
      <c r="F272" s="129">
        <v>25</v>
      </c>
      <c r="G272" s="129">
        <v>600</v>
      </c>
      <c r="H272" s="512">
        <v>120.71</v>
      </c>
      <c r="I272" s="265" t="s">
        <v>359</v>
      </c>
      <c r="J272" s="265" t="s">
        <v>102</v>
      </c>
      <c r="K272" s="265" t="s">
        <v>7992</v>
      </c>
      <c r="L272" s="348" t="s">
        <v>1205</v>
      </c>
      <c r="M272" s="265" t="s">
        <v>7993</v>
      </c>
      <c r="N272" s="347">
        <v>0.79700000000000004</v>
      </c>
      <c r="O272" s="348" t="s">
        <v>1205</v>
      </c>
      <c r="P272" s="348">
        <v>19.925000000000001</v>
      </c>
      <c r="Q272" s="348">
        <v>1.8803145838984718</v>
      </c>
    </row>
    <row r="273" spans="1:17" ht="15" hidden="1" customHeight="1">
      <c r="A273" s="163">
        <v>266</v>
      </c>
      <c r="B273" s="53" t="s">
        <v>6</v>
      </c>
      <c r="C273" s="53" t="s">
        <v>7994</v>
      </c>
      <c r="D273" s="53">
        <v>300005706</v>
      </c>
      <c r="E273" s="55" t="s">
        <v>7995</v>
      </c>
      <c r="F273" s="129">
        <v>25</v>
      </c>
      <c r="G273" s="129" t="s">
        <v>1205</v>
      </c>
      <c r="H273" s="512">
        <v>204.41</v>
      </c>
      <c r="I273" s="265" t="s">
        <v>1693</v>
      </c>
      <c r="J273" s="265" t="s">
        <v>77</v>
      </c>
      <c r="K273" s="265" t="s">
        <v>7996</v>
      </c>
      <c r="L273" s="348" t="s">
        <v>1205</v>
      </c>
      <c r="M273" s="265">
        <v>0</v>
      </c>
      <c r="N273" s="347">
        <v>0.85799999999999998</v>
      </c>
      <c r="O273" s="348" t="s">
        <v>1205</v>
      </c>
      <c r="P273" s="348">
        <v>21.45</v>
      </c>
      <c r="Q273" s="348" t="s">
        <v>1205</v>
      </c>
    </row>
    <row r="274" spans="1:17" ht="15" hidden="1" customHeight="1">
      <c r="A274" s="163">
        <v>267</v>
      </c>
      <c r="B274" s="53" t="s">
        <v>6</v>
      </c>
      <c r="C274" s="53" t="s">
        <v>7997</v>
      </c>
      <c r="D274" s="53">
        <v>300005704</v>
      </c>
      <c r="E274" s="55" t="s">
        <v>7998</v>
      </c>
      <c r="F274" s="129">
        <v>25</v>
      </c>
      <c r="G274" s="129" t="s">
        <v>1205</v>
      </c>
      <c r="H274" s="512">
        <v>145.69999999999999</v>
      </c>
      <c r="I274" s="265" t="s">
        <v>359</v>
      </c>
      <c r="J274" s="265" t="s">
        <v>77</v>
      </c>
      <c r="K274" s="265" t="s">
        <v>7999</v>
      </c>
      <c r="L274" s="348" t="s">
        <v>1205</v>
      </c>
      <c r="M274" s="265" t="s">
        <v>8000</v>
      </c>
      <c r="N274" s="347">
        <v>0.92600000000000005</v>
      </c>
      <c r="O274" s="348" t="s">
        <v>1205</v>
      </c>
      <c r="P274" s="348">
        <v>23.150000000000002</v>
      </c>
      <c r="Q274" s="348" t="s">
        <v>1205</v>
      </c>
    </row>
    <row r="275" spans="1:17" ht="15" hidden="1" customHeight="1">
      <c r="A275" s="163">
        <v>268</v>
      </c>
      <c r="B275" s="53" t="s">
        <v>6</v>
      </c>
      <c r="C275" s="53" t="s">
        <v>8001</v>
      </c>
      <c r="D275" s="53">
        <v>300005705</v>
      </c>
      <c r="E275" s="55" t="s">
        <v>8002</v>
      </c>
      <c r="F275" s="129">
        <v>25</v>
      </c>
      <c r="G275" s="129" t="s">
        <v>1205</v>
      </c>
      <c r="H275" s="512">
        <v>261.05</v>
      </c>
      <c r="I275" s="265" t="s">
        <v>359</v>
      </c>
      <c r="J275" s="265" t="s">
        <v>77</v>
      </c>
      <c r="K275" s="265" t="s">
        <v>8003</v>
      </c>
      <c r="L275" s="348" t="s">
        <v>1205</v>
      </c>
      <c r="M275" s="265" t="s">
        <v>8004</v>
      </c>
      <c r="N275" s="347">
        <v>0.82599999999999996</v>
      </c>
      <c r="O275" s="348" t="s">
        <v>1205</v>
      </c>
      <c r="P275" s="348">
        <v>20.65</v>
      </c>
      <c r="Q275" s="348" t="s">
        <v>1205</v>
      </c>
    </row>
    <row r="276" spans="1:17" ht="15" hidden="1" customHeight="1">
      <c r="A276" s="163">
        <v>269</v>
      </c>
      <c r="B276" s="53" t="s">
        <v>6</v>
      </c>
      <c r="C276" s="53" t="s">
        <v>8005</v>
      </c>
      <c r="D276" s="53">
        <v>300005834</v>
      </c>
      <c r="E276" s="55" t="s">
        <v>8006</v>
      </c>
      <c r="F276" s="129">
        <v>25</v>
      </c>
      <c r="G276" s="129">
        <v>800</v>
      </c>
      <c r="H276" s="512">
        <v>367</v>
      </c>
      <c r="I276" s="265" t="s">
        <v>1693</v>
      </c>
      <c r="J276" s="265" t="s">
        <v>77</v>
      </c>
      <c r="K276" s="265" t="s">
        <v>8007</v>
      </c>
      <c r="L276" s="348" t="s">
        <v>1205</v>
      </c>
      <c r="M276" s="265">
        <v>0</v>
      </c>
      <c r="N276" s="347">
        <v>0.64200000000000002</v>
      </c>
      <c r="O276" s="348" t="s">
        <v>1205</v>
      </c>
      <c r="P276" s="348">
        <v>16.05</v>
      </c>
      <c r="Q276" s="348" t="s">
        <v>1205</v>
      </c>
    </row>
    <row r="277" spans="1:17" ht="15" hidden="1" customHeight="1">
      <c r="A277" s="163">
        <v>270</v>
      </c>
      <c r="B277" s="53" t="s">
        <v>6</v>
      </c>
      <c r="C277" s="53" t="s">
        <v>8008</v>
      </c>
      <c r="D277" s="53">
        <v>300005707</v>
      </c>
      <c r="E277" s="55" t="s">
        <v>8009</v>
      </c>
      <c r="F277" s="129">
        <v>25</v>
      </c>
      <c r="G277" s="129" t="s">
        <v>1205</v>
      </c>
      <c r="H277" s="512">
        <v>393.6</v>
      </c>
      <c r="I277" s="265" t="s">
        <v>1693</v>
      </c>
      <c r="J277" s="265" t="s">
        <v>77</v>
      </c>
      <c r="K277" s="265" t="s">
        <v>8010</v>
      </c>
      <c r="L277" s="348" t="s">
        <v>1205</v>
      </c>
      <c r="M277" s="265" t="s">
        <v>8011</v>
      </c>
      <c r="N277" s="347">
        <v>0.9</v>
      </c>
      <c r="O277" s="348" t="s">
        <v>1205</v>
      </c>
      <c r="P277" s="348">
        <v>22.5</v>
      </c>
      <c r="Q277" s="348" t="s">
        <v>1205</v>
      </c>
    </row>
    <row r="278" spans="1:17" ht="15" hidden="1" customHeight="1">
      <c r="A278" s="163">
        <v>271</v>
      </c>
      <c r="B278" s="53" t="s">
        <v>6</v>
      </c>
      <c r="C278" s="53" t="s">
        <v>8012</v>
      </c>
      <c r="D278" s="53">
        <v>300005708</v>
      </c>
      <c r="E278" s="55" t="s">
        <v>8013</v>
      </c>
      <c r="F278" s="129">
        <v>25</v>
      </c>
      <c r="G278" s="129" t="s">
        <v>1205</v>
      </c>
      <c r="H278" s="512">
        <v>408.45</v>
      </c>
      <c r="I278" s="265" t="s">
        <v>359</v>
      </c>
      <c r="J278" s="265" t="s">
        <v>77</v>
      </c>
      <c r="K278" s="265" t="s">
        <v>8014</v>
      </c>
      <c r="L278" s="348" t="s">
        <v>1205</v>
      </c>
      <c r="M278" s="265">
        <v>0</v>
      </c>
      <c r="N278" s="347">
        <v>0.84</v>
      </c>
      <c r="O278" s="348" t="s">
        <v>1205</v>
      </c>
      <c r="P278" s="348">
        <v>21</v>
      </c>
      <c r="Q278" s="348" t="s">
        <v>1205</v>
      </c>
    </row>
    <row r="279" spans="1:17" ht="15" hidden="1" customHeight="1">
      <c r="A279" s="163">
        <v>272</v>
      </c>
      <c r="B279" s="53" t="s">
        <v>6</v>
      </c>
      <c r="C279" s="53" t="s">
        <v>8015</v>
      </c>
      <c r="D279" s="53">
        <v>300005709</v>
      </c>
      <c r="E279" s="55" t="s">
        <v>8016</v>
      </c>
      <c r="F279" s="129">
        <v>25</v>
      </c>
      <c r="G279" s="129">
        <v>600</v>
      </c>
      <c r="H279" s="512">
        <v>609.26</v>
      </c>
      <c r="I279" s="265" t="s">
        <v>1693</v>
      </c>
      <c r="J279" s="265" t="s">
        <v>77</v>
      </c>
      <c r="K279" s="265" t="s">
        <v>8017</v>
      </c>
      <c r="L279" s="348" t="s">
        <v>1205</v>
      </c>
      <c r="M279" s="265">
        <v>0</v>
      </c>
      <c r="N279" s="347">
        <v>0.85</v>
      </c>
      <c r="O279" s="348" t="s">
        <v>1205</v>
      </c>
      <c r="P279" s="348">
        <v>21.25</v>
      </c>
      <c r="Q279" s="348" t="s">
        <v>1205</v>
      </c>
    </row>
    <row r="280" spans="1:17" ht="15" hidden="1" customHeight="1">
      <c r="A280" s="163">
        <v>273</v>
      </c>
      <c r="B280" s="53" t="s">
        <v>6</v>
      </c>
      <c r="C280" s="53" t="s">
        <v>8018</v>
      </c>
      <c r="D280" s="53">
        <v>300005710</v>
      </c>
      <c r="E280" s="55" t="s">
        <v>8019</v>
      </c>
      <c r="F280" s="129">
        <v>6</v>
      </c>
      <c r="G280" s="129" t="s">
        <v>1205</v>
      </c>
      <c r="H280" s="512">
        <v>459</v>
      </c>
      <c r="I280" s="265" t="s">
        <v>359</v>
      </c>
      <c r="J280" s="265" t="s">
        <v>77</v>
      </c>
      <c r="K280" s="265" t="s">
        <v>8020</v>
      </c>
      <c r="L280" s="348" t="s">
        <v>1205</v>
      </c>
      <c r="M280" s="265">
        <v>0</v>
      </c>
      <c r="N280" s="347">
        <v>0.89</v>
      </c>
      <c r="O280" s="348" t="s">
        <v>1205</v>
      </c>
      <c r="P280" s="348">
        <v>5.34</v>
      </c>
      <c r="Q280" s="348" t="s">
        <v>1205</v>
      </c>
    </row>
    <row r="281" spans="1:17" ht="15" hidden="1" customHeight="1">
      <c r="A281" s="163">
        <v>274</v>
      </c>
      <c r="B281" s="53" t="s">
        <v>6</v>
      </c>
      <c r="C281" s="53" t="s">
        <v>8021</v>
      </c>
      <c r="D281" s="53">
        <v>300005711</v>
      </c>
      <c r="E281" s="55" t="s">
        <v>8022</v>
      </c>
      <c r="F281" s="129">
        <v>25</v>
      </c>
      <c r="G281" s="129">
        <v>750</v>
      </c>
      <c r="H281" s="512">
        <v>229.45</v>
      </c>
      <c r="I281" s="265" t="s">
        <v>359</v>
      </c>
      <c r="J281" s="265" t="s">
        <v>77</v>
      </c>
      <c r="K281" s="265" t="s">
        <v>8023</v>
      </c>
      <c r="L281" s="348" t="s">
        <v>1205</v>
      </c>
      <c r="M281" s="265">
        <v>0</v>
      </c>
      <c r="N281" s="347">
        <v>0.65</v>
      </c>
      <c r="O281" s="348" t="s">
        <v>1205</v>
      </c>
      <c r="P281" s="348">
        <v>16.25</v>
      </c>
      <c r="Q281" s="348" t="s">
        <v>1205</v>
      </c>
    </row>
    <row r="282" spans="1:17" ht="15" hidden="1" customHeight="1">
      <c r="A282" s="163">
        <v>275</v>
      </c>
      <c r="B282" s="53" t="s">
        <v>6</v>
      </c>
      <c r="C282" s="53" t="s">
        <v>8024</v>
      </c>
      <c r="D282" s="53">
        <v>300005712</v>
      </c>
      <c r="E282" s="55" t="s">
        <v>8025</v>
      </c>
      <c r="F282" s="129">
        <v>25</v>
      </c>
      <c r="G282" s="129">
        <v>750</v>
      </c>
      <c r="H282" s="512">
        <v>233</v>
      </c>
      <c r="I282" s="265" t="s">
        <v>1693</v>
      </c>
      <c r="J282" s="265" t="s">
        <v>77</v>
      </c>
      <c r="K282" s="265" t="s">
        <v>8026</v>
      </c>
      <c r="L282" s="348" t="s">
        <v>1205</v>
      </c>
      <c r="M282" s="265">
        <v>0</v>
      </c>
      <c r="N282" s="347">
        <v>0.73</v>
      </c>
      <c r="O282" s="348" t="s">
        <v>1205</v>
      </c>
      <c r="P282" s="348">
        <v>18.25</v>
      </c>
      <c r="Q282" s="348" t="s">
        <v>1205</v>
      </c>
    </row>
    <row r="283" spans="1:17" ht="15" hidden="1" customHeight="1">
      <c r="A283" s="163">
        <v>276</v>
      </c>
      <c r="B283" s="53" t="s">
        <v>6</v>
      </c>
      <c r="C283" s="53" t="s">
        <v>8027</v>
      </c>
      <c r="D283" s="53">
        <v>300005713</v>
      </c>
      <c r="E283" s="55" t="s">
        <v>8028</v>
      </c>
      <c r="F283" s="129">
        <v>20</v>
      </c>
      <c r="G283" s="129" t="s">
        <v>1205</v>
      </c>
      <c r="H283" s="512">
        <v>837.62</v>
      </c>
      <c r="I283" s="265" t="s">
        <v>1693</v>
      </c>
      <c r="J283" s="265" t="s">
        <v>77</v>
      </c>
      <c r="K283" s="265" t="s">
        <v>8029</v>
      </c>
      <c r="L283" s="348" t="s">
        <v>1205</v>
      </c>
      <c r="M283" s="265">
        <v>0</v>
      </c>
      <c r="N283" s="347">
        <v>1.17</v>
      </c>
      <c r="O283" s="348" t="s">
        <v>1205</v>
      </c>
      <c r="P283" s="348">
        <v>23.4</v>
      </c>
      <c r="Q283" s="348" t="s">
        <v>1205</v>
      </c>
    </row>
    <row r="284" spans="1:17" ht="15" hidden="1" customHeight="1">
      <c r="A284" s="163">
        <v>277</v>
      </c>
      <c r="B284" s="53" t="s">
        <v>6</v>
      </c>
      <c r="C284" s="53" t="s">
        <v>8030</v>
      </c>
      <c r="D284" s="53">
        <v>300005714</v>
      </c>
      <c r="E284" s="55" t="s">
        <v>8031</v>
      </c>
      <c r="F284" s="129">
        <v>20</v>
      </c>
      <c r="G284" s="129" t="s">
        <v>1205</v>
      </c>
      <c r="H284" s="512">
        <v>531.41999999999996</v>
      </c>
      <c r="I284" s="265" t="s">
        <v>1693</v>
      </c>
      <c r="J284" s="265" t="s">
        <v>77</v>
      </c>
      <c r="K284" s="265" t="s">
        <v>8032</v>
      </c>
      <c r="L284" s="348" t="s">
        <v>1205</v>
      </c>
      <c r="M284" s="265">
        <v>0</v>
      </c>
      <c r="N284" s="347">
        <v>1.1100000000000001</v>
      </c>
      <c r="O284" s="348" t="s">
        <v>1205</v>
      </c>
      <c r="P284" s="348">
        <v>22.200000000000003</v>
      </c>
      <c r="Q284" s="348" t="s">
        <v>1205</v>
      </c>
    </row>
    <row r="285" spans="1:17" ht="15" hidden="1" customHeight="1">
      <c r="A285" s="163">
        <v>278</v>
      </c>
      <c r="B285" s="53" t="s">
        <v>7</v>
      </c>
      <c r="C285" s="53" t="s">
        <v>74</v>
      </c>
      <c r="D285" s="53">
        <v>300005952</v>
      </c>
      <c r="E285" s="55" t="s">
        <v>75</v>
      </c>
      <c r="F285" s="129">
        <v>100</v>
      </c>
      <c r="G285" s="129">
        <v>1900</v>
      </c>
      <c r="H285" s="512">
        <v>44</v>
      </c>
      <c r="I285" s="265" t="s">
        <v>76</v>
      </c>
      <c r="J285" s="265" t="s">
        <v>77</v>
      </c>
      <c r="K285" s="265">
        <v>0</v>
      </c>
      <c r="L285" s="348" t="s">
        <v>1205</v>
      </c>
      <c r="M285" s="265">
        <v>0</v>
      </c>
      <c r="N285" s="347">
        <v>0.21199999999999999</v>
      </c>
      <c r="O285" s="348" t="s">
        <v>1205</v>
      </c>
      <c r="P285" s="348" t="s">
        <v>1205</v>
      </c>
      <c r="Q285" s="348" t="s">
        <v>1205</v>
      </c>
    </row>
    <row r="286" spans="1:17" ht="15" hidden="1" customHeight="1">
      <c r="A286" s="163">
        <v>279</v>
      </c>
      <c r="B286" s="53" t="s">
        <v>7</v>
      </c>
      <c r="C286" s="53" t="s">
        <v>78</v>
      </c>
      <c r="D286" s="53">
        <v>300005953</v>
      </c>
      <c r="E286" s="55" t="s">
        <v>79</v>
      </c>
      <c r="F286" s="129">
        <v>35</v>
      </c>
      <c r="G286" s="129">
        <v>1050</v>
      </c>
      <c r="H286" s="512">
        <v>67.73</v>
      </c>
      <c r="I286" s="265" t="s">
        <v>76</v>
      </c>
      <c r="J286" s="265" t="s">
        <v>77</v>
      </c>
      <c r="K286" s="265">
        <v>0</v>
      </c>
      <c r="L286" s="348" t="s">
        <v>1205</v>
      </c>
      <c r="M286" s="265">
        <v>0</v>
      </c>
      <c r="N286" s="347">
        <v>0.33</v>
      </c>
      <c r="O286" s="348" t="s">
        <v>1205</v>
      </c>
      <c r="P286" s="348" t="s">
        <v>1205</v>
      </c>
      <c r="Q286" s="348" t="s">
        <v>1205</v>
      </c>
    </row>
    <row r="287" spans="1:17" ht="15" hidden="1" customHeight="1">
      <c r="A287" s="163">
        <v>280</v>
      </c>
      <c r="B287" s="53" t="s">
        <v>7</v>
      </c>
      <c r="C287" s="53" t="s">
        <v>80</v>
      </c>
      <c r="D287" s="53">
        <v>300005954</v>
      </c>
      <c r="E287" s="55" t="s">
        <v>81</v>
      </c>
      <c r="F287" s="129">
        <v>30</v>
      </c>
      <c r="G287" s="129">
        <v>360</v>
      </c>
      <c r="H287" s="512">
        <v>184.07</v>
      </c>
      <c r="I287" s="265" t="s">
        <v>76</v>
      </c>
      <c r="J287" s="265" t="s">
        <v>77</v>
      </c>
      <c r="K287" s="265">
        <v>0</v>
      </c>
      <c r="L287" s="348" t="s">
        <v>1205</v>
      </c>
      <c r="M287" s="265">
        <v>0</v>
      </c>
      <c r="N287" s="347">
        <v>1.026</v>
      </c>
      <c r="O287" s="348" t="s">
        <v>1205</v>
      </c>
      <c r="P287" s="348" t="s">
        <v>1205</v>
      </c>
      <c r="Q287" s="348" t="s">
        <v>1205</v>
      </c>
    </row>
    <row r="288" spans="1:17" ht="15" hidden="1" customHeight="1">
      <c r="A288" s="163">
        <v>281</v>
      </c>
      <c r="B288" s="53" t="s">
        <v>7</v>
      </c>
      <c r="C288" s="53" t="s">
        <v>82</v>
      </c>
      <c r="D288" s="53">
        <v>300005955</v>
      </c>
      <c r="E288" s="55" t="s">
        <v>83</v>
      </c>
      <c r="F288" s="129">
        <v>12</v>
      </c>
      <c r="G288" s="129">
        <v>360</v>
      </c>
      <c r="H288" s="512">
        <v>327.29000000000002</v>
      </c>
      <c r="I288" s="265" t="s">
        <v>76</v>
      </c>
      <c r="J288" s="265" t="s">
        <v>77</v>
      </c>
      <c r="K288" s="265">
        <v>0</v>
      </c>
      <c r="L288" s="348" t="s">
        <v>1205</v>
      </c>
      <c r="M288" s="265">
        <v>0</v>
      </c>
      <c r="N288" s="347">
        <v>1.88</v>
      </c>
      <c r="O288" s="348" t="s">
        <v>1205</v>
      </c>
      <c r="P288" s="348" t="s">
        <v>1205</v>
      </c>
      <c r="Q288" s="348" t="s">
        <v>1205</v>
      </c>
    </row>
    <row r="289" spans="1:17" ht="15" hidden="1" customHeight="1">
      <c r="A289" s="163">
        <v>282</v>
      </c>
      <c r="B289" s="53" t="s">
        <v>7</v>
      </c>
      <c r="C289" s="53" t="s">
        <v>84</v>
      </c>
      <c r="D289" s="53">
        <v>300005956</v>
      </c>
      <c r="E289" s="55" t="s">
        <v>85</v>
      </c>
      <c r="F289" s="129">
        <v>25</v>
      </c>
      <c r="G289" s="129">
        <v>1200</v>
      </c>
      <c r="H289" s="512">
        <v>60.27</v>
      </c>
      <c r="I289" s="265" t="s">
        <v>76</v>
      </c>
      <c r="J289" s="265" t="s">
        <v>77</v>
      </c>
      <c r="K289" s="265">
        <v>0</v>
      </c>
      <c r="L289" s="348" t="s">
        <v>1205</v>
      </c>
      <c r="M289" s="265">
        <v>0</v>
      </c>
      <c r="N289" s="347">
        <v>0.27900000000000003</v>
      </c>
      <c r="O289" s="348" t="s">
        <v>1205</v>
      </c>
      <c r="P289" s="348" t="s">
        <v>1205</v>
      </c>
      <c r="Q289" s="348" t="s">
        <v>1205</v>
      </c>
    </row>
    <row r="290" spans="1:17" ht="15" hidden="1" customHeight="1">
      <c r="A290" s="163">
        <v>283</v>
      </c>
      <c r="B290" s="53" t="s">
        <v>7</v>
      </c>
      <c r="C290" s="53" t="s">
        <v>86</v>
      </c>
      <c r="D290" s="53">
        <v>300005957</v>
      </c>
      <c r="E290" s="55" t="s">
        <v>87</v>
      </c>
      <c r="F290" s="129">
        <v>25</v>
      </c>
      <c r="G290" s="129">
        <v>1100</v>
      </c>
      <c r="H290" s="512">
        <v>67.83</v>
      </c>
      <c r="I290" s="265" t="s">
        <v>76</v>
      </c>
      <c r="J290" s="265" t="s">
        <v>77</v>
      </c>
      <c r="K290" s="265">
        <v>0</v>
      </c>
      <c r="L290" s="348" t="s">
        <v>1205</v>
      </c>
      <c r="M290" s="265">
        <v>0</v>
      </c>
      <c r="N290" s="347">
        <v>0.32800000000000001</v>
      </c>
      <c r="O290" s="348" t="s">
        <v>1205</v>
      </c>
      <c r="P290" s="348" t="s">
        <v>1205</v>
      </c>
      <c r="Q290" s="348" t="s">
        <v>1205</v>
      </c>
    </row>
    <row r="291" spans="1:17" ht="15" hidden="1" customHeight="1">
      <c r="A291" s="163">
        <v>284</v>
      </c>
      <c r="B291" s="53" t="s">
        <v>7</v>
      </c>
      <c r="C291" s="53" t="s">
        <v>88</v>
      </c>
      <c r="D291" s="53">
        <v>300005958</v>
      </c>
      <c r="E291" s="55" t="s">
        <v>89</v>
      </c>
      <c r="F291" s="129">
        <v>50</v>
      </c>
      <c r="G291" s="129">
        <v>1350</v>
      </c>
      <c r="H291" s="512">
        <v>58.91</v>
      </c>
      <c r="I291" s="265" t="s">
        <v>76</v>
      </c>
      <c r="J291" s="265" t="s">
        <v>77</v>
      </c>
      <c r="K291" s="265">
        <v>0</v>
      </c>
      <c r="L291" s="348" t="s">
        <v>1205</v>
      </c>
      <c r="M291" s="265">
        <v>0</v>
      </c>
      <c r="N291" s="347">
        <v>0.27800000000000002</v>
      </c>
      <c r="O291" s="348" t="s">
        <v>1205</v>
      </c>
      <c r="P291" s="348" t="s">
        <v>1205</v>
      </c>
      <c r="Q291" s="348" t="s">
        <v>1205</v>
      </c>
    </row>
    <row r="292" spans="1:17" ht="15" hidden="1" customHeight="1">
      <c r="A292" s="163">
        <v>285</v>
      </c>
      <c r="B292" s="53" t="s">
        <v>7</v>
      </c>
      <c r="C292" s="53" t="s">
        <v>90</v>
      </c>
      <c r="D292" s="53">
        <v>300005959</v>
      </c>
      <c r="E292" s="55" t="s">
        <v>91</v>
      </c>
      <c r="F292" s="129">
        <v>25</v>
      </c>
      <c r="G292" s="129">
        <v>800</v>
      </c>
      <c r="H292" s="512">
        <v>126.74</v>
      </c>
      <c r="I292" s="265" t="s">
        <v>76</v>
      </c>
      <c r="J292" s="265" t="s">
        <v>77</v>
      </c>
      <c r="K292" s="265">
        <v>0</v>
      </c>
      <c r="L292" s="348" t="s">
        <v>1205</v>
      </c>
      <c r="M292" s="265">
        <v>0</v>
      </c>
      <c r="N292" s="347">
        <v>0.59</v>
      </c>
      <c r="O292" s="348" t="s">
        <v>1205</v>
      </c>
      <c r="P292" s="348" t="s">
        <v>1205</v>
      </c>
      <c r="Q292" s="348" t="s">
        <v>1205</v>
      </c>
    </row>
    <row r="293" spans="1:17" ht="15" hidden="1" customHeight="1">
      <c r="A293" s="163">
        <v>286</v>
      </c>
      <c r="B293" s="53" t="s">
        <v>7</v>
      </c>
      <c r="C293" s="53" t="s">
        <v>92</v>
      </c>
      <c r="D293" s="53">
        <v>300005960</v>
      </c>
      <c r="E293" s="55" t="s">
        <v>93</v>
      </c>
      <c r="F293" s="129">
        <v>10</v>
      </c>
      <c r="G293" s="129">
        <v>360</v>
      </c>
      <c r="H293" s="512">
        <v>146.58000000000001</v>
      </c>
      <c r="I293" s="265" t="s">
        <v>76</v>
      </c>
      <c r="J293" s="265" t="s">
        <v>77</v>
      </c>
      <c r="K293" s="265">
        <v>0</v>
      </c>
      <c r="L293" s="348" t="s">
        <v>1205</v>
      </c>
      <c r="M293" s="265">
        <v>0</v>
      </c>
      <c r="N293" s="347">
        <v>0.71299999999999997</v>
      </c>
      <c r="O293" s="348" t="s">
        <v>1205</v>
      </c>
      <c r="P293" s="348" t="s">
        <v>1205</v>
      </c>
      <c r="Q293" s="348" t="s">
        <v>1205</v>
      </c>
    </row>
    <row r="294" spans="1:17" ht="15" hidden="1" customHeight="1">
      <c r="A294" s="163">
        <v>287</v>
      </c>
      <c r="B294" s="53" t="s">
        <v>7</v>
      </c>
      <c r="C294" s="53" t="s">
        <v>94</v>
      </c>
      <c r="D294" s="53">
        <v>300005961</v>
      </c>
      <c r="E294" s="55" t="s">
        <v>95</v>
      </c>
      <c r="F294" s="129">
        <v>20</v>
      </c>
      <c r="G294" s="129">
        <v>360</v>
      </c>
      <c r="H294" s="512">
        <v>351.54</v>
      </c>
      <c r="I294" s="265" t="s">
        <v>76</v>
      </c>
      <c r="J294" s="265" t="s">
        <v>77</v>
      </c>
      <c r="K294" s="265">
        <v>0</v>
      </c>
      <c r="L294" s="348" t="s">
        <v>1205</v>
      </c>
      <c r="M294" s="265">
        <v>0</v>
      </c>
      <c r="N294" s="347">
        <v>1.087</v>
      </c>
      <c r="O294" s="348" t="s">
        <v>1205</v>
      </c>
      <c r="P294" s="348" t="s">
        <v>1205</v>
      </c>
      <c r="Q294" s="348" t="s">
        <v>1205</v>
      </c>
    </row>
    <row r="295" spans="1:17" ht="15" hidden="1" customHeight="1">
      <c r="A295" s="163">
        <v>288</v>
      </c>
      <c r="B295" s="53" t="s">
        <v>7</v>
      </c>
      <c r="C295" s="53" t="s">
        <v>96</v>
      </c>
      <c r="D295" s="53">
        <v>300006035</v>
      </c>
      <c r="E295" s="55" t="s">
        <v>97</v>
      </c>
      <c r="F295" s="129">
        <v>50</v>
      </c>
      <c r="G295" s="129">
        <v>2400</v>
      </c>
      <c r="H295" s="512">
        <v>109.2</v>
      </c>
      <c r="I295" s="265" t="s">
        <v>76</v>
      </c>
      <c r="J295" s="265" t="s">
        <v>77</v>
      </c>
      <c r="K295" s="265">
        <v>0</v>
      </c>
      <c r="L295" s="348" t="s">
        <v>1205</v>
      </c>
      <c r="M295" s="265">
        <v>0</v>
      </c>
      <c r="N295" s="347">
        <v>0.59899999999999998</v>
      </c>
      <c r="O295" s="348" t="s">
        <v>1205</v>
      </c>
      <c r="P295" s="348" t="s">
        <v>1205</v>
      </c>
      <c r="Q295" s="348" t="s">
        <v>1205</v>
      </c>
    </row>
    <row r="296" spans="1:17" ht="15" hidden="1" customHeight="1">
      <c r="A296" s="163">
        <v>289</v>
      </c>
      <c r="B296" s="53" t="s">
        <v>7</v>
      </c>
      <c r="C296" s="53" t="s">
        <v>98</v>
      </c>
      <c r="D296" s="53">
        <v>300005963</v>
      </c>
      <c r="E296" s="55" t="s">
        <v>99</v>
      </c>
      <c r="F296" s="129">
        <v>50</v>
      </c>
      <c r="G296" s="129">
        <v>1500</v>
      </c>
      <c r="H296" s="512">
        <v>79.59</v>
      </c>
      <c r="I296" s="265" t="s">
        <v>76</v>
      </c>
      <c r="J296" s="265" t="s">
        <v>77</v>
      </c>
      <c r="K296" s="265">
        <v>0</v>
      </c>
      <c r="L296" s="348" t="s">
        <v>1205</v>
      </c>
      <c r="M296" s="265">
        <v>0</v>
      </c>
      <c r="N296" s="347">
        <v>0.27800000000000002</v>
      </c>
      <c r="O296" s="348" t="s">
        <v>1205</v>
      </c>
      <c r="P296" s="348" t="s">
        <v>1205</v>
      </c>
      <c r="Q296" s="348" t="s">
        <v>1205</v>
      </c>
    </row>
    <row r="297" spans="1:17" ht="15" hidden="1" customHeight="1">
      <c r="A297" s="163">
        <v>290</v>
      </c>
      <c r="B297" s="53" t="s">
        <v>7</v>
      </c>
      <c r="C297" s="53" t="s">
        <v>100</v>
      </c>
      <c r="D297" s="53">
        <v>100031286</v>
      </c>
      <c r="E297" s="55" t="s">
        <v>101</v>
      </c>
      <c r="F297" s="129">
        <v>25</v>
      </c>
      <c r="G297" s="129">
        <v>300</v>
      </c>
      <c r="H297" s="512">
        <v>103.22</v>
      </c>
      <c r="I297" s="265" t="s">
        <v>76</v>
      </c>
      <c r="J297" s="265" t="s">
        <v>102</v>
      </c>
      <c r="K297" s="265" t="s">
        <v>103</v>
      </c>
      <c r="L297" s="348" t="s">
        <v>1205</v>
      </c>
      <c r="M297" s="265" t="s">
        <v>104</v>
      </c>
      <c r="N297" s="347">
        <v>0.40200000000000002</v>
      </c>
      <c r="O297" s="348" t="s">
        <v>1205</v>
      </c>
      <c r="P297" s="348" t="s">
        <v>1205</v>
      </c>
      <c r="Q297" s="348" t="s">
        <v>1205</v>
      </c>
    </row>
    <row r="298" spans="1:17" ht="15" hidden="1" customHeight="1">
      <c r="A298" s="163">
        <v>291</v>
      </c>
      <c r="B298" s="53" t="s">
        <v>7</v>
      </c>
      <c r="C298" s="53" t="s">
        <v>105</v>
      </c>
      <c r="D298" s="53">
        <v>100031287</v>
      </c>
      <c r="E298" s="55" t="s">
        <v>106</v>
      </c>
      <c r="F298" s="129">
        <v>25</v>
      </c>
      <c r="G298" s="129">
        <v>150</v>
      </c>
      <c r="H298" s="512">
        <v>222.05</v>
      </c>
      <c r="I298" s="265" t="s">
        <v>76</v>
      </c>
      <c r="J298" s="265" t="s">
        <v>102</v>
      </c>
      <c r="K298" s="265" t="s">
        <v>107</v>
      </c>
      <c r="L298" s="348" t="s">
        <v>1205</v>
      </c>
      <c r="M298" s="265" t="s">
        <v>108</v>
      </c>
      <c r="N298" s="347">
        <v>1.236</v>
      </c>
      <c r="O298" s="348" t="s">
        <v>1205</v>
      </c>
      <c r="P298" s="348" t="s">
        <v>1205</v>
      </c>
      <c r="Q298" s="348" t="s">
        <v>1205</v>
      </c>
    </row>
    <row r="299" spans="1:17" ht="15" hidden="1" customHeight="1">
      <c r="A299" s="163">
        <v>292</v>
      </c>
      <c r="B299" s="53" t="s">
        <v>7</v>
      </c>
      <c r="C299" s="53" t="s">
        <v>109</v>
      </c>
      <c r="D299" s="53">
        <v>300005964</v>
      </c>
      <c r="E299" s="55" t="s">
        <v>110</v>
      </c>
      <c r="F299" s="129">
        <v>5</v>
      </c>
      <c r="G299" s="129">
        <v>120</v>
      </c>
      <c r="H299" s="512">
        <v>416.12</v>
      </c>
      <c r="I299" s="265" t="s">
        <v>76</v>
      </c>
      <c r="J299" s="265" t="s">
        <v>77</v>
      </c>
      <c r="K299" s="265">
        <v>0</v>
      </c>
      <c r="L299" s="348" t="s">
        <v>1205</v>
      </c>
      <c r="M299" s="265">
        <v>0</v>
      </c>
      <c r="N299" s="347">
        <v>2.4260000000000002</v>
      </c>
      <c r="O299" s="348" t="s">
        <v>1205</v>
      </c>
      <c r="P299" s="348" t="s">
        <v>1205</v>
      </c>
      <c r="Q299" s="348" t="s">
        <v>1205</v>
      </c>
    </row>
    <row r="300" spans="1:17" ht="15" hidden="1" customHeight="1">
      <c r="A300" s="163">
        <v>293</v>
      </c>
      <c r="B300" s="53" t="s">
        <v>7</v>
      </c>
      <c r="C300" s="53" t="s">
        <v>111</v>
      </c>
      <c r="D300" s="53">
        <v>300005965</v>
      </c>
      <c r="E300" s="55" t="s">
        <v>112</v>
      </c>
      <c r="F300" s="129">
        <v>15</v>
      </c>
      <c r="G300" s="129">
        <v>405</v>
      </c>
      <c r="H300" s="512">
        <v>196.98</v>
      </c>
      <c r="I300" s="265" t="s">
        <v>76</v>
      </c>
      <c r="J300" s="265" t="s">
        <v>77</v>
      </c>
      <c r="K300" s="265">
        <v>0</v>
      </c>
      <c r="L300" s="348" t="s">
        <v>1205</v>
      </c>
      <c r="M300" s="265">
        <v>0</v>
      </c>
      <c r="N300" s="347">
        <v>0.81</v>
      </c>
      <c r="O300" s="348" t="s">
        <v>1205</v>
      </c>
      <c r="P300" s="348" t="s">
        <v>1205</v>
      </c>
      <c r="Q300" s="348" t="s">
        <v>1205</v>
      </c>
    </row>
    <row r="301" spans="1:17" ht="15" hidden="1" customHeight="1">
      <c r="A301" s="163">
        <v>294</v>
      </c>
      <c r="B301" s="53" t="s">
        <v>7</v>
      </c>
      <c r="C301" s="53" t="s">
        <v>113</v>
      </c>
      <c r="D301" s="53">
        <v>300005966</v>
      </c>
      <c r="E301" s="55" t="s">
        <v>114</v>
      </c>
      <c r="F301" s="129">
        <v>25</v>
      </c>
      <c r="G301" s="129">
        <v>375</v>
      </c>
      <c r="H301" s="512">
        <v>143.75</v>
      </c>
      <c r="I301" s="265" t="s">
        <v>76</v>
      </c>
      <c r="J301" s="265" t="s">
        <v>77</v>
      </c>
      <c r="K301" s="265">
        <v>0</v>
      </c>
      <c r="L301" s="348" t="s">
        <v>1205</v>
      </c>
      <c r="M301" s="265">
        <v>0</v>
      </c>
      <c r="N301" s="347">
        <v>0.879</v>
      </c>
      <c r="O301" s="348" t="s">
        <v>1205</v>
      </c>
      <c r="P301" s="348" t="s">
        <v>1205</v>
      </c>
      <c r="Q301" s="348" t="s">
        <v>1205</v>
      </c>
    </row>
    <row r="302" spans="1:17" ht="15" hidden="1" customHeight="1">
      <c r="A302" s="163">
        <v>295</v>
      </c>
      <c r="B302" s="53" t="s">
        <v>7</v>
      </c>
      <c r="C302" s="53" t="s">
        <v>115</v>
      </c>
      <c r="D302" s="53">
        <v>300006039</v>
      </c>
      <c r="E302" s="55" t="s">
        <v>116</v>
      </c>
      <c r="F302" s="129">
        <v>10</v>
      </c>
      <c r="G302" s="129">
        <v>240</v>
      </c>
      <c r="H302" s="512">
        <v>265.55</v>
      </c>
      <c r="I302" s="265" t="s">
        <v>76</v>
      </c>
      <c r="J302" s="265" t="s">
        <v>77</v>
      </c>
      <c r="K302" s="265">
        <v>0</v>
      </c>
      <c r="L302" s="348" t="s">
        <v>1205</v>
      </c>
      <c r="M302" s="265">
        <v>0</v>
      </c>
      <c r="N302" s="347">
        <v>1.3939999999999999</v>
      </c>
      <c r="O302" s="348" t="s">
        <v>1205</v>
      </c>
      <c r="P302" s="348" t="s">
        <v>1205</v>
      </c>
      <c r="Q302" s="348" t="s">
        <v>1205</v>
      </c>
    </row>
    <row r="303" spans="1:17" ht="15" hidden="1" customHeight="1">
      <c r="A303" s="163">
        <v>296</v>
      </c>
      <c r="B303" s="53" t="s">
        <v>7</v>
      </c>
      <c r="C303" s="53" t="s">
        <v>117</v>
      </c>
      <c r="D303" s="53">
        <v>100031288</v>
      </c>
      <c r="E303" s="55" t="s">
        <v>118</v>
      </c>
      <c r="F303" s="129">
        <v>10</v>
      </c>
      <c r="G303" s="129">
        <v>180</v>
      </c>
      <c r="H303" s="512">
        <v>389.74</v>
      </c>
      <c r="I303" s="265" t="s">
        <v>76</v>
      </c>
      <c r="J303" s="265" t="s">
        <v>102</v>
      </c>
      <c r="K303" s="265" t="s">
        <v>119</v>
      </c>
      <c r="L303" s="348" t="s">
        <v>1205</v>
      </c>
      <c r="M303" s="265" t="s">
        <v>120</v>
      </c>
      <c r="N303" s="347">
        <v>1.744</v>
      </c>
      <c r="O303" s="348" t="s">
        <v>1205</v>
      </c>
      <c r="P303" s="348" t="s">
        <v>1205</v>
      </c>
      <c r="Q303" s="348" t="s">
        <v>1205</v>
      </c>
    </row>
    <row r="304" spans="1:17" ht="15" hidden="1" customHeight="1">
      <c r="A304" s="163">
        <v>297</v>
      </c>
      <c r="B304" s="53" t="s">
        <v>7</v>
      </c>
      <c r="C304" s="53" t="s">
        <v>121</v>
      </c>
      <c r="D304" s="53">
        <v>300005967</v>
      </c>
      <c r="E304" s="55" t="s">
        <v>122</v>
      </c>
      <c r="F304" s="129">
        <v>30</v>
      </c>
      <c r="G304" s="129">
        <v>960</v>
      </c>
      <c r="H304" s="512">
        <v>331.47</v>
      </c>
      <c r="I304" s="265" t="s">
        <v>76</v>
      </c>
      <c r="J304" s="265" t="s">
        <v>77</v>
      </c>
      <c r="K304" s="265">
        <v>0</v>
      </c>
      <c r="L304" s="348" t="s">
        <v>1205</v>
      </c>
      <c r="M304" s="265">
        <v>0</v>
      </c>
      <c r="N304" s="347">
        <v>0.36299999999999999</v>
      </c>
      <c r="O304" s="348" t="s">
        <v>1205</v>
      </c>
      <c r="P304" s="348" t="s">
        <v>1205</v>
      </c>
      <c r="Q304" s="348" t="s">
        <v>1205</v>
      </c>
    </row>
    <row r="305" spans="1:17" ht="15" hidden="1" customHeight="1">
      <c r="A305" s="163">
        <v>298</v>
      </c>
      <c r="B305" s="53" t="s">
        <v>7</v>
      </c>
      <c r="C305" s="53" t="s">
        <v>123</v>
      </c>
      <c r="D305" s="53">
        <v>300005968</v>
      </c>
      <c r="E305" s="55" t="s">
        <v>124</v>
      </c>
      <c r="F305" s="129">
        <v>20</v>
      </c>
      <c r="G305" s="129">
        <v>640</v>
      </c>
      <c r="H305" s="512">
        <v>540.38</v>
      </c>
      <c r="I305" s="265" t="s">
        <v>76</v>
      </c>
      <c r="J305" s="265" t="s">
        <v>77</v>
      </c>
      <c r="K305" s="265">
        <v>0</v>
      </c>
      <c r="L305" s="348" t="s">
        <v>1205</v>
      </c>
      <c r="M305" s="265">
        <v>0</v>
      </c>
      <c r="N305" s="347">
        <v>0.55500000000000005</v>
      </c>
      <c r="O305" s="348" t="s">
        <v>1205</v>
      </c>
      <c r="P305" s="348" t="s">
        <v>1205</v>
      </c>
      <c r="Q305" s="348" t="s">
        <v>1205</v>
      </c>
    </row>
    <row r="306" spans="1:17" ht="15" hidden="1" customHeight="1">
      <c r="A306" s="163">
        <v>299</v>
      </c>
      <c r="B306" s="53" t="s">
        <v>7</v>
      </c>
      <c r="C306" s="53" t="s">
        <v>125</v>
      </c>
      <c r="D306" s="53">
        <v>300005969</v>
      </c>
      <c r="E306" s="55" t="s">
        <v>126</v>
      </c>
      <c r="F306" s="129">
        <v>15</v>
      </c>
      <c r="G306" s="129">
        <v>180</v>
      </c>
      <c r="H306" s="512">
        <v>600.08000000000004</v>
      </c>
      <c r="I306" s="265" t="s">
        <v>76</v>
      </c>
      <c r="J306" s="265" t="s">
        <v>77</v>
      </c>
      <c r="K306" s="265">
        <v>0</v>
      </c>
      <c r="L306" s="348" t="s">
        <v>1205</v>
      </c>
      <c r="M306" s="265">
        <v>0</v>
      </c>
      <c r="N306" s="347">
        <v>1.631</v>
      </c>
      <c r="O306" s="348" t="s">
        <v>1205</v>
      </c>
      <c r="P306" s="348" t="s">
        <v>1205</v>
      </c>
      <c r="Q306" s="348" t="s">
        <v>1205</v>
      </c>
    </row>
    <row r="307" spans="1:17" ht="15" hidden="1" customHeight="1">
      <c r="A307" s="163">
        <v>300</v>
      </c>
      <c r="B307" s="53" t="s">
        <v>7</v>
      </c>
      <c r="C307" s="53" t="s">
        <v>127</v>
      </c>
      <c r="D307" s="53">
        <v>300006031</v>
      </c>
      <c r="E307" s="55" t="s">
        <v>128</v>
      </c>
      <c r="F307" s="129">
        <v>40</v>
      </c>
      <c r="G307" s="129">
        <v>1080</v>
      </c>
      <c r="H307" s="512">
        <v>114.14</v>
      </c>
      <c r="I307" s="265" t="s">
        <v>76</v>
      </c>
      <c r="J307" s="265" t="s">
        <v>77</v>
      </c>
      <c r="K307" s="265">
        <v>0</v>
      </c>
      <c r="L307" s="348" t="s">
        <v>1205</v>
      </c>
      <c r="M307" s="265">
        <v>0</v>
      </c>
      <c r="N307" s="347">
        <v>0.34</v>
      </c>
      <c r="O307" s="348" t="s">
        <v>1205</v>
      </c>
      <c r="P307" s="348" t="s">
        <v>1205</v>
      </c>
      <c r="Q307" s="348" t="s">
        <v>1205</v>
      </c>
    </row>
    <row r="308" spans="1:17" ht="15" hidden="1" customHeight="1">
      <c r="A308" s="163">
        <v>301</v>
      </c>
      <c r="B308" s="53" t="s">
        <v>7</v>
      </c>
      <c r="C308" s="53" t="s">
        <v>129</v>
      </c>
      <c r="D308" s="53">
        <v>300006032</v>
      </c>
      <c r="E308" s="55" t="s">
        <v>130</v>
      </c>
      <c r="F308" s="129">
        <v>20</v>
      </c>
      <c r="G308" s="129">
        <v>600</v>
      </c>
      <c r="H308" s="512">
        <v>116.24</v>
      </c>
      <c r="I308" s="265" t="s">
        <v>76</v>
      </c>
      <c r="J308" s="265" t="s">
        <v>77</v>
      </c>
      <c r="K308" s="265">
        <v>0</v>
      </c>
      <c r="L308" s="348" t="s">
        <v>1205</v>
      </c>
      <c r="M308" s="265">
        <v>0</v>
      </c>
      <c r="N308" s="347">
        <v>0.51700000000000002</v>
      </c>
      <c r="O308" s="348" t="s">
        <v>1205</v>
      </c>
      <c r="P308" s="348" t="s">
        <v>1205</v>
      </c>
      <c r="Q308" s="348" t="s">
        <v>1205</v>
      </c>
    </row>
    <row r="309" spans="1:17" ht="15" hidden="1" customHeight="1">
      <c r="A309" s="163">
        <v>302</v>
      </c>
      <c r="B309" s="53" t="s">
        <v>7</v>
      </c>
      <c r="C309" s="53" t="s">
        <v>131</v>
      </c>
      <c r="D309" s="53">
        <v>300006033</v>
      </c>
      <c r="E309" s="55" t="s">
        <v>132</v>
      </c>
      <c r="F309" s="129">
        <v>10</v>
      </c>
      <c r="G309" s="129">
        <v>180</v>
      </c>
      <c r="H309" s="512">
        <v>275.94</v>
      </c>
      <c r="I309" s="265" t="s">
        <v>76</v>
      </c>
      <c r="J309" s="265" t="s">
        <v>77</v>
      </c>
      <c r="K309" s="265">
        <v>0</v>
      </c>
      <c r="L309" s="348" t="s">
        <v>1205</v>
      </c>
      <c r="M309" s="265">
        <v>0</v>
      </c>
      <c r="N309" s="347">
        <v>1.7490000000000001</v>
      </c>
      <c r="O309" s="348" t="s">
        <v>1205</v>
      </c>
      <c r="P309" s="348" t="s">
        <v>1205</v>
      </c>
      <c r="Q309" s="348" t="s">
        <v>1205</v>
      </c>
    </row>
    <row r="310" spans="1:17" ht="15" hidden="1" customHeight="1">
      <c r="A310" s="163">
        <v>303</v>
      </c>
      <c r="B310" s="53" t="s">
        <v>7</v>
      </c>
      <c r="C310" s="53" t="s">
        <v>133</v>
      </c>
      <c r="D310" s="53">
        <v>300006034</v>
      </c>
      <c r="E310" s="55" t="s">
        <v>134</v>
      </c>
      <c r="F310" s="129">
        <v>5</v>
      </c>
      <c r="G310" s="129">
        <v>90</v>
      </c>
      <c r="H310" s="512">
        <v>576.87</v>
      </c>
      <c r="I310" s="265" t="s">
        <v>76</v>
      </c>
      <c r="J310" s="265" t="s">
        <v>77</v>
      </c>
      <c r="K310" s="265">
        <v>0</v>
      </c>
      <c r="L310" s="348" t="s">
        <v>1205</v>
      </c>
      <c r="M310" s="265">
        <v>0</v>
      </c>
      <c r="N310" s="347">
        <v>3.173</v>
      </c>
      <c r="O310" s="348" t="s">
        <v>1205</v>
      </c>
      <c r="P310" s="348" t="s">
        <v>1205</v>
      </c>
      <c r="Q310" s="348" t="s">
        <v>1205</v>
      </c>
    </row>
    <row r="311" spans="1:17" ht="15" hidden="1" customHeight="1">
      <c r="A311" s="163">
        <v>304</v>
      </c>
      <c r="B311" s="53" t="s">
        <v>7</v>
      </c>
      <c r="C311" s="53" t="s">
        <v>135</v>
      </c>
      <c r="D311" s="53">
        <v>100031275</v>
      </c>
      <c r="E311" s="55" t="s">
        <v>136</v>
      </c>
      <c r="F311" s="129">
        <v>10</v>
      </c>
      <c r="G311" s="129">
        <v>180</v>
      </c>
      <c r="H311" s="512">
        <v>194.48</v>
      </c>
      <c r="I311" s="265" t="s">
        <v>76</v>
      </c>
      <c r="J311" s="265" t="s">
        <v>102</v>
      </c>
      <c r="K311" s="265" t="s">
        <v>137</v>
      </c>
      <c r="L311" s="348" t="s">
        <v>1205</v>
      </c>
      <c r="M311" s="265" t="s">
        <v>137</v>
      </c>
      <c r="N311" s="347">
        <v>0.90800000000000003</v>
      </c>
      <c r="O311" s="348" t="s">
        <v>1205</v>
      </c>
      <c r="P311" s="348" t="s">
        <v>1205</v>
      </c>
      <c r="Q311" s="348" t="s">
        <v>1205</v>
      </c>
    </row>
    <row r="312" spans="1:17" ht="15" hidden="1" customHeight="1">
      <c r="A312" s="163">
        <v>305</v>
      </c>
      <c r="B312" s="53" t="s">
        <v>7</v>
      </c>
      <c r="C312" s="53" t="s">
        <v>138</v>
      </c>
      <c r="D312" s="53">
        <v>300005962</v>
      </c>
      <c r="E312" s="55" t="s">
        <v>139</v>
      </c>
      <c r="F312" s="129">
        <v>20</v>
      </c>
      <c r="G312" s="129">
        <v>1800</v>
      </c>
      <c r="H312" s="512">
        <v>126.42</v>
      </c>
      <c r="I312" s="265" t="s">
        <v>76</v>
      </c>
      <c r="J312" s="265" t="s">
        <v>77</v>
      </c>
      <c r="K312" s="265">
        <v>0</v>
      </c>
      <c r="L312" s="348" t="s">
        <v>1205</v>
      </c>
      <c r="M312" s="265">
        <v>0</v>
      </c>
      <c r="N312" s="347">
        <v>0.63500000000000001</v>
      </c>
      <c r="O312" s="348" t="s">
        <v>1205</v>
      </c>
      <c r="P312" s="348" t="s">
        <v>1205</v>
      </c>
      <c r="Q312" s="348" t="s">
        <v>1205</v>
      </c>
    </row>
    <row r="313" spans="1:17" ht="15" hidden="1" customHeight="1">
      <c r="A313" s="163">
        <v>306</v>
      </c>
      <c r="B313" s="53" t="s">
        <v>7</v>
      </c>
      <c r="C313" s="53" t="s">
        <v>140</v>
      </c>
      <c r="D313" s="53">
        <v>100031280</v>
      </c>
      <c r="E313" s="55" t="s">
        <v>141</v>
      </c>
      <c r="F313" s="129">
        <v>10</v>
      </c>
      <c r="G313" s="129">
        <v>120</v>
      </c>
      <c r="H313" s="512">
        <v>256.56</v>
      </c>
      <c r="I313" s="265" t="s">
        <v>76</v>
      </c>
      <c r="J313" s="265" t="s">
        <v>102</v>
      </c>
      <c r="K313" s="265" t="s">
        <v>142</v>
      </c>
      <c r="L313" s="348" t="s">
        <v>1205</v>
      </c>
      <c r="M313" s="265" t="s">
        <v>143</v>
      </c>
      <c r="N313" s="347">
        <v>1.3180000000000001</v>
      </c>
      <c r="O313" s="348" t="s">
        <v>1205</v>
      </c>
      <c r="P313" s="348" t="s">
        <v>1205</v>
      </c>
      <c r="Q313" s="348" t="s">
        <v>1205</v>
      </c>
    </row>
    <row r="314" spans="1:17" ht="15" hidden="1" customHeight="1">
      <c r="A314" s="163">
        <v>307</v>
      </c>
      <c r="B314" s="53" t="s">
        <v>7</v>
      </c>
      <c r="C314" s="53" t="s">
        <v>144</v>
      </c>
      <c r="D314" s="53">
        <v>300005970</v>
      </c>
      <c r="E314" s="55" t="s">
        <v>145</v>
      </c>
      <c r="F314" s="129">
        <v>100</v>
      </c>
      <c r="G314" s="129">
        <v>2700</v>
      </c>
      <c r="H314" s="512">
        <v>29.72</v>
      </c>
      <c r="I314" s="265" t="s">
        <v>76</v>
      </c>
      <c r="J314" s="265" t="s">
        <v>77</v>
      </c>
      <c r="K314" s="265">
        <v>0</v>
      </c>
      <c r="L314" s="348" t="s">
        <v>1205</v>
      </c>
      <c r="M314" s="265">
        <v>0</v>
      </c>
      <c r="N314" s="347">
        <v>0.2</v>
      </c>
      <c r="O314" s="348" t="s">
        <v>1205</v>
      </c>
      <c r="P314" s="348" t="s">
        <v>1205</v>
      </c>
      <c r="Q314" s="348" t="s">
        <v>1205</v>
      </c>
    </row>
    <row r="315" spans="1:17" ht="15" hidden="1" customHeight="1">
      <c r="A315" s="163">
        <v>308</v>
      </c>
      <c r="B315" s="53" t="s">
        <v>7</v>
      </c>
      <c r="C315" s="53" t="s">
        <v>146</v>
      </c>
      <c r="D315" s="53">
        <v>300005971</v>
      </c>
      <c r="E315" s="55" t="s">
        <v>147</v>
      </c>
      <c r="F315" s="129">
        <v>50</v>
      </c>
      <c r="G315" s="129">
        <v>1350</v>
      </c>
      <c r="H315" s="512">
        <v>45.78</v>
      </c>
      <c r="I315" s="265" t="s">
        <v>76</v>
      </c>
      <c r="J315" s="265" t="s">
        <v>77</v>
      </c>
      <c r="K315" s="265">
        <v>0</v>
      </c>
      <c r="L315" s="348" t="s">
        <v>1205</v>
      </c>
      <c r="M315" s="265">
        <v>0</v>
      </c>
      <c r="N315" s="347">
        <v>0.23599999999999999</v>
      </c>
      <c r="O315" s="348" t="s">
        <v>1205</v>
      </c>
      <c r="P315" s="348" t="s">
        <v>1205</v>
      </c>
      <c r="Q315" s="348" t="s">
        <v>1205</v>
      </c>
    </row>
    <row r="316" spans="1:17" ht="15" hidden="1" customHeight="1">
      <c r="A316" s="163">
        <v>309</v>
      </c>
      <c r="B316" s="53" t="s">
        <v>7</v>
      </c>
      <c r="C316" s="53" t="s">
        <v>148</v>
      </c>
      <c r="D316" s="53">
        <v>100031279</v>
      </c>
      <c r="E316" s="55" t="s">
        <v>149</v>
      </c>
      <c r="F316" s="129">
        <v>25</v>
      </c>
      <c r="G316" s="129">
        <v>450</v>
      </c>
      <c r="H316" s="512">
        <v>125.09</v>
      </c>
      <c r="I316" s="265" t="s">
        <v>76</v>
      </c>
      <c r="J316" s="265" t="s">
        <v>102</v>
      </c>
      <c r="K316" s="265" t="s">
        <v>150</v>
      </c>
      <c r="L316" s="348" t="s">
        <v>1205</v>
      </c>
      <c r="M316" s="265" t="s">
        <v>151</v>
      </c>
      <c r="N316" s="347">
        <v>0.72599999999999998</v>
      </c>
      <c r="O316" s="348" t="s">
        <v>1205</v>
      </c>
      <c r="P316" s="348" t="s">
        <v>1205</v>
      </c>
      <c r="Q316" s="348" t="s">
        <v>1205</v>
      </c>
    </row>
    <row r="317" spans="1:17" ht="15" hidden="1" customHeight="1">
      <c r="A317" s="163">
        <v>310</v>
      </c>
      <c r="B317" s="53" t="s">
        <v>7</v>
      </c>
      <c r="C317" s="53" t="s">
        <v>152</v>
      </c>
      <c r="D317" s="53">
        <v>300006024</v>
      </c>
      <c r="E317" s="55" t="s">
        <v>153</v>
      </c>
      <c r="F317" s="129">
        <v>20</v>
      </c>
      <c r="G317" s="129">
        <v>2400</v>
      </c>
      <c r="H317" s="512">
        <v>53.24</v>
      </c>
      <c r="I317" s="265" t="s">
        <v>76</v>
      </c>
      <c r="J317" s="265" t="s">
        <v>77</v>
      </c>
      <c r="K317" s="265">
        <v>0</v>
      </c>
      <c r="L317" s="348" t="s">
        <v>1205</v>
      </c>
      <c r="M317" s="265">
        <v>0</v>
      </c>
      <c r="N317" s="347">
        <v>0.14199999999999999</v>
      </c>
      <c r="O317" s="348" t="s">
        <v>1205</v>
      </c>
      <c r="P317" s="348" t="s">
        <v>1205</v>
      </c>
      <c r="Q317" s="348" t="s">
        <v>1205</v>
      </c>
    </row>
    <row r="318" spans="1:17" ht="15" hidden="1" customHeight="1">
      <c r="A318" s="163">
        <v>311</v>
      </c>
      <c r="B318" s="53" t="s">
        <v>7</v>
      </c>
      <c r="C318" s="53" t="s">
        <v>154</v>
      </c>
      <c r="D318" s="53">
        <v>300006025</v>
      </c>
      <c r="E318" s="55" t="s">
        <v>155</v>
      </c>
      <c r="F318" s="129">
        <v>30</v>
      </c>
      <c r="G318" s="129">
        <v>1800</v>
      </c>
      <c r="H318" s="512">
        <v>88.1</v>
      </c>
      <c r="I318" s="265" t="s">
        <v>76</v>
      </c>
      <c r="J318" s="265" t="s">
        <v>77</v>
      </c>
      <c r="K318" s="265">
        <v>0</v>
      </c>
      <c r="L318" s="348" t="s">
        <v>1205</v>
      </c>
      <c r="M318" s="265">
        <v>0</v>
      </c>
      <c r="N318" s="347">
        <v>0.20699999999999999</v>
      </c>
      <c r="O318" s="348" t="s">
        <v>1205</v>
      </c>
      <c r="P318" s="348" t="s">
        <v>1205</v>
      </c>
      <c r="Q318" s="348" t="s">
        <v>1205</v>
      </c>
    </row>
    <row r="319" spans="1:17" ht="15" hidden="1" customHeight="1">
      <c r="A319" s="163">
        <v>312</v>
      </c>
      <c r="B319" s="53" t="s">
        <v>7</v>
      </c>
      <c r="C319" s="53" t="s">
        <v>156</v>
      </c>
      <c r="D319" s="53">
        <v>300006026</v>
      </c>
      <c r="E319" s="55" t="s">
        <v>157</v>
      </c>
      <c r="F319" s="129">
        <v>30</v>
      </c>
      <c r="G319" s="129">
        <v>1080</v>
      </c>
      <c r="H319" s="512">
        <v>218.51</v>
      </c>
      <c r="I319" s="265" t="s">
        <v>76</v>
      </c>
      <c r="J319" s="265" t="s">
        <v>77</v>
      </c>
      <c r="K319" s="265">
        <v>0</v>
      </c>
      <c r="L319" s="348" t="s">
        <v>1205</v>
      </c>
      <c r="M319" s="265">
        <v>0</v>
      </c>
      <c r="N319" s="347">
        <v>0.19</v>
      </c>
      <c r="O319" s="348" t="s">
        <v>1205</v>
      </c>
      <c r="P319" s="348" t="s">
        <v>1205</v>
      </c>
      <c r="Q319" s="348" t="s">
        <v>1205</v>
      </c>
    </row>
    <row r="320" spans="1:17" ht="15" hidden="1" customHeight="1">
      <c r="A320" s="163">
        <v>313</v>
      </c>
      <c r="B320" s="53" t="s">
        <v>7</v>
      </c>
      <c r="C320" s="53" t="s">
        <v>158</v>
      </c>
      <c r="D320" s="53">
        <v>300005972</v>
      </c>
      <c r="E320" s="55" t="s">
        <v>159</v>
      </c>
      <c r="F320" s="129">
        <v>50</v>
      </c>
      <c r="G320" s="129">
        <v>1800</v>
      </c>
      <c r="H320" s="512">
        <v>52.71</v>
      </c>
      <c r="I320" s="265" t="s">
        <v>76</v>
      </c>
      <c r="J320" s="265" t="s">
        <v>77</v>
      </c>
      <c r="K320" s="265">
        <v>0</v>
      </c>
      <c r="L320" s="348" t="s">
        <v>1205</v>
      </c>
      <c r="M320" s="265">
        <v>0</v>
      </c>
      <c r="N320" s="347">
        <v>0.21299999999999999</v>
      </c>
      <c r="O320" s="348" t="s">
        <v>1205</v>
      </c>
      <c r="P320" s="348" t="s">
        <v>1205</v>
      </c>
      <c r="Q320" s="348" t="s">
        <v>1205</v>
      </c>
    </row>
    <row r="321" spans="1:17" ht="15" hidden="1" customHeight="1">
      <c r="A321" s="163">
        <v>314</v>
      </c>
      <c r="B321" s="53" t="s">
        <v>7</v>
      </c>
      <c r="C321" s="53" t="s">
        <v>160</v>
      </c>
      <c r="D321" s="53">
        <v>300006027</v>
      </c>
      <c r="E321" s="55" t="s">
        <v>161</v>
      </c>
      <c r="F321" s="129">
        <v>25</v>
      </c>
      <c r="G321" s="129">
        <v>900</v>
      </c>
      <c r="H321" s="512">
        <v>64.05</v>
      </c>
      <c r="I321" s="265" t="s">
        <v>76</v>
      </c>
      <c r="J321" s="265" t="s">
        <v>77</v>
      </c>
      <c r="K321" s="265">
        <v>0</v>
      </c>
      <c r="L321" s="348" t="s">
        <v>1205</v>
      </c>
      <c r="M321" s="265">
        <v>0</v>
      </c>
      <c r="N321" s="347">
        <v>0.30499999999999999</v>
      </c>
      <c r="O321" s="348" t="s">
        <v>1205</v>
      </c>
      <c r="P321" s="348" t="s">
        <v>1205</v>
      </c>
      <c r="Q321" s="348" t="s">
        <v>1205</v>
      </c>
    </row>
    <row r="322" spans="1:17" ht="15" hidden="1" customHeight="1">
      <c r="A322" s="163">
        <v>315</v>
      </c>
      <c r="B322" s="53" t="s">
        <v>7</v>
      </c>
      <c r="C322" s="53" t="s">
        <v>162</v>
      </c>
      <c r="D322" s="53">
        <v>300006028</v>
      </c>
      <c r="E322" s="55" t="s">
        <v>163</v>
      </c>
      <c r="F322" s="129">
        <v>10</v>
      </c>
      <c r="G322" s="129">
        <v>270</v>
      </c>
      <c r="H322" s="512">
        <v>156.77000000000001</v>
      </c>
      <c r="I322" s="265" t="s">
        <v>76</v>
      </c>
      <c r="J322" s="265" t="s">
        <v>77</v>
      </c>
      <c r="K322" s="265">
        <v>0</v>
      </c>
      <c r="L322" s="348" t="s">
        <v>1205</v>
      </c>
      <c r="M322" s="265">
        <v>0</v>
      </c>
      <c r="N322" s="347">
        <v>1.5660000000000001</v>
      </c>
      <c r="O322" s="348" t="s">
        <v>1205</v>
      </c>
      <c r="P322" s="348" t="s">
        <v>1205</v>
      </c>
      <c r="Q322" s="348" t="s">
        <v>1205</v>
      </c>
    </row>
    <row r="323" spans="1:17" ht="15" hidden="1" customHeight="1">
      <c r="A323" s="163">
        <v>316</v>
      </c>
      <c r="B323" s="53" t="s">
        <v>7</v>
      </c>
      <c r="C323" s="53" t="s">
        <v>164</v>
      </c>
      <c r="D323" s="53">
        <v>300006029</v>
      </c>
      <c r="E323" s="55" t="s">
        <v>165</v>
      </c>
      <c r="F323" s="129">
        <v>5</v>
      </c>
      <c r="G323" s="129">
        <v>180</v>
      </c>
      <c r="H323" s="512">
        <v>267.64999999999998</v>
      </c>
      <c r="I323" s="265" t="s">
        <v>76</v>
      </c>
      <c r="J323" s="265" t="s">
        <v>77</v>
      </c>
      <c r="K323" s="265">
        <v>0</v>
      </c>
      <c r="L323" s="348" t="s">
        <v>1205</v>
      </c>
      <c r="M323" s="265">
        <v>0</v>
      </c>
      <c r="N323" s="347">
        <v>2.6920000000000002</v>
      </c>
      <c r="O323" s="348" t="s">
        <v>1205</v>
      </c>
      <c r="P323" s="348" t="s">
        <v>1205</v>
      </c>
      <c r="Q323" s="348" t="s">
        <v>1205</v>
      </c>
    </row>
    <row r="324" spans="1:17" ht="15" hidden="1" customHeight="1">
      <c r="A324" s="163">
        <v>317</v>
      </c>
      <c r="B324" s="53" t="s">
        <v>7</v>
      </c>
      <c r="C324" s="53" t="s">
        <v>166</v>
      </c>
      <c r="D324" s="53">
        <v>300005973</v>
      </c>
      <c r="E324" s="55" t="s">
        <v>167</v>
      </c>
      <c r="F324" s="129">
        <v>100</v>
      </c>
      <c r="G324" s="129">
        <v>2700</v>
      </c>
      <c r="H324" s="512">
        <v>38.22</v>
      </c>
      <c r="I324" s="265" t="s">
        <v>76</v>
      </c>
      <c r="J324" s="265" t="s">
        <v>77</v>
      </c>
      <c r="K324" s="265">
        <v>0</v>
      </c>
      <c r="L324" s="348" t="s">
        <v>1205</v>
      </c>
      <c r="M324" s="265">
        <v>0</v>
      </c>
      <c r="N324" s="347">
        <v>0.14499999999999999</v>
      </c>
      <c r="O324" s="348" t="s">
        <v>1205</v>
      </c>
      <c r="P324" s="348" t="s">
        <v>1205</v>
      </c>
      <c r="Q324" s="348" t="s">
        <v>1205</v>
      </c>
    </row>
    <row r="325" spans="1:17" ht="15" hidden="1" customHeight="1">
      <c r="A325" s="163">
        <v>318</v>
      </c>
      <c r="B325" s="53" t="s">
        <v>7</v>
      </c>
      <c r="C325" s="53" t="s">
        <v>168</v>
      </c>
      <c r="D325" s="53">
        <v>300006030</v>
      </c>
      <c r="E325" s="55" t="s">
        <v>169</v>
      </c>
      <c r="F325" s="129">
        <v>50</v>
      </c>
      <c r="G325" s="129">
        <v>1350</v>
      </c>
      <c r="H325" s="512">
        <v>64.05</v>
      </c>
      <c r="I325" s="265" t="s">
        <v>76</v>
      </c>
      <c r="J325" s="265" t="s">
        <v>77</v>
      </c>
      <c r="K325" s="265">
        <v>0</v>
      </c>
      <c r="L325" s="348" t="s">
        <v>1205</v>
      </c>
      <c r="M325" s="265">
        <v>0</v>
      </c>
      <c r="N325" s="347">
        <v>0.23499999999999999</v>
      </c>
      <c r="O325" s="348" t="s">
        <v>1205</v>
      </c>
      <c r="P325" s="348" t="s">
        <v>1205</v>
      </c>
      <c r="Q325" s="348" t="s">
        <v>1205</v>
      </c>
    </row>
    <row r="326" spans="1:17" ht="15" hidden="1" customHeight="1">
      <c r="A326" s="163">
        <v>319</v>
      </c>
      <c r="B326" s="53" t="s">
        <v>7</v>
      </c>
      <c r="C326" s="53" t="s">
        <v>170</v>
      </c>
      <c r="D326" s="53">
        <v>100031283</v>
      </c>
      <c r="E326" s="55" t="s">
        <v>171</v>
      </c>
      <c r="F326" s="129">
        <v>20</v>
      </c>
      <c r="G326" s="129">
        <v>240</v>
      </c>
      <c r="H326" s="512">
        <v>152.55000000000001</v>
      </c>
      <c r="I326" s="265" t="s">
        <v>76</v>
      </c>
      <c r="J326" s="265" t="s">
        <v>102</v>
      </c>
      <c r="K326" s="265" t="s">
        <v>172</v>
      </c>
      <c r="L326" s="348" t="s">
        <v>1205</v>
      </c>
      <c r="M326" s="265" t="s">
        <v>173</v>
      </c>
      <c r="N326" s="347">
        <v>0.69599999999999995</v>
      </c>
      <c r="O326" s="348" t="s">
        <v>1205</v>
      </c>
      <c r="P326" s="348" t="s">
        <v>1205</v>
      </c>
      <c r="Q326" s="348" t="s">
        <v>1205</v>
      </c>
    </row>
    <row r="327" spans="1:17" ht="15" hidden="1" customHeight="1">
      <c r="A327" s="163">
        <v>320</v>
      </c>
      <c r="B327" s="53" t="s">
        <v>7</v>
      </c>
      <c r="C327" s="53" t="s">
        <v>174</v>
      </c>
      <c r="D327" s="53">
        <v>300006036</v>
      </c>
      <c r="E327" s="55" t="s">
        <v>175</v>
      </c>
      <c r="F327" s="129">
        <v>50</v>
      </c>
      <c r="G327" s="129">
        <v>1800</v>
      </c>
      <c r="H327" s="512">
        <v>66.680000000000007</v>
      </c>
      <c r="I327" s="265" t="s">
        <v>76</v>
      </c>
      <c r="J327" s="265" t="s">
        <v>77</v>
      </c>
      <c r="K327" s="265">
        <v>0</v>
      </c>
      <c r="L327" s="348" t="s">
        <v>1205</v>
      </c>
      <c r="M327" s="265">
        <v>0</v>
      </c>
      <c r="N327" s="347">
        <v>0.21299999999999999</v>
      </c>
      <c r="O327" s="348" t="s">
        <v>1205</v>
      </c>
      <c r="P327" s="348" t="s">
        <v>1205</v>
      </c>
      <c r="Q327" s="348" t="s">
        <v>1205</v>
      </c>
    </row>
    <row r="328" spans="1:17" ht="15" hidden="1" customHeight="1">
      <c r="A328" s="163">
        <v>321</v>
      </c>
      <c r="B328" s="53" t="s">
        <v>7</v>
      </c>
      <c r="C328" s="53" t="s">
        <v>176</v>
      </c>
      <c r="D328" s="53">
        <v>300006037</v>
      </c>
      <c r="E328" s="55" t="s">
        <v>177</v>
      </c>
      <c r="F328" s="129">
        <v>20</v>
      </c>
      <c r="G328" s="129">
        <v>180</v>
      </c>
      <c r="H328" s="512">
        <v>282.98</v>
      </c>
      <c r="I328" s="265" t="s">
        <v>76</v>
      </c>
      <c r="J328" s="265" t="s">
        <v>77</v>
      </c>
      <c r="K328" s="265">
        <v>0</v>
      </c>
      <c r="L328" s="348" t="s">
        <v>1205</v>
      </c>
      <c r="M328" s="265">
        <v>0</v>
      </c>
      <c r="N328" s="347">
        <v>1.885</v>
      </c>
      <c r="O328" s="348" t="s">
        <v>1205</v>
      </c>
      <c r="P328" s="348" t="s">
        <v>1205</v>
      </c>
      <c r="Q328" s="348" t="s">
        <v>1205</v>
      </c>
    </row>
    <row r="329" spans="1:17" ht="15" hidden="1" customHeight="1">
      <c r="A329" s="163">
        <v>322</v>
      </c>
      <c r="B329" s="53" t="s">
        <v>7</v>
      </c>
      <c r="C329" s="53" t="s">
        <v>178</v>
      </c>
      <c r="D329" s="53">
        <v>300005893</v>
      </c>
      <c r="E329" s="55" t="s">
        <v>179</v>
      </c>
      <c r="F329" s="129">
        <v>20</v>
      </c>
      <c r="G329" s="129">
        <v>1600</v>
      </c>
      <c r="H329" s="512" t="e">
        <v>#N/A</v>
      </c>
      <c r="I329" s="265" t="s">
        <v>76</v>
      </c>
      <c r="J329" s="265" t="s">
        <v>77</v>
      </c>
      <c r="K329" s="265">
        <v>0</v>
      </c>
      <c r="L329" s="348" t="s">
        <v>1205</v>
      </c>
      <c r="M329" s="265">
        <v>0</v>
      </c>
      <c r="N329" s="347">
        <v>0.23200000000000001</v>
      </c>
      <c r="O329" s="348" t="s">
        <v>1205</v>
      </c>
      <c r="P329" s="348" t="s">
        <v>1205</v>
      </c>
      <c r="Q329" s="348" t="s">
        <v>1205</v>
      </c>
    </row>
    <row r="330" spans="1:17" ht="15" hidden="1" customHeight="1">
      <c r="A330" s="163">
        <v>323</v>
      </c>
      <c r="B330" s="53" t="s">
        <v>7</v>
      </c>
      <c r="C330" s="53" t="s">
        <v>180</v>
      </c>
      <c r="D330" s="53">
        <v>300005894</v>
      </c>
      <c r="E330" s="55" t="s">
        <v>181</v>
      </c>
      <c r="F330" s="129">
        <v>25</v>
      </c>
      <c r="G330" s="129">
        <v>1200</v>
      </c>
      <c r="H330" s="512">
        <v>177.98</v>
      </c>
      <c r="I330" s="265" t="s">
        <v>76</v>
      </c>
      <c r="J330" s="265" t="s">
        <v>77</v>
      </c>
      <c r="K330" s="265">
        <v>0</v>
      </c>
      <c r="L330" s="348" t="s">
        <v>1205</v>
      </c>
      <c r="M330" s="265">
        <v>0</v>
      </c>
      <c r="N330" s="347">
        <v>0.35799999999999998</v>
      </c>
      <c r="O330" s="348" t="s">
        <v>1205</v>
      </c>
      <c r="P330" s="348" t="s">
        <v>1205</v>
      </c>
      <c r="Q330" s="348" t="s">
        <v>1205</v>
      </c>
    </row>
    <row r="331" spans="1:17" ht="15" hidden="1" customHeight="1">
      <c r="A331" s="163">
        <v>324</v>
      </c>
      <c r="B331" s="53" t="s">
        <v>7</v>
      </c>
      <c r="C331" s="53" t="s">
        <v>182</v>
      </c>
      <c r="D331" s="53">
        <v>300005895</v>
      </c>
      <c r="E331" s="55" t="s">
        <v>183</v>
      </c>
      <c r="F331" s="129">
        <v>10</v>
      </c>
      <c r="G331" s="129">
        <v>270</v>
      </c>
      <c r="H331" s="512">
        <v>657.3</v>
      </c>
      <c r="I331" s="265" t="s">
        <v>76</v>
      </c>
      <c r="J331" s="265" t="s">
        <v>77</v>
      </c>
      <c r="K331" s="265">
        <v>0</v>
      </c>
      <c r="L331" s="348" t="s">
        <v>1205</v>
      </c>
      <c r="M331" s="265">
        <v>0</v>
      </c>
      <c r="N331" s="347">
        <v>1.1080000000000001</v>
      </c>
      <c r="O331" s="348" t="s">
        <v>1205</v>
      </c>
      <c r="P331" s="348" t="s">
        <v>1205</v>
      </c>
      <c r="Q331" s="348" t="s">
        <v>1205</v>
      </c>
    </row>
    <row r="332" spans="1:17" ht="15" hidden="1" customHeight="1">
      <c r="A332" s="163">
        <v>325</v>
      </c>
      <c r="B332" s="53" t="s">
        <v>7</v>
      </c>
      <c r="C332" s="53" t="s">
        <v>184</v>
      </c>
      <c r="D332" s="53">
        <v>300005974</v>
      </c>
      <c r="E332" s="55" t="s">
        <v>185</v>
      </c>
      <c r="F332" s="129">
        <v>75</v>
      </c>
      <c r="G332" s="129">
        <v>3600</v>
      </c>
      <c r="H332" s="512">
        <v>52.4</v>
      </c>
      <c r="I332" s="265" t="s">
        <v>76</v>
      </c>
      <c r="J332" s="265" t="s">
        <v>77</v>
      </c>
      <c r="K332" s="265">
        <v>0</v>
      </c>
      <c r="L332" s="348" t="s">
        <v>1205</v>
      </c>
      <c r="M332" s="265">
        <v>0</v>
      </c>
      <c r="N332" s="347">
        <v>0.128</v>
      </c>
      <c r="O332" s="348" t="s">
        <v>1205</v>
      </c>
      <c r="P332" s="348" t="s">
        <v>1205</v>
      </c>
      <c r="Q332" s="348" t="s">
        <v>1205</v>
      </c>
    </row>
    <row r="333" spans="1:17" ht="15" hidden="1" customHeight="1">
      <c r="A333" s="163">
        <v>326</v>
      </c>
      <c r="B333" s="53" t="s">
        <v>7</v>
      </c>
      <c r="C333" s="53" t="s">
        <v>186</v>
      </c>
      <c r="D333" s="53">
        <v>300005975</v>
      </c>
      <c r="E333" s="55" t="s">
        <v>187</v>
      </c>
      <c r="F333" s="129">
        <v>20</v>
      </c>
      <c r="G333" s="129">
        <v>640</v>
      </c>
      <c r="H333" s="512">
        <v>238.88</v>
      </c>
      <c r="I333" s="265" t="s">
        <v>76</v>
      </c>
      <c r="J333" s="265" t="s">
        <v>77</v>
      </c>
      <c r="K333" s="265">
        <v>0</v>
      </c>
      <c r="L333" s="348" t="s">
        <v>1205</v>
      </c>
      <c r="M333" s="265">
        <v>0</v>
      </c>
      <c r="N333" s="347">
        <v>0.60799999999999998</v>
      </c>
      <c r="O333" s="348" t="s">
        <v>1205</v>
      </c>
      <c r="P333" s="348" t="s">
        <v>1205</v>
      </c>
      <c r="Q333" s="348" t="s">
        <v>1205</v>
      </c>
    </row>
    <row r="334" spans="1:17" ht="15" hidden="1" customHeight="1">
      <c r="A334" s="163">
        <v>327</v>
      </c>
      <c r="B334" s="53" t="s">
        <v>7</v>
      </c>
      <c r="C334" s="53" t="s">
        <v>188</v>
      </c>
      <c r="D334" s="53">
        <v>300006038</v>
      </c>
      <c r="E334" s="55" t="s">
        <v>189</v>
      </c>
      <c r="F334" s="129">
        <v>50</v>
      </c>
      <c r="G334" s="129">
        <v>3600</v>
      </c>
      <c r="H334" s="512">
        <v>164.54</v>
      </c>
      <c r="I334" s="265" t="s">
        <v>76</v>
      </c>
      <c r="J334" s="265" t="s">
        <v>77</v>
      </c>
      <c r="K334" s="265">
        <v>0</v>
      </c>
      <c r="L334" s="348" t="s">
        <v>1205</v>
      </c>
      <c r="M334" s="265">
        <v>0</v>
      </c>
      <c r="N334" s="347">
        <v>0.14299999999999999</v>
      </c>
      <c r="O334" s="348" t="s">
        <v>1205</v>
      </c>
      <c r="P334" s="348" t="s">
        <v>1205</v>
      </c>
      <c r="Q334" s="348" t="s">
        <v>1205</v>
      </c>
    </row>
    <row r="335" spans="1:17" ht="15" hidden="1" customHeight="1">
      <c r="A335" s="163">
        <v>328</v>
      </c>
      <c r="B335" s="53" t="s">
        <v>7</v>
      </c>
      <c r="C335" s="53" t="s">
        <v>190</v>
      </c>
      <c r="D335" s="53">
        <v>300005976</v>
      </c>
      <c r="E335" s="55" t="s">
        <v>191</v>
      </c>
      <c r="F335" s="129">
        <v>10</v>
      </c>
      <c r="G335" s="129">
        <v>240</v>
      </c>
      <c r="H335" s="512">
        <v>189.53</v>
      </c>
      <c r="I335" s="265" t="s">
        <v>76</v>
      </c>
      <c r="J335" s="265" t="s">
        <v>77</v>
      </c>
      <c r="K335" s="265">
        <v>0</v>
      </c>
      <c r="L335" s="348" t="s">
        <v>1205</v>
      </c>
      <c r="M335" s="265">
        <v>0</v>
      </c>
      <c r="N335" s="347">
        <v>1.2170000000000001</v>
      </c>
      <c r="O335" s="348" t="s">
        <v>1205</v>
      </c>
      <c r="P335" s="348" t="s">
        <v>1205</v>
      </c>
      <c r="Q335" s="348" t="s">
        <v>1205</v>
      </c>
    </row>
    <row r="336" spans="1:17" ht="15" hidden="1" customHeight="1">
      <c r="A336" s="163">
        <v>329</v>
      </c>
      <c r="B336" s="53" t="s">
        <v>7</v>
      </c>
      <c r="C336" s="53" t="s">
        <v>192</v>
      </c>
      <c r="D336" s="53">
        <v>100031276</v>
      </c>
      <c r="E336" s="55" t="s">
        <v>193</v>
      </c>
      <c r="F336" s="129">
        <v>100</v>
      </c>
      <c r="G336" s="129">
        <v>1800</v>
      </c>
      <c r="H336" s="512">
        <v>29.51</v>
      </c>
      <c r="I336" s="265" t="s">
        <v>76</v>
      </c>
      <c r="J336" s="265" t="s">
        <v>102</v>
      </c>
      <c r="K336" s="265" t="s">
        <v>194</v>
      </c>
      <c r="L336" s="348" t="s">
        <v>1205</v>
      </c>
      <c r="M336" s="265" t="s">
        <v>195</v>
      </c>
      <c r="N336" s="347">
        <v>0.13600000000000001</v>
      </c>
      <c r="O336" s="348" t="s">
        <v>1205</v>
      </c>
      <c r="P336" s="348" t="s">
        <v>1205</v>
      </c>
      <c r="Q336" s="348" t="s">
        <v>1205</v>
      </c>
    </row>
    <row r="337" spans="1:17" ht="15" hidden="1" customHeight="1">
      <c r="A337" s="163">
        <v>330</v>
      </c>
      <c r="B337" s="53" t="s">
        <v>7</v>
      </c>
      <c r="C337" s="53" t="s">
        <v>196</v>
      </c>
      <c r="D337" s="53">
        <v>100031277</v>
      </c>
      <c r="E337" s="55" t="s">
        <v>197</v>
      </c>
      <c r="F337" s="129">
        <v>50</v>
      </c>
      <c r="G337" s="129">
        <v>900</v>
      </c>
      <c r="H337" s="512">
        <v>45.69</v>
      </c>
      <c r="I337" s="265" t="s">
        <v>76</v>
      </c>
      <c r="J337" s="265" t="s">
        <v>102</v>
      </c>
      <c r="K337" s="265" t="s">
        <v>198</v>
      </c>
      <c r="L337" s="348" t="s">
        <v>1205</v>
      </c>
      <c r="M337" s="265" t="s">
        <v>199</v>
      </c>
      <c r="N337" s="347">
        <v>0.20399999999999999</v>
      </c>
      <c r="O337" s="348" t="s">
        <v>1205</v>
      </c>
      <c r="P337" s="348" t="s">
        <v>1205</v>
      </c>
      <c r="Q337" s="348" t="s">
        <v>1205</v>
      </c>
    </row>
    <row r="338" spans="1:17" ht="15" hidden="1" customHeight="1">
      <c r="A338" s="163">
        <v>331</v>
      </c>
      <c r="B338" s="53" t="s">
        <v>7</v>
      </c>
      <c r="C338" s="53" t="s">
        <v>200</v>
      </c>
      <c r="D338" s="53">
        <v>100031278</v>
      </c>
      <c r="E338" s="55" t="s">
        <v>201</v>
      </c>
      <c r="F338" s="129">
        <v>20</v>
      </c>
      <c r="G338" s="129">
        <v>240</v>
      </c>
      <c r="H338" s="512">
        <v>109.49</v>
      </c>
      <c r="I338" s="265" t="s">
        <v>76</v>
      </c>
      <c r="J338" s="265" t="s">
        <v>102</v>
      </c>
      <c r="K338" s="265" t="s">
        <v>202</v>
      </c>
      <c r="L338" s="348" t="s">
        <v>1205</v>
      </c>
      <c r="M338" s="265" t="s">
        <v>203</v>
      </c>
      <c r="N338" s="347">
        <v>0.60399999999999998</v>
      </c>
      <c r="O338" s="348" t="s">
        <v>1205</v>
      </c>
      <c r="P338" s="348" t="s">
        <v>1205</v>
      </c>
      <c r="Q338" s="348" t="s">
        <v>1205</v>
      </c>
    </row>
    <row r="339" spans="1:17" ht="15" hidden="1" customHeight="1">
      <c r="A339" s="163">
        <v>332</v>
      </c>
      <c r="B339" s="53" t="s">
        <v>7</v>
      </c>
      <c r="C339" s="53" t="s">
        <v>204</v>
      </c>
      <c r="D339" s="53">
        <v>300005977</v>
      </c>
      <c r="E339" s="55" t="s">
        <v>205</v>
      </c>
      <c r="F339" s="129">
        <v>100</v>
      </c>
      <c r="G339" s="129">
        <v>2700</v>
      </c>
      <c r="H339" s="512">
        <v>33.92</v>
      </c>
      <c r="I339" s="265" t="s">
        <v>76</v>
      </c>
      <c r="J339" s="265" t="s">
        <v>77</v>
      </c>
      <c r="K339" s="265">
        <v>0</v>
      </c>
      <c r="L339" s="348" t="s">
        <v>1205</v>
      </c>
      <c r="M339" s="265">
        <v>0</v>
      </c>
      <c r="N339" s="347">
        <v>0.113</v>
      </c>
      <c r="O339" s="348" t="s">
        <v>1205</v>
      </c>
      <c r="P339" s="348" t="s">
        <v>1205</v>
      </c>
      <c r="Q339" s="348" t="s">
        <v>1205</v>
      </c>
    </row>
    <row r="340" spans="1:17" ht="15" hidden="1" customHeight="1">
      <c r="A340" s="163">
        <v>333</v>
      </c>
      <c r="B340" s="53" t="s">
        <v>7</v>
      </c>
      <c r="C340" s="53" t="s">
        <v>206</v>
      </c>
      <c r="D340" s="53">
        <v>300005978</v>
      </c>
      <c r="E340" s="55" t="s">
        <v>207</v>
      </c>
      <c r="F340" s="129">
        <v>10</v>
      </c>
      <c r="G340" s="129">
        <v>240</v>
      </c>
      <c r="H340" s="512">
        <v>192.68</v>
      </c>
      <c r="I340" s="265" t="s">
        <v>76</v>
      </c>
      <c r="J340" s="265" t="s">
        <v>77</v>
      </c>
      <c r="K340" s="265">
        <v>0</v>
      </c>
      <c r="L340" s="348" t="s">
        <v>1205</v>
      </c>
      <c r="M340" s="265">
        <v>0</v>
      </c>
      <c r="N340" s="347">
        <v>1.1040000000000001</v>
      </c>
      <c r="O340" s="348" t="s">
        <v>1205</v>
      </c>
      <c r="P340" s="348" t="s">
        <v>1205</v>
      </c>
      <c r="Q340" s="348" t="s">
        <v>1205</v>
      </c>
    </row>
    <row r="341" spans="1:17" ht="15" hidden="1" customHeight="1">
      <c r="A341" s="163">
        <v>334</v>
      </c>
      <c r="B341" s="53" t="s">
        <v>7</v>
      </c>
      <c r="C341" s="53" t="s">
        <v>208</v>
      </c>
      <c r="D341" s="53">
        <v>100031281</v>
      </c>
      <c r="E341" s="55" t="s">
        <v>209</v>
      </c>
      <c r="F341" s="129">
        <v>50</v>
      </c>
      <c r="G341" s="129">
        <v>900</v>
      </c>
      <c r="H341" s="512">
        <v>48.88</v>
      </c>
      <c r="I341" s="265" t="s">
        <v>76</v>
      </c>
      <c r="J341" s="265" t="s">
        <v>102</v>
      </c>
      <c r="K341" s="265" t="s">
        <v>210</v>
      </c>
      <c r="L341" s="348" t="s">
        <v>1205</v>
      </c>
      <c r="M341" s="265" t="s">
        <v>211</v>
      </c>
      <c r="N341" s="347">
        <v>0.19400000000000001</v>
      </c>
      <c r="O341" s="348" t="s">
        <v>1205</v>
      </c>
      <c r="P341" s="348" t="s">
        <v>1205</v>
      </c>
      <c r="Q341" s="348" t="s">
        <v>1205</v>
      </c>
    </row>
    <row r="342" spans="1:17" ht="15" hidden="1" customHeight="1">
      <c r="A342" s="163">
        <v>335</v>
      </c>
      <c r="B342" s="53" t="s">
        <v>7</v>
      </c>
      <c r="C342" s="53" t="s">
        <v>212</v>
      </c>
      <c r="D342" s="53">
        <v>100031282</v>
      </c>
      <c r="E342" s="55" t="s">
        <v>213</v>
      </c>
      <c r="F342" s="129">
        <v>20</v>
      </c>
      <c r="G342" s="129">
        <v>240</v>
      </c>
      <c r="H342" s="512">
        <v>120.65</v>
      </c>
      <c r="I342" s="265" t="s">
        <v>76</v>
      </c>
      <c r="J342" s="265" t="s">
        <v>102</v>
      </c>
      <c r="K342" s="265" t="s">
        <v>214</v>
      </c>
      <c r="L342" s="348" t="s">
        <v>1205</v>
      </c>
      <c r="M342" s="265" t="s">
        <v>215</v>
      </c>
      <c r="N342" s="347">
        <v>0.59799999999999998</v>
      </c>
      <c r="O342" s="348" t="s">
        <v>1205</v>
      </c>
      <c r="P342" s="348" t="s">
        <v>1205</v>
      </c>
      <c r="Q342" s="348" t="s">
        <v>1205</v>
      </c>
    </row>
    <row r="343" spans="1:17" ht="15" hidden="1" customHeight="1">
      <c r="A343" s="163">
        <v>336</v>
      </c>
      <c r="B343" s="53" t="s">
        <v>7</v>
      </c>
      <c r="C343" s="53" t="s">
        <v>216</v>
      </c>
      <c r="D343" s="53">
        <v>300005979</v>
      </c>
      <c r="E343" s="55" t="s">
        <v>217</v>
      </c>
      <c r="F343" s="129">
        <v>50</v>
      </c>
      <c r="G343" s="129">
        <v>4000</v>
      </c>
      <c r="H343" s="512">
        <v>39.69</v>
      </c>
      <c r="I343" s="265" t="s">
        <v>76</v>
      </c>
      <c r="J343" s="265" t="s">
        <v>77</v>
      </c>
      <c r="K343" s="265">
        <v>0</v>
      </c>
      <c r="L343" s="348" t="s">
        <v>1205</v>
      </c>
      <c r="M343" s="265">
        <v>0</v>
      </c>
      <c r="N343" s="347">
        <v>0.105</v>
      </c>
      <c r="O343" s="348" t="s">
        <v>1205</v>
      </c>
      <c r="P343" s="348" t="s">
        <v>1205</v>
      </c>
      <c r="Q343" s="348" t="s">
        <v>1205</v>
      </c>
    </row>
    <row r="344" spans="1:17" ht="15" hidden="1" customHeight="1">
      <c r="A344" s="163">
        <v>337</v>
      </c>
      <c r="B344" s="53" t="s">
        <v>7</v>
      </c>
      <c r="C344" s="53" t="s">
        <v>218</v>
      </c>
      <c r="D344" s="53">
        <v>300005980</v>
      </c>
      <c r="E344" s="55" t="s">
        <v>219</v>
      </c>
      <c r="F344" s="129">
        <v>25</v>
      </c>
      <c r="G344" s="129">
        <v>2025</v>
      </c>
      <c r="H344" s="512">
        <v>45.26</v>
      </c>
      <c r="I344" s="265" t="s">
        <v>76</v>
      </c>
      <c r="J344" s="265" t="s">
        <v>77</v>
      </c>
      <c r="K344" s="265">
        <v>0</v>
      </c>
      <c r="L344" s="348" t="s">
        <v>1205</v>
      </c>
      <c r="M344" s="265">
        <v>0</v>
      </c>
      <c r="N344" s="347">
        <v>0.14399999999999999</v>
      </c>
      <c r="O344" s="348" t="s">
        <v>1205</v>
      </c>
      <c r="P344" s="348" t="s">
        <v>1205</v>
      </c>
      <c r="Q344" s="348" t="s">
        <v>1205</v>
      </c>
    </row>
    <row r="345" spans="1:17" ht="15" hidden="1" customHeight="1">
      <c r="A345" s="163">
        <v>338</v>
      </c>
      <c r="B345" s="53" t="s">
        <v>7</v>
      </c>
      <c r="C345" s="53" t="s">
        <v>220</v>
      </c>
      <c r="D345" s="53">
        <v>300005981</v>
      </c>
      <c r="E345" s="55" t="s">
        <v>221</v>
      </c>
      <c r="F345" s="129">
        <v>20</v>
      </c>
      <c r="G345" s="129">
        <v>720</v>
      </c>
      <c r="H345" s="512">
        <v>116.24</v>
      </c>
      <c r="I345" s="265" t="s">
        <v>76</v>
      </c>
      <c r="J345" s="265" t="s">
        <v>77</v>
      </c>
      <c r="K345" s="265">
        <v>0</v>
      </c>
      <c r="L345" s="348" t="s">
        <v>1205</v>
      </c>
      <c r="M345" s="265">
        <v>0</v>
      </c>
      <c r="N345" s="347">
        <v>0.501</v>
      </c>
      <c r="O345" s="348" t="s">
        <v>1205</v>
      </c>
      <c r="P345" s="348" t="s">
        <v>1205</v>
      </c>
      <c r="Q345" s="348" t="s">
        <v>1205</v>
      </c>
    </row>
    <row r="346" spans="1:17" ht="15" hidden="1" customHeight="1">
      <c r="A346" s="163">
        <v>339</v>
      </c>
      <c r="B346" s="53" t="s">
        <v>7</v>
      </c>
      <c r="C346" s="53" t="s">
        <v>222</v>
      </c>
      <c r="D346" s="53">
        <v>300005982</v>
      </c>
      <c r="E346" s="55" t="s">
        <v>223</v>
      </c>
      <c r="F346" s="129">
        <v>15</v>
      </c>
      <c r="G346" s="129">
        <v>360</v>
      </c>
      <c r="H346" s="512">
        <v>176.93</v>
      </c>
      <c r="I346" s="265" t="s">
        <v>76</v>
      </c>
      <c r="J346" s="265" t="s">
        <v>77</v>
      </c>
      <c r="K346" s="265">
        <v>0</v>
      </c>
      <c r="L346" s="348" t="s">
        <v>1205</v>
      </c>
      <c r="M346" s="265">
        <v>0</v>
      </c>
      <c r="N346" s="347">
        <v>0.86699999999999999</v>
      </c>
      <c r="O346" s="348" t="s">
        <v>1205</v>
      </c>
      <c r="P346" s="348" t="s">
        <v>1205</v>
      </c>
      <c r="Q346" s="348" t="s">
        <v>1205</v>
      </c>
    </row>
    <row r="347" spans="1:17" ht="15" hidden="1" customHeight="1">
      <c r="A347" s="163">
        <v>340</v>
      </c>
      <c r="B347" s="53" t="s">
        <v>7</v>
      </c>
      <c r="C347" s="53" t="s">
        <v>224</v>
      </c>
      <c r="D347" s="53">
        <v>100031284</v>
      </c>
      <c r="E347" s="55" t="s">
        <v>225</v>
      </c>
      <c r="F347" s="129">
        <v>50</v>
      </c>
      <c r="G347" s="129">
        <v>4000</v>
      </c>
      <c r="H347" s="512">
        <v>122.58</v>
      </c>
      <c r="I347" s="265" t="s">
        <v>76</v>
      </c>
      <c r="J347" s="265" t="s">
        <v>102</v>
      </c>
      <c r="K347" s="265" t="s">
        <v>226</v>
      </c>
      <c r="L347" s="348" t="s">
        <v>1205</v>
      </c>
      <c r="M347" s="265" t="s">
        <v>227</v>
      </c>
      <c r="N347" s="347">
        <v>9.1999999999999998E-2</v>
      </c>
      <c r="O347" s="348" t="s">
        <v>1205</v>
      </c>
      <c r="P347" s="348" t="s">
        <v>1205</v>
      </c>
      <c r="Q347" s="348" t="s">
        <v>1205</v>
      </c>
    </row>
    <row r="348" spans="1:17" ht="15" hidden="1" customHeight="1">
      <c r="A348" s="163">
        <v>341</v>
      </c>
      <c r="B348" s="53" t="s">
        <v>7</v>
      </c>
      <c r="C348" s="53" t="s">
        <v>228</v>
      </c>
      <c r="D348" s="53">
        <v>100031285</v>
      </c>
      <c r="E348" s="55" t="s">
        <v>229</v>
      </c>
      <c r="F348" s="129">
        <v>25</v>
      </c>
      <c r="G348" s="129">
        <v>2000</v>
      </c>
      <c r="H348" s="512">
        <v>110.85</v>
      </c>
      <c r="I348" s="265" t="s">
        <v>76</v>
      </c>
      <c r="J348" s="265" t="s">
        <v>102</v>
      </c>
      <c r="K348" s="265" t="s">
        <v>230</v>
      </c>
      <c r="L348" s="348" t="s">
        <v>1205</v>
      </c>
      <c r="M348" s="265" t="s">
        <v>231</v>
      </c>
      <c r="N348" s="347">
        <v>0.13600000000000001</v>
      </c>
      <c r="O348" s="348" t="s">
        <v>1205</v>
      </c>
      <c r="P348" s="348" t="s">
        <v>1205</v>
      </c>
      <c r="Q348" s="348" t="s">
        <v>1205</v>
      </c>
    </row>
    <row r="349" spans="1:17" ht="15" hidden="1" customHeight="1">
      <c r="A349" s="163">
        <v>342</v>
      </c>
      <c r="B349" s="53" t="s">
        <v>7</v>
      </c>
      <c r="C349" s="53" t="s">
        <v>232</v>
      </c>
      <c r="D349" s="53">
        <v>300005984</v>
      </c>
      <c r="E349" s="55" t="s">
        <v>233</v>
      </c>
      <c r="F349" s="129">
        <v>100</v>
      </c>
      <c r="G349" s="129">
        <v>8000</v>
      </c>
      <c r="H349" s="512">
        <v>15.33</v>
      </c>
      <c r="I349" s="265" t="s">
        <v>76</v>
      </c>
      <c r="J349" s="265" t="s">
        <v>77</v>
      </c>
      <c r="K349" s="265">
        <v>0</v>
      </c>
      <c r="L349" s="348" t="s">
        <v>1205</v>
      </c>
      <c r="M349" s="265">
        <v>0</v>
      </c>
      <c r="N349" s="347">
        <v>7.1999999999999995E-2</v>
      </c>
      <c r="O349" s="348" t="s">
        <v>1205</v>
      </c>
      <c r="P349" s="348" t="s">
        <v>1205</v>
      </c>
      <c r="Q349" s="348" t="s">
        <v>1205</v>
      </c>
    </row>
    <row r="350" spans="1:17" ht="15" hidden="1" customHeight="1">
      <c r="A350" s="163">
        <v>343</v>
      </c>
      <c r="B350" s="53" t="s">
        <v>7</v>
      </c>
      <c r="C350" s="53" t="s">
        <v>234</v>
      </c>
      <c r="D350" s="53">
        <v>300005983</v>
      </c>
      <c r="E350" s="55" t="s">
        <v>235</v>
      </c>
      <c r="F350" s="129">
        <v>125</v>
      </c>
      <c r="G350" s="129">
        <v>9000</v>
      </c>
      <c r="H350" s="512">
        <v>30.03</v>
      </c>
      <c r="I350" s="265" t="s">
        <v>76</v>
      </c>
      <c r="J350" s="265" t="s">
        <v>77</v>
      </c>
      <c r="K350" s="265">
        <v>0</v>
      </c>
      <c r="L350" s="348" t="s">
        <v>1205</v>
      </c>
      <c r="M350" s="265">
        <v>0</v>
      </c>
      <c r="N350" s="347">
        <v>4.9000000000000002E-2</v>
      </c>
      <c r="O350" s="348" t="s">
        <v>1205</v>
      </c>
      <c r="P350" s="348" t="s">
        <v>1205</v>
      </c>
      <c r="Q350" s="348" t="s">
        <v>1205</v>
      </c>
    </row>
    <row r="351" spans="1:17" ht="15" hidden="1" customHeight="1">
      <c r="A351" s="163">
        <v>344</v>
      </c>
      <c r="B351" s="53" t="s">
        <v>7</v>
      </c>
      <c r="C351" s="53" t="s">
        <v>236</v>
      </c>
      <c r="D351" s="53">
        <v>300005985</v>
      </c>
      <c r="E351" s="55" t="s">
        <v>237</v>
      </c>
      <c r="F351" s="129">
        <v>100</v>
      </c>
      <c r="G351" s="129">
        <v>4200</v>
      </c>
      <c r="H351" s="512">
        <v>19.22</v>
      </c>
      <c r="I351" s="265" t="s">
        <v>76</v>
      </c>
      <c r="J351" s="265" t="s">
        <v>77</v>
      </c>
      <c r="K351" s="265">
        <v>0</v>
      </c>
      <c r="L351" s="348" t="s">
        <v>1205</v>
      </c>
      <c r="M351" s="265">
        <v>0</v>
      </c>
      <c r="N351" s="347">
        <v>9.5000000000000001E-2</v>
      </c>
      <c r="O351" s="348" t="s">
        <v>1205</v>
      </c>
      <c r="P351" s="348" t="s">
        <v>1205</v>
      </c>
      <c r="Q351" s="348" t="s">
        <v>1205</v>
      </c>
    </row>
    <row r="352" spans="1:17" ht="15" hidden="1" customHeight="1">
      <c r="A352" s="163">
        <v>345</v>
      </c>
      <c r="B352" s="53" t="s">
        <v>7</v>
      </c>
      <c r="C352" s="53" t="s">
        <v>238</v>
      </c>
      <c r="D352" s="53">
        <v>300005986</v>
      </c>
      <c r="E352" s="55" t="s">
        <v>239</v>
      </c>
      <c r="F352" s="129">
        <v>60</v>
      </c>
      <c r="G352" s="129">
        <v>1080</v>
      </c>
      <c r="H352" s="512">
        <v>57.54</v>
      </c>
      <c r="I352" s="265" t="s">
        <v>76</v>
      </c>
      <c r="J352" s="265" t="s">
        <v>77</v>
      </c>
      <c r="K352" s="265">
        <v>0</v>
      </c>
      <c r="L352" s="348" t="s">
        <v>1205</v>
      </c>
      <c r="M352" s="265">
        <v>0</v>
      </c>
      <c r="N352" s="347">
        <v>0.35799999999999998</v>
      </c>
      <c r="O352" s="348" t="s">
        <v>1205</v>
      </c>
      <c r="P352" s="348" t="s">
        <v>1205</v>
      </c>
      <c r="Q352" s="348" t="s">
        <v>1205</v>
      </c>
    </row>
    <row r="353" spans="1:17" ht="15" hidden="1" customHeight="1">
      <c r="A353" s="163">
        <v>346</v>
      </c>
      <c r="B353" s="53" t="s">
        <v>7</v>
      </c>
      <c r="C353" s="53" t="s">
        <v>240</v>
      </c>
      <c r="D353" s="53">
        <v>100031289</v>
      </c>
      <c r="E353" s="55" t="s">
        <v>241</v>
      </c>
      <c r="F353" s="129">
        <v>25</v>
      </c>
      <c r="G353" s="129">
        <v>300</v>
      </c>
      <c r="H353" s="512">
        <v>104.25</v>
      </c>
      <c r="I353" s="265" t="s">
        <v>76</v>
      </c>
      <c r="J353" s="265" t="s">
        <v>102</v>
      </c>
      <c r="K353" s="265" t="s">
        <v>242</v>
      </c>
      <c r="L353" s="348" t="s">
        <v>1205</v>
      </c>
      <c r="M353" s="265" t="s">
        <v>243</v>
      </c>
      <c r="N353" s="347">
        <v>0.59</v>
      </c>
      <c r="O353" s="348" t="s">
        <v>1205</v>
      </c>
      <c r="P353" s="348" t="s">
        <v>1205</v>
      </c>
      <c r="Q353" s="348" t="s">
        <v>1205</v>
      </c>
    </row>
    <row r="354" spans="1:17" ht="15" hidden="1" customHeight="1">
      <c r="A354" s="163">
        <v>347</v>
      </c>
      <c r="B354" s="53" t="s">
        <v>7</v>
      </c>
      <c r="C354" s="53" t="s">
        <v>244</v>
      </c>
      <c r="D354" s="53">
        <v>300005987</v>
      </c>
      <c r="E354" s="55" t="s">
        <v>245</v>
      </c>
      <c r="F354" s="129">
        <v>25</v>
      </c>
      <c r="G354" s="129">
        <v>4200</v>
      </c>
      <c r="H354" s="512">
        <v>40.85</v>
      </c>
      <c r="I354" s="265" t="s">
        <v>76</v>
      </c>
      <c r="J354" s="265" t="s">
        <v>77</v>
      </c>
      <c r="K354" s="265">
        <v>0</v>
      </c>
      <c r="L354" s="348" t="s">
        <v>1205</v>
      </c>
      <c r="M354" s="265">
        <v>0</v>
      </c>
      <c r="N354" s="347">
        <v>0.51500000000000001</v>
      </c>
      <c r="O354" s="348" t="s">
        <v>1205</v>
      </c>
      <c r="P354" s="348" t="s">
        <v>1205</v>
      </c>
      <c r="Q354" s="348" t="s">
        <v>1205</v>
      </c>
    </row>
    <row r="355" spans="1:17" ht="15" hidden="1" customHeight="1">
      <c r="A355" s="163">
        <v>348</v>
      </c>
      <c r="B355" s="53" t="s">
        <v>7</v>
      </c>
      <c r="C355" s="53" t="s">
        <v>246</v>
      </c>
      <c r="D355" s="53">
        <v>300005988</v>
      </c>
      <c r="E355" s="55" t="s">
        <v>247</v>
      </c>
      <c r="F355" s="129">
        <v>30</v>
      </c>
      <c r="G355" s="129">
        <v>1920</v>
      </c>
      <c r="H355" s="512">
        <v>97.02</v>
      </c>
      <c r="I355" s="265" t="s">
        <v>76</v>
      </c>
      <c r="J355" s="265" t="s">
        <v>77</v>
      </c>
      <c r="K355" s="265">
        <v>0</v>
      </c>
      <c r="L355" s="348" t="s">
        <v>1205</v>
      </c>
      <c r="M355" s="265">
        <v>0</v>
      </c>
      <c r="N355" s="347">
        <v>0.30399999999999999</v>
      </c>
      <c r="O355" s="348" t="s">
        <v>1205</v>
      </c>
      <c r="P355" s="348" t="s">
        <v>1205</v>
      </c>
      <c r="Q355" s="348" t="s">
        <v>1205</v>
      </c>
    </row>
    <row r="356" spans="1:17" ht="15" hidden="1" customHeight="1">
      <c r="A356" s="163">
        <v>349</v>
      </c>
      <c r="B356" s="53" t="s">
        <v>7</v>
      </c>
      <c r="C356" s="53" t="s">
        <v>248</v>
      </c>
      <c r="D356" s="53">
        <v>300005989</v>
      </c>
      <c r="E356" s="55" t="s">
        <v>249</v>
      </c>
      <c r="F356" s="129">
        <v>20</v>
      </c>
      <c r="G356" s="129">
        <v>960</v>
      </c>
      <c r="H356" s="512">
        <v>181.13</v>
      </c>
      <c r="I356" s="265" t="s">
        <v>76</v>
      </c>
      <c r="J356" s="265" t="s">
        <v>77</v>
      </c>
      <c r="K356" s="265">
        <v>0</v>
      </c>
      <c r="L356" s="348" t="s">
        <v>1205</v>
      </c>
      <c r="M356" s="265">
        <v>0</v>
      </c>
      <c r="N356" s="347">
        <v>0.23599999999999999</v>
      </c>
      <c r="O356" s="348" t="s">
        <v>1205</v>
      </c>
      <c r="P356" s="348" t="s">
        <v>1205</v>
      </c>
      <c r="Q356" s="348" t="s">
        <v>1205</v>
      </c>
    </row>
    <row r="357" spans="1:17" ht="15" hidden="1" customHeight="1">
      <c r="A357" s="163">
        <v>350</v>
      </c>
      <c r="B357" s="53" t="s">
        <v>7</v>
      </c>
      <c r="C357" s="53" t="s">
        <v>250</v>
      </c>
      <c r="D357" s="53">
        <v>300005990</v>
      </c>
      <c r="E357" s="55" t="s">
        <v>251</v>
      </c>
      <c r="F357" s="129">
        <v>50</v>
      </c>
      <c r="G357" s="129">
        <v>9600</v>
      </c>
      <c r="H357" s="512">
        <v>22.26</v>
      </c>
      <c r="I357" s="265" t="s">
        <v>76</v>
      </c>
      <c r="J357" s="265" t="s">
        <v>77</v>
      </c>
      <c r="K357" s="265">
        <v>0</v>
      </c>
      <c r="L357" s="348" t="s">
        <v>1205</v>
      </c>
      <c r="M357" s="265">
        <v>0</v>
      </c>
      <c r="N357" s="347">
        <v>0.06</v>
      </c>
      <c r="O357" s="348" t="s">
        <v>1205</v>
      </c>
      <c r="P357" s="348" t="s">
        <v>1205</v>
      </c>
      <c r="Q357" s="348" t="s">
        <v>1205</v>
      </c>
    </row>
    <row r="358" spans="1:17" ht="15" hidden="1" customHeight="1">
      <c r="A358" s="163">
        <v>351</v>
      </c>
      <c r="B358" s="53" t="s">
        <v>7</v>
      </c>
      <c r="C358" s="53" t="s">
        <v>252</v>
      </c>
      <c r="D358" s="53">
        <v>300005991</v>
      </c>
      <c r="E358" s="55" t="s">
        <v>253</v>
      </c>
      <c r="F358" s="129">
        <v>50</v>
      </c>
      <c r="G358" s="129">
        <v>6000</v>
      </c>
      <c r="H358" s="512">
        <v>38.96</v>
      </c>
      <c r="I358" s="265" t="s">
        <v>76</v>
      </c>
      <c r="J358" s="265" t="s">
        <v>77</v>
      </c>
      <c r="K358" s="265">
        <v>0</v>
      </c>
      <c r="L358" s="348" t="s">
        <v>1205</v>
      </c>
      <c r="M358" s="265">
        <v>0</v>
      </c>
      <c r="N358" s="347">
        <v>8.6999999999999994E-2</v>
      </c>
      <c r="O358" s="348" t="s">
        <v>1205</v>
      </c>
      <c r="P358" s="348" t="s">
        <v>1205</v>
      </c>
      <c r="Q358" s="348" t="s">
        <v>1205</v>
      </c>
    </row>
    <row r="359" spans="1:17" ht="15" hidden="1" customHeight="1">
      <c r="A359" s="163">
        <v>352</v>
      </c>
      <c r="B359" s="53" t="s">
        <v>7</v>
      </c>
      <c r="C359" s="53" t="s">
        <v>254</v>
      </c>
      <c r="D359" s="53">
        <v>300005992</v>
      </c>
      <c r="E359" s="55" t="s">
        <v>255</v>
      </c>
      <c r="F359" s="129">
        <v>30</v>
      </c>
      <c r="G359" s="129">
        <v>2160</v>
      </c>
      <c r="H359" s="512">
        <v>104.58</v>
      </c>
      <c r="I359" s="265" t="s">
        <v>76</v>
      </c>
      <c r="J359" s="265" t="s">
        <v>77</v>
      </c>
      <c r="K359" s="265">
        <v>0</v>
      </c>
      <c r="L359" s="348" t="s">
        <v>1205</v>
      </c>
      <c r="M359" s="265">
        <v>0</v>
      </c>
      <c r="N359" s="347">
        <v>0.29799999999999999</v>
      </c>
      <c r="O359" s="348" t="s">
        <v>1205</v>
      </c>
      <c r="P359" s="348" t="s">
        <v>1205</v>
      </c>
      <c r="Q359" s="348" t="s">
        <v>1205</v>
      </c>
    </row>
    <row r="360" spans="1:17" ht="15" hidden="1" customHeight="1">
      <c r="A360" s="163">
        <v>353</v>
      </c>
      <c r="B360" s="53" t="s">
        <v>7</v>
      </c>
      <c r="C360" s="53" t="s">
        <v>256</v>
      </c>
      <c r="D360" s="53">
        <v>300005993</v>
      </c>
      <c r="E360" s="55" t="s">
        <v>257</v>
      </c>
      <c r="F360" s="129">
        <v>100</v>
      </c>
      <c r="G360" s="129">
        <v>9600</v>
      </c>
      <c r="H360" s="512">
        <v>22.26</v>
      </c>
      <c r="I360" s="265" t="s">
        <v>76</v>
      </c>
      <c r="J360" s="265" t="s">
        <v>77</v>
      </c>
      <c r="K360" s="265">
        <v>0</v>
      </c>
      <c r="L360" s="348" t="s">
        <v>1205</v>
      </c>
      <c r="M360" s="265">
        <v>0</v>
      </c>
      <c r="N360" s="347">
        <v>8.4000000000000005E-2</v>
      </c>
      <c r="O360" s="348" t="s">
        <v>1205</v>
      </c>
      <c r="P360" s="348" t="s">
        <v>1205</v>
      </c>
      <c r="Q360" s="348" t="s">
        <v>1205</v>
      </c>
    </row>
    <row r="361" spans="1:17" ht="15" hidden="1" customHeight="1">
      <c r="A361" s="163">
        <v>354</v>
      </c>
      <c r="B361" s="53" t="s">
        <v>7</v>
      </c>
      <c r="C361" s="53" t="s">
        <v>258</v>
      </c>
      <c r="D361" s="53">
        <v>300005994</v>
      </c>
      <c r="E361" s="55" t="s">
        <v>259</v>
      </c>
      <c r="F361" s="129">
        <v>100</v>
      </c>
      <c r="G361" s="129">
        <v>6400</v>
      </c>
      <c r="H361" s="512">
        <v>26.25</v>
      </c>
      <c r="I361" s="265" t="s">
        <v>76</v>
      </c>
      <c r="J361" s="265" t="s">
        <v>77</v>
      </c>
      <c r="K361" s="265">
        <v>0</v>
      </c>
      <c r="L361" s="348" t="s">
        <v>1205</v>
      </c>
      <c r="M361" s="265">
        <v>0</v>
      </c>
      <c r="N361" s="347">
        <v>7.4999999999999997E-2</v>
      </c>
      <c r="O361" s="348" t="s">
        <v>1205</v>
      </c>
      <c r="P361" s="348" t="s">
        <v>1205</v>
      </c>
      <c r="Q361" s="348" t="s">
        <v>1205</v>
      </c>
    </row>
    <row r="362" spans="1:17" ht="15" hidden="1" customHeight="1">
      <c r="A362" s="163">
        <v>355</v>
      </c>
      <c r="B362" s="53" t="s">
        <v>7</v>
      </c>
      <c r="C362" s="53" t="s">
        <v>260</v>
      </c>
      <c r="D362" s="53">
        <v>300005995</v>
      </c>
      <c r="E362" s="55" t="s">
        <v>261</v>
      </c>
      <c r="F362" s="129">
        <v>100</v>
      </c>
      <c r="G362" s="129">
        <v>4400</v>
      </c>
      <c r="H362" s="512">
        <v>41.37</v>
      </c>
      <c r="I362" s="265" t="s">
        <v>76</v>
      </c>
      <c r="J362" s="265" t="s">
        <v>77</v>
      </c>
      <c r="K362" s="265">
        <v>0</v>
      </c>
      <c r="L362" s="348" t="s">
        <v>1205</v>
      </c>
      <c r="M362" s="265">
        <v>0</v>
      </c>
      <c r="N362" s="347">
        <v>0.10100000000000001</v>
      </c>
      <c r="O362" s="348" t="s">
        <v>1205</v>
      </c>
      <c r="P362" s="348" t="s">
        <v>1205</v>
      </c>
      <c r="Q362" s="348" t="s">
        <v>1205</v>
      </c>
    </row>
    <row r="363" spans="1:17" ht="15" hidden="1" customHeight="1">
      <c r="A363" s="163">
        <v>356</v>
      </c>
      <c r="B363" s="53" t="s">
        <v>7</v>
      </c>
      <c r="C363" s="53" t="s">
        <v>262</v>
      </c>
      <c r="D363" s="53">
        <v>300005996</v>
      </c>
      <c r="E363" s="55" t="s">
        <v>263</v>
      </c>
      <c r="F363" s="129">
        <v>30</v>
      </c>
      <c r="G363" s="129">
        <v>1080</v>
      </c>
      <c r="H363" s="512">
        <v>110.67</v>
      </c>
      <c r="I363" s="265" t="s">
        <v>76</v>
      </c>
      <c r="J363" s="265" t="s">
        <v>77</v>
      </c>
      <c r="K363" s="265">
        <v>0</v>
      </c>
      <c r="L363" s="348" t="s">
        <v>1205</v>
      </c>
      <c r="M363" s="265">
        <v>0</v>
      </c>
      <c r="N363" s="347">
        <v>0.35399999999999998</v>
      </c>
      <c r="O363" s="348" t="s">
        <v>1205</v>
      </c>
      <c r="P363" s="348" t="s">
        <v>1205</v>
      </c>
      <c r="Q363" s="348" t="s">
        <v>1205</v>
      </c>
    </row>
    <row r="364" spans="1:17" ht="15" hidden="1" customHeight="1">
      <c r="A364" s="163">
        <v>357</v>
      </c>
      <c r="B364" s="53" t="s">
        <v>7</v>
      </c>
      <c r="C364" s="53" t="s">
        <v>264</v>
      </c>
      <c r="D364" s="53">
        <v>100031274</v>
      </c>
      <c r="E364" s="55" t="s">
        <v>265</v>
      </c>
      <c r="F364" s="129">
        <v>10</v>
      </c>
      <c r="G364" s="129">
        <v>540</v>
      </c>
      <c r="H364" s="512">
        <v>137.16999999999999</v>
      </c>
      <c r="I364" s="265" t="s">
        <v>76</v>
      </c>
      <c r="J364" s="265" t="s">
        <v>102</v>
      </c>
      <c r="K364" s="265" t="s">
        <v>266</v>
      </c>
      <c r="L364" s="348" t="s">
        <v>1205</v>
      </c>
      <c r="M364" s="265" t="s">
        <v>267</v>
      </c>
      <c r="N364" s="347">
        <v>0.64</v>
      </c>
      <c r="O364" s="348" t="s">
        <v>1205</v>
      </c>
      <c r="P364" s="348" t="s">
        <v>1205</v>
      </c>
      <c r="Q364" s="348" t="s">
        <v>1205</v>
      </c>
    </row>
    <row r="365" spans="1:17" ht="15" hidden="1" customHeight="1">
      <c r="A365" s="163">
        <v>358</v>
      </c>
      <c r="B365" s="53" t="s">
        <v>7</v>
      </c>
      <c r="C365" s="53" t="s">
        <v>268</v>
      </c>
      <c r="D365" s="53">
        <v>300005997</v>
      </c>
      <c r="E365" s="55" t="s">
        <v>269</v>
      </c>
      <c r="F365" s="129">
        <v>50</v>
      </c>
      <c r="G365" s="129">
        <v>5600</v>
      </c>
      <c r="H365" s="512">
        <v>32.24</v>
      </c>
      <c r="I365" s="265" t="s">
        <v>76</v>
      </c>
      <c r="J365" s="265" t="s">
        <v>77</v>
      </c>
      <c r="K365" s="265">
        <v>0</v>
      </c>
      <c r="L365" s="348" t="s">
        <v>1205</v>
      </c>
      <c r="M365" s="265">
        <v>0</v>
      </c>
      <c r="N365" s="347">
        <v>0.11899999999999999</v>
      </c>
      <c r="O365" s="348" t="s">
        <v>1205</v>
      </c>
      <c r="P365" s="348" t="s">
        <v>1205</v>
      </c>
      <c r="Q365" s="348" t="s">
        <v>1205</v>
      </c>
    </row>
    <row r="366" spans="1:17" ht="15" hidden="1" customHeight="1">
      <c r="A366" s="163">
        <v>359</v>
      </c>
      <c r="B366" s="53" t="s">
        <v>7</v>
      </c>
      <c r="C366" s="53" t="s">
        <v>270</v>
      </c>
      <c r="D366" s="53">
        <v>300005998</v>
      </c>
      <c r="E366" s="55" t="s">
        <v>271</v>
      </c>
      <c r="F366" s="129">
        <v>50</v>
      </c>
      <c r="G366" s="129">
        <v>4800</v>
      </c>
      <c r="H366" s="512">
        <v>44.63</v>
      </c>
      <c r="I366" s="265" t="s">
        <v>76</v>
      </c>
      <c r="J366" s="265" t="s">
        <v>77</v>
      </c>
      <c r="K366" s="265">
        <v>0</v>
      </c>
      <c r="L366" s="348" t="s">
        <v>1205</v>
      </c>
      <c r="M366" s="265">
        <v>0</v>
      </c>
      <c r="N366" s="347">
        <v>0.16</v>
      </c>
      <c r="O366" s="348" t="s">
        <v>1205</v>
      </c>
      <c r="P366" s="348" t="s">
        <v>1205</v>
      </c>
      <c r="Q366" s="348" t="s">
        <v>1205</v>
      </c>
    </row>
    <row r="367" spans="1:17" ht="15" hidden="1" customHeight="1">
      <c r="A367" s="163">
        <v>360</v>
      </c>
      <c r="B367" s="53" t="s">
        <v>7</v>
      </c>
      <c r="C367" s="53" t="s">
        <v>272</v>
      </c>
      <c r="D367" s="53">
        <v>300005999</v>
      </c>
      <c r="E367" s="55" t="s">
        <v>273</v>
      </c>
      <c r="F367" s="129">
        <v>25</v>
      </c>
      <c r="G367" s="129">
        <v>1200</v>
      </c>
      <c r="H367" s="512">
        <v>112.56</v>
      </c>
      <c r="I367" s="265" t="s">
        <v>76</v>
      </c>
      <c r="J367" s="265" t="s">
        <v>77</v>
      </c>
      <c r="K367" s="265">
        <v>0</v>
      </c>
      <c r="L367" s="348" t="s">
        <v>1205</v>
      </c>
      <c r="M367" s="265">
        <v>0</v>
      </c>
      <c r="N367" s="347">
        <v>0.50600000000000001</v>
      </c>
      <c r="O367" s="348" t="s">
        <v>1205</v>
      </c>
      <c r="P367" s="348" t="s">
        <v>1205</v>
      </c>
      <c r="Q367" s="348" t="s">
        <v>1205</v>
      </c>
    </row>
    <row r="368" spans="1:17" ht="15" hidden="1" customHeight="1">
      <c r="A368" s="163">
        <v>361</v>
      </c>
      <c r="B368" s="53" t="s">
        <v>7</v>
      </c>
      <c r="C368" s="53" t="s">
        <v>274</v>
      </c>
      <c r="D368" s="53">
        <v>300006000</v>
      </c>
      <c r="E368" s="55" t="s">
        <v>275</v>
      </c>
      <c r="F368" s="129">
        <v>25</v>
      </c>
      <c r="G368" s="129">
        <v>800</v>
      </c>
      <c r="H368" s="512">
        <v>210.84</v>
      </c>
      <c r="I368" s="265" t="s">
        <v>76</v>
      </c>
      <c r="J368" s="265" t="s">
        <v>77</v>
      </c>
      <c r="K368" s="265">
        <v>0</v>
      </c>
      <c r="L368" s="348" t="s">
        <v>1205</v>
      </c>
      <c r="M368" s="265">
        <v>0</v>
      </c>
      <c r="N368" s="347">
        <v>0.81499999999999995</v>
      </c>
      <c r="O368" s="348" t="s">
        <v>1205</v>
      </c>
      <c r="P368" s="348" t="s">
        <v>1205</v>
      </c>
      <c r="Q368" s="348" t="s">
        <v>1205</v>
      </c>
    </row>
    <row r="369" spans="1:17" ht="15" hidden="1" customHeight="1">
      <c r="A369" s="163">
        <v>362</v>
      </c>
      <c r="B369" s="53" t="s">
        <v>7</v>
      </c>
      <c r="C369" s="53" t="s">
        <v>276</v>
      </c>
      <c r="D369" s="53">
        <v>300006001</v>
      </c>
      <c r="E369" s="55" t="s">
        <v>277</v>
      </c>
      <c r="F369" s="129">
        <v>50</v>
      </c>
      <c r="G369" s="129">
        <v>7200</v>
      </c>
      <c r="H369" s="512">
        <v>23.31</v>
      </c>
      <c r="I369" s="265" t="s">
        <v>76</v>
      </c>
      <c r="J369" s="265" t="s">
        <v>77</v>
      </c>
      <c r="K369" s="265">
        <v>0</v>
      </c>
      <c r="L369" s="348" t="s">
        <v>1205</v>
      </c>
      <c r="M369" s="265">
        <v>0</v>
      </c>
      <c r="N369" s="347">
        <v>0.222</v>
      </c>
      <c r="O369" s="348" t="s">
        <v>1205</v>
      </c>
      <c r="P369" s="348" t="s">
        <v>1205</v>
      </c>
      <c r="Q369" s="348" t="s">
        <v>1205</v>
      </c>
    </row>
    <row r="370" spans="1:17" ht="15" hidden="1" customHeight="1">
      <c r="A370" s="163">
        <v>363</v>
      </c>
      <c r="B370" s="53" t="s">
        <v>7</v>
      </c>
      <c r="C370" s="53" t="s">
        <v>278</v>
      </c>
      <c r="D370" s="53">
        <v>300006002</v>
      </c>
      <c r="E370" s="55" t="s">
        <v>279</v>
      </c>
      <c r="F370" s="129">
        <v>50</v>
      </c>
      <c r="G370" s="129">
        <v>2700</v>
      </c>
      <c r="H370" s="512">
        <v>63.95</v>
      </c>
      <c r="I370" s="265" t="s">
        <v>76</v>
      </c>
      <c r="J370" s="265" t="s">
        <v>77</v>
      </c>
      <c r="K370" s="265">
        <v>0</v>
      </c>
      <c r="L370" s="348" t="s">
        <v>1205</v>
      </c>
      <c r="M370" s="265">
        <v>0</v>
      </c>
      <c r="N370" s="347">
        <v>0.27200000000000002</v>
      </c>
      <c r="O370" s="348" t="s">
        <v>1205</v>
      </c>
      <c r="P370" s="348" t="s">
        <v>1205</v>
      </c>
      <c r="Q370" s="348" t="s">
        <v>1205</v>
      </c>
    </row>
    <row r="371" spans="1:17" ht="15" hidden="1" customHeight="1">
      <c r="A371" s="163">
        <v>364</v>
      </c>
      <c r="B371" s="53" t="s">
        <v>7</v>
      </c>
      <c r="C371" s="53" t="s">
        <v>280</v>
      </c>
      <c r="D371" s="53">
        <v>300006003</v>
      </c>
      <c r="E371" s="55" t="s">
        <v>281</v>
      </c>
      <c r="F371" s="129">
        <v>30</v>
      </c>
      <c r="G371" s="129">
        <v>1800</v>
      </c>
      <c r="H371" s="512">
        <v>100.49</v>
      </c>
      <c r="I371" s="265" t="s">
        <v>76</v>
      </c>
      <c r="J371" s="265" t="s">
        <v>77</v>
      </c>
      <c r="K371" s="265">
        <v>0</v>
      </c>
      <c r="L371" s="348" t="s">
        <v>1205</v>
      </c>
      <c r="M371" s="265">
        <v>0</v>
      </c>
      <c r="N371" s="347">
        <v>1.03</v>
      </c>
      <c r="O371" s="348" t="s">
        <v>1205</v>
      </c>
      <c r="P371" s="348" t="s">
        <v>1205</v>
      </c>
      <c r="Q371" s="348" t="s">
        <v>1205</v>
      </c>
    </row>
    <row r="372" spans="1:17" ht="15" hidden="1" customHeight="1">
      <c r="A372" s="163">
        <v>365</v>
      </c>
      <c r="B372" s="53" t="s">
        <v>7</v>
      </c>
      <c r="C372" s="53" t="s">
        <v>282</v>
      </c>
      <c r="D372" s="53">
        <v>300006005</v>
      </c>
      <c r="E372" s="55" t="s">
        <v>283</v>
      </c>
      <c r="F372" s="129">
        <v>50</v>
      </c>
      <c r="G372" s="129">
        <v>5600</v>
      </c>
      <c r="H372" s="512">
        <v>39.590000000000003</v>
      </c>
      <c r="I372" s="265" t="s">
        <v>76</v>
      </c>
      <c r="J372" s="265" t="s">
        <v>77</v>
      </c>
      <c r="K372" s="265">
        <v>0</v>
      </c>
      <c r="L372" s="348" t="s">
        <v>1205</v>
      </c>
      <c r="M372" s="265">
        <v>0</v>
      </c>
      <c r="N372" s="347">
        <v>0.45600000000000002</v>
      </c>
      <c r="O372" s="348" t="s">
        <v>1205</v>
      </c>
      <c r="P372" s="348" t="s">
        <v>1205</v>
      </c>
      <c r="Q372" s="348" t="s">
        <v>1205</v>
      </c>
    </row>
    <row r="373" spans="1:17" ht="15" hidden="1" customHeight="1">
      <c r="A373" s="163">
        <v>366</v>
      </c>
      <c r="B373" s="53" t="s">
        <v>7</v>
      </c>
      <c r="C373" s="53" t="s">
        <v>284</v>
      </c>
      <c r="D373" s="53">
        <v>300006004</v>
      </c>
      <c r="E373" s="55" t="s">
        <v>285</v>
      </c>
      <c r="F373" s="129">
        <v>100</v>
      </c>
      <c r="G373" s="129">
        <v>11200</v>
      </c>
      <c r="H373" s="512">
        <v>46.31</v>
      </c>
      <c r="I373" s="265" t="s">
        <v>76</v>
      </c>
      <c r="J373" s="265" t="s">
        <v>77</v>
      </c>
      <c r="K373" s="265">
        <v>0</v>
      </c>
      <c r="L373" s="348" t="s">
        <v>1205</v>
      </c>
      <c r="M373" s="265">
        <v>0</v>
      </c>
      <c r="N373" s="347">
        <v>0.40799999999999997</v>
      </c>
      <c r="O373" s="348" t="s">
        <v>1205</v>
      </c>
      <c r="P373" s="348" t="s">
        <v>1205</v>
      </c>
      <c r="Q373" s="348" t="s">
        <v>1205</v>
      </c>
    </row>
    <row r="374" spans="1:17" ht="15" hidden="1" customHeight="1">
      <c r="A374" s="163">
        <v>367</v>
      </c>
      <c r="B374" s="53" t="s">
        <v>7</v>
      </c>
      <c r="C374" s="53" t="s">
        <v>286</v>
      </c>
      <c r="D374" s="53">
        <v>300005892</v>
      </c>
      <c r="E374" s="55" t="s">
        <v>287</v>
      </c>
      <c r="F374" s="129">
        <v>60</v>
      </c>
      <c r="G374" s="129">
        <v>4320</v>
      </c>
      <c r="H374" s="512">
        <v>102.2</v>
      </c>
      <c r="I374" s="265" t="s">
        <v>76</v>
      </c>
      <c r="J374" s="265" t="s">
        <v>77</v>
      </c>
      <c r="K374" s="265">
        <v>0</v>
      </c>
      <c r="L374" s="348" t="s">
        <v>1205</v>
      </c>
      <c r="M374" s="265">
        <v>0</v>
      </c>
      <c r="N374" s="347">
        <v>0.13200000000000001</v>
      </c>
      <c r="O374" s="348" t="s">
        <v>1205</v>
      </c>
      <c r="P374" s="348" t="s">
        <v>1205</v>
      </c>
      <c r="Q374" s="348" t="s">
        <v>1205</v>
      </c>
    </row>
    <row r="375" spans="1:17" ht="15" hidden="1" customHeight="1">
      <c r="A375" s="163">
        <v>368</v>
      </c>
      <c r="B375" s="53" t="s">
        <v>7</v>
      </c>
      <c r="C375" s="53" t="s">
        <v>288</v>
      </c>
      <c r="D375" s="53">
        <v>300006007</v>
      </c>
      <c r="E375" s="55" t="s">
        <v>289</v>
      </c>
      <c r="F375" s="129">
        <v>100</v>
      </c>
      <c r="G375" s="129">
        <v>5600</v>
      </c>
      <c r="H375" s="512">
        <v>37.700000000000003</v>
      </c>
      <c r="I375" s="265" t="s">
        <v>76</v>
      </c>
      <c r="J375" s="265" t="s">
        <v>77</v>
      </c>
      <c r="K375" s="265">
        <v>0</v>
      </c>
      <c r="L375" s="348" t="s">
        <v>1205</v>
      </c>
      <c r="M375" s="265">
        <v>0</v>
      </c>
      <c r="N375" s="347">
        <v>8.8999999999999996E-2</v>
      </c>
      <c r="O375" s="348" t="s">
        <v>1205</v>
      </c>
      <c r="P375" s="348" t="s">
        <v>1205</v>
      </c>
      <c r="Q375" s="348" t="s">
        <v>1205</v>
      </c>
    </row>
    <row r="376" spans="1:17" ht="15" hidden="1" customHeight="1">
      <c r="A376" s="163">
        <v>369</v>
      </c>
      <c r="B376" s="53" t="s">
        <v>7</v>
      </c>
      <c r="C376" s="53" t="s">
        <v>290</v>
      </c>
      <c r="D376" s="53">
        <v>300006006</v>
      </c>
      <c r="E376" s="55" t="s">
        <v>291</v>
      </c>
      <c r="F376" s="129">
        <v>100</v>
      </c>
      <c r="G376" s="129">
        <v>11200</v>
      </c>
      <c r="H376" s="512">
        <v>51.98</v>
      </c>
      <c r="I376" s="265" t="s">
        <v>76</v>
      </c>
      <c r="J376" s="265" t="s">
        <v>77</v>
      </c>
      <c r="K376" s="265">
        <v>0</v>
      </c>
      <c r="L376" s="348" t="s">
        <v>1205</v>
      </c>
      <c r="M376" s="265">
        <v>0</v>
      </c>
      <c r="N376" s="347">
        <v>0.40799999999999997</v>
      </c>
      <c r="O376" s="348" t="s">
        <v>1205</v>
      </c>
      <c r="P376" s="348" t="s">
        <v>1205</v>
      </c>
      <c r="Q376" s="348" t="s">
        <v>1205</v>
      </c>
    </row>
    <row r="377" spans="1:17" ht="15" hidden="1" customHeight="1">
      <c r="A377" s="163">
        <v>370</v>
      </c>
      <c r="B377" s="53" t="s">
        <v>7</v>
      </c>
      <c r="C377" s="53" t="s">
        <v>292</v>
      </c>
      <c r="D377" s="53">
        <v>300006008</v>
      </c>
      <c r="E377" s="55" t="s">
        <v>293</v>
      </c>
      <c r="F377" s="129">
        <v>25</v>
      </c>
      <c r="G377" s="129">
        <v>800</v>
      </c>
      <c r="H377" s="512">
        <v>119.28</v>
      </c>
      <c r="I377" s="265" t="s">
        <v>76</v>
      </c>
      <c r="J377" s="265" t="s">
        <v>77</v>
      </c>
      <c r="K377" s="265">
        <v>0</v>
      </c>
      <c r="L377" s="348" t="s">
        <v>1205</v>
      </c>
      <c r="M377" s="265">
        <v>0</v>
      </c>
      <c r="N377" s="347">
        <v>0.57299999999999995</v>
      </c>
      <c r="O377" s="348" t="s">
        <v>1205</v>
      </c>
      <c r="P377" s="348" t="s">
        <v>1205</v>
      </c>
      <c r="Q377" s="348" t="s">
        <v>1205</v>
      </c>
    </row>
    <row r="378" spans="1:17" ht="15" hidden="1" customHeight="1">
      <c r="A378" s="163">
        <v>371</v>
      </c>
      <c r="B378" s="53" t="s">
        <v>7</v>
      </c>
      <c r="C378" s="53" t="s">
        <v>294</v>
      </c>
      <c r="D378" s="53">
        <v>300006040</v>
      </c>
      <c r="E378" s="55" t="s">
        <v>295</v>
      </c>
      <c r="F378" s="129">
        <v>20</v>
      </c>
      <c r="G378" s="129">
        <v>2700</v>
      </c>
      <c r="H378" s="512">
        <v>281.72000000000003</v>
      </c>
      <c r="I378" s="265" t="s">
        <v>76</v>
      </c>
      <c r="J378" s="265" t="s">
        <v>77</v>
      </c>
      <c r="K378" s="265">
        <v>0</v>
      </c>
      <c r="L378" s="348" t="s">
        <v>1205</v>
      </c>
      <c r="M378" s="265">
        <v>0</v>
      </c>
      <c r="N378" s="347">
        <v>0.441</v>
      </c>
      <c r="O378" s="348" t="s">
        <v>1205</v>
      </c>
      <c r="P378" s="348" t="s">
        <v>1205</v>
      </c>
      <c r="Q378" s="348" t="s">
        <v>1205</v>
      </c>
    </row>
    <row r="379" spans="1:17" ht="15" hidden="1" customHeight="1">
      <c r="A379" s="163">
        <v>372</v>
      </c>
      <c r="B379" s="53" t="s">
        <v>7</v>
      </c>
      <c r="C379" s="53" t="s">
        <v>296</v>
      </c>
      <c r="D379" s="53">
        <v>300006009</v>
      </c>
      <c r="E379" s="55" t="s">
        <v>297</v>
      </c>
      <c r="F379" s="129">
        <v>25</v>
      </c>
      <c r="G379" s="129">
        <v>800</v>
      </c>
      <c r="H379" s="512">
        <v>160.55000000000001</v>
      </c>
      <c r="I379" s="265" t="s">
        <v>76</v>
      </c>
      <c r="J379" s="265" t="s">
        <v>77</v>
      </c>
      <c r="K379" s="265">
        <v>0</v>
      </c>
      <c r="L379" s="348" t="s">
        <v>1205</v>
      </c>
      <c r="M379" s="265">
        <v>0</v>
      </c>
      <c r="N379" s="347">
        <v>0.54</v>
      </c>
      <c r="O379" s="348" t="s">
        <v>1205</v>
      </c>
      <c r="P379" s="348" t="s">
        <v>1205</v>
      </c>
      <c r="Q379" s="348" t="s">
        <v>1205</v>
      </c>
    </row>
    <row r="380" spans="1:17" ht="15" hidden="1" customHeight="1">
      <c r="A380" s="163">
        <v>373</v>
      </c>
      <c r="B380" s="53" t="s">
        <v>7</v>
      </c>
      <c r="C380" s="53" t="s">
        <v>298</v>
      </c>
      <c r="D380" s="53">
        <v>300006010</v>
      </c>
      <c r="E380" s="55" t="s">
        <v>299</v>
      </c>
      <c r="F380" s="129">
        <v>25</v>
      </c>
      <c r="G380" s="129">
        <v>1200</v>
      </c>
      <c r="H380" s="512">
        <v>102.38</v>
      </c>
      <c r="I380" s="265" t="s">
        <v>76</v>
      </c>
      <c r="J380" s="265" t="s">
        <v>77</v>
      </c>
      <c r="K380" s="265">
        <v>0</v>
      </c>
      <c r="L380" s="348" t="s">
        <v>1205</v>
      </c>
      <c r="M380" s="265">
        <v>0</v>
      </c>
      <c r="N380" s="347">
        <v>0.377</v>
      </c>
      <c r="O380" s="348" t="s">
        <v>1205</v>
      </c>
      <c r="P380" s="348" t="s">
        <v>1205</v>
      </c>
      <c r="Q380" s="348" t="s">
        <v>1205</v>
      </c>
    </row>
    <row r="381" spans="1:17" ht="15" hidden="1" customHeight="1">
      <c r="A381" s="163">
        <v>374</v>
      </c>
      <c r="B381" s="53" t="s">
        <v>7</v>
      </c>
      <c r="C381" s="53" t="s">
        <v>300</v>
      </c>
      <c r="D381" s="53">
        <v>300006011</v>
      </c>
      <c r="E381" s="55" t="s">
        <v>301</v>
      </c>
      <c r="F381" s="129">
        <v>20</v>
      </c>
      <c r="G381" s="129">
        <v>540</v>
      </c>
      <c r="H381" s="512">
        <v>124.22</v>
      </c>
      <c r="I381" s="265" t="s">
        <v>76</v>
      </c>
      <c r="J381" s="265" t="s">
        <v>77</v>
      </c>
      <c r="K381" s="265">
        <v>0</v>
      </c>
      <c r="L381" s="348" t="s">
        <v>1205</v>
      </c>
      <c r="M381" s="265">
        <v>0</v>
      </c>
      <c r="N381" s="347">
        <v>0.57299999999999995</v>
      </c>
      <c r="O381" s="348" t="s">
        <v>1205</v>
      </c>
      <c r="P381" s="348" t="s">
        <v>1205</v>
      </c>
      <c r="Q381" s="348" t="s">
        <v>1205</v>
      </c>
    </row>
    <row r="382" spans="1:17" ht="15" hidden="1" customHeight="1">
      <c r="A382" s="163">
        <v>375</v>
      </c>
      <c r="B382" s="53" t="s">
        <v>7</v>
      </c>
      <c r="C382" s="53" t="s">
        <v>302</v>
      </c>
      <c r="D382" s="53">
        <v>300006012</v>
      </c>
      <c r="E382" s="55" t="s">
        <v>303</v>
      </c>
      <c r="F382" s="129">
        <v>40</v>
      </c>
      <c r="G382" s="129">
        <v>1280</v>
      </c>
      <c r="H382" s="512">
        <v>154.46</v>
      </c>
      <c r="I382" s="265" t="s">
        <v>76</v>
      </c>
      <c r="J382" s="265" t="s">
        <v>77</v>
      </c>
      <c r="K382" s="265">
        <v>0</v>
      </c>
      <c r="L382" s="348" t="s">
        <v>1205</v>
      </c>
      <c r="M382" s="265">
        <v>0</v>
      </c>
      <c r="N382" s="347">
        <v>0.42099999999999999</v>
      </c>
      <c r="O382" s="348" t="s">
        <v>1205</v>
      </c>
      <c r="P382" s="348" t="s">
        <v>1205</v>
      </c>
      <c r="Q382" s="348" t="s">
        <v>1205</v>
      </c>
    </row>
    <row r="383" spans="1:17" ht="15" hidden="1" customHeight="1">
      <c r="A383" s="163">
        <v>376</v>
      </c>
      <c r="B383" s="53" t="s">
        <v>7</v>
      </c>
      <c r="C383" s="53" t="s">
        <v>304</v>
      </c>
      <c r="D383" s="53">
        <v>300006013</v>
      </c>
      <c r="E383" s="55" t="s">
        <v>305</v>
      </c>
      <c r="F383" s="129">
        <v>20</v>
      </c>
      <c r="G383" s="129">
        <v>640</v>
      </c>
      <c r="H383" s="512">
        <v>441.63</v>
      </c>
      <c r="I383" s="265" t="s">
        <v>76</v>
      </c>
      <c r="J383" s="265" t="s">
        <v>77</v>
      </c>
      <c r="K383" s="265">
        <v>0</v>
      </c>
      <c r="L383" s="348" t="s">
        <v>1205</v>
      </c>
      <c r="M383" s="265">
        <v>0</v>
      </c>
      <c r="N383" s="347">
        <v>0.61699999999999999</v>
      </c>
      <c r="O383" s="348" t="s">
        <v>1205</v>
      </c>
      <c r="P383" s="348" t="s">
        <v>1205</v>
      </c>
      <c r="Q383" s="348" t="s">
        <v>1205</v>
      </c>
    </row>
    <row r="384" spans="1:17" ht="15" hidden="1" customHeight="1">
      <c r="A384" s="163">
        <v>377</v>
      </c>
      <c r="B384" s="53" t="s">
        <v>7</v>
      </c>
      <c r="C384" s="53" t="s">
        <v>306</v>
      </c>
      <c r="D384" s="53">
        <v>300006014</v>
      </c>
      <c r="E384" s="55" t="s">
        <v>307</v>
      </c>
      <c r="F384" s="129">
        <v>25</v>
      </c>
      <c r="G384" s="129">
        <v>1100</v>
      </c>
      <c r="H384" s="512">
        <v>137.66</v>
      </c>
      <c r="I384" s="265" t="s">
        <v>76</v>
      </c>
      <c r="J384" s="265" t="s">
        <v>77</v>
      </c>
      <c r="K384" s="265">
        <v>0</v>
      </c>
      <c r="L384" s="348" t="s">
        <v>1205</v>
      </c>
      <c r="M384" s="265">
        <v>0</v>
      </c>
      <c r="N384" s="347">
        <v>0.55300000000000005</v>
      </c>
      <c r="O384" s="348" t="s">
        <v>1205</v>
      </c>
      <c r="P384" s="348" t="s">
        <v>1205</v>
      </c>
      <c r="Q384" s="348" t="s">
        <v>1205</v>
      </c>
    </row>
    <row r="385" spans="1:17" ht="15" hidden="1" customHeight="1">
      <c r="A385" s="163">
        <v>378</v>
      </c>
      <c r="B385" s="53" t="s">
        <v>7</v>
      </c>
      <c r="C385" s="53" t="s">
        <v>308</v>
      </c>
      <c r="D385" s="53">
        <v>300006015</v>
      </c>
      <c r="E385" s="55" t="s">
        <v>309</v>
      </c>
      <c r="F385" s="129">
        <v>20</v>
      </c>
      <c r="G385" s="129">
        <v>640</v>
      </c>
      <c r="H385" s="512">
        <v>251.79</v>
      </c>
      <c r="I385" s="265" t="s">
        <v>76</v>
      </c>
      <c r="J385" s="265" t="s">
        <v>77</v>
      </c>
      <c r="K385" s="265">
        <v>0</v>
      </c>
      <c r="L385" s="348" t="s">
        <v>1205</v>
      </c>
      <c r="M385" s="265">
        <v>0</v>
      </c>
      <c r="N385" s="347">
        <v>0.76100000000000001</v>
      </c>
      <c r="O385" s="348" t="s">
        <v>1205</v>
      </c>
      <c r="P385" s="348" t="s">
        <v>1205</v>
      </c>
      <c r="Q385" s="348" t="s">
        <v>1205</v>
      </c>
    </row>
    <row r="386" spans="1:17" ht="15" hidden="1" customHeight="1">
      <c r="A386" s="163">
        <v>379</v>
      </c>
      <c r="B386" s="53" t="s">
        <v>7</v>
      </c>
      <c r="C386" s="53" t="s">
        <v>310</v>
      </c>
      <c r="D386" s="53">
        <v>300006016</v>
      </c>
      <c r="E386" s="55" t="s">
        <v>311</v>
      </c>
      <c r="F386" s="129">
        <v>10</v>
      </c>
      <c r="G386" s="129">
        <v>5390</v>
      </c>
      <c r="H386" s="512">
        <v>50.82</v>
      </c>
      <c r="I386" s="265" t="s">
        <v>76</v>
      </c>
      <c r="J386" s="265" t="s">
        <v>77</v>
      </c>
      <c r="K386" s="265">
        <v>0</v>
      </c>
      <c r="L386" s="348" t="s">
        <v>1205</v>
      </c>
      <c r="M386" s="265">
        <v>0</v>
      </c>
      <c r="N386" s="347">
        <v>5.8999999999999997E-2</v>
      </c>
      <c r="O386" s="348" t="s">
        <v>1205</v>
      </c>
      <c r="P386" s="348" t="s">
        <v>1205</v>
      </c>
      <c r="Q386" s="348" t="s">
        <v>1205</v>
      </c>
    </row>
    <row r="387" spans="1:17" ht="15" hidden="1" customHeight="1">
      <c r="A387" s="163">
        <v>380</v>
      </c>
      <c r="B387" s="53" t="s">
        <v>7</v>
      </c>
      <c r="C387" s="53" t="s">
        <v>312</v>
      </c>
      <c r="D387" s="53">
        <v>300006017</v>
      </c>
      <c r="E387" s="55" t="s">
        <v>313</v>
      </c>
      <c r="F387" s="129">
        <v>5</v>
      </c>
      <c r="G387" s="129">
        <v>4200</v>
      </c>
      <c r="H387" s="512">
        <v>70.25</v>
      </c>
      <c r="I387" s="265" t="s">
        <v>76</v>
      </c>
      <c r="J387" s="265" t="s">
        <v>77</v>
      </c>
      <c r="K387" s="265">
        <v>0</v>
      </c>
      <c r="L387" s="348" t="s">
        <v>1205</v>
      </c>
      <c r="M387" s="265">
        <v>0</v>
      </c>
      <c r="N387" s="347">
        <v>8.8999999999999996E-2</v>
      </c>
      <c r="O387" s="348" t="s">
        <v>1205</v>
      </c>
      <c r="P387" s="348" t="s">
        <v>1205</v>
      </c>
      <c r="Q387" s="348" t="s">
        <v>1205</v>
      </c>
    </row>
    <row r="388" spans="1:17" ht="15" hidden="1" customHeight="1">
      <c r="A388" s="163">
        <v>381</v>
      </c>
      <c r="B388" s="53" t="s">
        <v>7</v>
      </c>
      <c r="C388" s="53" t="s">
        <v>314</v>
      </c>
      <c r="D388" s="53">
        <v>300006018</v>
      </c>
      <c r="E388" s="55" t="s">
        <v>315</v>
      </c>
      <c r="F388" s="129">
        <v>10</v>
      </c>
      <c r="G388" s="129">
        <v>1800</v>
      </c>
      <c r="H388" s="512">
        <v>145.22</v>
      </c>
      <c r="I388" s="265" t="s">
        <v>76</v>
      </c>
      <c r="J388" s="265" t="s">
        <v>77</v>
      </c>
      <c r="K388" s="265">
        <v>0</v>
      </c>
      <c r="L388" s="348" t="s">
        <v>1205</v>
      </c>
      <c r="M388" s="265">
        <v>0</v>
      </c>
      <c r="N388" s="347">
        <v>0.29899999999999999</v>
      </c>
      <c r="O388" s="348" t="s">
        <v>1205</v>
      </c>
      <c r="P388" s="348" t="s">
        <v>1205</v>
      </c>
      <c r="Q388" s="348" t="s">
        <v>1205</v>
      </c>
    </row>
    <row r="389" spans="1:17" ht="15" hidden="1" customHeight="1">
      <c r="A389" s="163">
        <v>382</v>
      </c>
      <c r="B389" s="53" t="s">
        <v>7</v>
      </c>
      <c r="C389" s="53" t="s">
        <v>316</v>
      </c>
      <c r="D389" s="53">
        <v>300006019</v>
      </c>
      <c r="E389" s="55" t="s">
        <v>317</v>
      </c>
      <c r="F389" s="129">
        <v>20</v>
      </c>
      <c r="G389" s="129">
        <v>720</v>
      </c>
      <c r="H389" s="512">
        <v>141.96</v>
      </c>
      <c r="I389" s="265" t="s">
        <v>76</v>
      </c>
      <c r="J389" s="265" t="s">
        <v>77</v>
      </c>
      <c r="K389" s="265">
        <v>0</v>
      </c>
      <c r="L389" s="348" t="s">
        <v>1205</v>
      </c>
      <c r="M389" s="265">
        <v>0</v>
      </c>
      <c r="N389" s="347">
        <v>0.51200000000000001</v>
      </c>
      <c r="O389" s="348" t="s">
        <v>1205</v>
      </c>
      <c r="P389" s="348" t="s">
        <v>1205</v>
      </c>
      <c r="Q389" s="348" t="s">
        <v>1205</v>
      </c>
    </row>
    <row r="390" spans="1:17" ht="15" hidden="1" customHeight="1">
      <c r="A390" s="163">
        <v>383</v>
      </c>
      <c r="B390" s="53" t="s">
        <v>7</v>
      </c>
      <c r="C390" s="53" t="s">
        <v>318</v>
      </c>
      <c r="D390" s="53">
        <v>300006020</v>
      </c>
      <c r="E390" s="55" t="s">
        <v>319</v>
      </c>
      <c r="F390" s="129">
        <v>50</v>
      </c>
      <c r="G390" s="129">
        <v>12800</v>
      </c>
      <c r="H390" s="512">
        <v>21.74</v>
      </c>
      <c r="I390" s="265" t="s">
        <v>76</v>
      </c>
      <c r="J390" s="265" t="s">
        <v>77</v>
      </c>
      <c r="K390" s="265">
        <v>0</v>
      </c>
      <c r="L390" s="348" t="s">
        <v>1205</v>
      </c>
      <c r="M390" s="265">
        <v>0</v>
      </c>
      <c r="N390" s="347">
        <v>4.5999999999999999E-2</v>
      </c>
      <c r="O390" s="348" t="s">
        <v>1205</v>
      </c>
      <c r="P390" s="348" t="s">
        <v>1205</v>
      </c>
      <c r="Q390" s="348" t="s">
        <v>1205</v>
      </c>
    </row>
    <row r="391" spans="1:17" ht="15" hidden="1" customHeight="1">
      <c r="A391" s="163">
        <v>384</v>
      </c>
      <c r="B391" s="53" t="s">
        <v>7</v>
      </c>
      <c r="C391" s="53" t="s">
        <v>320</v>
      </c>
      <c r="D391" s="53">
        <v>300006021</v>
      </c>
      <c r="E391" s="55" t="s">
        <v>321</v>
      </c>
      <c r="F391" s="129">
        <v>50</v>
      </c>
      <c r="G391" s="129">
        <v>8400</v>
      </c>
      <c r="H391" s="512">
        <v>23.73</v>
      </c>
      <c r="I391" s="265" t="s">
        <v>76</v>
      </c>
      <c r="J391" s="265" t="s">
        <v>77</v>
      </c>
      <c r="K391" s="265">
        <v>0</v>
      </c>
      <c r="L391" s="348" t="s">
        <v>1205</v>
      </c>
      <c r="M391" s="265">
        <v>0</v>
      </c>
      <c r="N391" s="347">
        <v>1</v>
      </c>
      <c r="O391" s="348" t="s">
        <v>1205</v>
      </c>
      <c r="P391" s="348" t="s">
        <v>1205</v>
      </c>
      <c r="Q391" s="348" t="s">
        <v>1205</v>
      </c>
    </row>
    <row r="392" spans="1:17" ht="15" hidden="1" customHeight="1">
      <c r="A392" s="163">
        <v>385</v>
      </c>
      <c r="B392" s="53" t="s">
        <v>7</v>
      </c>
      <c r="C392" s="53" t="s">
        <v>322</v>
      </c>
      <c r="D392" s="53">
        <v>300006022</v>
      </c>
      <c r="E392" s="55" t="s">
        <v>323</v>
      </c>
      <c r="F392" s="129">
        <v>25</v>
      </c>
      <c r="G392" s="129">
        <v>2400</v>
      </c>
      <c r="H392" s="512">
        <v>38.64</v>
      </c>
      <c r="I392" s="265" t="s">
        <v>76</v>
      </c>
      <c r="J392" s="265" t="s">
        <v>77</v>
      </c>
      <c r="K392" s="265">
        <v>0</v>
      </c>
      <c r="L392" s="348" t="s">
        <v>1205</v>
      </c>
      <c r="M392" s="265">
        <v>0</v>
      </c>
      <c r="N392" s="347">
        <v>0.16800000000000001</v>
      </c>
      <c r="O392" s="348" t="s">
        <v>1205</v>
      </c>
      <c r="P392" s="348" t="s">
        <v>1205</v>
      </c>
      <c r="Q392" s="348" t="s">
        <v>1205</v>
      </c>
    </row>
    <row r="393" spans="1:17" ht="15" hidden="1" customHeight="1">
      <c r="A393" s="163">
        <v>386</v>
      </c>
      <c r="B393" s="53" t="s">
        <v>7</v>
      </c>
      <c r="C393" s="53" t="s">
        <v>324</v>
      </c>
      <c r="D393" s="53">
        <v>300006023</v>
      </c>
      <c r="E393" s="55" t="s">
        <v>325</v>
      </c>
      <c r="F393" s="129">
        <v>30</v>
      </c>
      <c r="G393" s="129">
        <v>1920</v>
      </c>
      <c r="H393" s="512">
        <v>66.989999999999995</v>
      </c>
      <c r="I393" s="265" t="s">
        <v>76</v>
      </c>
      <c r="J393" s="265" t="s">
        <v>77</v>
      </c>
      <c r="K393" s="265">
        <v>0</v>
      </c>
      <c r="L393" s="348" t="s">
        <v>1205</v>
      </c>
      <c r="M393" s="265">
        <v>0</v>
      </c>
      <c r="N393" s="347">
        <v>0.315</v>
      </c>
      <c r="O393" s="348" t="s">
        <v>1205</v>
      </c>
      <c r="P393" s="348" t="s">
        <v>1205</v>
      </c>
      <c r="Q393" s="348" t="s">
        <v>1205</v>
      </c>
    </row>
    <row r="394" spans="1:17" ht="15" hidden="1" customHeight="1">
      <c r="A394" s="163">
        <v>387</v>
      </c>
      <c r="B394" s="53" t="s">
        <v>10</v>
      </c>
      <c r="C394" s="53" t="s">
        <v>8033</v>
      </c>
      <c r="D394" s="53">
        <v>100022286</v>
      </c>
      <c r="E394" s="55" t="s">
        <v>8034</v>
      </c>
      <c r="F394" s="129">
        <v>150</v>
      </c>
      <c r="G394" s="129">
        <v>13500</v>
      </c>
      <c r="H394" s="512">
        <v>1.96</v>
      </c>
      <c r="I394" s="265" t="s">
        <v>76</v>
      </c>
      <c r="J394" s="265" t="s">
        <v>102</v>
      </c>
      <c r="K394" s="265" t="s">
        <v>8035</v>
      </c>
      <c r="L394" s="265" t="s">
        <v>8036</v>
      </c>
      <c r="M394" s="265" t="s">
        <v>8037</v>
      </c>
      <c r="N394" s="347">
        <v>7.1999999999999995E-2</v>
      </c>
      <c r="O394" s="348">
        <v>10</v>
      </c>
      <c r="P394" s="348">
        <v>12.28</v>
      </c>
      <c r="Q394" s="348">
        <v>0.8</v>
      </c>
    </row>
    <row r="395" spans="1:17" ht="15" hidden="1" customHeight="1">
      <c r="A395" s="163">
        <v>388</v>
      </c>
      <c r="B395" s="53" t="s">
        <v>10</v>
      </c>
      <c r="C395" s="53" t="s">
        <v>8038</v>
      </c>
      <c r="D395" s="53">
        <v>100022288</v>
      </c>
      <c r="E395" s="55" t="s">
        <v>8039</v>
      </c>
      <c r="F395" s="129">
        <v>100</v>
      </c>
      <c r="G395" s="129">
        <v>9000</v>
      </c>
      <c r="H395" s="512">
        <v>2.29</v>
      </c>
      <c r="I395" s="265" t="s">
        <v>76</v>
      </c>
      <c r="J395" s="265" t="s">
        <v>102</v>
      </c>
      <c r="K395" s="265" t="s">
        <v>8040</v>
      </c>
      <c r="L395" s="265" t="s">
        <v>8041</v>
      </c>
      <c r="M395" s="265" t="s">
        <v>8042</v>
      </c>
      <c r="N395" s="347">
        <v>0.113</v>
      </c>
      <c r="O395" s="348">
        <v>10</v>
      </c>
      <c r="P395" s="348">
        <v>11.68</v>
      </c>
      <c r="Q395" s="348">
        <v>0.8</v>
      </c>
    </row>
    <row r="396" spans="1:17" ht="15" hidden="1" customHeight="1">
      <c r="A396" s="163">
        <v>389</v>
      </c>
      <c r="B396" s="53" t="s">
        <v>10</v>
      </c>
      <c r="C396" s="53" t="s">
        <v>8043</v>
      </c>
      <c r="D396" s="53">
        <v>100022291</v>
      </c>
      <c r="E396" s="55" t="s">
        <v>8044</v>
      </c>
      <c r="F396" s="129">
        <v>50</v>
      </c>
      <c r="G396" s="129">
        <v>4500</v>
      </c>
      <c r="H396" s="512">
        <v>4.25</v>
      </c>
      <c r="I396" s="265" t="s">
        <v>76</v>
      </c>
      <c r="J396" s="265" t="s">
        <v>102</v>
      </c>
      <c r="K396" s="265" t="s">
        <v>8045</v>
      </c>
      <c r="L396" s="265" t="s">
        <v>8046</v>
      </c>
      <c r="M396" s="265" t="s">
        <v>8047</v>
      </c>
      <c r="N396" s="347">
        <v>0.13600000000000001</v>
      </c>
      <c r="O396" s="348">
        <v>10</v>
      </c>
      <c r="P396" s="348">
        <v>7.37</v>
      </c>
      <c r="Q396" s="348">
        <v>0.8</v>
      </c>
    </row>
    <row r="397" spans="1:17" ht="15" hidden="1" customHeight="1">
      <c r="A397" s="163">
        <v>390</v>
      </c>
      <c r="B397" s="53" t="s">
        <v>10</v>
      </c>
      <c r="C397" s="53" t="s">
        <v>8048</v>
      </c>
      <c r="D397" s="53">
        <v>100022295</v>
      </c>
      <c r="E397" s="55" t="s">
        <v>8049</v>
      </c>
      <c r="F397" s="129">
        <v>25</v>
      </c>
      <c r="G397" s="129">
        <v>2250</v>
      </c>
      <c r="H397" s="512">
        <v>8.06</v>
      </c>
      <c r="I397" s="265" t="s">
        <v>76</v>
      </c>
      <c r="J397" s="265" t="s">
        <v>102</v>
      </c>
      <c r="K397" s="265" t="s">
        <v>8050</v>
      </c>
      <c r="L397" s="265">
        <v>0</v>
      </c>
      <c r="M397" s="265" t="s">
        <v>8051</v>
      </c>
      <c r="N397" s="347">
        <v>0.374</v>
      </c>
      <c r="O397" s="348">
        <v>1</v>
      </c>
      <c r="P397" s="348">
        <v>9.83</v>
      </c>
      <c r="Q397" s="348">
        <v>0.8</v>
      </c>
    </row>
    <row r="398" spans="1:17" ht="15" hidden="1" customHeight="1">
      <c r="A398" s="163">
        <v>391</v>
      </c>
      <c r="B398" s="53" t="s">
        <v>10</v>
      </c>
      <c r="C398" s="53" t="s">
        <v>8052</v>
      </c>
      <c r="D398" s="53">
        <v>100022297</v>
      </c>
      <c r="E398" s="55" t="s">
        <v>8053</v>
      </c>
      <c r="F398" s="129">
        <v>15</v>
      </c>
      <c r="G398" s="129">
        <v>1350</v>
      </c>
      <c r="H398" s="512">
        <v>11.75</v>
      </c>
      <c r="I398" s="265" t="s">
        <v>76</v>
      </c>
      <c r="J398" s="265" t="s">
        <v>102</v>
      </c>
      <c r="K398" s="265" t="s">
        <v>8054</v>
      </c>
      <c r="L398" s="348" t="s">
        <v>1205</v>
      </c>
      <c r="M398" s="265" t="s">
        <v>8055</v>
      </c>
      <c r="N398" s="347">
        <v>0.60699999999999998</v>
      </c>
      <c r="O398" s="348" t="s">
        <v>1205</v>
      </c>
      <c r="P398" s="348">
        <v>8.84</v>
      </c>
      <c r="Q398" s="348">
        <v>0.8</v>
      </c>
    </row>
    <row r="399" spans="1:17" ht="15" hidden="1" customHeight="1">
      <c r="A399" s="163">
        <v>392</v>
      </c>
      <c r="B399" s="53" t="s">
        <v>10</v>
      </c>
      <c r="C399" s="53" t="s">
        <v>8056</v>
      </c>
      <c r="D399" s="53">
        <v>100022299</v>
      </c>
      <c r="E399" s="55" t="s">
        <v>8057</v>
      </c>
      <c r="F399" s="129">
        <v>8</v>
      </c>
      <c r="G399" s="129">
        <v>720</v>
      </c>
      <c r="H399" s="512">
        <v>38.71</v>
      </c>
      <c r="I399" s="265" t="s">
        <v>76</v>
      </c>
      <c r="J399" s="265" t="s">
        <v>102</v>
      </c>
      <c r="K399" s="265" t="s">
        <v>8058</v>
      </c>
      <c r="L399" s="348" t="s">
        <v>1205</v>
      </c>
      <c r="M399" s="265" t="s">
        <v>8059</v>
      </c>
      <c r="N399" s="347">
        <v>0.99399999999999999</v>
      </c>
      <c r="O399" s="348" t="s">
        <v>1205</v>
      </c>
      <c r="P399" s="348">
        <v>8.85</v>
      </c>
      <c r="Q399" s="348">
        <v>0.8</v>
      </c>
    </row>
    <row r="400" spans="1:17" ht="15" hidden="1" customHeight="1">
      <c r="A400" s="163">
        <v>393</v>
      </c>
      <c r="B400" s="53" t="s">
        <v>10</v>
      </c>
      <c r="C400" s="53" t="s">
        <v>8060</v>
      </c>
      <c r="D400" s="53">
        <v>100022301</v>
      </c>
      <c r="E400" s="55" t="s">
        <v>8061</v>
      </c>
      <c r="F400" s="129">
        <v>5</v>
      </c>
      <c r="G400" s="129">
        <v>600</v>
      </c>
      <c r="H400" s="512">
        <v>50.86</v>
      </c>
      <c r="I400" s="265" t="s">
        <v>76</v>
      </c>
      <c r="J400" s="265" t="s">
        <v>102</v>
      </c>
      <c r="K400" s="265" t="s">
        <v>8062</v>
      </c>
      <c r="L400" s="348" t="s">
        <v>1205</v>
      </c>
      <c r="M400" s="265" t="s">
        <v>8063</v>
      </c>
      <c r="N400" s="347">
        <v>1.417</v>
      </c>
      <c r="O400" s="348" t="s">
        <v>1205</v>
      </c>
      <c r="P400" s="348">
        <v>7.71</v>
      </c>
      <c r="Q400" s="348">
        <v>0.65</v>
      </c>
    </row>
    <row r="401" spans="1:17" ht="15" hidden="1" customHeight="1">
      <c r="A401" s="163">
        <v>394</v>
      </c>
      <c r="B401" s="53" t="s">
        <v>10</v>
      </c>
      <c r="C401" s="53" t="s">
        <v>8064</v>
      </c>
      <c r="D401" s="53">
        <v>100022303</v>
      </c>
      <c r="E401" s="55" t="s">
        <v>8065</v>
      </c>
      <c r="F401" s="129">
        <v>3</v>
      </c>
      <c r="G401" s="129">
        <v>270</v>
      </c>
      <c r="H401" s="512">
        <v>92.07</v>
      </c>
      <c r="I401" s="265" t="s">
        <v>76</v>
      </c>
      <c r="J401" s="265" t="s">
        <v>102</v>
      </c>
      <c r="K401" s="265" t="s">
        <v>8066</v>
      </c>
      <c r="L401" s="348" t="s">
        <v>1205</v>
      </c>
      <c r="M401" s="265" t="s">
        <v>8067</v>
      </c>
      <c r="N401" s="347">
        <v>2.298</v>
      </c>
      <c r="O401" s="348" t="s">
        <v>1205</v>
      </c>
      <c r="P401" s="348">
        <v>8.15</v>
      </c>
      <c r="Q401" s="348">
        <v>0.8</v>
      </c>
    </row>
    <row r="402" spans="1:17" ht="15" hidden="1" customHeight="1">
      <c r="A402" s="163">
        <v>395</v>
      </c>
      <c r="B402" s="53" t="s">
        <v>10</v>
      </c>
      <c r="C402" s="53" t="s">
        <v>8068</v>
      </c>
      <c r="D402" s="53">
        <v>100022305</v>
      </c>
      <c r="E402" s="55" t="s">
        <v>8069</v>
      </c>
      <c r="F402" s="129">
        <v>1</v>
      </c>
      <c r="G402" s="129">
        <v>90</v>
      </c>
      <c r="H402" s="512">
        <v>222.32</v>
      </c>
      <c r="I402" s="265" t="s">
        <v>359</v>
      </c>
      <c r="J402" s="265" t="s">
        <v>102</v>
      </c>
      <c r="K402" s="265" t="s">
        <v>8070</v>
      </c>
      <c r="L402" s="348" t="s">
        <v>1205</v>
      </c>
      <c r="M402" s="265" t="s">
        <v>8071</v>
      </c>
      <c r="N402" s="347">
        <v>5.8310000000000004</v>
      </c>
      <c r="O402" s="348" t="s">
        <v>1205</v>
      </c>
      <c r="P402" s="348">
        <v>5.83</v>
      </c>
      <c r="Q402" s="348">
        <v>0.8</v>
      </c>
    </row>
    <row r="403" spans="1:17" ht="15" hidden="1" customHeight="1">
      <c r="A403" s="163">
        <v>396</v>
      </c>
      <c r="B403" s="53" t="s">
        <v>10</v>
      </c>
      <c r="C403" s="53" t="s">
        <v>8072</v>
      </c>
      <c r="D403" s="53">
        <v>100022307</v>
      </c>
      <c r="E403" s="55" t="s">
        <v>8073</v>
      </c>
      <c r="F403" s="129">
        <v>1</v>
      </c>
      <c r="G403" s="129">
        <v>75</v>
      </c>
      <c r="H403" s="512">
        <v>309.88</v>
      </c>
      <c r="I403" s="265" t="s">
        <v>76</v>
      </c>
      <c r="J403" s="265" t="s">
        <v>102</v>
      </c>
      <c r="K403" s="265" t="s">
        <v>8074</v>
      </c>
      <c r="L403" s="348" t="s">
        <v>1205</v>
      </c>
      <c r="M403" s="265" t="s">
        <v>8075</v>
      </c>
      <c r="N403" s="347">
        <v>6.9569999999999999</v>
      </c>
      <c r="O403" s="348" t="s">
        <v>1205</v>
      </c>
      <c r="P403" s="348">
        <v>7.76</v>
      </c>
      <c r="Q403" s="348">
        <v>0.95</v>
      </c>
    </row>
    <row r="404" spans="1:17" ht="15" hidden="1" customHeight="1">
      <c r="A404" s="163">
        <v>397</v>
      </c>
      <c r="B404" s="53" t="s">
        <v>10</v>
      </c>
      <c r="C404" s="53" t="s">
        <v>8076</v>
      </c>
      <c r="D404" s="53">
        <v>100022311</v>
      </c>
      <c r="E404" s="55" t="s">
        <v>8077</v>
      </c>
      <c r="F404" s="129">
        <v>2</v>
      </c>
      <c r="G404" s="129">
        <v>36</v>
      </c>
      <c r="H404" s="512">
        <v>718.58</v>
      </c>
      <c r="I404" s="265" t="s">
        <v>76</v>
      </c>
      <c r="J404" s="265" t="s">
        <v>102</v>
      </c>
      <c r="K404" s="265" t="s">
        <v>8078</v>
      </c>
      <c r="L404" s="348" t="s">
        <v>1205</v>
      </c>
      <c r="M404" s="265" t="s">
        <v>8079</v>
      </c>
      <c r="N404" s="347">
        <v>13.36</v>
      </c>
      <c r="O404" s="348" t="s">
        <v>1205</v>
      </c>
      <c r="P404" s="348">
        <v>31.6</v>
      </c>
      <c r="Q404" s="348">
        <v>4.38</v>
      </c>
    </row>
    <row r="405" spans="1:17" ht="15" hidden="1" customHeight="1">
      <c r="A405" s="163">
        <v>398</v>
      </c>
      <c r="B405" s="53" t="s">
        <v>10</v>
      </c>
      <c r="C405" s="53" t="s">
        <v>8080</v>
      </c>
      <c r="D405" s="53">
        <v>100022315</v>
      </c>
      <c r="E405" s="55" t="s">
        <v>8081</v>
      </c>
      <c r="F405" s="129">
        <v>100</v>
      </c>
      <c r="G405" s="129">
        <v>12000</v>
      </c>
      <c r="H405" s="512">
        <v>2.65</v>
      </c>
      <c r="I405" s="265" t="s">
        <v>76</v>
      </c>
      <c r="J405" s="265" t="s">
        <v>102</v>
      </c>
      <c r="K405" s="265" t="s">
        <v>8082</v>
      </c>
      <c r="L405" s="265" t="s">
        <v>8083</v>
      </c>
      <c r="M405" s="265" t="s">
        <v>8084</v>
      </c>
      <c r="N405" s="347">
        <v>8.1000000000000003E-2</v>
      </c>
      <c r="O405" s="348">
        <v>10</v>
      </c>
      <c r="P405" s="348">
        <v>9.23</v>
      </c>
      <c r="Q405" s="348">
        <v>0.65</v>
      </c>
    </row>
    <row r="406" spans="1:17" ht="15" hidden="1" customHeight="1">
      <c r="A406" s="163">
        <v>399</v>
      </c>
      <c r="B406" s="53" t="s">
        <v>10</v>
      </c>
      <c r="C406" s="53" t="s">
        <v>8085</v>
      </c>
      <c r="D406" s="53">
        <v>100022316</v>
      </c>
      <c r="E406" s="55" t="s">
        <v>8086</v>
      </c>
      <c r="F406" s="129">
        <v>50</v>
      </c>
      <c r="G406" s="129">
        <v>6000</v>
      </c>
      <c r="H406" s="512">
        <v>7.54</v>
      </c>
      <c r="I406" s="265" t="s">
        <v>359</v>
      </c>
      <c r="J406" s="265" t="s">
        <v>102</v>
      </c>
      <c r="K406" s="265" t="s">
        <v>8087</v>
      </c>
      <c r="L406" s="265" t="s">
        <v>8088</v>
      </c>
      <c r="M406" s="265" t="s">
        <v>8089</v>
      </c>
      <c r="N406" s="347">
        <v>0.153</v>
      </c>
      <c r="O406" s="348">
        <v>10</v>
      </c>
      <c r="P406" s="348">
        <v>8.1999999999999993</v>
      </c>
      <c r="Q406" s="348">
        <v>0.65</v>
      </c>
    </row>
    <row r="407" spans="1:17" ht="15" hidden="1" customHeight="1">
      <c r="A407" s="163">
        <v>400</v>
      </c>
      <c r="B407" s="53" t="s">
        <v>10</v>
      </c>
      <c r="C407" s="53" t="s">
        <v>8090</v>
      </c>
      <c r="D407" s="53">
        <v>100022323</v>
      </c>
      <c r="E407" s="55" t="s">
        <v>8091</v>
      </c>
      <c r="F407" s="129">
        <v>50</v>
      </c>
      <c r="G407" s="129">
        <v>7500</v>
      </c>
      <c r="H407" s="512">
        <v>4.49</v>
      </c>
      <c r="I407" s="265" t="s">
        <v>76</v>
      </c>
      <c r="J407" s="265" t="s">
        <v>102</v>
      </c>
      <c r="K407" s="265" t="s">
        <v>8092</v>
      </c>
      <c r="L407" s="265" t="s">
        <v>8093</v>
      </c>
      <c r="M407" s="265" t="s">
        <v>8094</v>
      </c>
      <c r="N407" s="347">
        <v>0.13</v>
      </c>
      <c r="O407" s="348">
        <v>10</v>
      </c>
      <c r="P407" s="348">
        <v>7</v>
      </c>
      <c r="Q407" s="348">
        <v>0.5</v>
      </c>
    </row>
    <row r="408" spans="1:17" ht="15" hidden="1" customHeight="1">
      <c r="A408" s="163">
        <v>401</v>
      </c>
      <c r="B408" s="53" t="s">
        <v>10</v>
      </c>
      <c r="C408" s="53" t="s">
        <v>8095</v>
      </c>
      <c r="D408" s="53">
        <v>100022325</v>
      </c>
      <c r="E408" s="55" t="s">
        <v>8096</v>
      </c>
      <c r="F408" s="129">
        <v>50</v>
      </c>
      <c r="G408" s="129">
        <v>6000</v>
      </c>
      <c r="H408" s="512">
        <v>4.92</v>
      </c>
      <c r="I408" s="265" t="s">
        <v>76</v>
      </c>
      <c r="J408" s="265" t="s">
        <v>102</v>
      </c>
      <c r="K408" s="265" t="s">
        <v>8097</v>
      </c>
      <c r="L408" s="265" t="s">
        <v>8098</v>
      </c>
      <c r="M408" s="265" t="s">
        <v>8099</v>
      </c>
      <c r="N408" s="347">
        <v>0.157</v>
      </c>
      <c r="O408" s="348">
        <v>10</v>
      </c>
      <c r="P408" s="348">
        <v>9.23</v>
      </c>
      <c r="Q408" s="348">
        <v>0.65</v>
      </c>
    </row>
    <row r="409" spans="1:17" ht="15" hidden="1" customHeight="1">
      <c r="A409" s="163">
        <v>402</v>
      </c>
      <c r="B409" s="53" t="s">
        <v>10</v>
      </c>
      <c r="C409" s="53" t="s">
        <v>8100</v>
      </c>
      <c r="D409" s="53">
        <v>100022332</v>
      </c>
      <c r="E409" s="55" t="s">
        <v>8101</v>
      </c>
      <c r="F409" s="129">
        <v>50</v>
      </c>
      <c r="G409" s="129">
        <v>4500</v>
      </c>
      <c r="H409" s="512">
        <v>7.28</v>
      </c>
      <c r="I409" s="265" t="s">
        <v>76</v>
      </c>
      <c r="J409" s="265" t="s">
        <v>102</v>
      </c>
      <c r="K409" s="265" t="s">
        <v>8102</v>
      </c>
      <c r="L409" s="265" t="s">
        <v>8103</v>
      </c>
      <c r="M409" s="265" t="s">
        <v>8104</v>
      </c>
      <c r="N409" s="347">
        <v>0.20200000000000001</v>
      </c>
      <c r="O409" s="348">
        <v>10</v>
      </c>
      <c r="P409" s="348">
        <v>12.85</v>
      </c>
      <c r="Q409" s="348">
        <v>0.8</v>
      </c>
    </row>
    <row r="410" spans="1:17" ht="15" hidden="1" customHeight="1">
      <c r="A410" s="163">
        <v>403</v>
      </c>
      <c r="B410" s="53" t="s">
        <v>10</v>
      </c>
      <c r="C410" s="53" t="s">
        <v>8105</v>
      </c>
      <c r="D410" s="53">
        <v>100022334</v>
      </c>
      <c r="E410" s="55" t="s">
        <v>8106</v>
      </c>
      <c r="F410" s="129">
        <v>50</v>
      </c>
      <c r="G410" s="129">
        <v>4500</v>
      </c>
      <c r="H410" s="512">
        <v>7.28</v>
      </c>
      <c r="I410" s="265" t="s">
        <v>76</v>
      </c>
      <c r="J410" s="265" t="s">
        <v>102</v>
      </c>
      <c r="K410" s="265" t="s">
        <v>8107</v>
      </c>
      <c r="L410" s="265" t="s">
        <v>8108</v>
      </c>
      <c r="M410" s="265" t="s">
        <v>8109</v>
      </c>
      <c r="N410" s="347">
        <v>0.22600000000000001</v>
      </c>
      <c r="O410" s="348">
        <v>10</v>
      </c>
      <c r="P410" s="348">
        <v>11.85</v>
      </c>
      <c r="Q410" s="348">
        <v>0.8</v>
      </c>
    </row>
    <row r="411" spans="1:17" ht="15" hidden="1" customHeight="1">
      <c r="A411" s="163">
        <v>404</v>
      </c>
      <c r="B411" s="53" t="s">
        <v>10</v>
      </c>
      <c r="C411" s="53" t="s">
        <v>8110</v>
      </c>
      <c r="D411" s="53">
        <v>100022342</v>
      </c>
      <c r="E411" s="55" t="s">
        <v>8111</v>
      </c>
      <c r="F411" s="129">
        <v>25</v>
      </c>
      <c r="G411" s="129">
        <v>3000</v>
      </c>
      <c r="H411" s="512">
        <v>12.8</v>
      </c>
      <c r="I411" s="265" t="s">
        <v>76</v>
      </c>
      <c r="J411" s="265" t="s">
        <v>102</v>
      </c>
      <c r="K411" s="265" t="s">
        <v>8112</v>
      </c>
      <c r="L411" s="348" t="s">
        <v>1205</v>
      </c>
      <c r="M411" s="265" t="s">
        <v>8113</v>
      </c>
      <c r="N411" s="347">
        <v>0.27800000000000002</v>
      </c>
      <c r="O411" s="348" t="s">
        <v>1205</v>
      </c>
      <c r="P411" s="348">
        <v>7.45</v>
      </c>
      <c r="Q411" s="348">
        <v>0.65</v>
      </c>
    </row>
    <row r="412" spans="1:17" ht="15" hidden="1" customHeight="1">
      <c r="A412" s="163">
        <v>405</v>
      </c>
      <c r="B412" s="53" t="s">
        <v>10</v>
      </c>
      <c r="C412" s="53" t="s">
        <v>8114</v>
      </c>
      <c r="D412" s="53">
        <v>100022344</v>
      </c>
      <c r="E412" s="55" t="s">
        <v>8115</v>
      </c>
      <c r="F412" s="129">
        <v>25</v>
      </c>
      <c r="G412" s="129">
        <v>3000</v>
      </c>
      <c r="H412" s="512">
        <v>12.8</v>
      </c>
      <c r="I412" s="265" t="s">
        <v>76</v>
      </c>
      <c r="J412" s="265" t="s">
        <v>102</v>
      </c>
      <c r="K412" s="265" t="s">
        <v>8116</v>
      </c>
      <c r="L412" s="348" t="s">
        <v>1205</v>
      </c>
      <c r="M412" s="265" t="s">
        <v>8117</v>
      </c>
      <c r="N412" s="347">
        <v>0.27</v>
      </c>
      <c r="O412" s="348" t="s">
        <v>1205</v>
      </c>
      <c r="P412" s="348">
        <v>7.21</v>
      </c>
      <c r="Q412" s="348">
        <v>0.65</v>
      </c>
    </row>
    <row r="413" spans="1:17" ht="15" hidden="1" customHeight="1">
      <c r="A413" s="163">
        <v>406</v>
      </c>
      <c r="B413" s="53" t="s">
        <v>10</v>
      </c>
      <c r="C413" s="53" t="s">
        <v>8118</v>
      </c>
      <c r="D413" s="53">
        <v>100022346</v>
      </c>
      <c r="E413" s="55" t="s">
        <v>8119</v>
      </c>
      <c r="F413" s="129">
        <v>25</v>
      </c>
      <c r="G413" s="129">
        <v>3000</v>
      </c>
      <c r="H413" s="512">
        <v>12.8</v>
      </c>
      <c r="I413" s="265" t="s">
        <v>76</v>
      </c>
      <c r="J413" s="265" t="s">
        <v>102</v>
      </c>
      <c r="K413" s="265" t="s">
        <v>8120</v>
      </c>
      <c r="L413" s="348" t="s">
        <v>1205</v>
      </c>
      <c r="M413" s="265" t="s">
        <v>8121</v>
      </c>
      <c r="N413" s="347">
        <v>0.318</v>
      </c>
      <c r="O413" s="348" t="s">
        <v>1205</v>
      </c>
      <c r="P413" s="348">
        <v>8.35</v>
      </c>
      <c r="Q413" s="348">
        <v>0.65</v>
      </c>
    </row>
    <row r="414" spans="1:17" ht="15" hidden="1" customHeight="1">
      <c r="A414" s="163">
        <v>407</v>
      </c>
      <c r="B414" s="53" t="s">
        <v>10</v>
      </c>
      <c r="C414" s="53" t="s">
        <v>8122</v>
      </c>
      <c r="D414" s="53">
        <v>100022349</v>
      </c>
      <c r="E414" s="55" t="s">
        <v>8123</v>
      </c>
      <c r="F414" s="129">
        <v>20</v>
      </c>
      <c r="G414" s="129">
        <v>1800</v>
      </c>
      <c r="H414" s="512">
        <v>18.27</v>
      </c>
      <c r="I414" s="265" t="s">
        <v>76</v>
      </c>
      <c r="J414" s="265" t="s">
        <v>102</v>
      </c>
      <c r="K414" s="265" t="s">
        <v>8124</v>
      </c>
      <c r="L414" s="348" t="s">
        <v>1205</v>
      </c>
      <c r="M414" s="265" t="s">
        <v>8125</v>
      </c>
      <c r="N414" s="347">
        <v>0.40699999999999997</v>
      </c>
      <c r="O414" s="348" t="s">
        <v>1205</v>
      </c>
      <c r="P414" s="348">
        <v>8.7200000000000006</v>
      </c>
      <c r="Q414" s="348">
        <v>0.8</v>
      </c>
    </row>
    <row r="415" spans="1:17" ht="15" hidden="1" customHeight="1">
      <c r="A415" s="163">
        <v>408</v>
      </c>
      <c r="B415" s="53" t="s">
        <v>10</v>
      </c>
      <c r="C415" s="53" t="s">
        <v>8126</v>
      </c>
      <c r="D415" s="53">
        <v>100022352</v>
      </c>
      <c r="E415" s="55" t="s">
        <v>8127</v>
      </c>
      <c r="F415" s="129">
        <v>20</v>
      </c>
      <c r="G415" s="129">
        <v>1800</v>
      </c>
      <c r="H415" s="512">
        <v>12.56</v>
      </c>
      <c r="I415" s="265" t="s">
        <v>76</v>
      </c>
      <c r="J415" s="265" t="s">
        <v>102</v>
      </c>
      <c r="K415" s="265" t="s">
        <v>8128</v>
      </c>
      <c r="L415" s="348" t="s">
        <v>1205</v>
      </c>
      <c r="M415" s="265" t="s">
        <v>8129</v>
      </c>
      <c r="N415" s="347">
        <v>0.33</v>
      </c>
      <c r="O415" s="348" t="s">
        <v>1205</v>
      </c>
      <c r="P415" s="348">
        <v>7.18</v>
      </c>
      <c r="Q415" s="348">
        <v>0.8</v>
      </c>
    </row>
    <row r="416" spans="1:17" ht="15" hidden="1" customHeight="1">
      <c r="A416" s="163">
        <v>409</v>
      </c>
      <c r="B416" s="53" t="s">
        <v>10</v>
      </c>
      <c r="C416" s="53" t="s">
        <v>8130</v>
      </c>
      <c r="D416" s="53">
        <v>100022354</v>
      </c>
      <c r="E416" s="55" t="s">
        <v>8131</v>
      </c>
      <c r="F416" s="129">
        <v>20</v>
      </c>
      <c r="G416" s="129">
        <v>1800</v>
      </c>
      <c r="H416" s="512">
        <v>12.56</v>
      </c>
      <c r="I416" s="265" t="s">
        <v>76</v>
      </c>
      <c r="J416" s="265" t="s">
        <v>102</v>
      </c>
      <c r="K416" s="265" t="s">
        <v>8132</v>
      </c>
      <c r="L416" s="348" t="s">
        <v>1205</v>
      </c>
      <c r="M416" s="265" t="s">
        <v>8133</v>
      </c>
      <c r="N416" s="347">
        <v>0.36399999999999999</v>
      </c>
      <c r="O416" s="348" t="s">
        <v>1205</v>
      </c>
      <c r="P416" s="348">
        <v>8.07</v>
      </c>
      <c r="Q416" s="348">
        <v>0.8</v>
      </c>
    </row>
    <row r="417" spans="1:17" ht="15" hidden="1" customHeight="1">
      <c r="A417" s="163">
        <v>410</v>
      </c>
      <c r="B417" s="53" t="s">
        <v>10</v>
      </c>
      <c r="C417" s="53" t="s">
        <v>8134</v>
      </c>
      <c r="D417" s="53">
        <v>100027383</v>
      </c>
      <c r="E417" s="55" t="s">
        <v>8135</v>
      </c>
      <c r="F417" s="129">
        <v>15</v>
      </c>
      <c r="G417" s="129">
        <v>1350</v>
      </c>
      <c r="H417" s="512">
        <v>12.56</v>
      </c>
      <c r="I417" s="265" t="s">
        <v>76</v>
      </c>
      <c r="J417" s="265" t="s">
        <v>102</v>
      </c>
      <c r="K417" s="265" t="s">
        <v>8136</v>
      </c>
      <c r="L417" s="348" t="s">
        <v>1205</v>
      </c>
      <c r="M417" s="265" t="s">
        <v>8137</v>
      </c>
      <c r="N417" s="347">
        <v>0.42199999999999999</v>
      </c>
      <c r="O417" s="348" t="s">
        <v>1205</v>
      </c>
      <c r="P417" s="348">
        <v>6.9</v>
      </c>
      <c r="Q417" s="348">
        <v>0.8</v>
      </c>
    </row>
    <row r="418" spans="1:17" ht="15" hidden="1" customHeight="1">
      <c r="A418" s="163">
        <v>411</v>
      </c>
      <c r="B418" s="53" t="s">
        <v>10</v>
      </c>
      <c r="C418" s="53" t="s">
        <v>8138</v>
      </c>
      <c r="D418" s="53">
        <v>100022356</v>
      </c>
      <c r="E418" s="55" t="s">
        <v>8139</v>
      </c>
      <c r="F418" s="129">
        <v>10</v>
      </c>
      <c r="G418" s="129">
        <v>1200</v>
      </c>
      <c r="H418" s="512">
        <v>12.56</v>
      </c>
      <c r="I418" s="265" t="s">
        <v>76</v>
      </c>
      <c r="J418" s="265" t="s">
        <v>102</v>
      </c>
      <c r="K418" s="265" t="s">
        <v>8140</v>
      </c>
      <c r="L418" s="348" t="s">
        <v>1205</v>
      </c>
      <c r="M418" s="265" t="s">
        <v>8141</v>
      </c>
      <c r="N418" s="347">
        <v>0.49</v>
      </c>
      <c r="O418" s="348" t="s">
        <v>1205</v>
      </c>
      <c r="P418" s="348">
        <v>5.61</v>
      </c>
      <c r="Q418" s="348">
        <v>0.65</v>
      </c>
    </row>
    <row r="419" spans="1:17" ht="15" hidden="1" customHeight="1">
      <c r="A419" s="163">
        <v>412</v>
      </c>
      <c r="B419" s="53" t="s">
        <v>10</v>
      </c>
      <c r="C419" s="53" t="s">
        <v>8142</v>
      </c>
      <c r="D419" s="53">
        <v>100022361</v>
      </c>
      <c r="E419" s="55" t="s">
        <v>8143</v>
      </c>
      <c r="F419" s="129">
        <v>10</v>
      </c>
      <c r="G419" s="129">
        <v>900</v>
      </c>
      <c r="H419" s="512">
        <v>38.619999999999997</v>
      </c>
      <c r="I419" s="265" t="s">
        <v>76</v>
      </c>
      <c r="J419" s="265" t="s">
        <v>102</v>
      </c>
      <c r="K419" s="265" t="s">
        <v>8144</v>
      </c>
      <c r="L419" s="348" t="s">
        <v>1205</v>
      </c>
      <c r="M419" s="265" t="s">
        <v>8145</v>
      </c>
      <c r="N419" s="347">
        <v>0.73</v>
      </c>
      <c r="O419" s="348" t="s">
        <v>1205</v>
      </c>
      <c r="P419" s="348">
        <v>8.7799999999999994</v>
      </c>
      <c r="Q419" s="348">
        <v>0.8</v>
      </c>
    </row>
    <row r="420" spans="1:17" ht="15" hidden="1" customHeight="1">
      <c r="A420" s="163">
        <v>413</v>
      </c>
      <c r="B420" s="53" t="s">
        <v>10</v>
      </c>
      <c r="C420" s="53" t="s">
        <v>8146</v>
      </c>
      <c r="D420" s="53">
        <v>100022370</v>
      </c>
      <c r="E420" s="55" t="s">
        <v>8147</v>
      </c>
      <c r="F420" s="129">
        <v>5</v>
      </c>
      <c r="G420" s="129">
        <v>750</v>
      </c>
      <c r="H420" s="512">
        <v>55.36</v>
      </c>
      <c r="I420" s="265" t="s">
        <v>76</v>
      </c>
      <c r="J420" s="265" t="s">
        <v>102</v>
      </c>
      <c r="K420" s="265" t="s">
        <v>8148</v>
      </c>
      <c r="L420" s="348" t="s">
        <v>1205</v>
      </c>
      <c r="M420" s="265" t="s">
        <v>8149</v>
      </c>
      <c r="N420" s="347">
        <v>0.77600000000000002</v>
      </c>
      <c r="O420" s="348" t="s">
        <v>1205</v>
      </c>
      <c r="P420" s="348">
        <v>5.28</v>
      </c>
      <c r="Q420" s="348">
        <v>0.5</v>
      </c>
    </row>
    <row r="421" spans="1:17" ht="15" hidden="1" customHeight="1">
      <c r="A421" s="163">
        <v>414</v>
      </c>
      <c r="B421" s="53" t="s">
        <v>10</v>
      </c>
      <c r="C421" s="53" t="s">
        <v>8150</v>
      </c>
      <c r="D421" s="53">
        <v>100022372</v>
      </c>
      <c r="E421" s="55" t="s">
        <v>8151</v>
      </c>
      <c r="F421" s="129">
        <v>5</v>
      </c>
      <c r="G421" s="129">
        <v>750</v>
      </c>
      <c r="H421" s="512">
        <v>55.36</v>
      </c>
      <c r="I421" s="265" t="s">
        <v>76</v>
      </c>
      <c r="J421" s="265" t="s">
        <v>102</v>
      </c>
      <c r="K421" s="265" t="s">
        <v>8152</v>
      </c>
      <c r="L421" s="348" t="s">
        <v>1205</v>
      </c>
      <c r="M421" s="265" t="s">
        <v>8153</v>
      </c>
      <c r="N421" s="347">
        <v>0.90600000000000003</v>
      </c>
      <c r="O421" s="348" t="s">
        <v>1205</v>
      </c>
      <c r="P421" s="348">
        <v>5.05</v>
      </c>
      <c r="Q421" s="348">
        <v>0.5</v>
      </c>
    </row>
    <row r="422" spans="1:17" ht="15" hidden="1" customHeight="1">
      <c r="A422" s="163">
        <v>415</v>
      </c>
      <c r="B422" s="53" t="s">
        <v>10</v>
      </c>
      <c r="C422" s="53" t="s">
        <v>8154</v>
      </c>
      <c r="D422" s="53">
        <v>100022373</v>
      </c>
      <c r="E422" s="55" t="s">
        <v>8155</v>
      </c>
      <c r="F422" s="129">
        <v>5</v>
      </c>
      <c r="G422" s="129">
        <v>450</v>
      </c>
      <c r="H422" s="512">
        <v>55.36</v>
      </c>
      <c r="I422" s="265" t="s">
        <v>359</v>
      </c>
      <c r="J422" s="265" t="s">
        <v>102</v>
      </c>
      <c r="K422" s="265" t="s">
        <v>8156</v>
      </c>
      <c r="L422" s="348" t="s">
        <v>1205</v>
      </c>
      <c r="M422" s="265" t="s">
        <v>8157</v>
      </c>
      <c r="N422" s="347">
        <v>0.91500000000000004</v>
      </c>
      <c r="O422" s="348" t="s">
        <v>1205</v>
      </c>
      <c r="P422" s="348" t="s">
        <v>1205</v>
      </c>
      <c r="Q422" s="348" t="s">
        <v>1205</v>
      </c>
    </row>
    <row r="423" spans="1:17" ht="15" hidden="1" customHeight="1">
      <c r="A423" s="163">
        <v>416</v>
      </c>
      <c r="B423" s="53" t="s">
        <v>10</v>
      </c>
      <c r="C423" s="53" t="s">
        <v>8158</v>
      </c>
      <c r="D423" s="53">
        <v>100022375</v>
      </c>
      <c r="E423" s="55" t="s">
        <v>8159</v>
      </c>
      <c r="F423" s="129">
        <v>5</v>
      </c>
      <c r="G423" s="129">
        <v>750</v>
      </c>
      <c r="H423" s="512">
        <v>55.36</v>
      </c>
      <c r="I423" s="265" t="s">
        <v>76</v>
      </c>
      <c r="J423" s="265" t="s">
        <v>102</v>
      </c>
      <c r="K423" s="265" t="s">
        <v>8160</v>
      </c>
      <c r="L423" s="348" t="s">
        <v>1205</v>
      </c>
      <c r="M423" s="265" t="s">
        <v>8161</v>
      </c>
      <c r="N423" s="347">
        <v>0.995</v>
      </c>
      <c r="O423" s="348" t="s">
        <v>1205</v>
      </c>
      <c r="P423" s="348">
        <v>5.37</v>
      </c>
      <c r="Q423" s="348">
        <v>0.5</v>
      </c>
    </row>
    <row r="424" spans="1:17" ht="15" hidden="1" customHeight="1">
      <c r="A424" s="163">
        <v>417</v>
      </c>
      <c r="B424" s="53" t="s">
        <v>10</v>
      </c>
      <c r="C424" s="53" t="s">
        <v>8162</v>
      </c>
      <c r="D424" s="53">
        <v>100022377</v>
      </c>
      <c r="E424" s="55" t="s">
        <v>8163</v>
      </c>
      <c r="F424" s="129">
        <v>5</v>
      </c>
      <c r="G424" s="129">
        <v>600</v>
      </c>
      <c r="H424" s="512">
        <v>55.3</v>
      </c>
      <c r="I424" s="265" t="s">
        <v>76</v>
      </c>
      <c r="J424" s="265" t="s">
        <v>102</v>
      </c>
      <c r="K424" s="265" t="s">
        <v>8164</v>
      </c>
      <c r="L424" s="348" t="s">
        <v>1205</v>
      </c>
      <c r="M424" s="265" t="s">
        <v>8165</v>
      </c>
      <c r="N424" s="347">
        <v>1.0980000000000001</v>
      </c>
      <c r="O424" s="348" t="s">
        <v>1205</v>
      </c>
      <c r="P424" s="348">
        <v>6.18</v>
      </c>
      <c r="Q424" s="348">
        <v>0.65</v>
      </c>
    </row>
    <row r="425" spans="1:17" ht="15" hidden="1" customHeight="1">
      <c r="A425" s="163">
        <v>418</v>
      </c>
      <c r="B425" s="53" t="s">
        <v>10</v>
      </c>
      <c r="C425" s="53" t="s">
        <v>8166</v>
      </c>
      <c r="D425" s="53">
        <v>100022380</v>
      </c>
      <c r="E425" s="55" t="s">
        <v>8167</v>
      </c>
      <c r="F425" s="129">
        <v>5</v>
      </c>
      <c r="G425" s="129">
        <v>450</v>
      </c>
      <c r="H425" s="512">
        <v>92.07</v>
      </c>
      <c r="I425" s="265" t="s">
        <v>76</v>
      </c>
      <c r="J425" s="265" t="s">
        <v>102</v>
      </c>
      <c r="K425" s="265" t="s">
        <v>8168</v>
      </c>
      <c r="L425" s="348" t="s">
        <v>1205</v>
      </c>
      <c r="M425" s="265" t="s">
        <v>8169</v>
      </c>
      <c r="N425" s="347">
        <v>1.93</v>
      </c>
      <c r="O425" s="348" t="s">
        <v>1205</v>
      </c>
      <c r="P425" s="348">
        <v>10.45</v>
      </c>
      <c r="Q425" s="348">
        <v>0.8</v>
      </c>
    </row>
    <row r="426" spans="1:17" ht="15" hidden="1" customHeight="1">
      <c r="A426" s="163">
        <v>419</v>
      </c>
      <c r="B426" s="53" t="s">
        <v>10</v>
      </c>
      <c r="C426" s="53" t="s">
        <v>8170</v>
      </c>
      <c r="D426" s="53">
        <v>100022382</v>
      </c>
      <c r="E426" s="55" t="s">
        <v>8171</v>
      </c>
      <c r="F426" s="129">
        <v>4</v>
      </c>
      <c r="G426" s="129">
        <v>360</v>
      </c>
      <c r="H426" s="512">
        <v>92.07</v>
      </c>
      <c r="I426" s="265" t="s">
        <v>76</v>
      </c>
      <c r="J426" s="265" t="s">
        <v>102</v>
      </c>
      <c r="K426" s="265" t="s">
        <v>8172</v>
      </c>
      <c r="L426" s="348" t="s">
        <v>1205</v>
      </c>
      <c r="M426" s="265" t="s">
        <v>8173</v>
      </c>
      <c r="N426" s="347">
        <v>1.8959999999999999</v>
      </c>
      <c r="O426" s="348" t="s">
        <v>1205</v>
      </c>
      <c r="P426" s="348">
        <v>8.41</v>
      </c>
      <c r="Q426" s="348">
        <v>0.8</v>
      </c>
    </row>
    <row r="427" spans="1:17" ht="15" hidden="1" customHeight="1">
      <c r="A427" s="163">
        <v>420</v>
      </c>
      <c r="B427" s="53" t="s">
        <v>10</v>
      </c>
      <c r="C427" s="53" t="s">
        <v>8174</v>
      </c>
      <c r="D427" s="53">
        <v>100022384</v>
      </c>
      <c r="E427" s="55" t="s">
        <v>8175</v>
      </c>
      <c r="F427" s="129">
        <v>5</v>
      </c>
      <c r="G427" s="129" t="s">
        <v>1205</v>
      </c>
      <c r="H427" s="512">
        <v>92.07</v>
      </c>
      <c r="I427" s="265" t="s">
        <v>359</v>
      </c>
      <c r="J427" s="265" t="s">
        <v>102</v>
      </c>
      <c r="K427" s="265" t="s">
        <v>8176</v>
      </c>
      <c r="L427" s="348" t="s">
        <v>1205</v>
      </c>
      <c r="M427" s="265" t="s">
        <v>8177</v>
      </c>
      <c r="N427" s="347">
        <v>1.4</v>
      </c>
      <c r="O427" s="348" t="s">
        <v>1205</v>
      </c>
      <c r="P427" s="348" t="s">
        <v>1205</v>
      </c>
      <c r="Q427" s="348" t="s">
        <v>1205</v>
      </c>
    </row>
    <row r="428" spans="1:17" ht="15" hidden="1" customHeight="1">
      <c r="A428" s="163">
        <v>421</v>
      </c>
      <c r="B428" s="53" t="s">
        <v>10</v>
      </c>
      <c r="C428" s="53" t="s">
        <v>8178</v>
      </c>
      <c r="D428" s="53">
        <v>100022386</v>
      </c>
      <c r="E428" s="55" t="s">
        <v>8179</v>
      </c>
      <c r="F428" s="129">
        <v>3</v>
      </c>
      <c r="G428" s="129">
        <v>360</v>
      </c>
      <c r="H428" s="512">
        <v>92.07</v>
      </c>
      <c r="I428" s="265" t="s">
        <v>76</v>
      </c>
      <c r="J428" s="265" t="s">
        <v>102</v>
      </c>
      <c r="K428" s="265" t="s">
        <v>8180</v>
      </c>
      <c r="L428" s="348" t="s">
        <v>1205</v>
      </c>
      <c r="M428" s="265" t="s">
        <v>8181</v>
      </c>
      <c r="N428" s="347">
        <v>2.3580000000000001</v>
      </c>
      <c r="O428" s="348" t="s">
        <v>1205</v>
      </c>
      <c r="P428" s="348">
        <v>7.92</v>
      </c>
      <c r="Q428" s="348">
        <v>0.65</v>
      </c>
    </row>
    <row r="429" spans="1:17" ht="15" hidden="1" customHeight="1">
      <c r="A429" s="163">
        <v>422</v>
      </c>
      <c r="B429" s="53" t="s">
        <v>10</v>
      </c>
      <c r="C429" s="53" t="s">
        <v>8182</v>
      </c>
      <c r="D429" s="53">
        <v>100022388</v>
      </c>
      <c r="E429" s="55" t="s">
        <v>8183</v>
      </c>
      <c r="F429" s="129">
        <v>3</v>
      </c>
      <c r="G429" s="129">
        <v>270</v>
      </c>
      <c r="H429" s="512">
        <v>92.07</v>
      </c>
      <c r="I429" s="265" t="s">
        <v>76</v>
      </c>
      <c r="J429" s="265" t="s">
        <v>102</v>
      </c>
      <c r="K429" s="265" t="s">
        <v>8184</v>
      </c>
      <c r="L429" s="348" t="s">
        <v>1205</v>
      </c>
      <c r="M429" s="265" t="s">
        <v>8185</v>
      </c>
      <c r="N429" s="347">
        <v>2.88</v>
      </c>
      <c r="O429" s="348" t="s">
        <v>1205</v>
      </c>
      <c r="P429" s="348">
        <v>9.44</v>
      </c>
      <c r="Q429" s="348">
        <v>0.8</v>
      </c>
    </row>
    <row r="430" spans="1:17" ht="15" hidden="1" customHeight="1">
      <c r="A430" s="163">
        <v>423</v>
      </c>
      <c r="B430" s="53" t="s">
        <v>10</v>
      </c>
      <c r="C430" s="53" t="s">
        <v>8186</v>
      </c>
      <c r="D430" s="53">
        <v>100022389</v>
      </c>
      <c r="E430" s="55" t="s">
        <v>8187</v>
      </c>
      <c r="F430" s="129">
        <v>2</v>
      </c>
      <c r="G430" s="129">
        <v>180</v>
      </c>
      <c r="H430" s="512">
        <v>215.85</v>
      </c>
      <c r="I430" s="265" t="s">
        <v>76</v>
      </c>
      <c r="J430" s="265" t="s">
        <v>102</v>
      </c>
      <c r="K430" s="265" t="s">
        <v>8188</v>
      </c>
      <c r="L430" s="348" t="s">
        <v>1205</v>
      </c>
      <c r="M430" s="265" t="s">
        <v>8189</v>
      </c>
      <c r="N430" s="347">
        <v>2.706</v>
      </c>
      <c r="O430" s="348" t="s">
        <v>1205</v>
      </c>
      <c r="P430" s="348">
        <v>6.13</v>
      </c>
      <c r="Q430" s="348">
        <v>0.8</v>
      </c>
    </row>
    <row r="431" spans="1:17" ht="15" hidden="1" customHeight="1">
      <c r="A431" s="163">
        <v>424</v>
      </c>
      <c r="B431" s="53" t="s">
        <v>10</v>
      </c>
      <c r="C431" s="53" t="s">
        <v>8190</v>
      </c>
      <c r="D431" s="53">
        <v>100022392</v>
      </c>
      <c r="E431" s="55" t="s">
        <v>8191</v>
      </c>
      <c r="F431" s="129">
        <v>2</v>
      </c>
      <c r="G431" s="129">
        <v>150</v>
      </c>
      <c r="H431" s="512">
        <v>215.85</v>
      </c>
      <c r="I431" s="265" t="s">
        <v>359</v>
      </c>
      <c r="J431" s="265" t="s">
        <v>102</v>
      </c>
      <c r="K431" s="265" t="s">
        <v>8192</v>
      </c>
      <c r="L431" s="348" t="s">
        <v>1205</v>
      </c>
      <c r="M431" s="265" t="s">
        <v>8193</v>
      </c>
      <c r="N431" s="347">
        <v>3.5950000000000002</v>
      </c>
      <c r="O431" s="348" t="s">
        <v>1205</v>
      </c>
      <c r="P431" s="348">
        <v>8.15</v>
      </c>
      <c r="Q431" s="348">
        <v>0.95</v>
      </c>
    </row>
    <row r="432" spans="1:17" ht="15" hidden="1" customHeight="1">
      <c r="A432" s="163">
        <v>425</v>
      </c>
      <c r="B432" s="53" t="s">
        <v>10</v>
      </c>
      <c r="C432" s="53" t="s">
        <v>8194</v>
      </c>
      <c r="D432" s="53">
        <v>100022394</v>
      </c>
      <c r="E432" s="55" t="s">
        <v>8195</v>
      </c>
      <c r="F432" s="129">
        <v>2</v>
      </c>
      <c r="G432" s="129">
        <v>180</v>
      </c>
      <c r="H432" s="512">
        <v>309.88</v>
      </c>
      <c r="I432" s="265" t="s">
        <v>76</v>
      </c>
      <c r="J432" s="265" t="s">
        <v>102</v>
      </c>
      <c r="K432" s="265" t="s">
        <v>8196</v>
      </c>
      <c r="L432" s="348" t="s">
        <v>1205</v>
      </c>
      <c r="M432" s="265" t="s">
        <v>8197</v>
      </c>
      <c r="N432" s="347">
        <v>3.3769999999999998</v>
      </c>
      <c r="O432" s="348" t="s">
        <v>1205</v>
      </c>
      <c r="P432" s="348">
        <v>7.27</v>
      </c>
      <c r="Q432" s="348">
        <v>0.8</v>
      </c>
    </row>
    <row r="433" spans="1:17" ht="15" hidden="1" customHeight="1">
      <c r="A433" s="163">
        <v>426</v>
      </c>
      <c r="B433" s="53" t="s">
        <v>10</v>
      </c>
      <c r="C433" s="53" t="s">
        <v>8198</v>
      </c>
      <c r="D433" s="53">
        <v>100022396</v>
      </c>
      <c r="E433" s="55" t="s">
        <v>8199</v>
      </c>
      <c r="F433" s="129">
        <v>2</v>
      </c>
      <c r="G433" s="129">
        <v>120</v>
      </c>
      <c r="H433" s="512">
        <v>309.88</v>
      </c>
      <c r="I433" s="265" t="s">
        <v>76</v>
      </c>
      <c r="J433" s="265" t="s">
        <v>102</v>
      </c>
      <c r="K433" s="265" t="s">
        <v>8200</v>
      </c>
      <c r="L433" s="348" t="s">
        <v>1205</v>
      </c>
      <c r="M433" s="265" t="s">
        <v>8201</v>
      </c>
      <c r="N433" s="347">
        <v>4.0999999999999996</v>
      </c>
      <c r="O433" s="348" t="s">
        <v>1205</v>
      </c>
      <c r="P433" s="348">
        <v>9.08</v>
      </c>
      <c r="Q433" s="348">
        <v>1.41</v>
      </c>
    </row>
    <row r="434" spans="1:17" ht="15" hidden="1" customHeight="1">
      <c r="A434" s="163">
        <v>427</v>
      </c>
      <c r="B434" s="53" t="s">
        <v>10</v>
      </c>
      <c r="C434" s="53" t="s">
        <v>8202</v>
      </c>
      <c r="D434" s="53">
        <v>100022398</v>
      </c>
      <c r="E434" s="55" t="s">
        <v>8203</v>
      </c>
      <c r="F434" s="129">
        <v>2</v>
      </c>
      <c r="G434" s="129">
        <v>120</v>
      </c>
      <c r="H434" s="512">
        <v>309.88</v>
      </c>
      <c r="I434" s="265" t="s">
        <v>76</v>
      </c>
      <c r="J434" s="265" t="s">
        <v>102</v>
      </c>
      <c r="K434" s="265" t="s">
        <v>8204</v>
      </c>
      <c r="L434" s="348" t="s">
        <v>1205</v>
      </c>
      <c r="M434" s="265" t="s">
        <v>8205</v>
      </c>
      <c r="N434" s="347">
        <v>4.5579999999999998</v>
      </c>
      <c r="O434" s="348" t="s">
        <v>1205</v>
      </c>
      <c r="P434" s="348">
        <v>10.01</v>
      </c>
      <c r="Q434" s="348">
        <v>1.41</v>
      </c>
    </row>
    <row r="435" spans="1:17" ht="15" hidden="1" customHeight="1">
      <c r="A435" s="163">
        <v>428</v>
      </c>
      <c r="B435" s="53" t="s">
        <v>10</v>
      </c>
      <c r="C435" s="53" t="s">
        <v>8206</v>
      </c>
      <c r="D435" s="53">
        <v>100022400</v>
      </c>
      <c r="E435" s="55" t="s">
        <v>8207</v>
      </c>
      <c r="F435" s="129">
        <v>2</v>
      </c>
      <c r="G435" s="129">
        <v>48</v>
      </c>
      <c r="H435" s="512">
        <v>750.4</v>
      </c>
      <c r="I435" s="265" t="s">
        <v>76</v>
      </c>
      <c r="J435" s="265" t="s">
        <v>102</v>
      </c>
      <c r="K435" s="265" t="s">
        <v>8208</v>
      </c>
      <c r="L435" s="348" t="s">
        <v>1205</v>
      </c>
      <c r="M435" s="265" t="s">
        <v>8209</v>
      </c>
      <c r="N435" s="347">
        <v>6.1539999999999999</v>
      </c>
      <c r="O435" s="348" t="s">
        <v>1205</v>
      </c>
      <c r="P435" s="348">
        <v>14.32</v>
      </c>
      <c r="Q435" s="348">
        <v>2.77</v>
      </c>
    </row>
    <row r="436" spans="1:17" ht="15" hidden="1" customHeight="1">
      <c r="A436" s="163">
        <v>429</v>
      </c>
      <c r="B436" s="53" t="s">
        <v>10</v>
      </c>
      <c r="C436" s="53" t="s">
        <v>8210</v>
      </c>
      <c r="D436" s="53">
        <v>100022402</v>
      </c>
      <c r="E436" s="55" t="s">
        <v>8211</v>
      </c>
      <c r="F436" s="129">
        <v>2</v>
      </c>
      <c r="G436" s="129">
        <v>48</v>
      </c>
      <c r="H436" s="512">
        <v>718.58</v>
      </c>
      <c r="I436" s="265" t="s">
        <v>359</v>
      </c>
      <c r="J436" s="265" t="s">
        <v>102</v>
      </c>
      <c r="K436" s="265" t="s">
        <v>8212</v>
      </c>
      <c r="L436" s="348" t="s">
        <v>1205</v>
      </c>
      <c r="M436" s="265" t="s">
        <v>8213</v>
      </c>
      <c r="N436" s="347">
        <v>6.9359999999999999</v>
      </c>
      <c r="O436" s="348" t="s">
        <v>1205</v>
      </c>
      <c r="P436" s="348">
        <v>15.79</v>
      </c>
      <c r="Q436" s="348">
        <v>2.77</v>
      </c>
    </row>
    <row r="437" spans="1:17" ht="15" hidden="1" customHeight="1">
      <c r="A437" s="163">
        <v>430</v>
      </c>
      <c r="B437" s="53" t="s">
        <v>10</v>
      </c>
      <c r="C437" s="53" t="s">
        <v>8214</v>
      </c>
      <c r="D437" s="53">
        <v>100022404</v>
      </c>
      <c r="E437" s="55" t="s">
        <v>8215</v>
      </c>
      <c r="F437" s="129">
        <v>2</v>
      </c>
      <c r="G437" s="129">
        <v>48</v>
      </c>
      <c r="H437" s="512">
        <v>718.58</v>
      </c>
      <c r="I437" s="265" t="s">
        <v>76</v>
      </c>
      <c r="J437" s="265" t="s">
        <v>102</v>
      </c>
      <c r="K437" s="265" t="s">
        <v>8216</v>
      </c>
      <c r="L437" s="348" t="s">
        <v>1205</v>
      </c>
      <c r="M437" s="265" t="s">
        <v>8217</v>
      </c>
      <c r="N437" s="347">
        <v>7.718</v>
      </c>
      <c r="O437" s="348" t="s">
        <v>1205</v>
      </c>
      <c r="P437" s="348">
        <v>17.2</v>
      </c>
      <c r="Q437" s="348">
        <v>2.77</v>
      </c>
    </row>
    <row r="438" spans="1:17" ht="15" hidden="1" customHeight="1">
      <c r="A438" s="163">
        <v>431</v>
      </c>
      <c r="B438" s="53" t="s">
        <v>10</v>
      </c>
      <c r="C438" s="53" t="s">
        <v>8218</v>
      </c>
      <c r="D438" s="53">
        <v>100022406</v>
      </c>
      <c r="E438" s="55" t="s">
        <v>8219</v>
      </c>
      <c r="F438" s="129">
        <v>2</v>
      </c>
      <c r="G438" s="129">
        <v>48</v>
      </c>
      <c r="H438" s="512">
        <v>718.58</v>
      </c>
      <c r="I438" s="265" t="s">
        <v>76</v>
      </c>
      <c r="J438" s="265" t="s">
        <v>102</v>
      </c>
      <c r="K438" s="265" t="s">
        <v>8220</v>
      </c>
      <c r="L438" s="348" t="s">
        <v>1205</v>
      </c>
      <c r="M438" s="265" t="s">
        <v>8221</v>
      </c>
      <c r="N438" s="347">
        <v>9.5399999999999991</v>
      </c>
      <c r="O438" s="348" t="s">
        <v>1205</v>
      </c>
      <c r="P438" s="348">
        <v>20.65</v>
      </c>
      <c r="Q438" s="348">
        <v>2.77</v>
      </c>
    </row>
    <row r="439" spans="1:17" ht="15" hidden="1" customHeight="1">
      <c r="A439" s="163">
        <v>432</v>
      </c>
      <c r="B439" s="53" t="s">
        <v>10</v>
      </c>
      <c r="C439" s="53" t="s">
        <v>8222</v>
      </c>
      <c r="D439" s="53">
        <v>100022408</v>
      </c>
      <c r="E439" s="55" t="s">
        <v>8223</v>
      </c>
      <c r="F439" s="129">
        <v>150</v>
      </c>
      <c r="G439" s="129">
        <v>13500</v>
      </c>
      <c r="H439" s="512">
        <v>2.65</v>
      </c>
      <c r="I439" s="265" t="s">
        <v>76</v>
      </c>
      <c r="J439" s="265" t="s">
        <v>102</v>
      </c>
      <c r="K439" s="265" t="s">
        <v>8224</v>
      </c>
      <c r="L439" s="265" t="s">
        <v>8225</v>
      </c>
      <c r="M439" s="265" t="s">
        <v>8226</v>
      </c>
      <c r="N439" s="347">
        <v>7.4999999999999997E-2</v>
      </c>
      <c r="O439" s="348">
        <v>10</v>
      </c>
      <c r="P439" s="348">
        <v>12.53</v>
      </c>
      <c r="Q439" s="348">
        <v>0.8</v>
      </c>
    </row>
    <row r="440" spans="1:17" ht="15" hidden="1" customHeight="1">
      <c r="A440" s="163">
        <v>433</v>
      </c>
      <c r="B440" s="53" t="s">
        <v>10</v>
      </c>
      <c r="C440" s="53" t="s">
        <v>8227</v>
      </c>
      <c r="D440" s="53">
        <v>100022410</v>
      </c>
      <c r="E440" s="55" t="s">
        <v>8228</v>
      </c>
      <c r="F440" s="129">
        <v>100</v>
      </c>
      <c r="G440" s="129">
        <v>9000</v>
      </c>
      <c r="H440" s="512">
        <v>4.07</v>
      </c>
      <c r="I440" s="265" t="s">
        <v>76</v>
      </c>
      <c r="J440" s="265" t="s">
        <v>102</v>
      </c>
      <c r="K440" s="265" t="s">
        <v>8229</v>
      </c>
      <c r="L440" s="265" t="s">
        <v>8230</v>
      </c>
      <c r="M440" s="265" t="s">
        <v>8231</v>
      </c>
      <c r="N440" s="347">
        <v>8.5999999999999993E-2</v>
      </c>
      <c r="O440" s="348">
        <v>10</v>
      </c>
      <c r="P440" s="348">
        <v>11.9</v>
      </c>
      <c r="Q440" s="348">
        <v>0.8</v>
      </c>
    </row>
    <row r="441" spans="1:17" ht="15" hidden="1" customHeight="1">
      <c r="A441" s="163">
        <v>434</v>
      </c>
      <c r="B441" s="53" t="s">
        <v>10</v>
      </c>
      <c r="C441" s="53" t="s">
        <v>8232</v>
      </c>
      <c r="D441" s="53">
        <v>100022412</v>
      </c>
      <c r="E441" s="55" t="s">
        <v>8233</v>
      </c>
      <c r="F441" s="129">
        <v>50</v>
      </c>
      <c r="G441" s="129">
        <v>4500</v>
      </c>
      <c r="H441" s="512">
        <v>7.54</v>
      </c>
      <c r="I441" s="265" t="s">
        <v>76</v>
      </c>
      <c r="J441" s="265" t="s">
        <v>102</v>
      </c>
      <c r="K441" s="265" t="s">
        <v>8234</v>
      </c>
      <c r="L441" s="265" t="s">
        <v>8235</v>
      </c>
      <c r="M441" s="265" t="s">
        <v>8236</v>
      </c>
      <c r="N441" s="347">
        <v>0.20399999999999999</v>
      </c>
      <c r="O441" s="348">
        <v>10</v>
      </c>
      <c r="P441" s="348">
        <v>11.35</v>
      </c>
      <c r="Q441" s="348">
        <v>0.8</v>
      </c>
    </row>
    <row r="442" spans="1:17" ht="15" hidden="1" customHeight="1">
      <c r="A442" s="163">
        <v>435</v>
      </c>
      <c r="B442" s="53" t="s">
        <v>10</v>
      </c>
      <c r="C442" s="53" t="s">
        <v>8237</v>
      </c>
      <c r="D442" s="53">
        <v>100022416</v>
      </c>
      <c r="E442" s="55" t="s">
        <v>8238</v>
      </c>
      <c r="F442" s="129">
        <v>25</v>
      </c>
      <c r="G442" s="129">
        <v>1875</v>
      </c>
      <c r="H442" s="512">
        <v>15.6</v>
      </c>
      <c r="I442" s="265" t="s">
        <v>76</v>
      </c>
      <c r="J442" s="265" t="s">
        <v>102</v>
      </c>
      <c r="K442" s="265" t="s">
        <v>8239</v>
      </c>
      <c r="L442" s="348" t="s">
        <v>1205</v>
      </c>
      <c r="M442" s="265" t="s">
        <v>8240</v>
      </c>
      <c r="N442" s="347">
        <v>0.41199999999999998</v>
      </c>
      <c r="O442" s="348" t="s">
        <v>1205</v>
      </c>
      <c r="P442" s="348">
        <v>12.09</v>
      </c>
      <c r="Q442" s="348">
        <v>0.95</v>
      </c>
    </row>
    <row r="443" spans="1:17" ht="15" hidden="1" customHeight="1">
      <c r="A443" s="163">
        <v>436</v>
      </c>
      <c r="B443" s="53" t="s">
        <v>10</v>
      </c>
      <c r="C443" s="53" t="s">
        <v>8241</v>
      </c>
      <c r="D443" s="53">
        <v>100022418</v>
      </c>
      <c r="E443" s="55" t="s">
        <v>8242</v>
      </c>
      <c r="F443" s="129">
        <v>15</v>
      </c>
      <c r="G443" s="129">
        <v>1125</v>
      </c>
      <c r="H443" s="512">
        <v>19.75</v>
      </c>
      <c r="I443" s="265" t="s">
        <v>76</v>
      </c>
      <c r="J443" s="265" t="s">
        <v>102</v>
      </c>
      <c r="K443" s="265" t="s">
        <v>8243</v>
      </c>
      <c r="L443" s="348" t="s">
        <v>1205</v>
      </c>
      <c r="M443" s="265" t="s">
        <v>8244</v>
      </c>
      <c r="N443" s="347">
        <v>0.58299999999999996</v>
      </c>
      <c r="O443" s="348" t="s">
        <v>1205</v>
      </c>
      <c r="P443" s="348">
        <v>9.58</v>
      </c>
      <c r="Q443" s="348">
        <v>0.95</v>
      </c>
    </row>
    <row r="444" spans="1:17" ht="15" hidden="1" customHeight="1">
      <c r="A444" s="163">
        <v>437</v>
      </c>
      <c r="B444" s="53" t="s">
        <v>10</v>
      </c>
      <c r="C444" s="53" t="s">
        <v>8245</v>
      </c>
      <c r="D444" s="53">
        <v>100022421</v>
      </c>
      <c r="E444" s="55" t="s">
        <v>8246</v>
      </c>
      <c r="F444" s="129">
        <v>5</v>
      </c>
      <c r="G444" s="129">
        <v>600</v>
      </c>
      <c r="H444" s="512">
        <v>76.59</v>
      </c>
      <c r="I444" s="265" t="s">
        <v>76</v>
      </c>
      <c r="J444" s="265" t="s">
        <v>102</v>
      </c>
      <c r="K444" s="265" t="s">
        <v>8247</v>
      </c>
      <c r="L444" s="348" t="s">
        <v>1205</v>
      </c>
      <c r="M444" s="265" t="s">
        <v>8248</v>
      </c>
      <c r="N444" s="347">
        <v>1.736</v>
      </c>
      <c r="O444" s="348" t="s">
        <v>1205</v>
      </c>
      <c r="P444" s="348">
        <v>8.68</v>
      </c>
      <c r="Q444" s="348">
        <v>0.65</v>
      </c>
    </row>
    <row r="445" spans="1:17" ht="15" hidden="1" customHeight="1">
      <c r="A445" s="163">
        <v>438</v>
      </c>
      <c r="B445" s="53" t="s">
        <v>10</v>
      </c>
      <c r="C445" s="53" t="s">
        <v>8249</v>
      </c>
      <c r="D445" s="53">
        <v>100022422</v>
      </c>
      <c r="E445" s="55" t="s">
        <v>8250</v>
      </c>
      <c r="F445" s="129">
        <v>3</v>
      </c>
      <c r="G445" s="129">
        <v>270</v>
      </c>
      <c r="H445" s="512">
        <v>117.05</v>
      </c>
      <c r="I445" s="265" t="s">
        <v>76</v>
      </c>
      <c r="J445" s="265" t="s">
        <v>102</v>
      </c>
      <c r="K445" s="265" t="s">
        <v>8251</v>
      </c>
      <c r="L445" s="348" t="s">
        <v>1205</v>
      </c>
      <c r="M445" s="265" t="s">
        <v>8252</v>
      </c>
      <c r="N445" s="347">
        <v>2.8330000000000002</v>
      </c>
      <c r="O445" s="348" t="s">
        <v>1205</v>
      </c>
      <c r="P445" s="348">
        <v>8.5</v>
      </c>
      <c r="Q445" s="348">
        <v>0.8</v>
      </c>
    </row>
    <row r="446" spans="1:17" ht="15" hidden="1" customHeight="1">
      <c r="A446" s="163">
        <v>439</v>
      </c>
      <c r="B446" s="53" t="s">
        <v>10</v>
      </c>
      <c r="C446" s="53" t="s">
        <v>8253</v>
      </c>
      <c r="D446" s="53">
        <v>100022424</v>
      </c>
      <c r="E446" s="55" t="s">
        <v>8254</v>
      </c>
      <c r="F446" s="129">
        <v>250</v>
      </c>
      <c r="G446" s="129">
        <v>22500</v>
      </c>
      <c r="H446" s="512">
        <v>5.63</v>
      </c>
      <c r="I446" s="265" t="s">
        <v>76</v>
      </c>
      <c r="J446" s="265" t="s">
        <v>102</v>
      </c>
      <c r="K446" s="265" t="s">
        <v>8255</v>
      </c>
      <c r="L446" s="265" t="s">
        <v>8256</v>
      </c>
      <c r="M446" s="265" t="s">
        <v>8257</v>
      </c>
      <c r="N446" s="347">
        <v>7.0000000000000007E-2</v>
      </c>
      <c r="O446" s="348">
        <v>10</v>
      </c>
      <c r="P446" s="348">
        <v>17.739999999999998</v>
      </c>
      <c r="Q446" s="348">
        <v>0.8</v>
      </c>
    </row>
    <row r="447" spans="1:17" ht="15" hidden="1" customHeight="1">
      <c r="A447" s="163">
        <v>440</v>
      </c>
      <c r="B447" s="53" t="s">
        <v>10</v>
      </c>
      <c r="C447" s="53" t="s">
        <v>8258</v>
      </c>
      <c r="D447" s="53">
        <v>100022428</v>
      </c>
      <c r="E447" s="55" t="s">
        <v>8259</v>
      </c>
      <c r="F447" s="129">
        <v>100</v>
      </c>
      <c r="G447" s="129">
        <v>12000</v>
      </c>
      <c r="H447" s="512">
        <v>3.48</v>
      </c>
      <c r="I447" s="265" t="s">
        <v>76</v>
      </c>
      <c r="J447" s="265" t="s">
        <v>102</v>
      </c>
      <c r="K447" s="265" t="s">
        <v>8260</v>
      </c>
      <c r="L447" s="265" t="s">
        <v>8261</v>
      </c>
      <c r="M447" s="265" t="s">
        <v>8262</v>
      </c>
      <c r="N447" s="347">
        <v>9.7000000000000003E-2</v>
      </c>
      <c r="O447" s="348">
        <v>10</v>
      </c>
      <c r="P447" s="348">
        <v>10.130000000000001</v>
      </c>
      <c r="Q447" s="348">
        <v>0.65</v>
      </c>
    </row>
    <row r="448" spans="1:17" ht="15" hidden="1" customHeight="1">
      <c r="A448" s="163">
        <v>441</v>
      </c>
      <c r="B448" s="53" t="s">
        <v>10</v>
      </c>
      <c r="C448" s="53" t="s">
        <v>8263</v>
      </c>
      <c r="D448" s="53">
        <v>100022433</v>
      </c>
      <c r="E448" s="55" t="s">
        <v>8264</v>
      </c>
      <c r="F448" s="129">
        <v>50</v>
      </c>
      <c r="G448" s="129">
        <v>7500</v>
      </c>
      <c r="H448" s="512">
        <v>5.27</v>
      </c>
      <c r="I448" s="265" t="s">
        <v>76</v>
      </c>
      <c r="J448" s="265" t="s">
        <v>102</v>
      </c>
      <c r="K448" s="265" t="s">
        <v>8265</v>
      </c>
      <c r="L448" s="265" t="s">
        <v>8266</v>
      </c>
      <c r="M448" s="265" t="s">
        <v>8267</v>
      </c>
      <c r="N448" s="347">
        <v>0.13</v>
      </c>
      <c r="O448" s="348">
        <v>10</v>
      </c>
      <c r="P448" s="348">
        <v>7.31</v>
      </c>
      <c r="Q448" s="348">
        <v>0.5</v>
      </c>
    </row>
    <row r="449" spans="1:17" ht="15" hidden="1" customHeight="1">
      <c r="A449" s="163">
        <v>442</v>
      </c>
      <c r="B449" s="53" t="s">
        <v>10</v>
      </c>
      <c r="C449" s="53" t="s">
        <v>8268</v>
      </c>
      <c r="D449" s="53">
        <v>100022435</v>
      </c>
      <c r="E449" s="55" t="s">
        <v>8269</v>
      </c>
      <c r="F449" s="129">
        <v>50</v>
      </c>
      <c r="G449" s="129">
        <v>6000</v>
      </c>
      <c r="H449" s="512">
        <v>7.54</v>
      </c>
      <c r="I449" s="265" t="s">
        <v>76</v>
      </c>
      <c r="J449" s="265" t="s">
        <v>102</v>
      </c>
      <c r="K449" s="265" t="s">
        <v>8270</v>
      </c>
      <c r="L449" s="265" t="s">
        <v>8271</v>
      </c>
      <c r="M449" s="265" t="s">
        <v>8272</v>
      </c>
      <c r="N449" s="347">
        <v>0.16300000000000001</v>
      </c>
      <c r="O449" s="348">
        <v>10</v>
      </c>
      <c r="P449" s="348">
        <v>9.41</v>
      </c>
      <c r="Q449" s="348">
        <v>0.65</v>
      </c>
    </row>
    <row r="450" spans="1:17" ht="15" hidden="1" customHeight="1">
      <c r="A450" s="163">
        <v>443</v>
      </c>
      <c r="B450" s="53" t="s">
        <v>10</v>
      </c>
      <c r="C450" s="53" t="s">
        <v>8273</v>
      </c>
      <c r="D450" s="53">
        <v>100022437</v>
      </c>
      <c r="E450" s="55" t="s">
        <v>8274</v>
      </c>
      <c r="F450" s="129">
        <v>50</v>
      </c>
      <c r="G450" s="129">
        <v>4500</v>
      </c>
      <c r="H450" s="512">
        <v>12.56</v>
      </c>
      <c r="I450" s="265" t="s">
        <v>76</v>
      </c>
      <c r="J450" s="265" t="s">
        <v>102</v>
      </c>
      <c r="K450" s="265" t="s">
        <v>8275</v>
      </c>
      <c r="L450" s="265" t="s">
        <v>8276</v>
      </c>
      <c r="M450" s="265" t="s">
        <v>8277</v>
      </c>
      <c r="N450" s="347">
        <v>0.20799999999999999</v>
      </c>
      <c r="O450" s="348">
        <v>10</v>
      </c>
      <c r="P450" s="348">
        <v>13.05</v>
      </c>
      <c r="Q450" s="348">
        <v>0.8</v>
      </c>
    </row>
    <row r="451" spans="1:17" ht="15" hidden="1" customHeight="1">
      <c r="A451" s="163">
        <v>444</v>
      </c>
      <c r="B451" s="53" t="s">
        <v>10</v>
      </c>
      <c r="C451" s="53" t="s">
        <v>8278</v>
      </c>
      <c r="D451" s="53">
        <v>100022439</v>
      </c>
      <c r="E451" s="55" t="s">
        <v>8279</v>
      </c>
      <c r="F451" s="129">
        <v>50</v>
      </c>
      <c r="G451" s="129">
        <v>4500</v>
      </c>
      <c r="H451" s="512">
        <v>12.56</v>
      </c>
      <c r="I451" s="265" t="s">
        <v>76</v>
      </c>
      <c r="J451" s="265" t="s">
        <v>102</v>
      </c>
      <c r="K451" s="265" t="s">
        <v>8280</v>
      </c>
      <c r="L451" s="265" t="s">
        <v>8281</v>
      </c>
      <c r="M451" s="265" t="s">
        <v>8282</v>
      </c>
      <c r="N451" s="347">
        <v>0.23400000000000001</v>
      </c>
      <c r="O451" s="348">
        <v>10</v>
      </c>
      <c r="P451" s="348">
        <v>12.55</v>
      </c>
      <c r="Q451" s="348">
        <v>0.95</v>
      </c>
    </row>
    <row r="452" spans="1:17" ht="15" hidden="1" customHeight="1">
      <c r="A452" s="163">
        <v>445</v>
      </c>
      <c r="B452" s="53" t="s">
        <v>10</v>
      </c>
      <c r="C452" s="53" t="s">
        <v>8283</v>
      </c>
      <c r="D452" s="53">
        <v>100022441</v>
      </c>
      <c r="E452" s="55" t="s">
        <v>8284</v>
      </c>
      <c r="F452" s="129">
        <v>25</v>
      </c>
      <c r="G452" s="129">
        <v>3000</v>
      </c>
      <c r="H452" s="512">
        <v>12.56</v>
      </c>
      <c r="I452" s="265" t="s">
        <v>359</v>
      </c>
      <c r="J452" s="265" t="s">
        <v>102</v>
      </c>
      <c r="K452" s="265" t="s">
        <v>8285</v>
      </c>
      <c r="L452" s="265" t="s">
        <v>8286</v>
      </c>
      <c r="M452" s="265" t="s">
        <v>8287</v>
      </c>
      <c r="N452" s="347">
        <v>0.28399999999999997</v>
      </c>
      <c r="O452" s="348">
        <v>5</v>
      </c>
      <c r="P452" s="348">
        <v>7.1</v>
      </c>
      <c r="Q452" s="348">
        <v>0.65</v>
      </c>
    </row>
    <row r="453" spans="1:17" ht="15" hidden="1" customHeight="1">
      <c r="A453" s="163">
        <v>446</v>
      </c>
      <c r="B453" s="53" t="s">
        <v>10</v>
      </c>
      <c r="C453" s="53" t="s">
        <v>8288</v>
      </c>
      <c r="D453" s="53">
        <v>100022443</v>
      </c>
      <c r="E453" s="55" t="s">
        <v>8289</v>
      </c>
      <c r="F453" s="129">
        <v>50</v>
      </c>
      <c r="G453" s="129">
        <v>3750</v>
      </c>
      <c r="H453" s="512">
        <v>15.6</v>
      </c>
      <c r="I453" s="265" t="s">
        <v>76</v>
      </c>
      <c r="J453" s="265" t="s">
        <v>102</v>
      </c>
      <c r="K453" s="265" t="s">
        <v>8290</v>
      </c>
      <c r="L453" s="348" t="s">
        <v>1205</v>
      </c>
      <c r="M453" s="265" t="s">
        <v>8291</v>
      </c>
      <c r="N453" s="347">
        <v>0.25800000000000001</v>
      </c>
      <c r="O453" s="348" t="s">
        <v>1205</v>
      </c>
      <c r="P453" s="348">
        <v>14.75</v>
      </c>
      <c r="Q453" s="348">
        <v>1.1000000000000001</v>
      </c>
    </row>
    <row r="454" spans="1:17" ht="15" hidden="1" customHeight="1">
      <c r="A454" s="163">
        <v>447</v>
      </c>
      <c r="B454" s="53" t="s">
        <v>10</v>
      </c>
      <c r="C454" s="53" t="s">
        <v>8292</v>
      </c>
      <c r="D454" s="53">
        <v>100022445</v>
      </c>
      <c r="E454" s="55" t="s">
        <v>8293</v>
      </c>
      <c r="F454" s="129">
        <v>50</v>
      </c>
      <c r="G454" s="129">
        <v>3750</v>
      </c>
      <c r="H454" s="512">
        <v>15.6</v>
      </c>
      <c r="I454" s="265" t="s">
        <v>76</v>
      </c>
      <c r="J454" s="265" t="s">
        <v>102</v>
      </c>
      <c r="K454" s="265" t="s">
        <v>8294</v>
      </c>
      <c r="L454" s="348" t="s">
        <v>1205</v>
      </c>
      <c r="M454" s="265" t="s">
        <v>8295</v>
      </c>
      <c r="N454" s="347">
        <v>0.28199999999999997</v>
      </c>
      <c r="O454" s="348" t="s">
        <v>1205</v>
      </c>
      <c r="P454" s="348">
        <v>14.92</v>
      </c>
      <c r="Q454" s="348">
        <v>1.1000000000000001</v>
      </c>
    </row>
    <row r="455" spans="1:17" ht="15" hidden="1" customHeight="1">
      <c r="A455" s="163">
        <v>448</v>
      </c>
      <c r="B455" s="53" t="s">
        <v>10</v>
      </c>
      <c r="C455" s="53" t="s">
        <v>8296</v>
      </c>
      <c r="D455" s="53">
        <v>100022447</v>
      </c>
      <c r="E455" s="55" t="s">
        <v>8297</v>
      </c>
      <c r="F455" s="129">
        <v>25</v>
      </c>
      <c r="G455" s="129">
        <v>3000</v>
      </c>
      <c r="H455" s="512">
        <v>15.6</v>
      </c>
      <c r="I455" s="265" t="s">
        <v>76</v>
      </c>
      <c r="J455" s="265" t="s">
        <v>102</v>
      </c>
      <c r="K455" s="265" t="s">
        <v>8298</v>
      </c>
      <c r="L455" s="348" t="s">
        <v>1205</v>
      </c>
      <c r="M455" s="265" t="s">
        <v>8299</v>
      </c>
      <c r="N455" s="347">
        <v>0.34399999999999997</v>
      </c>
      <c r="O455" s="348" t="s">
        <v>1205</v>
      </c>
      <c r="P455" s="348">
        <v>8.61</v>
      </c>
      <c r="Q455" s="348">
        <v>0.65</v>
      </c>
    </row>
    <row r="456" spans="1:17" ht="15" hidden="1" customHeight="1">
      <c r="A456" s="163">
        <v>449</v>
      </c>
      <c r="B456" s="53" t="s">
        <v>10</v>
      </c>
      <c r="C456" s="53" t="s">
        <v>8300</v>
      </c>
      <c r="D456" s="53">
        <v>100022451</v>
      </c>
      <c r="E456" s="55" t="s">
        <v>8301</v>
      </c>
      <c r="F456" s="129">
        <v>20</v>
      </c>
      <c r="G456" s="129">
        <v>1800</v>
      </c>
      <c r="H456" s="512">
        <v>19.62</v>
      </c>
      <c r="I456" s="265" t="s">
        <v>76</v>
      </c>
      <c r="J456" s="265" t="s">
        <v>102</v>
      </c>
      <c r="K456" s="265" t="s">
        <v>8302</v>
      </c>
      <c r="L456" s="348" t="s">
        <v>1205</v>
      </c>
      <c r="M456" s="265" t="s">
        <v>8303</v>
      </c>
      <c r="N456" s="347">
        <v>0.33200000000000002</v>
      </c>
      <c r="O456" s="348" t="s">
        <v>1205</v>
      </c>
      <c r="P456" s="348">
        <v>7.29</v>
      </c>
      <c r="Q456" s="348">
        <v>0.65</v>
      </c>
    </row>
    <row r="457" spans="1:17" ht="15" hidden="1" customHeight="1">
      <c r="A457" s="163">
        <v>450</v>
      </c>
      <c r="B457" s="53" t="s">
        <v>10</v>
      </c>
      <c r="C457" s="53" t="s">
        <v>8304</v>
      </c>
      <c r="D457" s="53">
        <v>100022453</v>
      </c>
      <c r="E457" s="55" t="s">
        <v>8305</v>
      </c>
      <c r="F457" s="129">
        <v>20</v>
      </c>
      <c r="G457" s="129">
        <v>1800</v>
      </c>
      <c r="H457" s="512">
        <v>19.62</v>
      </c>
      <c r="I457" s="265" t="s">
        <v>76</v>
      </c>
      <c r="J457" s="265" t="s">
        <v>102</v>
      </c>
      <c r="K457" s="265" t="s">
        <v>8306</v>
      </c>
      <c r="L457" s="348" t="s">
        <v>1205</v>
      </c>
      <c r="M457" s="265" t="s">
        <v>8307</v>
      </c>
      <c r="N457" s="347">
        <v>0.378</v>
      </c>
      <c r="O457" s="348" t="s">
        <v>1205</v>
      </c>
      <c r="P457" s="348">
        <v>8.35</v>
      </c>
      <c r="Q457" s="348">
        <v>0.8</v>
      </c>
    </row>
    <row r="458" spans="1:17" ht="15" hidden="1" customHeight="1">
      <c r="A458" s="163">
        <v>451</v>
      </c>
      <c r="B458" s="53" t="s">
        <v>10</v>
      </c>
      <c r="C458" s="53" t="s">
        <v>8308</v>
      </c>
      <c r="D458" s="53">
        <v>100022455</v>
      </c>
      <c r="E458" s="55" t="s">
        <v>8309</v>
      </c>
      <c r="F458" s="129">
        <v>15</v>
      </c>
      <c r="G458" s="129">
        <v>1800</v>
      </c>
      <c r="H458" s="512">
        <v>19.62</v>
      </c>
      <c r="I458" s="265" t="s">
        <v>76</v>
      </c>
      <c r="J458" s="265" t="s">
        <v>102</v>
      </c>
      <c r="K458" s="265" t="s">
        <v>8310</v>
      </c>
      <c r="L458" s="348" t="s">
        <v>1205</v>
      </c>
      <c r="M458" s="265" t="s">
        <v>8311</v>
      </c>
      <c r="N458" s="347">
        <v>0.434</v>
      </c>
      <c r="O458" s="348" t="s">
        <v>1205</v>
      </c>
      <c r="P458" s="348">
        <v>7.15</v>
      </c>
      <c r="Q458" s="348">
        <v>0.65</v>
      </c>
    </row>
    <row r="459" spans="1:17" ht="15" hidden="1" customHeight="1">
      <c r="A459" s="163">
        <v>452</v>
      </c>
      <c r="B459" s="53" t="s">
        <v>10</v>
      </c>
      <c r="C459" s="53" t="s">
        <v>8312</v>
      </c>
      <c r="D459" s="53">
        <v>100022457</v>
      </c>
      <c r="E459" s="55" t="s">
        <v>8313</v>
      </c>
      <c r="F459" s="129">
        <v>10</v>
      </c>
      <c r="G459" s="129">
        <v>1200</v>
      </c>
      <c r="H459" s="512">
        <v>19.62</v>
      </c>
      <c r="I459" s="265" t="s">
        <v>359</v>
      </c>
      <c r="J459" s="265" t="s">
        <v>102</v>
      </c>
      <c r="K459" s="265" t="s">
        <v>8314</v>
      </c>
      <c r="L459" s="348" t="s">
        <v>1205</v>
      </c>
      <c r="M459" s="265" t="s">
        <v>8315</v>
      </c>
      <c r="N459" s="347">
        <v>0.52900000000000003</v>
      </c>
      <c r="O459" s="348" t="s">
        <v>1205</v>
      </c>
      <c r="P459" s="348">
        <v>7.53</v>
      </c>
      <c r="Q459" s="348">
        <v>0.65</v>
      </c>
    </row>
    <row r="460" spans="1:17" ht="15" hidden="1" customHeight="1">
      <c r="A460" s="163">
        <v>453</v>
      </c>
      <c r="B460" s="53" t="s">
        <v>10</v>
      </c>
      <c r="C460" s="53" t="s">
        <v>8316</v>
      </c>
      <c r="D460" s="53">
        <v>100022466</v>
      </c>
      <c r="E460" s="55" t="s">
        <v>8317</v>
      </c>
      <c r="F460" s="129">
        <v>5</v>
      </c>
      <c r="G460" s="129">
        <v>750</v>
      </c>
      <c r="H460" s="512">
        <v>60.69</v>
      </c>
      <c r="I460" s="265" t="s">
        <v>76</v>
      </c>
      <c r="J460" s="265" t="s">
        <v>102</v>
      </c>
      <c r="K460" s="265" t="s">
        <v>8318</v>
      </c>
      <c r="L460" s="348" t="s">
        <v>1205</v>
      </c>
      <c r="M460" s="265" t="s">
        <v>8319</v>
      </c>
      <c r="N460" s="347">
        <v>0.92400000000000004</v>
      </c>
      <c r="O460" s="348" t="s">
        <v>1205</v>
      </c>
      <c r="P460" s="348">
        <v>5.6</v>
      </c>
      <c r="Q460" s="348">
        <v>0.5</v>
      </c>
    </row>
    <row r="461" spans="1:17" ht="15" hidden="1" customHeight="1">
      <c r="A461" s="163">
        <v>454</v>
      </c>
      <c r="B461" s="53" t="s">
        <v>10</v>
      </c>
      <c r="C461" s="53" t="s">
        <v>8320</v>
      </c>
      <c r="D461" s="53">
        <v>100022472</v>
      </c>
      <c r="E461" s="55" t="s">
        <v>8321</v>
      </c>
      <c r="F461" s="129">
        <v>3</v>
      </c>
      <c r="G461" s="129">
        <v>270</v>
      </c>
      <c r="H461" s="512">
        <v>101.37</v>
      </c>
      <c r="I461" s="265" t="s">
        <v>359</v>
      </c>
      <c r="J461" s="265" t="s">
        <v>102</v>
      </c>
      <c r="K461" s="265" t="s">
        <v>8322</v>
      </c>
      <c r="L461" s="348" t="s">
        <v>1205</v>
      </c>
      <c r="M461" s="265" t="s">
        <v>8323</v>
      </c>
      <c r="N461" s="347">
        <v>3.1560000000000001</v>
      </c>
      <c r="O461" s="348" t="s">
        <v>1205</v>
      </c>
      <c r="P461" s="348">
        <v>10.27</v>
      </c>
      <c r="Q461" s="348">
        <v>0.8</v>
      </c>
    </row>
    <row r="462" spans="1:17" ht="15" hidden="1" customHeight="1">
      <c r="A462" s="163">
        <v>455</v>
      </c>
      <c r="B462" s="53" t="s">
        <v>10</v>
      </c>
      <c r="C462" s="53" t="s">
        <v>8324</v>
      </c>
      <c r="D462" s="53">
        <v>100022474</v>
      </c>
      <c r="E462" s="55" t="s">
        <v>8325</v>
      </c>
      <c r="F462" s="129">
        <v>2</v>
      </c>
      <c r="G462" s="129">
        <v>180</v>
      </c>
      <c r="H462" s="512">
        <v>343.52</v>
      </c>
      <c r="I462" s="265" t="s">
        <v>76</v>
      </c>
      <c r="J462" s="265" t="s">
        <v>102</v>
      </c>
      <c r="K462" s="265" t="s">
        <v>8326</v>
      </c>
      <c r="L462" s="348" t="s">
        <v>1205</v>
      </c>
      <c r="M462" s="265" t="s">
        <v>8327</v>
      </c>
      <c r="N462" s="347">
        <v>3.58</v>
      </c>
      <c r="O462" s="348" t="s">
        <v>1205</v>
      </c>
      <c r="P462" s="348">
        <v>7.85</v>
      </c>
      <c r="Q462" s="348">
        <v>0.8</v>
      </c>
    </row>
    <row r="463" spans="1:17" ht="15" hidden="1" customHeight="1">
      <c r="A463" s="163">
        <v>456</v>
      </c>
      <c r="B463" s="53" t="s">
        <v>10</v>
      </c>
      <c r="C463" s="53" t="s">
        <v>8328</v>
      </c>
      <c r="D463" s="53">
        <v>100027391</v>
      </c>
      <c r="E463" s="55" t="s">
        <v>8329</v>
      </c>
      <c r="F463" s="129">
        <v>2</v>
      </c>
      <c r="G463" s="129">
        <v>120</v>
      </c>
      <c r="H463" s="512">
        <v>343.52</v>
      </c>
      <c r="I463" s="265" t="s">
        <v>76</v>
      </c>
      <c r="J463" s="265" t="s">
        <v>102</v>
      </c>
      <c r="K463" s="265" t="s">
        <v>8330</v>
      </c>
      <c r="L463" s="348" t="s">
        <v>1205</v>
      </c>
      <c r="M463" s="265" t="s">
        <v>8331</v>
      </c>
      <c r="N463" s="347">
        <v>5.3920000000000003</v>
      </c>
      <c r="O463" s="348" t="s">
        <v>1205</v>
      </c>
      <c r="P463" s="348">
        <v>11.85</v>
      </c>
      <c r="Q463" s="348">
        <v>1.41</v>
      </c>
    </row>
    <row r="464" spans="1:17" ht="15" hidden="1" customHeight="1">
      <c r="A464" s="163">
        <v>457</v>
      </c>
      <c r="B464" s="53" t="s">
        <v>10</v>
      </c>
      <c r="C464" s="53" t="s">
        <v>8332</v>
      </c>
      <c r="D464" s="53">
        <v>100022475</v>
      </c>
      <c r="E464" s="55" t="s">
        <v>8333</v>
      </c>
      <c r="F464" s="129">
        <v>2</v>
      </c>
      <c r="G464" s="129">
        <v>48</v>
      </c>
      <c r="H464" s="512">
        <v>742.89</v>
      </c>
      <c r="I464" s="265" t="s">
        <v>76</v>
      </c>
      <c r="J464" s="265" t="s">
        <v>102</v>
      </c>
      <c r="K464" s="265" t="s">
        <v>8334</v>
      </c>
      <c r="L464" s="348" t="s">
        <v>1205</v>
      </c>
      <c r="M464" s="265" t="s">
        <v>8335</v>
      </c>
      <c r="N464" s="347">
        <v>8.5519999999999996</v>
      </c>
      <c r="O464" s="348" t="s">
        <v>1205</v>
      </c>
      <c r="P464" s="348">
        <v>18.690000000000001</v>
      </c>
      <c r="Q464" s="348">
        <v>2.77</v>
      </c>
    </row>
    <row r="465" spans="1:17" ht="15" hidden="1" customHeight="1">
      <c r="A465" s="163">
        <v>458</v>
      </c>
      <c r="B465" s="53" t="s">
        <v>10</v>
      </c>
      <c r="C465" s="53" t="s">
        <v>8336</v>
      </c>
      <c r="D465" s="53">
        <v>100022477</v>
      </c>
      <c r="E465" s="55" t="s">
        <v>8337</v>
      </c>
      <c r="F465" s="129">
        <v>100</v>
      </c>
      <c r="G465" s="129">
        <v>15000</v>
      </c>
      <c r="H465" s="512">
        <v>7.27</v>
      </c>
      <c r="I465" s="265" t="s">
        <v>76</v>
      </c>
      <c r="J465" s="265" t="s">
        <v>102</v>
      </c>
      <c r="K465" s="265" t="s">
        <v>8338</v>
      </c>
      <c r="L465" s="265" t="s">
        <v>8339</v>
      </c>
      <c r="M465" s="265" t="s">
        <v>8340</v>
      </c>
      <c r="N465" s="347">
        <v>7.9000000000000001E-2</v>
      </c>
      <c r="O465" s="348">
        <v>10</v>
      </c>
      <c r="P465" s="348">
        <v>8.3699999999999992</v>
      </c>
      <c r="Q465" s="348">
        <v>0.5</v>
      </c>
    </row>
    <row r="466" spans="1:17" ht="15" hidden="1" customHeight="1">
      <c r="A466" s="163">
        <v>459</v>
      </c>
      <c r="B466" s="53" t="s">
        <v>10</v>
      </c>
      <c r="C466" s="53" t="s">
        <v>8341</v>
      </c>
      <c r="D466" s="53">
        <v>100022481</v>
      </c>
      <c r="E466" s="55" t="s">
        <v>8342</v>
      </c>
      <c r="F466" s="129">
        <v>50</v>
      </c>
      <c r="G466" s="129">
        <v>6000</v>
      </c>
      <c r="H466" s="512">
        <v>15.75</v>
      </c>
      <c r="I466" s="265" t="s">
        <v>76</v>
      </c>
      <c r="J466" s="265" t="s">
        <v>102</v>
      </c>
      <c r="K466" s="265" t="s">
        <v>8343</v>
      </c>
      <c r="L466" s="265" t="s">
        <v>8344</v>
      </c>
      <c r="M466" s="265" t="s">
        <v>8345</v>
      </c>
      <c r="N466" s="347">
        <v>0.192</v>
      </c>
      <c r="O466" s="348">
        <v>10</v>
      </c>
      <c r="P466" s="348">
        <v>10.36</v>
      </c>
      <c r="Q466" s="348">
        <v>0.65</v>
      </c>
    </row>
    <row r="467" spans="1:17" ht="15" hidden="1" customHeight="1">
      <c r="A467" s="163">
        <v>460</v>
      </c>
      <c r="B467" s="53" t="s">
        <v>10</v>
      </c>
      <c r="C467" s="53" t="s">
        <v>8346</v>
      </c>
      <c r="D467" s="53">
        <v>100022483</v>
      </c>
      <c r="E467" s="55" t="s">
        <v>8347</v>
      </c>
      <c r="F467" s="129">
        <v>25</v>
      </c>
      <c r="G467" s="129">
        <v>3000</v>
      </c>
      <c r="H467" s="512">
        <v>21.83</v>
      </c>
      <c r="I467" s="265" t="s">
        <v>359</v>
      </c>
      <c r="J467" s="265" t="s">
        <v>102</v>
      </c>
      <c r="K467" s="265" t="s">
        <v>8348</v>
      </c>
      <c r="L467" s="348" t="s">
        <v>1205</v>
      </c>
      <c r="M467" s="265" t="s">
        <v>8349</v>
      </c>
      <c r="N467" s="347">
        <v>0.26800000000000002</v>
      </c>
      <c r="O467" s="348" t="s">
        <v>1205</v>
      </c>
      <c r="P467" s="348">
        <v>7.56</v>
      </c>
      <c r="Q467" s="348">
        <v>0.65</v>
      </c>
    </row>
    <row r="468" spans="1:17" ht="15" hidden="1" customHeight="1">
      <c r="A468" s="163">
        <v>461</v>
      </c>
      <c r="B468" s="53" t="s">
        <v>10</v>
      </c>
      <c r="C468" s="53" t="s">
        <v>8350</v>
      </c>
      <c r="D468" s="53">
        <v>100022485</v>
      </c>
      <c r="E468" s="55" t="s">
        <v>8351</v>
      </c>
      <c r="F468" s="129">
        <v>25</v>
      </c>
      <c r="G468" s="129">
        <v>3000</v>
      </c>
      <c r="H468" s="512">
        <v>22.52</v>
      </c>
      <c r="I468" s="265" t="s">
        <v>76</v>
      </c>
      <c r="J468" s="265" t="s">
        <v>102</v>
      </c>
      <c r="K468" s="265" t="s">
        <v>8352</v>
      </c>
      <c r="L468" s="348" t="s">
        <v>1205</v>
      </c>
      <c r="M468" s="265" t="s">
        <v>8353</v>
      </c>
      <c r="N468" s="347">
        <v>0.34100000000000003</v>
      </c>
      <c r="O468" s="348" t="s">
        <v>1205</v>
      </c>
      <c r="P468" s="348">
        <v>9.33</v>
      </c>
      <c r="Q468" s="348">
        <v>0.65</v>
      </c>
    </row>
    <row r="469" spans="1:17" ht="15" hidden="1" customHeight="1">
      <c r="A469" s="163">
        <v>462</v>
      </c>
      <c r="B469" s="53" t="s">
        <v>10</v>
      </c>
      <c r="C469" s="53" t="s">
        <v>8354</v>
      </c>
      <c r="D469" s="53">
        <v>100022487</v>
      </c>
      <c r="E469" s="55" t="s">
        <v>8355</v>
      </c>
      <c r="F469" s="129">
        <v>15</v>
      </c>
      <c r="G469" s="129">
        <v>1350</v>
      </c>
      <c r="H469" s="512">
        <v>29.78</v>
      </c>
      <c r="I469" s="265" t="s">
        <v>76</v>
      </c>
      <c r="J469" s="265" t="s">
        <v>102</v>
      </c>
      <c r="K469" s="265" t="s">
        <v>8356</v>
      </c>
      <c r="L469" s="348" t="s">
        <v>1205</v>
      </c>
      <c r="M469" s="265" t="s">
        <v>8357</v>
      </c>
      <c r="N469" s="347">
        <v>0.49199999999999999</v>
      </c>
      <c r="O469" s="348" t="s">
        <v>1205</v>
      </c>
      <c r="P469" s="348">
        <v>8.0500000000000007</v>
      </c>
      <c r="Q469" s="348">
        <v>0.8</v>
      </c>
    </row>
    <row r="470" spans="1:17" ht="15" hidden="1" customHeight="1">
      <c r="A470" s="163">
        <v>463</v>
      </c>
      <c r="B470" s="53" t="s">
        <v>10</v>
      </c>
      <c r="C470" s="53" t="s">
        <v>8358</v>
      </c>
      <c r="D470" s="53">
        <v>100022489</v>
      </c>
      <c r="E470" s="55" t="s">
        <v>8359</v>
      </c>
      <c r="F470" s="129">
        <v>250</v>
      </c>
      <c r="G470" s="129">
        <v>22500</v>
      </c>
      <c r="H470" s="512">
        <v>1.58</v>
      </c>
      <c r="I470" s="265" t="s">
        <v>76</v>
      </c>
      <c r="J470" s="265" t="s">
        <v>102</v>
      </c>
      <c r="K470" s="265" t="s">
        <v>8360</v>
      </c>
      <c r="L470" s="265" t="s">
        <v>8361</v>
      </c>
      <c r="M470" s="265" t="s">
        <v>8362</v>
      </c>
      <c r="N470" s="347">
        <v>5.0999999999999997E-2</v>
      </c>
      <c r="O470" s="348">
        <v>10</v>
      </c>
      <c r="P470" s="348">
        <v>14.33</v>
      </c>
      <c r="Q470" s="348">
        <v>0.8</v>
      </c>
    </row>
    <row r="471" spans="1:17" ht="15" hidden="1" customHeight="1">
      <c r="A471" s="163">
        <v>464</v>
      </c>
      <c r="B471" s="53" t="s">
        <v>10</v>
      </c>
      <c r="C471" s="53" t="s">
        <v>8363</v>
      </c>
      <c r="D471" s="53">
        <v>100022491</v>
      </c>
      <c r="E471" s="55" t="s">
        <v>8364</v>
      </c>
      <c r="F471" s="129">
        <v>150</v>
      </c>
      <c r="G471" s="129">
        <v>13500</v>
      </c>
      <c r="H471" s="512">
        <v>1.78</v>
      </c>
      <c r="I471" s="265" t="s">
        <v>76</v>
      </c>
      <c r="J471" s="265" t="s">
        <v>102</v>
      </c>
      <c r="K471" s="265" t="s">
        <v>8365</v>
      </c>
      <c r="L471" s="265" t="s">
        <v>8366</v>
      </c>
      <c r="M471" s="265" t="s">
        <v>8367</v>
      </c>
      <c r="N471" s="347">
        <v>7.1999999999999995E-2</v>
      </c>
      <c r="O471" s="348">
        <v>10</v>
      </c>
      <c r="P471" s="348">
        <v>12.83</v>
      </c>
      <c r="Q471" s="348">
        <v>0.8</v>
      </c>
    </row>
    <row r="472" spans="1:17" ht="15" hidden="1" customHeight="1">
      <c r="A472" s="163">
        <v>465</v>
      </c>
      <c r="B472" s="53" t="s">
        <v>10</v>
      </c>
      <c r="C472" s="53" t="s">
        <v>8368</v>
      </c>
      <c r="D472" s="53">
        <v>100022493</v>
      </c>
      <c r="E472" s="55" t="s">
        <v>8369</v>
      </c>
      <c r="F472" s="129">
        <v>50</v>
      </c>
      <c r="G472" s="129">
        <v>7500</v>
      </c>
      <c r="H472" s="512">
        <v>3.2</v>
      </c>
      <c r="I472" s="265" t="s">
        <v>76</v>
      </c>
      <c r="J472" s="265" t="s">
        <v>102</v>
      </c>
      <c r="K472" s="265" t="s">
        <v>8370</v>
      </c>
      <c r="L472" s="265" t="s">
        <v>8371</v>
      </c>
      <c r="M472" s="265" t="s">
        <v>8372</v>
      </c>
      <c r="N472" s="347">
        <v>0.128</v>
      </c>
      <c r="O472" s="348">
        <v>10</v>
      </c>
      <c r="P472" s="348">
        <v>7.04</v>
      </c>
      <c r="Q472" s="348">
        <v>0.5</v>
      </c>
    </row>
    <row r="473" spans="1:17" ht="15" hidden="1" customHeight="1">
      <c r="A473" s="163">
        <v>466</v>
      </c>
      <c r="B473" s="53" t="s">
        <v>10</v>
      </c>
      <c r="C473" s="53" t="s">
        <v>8373</v>
      </c>
      <c r="D473" s="53">
        <v>100022495</v>
      </c>
      <c r="E473" s="55" t="s">
        <v>8374</v>
      </c>
      <c r="F473" s="129">
        <v>50</v>
      </c>
      <c r="G473" s="129">
        <v>4500</v>
      </c>
      <c r="H473" s="512">
        <v>5.63</v>
      </c>
      <c r="I473" s="265" t="s">
        <v>76</v>
      </c>
      <c r="J473" s="265" t="s">
        <v>102</v>
      </c>
      <c r="K473" s="265" t="s">
        <v>8375</v>
      </c>
      <c r="L473" s="265" t="s">
        <v>8376</v>
      </c>
      <c r="M473" s="265" t="s">
        <v>8377</v>
      </c>
      <c r="N473" s="347">
        <v>0.24199999999999999</v>
      </c>
      <c r="O473" s="348">
        <v>5</v>
      </c>
      <c r="P473" s="348">
        <v>11.09</v>
      </c>
      <c r="Q473" s="348">
        <v>0.8</v>
      </c>
    </row>
    <row r="474" spans="1:17" ht="15" hidden="1" customHeight="1">
      <c r="A474" s="163">
        <v>467</v>
      </c>
      <c r="B474" s="53" t="s">
        <v>10</v>
      </c>
      <c r="C474" s="53" t="s">
        <v>8378</v>
      </c>
      <c r="D474" s="53">
        <v>100022497</v>
      </c>
      <c r="E474" s="55" t="s">
        <v>8379</v>
      </c>
      <c r="F474" s="129">
        <v>50</v>
      </c>
      <c r="G474" s="129">
        <v>3750</v>
      </c>
      <c r="H474" s="512">
        <v>6.1</v>
      </c>
      <c r="I474" s="265" t="s">
        <v>76</v>
      </c>
      <c r="J474" s="265" t="s">
        <v>102</v>
      </c>
      <c r="K474" s="265" t="s">
        <v>8380</v>
      </c>
      <c r="L474" s="265" t="s">
        <v>8381</v>
      </c>
      <c r="M474" s="265" t="s">
        <v>8382</v>
      </c>
      <c r="N474" s="347">
        <v>0.25700000000000001</v>
      </c>
      <c r="O474" s="348">
        <v>10</v>
      </c>
      <c r="P474" s="348">
        <v>14.75</v>
      </c>
      <c r="Q474" s="348">
        <v>1.1000000000000001</v>
      </c>
    </row>
    <row r="475" spans="1:17" ht="15" hidden="1" customHeight="1">
      <c r="A475" s="163">
        <v>468</v>
      </c>
      <c r="B475" s="53" t="s">
        <v>10</v>
      </c>
      <c r="C475" s="53" t="s">
        <v>8383</v>
      </c>
      <c r="D475" s="53">
        <v>100022499</v>
      </c>
      <c r="E475" s="55" t="s">
        <v>8384</v>
      </c>
      <c r="F475" s="129">
        <v>20</v>
      </c>
      <c r="G475" s="129">
        <v>1800</v>
      </c>
      <c r="H475" s="512">
        <v>9.5</v>
      </c>
      <c r="I475" s="265" t="s">
        <v>76</v>
      </c>
      <c r="J475" s="265" t="s">
        <v>102</v>
      </c>
      <c r="K475" s="265" t="s">
        <v>8385</v>
      </c>
      <c r="L475" s="265" t="s">
        <v>8386</v>
      </c>
      <c r="M475" s="265" t="s">
        <v>8387</v>
      </c>
      <c r="N475" s="347">
        <v>0.371</v>
      </c>
      <c r="O475" s="348">
        <v>5</v>
      </c>
      <c r="P475" s="348">
        <v>9.23</v>
      </c>
      <c r="Q475" s="348">
        <v>0.8</v>
      </c>
    </row>
    <row r="476" spans="1:17" ht="15" hidden="1" customHeight="1">
      <c r="A476" s="163">
        <v>469</v>
      </c>
      <c r="B476" s="53" t="s">
        <v>10</v>
      </c>
      <c r="C476" s="53" t="s">
        <v>8388</v>
      </c>
      <c r="D476" s="53">
        <v>100022501</v>
      </c>
      <c r="E476" s="55" t="s">
        <v>8389</v>
      </c>
      <c r="F476" s="129">
        <v>10</v>
      </c>
      <c r="G476" s="129">
        <v>900</v>
      </c>
      <c r="H476" s="512">
        <v>28.99</v>
      </c>
      <c r="I476" s="265" t="s">
        <v>76</v>
      </c>
      <c r="J476" s="265" t="s">
        <v>102</v>
      </c>
      <c r="K476" s="265" t="s">
        <v>8390</v>
      </c>
      <c r="L476" s="348" t="s">
        <v>1205</v>
      </c>
      <c r="M476" s="265" t="s">
        <v>8391</v>
      </c>
      <c r="N476" s="347">
        <v>0.8</v>
      </c>
      <c r="O476" s="348" t="s">
        <v>1205</v>
      </c>
      <c r="P476" s="348">
        <v>8.3699999999999992</v>
      </c>
      <c r="Q476" s="348">
        <v>0.8</v>
      </c>
    </row>
    <row r="477" spans="1:17" ht="15" hidden="1" customHeight="1">
      <c r="A477" s="163">
        <v>470</v>
      </c>
      <c r="B477" s="53" t="s">
        <v>10</v>
      </c>
      <c r="C477" s="53" t="s">
        <v>8392</v>
      </c>
      <c r="D477" s="53">
        <v>100022503</v>
      </c>
      <c r="E477" s="55" t="s">
        <v>8393</v>
      </c>
      <c r="F477" s="129">
        <v>8</v>
      </c>
      <c r="G477" s="129">
        <v>720</v>
      </c>
      <c r="H477" s="512">
        <v>34.700000000000003</v>
      </c>
      <c r="I477" s="265" t="s">
        <v>76</v>
      </c>
      <c r="J477" s="265" t="s">
        <v>102</v>
      </c>
      <c r="K477" s="265" t="s">
        <v>8394</v>
      </c>
      <c r="L477" s="348" t="s">
        <v>1205</v>
      </c>
      <c r="M477" s="265" t="s">
        <v>8395</v>
      </c>
      <c r="N477" s="347">
        <v>1.0720000000000001</v>
      </c>
      <c r="O477" s="348" t="s">
        <v>1205</v>
      </c>
      <c r="P477" s="348">
        <v>9.5399999999999991</v>
      </c>
      <c r="Q477" s="348">
        <v>0.8</v>
      </c>
    </row>
    <row r="478" spans="1:17" ht="15" hidden="1" customHeight="1">
      <c r="A478" s="163">
        <v>471</v>
      </c>
      <c r="B478" s="53" t="s">
        <v>10</v>
      </c>
      <c r="C478" s="53" t="s">
        <v>8396</v>
      </c>
      <c r="D478" s="53">
        <v>100022505</v>
      </c>
      <c r="E478" s="55" t="s">
        <v>8397</v>
      </c>
      <c r="F478" s="129">
        <v>3</v>
      </c>
      <c r="G478" s="129">
        <v>360</v>
      </c>
      <c r="H478" s="512">
        <v>62.05</v>
      </c>
      <c r="I478" s="265" t="s">
        <v>76</v>
      </c>
      <c r="J478" s="265" t="s">
        <v>102</v>
      </c>
      <c r="K478" s="265" t="s">
        <v>8398</v>
      </c>
      <c r="L478" s="348" t="s">
        <v>1205</v>
      </c>
      <c r="M478" s="265" t="s">
        <v>8399</v>
      </c>
      <c r="N478" s="347">
        <v>1.9350000000000001</v>
      </c>
      <c r="O478" s="348" t="s">
        <v>1205</v>
      </c>
      <c r="P478" s="348">
        <v>9.23</v>
      </c>
      <c r="Q478" s="348">
        <v>0.65</v>
      </c>
    </row>
    <row r="479" spans="1:17" ht="15" hidden="1" customHeight="1">
      <c r="A479" s="163">
        <v>472</v>
      </c>
      <c r="B479" s="53" t="s">
        <v>10</v>
      </c>
      <c r="C479" s="53" t="s">
        <v>8400</v>
      </c>
      <c r="D479" s="53">
        <v>100022507</v>
      </c>
      <c r="E479" s="55" t="s">
        <v>8401</v>
      </c>
      <c r="F479" s="129">
        <v>2</v>
      </c>
      <c r="G479" s="129">
        <v>150</v>
      </c>
      <c r="H479" s="512">
        <v>160.22999999999999</v>
      </c>
      <c r="I479" s="265" t="s">
        <v>359</v>
      </c>
      <c r="J479" s="265" t="s">
        <v>102</v>
      </c>
      <c r="K479" s="265" t="s">
        <v>8402</v>
      </c>
      <c r="L479" s="348" t="s">
        <v>1205</v>
      </c>
      <c r="M479" s="265" t="s">
        <v>8403</v>
      </c>
      <c r="N479" s="347">
        <v>4.7750000000000004</v>
      </c>
      <c r="O479" s="348" t="s">
        <v>1205</v>
      </c>
      <c r="P479" s="348">
        <v>9.5500000000000007</v>
      </c>
      <c r="Q479" s="348">
        <v>0.95</v>
      </c>
    </row>
    <row r="480" spans="1:17" ht="15" hidden="1" customHeight="1">
      <c r="A480" s="163">
        <v>473</v>
      </c>
      <c r="B480" s="53" t="s">
        <v>10</v>
      </c>
      <c r="C480" s="53" t="s">
        <v>8404</v>
      </c>
      <c r="D480" s="53">
        <v>100022509</v>
      </c>
      <c r="E480" s="55" t="s">
        <v>8405</v>
      </c>
      <c r="F480" s="129">
        <v>1</v>
      </c>
      <c r="G480" s="129">
        <v>75</v>
      </c>
      <c r="H480" s="512">
        <v>197.23</v>
      </c>
      <c r="I480" s="265" t="s">
        <v>76</v>
      </c>
      <c r="J480" s="265" t="s">
        <v>102</v>
      </c>
      <c r="K480" s="265" t="s">
        <v>8406</v>
      </c>
      <c r="L480" s="348" t="s">
        <v>1205</v>
      </c>
      <c r="M480" s="265" t="s">
        <v>8407</v>
      </c>
      <c r="N480" s="347">
        <v>5.5460000000000003</v>
      </c>
      <c r="O480" s="348" t="s">
        <v>1205</v>
      </c>
      <c r="P480" s="348">
        <v>6.54</v>
      </c>
      <c r="Q480" s="348">
        <v>0.95</v>
      </c>
    </row>
    <row r="481" spans="1:17" ht="15" hidden="1" customHeight="1">
      <c r="A481" s="163">
        <v>474</v>
      </c>
      <c r="B481" s="53" t="s">
        <v>10</v>
      </c>
      <c r="C481" s="53" t="s">
        <v>8408</v>
      </c>
      <c r="D481" s="53">
        <v>100022511</v>
      </c>
      <c r="E481" s="55" t="s">
        <v>8409</v>
      </c>
      <c r="F481" s="129">
        <v>2</v>
      </c>
      <c r="G481" s="129">
        <v>48</v>
      </c>
      <c r="H481" s="512">
        <v>507.78</v>
      </c>
      <c r="I481" s="265" t="s">
        <v>76</v>
      </c>
      <c r="J481" s="265" t="s">
        <v>102</v>
      </c>
      <c r="K481" s="265" t="s">
        <v>8410</v>
      </c>
      <c r="L481" s="348" t="s">
        <v>1205</v>
      </c>
      <c r="M481" s="265" t="s">
        <v>8411</v>
      </c>
      <c r="N481" s="347">
        <v>10.595000000000001</v>
      </c>
      <c r="O481" s="348" t="s">
        <v>1205</v>
      </c>
      <c r="P481" s="348">
        <v>21.69</v>
      </c>
      <c r="Q481" s="348">
        <v>2.77</v>
      </c>
    </row>
    <row r="482" spans="1:17" ht="15" hidden="1" customHeight="1">
      <c r="A482" s="163">
        <v>475</v>
      </c>
      <c r="B482" s="53" t="s">
        <v>10</v>
      </c>
      <c r="C482" s="53" t="s">
        <v>8412</v>
      </c>
      <c r="D482" s="53">
        <v>100022513</v>
      </c>
      <c r="E482" s="55" t="s">
        <v>8413</v>
      </c>
      <c r="F482" s="129">
        <v>200</v>
      </c>
      <c r="G482" s="129">
        <v>15000</v>
      </c>
      <c r="H482" s="512">
        <v>3.2</v>
      </c>
      <c r="I482" s="265" t="s">
        <v>359</v>
      </c>
      <c r="J482" s="265" t="s">
        <v>102</v>
      </c>
      <c r="K482" s="265" t="s">
        <v>8414</v>
      </c>
      <c r="L482" s="265" t="s">
        <v>8415</v>
      </c>
      <c r="M482" s="265" t="s">
        <v>8416</v>
      </c>
      <c r="N482" s="347">
        <v>6.8000000000000005E-2</v>
      </c>
      <c r="O482" s="348">
        <v>10</v>
      </c>
      <c r="P482" s="348">
        <v>14.18</v>
      </c>
      <c r="Q482" s="348">
        <v>0.95</v>
      </c>
    </row>
    <row r="483" spans="1:17" ht="15" hidden="1" customHeight="1">
      <c r="A483" s="163">
        <v>476</v>
      </c>
      <c r="B483" s="53" t="s">
        <v>10</v>
      </c>
      <c r="C483" s="53" t="s">
        <v>8417</v>
      </c>
      <c r="D483" s="53">
        <v>100022515</v>
      </c>
      <c r="E483" s="55" t="s">
        <v>8418</v>
      </c>
      <c r="F483" s="129">
        <v>100</v>
      </c>
      <c r="G483" s="129">
        <v>12000</v>
      </c>
      <c r="H483" s="512">
        <v>4.78</v>
      </c>
      <c r="I483" s="265" t="s">
        <v>359</v>
      </c>
      <c r="J483" s="265" t="s">
        <v>102</v>
      </c>
      <c r="K483" s="265" t="s">
        <v>8419</v>
      </c>
      <c r="L483" s="265" t="s">
        <v>8420</v>
      </c>
      <c r="M483" s="265" t="s">
        <v>8421</v>
      </c>
      <c r="N483" s="347">
        <v>9.9000000000000005E-2</v>
      </c>
      <c r="O483" s="348">
        <v>10</v>
      </c>
      <c r="P483" s="348">
        <v>11.62</v>
      </c>
      <c r="Q483" s="348">
        <v>0.65</v>
      </c>
    </row>
    <row r="484" spans="1:17" ht="15" hidden="1" customHeight="1">
      <c r="A484" s="163">
        <v>477</v>
      </c>
      <c r="B484" s="53" t="s">
        <v>10</v>
      </c>
      <c r="C484" s="53" t="s">
        <v>8422</v>
      </c>
      <c r="D484" s="53">
        <v>100022517</v>
      </c>
      <c r="E484" s="55" t="s">
        <v>8423</v>
      </c>
      <c r="F484" s="129">
        <v>50</v>
      </c>
      <c r="G484" s="129">
        <v>7500</v>
      </c>
      <c r="H484" s="512">
        <v>5.64</v>
      </c>
      <c r="I484" s="265" t="s">
        <v>359</v>
      </c>
      <c r="J484" s="265" t="s">
        <v>102</v>
      </c>
      <c r="K484" s="265" t="s">
        <v>8424</v>
      </c>
      <c r="L484" s="265" t="s">
        <v>8425</v>
      </c>
      <c r="M484" s="265" t="s">
        <v>8426</v>
      </c>
      <c r="N484" s="347">
        <v>0.114</v>
      </c>
      <c r="O484" s="348">
        <v>10</v>
      </c>
      <c r="P484" s="348">
        <v>6.2</v>
      </c>
      <c r="Q484" s="348">
        <v>0.5</v>
      </c>
    </row>
    <row r="485" spans="1:17" ht="15" hidden="1" customHeight="1">
      <c r="A485" s="163">
        <v>478</v>
      </c>
      <c r="B485" s="53" t="s">
        <v>10</v>
      </c>
      <c r="C485" s="53" t="s">
        <v>8427</v>
      </c>
      <c r="D485" s="53">
        <v>100022521</v>
      </c>
      <c r="E485" s="55" t="s">
        <v>8428</v>
      </c>
      <c r="F485" s="129">
        <v>25</v>
      </c>
      <c r="G485" s="129">
        <v>2250</v>
      </c>
      <c r="H485" s="512">
        <v>24.45</v>
      </c>
      <c r="I485" s="265" t="s">
        <v>359</v>
      </c>
      <c r="J485" s="265" t="s">
        <v>102</v>
      </c>
      <c r="K485" s="265" t="s">
        <v>8429</v>
      </c>
      <c r="L485" s="348" t="s">
        <v>1205</v>
      </c>
      <c r="M485" s="265" t="s">
        <v>8430</v>
      </c>
      <c r="N485" s="347">
        <v>0.434</v>
      </c>
      <c r="O485" s="348" t="s">
        <v>1205</v>
      </c>
      <c r="P485" s="348">
        <v>11.7</v>
      </c>
      <c r="Q485" s="348">
        <v>0.8</v>
      </c>
    </row>
    <row r="486" spans="1:17" ht="15" hidden="1" customHeight="1">
      <c r="A486" s="163">
        <v>479</v>
      </c>
      <c r="B486" s="53" t="s">
        <v>10</v>
      </c>
      <c r="C486" s="53" t="s">
        <v>8431</v>
      </c>
      <c r="D486" s="53">
        <v>100022523</v>
      </c>
      <c r="E486" s="55" t="s">
        <v>8432</v>
      </c>
      <c r="F486" s="129">
        <v>250</v>
      </c>
      <c r="G486" s="129">
        <v>22500</v>
      </c>
      <c r="H486" s="512">
        <v>1.96</v>
      </c>
      <c r="I486" s="265" t="s">
        <v>76</v>
      </c>
      <c r="J486" s="265" t="s">
        <v>102</v>
      </c>
      <c r="K486" s="265" t="s">
        <v>8433</v>
      </c>
      <c r="L486" s="265" t="s">
        <v>8434</v>
      </c>
      <c r="M486" s="265" t="s">
        <v>8435</v>
      </c>
      <c r="N486" s="347">
        <v>5.7000000000000002E-2</v>
      </c>
      <c r="O486" s="348">
        <v>10</v>
      </c>
      <c r="P486" s="348">
        <v>15.3</v>
      </c>
      <c r="Q486" s="348">
        <v>0.8</v>
      </c>
    </row>
    <row r="487" spans="1:17" ht="15" hidden="1" customHeight="1">
      <c r="A487" s="163">
        <v>480</v>
      </c>
      <c r="B487" s="53" t="s">
        <v>10</v>
      </c>
      <c r="C487" s="53" t="s">
        <v>8436</v>
      </c>
      <c r="D487" s="53">
        <v>100022527</v>
      </c>
      <c r="E487" s="55" t="s">
        <v>8437</v>
      </c>
      <c r="F487" s="129">
        <v>50</v>
      </c>
      <c r="G487" s="129">
        <v>7500</v>
      </c>
      <c r="H487" s="512">
        <v>4.25</v>
      </c>
      <c r="I487" s="265" t="s">
        <v>76</v>
      </c>
      <c r="J487" s="265" t="s">
        <v>102</v>
      </c>
      <c r="K487" s="265" t="s">
        <v>8438</v>
      </c>
      <c r="L487" s="265" t="s">
        <v>8439</v>
      </c>
      <c r="M487" s="265" t="s">
        <v>8440</v>
      </c>
      <c r="N487" s="347">
        <v>0.16700000000000001</v>
      </c>
      <c r="O487" s="348">
        <v>10</v>
      </c>
      <c r="P487" s="348">
        <v>9.18</v>
      </c>
      <c r="Q487" s="348">
        <v>0.5</v>
      </c>
    </row>
    <row r="488" spans="1:17" ht="15" hidden="1" customHeight="1">
      <c r="A488" s="163">
        <v>481</v>
      </c>
      <c r="B488" s="53" t="s">
        <v>10</v>
      </c>
      <c r="C488" s="53" t="s">
        <v>8441</v>
      </c>
      <c r="D488" s="53">
        <v>100022531</v>
      </c>
      <c r="E488" s="55" t="s">
        <v>8442</v>
      </c>
      <c r="F488" s="129">
        <v>25</v>
      </c>
      <c r="G488" s="129">
        <v>3000</v>
      </c>
      <c r="H488" s="512">
        <v>7.93</v>
      </c>
      <c r="I488" s="265" t="s">
        <v>359</v>
      </c>
      <c r="J488" s="265" t="s">
        <v>102</v>
      </c>
      <c r="K488" s="265" t="s">
        <v>8443</v>
      </c>
      <c r="L488" s="265" t="s">
        <v>8444</v>
      </c>
      <c r="M488" s="265" t="s">
        <v>8445</v>
      </c>
      <c r="N488" s="347">
        <v>0.32</v>
      </c>
      <c r="O488" s="348">
        <v>5</v>
      </c>
      <c r="P488" s="348">
        <v>8.5500000000000007</v>
      </c>
      <c r="Q488" s="348">
        <v>0.65</v>
      </c>
    </row>
    <row r="489" spans="1:17" ht="15" hidden="1" customHeight="1">
      <c r="A489" s="163">
        <v>482</v>
      </c>
      <c r="B489" s="53" t="s">
        <v>10</v>
      </c>
      <c r="C489" s="53" t="s">
        <v>8446</v>
      </c>
      <c r="D489" s="53">
        <v>100022533</v>
      </c>
      <c r="E489" s="55" t="s">
        <v>8447</v>
      </c>
      <c r="F489" s="129">
        <v>25</v>
      </c>
      <c r="G489" s="129">
        <v>1875</v>
      </c>
      <c r="H489" s="512">
        <v>20.38</v>
      </c>
      <c r="I489" s="265" t="s">
        <v>76</v>
      </c>
      <c r="J489" s="265" t="s">
        <v>102</v>
      </c>
      <c r="K489" s="265" t="s">
        <v>8448</v>
      </c>
      <c r="L489" s="265" t="s">
        <v>8449</v>
      </c>
      <c r="M489" s="265" t="s">
        <v>8450</v>
      </c>
      <c r="N489" s="347">
        <v>0.47199999999999998</v>
      </c>
      <c r="O489" s="348">
        <v>5</v>
      </c>
      <c r="P489" s="348">
        <v>12.81</v>
      </c>
      <c r="Q489" s="348">
        <v>1.1000000000000001</v>
      </c>
    </row>
    <row r="490" spans="1:17" ht="15" hidden="1" customHeight="1">
      <c r="A490" s="163">
        <v>483</v>
      </c>
      <c r="B490" s="53" t="s">
        <v>10</v>
      </c>
      <c r="C490" s="53" t="s">
        <v>8451</v>
      </c>
      <c r="D490" s="53">
        <v>100022536</v>
      </c>
      <c r="E490" s="55" t="s">
        <v>8452</v>
      </c>
      <c r="F490" s="129">
        <v>10</v>
      </c>
      <c r="G490" s="129">
        <v>750</v>
      </c>
      <c r="H490" s="512">
        <v>75.48</v>
      </c>
      <c r="I490" s="265" t="s">
        <v>76</v>
      </c>
      <c r="J490" s="265" t="s">
        <v>102</v>
      </c>
      <c r="K490" s="265" t="s">
        <v>8453</v>
      </c>
      <c r="L490" s="348" t="s">
        <v>1205</v>
      </c>
      <c r="M490" s="265" t="s">
        <v>8454</v>
      </c>
      <c r="N490" s="347">
        <v>1.4450000000000001</v>
      </c>
      <c r="O490" s="348" t="s">
        <v>1205</v>
      </c>
      <c r="P490" s="348">
        <v>14.6</v>
      </c>
      <c r="Q490" s="348">
        <v>0.95</v>
      </c>
    </row>
    <row r="491" spans="1:17" ht="15" hidden="1" customHeight="1">
      <c r="A491" s="163">
        <v>484</v>
      </c>
      <c r="B491" s="53" t="s">
        <v>10</v>
      </c>
      <c r="C491" s="53" t="s">
        <v>8455</v>
      </c>
      <c r="D491" s="53">
        <v>100022537</v>
      </c>
      <c r="E491" s="55" t="s">
        <v>8456</v>
      </c>
      <c r="F491" s="129">
        <v>5</v>
      </c>
      <c r="G491" s="129">
        <v>375</v>
      </c>
      <c r="H491" s="512">
        <v>114.43</v>
      </c>
      <c r="I491" s="265" t="s">
        <v>76</v>
      </c>
      <c r="J491" s="265" t="s">
        <v>102</v>
      </c>
      <c r="K491" s="265" t="s">
        <v>8457</v>
      </c>
      <c r="L491" s="348" t="s">
        <v>1205</v>
      </c>
      <c r="M491" s="265" t="s">
        <v>8458</v>
      </c>
      <c r="N491" s="347">
        <v>2.3639999999999999</v>
      </c>
      <c r="O491" s="348" t="s">
        <v>1205</v>
      </c>
      <c r="P491" s="348">
        <v>11.82</v>
      </c>
      <c r="Q491" s="348">
        <v>1.1000000000000001</v>
      </c>
    </row>
    <row r="492" spans="1:17" ht="15" hidden="1" customHeight="1">
      <c r="A492" s="163">
        <v>485</v>
      </c>
      <c r="B492" s="53" t="s">
        <v>10</v>
      </c>
      <c r="C492" s="53" t="s">
        <v>8459</v>
      </c>
      <c r="D492" s="53">
        <v>100022539</v>
      </c>
      <c r="E492" s="55" t="s">
        <v>8460</v>
      </c>
      <c r="F492" s="129">
        <v>200</v>
      </c>
      <c r="G492" s="129">
        <v>18000</v>
      </c>
      <c r="H492" s="512">
        <v>2.37</v>
      </c>
      <c r="I492" s="265" t="s">
        <v>76</v>
      </c>
      <c r="J492" s="265" t="s">
        <v>102</v>
      </c>
      <c r="K492" s="265" t="s">
        <v>8461</v>
      </c>
      <c r="L492" s="265" t="s">
        <v>8462</v>
      </c>
      <c r="M492" s="265" t="s">
        <v>8463</v>
      </c>
      <c r="N492" s="347">
        <v>7.3999999999999996E-2</v>
      </c>
      <c r="O492" s="348">
        <v>10</v>
      </c>
      <c r="P492" s="348">
        <v>14.3</v>
      </c>
      <c r="Q492" s="348">
        <v>0.8</v>
      </c>
    </row>
    <row r="493" spans="1:17" ht="15" hidden="1" customHeight="1">
      <c r="A493" s="163">
        <v>486</v>
      </c>
      <c r="B493" s="53" t="s">
        <v>10</v>
      </c>
      <c r="C493" s="53" t="s">
        <v>8464</v>
      </c>
      <c r="D493" s="53">
        <v>100022541</v>
      </c>
      <c r="E493" s="55" t="s">
        <v>8465</v>
      </c>
      <c r="F493" s="129">
        <v>100</v>
      </c>
      <c r="G493" s="129">
        <v>12000</v>
      </c>
      <c r="H493" s="512">
        <v>6.53</v>
      </c>
      <c r="I493" s="265" t="s">
        <v>76</v>
      </c>
      <c r="J493" s="265" t="s">
        <v>102</v>
      </c>
      <c r="K493" s="265" t="s">
        <v>8466</v>
      </c>
      <c r="L493" s="265" t="s">
        <v>8467</v>
      </c>
      <c r="M493" s="265" t="s">
        <v>8468</v>
      </c>
      <c r="N493" s="347">
        <v>0.104</v>
      </c>
      <c r="O493" s="348">
        <v>10</v>
      </c>
      <c r="P493" s="348">
        <v>11.31</v>
      </c>
      <c r="Q493" s="348">
        <v>0.65</v>
      </c>
    </row>
    <row r="494" spans="1:17" ht="15" hidden="1" customHeight="1">
      <c r="A494" s="163">
        <v>487</v>
      </c>
      <c r="B494" s="53" t="s">
        <v>10</v>
      </c>
      <c r="C494" s="53" t="s">
        <v>8469</v>
      </c>
      <c r="D494" s="53">
        <v>100022543</v>
      </c>
      <c r="E494" s="55" t="s">
        <v>8470</v>
      </c>
      <c r="F494" s="129">
        <v>50</v>
      </c>
      <c r="G494" s="129">
        <v>7500</v>
      </c>
      <c r="H494" s="512">
        <v>6.53</v>
      </c>
      <c r="I494" s="265" t="s">
        <v>76</v>
      </c>
      <c r="J494" s="265" t="s">
        <v>102</v>
      </c>
      <c r="K494" s="265" t="s">
        <v>8471</v>
      </c>
      <c r="L494" s="265" t="s">
        <v>8472</v>
      </c>
      <c r="M494" s="265" t="s">
        <v>8473</v>
      </c>
      <c r="N494" s="347">
        <v>0.115</v>
      </c>
      <c r="O494" s="348">
        <v>10</v>
      </c>
      <c r="P494" s="348">
        <v>6.93</v>
      </c>
      <c r="Q494" s="348">
        <v>0.5</v>
      </c>
    </row>
    <row r="495" spans="1:17" ht="15" hidden="1" customHeight="1">
      <c r="A495" s="163">
        <v>488</v>
      </c>
      <c r="B495" s="53" t="s">
        <v>10</v>
      </c>
      <c r="C495" s="53" t="s">
        <v>8474</v>
      </c>
      <c r="D495" s="53">
        <v>100022545</v>
      </c>
      <c r="E495" s="55" t="s">
        <v>8475</v>
      </c>
      <c r="F495" s="129">
        <v>25</v>
      </c>
      <c r="G495" s="129">
        <v>3000</v>
      </c>
      <c r="H495" s="512">
        <v>15.78</v>
      </c>
      <c r="I495" s="265" t="s">
        <v>76</v>
      </c>
      <c r="J495" s="265" t="s">
        <v>102</v>
      </c>
      <c r="K495" s="265" t="s">
        <v>8476</v>
      </c>
      <c r="L495" s="265" t="s">
        <v>8477</v>
      </c>
      <c r="M495" s="265" t="s">
        <v>8478</v>
      </c>
      <c r="N495" s="347">
        <v>0.46300000000000002</v>
      </c>
      <c r="O495" s="348">
        <v>5</v>
      </c>
      <c r="P495" s="348">
        <v>11.57</v>
      </c>
      <c r="Q495" s="348">
        <v>0.65</v>
      </c>
    </row>
    <row r="496" spans="1:17" ht="15" hidden="1" customHeight="1">
      <c r="A496" s="163">
        <v>489</v>
      </c>
      <c r="B496" s="53" t="s">
        <v>10</v>
      </c>
      <c r="C496" s="53" t="s">
        <v>8479</v>
      </c>
      <c r="D496" s="53">
        <v>100022547</v>
      </c>
      <c r="E496" s="55" t="s">
        <v>8480</v>
      </c>
      <c r="F496" s="129">
        <v>250</v>
      </c>
      <c r="G496" s="129">
        <v>22500</v>
      </c>
      <c r="H496" s="512">
        <v>3.86</v>
      </c>
      <c r="I496" s="265" t="s">
        <v>76</v>
      </c>
      <c r="J496" s="265" t="s">
        <v>102</v>
      </c>
      <c r="K496" s="265" t="s">
        <v>8481</v>
      </c>
      <c r="L496" s="265" t="s">
        <v>8482</v>
      </c>
      <c r="M496" s="265" t="s">
        <v>8483</v>
      </c>
      <c r="N496" s="347">
        <v>7.0000000000000007E-2</v>
      </c>
      <c r="O496" s="348">
        <v>10</v>
      </c>
      <c r="P496" s="348">
        <v>18.53</v>
      </c>
      <c r="Q496" s="348">
        <v>0.8</v>
      </c>
    </row>
    <row r="497" spans="1:17" ht="15" hidden="1" customHeight="1">
      <c r="A497" s="163">
        <v>490</v>
      </c>
      <c r="B497" s="53" t="s">
        <v>10</v>
      </c>
      <c r="C497" s="53" t="s">
        <v>8484</v>
      </c>
      <c r="D497" s="53">
        <v>100022551</v>
      </c>
      <c r="E497" s="55" t="s">
        <v>8485</v>
      </c>
      <c r="F497" s="129">
        <v>50</v>
      </c>
      <c r="G497" s="129">
        <v>7500</v>
      </c>
      <c r="H497" s="512">
        <v>12.14</v>
      </c>
      <c r="I497" s="265" t="s">
        <v>76</v>
      </c>
      <c r="J497" s="265" t="s">
        <v>102</v>
      </c>
      <c r="K497" s="265" t="s">
        <v>8486</v>
      </c>
      <c r="L497" s="265" t="s">
        <v>8487</v>
      </c>
      <c r="M497" s="265" t="s">
        <v>8488</v>
      </c>
      <c r="N497" s="347">
        <v>0.19900000000000001</v>
      </c>
      <c r="O497" s="348">
        <v>10</v>
      </c>
      <c r="P497" s="348">
        <v>10.35</v>
      </c>
      <c r="Q497" s="348">
        <v>0.5</v>
      </c>
    </row>
    <row r="498" spans="1:17" ht="15" hidden="1" customHeight="1">
      <c r="A498" s="163">
        <v>491</v>
      </c>
      <c r="B498" s="53" t="s">
        <v>10</v>
      </c>
      <c r="C498" s="53" t="s">
        <v>8489</v>
      </c>
      <c r="D498" s="53">
        <v>100022555</v>
      </c>
      <c r="E498" s="55" t="s">
        <v>8490</v>
      </c>
      <c r="F498" s="129">
        <v>25</v>
      </c>
      <c r="G498" s="129">
        <v>3000</v>
      </c>
      <c r="H498" s="512">
        <v>16.440000000000001</v>
      </c>
      <c r="I498" s="265" t="s">
        <v>359</v>
      </c>
      <c r="J498" s="265" t="s">
        <v>102</v>
      </c>
      <c r="K498" s="265" t="s">
        <v>8491</v>
      </c>
      <c r="L498" s="265" t="s">
        <v>8492</v>
      </c>
      <c r="M498" s="265" t="s">
        <v>8493</v>
      </c>
      <c r="N498" s="347">
        <v>0.36599999999999999</v>
      </c>
      <c r="O498" s="348">
        <v>5</v>
      </c>
      <c r="P498" s="348">
        <v>9.8000000000000007</v>
      </c>
      <c r="Q498" s="348">
        <v>0.65</v>
      </c>
    </row>
    <row r="499" spans="1:17" ht="15" hidden="1" customHeight="1">
      <c r="A499" s="163">
        <v>492</v>
      </c>
      <c r="B499" s="53" t="s">
        <v>10</v>
      </c>
      <c r="C499" s="53" t="s">
        <v>8494</v>
      </c>
      <c r="D499" s="53">
        <v>100022559</v>
      </c>
      <c r="E499" s="55" t="s">
        <v>8495</v>
      </c>
      <c r="F499" s="129">
        <v>250</v>
      </c>
      <c r="G499" s="129">
        <v>22500</v>
      </c>
      <c r="H499" s="512">
        <v>4.49</v>
      </c>
      <c r="I499" s="265" t="s">
        <v>76</v>
      </c>
      <c r="J499" s="265" t="s">
        <v>102</v>
      </c>
      <c r="K499" s="265" t="s">
        <v>8496</v>
      </c>
      <c r="L499" s="265" t="s">
        <v>8497</v>
      </c>
      <c r="M499" s="265" t="s">
        <v>8498</v>
      </c>
      <c r="N499" s="347">
        <v>4.7E-2</v>
      </c>
      <c r="O499" s="348">
        <v>10</v>
      </c>
      <c r="P499" s="348">
        <v>14.96</v>
      </c>
      <c r="Q499" s="348">
        <v>0.8</v>
      </c>
    </row>
    <row r="500" spans="1:17" ht="15" hidden="1" customHeight="1">
      <c r="A500" s="163">
        <v>493</v>
      </c>
      <c r="B500" s="53" t="s">
        <v>10</v>
      </c>
      <c r="C500" s="53" t="s">
        <v>8499</v>
      </c>
      <c r="D500" s="53">
        <v>100022561</v>
      </c>
      <c r="E500" s="55" t="s">
        <v>8500</v>
      </c>
      <c r="F500" s="129">
        <v>150</v>
      </c>
      <c r="G500" s="129">
        <v>13500</v>
      </c>
      <c r="H500" s="512">
        <v>5.5</v>
      </c>
      <c r="I500" s="265" t="s">
        <v>76</v>
      </c>
      <c r="J500" s="265" t="s">
        <v>102</v>
      </c>
      <c r="K500" s="265" t="s">
        <v>8501</v>
      </c>
      <c r="L500" s="265" t="s">
        <v>8502</v>
      </c>
      <c r="M500" s="265" t="s">
        <v>8503</v>
      </c>
      <c r="N500" s="347">
        <v>8.3000000000000004E-2</v>
      </c>
      <c r="O500" s="348">
        <v>10</v>
      </c>
      <c r="P500" s="348">
        <v>13.25</v>
      </c>
      <c r="Q500" s="348">
        <v>0.8</v>
      </c>
    </row>
    <row r="501" spans="1:17" ht="15" hidden="1" customHeight="1">
      <c r="A501" s="163">
        <v>494</v>
      </c>
      <c r="B501" s="53" t="s">
        <v>10</v>
      </c>
      <c r="C501" s="53" t="s">
        <v>8504</v>
      </c>
      <c r="D501" s="53">
        <v>100022563</v>
      </c>
      <c r="E501" s="55" t="s">
        <v>8505</v>
      </c>
      <c r="F501" s="129">
        <v>50</v>
      </c>
      <c r="G501" s="129">
        <v>7500</v>
      </c>
      <c r="H501" s="512">
        <v>9.5</v>
      </c>
      <c r="I501" s="265" t="s">
        <v>76</v>
      </c>
      <c r="J501" s="265" t="s">
        <v>102</v>
      </c>
      <c r="K501" s="265" t="s">
        <v>8506</v>
      </c>
      <c r="L501" s="265" t="s">
        <v>8507</v>
      </c>
      <c r="M501" s="265" t="s">
        <v>8508</v>
      </c>
      <c r="N501" s="347">
        <v>0.13</v>
      </c>
      <c r="O501" s="348">
        <v>10</v>
      </c>
      <c r="P501" s="348">
        <v>7.17</v>
      </c>
      <c r="Q501" s="348">
        <v>0.5</v>
      </c>
    </row>
    <row r="502" spans="1:17" ht="15" hidden="1" customHeight="1">
      <c r="A502" s="163">
        <v>495</v>
      </c>
      <c r="B502" s="53" t="s">
        <v>10</v>
      </c>
      <c r="C502" s="53" t="s">
        <v>8509</v>
      </c>
      <c r="D502" s="53">
        <v>100022566</v>
      </c>
      <c r="E502" s="55" t="s">
        <v>8510</v>
      </c>
      <c r="F502" s="129">
        <v>50</v>
      </c>
      <c r="G502" s="129">
        <v>4500</v>
      </c>
      <c r="H502" s="512">
        <v>11.38</v>
      </c>
      <c r="I502" s="265" t="s">
        <v>359</v>
      </c>
      <c r="J502" s="265" t="s">
        <v>102</v>
      </c>
      <c r="K502" s="265" t="s">
        <v>8511</v>
      </c>
      <c r="L502" s="265" t="s">
        <v>8512</v>
      </c>
      <c r="M502" s="265" t="s">
        <v>8513</v>
      </c>
      <c r="N502" s="347">
        <v>0.224</v>
      </c>
      <c r="O502" s="348">
        <v>5</v>
      </c>
      <c r="P502" s="348">
        <v>11.85</v>
      </c>
      <c r="Q502" s="348">
        <v>0.8</v>
      </c>
    </row>
    <row r="503" spans="1:17" ht="15" hidden="1" customHeight="1">
      <c r="A503" s="163">
        <v>496</v>
      </c>
      <c r="B503" s="53" t="s">
        <v>10</v>
      </c>
      <c r="C503" s="53" t="s">
        <v>8514</v>
      </c>
      <c r="D503" s="53">
        <v>100022568</v>
      </c>
      <c r="E503" s="55" t="s">
        <v>8515</v>
      </c>
      <c r="F503" s="129">
        <v>50</v>
      </c>
      <c r="G503" s="129">
        <v>3750</v>
      </c>
      <c r="H503" s="512">
        <v>12.56</v>
      </c>
      <c r="I503" s="265" t="s">
        <v>76</v>
      </c>
      <c r="J503" s="265" t="s">
        <v>102</v>
      </c>
      <c r="K503" s="265" t="s">
        <v>8516</v>
      </c>
      <c r="L503" s="265" t="s">
        <v>8517</v>
      </c>
      <c r="M503" s="265" t="s">
        <v>8518</v>
      </c>
      <c r="N503" s="347">
        <v>0.224</v>
      </c>
      <c r="O503" s="348">
        <v>5</v>
      </c>
      <c r="P503" s="348">
        <v>12.43</v>
      </c>
      <c r="Q503" s="348">
        <v>0.95</v>
      </c>
    </row>
    <row r="504" spans="1:17" ht="15" hidden="1" customHeight="1">
      <c r="A504" s="163">
        <v>497</v>
      </c>
      <c r="B504" s="53" t="s">
        <v>10</v>
      </c>
      <c r="C504" s="53" t="s">
        <v>8519</v>
      </c>
      <c r="D504" s="53">
        <v>100022570</v>
      </c>
      <c r="E504" s="55" t="s">
        <v>8520</v>
      </c>
      <c r="F504" s="129">
        <v>20</v>
      </c>
      <c r="G504" s="129">
        <v>1800</v>
      </c>
      <c r="H504" s="512">
        <v>24.23</v>
      </c>
      <c r="I504" s="265" t="s">
        <v>76</v>
      </c>
      <c r="J504" s="265" t="s">
        <v>102</v>
      </c>
      <c r="K504" s="265" t="s">
        <v>8521</v>
      </c>
      <c r="L504" s="265" t="s">
        <v>8522</v>
      </c>
      <c r="M504" s="265" t="s">
        <v>8523</v>
      </c>
      <c r="N504" s="347">
        <v>0.40300000000000002</v>
      </c>
      <c r="O504" s="348">
        <v>5</v>
      </c>
      <c r="P504" s="348">
        <v>10.1</v>
      </c>
      <c r="Q504" s="348">
        <v>0.8</v>
      </c>
    </row>
    <row r="505" spans="1:17" ht="15" hidden="1" customHeight="1">
      <c r="A505" s="163">
        <v>498</v>
      </c>
      <c r="B505" s="53" t="s">
        <v>10</v>
      </c>
      <c r="C505" s="53" t="s">
        <v>8524</v>
      </c>
      <c r="D505" s="53">
        <v>100022575</v>
      </c>
      <c r="E505" s="55" t="s">
        <v>8525</v>
      </c>
      <c r="F505" s="129">
        <v>250</v>
      </c>
      <c r="G505" s="129">
        <v>22500</v>
      </c>
      <c r="H505" s="512">
        <v>3.48</v>
      </c>
      <c r="I505" s="265" t="s">
        <v>359</v>
      </c>
      <c r="J505" s="265" t="s">
        <v>102</v>
      </c>
      <c r="K505" s="265" t="s">
        <v>8526</v>
      </c>
      <c r="L505" s="265" t="s">
        <v>8527</v>
      </c>
      <c r="M505" s="265" t="s">
        <v>8528</v>
      </c>
      <c r="N505" s="347">
        <v>5.8000000000000003E-2</v>
      </c>
      <c r="O505" s="348">
        <v>10</v>
      </c>
      <c r="P505" s="348">
        <v>15.89</v>
      </c>
      <c r="Q505" s="348">
        <v>0.8</v>
      </c>
    </row>
    <row r="506" spans="1:17" ht="15" hidden="1" customHeight="1">
      <c r="A506" s="163">
        <v>499</v>
      </c>
      <c r="B506" s="53" t="s">
        <v>10</v>
      </c>
      <c r="C506" s="53" t="s">
        <v>8529</v>
      </c>
      <c r="D506" s="53">
        <v>100022577</v>
      </c>
      <c r="E506" s="55" t="s">
        <v>8530</v>
      </c>
      <c r="F506" s="129">
        <v>150</v>
      </c>
      <c r="G506" s="129">
        <v>13500</v>
      </c>
      <c r="H506" s="512">
        <v>4.07</v>
      </c>
      <c r="I506" s="265" t="s">
        <v>76</v>
      </c>
      <c r="J506" s="265" t="s">
        <v>102</v>
      </c>
      <c r="K506" s="265" t="s">
        <v>8531</v>
      </c>
      <c r="L506" s="265" t="s">
        <v>8532</v>
      </c>
      <c r="M506" s="265" t="s">
        <v>8533</v>
      </c>
      <c r="N506" s="347">
        <v>0.08</v>
      </c>
      <c r="O506" s="348">
        <v>10</v>
      </c>
      <c r="P506" s="348">
        <v>13.05</v>
      </c>
      <c r="Q506" s="348">
        <v>0.8</v>
      </c>
    </row>
    <row r="507" spans="1:17" ht="15" hidden="1" customHeight="1">
      <c r="A507" s="163">
        <v>500</v>
      </c>
      <c r="B507" s="53" t="s">
        <v>10</v>
      </c>
      <c r="C507" s="53" t="s">
        <v>8534</v>
      </c>
      <c r="D507" s="53">
        <v>100022579</v>
      </c>
      <c r="E507" s="55" t="s">
        <v>8535</v>
      </c>
      <c r="F507" s="129">
        <v>50</v>
      </c>
      <c r="G507" s="129">
        <v>6000</v>
      </c>
      <c r="H507" s="512">
        <v>6.84</v>
      </c>
      <c r="I507" s="265" t="s">
        <v>76</v>
      </c>
      <c r="J507" s="265" t="s">
        <v>102</v>
      </c>
      <c r="K507" s="265" t="s">
        <v>8536</v>
      </c>
      <c r="L507" s="265" t="s">
        <v>8537</v>
      </c>
      <c r="M507" s="265" t="s">
        <v>8538</v>
      </c>
      <c r="N507" s="347">
        <v>0.155</v>
      </c>
      <c r="O507" s="348">
        <v>10</v>
      </c>
      <c r="P507" s="348">
        <v>12.9</v>
      </c>
      <c r="Q507" s="348">
        <v>0.65</v>
      </c>
    </row>
    <row r="508" spans="1:17" ht="15" hidden="1" customHeight="1">
      <c r="A508" s="163">
        <v>501</v>
      </c>
      <c r="B508" s="53" t="s">
        <v>10</v>
      </c>
      <c r="C508" s="53" t="s">
        <v>8539</v>
      </c>
      <c r="D508" s="53">
        <v>100022581</v>
      </c>
      <c r="E508" s="55" t="s">
        <v>8540</v>
      </c>
      <c r="F508" s="129">
        <v>50</v>
      </c>
      <c r="G508" s="129">
        <v>4500</v>
      </c>
      <c r="H508" s="512">
        <v>9.5</v>
      </c>
      <c r="I508" s="265" t="s">
        <v>76</v>
      </c>
      <c r="J508" s="265" t="s">
        <v>102</v>
      </c>
      <c r="K508" s="265" t="s">
        <v>8541</v>
      </c>
      <c r="L508" s="265" t="s">
        <v>8542</v>
      </c>
      <c r="M508" s="265" t="s">
        <v>8543</v>
      </c>
      <c r="N508" s="347">
        <v>0.25800000000000001</v>
      </c>
      <c r="O508" s="348">
        <v>5</v>
      </c>
      <c r="P508" s="348">
        <v>8.65</v>
      </c>
      <c r="Q508" s="348">
        <v>0.8</v>
      </c>
    </row>
    <row r="509" spans="1:17" ht="15" hidden="1" customHeight="1">
      <c r="A509" s="163">
        <v>502</v>
      </c>
      <c r="B509" s="53" t="s">
        <v>10</v>
      </c>
      <c r="C509" s="53" t="s">
        <v>8544</v>
      </c>
      <c r="D509" s="53">
        <v>100022583</v>
      </c>
      <c r="E509" s="55" t="s">
        <v>8545</v>
      </c>
      <c r="F509" s="129">
        <v>25</v>
      </c>
      <c r="G509" s="129">
        <v>3000</v>
      </c>
      <c r="H509" s="512">
        <v>9.9600000000000009</v>
      </c>
      <c r="I509" s="265" t="s">
        <v>359</v>
      </c>
      <c r="J509" s="265" t="s">
        <v>102</v>
      </c>
      <c r="K509" s="265" t="s">
        <v>8546</v>
      </c>
      <c r="L509" s="265" t="s">
        <v>8547</v>
      </c>
      <c r="M509" s="265" t="s">
        <v>8548</v>
      </c>
      <c r="N509" s="347">
        <v>0.316</v>
      </c>
      <c r="O509" s="348">
        <v>5</v>
      </c>
      <c r="P509" s="348">
        <v>8.65</v>
      </c>
      <c r="Q509" s="348">
        <v>0.65</v>
      </c>
    </row>
    <row r="510" spans="1:17" ht="15" hidden="1" customHeight="1">
      <c r="A510" s="163">
        <v>503</v>
      </c>
      <c r="B510" s="53" t="s">
        <v>10</v>
      </c>
      <c r="C510" s="53" t="s">
        <v>8549</v>
      </c>
      <c r="D510" s="53">
        <v>100022585</v>
      </c>
      <c r="E510" s="55" t="s">
        <v>8550</v>
      </c>
      <c r="F510" s="129">
        <v>20</v>
      </c>
      <c r="G510" s="129">
        <v>1800</v>
      </c>
      <c r="H510" s="512">
        <v>24.51</v>
      </c>
      <c r="I510" s="265" t="s">
        <v>76</v>
      </c>
      <c r="J510" s="265" t="s">
        <v>102</v>
      </c>
      <c r="K510" s="265" t="s">
        <v>8551</v>
      </c>
      <c r="L510" s="265" t="s">
        <v>8552</v>
      </c>
      <c r="M510" s="265" t="s">
        <v>8553</v>
      </c>
      <c r="N510" s="347">
        <v>0.47599999999999998</v>
      </c>
      <c r="O510" s="348">
        <v>5</v>
      </c>
      <c r="P510" s="348">
        <v>10.25</v>
      </c>
      <c r="Q510" s="348">
        <v>0.8</v>
      </c>
    </row>
    <row r="511" spans="1:17" ht="15" hidden="1" customHeight="1">
      <c r="A511" s="163">
        <v>504</v>
      </c>
      <c r="B511" s="53" t="s">
        <v>10</v>
      </c>
      <c r="C511" s="53" t="s">
        <v>8554</v>
      </c>
      <c r="D511" s="53">
        <v>100022588</v>
      </c>
      <c r="E511" s="55" t="s">
        <v>8555</v>
      </c>
      <c r="F511" s="129">
        <v>100</v>
      </c>
      <c r="G511" s="129">
        <v>9000</v>
      </c>
      <c r="H511" s="512">
        <v>8.44</v>
      </c>
      <c r="I511" s="265" t="s">
        <v>76</v>
      </c>
      <c r="J511" s="265" t="s">
        <v>102</v>
      </c>
      <c r="K511" s="265" t="s">
        <v>8556</v>
      </c>
      <c r="L511" s="265" t="s">
        <v>8557</v>
      </c>
      <c r="M511" s="265" t="s">
        <v>8558</v>
      </c>
      <c r="N511" s="347">
        <v>0.15</v>
      </c>
      <c r="O511" s="348">
        <v>10</v>
      </c>
      <c r="P511" s="348">
        <v>15.67</v>
      </c>
      <c r="Q511" s="348">
        <v>0.8</v>
      </c>
    </row>
    <row r="512" spans="1:17" ht="15" hidden="1" customHeight="1">
      <c r="A512" s="163">
        <v>505</v>
      </c>
      <c r="B512" s="53" t="s">
        <v>10</v>
      </c>
      <c r="C512" s="53" t="s">
        <v>8559</v>
      </c>
      <c r="D512" s="53">
        <v>100022595</v>
      </c>
      <c r="E512" s="55" t="s">
        <v>8560</v>
      </c>
      <c r="F512" s="129">
        <v>50</v>
      </c>
      <c r="G512" s="129">
        <v>7500</v>
      </c>
      <c r="H512" s="512">
        <v>9.11</v>
      </c>
      <c r="I512" s="265" t="s">
        <v>359</v>
      </c>
      <c r="J512" s="265" t="s">
        <v>102</v>
      </c>
      <c r="K512" s="265" t="s">
        <v>8561</v>
      </c>
      <c r="L512" s="265" t="s">
        <v>8562</v>
      </c>
      <c r="M512" s="265" t="s">
        <v>8563</v>
      </c>
      <c r="N512" s="347">
        <v>0.13200000000000001</v>
      </c>
      <c r="O512" s="348">
        <v>10</v>
      </c>
      <c r="P512" s="348">
        <v>7.48</v>
      </c>
      <c r="Q512" s="348">
        <v>0.5</v>
      </c>
    </row>
    <row r="513" spans="1:17" ht="15" hidden="1" customHeight="1">
      <c r="A513" s="163">
        <v>506</v>
      </c>
      <c r="B513" s="53" t="s">
        <v>10</v>
      </c>
      <c r="C513" s="53" t="s">
        <v>8564</v>
      </c>
      <c r="D513" s="53">
        <v>100022601</v>
      </c>
      <c r="E513" s="55" t="s">
        <v>8565</v>
      </c>
      <c r="F513" s="129">
        <v>250</v>
      </c>
      <c r="G513" s="129">
        <v>30000</v>
      </c>
      <c r="H513" s="512">
        <v>4.67</v>
      </c>
      <c r="I513" s="265" t="s">
        <v>76</v>
      </c>
      <c r="J513" s="265" t="s">
        <v>102</v>
      </c>
      <c r="K513" s="265" t="s">
        <v>8566</v>
      </c>
      <c r="L513" s="265" t="s">
        <v>8567</v>
      </c>
      <c r="M513" s="265" t="s">
        <v>8568</v>
      </c>
      <c r="N513" s="347">
        <v>3.7999999999999999E-2</v>
      </c>
      <c r="O513" s="348">
        <v>10</v>
      </c>
      <c r="P513" s="348">
        <v>11.44</v>
      </c>
      <c r="Q513" s="348">
        <v>0.65</v>
      </c>
    </row>
    <row r="514" spans="1:17" ht="15" hidden="1" customHeight="1">
      <c r="A514" s="163">
        <v>507</v>
      </c>
      <c r="B514" s="53" t="s">
        <v>10</v>
      </c>
      <c r="C514" s="53" t="s">
        <v>8569</v>
      </c>
      <c r="D514" s="53">
        <v>100022603</v>
      </c>
      <c r="E514" s="55" t="s">
        <v>8570</v>
      </c>
      <c r="F514" s="129">
        <v>250</v>
      </c>
      <c r="G514" s="129">
        <v>37500</v>
      </c>
      <c r="H514" s="512">
        <v>3.9</v>
      </c>
      <c r="I514" s="265" t="s">
        <v>76</v>
      </c>
      <c r="J514" s="265" t="s">
        <v>102</v>
      </c>
      <c r="K514" s="265" t="s">
        <v>8571</v>
      </c>
      <c r="L514" s="265" t="s">
        <v>8572</v>
      </c>
      <c r="M514" s="265" t="s">
        <v>8573</v>
      </c>
      <c r="N514" s="347">
        <v>3.2000000000000001E-2</v>
      </c>
      <c r="O514" s="348">
        <v>10</v>
      </c>
      <c r="P514" s="348">
        <v>8.6999999999999993</v>
      </c>
      <c r="Q514" s="348">
        <v>0.5</v>
      </c>
    </row>
    <row r="515" spans="1:17" ht="15" hidden="1" customHeight="1">
      <c r="A515" s="163">
        <v>508</v>
      </c>
      <c r="B515" s="53" t="s">
        <v>10</v>
      </c>
      <c r="C515" s="53" t="s">
        <v>8574</v>
      </c>
      <c r="D515" s="53">
        <v>100022605</v>
      </c>
      <c r="E515" s="55" t="s">
        <v>8575</v>
      </c>
      <c r="F515" s="129">
        <v>250</v>
      </c>
      <c r="G515" s="129">
        <v>18750</v>
      </c>
      <c r="H515" s="512">
        <v>4.7</v>
      </c>
      <c r="I515" s="265" t="s">
        <v>76</v>
      </c>
      <c r="J515" s="265" t="s">
        <v>102</v>
      </c>
      <c r="K515" s="265" t="s">
        <v>8576</v>
      </c>
      <c r="L515" s="265" t="s">
        <v>8577</v>
      </c>
      <c r="M515" s="265" t="s">
        <v>8578</v>
      </c>
      <c r="N515" s="347">
        <v>0.05</v>
      </c>
      <c r="O515" s="348">
        <v>10</v>
      </c>
      <c r="P515" s="348">
        <v>13.51</v>
      </c>
      <c r="Q515" s="348">
        <v>0.95</v>
      </c>
    </row>
    <row r="516" spans="1:17" ht="15" hidden="1" customHeight="1">
      <c r="A516" s="163">
        <v>509</v>
      </c>
      <c r="B516" s="53" t="s">
        <v>10</v>
      </c>
      <c r="C516" s="53" t="s">
        <v>8579</v>
      </c>
      <c r="D516" s="53">
        <v>100022607</v>
      </c>
      <c r="E516" s="55" t="s">
        <v>8580</v>
      </c>
      <c r="F516" s="129">
        <v>100</v>
      </c>
      <c r="G516" s="129">
        <v>12000</v>
      </c>
      <c r="H516" s="512">
        <v>9.7899999999999991</v>
      </c>
      <c r="I516" s="265" t="s">
        <v>76</v>
      </c>
      <c r="J516" s="265" t="s">
        <v>102</v>
      </c>
      <c r="K516" s="265" t="s">
        <v>8581</v>
      </c>
      <c r="L516" s="265" t="s">
        <v>8582</v>
      </c>
      <c r="M516" s="265" t="s">
        <v>8583</v>
      </c>
      <c r="N516" s="347">
        <v>0.126</v>
      </c>
      <c r="O516" s="348">
        <v>10</v>
      </c>
      <c r="P516" s="348">
        <v>13.71</v>
      </c>
      <c r="Q516" s="348">
        <v>0.65</v>
      </c>
    </row>
    <row r="517" spans="1:17" ht="15" hidden="1" customHeight="1">
      <c r="A517" s="163">
        <v>510</v>
      </c>
      <c r="B517" s="53" t="s">
        <v>10</v>
      </c>
      <c r="C517" s="53" t="s">
        <v>8584</v>
      </c>
      <c r="D517" s="53">
        <v>100022609</v>
      </c>
      <c r="E517" s="55" t="s">
        <v>8585</v>
      </c>
      <c r="F517" s="129">
        <v>100</v>
      </c>
      <c r="G517" s="129">
        <v>12000</v>
      </c>
      <c r="H517" s="512">
        <v>8.1999999999999993</v>
      </c>
      <c r="I517" s="265" t="s">
        <v>359</v>
      </c>
      <c r="J517" s="265" t="s">
        <v>102</v>
      </c>
      <c r="K517" s="265" t="s">
        <v>8586</v>
      </c>
      <c r="L517" s="265" t="s">
        <v>8587</v>
      </c>
      <c r="M517" s="265" t="s">
        <v>8588</v>
      </c>
      <c r="N517" s="347">
        <v>8.8999999999999996E-2</v>
      </c>
      <c r="O517" s="348">
        <v>10</v>
      </c>
      <c r="P517" s="348">
        <v>8.9700000000000006</v>
      </c>
      <c r="Q517" s="348">
        <v>0.65</v>
      </c>
    </row>
    <row r="518" spans="1:17" ht="15" hidden="1" customHeight="1">
      <c r="A518" s="163">
        <v>511</v>
      </c>
      <c r="B518" s="53" t="s">
        <v>10</v>
      </c>
      <c r="C518" s="53" t="s">
        <v>8589</v>
      </c>
      <c r="D518" s="53">
        <v>100022613</v>
      </c>
      <c r="E518" s="55" t="s">
        <v>8590</v>
      </c>
      <c r="F518" s="129">
        <v>25</v>
      </c>
      <c r="G518" s="129">
        <v>3000</v>
      </c>
      <c r="H518" s="512">
        <v>13.18</v>
      </c>
      <c r="I518" s="265" t="s">
        <v>359</v>
      </c>
      <c r="J518" s="265" t="s">
        <v>102</v>
      </c>
      <c r="K518" s="265" t="s">
        <v>8591</v>
      </c>
      <c r="L518" s="265" t="s">
        <v>8592</v>
      </c>
      <c r="M518" s="265" t="s">
        <v>8593</v>
      </c>
      <c r="N518" s="347">
        <v>0.44</v>
      </c>
      <c r="O518" s="348">
        <v>5</v>
      </c>
      <c r="P518" s="348">
        <v>11.65</v>
      </c>
      <c r="Q518" s="348">
        <v>0.65</v>
      </c>
    </row>
    <row r="519" spans="1:17" ht="15" hidden="1" customHeight="1">
      <c r="A519" s="163">
        <v>512</v>
      </c>
      <c r="B519" s="53" t="s">
        <v>10</v>
      </c>
      <c r="C519" s="53" t="s">
        <v>8594</v>
      </c>
      <c r="D519" s="53">
        <v>100022615</v>
      </c>
      <c r="E519" s="55" t="s">
        <v>8595</v>
      </c>
      <c r="F519" s="129">
        <v>20</v>
      </c>
      <c r="G519" s="129">
        <v>1500</v>
      </c>
      <c r="H519" s="512">
        <v>25.13</v>
      </c>
      <c r="I519" s="265" t="s">
        <v>359</v>
      </c>
      <c r="J519" s="265" t="s">
        <v>102</v>
      </c>
      <c r="K519" s="265" t="s">
        <v>8596</v>
      </c>
      <c r="L519" s="265" t="s">
        <v>8597</v>
      </c>
      <c r="M519" s="265" t="s">
        <v>8598</v>
      </c>
      <c r="N519" s="347">
        <v>0.52</v>
      </c>
      <c r="O519" s="348">
        <v>5</v>
      </c>
      <c r="P519" s="348">
        <v>11.3</v>
      </c>
      <c r="Q519" s="348">
        <v>0.95</v>
      </c>
    </row>
    <row r="520" spans="1:17" ht="15" hidden="1" customHeight="1">
      <c r="A520" s="163">
        <v>513</v>
      </c>
      <c r="B520" s="53" t="s">
        <v>10</v>
      </c>
      <c r="C520" s="53" t="s">
        <v>8599</v>
      </c>
      <c r="D520" s="53">
        <v>100022618</v>
      </c>
      <c r="E520" s="55" t="s">
        <v>8600</v>
      </c>
      <c r="F520" s="129">
        <v>100</v>
      </c>
      <c r="G520" s="129">
        <v>12000</v>
      </c>
      <c r="H520" s="512">
        <v>8.6</v>
      </c>
      <c r="I520" s="265" t="s">
        <v>359</v>
      </c>
      <c r="J520" s="265" t="s">
        <v>102</v>
      </c>
      <c r="K520" s="265" t="s">
        <v>8601</v>
      </c>
      <c r="L520" s="265" t="s">
        <v>8602</v>
      </c>
      <c r="M520" s="265" t="s">
        <v>8603</v>
      </c>
      <c r="N520" s="347">
        <v>0.06</v>
      </c>
      <c r="O520" s="348">
        <v>10</v>
      </c>
      <c r="P520" s="348">
        <v>9.6199999999999992</v>
      </c>
      <c r="Q520" s="348">
        <v>0.65</v>
      </c>
    </row>
    <row r="521" spans="1:17" ht="15" hidden="1" customHeight="1">
      <c r="A521" s="163">
        <v>514</v>
      </c>
      <c r="B521" s="53" t="s">
        <v>10</v>
      </c>
      <c r="C521" s="53" t="s">
        <v>8604</v>
      </c>
      <c r="D521" s="53">
        <v>100027400</v>
      </c>
      <c r="E521" s="55" t="s">
        <v>8605</v>
      </c>
      <c r="F521" s="129">
        <v>100</v>
      </c>
      <c r="G521" s="129" t="s">
        <v>1205</v>
      </c>
      <c r="H521" s="512">
        <v>11.74</v>
      </c>
      <c r="I521" s="265" t="s">
        <v>76</v>
      </c>
      <c r="J521" s="265" t="s">
        <v>102</v>
      </c>
      <c r="K521" s="265" t="s">
        <v>8606</v>
      </c>
      <c r="L521" s="348" t="s">
        <v>1205</v>
      </c>
      <c r="M521" s="265" t="s">
        <v>8607</v>
      </c>
      <c r="N521" s="347">
        <v>8.5999999999999993E-2</v>
      </c>
      <c r="O521" s="348">
        <v>10</v>
      </c>
      <c r="P521" s="348" t="s">
        <v>1205</v>
      </c>
      <c r="Q521" s="348" t="s">
        <v>1205</v>
      </c>
    </row>
    <row r="522" spans="1:17" ht="15" hidden="1" customHeight="1">
      <c r="A522" s="163">
        <v>515</v>
      </c>
      <c r="B522" s="53" t="s">
        <v>10</v>
      </c>
      <c r="C522" s="53" t="s">
        <v>8608</v>
      </c>
      <c r="D522" s="53">
        <v>100027401</v>
      </c>
      <c r="E522" s="55" t="s">
        <v>8609</v>
      </c>
      <c r="F522" s="129">
        <v>50</v>
      </c>
      <c r="G522" s="129" t="s">
        <v>1205</v>
      </c>
      <c r="H522" s="512">
        <v>15.02</v>
      </c>
      <c r="I522" s="265" t="s">
        <v>76</v>
      </c>
      <c r="J522" s="265" t="s">
        <v>102</v>
      </c>
      <c r="K522" s="265" t="s">
        <v>8610</v>
      </c>
      <c r="L522" s="348" t="s">
        <v>1205</v>
      </c>
      <c r="M522" s="265" t="s">
        <v>8611</v>
      </c>
      <c r="N522" s="347">
        <v>0.151</v>
      </c>
      <c r="O522" s="348">
        <v>10</v>
      </c>
      <c r="P522" s="348" t="s">
        <v>1205</v>
      </c>
      <c r="Q522" s="348" t="s">
        <v>1205</v>
      </c>
    </row>
    <row r="523" spans="1:17" ht="15" hidden="1" customHeight="1">
      <c r="A523" s="163">
        <v>516</v>
      </c>
      <c r="B523" s="53" t="s">
        <v>10</v>
      </c>
      <c r="C523" s="53" t="s">
        <v>8612</v>
      </c>
      <c r="D523" s="53">
        <v>100022626</v>
      </c>
      <c r="E523" s="55" t="s">
        <v>8613</v>
      </c>
      <c r="F523" s="129">
        <v>100</v>
      </c>
      <c r="G523" s="129">
        <v>9000</v>
      </c>
      <c r="H523" s="512">
        <v>10.87</v>
      </c>
      <c r="I523" s="265" t="s">
        <v>359</v>
      </c>
      <c r="J523" s="265" t="s">
        <v>102</v>
      </c>
      <c r="K523" s="265" t="s">
        <v>8614</v>
      </c>
      <c r="L523" s="265" t="s">
        <v>8615</v>
      </c>
      <c r="M523" s="265" t="s">
        <v>8616</v>
      </c>
      <c r="N523" s="347">
        <v>0.11</v>
      </c>
      <c r="O523" s="348">
        <v>10</v>
      </c>
      <c r="P523" s="348">
        <v>12.6</v>
      </c>
      <c r="Q523" s="348">
        <v>0.8</v>
      </c>
    </row>
    <row r="524" spans="1:17" ht="15" hidden="1" customHeight="1">
      <c r="A524" s="163">
        <v>517</v>
      </c>
      <c r="B524" s="53" t="s">
        <v>10</v>
      </c>
      <c r="C524" s="53" t="s">
        <v>8617</v>
      </c>
      <c r="D524" s="53">
        <v>100022631</v>
      </c>
      <c r="E524" s="55" t="s">
        <v>8618</v>
      </c>
      <c r="F524" s="129">
        <v>250</v>
      </c>
      <c r="G524" s="129">
        <v>22500</v>
      </c>
      <c r="H524" s="512">
        <v>2.65</v>
      </c>
      <c r="I524" s="265" t="s">
        <v>76</v>
      </c>
      <c r="J524" s="265" t="s">
        <v>102</v>
      </c>
      <c r="K524" s="265" t="s">
        <v>8619</v>
      </c>
      <c r="L524" s="265" t="s">
        <v>8620</v>
      </c>
      <c r="M524" s="265" t="s">
        <v>8621</v>
      </c>
      <c r="N524" s="347">
        <v>4.8000000000000001E-2</v>
      </c>
      <c r="O524" s="348">
        <v>10</v>
      </c>
      <c r="P524" s="348">
        <v>13.27</v>
      </c>
      <c r="Q524" s="348">
        <v>0.8</v>
      </c>
    </row>
    <row r="525" spans="1:17" ht="15" hidden="1" customHeight="1">
      <c r="A525" s="163">
        <v>518</v>
      </c>
      <c r="B525" s="53" t="s">
        <v>10</v>
      </c>
      <c r="C525" s="53" t="s">
        <v>8622</v>
      </c>
      <c r="D525" s="53">
        <v>100022633</v>
      </c>
      <c r="E525" s="55" t="s">
        <v>8623</v>
      </c>
      <c r="F525" s="129">
        <v>100</v>
      </c>
      <c r="G525" s="129">
        <v>24000</v>
      </c>
      <c r="H525" s="512">
        <v>4.07</v>
      </c>
      <c r="I525" s="265" t="s">
        <v>76</v>
      </c>
      <c r="J525" s="265" t="s">
        <v>102</v>
      </c>
      <c r="K525" s="265" t="s">
        <v>8624</v>
      </c>
      <c r="L525" s="265" t="s">
        <v>8625</v>
      </c>
      <c r="M525" s="265" t="s">
        <v>8626</v>
      </c>
      <c r="N525" s="347">
        <v>8.3000000000000004E-2</v>
      </c>
      <c r="O525" s="348">
        <v>10</v>
      </c>
      <c r="P525" s="348">
        <v>9</v>
      </c>
      <c r="Q525" s="348">
        <v>0.65</v>
      </c>
    </row>
    <row r="526" spans="1:17" ht="15" hidden="1" customHeight="1">
      <c r="A526" s="163">
        <v>519</v>
      </c>
      <c r="B526" s="53" t="s">
        <v>10</v>
      </c>
      <c r="C526" s="53" t="s">
        <v>8627</v>
      </c>
      <c r="D526" s="53">
        <v>100022635</v>
      </c>
      <c r="E526" s="55" t="s">
        <v>8628</v>
      </c>
      <c r="F526" s="129">
        <v>100</v>
      </c>
      <c r="G526" s="129">
        <v>9000</v>
      </c>
      <c r="H526" s="512">
        <v>4.92</v>
      </c>
      <c r="I526" s="265" t="s">
        <v>76</v>
      </c>
      <c r="J526" s="265" t="s">
        <v>102</v>
      </c>
      <c r="K526" s="265" t="s">
        <v>8629</v>
      </c>
      <c r="L526" s="265" t="s">
        <v>8630</v>
      </c>
      <c r="M526" s="265" t="s">
        <v>8631</v>
      </c>
      <c r="N526" s="347">
        <v>0.13500000000000001</v>
      </c>
      <c r="O526" s="348">
        <v>10</v>
      </c>
      <c r="P526" s="348">
        <v>14.72</v>
      </c>
      <c r="Q526" s="348">
        <v>0.8</v>
      </c>
    </row>
    <row r="527" spans="1:17" ht="15" hidden="1" customHeight="1">
      <c r="A527" s="163">
        <v>520</v>
      </c>
      <c r="B527" s="53" t="s">
        <v>10</v>
      </c>
      <c r="C527" s="53" t="s">
        <v>8632</v>
      </c>
      <c r="D527" s="53">
        <v>100022637</v>
      </c>
      <c r="E527" s="55" t="s">
        <v>8633</v>
      </c>
      <c r="F527" s="129">
        <v>50</v>
      </c>
      <c r="G527" s="129">
        <v>4500</v>
      </c>
      <c r="H527" s="512">
        <v>6.84</v>
      </c>
      <c r="I527" s="265" t="s">
        <v>76</v>
      </c>
      <c r="J527" s="265" t="s">
        <v>102</v>
      </c>
      <c r="K527" s="265" t="s">
        <v>8634</v>
      </c>
      <c r="L527" s="265" t="s">
        <v>8635</v>
      </c>
      <c r="M527" s="265" t="s">
        <v>8636</v>
      </c>
      <c r="N527" s="347">
        <v>0.19400000000000001</v>
      </c>
      <c r="O527" s="348">
        <v>5</v>
      </c>
      <c r="P527" s="348">
        <v>10.73</v>
      </c>
      <c r="Q527" s="348">
        <v>0.8</v>
      </c>
    </row>
    <row r="528" spans="1:17" ht="15" hidden="1" customHeight="1">
      <c r="A528" s="163">
        <v>521</v>
      </c>
      <c r="B528" s="53" t="s">
        <v>10</v>
      </c>
      <c r="C528" s="53" t="s">
        <v>8637</v>
      </c>
      <c r="D528" s="53">
        <v>100022639</v>
      </c>
      <c r="E528" s="55" t="s">
        <v>8638</v>
      </c>
      <c r="F528" s="129">
        <v>50</v>
      </c>
      <c r="G528" s="129">
        <v>3750</v>
      </c>
      <c r="H528" s="512">
        <v>8.5399999999999991</v>
      </c>
      <c r="I528" s="265" t="s">
        <v>76</v>
      </c>
      <c r="J528" s="265" t="s">
        <v>102</v>
      </c>
      <c r="K528" s="265" t="s">
        <v>8639</v>
      </c>
      <c r="L528" s="265" t="s">
        <v>8640</v>
      </c>
      <c r="M528" s="265" t="s">
        <v>8641</v>
      </c>
      <c r="N528" s="347">
        <v>0.22800000000000001</v>
      </c>
      <c r="O528" s="348">
        <v>10</v>
      </c>
      <c r="P528" s="348">
        <v>12.35</v>
      </c>
      <c r="Q528" s="348">
        <v>0.95</v>
      </c>
    </row>
    <row r="529" spans="1:17" ht="15" hidden="1" customHeight="1">
      <c r="A529" s="163">
        <v>522</v>
      </c>
      <c r="B529" s="53" t="s">
        <v>10</v>
      </c>
      <c r="C529" s="53" t="s">
        <v>8642</v>
      </c>
      <c r="D529" s="53">
        <v>100027403</v>
      </c>
      <c r="E529" s="55" t="s">
        <v>8643</v>
      </c>
      <c r="F529" s="129">
        <v>20</v>
      </c>
      <c r="G529" s="129">
        <v>2400</v>
      </c>
      <c r="H529" s="512">
        <v>11.15</v>
      </c>
      <c r="I529" s="265" t="s">
        <v>76</v>
      </c>
      <c r="J529" s="265" t="s">
        <v>102</v>
      </c>
      <c r="K529" s="265" t="s">
        <v>8644</v>
      </c>
      <c r="L529" s="265" t="s">
        <v>8645</v>
      </c>
      <c r="M529" s="265" t="s">
        <v>8646</v>
      </c>
      <c r="N529" s="347">
        <v>0.307</v>
      </c>
      <c r="O529" s="348">
        <v>5</v>
      </c>
      <c r="P529" s="348">
        <v>7.56</v>
      </c>
      <c r="Q529" s="348">
        <v>0.65</v>
      </c>
    </row>
    <row r="530" spans="1:17" ht="15" hidden="1" customHeight="1">
      <c r="A530" s="163">
        <v>523</v>
      </c>
      <c r="B530" s="53" t="s">
        <v>10</v>
      </c>
      <c r="C530" s="53" t="s">
        <v>8647</v>
      </c>
      <c r="D530" s="53">
        <v>100022641</v>
      </c>
      <c r="E530" s="55" t="s">
        <v>8648</v>
      </c>
      <c r="F530" s="129">
        <v>10</v>
      </c>
      <c r="G530" s="129">
        <v>900</v>
      </c>
      <c r="H530" s="512">
        <v>29.05</v>
      </c>
      <c r="I530" s="265" t="s">
        <v>76</v>
      </c>
      <c r="J530" s="265" t="s">
        <v>102</v>
      </c>
      <c r="K530" s="265" t="s">
        <v>8649</v>
      </c>
      <c r="L530" s="348" t="s">
        <v>1205</v>
      </c>
      <c r="M530" s="265" t="s">
        <v>8650</v>
      </c>
      <c r="N530" s="347">
        <v>0.63200000000000001</v>
      </c>
      <c r="O530" s="348" t="s">
        <v>1205</v>
      </c>
      <c r="P530" s="348">
        <v>8.81</v>
      </c>
      <c r="Q530" s="348">
        <v>0.8</v>
      </c>
    </row>
    <row r="531" spans="1:17" ht="15" hidden="1" customHeight="1">
      <c r="A531" s="163">
        <v>524</v>
      </c>
      <c r="B531" s="53" t="s">
        <v>10</v>
      </c>
      <c r="C531" s="53" t="s">
        <v>8651</v>
      </c>
      <c r="D531" s="53">
        <v>100022643</v>
      </c>
      <c r="E531" s="55" t="s">
        <v>8652</v>
      </c>
      <c r="F531" s="129">
        <v>8</v>
      </c>
      <c r="G531" s="129">
        <v>720</v>
      </c>
      <c r="H531" s="512">
        <v>45.06</v>
      </c>
      <c r="I531" s="265" t="s">
        <v>76</v>
      </c>
      <c r="J531" s="265" t="s">
        <v>102</v>
      </c>
      <c r="K531" s="265" t="s">
        <v>8653</v>
      </c>
      <c r="L531" s="348" t="s">
        <v>1205</v>
      </c>
      <c r="M531" s="265" t="s">
        <v>8654</v>
      </c>
      <c r="N531" s="347">
        <v>1.53</v>
      </c>
      <c r="O531" s="348" t="s">
        <v>1205</v>
      </c>
      <c r="P531" s="348">
        <v>13</v>
      </c>
      <c r="Q531" s="348">
        <v>0.8</v>
      </c>
    </row>
    <row r="532" spans="1:17" ht="15" hidden="1" customHeight="1">
      <c r="A532" s="163">
        <v>525</v>
      </c>
      <c r="B532" s="53" t="s">
        <v>10</v>
      </c>
      <c r="C532" s="53" t="s">
        <v>8655</v>
      </c>
      <c r="D532" s="53">
        <v>100022645</v>
      </c>
      <c r="E532" s="55" t="s">
        <v>8656</v>
      </c>
      <c r="F532" s="129">
        <v>3</v>
      </c>
      <c r="G532" s="129">
        <v>270</v>
      </c>
      <c r="H532" s="512">
        <v>80.77</v>
      </c>
      <c r="I532" s="265" t="s">
        <v>76</v>
      </c>
      <c r="J532" s="265" t="s">
        <v>102</v>
      </c>
      <c r="K532" s="265" t="s">
        <v>8657</v>
      </c>
      <c r="L532" s="348" t="s">
        <v>1205</v>
      </c>
      <c r="M532" s="265" t="s">
        <v>8658</v>
      </c>
      <c r="N532" s="347">
        <v>1.48</v>
      </c>
      <c r="O532" s="348" t="s">
        <v>1205</v>
      </c>
      <c r="P532" s="348">
        <v>7.07</v>
      </c>
      <c r="Q532" s="348">
        <v>0.8</v>
      </c>
    </row>
    <row r="533" spans="1:17" ht="15" hidden="1" customHeight="1">
      <c r="A533" s="163">
        <v>526</v>
      </c>
      <c r="B533" s="53" t="s">
        <v>10</v>
      </c>
      <c r="C533" s="53" t="s">
        <v>8659</v>
      </c>
      <c r="D533" s="53">
        <v>100022647</v>
      </c>
      <c r="E533" s="55" t="s">
        <v>8660</v>
      </c>
      <c r="F533" s="129">
        <v>2</v>
      </c>
      <c r="G533" s="129">
        <v>150</v>
      </c>
      <c r="H533" s="512">
        <v>160.22999999999999</v>
      </c>
      <c r="I533" s="265" t="s">
        <v>76</v>
      </c>
      <c r="J533" s="265" t="s">
        <v>102</v>
      </c>
      <c r="K533" s="265" t="s">
        <v>8661</v>
      </c>
      <c r="L533" s="348" t="s">
        <v>1205</v>
      </c>
      <c r="M533" s="265" t="s">
        <v>8662</v>
      </c>
      <c r="N533" s="347">
        <v>3.1560000000000001</v>
      </c>
      <c r="O533" s="348" t="s">
        <v>1205</v>
      </c>
      <c r="P533" s="348">
        <v>7.05</v>
      </c>
      <c r="Q533" s="348">
        <v>0.95</v>
      </c>
    </row>
    <row r="534" spans="1:17" ht="15" hidden="1" customHeight="1">
      <c r="A534" s="163">
        <v>527</v>
      </c>
      <c r="B534" s="53" t="s">
        <v>10</v>
      </c>
      <c r="C534" s="53" t="s">
        <v>8663</v>
      </c>
      <c r="D534" s="53">
        <v>100022649</v>
      </c>
      <c r="E534" s="55" t="s">
        <v>8664</v>
      </c>
      <c r="F534" s="129">
        <v>2</v>
      </c>
      <c r="G534" s="129">
        <v>120</v>
      </c>
      <c r="H534" s="512">
        <v>199.57</v>
      </c>
      <c r="I534" s="265" t="s">
        <v>76</v>
      </c>
      <c r="J534" s="265" t="s">
        <v>102</v>
      </c>
      <c r="K534" s="265" t="s">
        <v>8665</v>
      </c>
      <c r="L534" s="348" t="s">
        <v>1205</v>
      </c>
      <c r="M534" s="265" t="s">
        <v>8666</v>
      </c>
      <c r="N534" s="347">
        <v>4.0549999999999997</v>
      </c>
      <c r="O534" s="348" t="s">
        <v>1205</v>
      </c>
      <c r="P534" s="348">
        <v>9.06</v>
      </c>
      <c r="Q534" s="348">
        <v>1.41</v>
      </c>
    </row>
    <row r="535" spans="1:17" ht="15" hidden="1" customHeight="1">
      <c r="A535" s="163">
        <v>528</v>
      </c>
      <c r="B535" s="53" t="s">
        <v>10</v>
      </c>
      <c r="C535" s="53" t="s">
        <v>8667</v>
      </c>
      <c r="D535" s="53">
        <v>100027404</v>
      </c>
      <c r="E535" s="55" t="s">
        <v>8668</v>
      </c>
      <c r="F535" s="129">
        <v>2</v>
      </c>
      <c r="G535" s="129">
        <v>48</v>
      </c>
      <c r="H535" s="512">
        <v>479.99</v>
      </c>
      <c r="I535" s="265" t="s">
        <v>76</v>
      </c>
      <c r="J535" s="265" t="s">
        <v>102</v>
      </c>
      <c r="K535" s="265" t="s">
        <v>8669</v>
      </c>
      <c r="L535" s="348" t="s">
        <v>1205</v>
      </c>
      <c r="M535" s="265" t="s">
        <v>8670</v>
      </c>
      <c r="N535" s="347">
        <v>8.2059999999999995</v>
      </c>
      <c r="O535" s="348" t="s">
        <v>1205</v>
      </c>
      <c r="P535" s="348">
        <v>18.489999999999998</v>
      </c>
      <c r="Q535" s="348">
        <v>2.77</v>
      </c>
    </row>
    <row r="536" spans="1:17" ht="15" hidden="1" customHeight="1">
      <c r="A536" s="163">
        <v>529</v>
      </c>
      <c r="B536" s="53" t="s">
        <v>10</v>
      </c>
      <c r="C536" s="53" t="s">
        <v>8671</v>
      </c>
      <c r="D536" s="53">
        <v>100022651</v>
      </c>
      <c r="E536" s="55" t="s">
        <v>8672</v>
      </c>
      <c r="F536" s="129">
        <v>100</v>
      </c>
      <c r="G536" s="129">
        <v>9000</v>
      </c>
      <c r="H536" s="512">
        <v>6.1</v>
      </c>
      <c r="I536" s="265" t="s">
        <v>76</v>
      </c>
      <c r="J536" s="265" t="s">
        <v>102</v>
      </c>
      <c r="K536" s="265" t="s">
        <v>8673</v>
      </c>
      <c r="L536" s="265" t="s">
        <v>8674</v>
      </c>
      <c r="M536" s="265" t="s">
        <v>8675</v>
      </c>
      <c r="N536" s="347">
        <v>8.5999999999999993E-2</v>
      </c>
      <c r="O536" s="348">
        <v>10</v>
      </c>
      <c r="P536" s="348">
        <v>9.39</v>
      </c>
      <c r="Q536" s="348">
        <v>0.8</v>
      </c>
    </row>
    <row r="537" spans="1:17" ht="15" hidden="1" customHeight="1">
      <c r="A537" s="163">
        <v>530</v>
      </c>
      <c r="B537" s="53" t="s">
        <v>10</v>
      </c>
      <c r="C537" s="53" t="s">
        <v>8676</v>
      </c>
      <c r="D537" s="53">
        <v>100022653</v>
      </c>
      <c r="E537" s="55" t="s">
        <v>8677</v>
      </c>
      <c r="F537" s="129">
        <v>50</v>
      </c>
      <c r="G537" s="129">
        <v>6000</v>
      </c>
      <c r="H537" s="512">
        <v>10.08</v>
      </c>
      <c r="I537" s="265" t="s">
        <v>76</v>
      </c>
      <c r="J537" s="265" t="s">
        <v>102</v>
      </c>
      <c r="K537" s="265" t="s">
        <v>8678</v>
      </c>
      <c r="L537" s="265" t="s">
        <v>8679</v>
      </c>
      <c r="M537" s="265" t="s">
        <v>8680</v>
      </c>
      <c r="N537" s="347">
        <v>0.13900000000000001</v>
      </c>
      <c r="O537" s="348">
        <v>10</v>
      </c>
      <c r="P537" s="348">
        <v>7.57</v>
      </c>
      <c r="Q537" s="348">
        <v>0.65</v>
      </c>
    </row>
    <row r="538" spans="1:17" ht="15" hidden="1" customHeight="1">
      <c r="A538" s="163">
        <v>531</v>
      </c>
      <c r="B538" s="53" t="s">
        <v>10</v>
      </c>
      <c r="C538" s="53" t="s">
        <v>8681</v>
      </c>
      <c r="D538" s="53">
        <v>100027405</v>
      </c>
      <c r="E538" s="55" t="s">
        <v>8682</v>
      </c>
      <c r="F538" s="129">
        <v>25</v>
      </c>
      <c r="G538" s="129">
        <v>3750</v>
      </c>
      <c r="H538" s="512">
        <v>12.56</v>
      </c>
      <c r="I538" s="265" t="s">
        <v>76</v>
      </c>
      <c r="J538" s="265" t="s">
        <v>102</v>
      </c>
      <c r="K538" s="265">
        <v>0</v>
      </c>
      <c r="L538" s="265" t="s">
        <v>8683</v>
      </c>
      <c r="M538" s="265" t="s">
        <v>8684</v>
      </c>
      <c r="N538" s="347">
        <v>0.224</v>
      </c>
      <c r="O538" s="348">
        <v>5</v>
      </c>
      <c r="P538" s="348">
        <v>6.28</v>
      </c>
      <c r="Q538" s="348">
        <v>0.5</v>
      </c>
    </row>
    <row r="539" spans="1:17" ht="15" hidden="1" customHeight="1">
      <c r="A539" s="163">
        <v>532</v>
      </c>
      <c r="B539" s="53" t="s">
        <v>10</v>
      </c>
      <c r="C539" s="53" t="s">
        <v>8685</v>
      </c>
      <c r="D539" s="53">
        <v>100022659</v>
      </c>
      <c r="E539" s="55" t="s">
        <v>8686</v>
      </c>
      <c r="F539" s="129">
        <v>10</v>
      </c>
      <c r="G539" s="129">
        <v>900</v>
      </c>
      <c r="H539" s="512">
        <v>27.77</v>
      </c>
      <c r="I539" s="265" t="s">
        <v>76</v>
      </c>
      <c r="J539" s="265" t="s">
        <v>102</v>
      </c>
      <c r="K539" s="265" t="s">
        <v>8687</v>
      </c>
      <c r="L539" s="348" t="s">
        <v>1205</v>
      </c>
      <c r="M539" s="265" t="s">
        <v>8688</v>
      </c>
      <c r="N539" s="347">
        <v>0.70399999999999996</v>
      </c>
      <c r="O539" s="348" t="s">
        <v>1205</v>
      </c>
      <c r="P539" s="348">
        <v>7.65</v>
      </c>
      <c r="Q539" s="348">
        <v>0.8</v>
      </c>
    </row>
    <row r="540" spans="1:17" ht="15" hidden="1" customHeight="1">
      <c r="A540" s="163">
        <v>533</v>
      </c>
      <c r="B540" s="53" t="s">
        <v>10</v>
      </c>
      <c r="C540" s="53" t="s">
        <v>8689</v>
      </c>
      <c r="D540" s="53">
        <v>100022664</v>
      </c>
      <c r="E540" s="55" t="s">
        <v>8690</v>
      </c>
      <c r="F540" s="129">
        <v>50</v>
      </c>
      <c r="G540" s="129">
        <v>3750</v>
      </c>
      <c r="H540" s="512">
        <v>8.5399999999999991</v>
      </c>
      <c r="I540" s="265" t="s">
        <v>76</v>
      </c>
      <c r="J540" s="265" t="s">
        <v>102</v>
      </c>
      <c r="K540" s="265" t="s">
        <v>8691</v>
      </c>
      <c r="L540" s="265" t="s">
        <v>8692</v>
      </c>
      <c r="M540" s="265" t="s">
        <v>8693</v>
      </c>
      <c r="N540" s="347">
        <v>0.25</v>
      </c>
      <c r="O540" s="348">
        <v>10</v>
      </c>
      <c r="P540" s="348">
        <v>13.58</v>
      </c>
      <c r="Q540" s="348">
        <v>0.95</v>
      </c>
    </row>
    <row r="541" spans="1:17" ht="15" hidden="1" customHeight="1">
      <c r="A541" s="163">
        <v>534</v>
      </c>
      <c r="B541" s="53" t="s">
        <v>10</v>
      </c>
      <c r="C541" s="53" t="s">
        <v>8694</v>
      </c>
      <c r="D541" s="53">
        <v>100022666</v>
      </c>
      <c r="E541" s="55" t="s">
        <v>8695</v>
      </c>
      <c r="F541" s="129">
        <v>20</v>
      </c>
      <c r="G541" s="129">
        <v>2400</v>
      </c>
      <c r="H541" s="512">
        <v>11.15</v>
      </c>
      <c r="I541" s="265" t="s">
        <v>76</v>
      </c>
      <c r="J541" s="265" t="s">
        <v>102</v>
      </c>
      <c r="K541" s="265" t="s">
        <v>8696</v>
      </c>
      <c r="L541" s="265" t="s">
        <v>8697</v>
      </c>
      <c r="M541" s="265" t="s">
        <v>8698</v>
      </c>
      <c r="N541" s="347">
        <v>0.34599999999999997</v>
      </c>
      <c r="O541" s="348">
        <v>5</v>
      </c>
      <c r="P541" s="348">
        <v>7.87</v>
      </c>
      <c r="Q541" s="348">
        <v>0.65</v>
      </c>
    </row>
    <row r="542" spans="1:17" ht="15" hidden="1" customHeight="1">
      <c r="A542" s="163">
        <v>535</v>
      </c>
      <c r="B542" s="53" t="s">
        <v>10</v>
      </c>
      <c r="C542" s="53" t="s">
        <v>8699</v>
      </c>
      <c r="D542" s="53">
        <v>100022668</v>
      </c>
      <c r="E542" s="55" t="s">
        <v>8700</v>
      </c>
      <c r="F542" s="129">
        <v>250</v>
      </c>
      <c r="G542" s="129">
        <v>30000</v>
      </c>
      <c r="H542" s="512">
        <v>1.03</v>
      </c>
      <c r="I542" s="265" t="s">
        <v>76</v>
      </c>
      <c r="J542" s="265" t="s">
        <v>102</v>
      </c>
      <c r="K542" s="265" t="s">
        <v>8701</v>
      </c>
      <c r="L542" s="265" t="s">
        <v>8702</v>
      </c>
      <c r="M542" s="265" t="s">
        <v>8703</v>
      </c>
      <c r="N542" s="347">
        <v>3.6999999999999998E-2</v>
      </c>
      <c r="O542" s="348">
        <v>10</v>
      </c>
      <c r="P542" s="348">
        <v>10.52</v>
      </c>
      <c r="Q542" s="348">
        <v>0.65</v>
      </c>
    </row>
    <row r="543" spans="1:17" ht="15" hidden="1" customHeight="1">
      <c r="A543" s="163">
        <v>536</v>
      </c>
      <c r="B543" s="53" t="s">
        <v>10</v>
      </c>
      <c r="C543" s="53" t="s">
        <v>8704</v>
      </c>
      <c r="D543" s="53">
        <v>100022672</v>
      </c>
      <c r="E543" s="55" t="s">
        <v>8705</v>
      </c>
      <c r="F543" s="129">
        <v>250</v>
      </c>
      <c r="G543" s="129">
        <v>18750</v>
      </c>
      <c r="H543" s="512">
        <v>1.42</v>
      </c>
      <c r="I543" s="265" t="s">
        <v>76</v>
      </c>
      <c r="J543" s="265" t="s">
        <v>102</v>
      </c>
      <c r="K543" s="265" t="s">
        <v>8706</v>
      </c>
      <c r="L543" s="265" t="s">
        <v>8707</v>
      </c>
      <c r="M543" s="265" t="s">
        <v>8708</v>
      </c>
      <c r="N543" s="347">
        <v>5.5E-2</v>
      </c>
      <c r="O543" s="348">
        <v>10</v>
      </c>
      <c r="P543" s="348">
        <v>15.03</v>
      </c>
      <c r="Q543" s="348">
        <v>0.95</v>
      </c>
    </row>
    <row r="544" spans="1:17" ht="15" hidden="1" customHeight="1">
      <c r="A544" s="163">
        <v>537</v>
      </c>
      <c r="B544" s="53" t="s">
        <v>10</v>
      </c>
      <c r="C544" s="53" t="s">
        <v>8709</v>
      </c>
      <c r="D544" s="53">
        <v>100022674</v>
      </c>
      <c r="E544" s="55" t="s">
        <v>8710</v>
      </c>
      <c r="F544" s="129">
        <v>100</v>
      </c>
      <c r="G544" s="129">
        <v>12000</v>
      </c>
      <c r="H544" s="512">
        <v>2.54</v>
      </c>
      <c r="I544" s="265" t="s">
        <v>76</v>
      </c>
      <c r="J544" s="265" t="s">
        <v>102</v>
      </c>
      <c r="K544" s="265" t="s">
        <v>8711</v>
      </c>
      <c r="L544" s="265" t="s">
        <v>8712</v>
      </c>
      <c r="M544" s="265" t="s">
        <v>8713</v>
      </c>
      <c r="N544" s="347">
        <v>9.5000000000000001E-2</v>
      </c>
      <c r="O544" s="348">
        <v>10</v>
      </c>
      <c r="P544" s="348">
        <v>10.42</v>
      </c>
      <c r="Q544" s="348">
        <v>0.65</v>
      </c>
    </row>
    <row r="545" spans="1:17" ht="15" hidden="1" customHeight="1">
      <c r="A545" s="163">
        <v>538</v>
      </c>
      <c r="B545" s="53" t="s">
        <v>10</v>
      </c>
      <c r="C545" s="53" t="s">
        <v>8714</v>
      </c>
      <c r="D545" s="53">
        <v>100022676</v>
      </c>
      <c r="E545" s="55" t="s">
        <v>8715</v>
      </c>
      <c r="F545" s="129">
        <v>50</v>
      </c>
      <c r="G545" s="129">
        <v>6000</v>
      </c>
      <c r="H545" s="512">
        <v>3.48</v>
      </c>
      <c r="I545" s="265" t="s">
        <v>76</v>
      </c>
      <c r="J545" s="265" t="s">
        <v>102</v>
      </c>
      <c r="K545" s="265" t="s">
        <v>8716</v>
      </c>
      <c r="L545" s="265" t="s">
        <v>8717</v>
      </c>
      <c r="M545" s="265" t="s">
        <v>8718</v>
      </c>
      <c r="N545" s="347">
        <v>0.11899999999999999</v>
      </c>
      <c r="O545" s="348">
        <v>10</v>
      </c>
      <c r="P545" s="348">
        <v>6.67</v>
      </c>
      <c r="Q545" s="348">
        <v>0.65</v>
      </c>
    </row>
    <row r="546" spans="1:17" ht="15" hidden="1" customHeight="1">
      <c r="A546" s="163">
        <v>539</v>
      </c>
      <c r="B546" s="53" t="s">
        <v>10</v>
      </c>
      <c r="C546" s="53" t="s">
        <v>8719</v>
      </c>
      <c r="D546" s="53">
        <v>100022678</v>
      </c>
      <c r="E546" s="55" t="s">
        <v>8720</v>
      </c>
      <c r="F546" s="129">
        <v>50</v>
      </c>
      <c r="G546" s="129">
        <v>4500</v>
      </c>
      <c r="H546" s="512">
        <v>3.73</v>
      </c>
      <c r="I546" s="265" t="s">
        <v>76</v>
      </c>
      <c r="J546" s="265" t="s">
        <v>102</v>
      </c>
      <c r="K546" s="265" t="s">
        <v>8721</v>
      </c>
      <c r="L546" s="265" t="s">
        <v>8722</v>
      </c>
      <c r="M546" s="265" t="s">
        <v>8723</v>
      </c>
      <c r="N546" s="347">
        <v>0.155</v>
      </c>
      <c r="O546" s="348">
        <v>10</v>
      </c>
      <c r="P546" s="348">
        <v>8.76</v>
      </c>
      <c r="Q546" s="348">
        <v>0.8</v>
      </c>
    </row>
    <row r="547" spans="1:17" ht="15" hidden="1" customHeight="1">
      <c r="A547" s="163">
        <v>540</v>
      </c>
      <c r="B547" s="53" t="s">
        <v>10</v>
      </c>
      <c r="C547" s="53" t="s">
        <v>8724</v>
      </c>
      <c r="D547" s="53">
        <v>100022680</v>
      </c>
      <c r="E547" s="55" t="s">
        <v>8725</v>
      </c>
      <c r="F547" s="129">
        <v>25</v>
      </c>
      <c r="G547" s="129">
        <v>3000</v>
      </c>
      <c r="H547" s="512">
        <v>5.64</v>
      </c>
      <c r="I547" s="265" t="s">
        <v>76</v>
      </c>
      <c r="J547" s="265" t="s">
        <v>102</v>
      </c>
      <c r="K547" s="265" t="s">
        <v>8726</v>
      </c>
      <c r="L547" s="265" t="s">
        <v>8727</v>
      </c>
      <c r="M547" s="265" t="s">
        <v>8728</v>
      </c>
      <c r="N547" s="347">
        <v>0.19600000000000001</v>
      </c>
      <c r="O547" s="348">
        <v>5</v>
      </c>
      <c r="P547" s="348">
        <v>6.38</v>
      </c>
      <c r="Q547" s="348">
        <v>0.65</v>
      </c>
    </row>
    <row r="548" spans="1:17" ht="15" hidden="1" customHeight="1">
      <c r="A548" s="163">
        <v>541</v>
      </c>
      <c r="B548" s="53" t="s">
        <v>10</v>
      </c>
      <c r="C548" s="53" t="s">
        <v>8729</v>
      </c>
      <c r="D548" s="53">
        <v>100022682</v>
      </c>
      <c r="E548" s="55" t="s">
        <v>8730</v>
      </c>
      <c r="F548" s="129">
        <v>25</v>
      </c>
      <c r="G548" s="129">
        <v>2250</v>
      </c>
      <c r="H548" s="512">
        <v>12.56</v>
      </c>
      <c r="I548" s="265" t="s">
        <v>76</v>
      </c>
      <c r="J548" s="265" t="s">
        <v>102</v>
      </c>
      <c r="K548" s="265" t="s">
        <v>8731</v>
      </c>
      <c r="L548" s="348" t="s">
        <v>1205</v>
      </c>
      <c r="M548" s="265" t="s">
        <v>8732</v>
      </c>
      <c r="N548" s="347">
        <v>0.46600000000000003</v>
      </c>
      <c r="O548" s="348" t="s">
        <v>1205</v>
      </c>
      <c r="P548" s="348">
        <v>12.36</v>
      </c>
      <c r="Q548" s="348">
        <v>0.8</v>
      </c>
    </row>
    <row r="549" spans="1:17" ht="15" hidden="1" customHeight="1">
      <c r="A549" s="163">
        <v>542</v>
      </c>
      <c r="B549" s="53" t="s">
        <v>10</v>
      </c>
      <c r="C549" s="53" t="s">
        <v>8733</v>
      </c>
      <c r="D549" s="53">
        <v>100022684</v>
      </c>
      <c r="E549" s="55" t="s">
        <v>8734</v>
      </c>
      <c r="F549" s="129">
        <v>10</v>
      </c>
      <c r="G549" s="129">
        <v>1200</v>
      </c>
      <c r="H549" s="512">
        <v>19.670000000000002</v>
      </c>
      <c r="I549" s="265" t="s">
        <v>76</v>
      </c>
      <c r="J549" s="265" t="s">
        <v>102</v>
      </c>
      <c r="K549" s="265" t="s">
        <v>8735</v>
      </c>
      <c r="L549" s="348" t="s">
        <v>1205</v>
      </c>
      <c r="M549" s="265" t="s">
        <v>8736</v>
      </c>
      <c r="N549" s="347">
        <v>0.71799999999999997</v>
      </c>
      <c r="O549" s="348" t="s">
        <v>1205</v>
      </c>
      <c r="P549" s="348">
        <v>7.92</v>
      </c>
      <c r="Q549" s="348">
        <v>0.65</v>
      </c>
    </row>
    <row r="550" spans="1:17" ht="15" hidden="1" customHeight="1">
      <c r="A550" s="163">
        <v>543</v>
      </c>
      <c r="B550" s="53" t="s">
        <v>10</v>
      </c>
      <c r="C550" s="53" t="s">
        <v>8737</v>
      </c>
      <c r="D550" s="53">
        <v>100022686</v>
      </c>
      <c r="E550" s="55" t="s">
        <v>8738</v>
      </c>
      <c r="F550" s="129">
        <v>6</v>
      </c>
      <c r="G550" s="129">
        <v>540</v>
      </c>
      <c r="H550" s="512">
        <v>28.48</v>
      </c>
      <c r="I550" s="265" t="s">
        <v>76</v>
      </c>
      <c r="J550" s="265" t="s">
        <v>102</v>
      </c>
      <c r="K550" s="265" t="s">
        <v>8739</v>
      </c>
      <c r="L550" s="348" t="s">
        <v>1205</v>
      </c>
      <c r="M550" s="265" t="s">
        <v>8740</v>
      </c>
      <c r="N550" s="347">
        <v>1.079</v>
      </c>
      <c r="O550" s="348" t="s">
        <v>1205</v>
      </c>
      <c r="P550" s="348">
        <v>7.41</v>
      </c>
      <c r="Q550" s="348">
        <v>0.8</v>
      </c>
    </row>
    <row r="551" spans="1:17" ht="15" hidden="1" customHeight="1">
      <c r="A551" s="163">
        <v>544</v>
      </c>
      <c r="B551" s="53" t="s">
        <v>10</v>
      </c>
      <c r="C551" s="53" t="s">
        <v>8741</v>
      </c>
      <c r="D551" s="53">
        <v>100022688</v>
      </c>
      <c r="E551" s="55" t="s">
        <v>8742</v>
      </c>
      <c r="F551" s="129">
        <v>5</v>
      </c>
      <c r="G551" s="129">
        <v>375</v>
      </c>
      <c r="H551" s="512">
        <v>52.09</v>
      </c>
      <c r="I551" s="265" t="s">
        <v>76</v>
      </c>
      <c r="J551" s="265" t="s">
        <v>102</v>
      </c>
      <c r="K551" s="265" t="s">
        <v>8743</v>
      </c>
      <c r="L551" s="348" t="s">
        <v>1205</v>
      </c>
      <c r="M551" s="265" t="s">
        <v>8744</v>
      </c>
      <c r="N551" s="347">
        <v>1.85</v>
      </c>
      <c r="O551" s="348" t="s">
        <v>1205</v>
      </c>
      <c r="P551" s="348">
        <v>9.98</v>
      </c>
      <c r="Q551" s="348">
        <v>1.1000000000000001</v>
      </c>
    </row>
    <row r="552" spans="1:17" ht="15" hidden="1" customHeight="1">
      <c r="A552" s="163">
        <v>545</v>
      </c>
      <c r="B552" s="53" t="s">
        <v>10</v>
      </c>
      <c r="C552" s="53" t="s">
        <v>8745</v>
      </c>
      <c r="D552" s="53">
        <v>100022690</v>
      </c>
      <c r="E552" s="55" t="s">
        <v>8746</v>
      </c>
      <c r="F552" s="129">
        <v>4</v>
      </c>
      <c r="G552" s="129">
        <v>300</v>
      </c>
      <c r="H552" s="512">
        <v>90</v>
      </c>
      <c r="I552" s="265" t="s">
        <v>76</v>
      </c>
      <c r="J552" s="265" t="s">
        <v>102</v>
      </c>
      <c r="K552" s="265" t="s">
        <v>8747</v>
      </c>
      <c r="L552" s="348" t="s">
        <v>1205</v>
      </c>
      <c r="M552" s="265" t="s">
        <v>8748</v>
      </c>
      <c r="N552" s="347">
        <v>2.246</v>
      </c>
      <c r="O552" s="348" t="s">
        <v>1205</v>
      </c>
      <c r="P552" s="348">
        <v>10</v>
      </c>
      <c r="Q552" s="348">
        <v>1.1000000000000001</v>
      </c>
    </row>
    <row r="553" spans="1:17" ht="15" hidden="1" customHeight="1">
      <c r="A553" s="163">
        <v>546</v>
      </c>
      <c r="B553" s="53" t="s">
        <v>10</v>
      </c>
      <c r="C553" s="53" t="s">
        <v>8749</v>
      </c>
      <c r="D553" s="53">
        <v>100022692</v>
      </c>
      <c r="E553" s="55" t="s">
        <v>8750</v>
      </c>
      <c r="F553" s="129">
        <v>5</v>
      </c>
      <c r="G553" s="129">
        <v>120</v>
      </c>
      <c r="H553" s="512">
        <v>168.06</v>
      </c>
      <c r="I553" s="265" t="s">
        <v>76</v>
      </c>
      <c r="J553" s="265" t="s">
        <v>102</v>
      </c>
      <c r="K553" s="265" t="s">
        <v>8751</v>
      </c>
      <c r="L553" s="348" t="s">
        <v>1205</v>
      </c>
      <c r="M553" s="265" t="s">
        <v>8752</v>
      </c>
      <c r="N553" s="347">
        <v>4.2869999999999999</v>
      </c>
      <c r="O553" s="348" t="s">
        <v>1205</v>
      </c>
      <c r="P553" s="348">
        <v>23.69</v>
      </c>
      <c r="Q553" s="348">
        <v>2.77</v>
      </c>
    </row>
    <row r="554" spans="1:17" ht="15" hidden="1" customHeight="1">
      <c r="A554" s="163">
        <v>547</v>
      </c>
      <c r="B554" s="53" t="s">
        <v>10</v>
      </c>
      <c r="C554" s="53" t="s">
        <v>8753</v>
      </c>
      <c r="D554" s="53">
        <v>100023367</v>
      </c>
      <c r="E554" s="55" t="s">
        <v>8754</v>
      </c>
      <c r="F554" s="129">
        <v>50</v>
      </c>
      <c r="G554" s="129">
        <v>6000</v>
      </c>
      <c r="H554" s="512">
        <v>3.14</v>
      </c>
      <c r="I554" s="265" t="s">
        <v>359</v>
      </c>
      <c r="J554" s="265" t="s">
        <v>102</v>
      </c>
      <c r="K554" s="265" t="s">
        <v>8755</v>
      </c>
      <c r="L554" s="265" t="s">
        <v>8756</v>
      </c>
      <c r="M554" s="265" t="s">
        <v>8757</v>
      </c>
      <c r="N554" s="347">
        <v>0.14799999999999999</v>
      </c>
      <c r="O554" s="348">
        <v>10</v>
      </c>
      <c r="P554" s="348">
        <v>7.45</v>
      </c>
      <c r="Q554" s="348">
        <v>0.65</v>
      </c>
    </row>
    <row r="555" spans="1:17" ht="15" hidden="1" customHeight="1">
      <c r="A555" s="163">
        <v>548</v>
      </c>
      <c r="B555" s="53" t="s">
        <v>10</v>
      </c>
      <c r="C555" s="53" t="s">
        <v>8758</v>
      </c>
      <c r="D555" s="53">
        <v>100023368</v>
      </c>
      <c r="E555" s="55" t="s">
        <v>8759</v>
      </c>
      <c r="F555" s="129">
        <v>25</v>
      </c>
      <c r="G555" s="129">
        <v>3750</v>
      </c>
      <c r="H555" s="512">
        <v>4.9400000000000004</v>
      </c>
      <c r="I555" s="265" t="s">
        <v>359</v>
      </c>
      <c r="J555" s="265" t="s">
        <v>102</v>
      </c>
      <c r="K555" s="265" t="s">
        <v>8760</v>
      </c>
      <c r="L555" s="265" t="s">
        <v>8761</v>
      </c>
      <c r="M555" s="265" t="s">
        <v>8762</v>
      </c>
      <c r="N555" s="347">
        <v>0.214</v>
      </c>
      <c r="O555" s="348">
        <v>5</v>
      </c>
      <c r="P555" s="348">
        <v>5.34</v>
      </c>
      <c r="Q555" s="348">
        <v>0.5</v>
      </c>
    </row>
    <row r="556" spans="1:17" ht="15" hidden="1" customHeight="1">
      <c r="A556" s="163">
        <v>549</v>
      </c>
      <c r="B556" s="53" t="s">
        <v>10</v>
      </c>
      <c r="C556" s="53" t="s">
        <v>8763</v>
      </c>
      <c r="D556" s="53">
        <v>100022694</v>
      </c>
      <c r="E556" s="55" t="s">
        <v>8764</v>
      </c>
      <c r="F556" s="129">
        <v>100</v>
      </c>
      <c r="G556" s="129">
        <v>27000</v>
      </c>
      <c r="H556" s="512">
        <v>2.65</v>
      </c>
      <c r="I556" s="265" t="s">
        <v>76</v>
      </c>
      <c r="J556" s="265" t="s">
        <v>102</v>
      </c>
      <c r="K556" s="265" t="s">
        <v>8765</v>
      </c>
      <c r="L556" s="265" t="s">
        <v>8766</v>
      </c>
      <c r="M556" s="265" t="s">
        <v>8767</v>
      </c>
      <c r="N556" s="347">
        <v>5.3999999999999999E-2</v>
      </c>
      <c r="O556" s="348">
        <v>25</v>
      </c>
      <c r="P556" s="348">
        <v>5.73</v>
      </c>
      <c r="Q556" s="348">
        <v>0.31</v>
      </c>
    </row>
    <row r="557" spans="1:17" ht="15" hidden="1" customHeight="1">
      <c r="A557" s="163">
        <v>550</v>
      </c>
      <c r="B557" s="53" t="s">
        <v>10</v>
      </c>
      <c r="C557" s="53" t="s">
        <v>8768</v>
      </c>
      <c r="D557" s="53">
        <v>100022698</v>
      </c>
      <c r="E557" s="55" t="s">
        <v>8769</v>
      </c>
      <c r="F557" s="129">
        <v>40</v>
      </c>
      <c r="G557" s="129">
        <v>10800</v>
      </c>
      <c r="H557" s="512">
        <v>4.49</v>
      </c>
      <c r="I557" s="265" t="s">
        <v>76</v>
      </c>
      <c r="J557" s="265" t="s">
        <v>102</v>
      </c>
      <c r="K557" s="265" t="s">
        <v>8770</v>
      </c>
      <c r="L557" s="265" t="s">
        <v>8771</v>
      </c>
      <c r="M557" s="265" t="s">
        <v>8772</v>
      </c>
      <c r="N557" s="347">
        <v>8.5999999999999993E-2</v>
      </c>
      <c r="O557" s="348">
        <v>5</v>
      </c>
      <c r="P557" s="348">
        <v>4.07</v>
      </c>
      <c r="Q557" s="348">
        <v>0.31</v>
      </c>
    </row>
    <row r="558" spans="1:17" ht="15" hidden="1" customHeight="1">
      <c r="A558" s="163">
        <v>551</v>
      </c>
      <c r="B558" s="53" t="s">
        <v>10</v>
      </c>
      <c r="C558" s="53" t="s">
        <v>8773</v>
      </c>
      <c r="D558" s="53">
        <v>100022704</v>
      </c>
      <c r="E558" s="55" t="s">
        <v>8774</v>
      </c>
      <c r="F558" s="129">
        <v>20</v>
      </c>
      <c r="G558" s="129">
        <v>5400</v>
      </c>
      <c r="H558" s="512">
        <v>7.96</v>
      </c>
      <c r="I558" s="265" t="s">
        <v>359</v>
      </c>
      <c r="J558" s="265" t="s">
        <v>102</v>
      </c>
      <c r="K558" s="265" t="s">
        <v>8775</v>
      </c>
      <c r="L558" s="265" t="s">
        <v>8776</v>
      </c>
      <c r="M558" s="265" t="s">
        <v>8777</v>
      </c>
      <c r="N558" s="347">
        <v>0.152</v>
      </c>
      <c r="O558" s="348">
        <v>5</v>
      </c>
      <c r="P558" s="348">
        <v>3.58</v>
      </c>
      <c r="Q558" s="348">
        <v>0.27</v>
      </c>
    </row>
    <row r="559" spans="1:17" ht="15" hidden="1" customHeight="1">
      <c r="A559" s="163">
        <v>552</v>
      </c>
      <c r="B559" s="53" t="s">
        <v>10</v>
      </c>
      <c r="C559" s="53" t="s">
        <v>8778</v>
      </c>
      <c r="D559" s="53">
        <v>100022710</v>
      </c>
      <c r="E559" s="55" t="s">
        <v>8779</v>
      </c>
      <c r="F559" s="129">
        <v>30</v>
      </c>
      <c r="G559" s="129">
        <v>4500</v>
      </c>
      <c r="H559" s="512">
        <v>12.73</v>
      </c>
      <c r="I559" s="265" t="s">
        <v>76</v>
      </c>
      <c r="J559" s="265" t="s">
        <v>102</v>
      </c>
      <c r="K559" s="265" t="s">
        <v>8780</v>
      </c>
      <c r="L559" s="348" t="s">
        <v>1205</v>
      </c>
      <c r="M559" s="265" t="s">
        <v>8781</v>
      </c>
      <c r="N559" s="347">
        <v>0.224</v>
      </c>
      <c r="O559" s="348" t="s">
        <v>1205</v>
      </c>
      <c r="P559" s="348">
        <v>8.59</v>
      </c>
      <c r="Q559" s="348">
        <v>0.5</v>
      </c>
    </row>
    <row r="560" spans="1:17" ht="15" hidden="1" customHeight="1">
      <c r="A560" s="163">
        <v>553</v>
      </c>
      <c r="B560" s="53" t="s">
        <v>10</v>
      </c>
      <c r="C560" s="53" t="s">
        <v>8782</v>
      </c>
      <c r="D560" s="53">
        <v>300005591</v>
      </c>
      <c r="E560" s="55" t="s">
        <v>8783</v>
      </c>
      <c r="F560" s="129">
        <v>5</v>
      </c>
      <c r="G560" s="129" t="s">
        <v>1205</v>
      </c>
      <c r="H560" s="512">
        <v>51.55</v>
      </c>
      <c r="I560" s="265" t="s">
        <v>1693</v>
      </c>
      <c r="J560" s="265" t="s">
        <v>77</v>
      </c>
      <c r="K560" s="265" t="s">
        <v>8784</v>
      </c>
      <c r="L560" s="348" t="s">
        <v>1205</v>
      </c>
      <c r="M560" s="265">
        <v>0</v>
      </c>
      <c r="N560" s="347">
        <v>0.24199999999999999</v>
      </c>
      <c r="O560" s="348" t="s">
        <v>1205</v>
      </c>
      <c r="P560" s="348" t="s">
        <v>1205</v>
      </c>
      <c r="Q560" s="348" t="s">
        <v>1205</v>
      </c>
    </row>
    <row r="561" spans="1:17" ht="15" hidden="1" customHeight="1">
      <c r="A561" s="163">
        <v>554</v>
      </c>
      <c r="B561" s="53" t="s">
        <v>10</v>
      </c>
      <c r="C561" s="53" t="s">
        <v>8785</v>
      </c>
      <c r="D561" s="53">
        <v>100026961</v>
      </c>
      <c r="E561" s="55" t="s">
        <v>8786</v>
      </c>
      <c r="F561" s="129">
        <v>250</v>
      </c>
      <c r="G561" s="129">
        <v>30000</v>
      </c>
      <c r="H561" s="512">
        <v>2.02</v>
      </c>
      <c r="I561" s="265" t="s">
        <v>76</v>
      </c>
      <c r="J561" s="265" t="s">
        <v>102</v>
      </c>
      <c r="K561" s="265" t="s">
        <v>8787</v>
      </c>
      <c r="L561" s="265" t="s">
        <v>8788</v>
      </c>
      <c r="M561" s="265" t="s">
        <v>8789</v>
      </c>
      <c r="N561" s="347">
        <v>0.05</v>
      </c>
      <c r="O561" s="348">
        <v>10</v>
      </c>
      <c r="P561" s="348">
        <v>12.81</v>
      </c>
      <c r="Q561" s="348">
        <v>0.65</v>
      </c>
    </row>
    <row r="562" spans="1:17" ht="15" hidden="1" customHeight="1">
      <c r="A562" s="163">
        <v>555</v>
      </c>
      <c r="B562" s="53" t="s">
        <v>10</v>
      </c>
      <c r="C562" s="53" t="s">
        <v>8790</v>
      </c>
      <c r="D562" s="53">
        <v>100027407</v>
      </c>
      <c r="E562" s="55" t="s">
        <v>8791</v>
      </c>
      <c r="F562" s="129">
        <v>250</v>
      </c>
      <c r="G562" s="129">
        <v>30000</v>
      </c>
      <c r="H562" s="512">
        <v>2.0099999999999998</v>
      </c>
      <c r="I562" s="265" t="s">
        <v>76</v>
      </c>
      <c r="J562" s="265" t="s">
        <v>102</v>
      </c>
      <c r="K562" s="265">
        <v>0</v>
      </c>
      <c r="L562" s="265" t="s">
        <v>8792</v>
      </c>
      <c r="M562" s="265" t="s">
        <v>8793</v>
      </c>
      <c r="N562" s="347">
        <v>4.9000000000000002E-2</v>
      </c>
      <c r="O562" s="348">
        <v>10</v>
      </c>
      <c r="P562" s="348">
        <v>12.9</v>
      </c>
      <c r="Q562" s="348">
        <v>0.65</v>
      </c>
    </row>
    <row r="563" spans="1:17" ht="15" hidden="1" customHeight="1">
      <c r="A563" s="163">
        <v>556</v>
      </c>
      <c r="B563" s="53" t="s">
        <v>10</v>
      </c>
      <c r="C563" s="53" t="s">
        <v>8794</v>
      </c>
      <c r="D563" s="53">
        <v>100026964</v>
      </c>
      <c r="E563" s="55" t="s">
        <v>8795</v>
      </c>
      <c r="F563" s="129">
        <v>250</v>
      </c>
      <c r="G563" s="129">
        <v>22500</v>
      </c>
      <c r="H563" s="512">
        <v>3.73</v>
      </c>
      <c r="I563" s="265" t="s">
        <v>76</v>
      </c>
      <c r="J563" s="265" t="s">
        <v>102</v>
      </c>
      <c r="K563" s="265" t="s">
        <v>8796</v>
      </c>
      <c r="L563" s="265" t="s">
        <v>8797</v>
      </c>
      <c r="M563" s="265" t="s">
        <v>8798</v>
      </c>
      <c r="N563" s="347">
        <v>4.8000000000000001E-2</v>
      </c>
      <c r="O563" s="348">
        <v>10</v>
      </c>
      <c r="P563" s="348">
        <v>16</v>
      </c>
      <c r="Q563" s="348">
        <v>0.8</v>
      </c>
    </row>
    <row r="564" spans="1:17" ht="15" hidden="1" customHeight="1">
      <c r="A564" s="163">
        <v>557</v>
      </c>
      <c r="B564" s="53" t="s">
        <v>10</v>
      </c>
      <c r="C564" s="53" t="s">
        <v>8799</v>
      </c>
      <c r="D564" s="53">
        <v>100027408</v>
      </c>
      <c r="E564" s="55" t="s">
        <v>8800</v>
      </c>
      <c r="F564" s="129">
        <v>250</v>
      </c>
      <c r="G564" s="129">
        <v>22500</v>
      </c>
      <c r="H564" s="512">
        <v>3.73</v>
      </c>
      <c r="I564" s="265" t="s">
        <v>76</v>
      </c>
      <c r="J564" s="265" t="s">
        <v>102</v>
      </c>
      <c r="K564" s="265">
        <v>0</v>
      </c>
      <c r="L564" s="265" t="s">
        <v>8801</v>
      </c>
      <c r="M564" s="265" t="s">
        <v>8802</v>
      </c>
      <c r="N564" s="347">
        <v>4.9000000000000002E-2</v>
      </c>
      <c r="O564" s="348">
        <v>10</v>
      </c>
      <c r="P564" s="348">
        <v>16.04</v>
      </c>
      <c r="Q564" s="348">
        <v>0.8</v>
      </c>
    </row>
    <row r="565" spans="1:17" ht="15" hidden="1" customHeight="1">
      <c r="A565" s="163">
        <v>558</v>
      </c>
      <c r="B565" s="53" t="s">
        <v>10</v>
      </c>
      <c r="C565" s="53" t="s">
        <v>8803</v>
      </c>
      <c r="D565" s="53">
        <v>100026967</v>
      </c>
      <c r="E565" s="55" t="s">
        <v>8804</v>
      </c>
      <c r="F565" s="129">
        <v>100</v>
      </c>
      <c r="G565" s="129">
        <v>12000</v>
      </c>
      <c r="H565" s="512">
        <v>4.92</v>
      </c>
      <c r="I565" s="265" t="s">
        <v>76</v>
      </c>
      <c r="J565" s="265" t="s">
        <v>102</v>
      </c>
      <c r="K565" s="265" t="s">
        <v>8805</v>
      </c>
      <c r="L565" s="265" t="s">
        <v>8806</v>
      </c>
      <c r="M565" s="265" t="s">
        <v>8807</v>
      </c>
      <c r="N565" s="347">
        <v>0.106</v>
      </c>
      <c r="O565" s="348">
        <v>10</v>
      </c>
      <c r="P565" s="348">
        <v>11.44</v>
      </c>
      <c r="Q565" s="348">
        <v>0.65</v>
      </c>
    </row>
    <row r="566" spans="1:17" ht="15" hidden="1" customHeight="1">
      <c r="A566" s="163">
        <v>559</v>
      </c>
      <c r="B566" s="53" t="s">
        <v>10</v>
      </c>
      <c r="C566" s="53" t="s">
        <v>8808</v>
      </c>
      <c r="D566" s="53">
        <v>100027409</v>
      </c>
      <c r="E566" s="55" t="s">
        <v>8809</v>
      </c>
      <c r="F566" s="129">
        <v>100</v>
      </c>
      <c r="G566" s="129">
        <v>12000</v>
      </c>
      <c r="H566" s="512">
        <v>4.92</v>
      </c>
      <c r="I566" s="265" t="s">
        <v>76</v>
      </c>
      <c r="J566" s="265" t="s">
        <v>102</v>
      </c>
      <c r="K566" s="265">
        <v>0</v>
      </c>
      <c r="L566" s="265">
        <v>0</v>
      </c>
      <c r="M566" s="265" t="s">
        <v>8810</v>
      </c>
      <c r="N566" s="347">
        <v>0.106</v>
      </c>
      <c r="O566" s="348">
        <v>10</v>
      </c>
      <c r="P566" s="348">
        <v>11.36</v>
      </c>
      <c r="Q566" s="348">
        <v>0.65</v>
      </c>
    </row>
    <row r="567" spans="1:17" ht="15" hidden="1" customHeight="1">
      <c r="A567" s="163">
        <v>560</v>
      </c>
      <c r="B567" s="53" t="s">
        <v>10</v>
      </c>
      <c r="C567" s="53" t="s">
        <v>8811</v>
      </c>
      <c r="D567" s="53">
        <v>100026970</v>
      </c>
      <c r="E567" s="55" t="s">
        <v>8812</v>
      </c>
      <c r="F567" s="129">
        <v>50</v>
      </c>
      <c r="G567" s="129">
        <v>6000</v>
      </c>
      <c r="H567" s="512">
        <v>16.47</v>
      </c>
      <c r="I567" s="265" t="s">
        <v>359</v>
      </c>
      <c r="J567" s="265" t="s">
        <v>102</v>
      </c>
      <c r="K567" s="265" t="s">
        <v>8813</v>
      </c>
      <c r="L567" s="265" t="s">
        <v>8814</v>
      </c>
      <c r="M567" s="265" t="s">
        <v>8815</v>
      </c>
      <c r="N567" s="347">
        <v>0.217</v>
      </c>
      <c r="O567" s="348">
        <v>5</v>
      </c>
      <c r="P567" s="348">
        <v>10.83</v>
      </c>
      <c r="Q567" s="348">
        <v>0.65</v>
      </c>
    </row>
    <row r="568" spans="1:17" ht="15" hidden="1" customHeight="1">
      <c r="A568" s="163">
        <v>561</v>
      </c>
      <c r="B568" s="53" t="s">
        <v>10</v>
      </c>
      <c r="C568" s="53" t="s">
        <v>8816</v>
      </c>
      <c r="D568" s="53">
        <v>100026972</v>
      </c>
      <c r="E568" s="55" t="s">
        <v>8817</v>
      </c>
      <c r="F568" s="129">
        <v>50</v>
      </c>
      <c r="G568" s="129">
        <v>6000</v>
      </c>
      <c r="H568" s="512">
        <v>32.43</v>
      </c>
      <c r="I568" s="265" t="s">
        <v>76</v>
      </c>
      <c r="J568" s="265" t="s">
        <v>102</v>
      </c>
      <c r="K568" s="265" t="s">
        <v>8818</v>
      </c>
      <c r="L568" s="265" t="s">
        <v>8819</v>
      </c>
      <c r="M568" s="265" t="s">
        <v>8820</v>
      </c>
      <c r="N568" s="347">
        <v>0.23400000000000001</v>
      </c>
      <c r="O568" s="348">
        <v>5</v>
      </c>
      <c r="P568" s="348">
        <v>12.45</v>
      </c>
      <c r="Q568" s="348">
        <v>0.65</v>
      </c>
    </row>
    <row r="569" spans="1:17" ht="15" hidden="1" customHeight="1">
      <c r="A569" s="163">
        <v>562</v>
      </c>
      <c r="B569" s="53" t="s">
        <v>10</v>
      </c>
      <c r="C569" s="53" t="s">
        <v>8821</v>
      </c>
      <c r="D569" s="53">
        <v>100026974</v>
      </c>
      <c r="E569" s="55" t="s">
        <v>8822</v>
      </c>
      <c r="F569" s="129">
        <v>25</v>
      </c>
      <c r="G569" s="129">
        <v>3750</v>
      </c>
      <c r="H569" s="512">
        <v>38.54</v>
      </c>
      <c r="I569" s="265" t="s">
        <v>76</v>
      </c>
      <c r="J569" s="265" t="s">
        <v>102</v>
      </c>
      <c r="K569" s="265" t="s">
        <v>8823</v>
      </c>
      <c r="L569" s="265" t="s">
        <v>8824</v>
      </c>
      <c r="M569" s="265" t="s">
        <v>8825</v>
      </c>
      <c r="N569" s="347">
        <v>0.35599999999999998</v>
      </c>
      <c r="O569" s="348">
        <v>5</v>
      </c>
      <c r="P569" s="348">
        <v>9.02</v>
      </c>
      <c r="Q569" s="348">
        <v>0.5</v>
      </c>
    </row>
    <row r="570" spans="1:17" ht="15" hidden="1" customHeight="1">
      <c r="A570" s="163">
        <v>563</v>
      </c>
      <c r="B570" s="53" t="s">
        <v>10</v>
      </c>
      <c r="C570" s="53" t="s">
        <v>8826</v>
      </c>
      <c r="D570" s="53">
        <v>100022720</v>
      </c>
      <c r="E570" s="55" t="s">
        <v>8827</v>
      </c>
      <c r="F570" s="129">
        <v>250</v>
      </c>
      <c r="G570" s="129">
        <v>22500</v>
      </c>
      <c r="H570" s="512">
        <v>3.2</v>
      </c>
      <c r="I570" s="265" t="s">
        <v>359</v>
      </c>
      <c r="J570" s="265" t="s">
        <v>102</v>
      </c>
      <c r="K570" s="265" t="s">
        <v>8828</v>
      </c>
      <c r="L570" s="265" t="s">
        <v>8829</v>
      </c>
      <c r="M570" s="265" t="s">
        <v>8830</v>
      </c>
      <c r="N570" s="347">
        <v>7.8E-2</v>
      </c>
      <c r="O570" s="348">
        <v>10</v>
      </c>
      <c r="P570" s="348">
        <v>20.96</v>
      </c>
      <c r="Q570" s="348">
        <v>0.8</v>
      </c>
    </row>
    <row r="571" spans="1:17" ht="15" hidden="1" customHeight="1">
      <c r="A571" s="163">
        <v>564</v>
      </c>
      <c r="B571" s="53" t="s">
        <v>10</v>
      </c>
      <c r="C571" s="53" t="s">
        <v>8831</v>
      </c>
      <c r="D571" s="53">
        <v>100022722</v>
      </c>
      <c r="E571" s="55" t="s">
        <v>8832</v>
      </c>
      <c r="F571" s="129">
        <v>250</v>
      </c>
      <c r="G571" s="129">
        <v>22500</v>
      </c>
      <c r="H571" s="512">
        <v>4.83</v>
      </c>
      <c r="I571" s="265" t="s">
        <v>359</v>
      </c>
      <c r="J571" s="265" t="s">
        <v>102</v>
      </c>
      <c r="K571" s="265" t="s">
        <v>8833</v>
      </c>
      <c r="L571" s="265" t="s">
        <v>8834</v>
      </c>
      <c r="M571" s="265" t="s">
        <v>8835</v>
      </c>
      <c r="N571" s="347">
        <v>7.4999999999999997E-2</v>
      </c>
      <c r="O571" s="348">
        <v>10</v>
      </c>
      <c r="P571" s="348">
        <v>19.64</v>
      </c>
      <c r="Q571" s="348">
        <v>0.8</v>
      </c>
    </row>
    <row r="572" spans="1:17" ht="15" hidden="1" customHeight="1">
      <c r="A572" s="163">
        <v>565</v>
      </c>
      <c r="B572" s="53" t="s">
        <v>10</v>
      </c>
      <c r="C572" s="53" t="s">
        <v>8836</v>
      </c>
      <c r="D572" s="53">
        <v>100022724</v>
      </c>
      <c r="E572" s="55" t="s">
        <v>8837</v>
      </c>
      <c r="F572" s="129">
        <v>100</v>
      </c>
      <c r="G572" s="129">
        <v>12000</v>
      </c>
      <c r="H572" s="512">
        <v>7.3</v>
      </c>
      <c r="I572" s="265" t="s">
        <v>359</v>
      </c>
      <c r="J572" s="265" t="s">
        <v>102</v>
      </c>
      <c r="K572" s="265" t="s">
        <v>8838</v>
      </c>
      <c r="L572" s="265" t="s">
        <v>8839</v>
      </c>
      <c r="M572" s="265" t="s">
        <v>8840</v>
      </c>
      <c r="N572" s="347">
        <v>0.13100000000000001</v>
      </c>
      <c r="O572" s="348">
        <v>10</v>
      </c>
      <c r="P572" s="348">
        <v>13.22</v>
      </c>
      <c r="Q572" s="348">
        <v>0.65</v>
      </c>
    </row>
    <row r="573" spans="1:17" ht="15" hidden="1" customHeight="1">
      <c r="A573" s="163">
        <v>566</v>
      </c>
      <c r="B573" s="53" t="s">
        <v>10</v>
      </c>
      <c r="C573" s="53" t="s">
        <v>8841</v>
      </c>
      <c r="D573" s="53">
        <v>100022726</v>
      </c>
      <c r="E573" s="55" t="s">
        <v>8842</v>
      </c>
      <c r="F573" s="129">
        <v>50</v>
      </c>
      <c r="G573" s="129">
        <v>6000</v>
      </c>
      <c r="H573" s="512">
        <v>42.08</v>
      </c>
      <c r="I573" s="265" t="s">
        <v>76</v>
      </c>
      <c r="J573" s="265" t="s">
        <v>102</v>
      </c>
      <c r="K573" s="265" t="s">
        <v>8843</v>
      </c>
      <c r="L573" s="265" t="s">
        <v>8844</v>
      </c>
      <c r="M573" s="265" t="s">
        <v>8845</v>
      </c>
      <c r="N573" s="347">
        <v>0.28599999999999998</v>
      </c>
      <c r="O573" s="348">
        <v>5</v>
      </c>
      <c r="P573" s="348">
        <v>14.12</v>
      </c>
      <c r="Q573" s="348">
        <v>0.65</v>
      </c>
    </row>
    <row r="574" spans="1:17" ht="15" hidden="1" customHeight="1">
      <c r="A574" s="163">
        <v>567</v>
      </c>
      <c r="B574" s="53" t="s">
        <v>10</v>
      </c>
      <c r="C574" s="53" t="s">
        <v>8846</v>
      </c>
      <c r="D574" s="53">
        <v>100022727</v>
      </c>
      <c r="E574" s="55" t="s">
        <v>8847</v>
      </c>
      <c r="F574" s="129">
        <v>50</v>
      </c>
      <c r="G574" s="129">
        <v>3750</v>
      </c>
      <c r="H574" s="512">
        <v>50.06</v>
      </c>
      <c r="I574" s="265" t="s">
        <v>76</v>
      </c>
      <c r="J574" s="265" t="s">
        <v>102</v>
      </c>
      <c r="K574" s="265" t="s">
        <v>8848</v>
      </c>
      <c r="L574" s="265" t="s">
        <v>8849</v>
      </c>
      <c r="M574" s="265" t="s">
        <v>8850</v>
      </c>
      <c r="N574" s="347">
        <v>0.43099999999999999</v>
      </c>
      <c r="O574" s="348">
        <v>5</v>
      </c>
      <c r="P574" s="348">
        <v>21.57</v>
      </c>
      <c r="Q574" s="348">
        <v>0.95</v>
      </c>
    </row>
    <row r="575" spans="1:17" ht="15" hidden="1" customHeight="1">
      <c r="A575" s="163">
        <v>568</v>
      </c>
      <c r="B575" s="53" t="s">
        <v>10</v>
      </c>
      <c r="C575" s="53" t="s">
        <v>8851</v>
      </c>
      <c r="D575" s="53">
        <v>100022736</v>
      </c>
      <c r="E575" s="55" t="s">
        <v>8852</v>
      </c>
      <c r="F575" s="129">
        <v>250</v>
      </c>
      <c r="G575" s="129">
        <v>30000</v>
      </c>
      <c r="H575" s="512">
        <v>2.85</v>
      </c>
      <c r="I575" s="265" t="s">
        <v>76</v>
      </c>
      <c r="J575" s="265" t="s">
        <v>102</v>
      </c>
      <c r="K575" s="265" t="s">
        <v>8853</v>
      </c>
      <c r="L575" s="265" t="s">
        <v>8854</v>
      </c>
      <c r="M575" s="265" t="s">
        <v>8855</v>
      </c>
      <c r="N575" s="347">
        <v>4.5999999999999999E-2</v>
      </c>
      <c r="O575" s="348">
        <v>10</v>
      </c>
      <c r="P575" s="348">
        <v>17.399999999999999</v>
      </c>
      <c r="Q575" s="348">
        <v>0.65</v>
      </c>
    </row>
    <row r="576" spans="1:17" ht="15" hidden="1" customHeight="1">
      <c r="A576" s="163">
        <v>569</v>
      </c>
      <c r="B576" s="53" t="s">
        <v>10</v>
      </c>
      <c r="C576" s="53" t="s">
        <v>8856</v>
      </c>
      <c r="D576" s="53">
        <v>100022738</v>
      </c>
      <c r="E576" s="55" t="s">
        <v>8857</v>
      </c>
      <c r="F576" s="129">
        <v>100</v>
      </c>
      <c r="G576" s="129">
        <v>15000</v>
      </c>
      <c r="H576" s="512">
        <v>4.96</v>
      </c>
      <c r="I576" s="265" t="s">
        <v>359</v>
      </c>
      <c r="J576" s="265" t="s">
        <v>102</v>
      </c>
      <c r="K576" s="265" t="s">
        <v>8858</v>
      </c>
      <c r="L576" s="265" t="s">
        <v>8859</v>
      </c>
      <c r="M576" s="265" t="s">
        <v>8860</v>
      </c>
      <c r="N576" s="347">
        <v>7.1999999999999995E-2</v>
      </c>
      <c r="O576" s="348">
        <v>10</v>
      </c>
      <c r="P576" s="348">
        <v>7.83</v>
      </c>
      <c r="Q576" s="348">
        <v>0.5</v>
      </c>
    </row>
    <row r="577" spans="1:17" ht="15" hidden="1" customHeight="1">
      <c r="A577" s="163">
        <v>570</v>
      </c>
      <c r="B577" s="53" t="s">
        <v>10</v>
      </c>
      <c r="C577" s="53" t="s">
        <v>8861</v>
      </c>
      <c r="D577" s="53">
        <v>100022741</v>
      </c>
      <c r="E577" s="55" t="s">
        <v>8862</v>
      </c>
      <c r="F577" s="129">
        <v>50</v>
      </c>
      <c r="G577" s="129">
        <v>7500</v>
      </c>
      <c r="H577" s="512">
        <v>8.14</v>
      </c>
      <c r="I577" s="265" t="s">
        <v>76</v>
      </c>
      <c r="J577" s="265" t="s">
        <v>102</v>
      </c>
      <c r="K577" s="265" t="s">
        <v>8863</v>
      </c>
      <c r="L577" s="265" t="s">
        <v>8864</v>
      </c>
      <c r="M577" s="265" t="s">
        <v>8865</v>
      </c>
      <c r="N577" s="347">
        <v>0.152</v>
      </c>
      <c r="O577" s="348">
        <v>10</v>
      </c>
      <c r="P577" s="348">
        <v>7.6</v>
      </c>
      <c r="Q577" s="348">
        <v>0.5</v>
      </c>
    </row>
    <row r="578" spans="1:17" ht="15" hidden="1" customHeight="1">
      <c r="A578" s="163">
        <v>571</v>
      </c>
      <c r="B578" s="53" t="s">
        <v>10</v>
      </c>
      <c r="C578" s="53" t="s">
        <v>8866</v>
      </c>
      <c r="D578" s="53">
        <v>100022743</v>
      </c>
      <c r="E578" s="55" t="s">
        <v>8867</v>
      </c>
      <c r="F578" s="129">
        <v>25</v>
      </c>
      <c r="G578" s="129">
        <v>3000</v>
      </c>
      <c r="H578" s="512">
        <v>10.07</v>
      </c>
      <c r="I578" s="265" t="s">
        <v>76</v>
      </c>
      <c r="J578" s="265" t="s">
        <v>102</v>
      </c>
      <c r="K578" s="265" t="s">
        <v>8868</v>
      </c>
      <c r="L578" s="265" t="s">
        <v>8869</v>
      </c>
      <c r="M578" s="265" t="s">
        <v>8870</v>
      </c>
      <c r="N578" s="347">
        <v>0.27300000000000002</v>
      </c>
      <c r="O578" s="348">
        <v>5</v>
      </c>
      <c r="P578" s="348">
        <v>7.38</v>
      </c>
      <c r="Q578" s="348">
        <v>0.65</v>
      </c>
    </row>
    <row r="579" spans="1:17" ht="15" hidden="1" customHeight="1">
      <c r="A579" s="163">
        <v>572</v>
      </c>
      <c r="B579" s="53" t="s">
        <v>10</v>
      </c>
      <c r="C579" s="53" t="s">
        <v>8871</v>
      </c>
      <c r="D579" s="53">
        <v>100022747</v>
      </c>
      <c r="E579" s="55" t="s">
        <v>8872</v>
      </c>
      <c r="F579" s="129">
        <v>250</v>
      </c>
      <c r="G579" s="129">
        <v>30000</v>
      </c>
      <c r="H579" s="512">
        <v>1.78</v>
      </c>
      <c r="I579" s="265" t="s">
        <v>76</v>
      </c>
      <c r="J579" s="265" t="s">
        <v>102</v>
      </c>
      <c r="K579" s="265" t="s">
        <v>8873</v>
      </c>
      <c r="L579" s="265" t="s">
        <v>8874</v>
      </c>
      <c r="M579" s="265" t="s">
        <v>8875</v>
      </c>
      <c r="N579" s="347">
        <v>3.5999999999999997E-2</v>
      </c>
      <c r="O579" s="348">
        <v>10</v>
      </c>
      <c r="P579" s="348">
        <v>10.07</v>
      </c>
      <c r="Q579" s="348">
        <v>0.65</v>
      </c>
    </row>
    <row r="580" spans="1:17" ht="15" hidden="1" customHeight="1">
      <c r="A580" s="163">
        <v>573</v>
      </c>
      <c r="B580" s="53" t="s">
        <v>10</v>
      </c>
      <c r="C580" s="53" t="s">
        <v>8876</v>
      </c>
      <c r="D580" s="53">
        <v>100022749</v>
      </c>
      <c r="E580" s="55" t="s">
        <v>8877</v>
      </c>
      <c r="F580" s="129">
        <v>250</v>
      </c>
      <c r="G580" s="129">
        <v>22500</v>
      </c>
      <c r="H580" s="512">
        <v>2.29</v>
      </c>
      <c r="I580" s="265" t="s">
        <v>76</v>
      </c>
      <c r="J580" s="265" t="s">
        <v>102</v>
      </c>
      <c r="K580" s="265" t="s">
        <v>8878</v>
      </c>
      <c r="L580" s="265" t="s">
        <v>8879</v>
      </c>
      <c r="M580" s="265" t="s">
        <v>8880</v>
      </c>
      <c r="N580" s="347">
        <v>5.1999999999999998E-2</v>
      </c>
      <c r="O580" s="348">
        <v>10</v>
      </c>
      <c r="P580" s="348">
        <v>14.32</v>
      </c>
      <c r="Q580" s="348">
        <v>0.8</v>
      </c>
    </row>
    <row r="581" spans="1:17" ht="15" hidden="1" customHeight="1">
      <c r="A581" s="163">
        <v>574</v>
      </c>
      <c r="B581" s="53" t="s">
        <v>10</v>
      </c>
      <c r="C581" s="53" t="s">
        <v>8881</v>
      </c>
      <c r="D581" s="53">
        <v>100022751</v>
      </c>
      <c r="E581" s="55" t="s">
        <v>8882</v>
      </c>
      <c r="F581" s="129">
        <v>100</v>
      </c>
      <c r="G581" s="129">
        <v>12000</v>
      </c>
      <c r="H581" s="512">
        <v>2.65</v>
      </c>
      <c r="I581" s="265" t="s">
        <v>76</v>
      </c>
      <c r="J581" s="265" t="s">
        <v>102</v>
      </c>
      <c r="K581" s="265" t="s">
        <v>8883</v>
      </c>
      <c r="L581" s="265" t="s">
        <v>8884</v>
      </c>
      <c r="M581" s="265" t="s">
        <v>8885</v>
      </c>
      <c r="N581" s="347">
        <v>9.5000000000000001E-2</v>
      </c>
      <c r="O581" s="348">
        <v>10</v>
      </c>
      <c r="P581" s="348">
        <v>10.55</v>
      </c>
      <c r="Q581" s="348">
        <v>0.65</v>
      </c>
    </row>
    <row r="582" spans="1:17" ht="15" hidden="1" customHeight="1">
      <c r="A582" s="163">
        <v>575</v>
      </c>
      <c r="B582" s="53" t="s">
        <v>10</v>
      </c>
      <c r="C582" s="53" t="s">
        <v>8886</v>
      </c>
      <c r="D582" s="53">
        <v>100022753</v>
      </c>
      <c r="E582" s="55" t="s">
        <v>8887</v>
      </c>
      <c r="F582" s="129">
        <v>50</v>
      </c>
      <c r="G582" s="129">
        <v>7500</v>
      </c>
      <c r="H582" s="512">
        <v>4.07</v>
      </c>
      <c r="I582" s="265" t="s">
        <v>76</v>
      </c>
      <c r="J582" s="265" t="s">
        <v>102</v>
      </c>
      <c r="K582" s="265" t="s">
        <v>8888</v>
      </c>
      <c r="L582" s="265" t="s">
        <v>8889</v>
      </c>
      <c r="M582" s="265" t="s">
        <v>8890</v>
      </c>
      <c r="N582" s="347">
        <v>0.11700000000000001</v>
      </c>
      <c r="O582" s="348">
        <v>5</v>
      </c>
      <c r="P582" s="348">
        <v>7.24</v>
      </c>
      <c r="Q582" s="348">
        <v>0.5</v>
      </c>
    </row>
    <row r="583" spans="1:17" ht="15" hidden="1" customHeight="1">
      <c r="A583" s="163">
        <v>576</v>
      </c>
      <c r="B583" s="53" t="s">
        <v>10</v>
      </c>
      <c r="C583" s="53" t="s">
        <v>8891</v>
      </c>
      <c r="D583" s="53">
        <v>100022755</v>
      </c>
      <c r="E583" s="55" t="s">
        <v>8892</v>
      </c>
      <c r="F583" s="129">
        <v>50</v>
      </c>
      <c r="G583" s="129">
        <v>6000</v>
      </c>
      <c r="H583" s="512">
        <v>4.67</v>
      </c>
      <c r="I583" s="265" t="s">
        <v>76</v>
      </c>
      <c r="J583" s="265" t="s">
        <v>102</v>
      </c>
      <c r="K583" s="265" t="s">
        <v>8893</v>
      </c>
      <c r="L583" s="265" t="s">
        <v>8894</v>
      </c>
      <c r="M583" s="265" t="s">
        <v>8895</v>
      </c>
      <c r="N583" s="347">
        <v>0.154</v>
      </c>
      <c r="O583" s="348">
        <v>5</v>
      </c>
      <c r="P583" s="348">
        <v>8.36</v>
      </c>
      <c r="Q583" s="348">
        <v>0.65</v>
      </c>
    </row>
    <row r="584" spans="1:17" ht="15" hidden="1" customHeight="1">
      <c r="A584" s="163">
        <v>577</v>
      </c>
      <c r="B584" s="53" t="s">
        <v>10</v>
      </c>
      <c r="C584" s="53" t="s">
        <v>8896</v>
      </c>
      <c r="D584" s="53">
        <v>100022757</v>
      </c>
      <c r="E584" s="55" t="s">
        <v>8897</v>
      </c>
      <c r="F584" s="129">
        <v>25</v>
      </c>
      <c r="G584" s="129">
        <v>3750</v>
      </c>
      <c r="H584" s="512">
        <v>6.26</v>
      </c>
      <c r="I584" s="265" t="s">
        <v>76</v>
      </c>
      <c r="J584" s="265" t="s">
        <v>102</v>
      </c>
      <c r="K584" s="265" t="s">
        <v>8898</v>
      </c>
      <c r="L584" s="265" t="s">
        <v>8899</v>
      </c>
      <c r="M584" s="265" t="s">
        <v>8900</v>
      </c>
      <c r="N584" s="347">
        <v>0.217</v>
      </c>
      <c r="O584" s="348">
        <v>5</v>
      </c>
      <c r="P584" s="348">
        <v>6.11</v>
      </c>
      <c r="Q584" s="348">
        <v>0.5</v>
      </c>
    </row>
    <row r="585" spans="1:17" ht="15" hidden="1" customHeight="1">
      <c r="A585" s="163">
        <v>578</v>
      </c>
      <c r="B585" s="53" t="s">
        <v>10</v>
      </c>
      <c r="C585" s="53" t="s">
        <v>8901</v>
      </c>
      <c r="D585" s="53">
        <v>100027410</v>
      </c>
      <c r="E585" s="55" t="s">
        <v>8902</v>
      </c>
      <c r="F585" s="129">
        <v>15</v>
      </c>
      <c r="G585" s="129">
        <v>2250</v>
      </c>
      <c r="H585" s="512">
        <v>15.78</v>
      </c>
      <c r="I585" s="265" t="s">
        <v>359</v>
      </c>
      <c r="J585" s="265" t="s">
        <v>102</v>
      </c>
      <c r="K585" s="265" t="s">
        <v>8903</v>
      </c>
      <c r="L585" s="348" t="s">
        <v>1205</v>
      </c>
      <c r="M585" s="265" t="s">
        <v>8904</v>
      </c>
      <c r="N585" s="347">
        <v>0.375</v>
      </c>
      <c r="O585" s="348" t="s">
        <v>1205</v>
      </c>
      <c r="P585" s="348">
        <v>6.3</v>
      </c>
      <c r="Q585" s="348">
        <v>0.5</v>
      </c>
    </row>
    <row r="586" spans="1:17" ht="15" hidden="1" customHeight="1">
      <c r="A586" s="163">
        <v>579</v>
      </c>
      <c r="B586" s="53" t="s">
        <v>10</v>
      </c>
      <c r="C586" s="53" t="s">
        <v>8905</v>
      </c>
      <c r="D586" s="53">
        <v>100022759</v>
      </c>
      <c r="E586" s="55" t="s">
        <v>8906</v>
      </c>
      <c r="F586" s="129">
        <v>10</v>
      </c>
      <c r="G586" s="129">
        <v>1200</v>
      </c>
      <c r="H586" s="512">
        <v>21.28</v>
      </c>
      <c r="I586" s="265" t="s">
        <v>76</v>
      </c>
      <c r="J586" s="265" t="s">
        <v>102</v>
      </c>
      <c r="K586" s="265" t="s">
        <v>8907</v>
      </c>
      <c r="L586" s="348" t="s">
        <v>1205</v>
      </c>
      <c r="M586" s="265" t="s">
        <v>8908</v>
      </c>
      <c r="N586" s="347">
        <v>0.51500000000000001</v>
      </c>
      <c r="O586" s="348" t="s">
        <v>1205</v>
      </c>
      <c r="P586" s="348">
        <v>5.83</v>
      </c>
      <c r="Q586" s="348">
        <v>0.65</v>
      </c>
    </row>
    <row r="587" spans="1:17" ht="15" hidden="1" customHeight="1">
      <c r="A587" s="163">
        <v>580</v>
      </c>
      <c r="B587" s="53" t="s">
        <v>10</v>
      </c>
      <c r="C587" s="53" t="s">
        <v>8909</v>
      </c>
      <c r="D587" s="53">
        <v>100022761</v>
      </c>
      <c r="E587" s="55" t="s">
        <v>8910</v>
      </c>
      <c r="F587" s="129">
        <v>5</v>
      </c>
      <c r="G587" s="129">
        <v>750</v>
      </c>
      <c r="H587" s="512">
        <v>35.229999999999997</v>
      </c>
      <c r="I587" s="265" t="s">
        <v>76</v>
      </c>
      <c r="J587" s="265" t="s">
        <v>102</v>
      </c>
      <c r="K587" s="265" t="s">
        <v>8911</v>
      </c>
      <c r="L587" s="348" t="s">
        <v>1205</v>
      </c>
      <c r="M587" s="265" t="s">
        <v>8912</v>
      </c>
      <c r="N587" s="347">
        <v>0.86799999999999999</v>
      </c>
      <c r="O587" s="348" t="s">
        <v>1205</v>
      </c>
      <c r="P587" s="348">
        <v>4.95</v>
      </c>
      <c r="Q587" s="348">
        <v>0.5</v>
      </c>
    </row>
    <row r="588" spans="1:17" ht="15" hidden="1" customHeight="1">
      <c r="A588" s="163">
        <v>581</v>
      </c>
      <c r="B588" s="53" t="s">
        <v>10</v>
      </c>
      <c r="C588" s="53" t="s">
        <v>8913</v>
      </c>
      <c r="D588" s="53">
        <v>100022765</v>
      </c>
      <c r="E588" s="55" t="s">
        <v>8914</v>
      </c>
      <c r="F588" s="129">
        <v>250</v>
      </c>
      <c r="G588" s="129">
        <v>22500</v>
      </c>
      <c r="H588" s="512">
        <v>3.2</v>
      </c>
      <c r="I588" s="265" t="s">
        <v>359</v>
      </c>
      <c r="J588" s="265" t="s">
        <v>102</v>
      </c>
      <c r="K588" s="265" t="s">
        <v>8915</v>
      </c>
      <c r="L588" s="265" t="s">
        <v>8916</v>
      </c>
      <c r="M588" s="265" t="s">
        <v>8917</v>
      </c>
      <c r="N588" s="347">
        <v>5.8999999999999997E-2</v>
      </c>
      <c r="O588" s="348">
        <v>10</v>
      </c>
      <c r="P588" s="348">
        <v>12.81</v>
      </c>
      <c r="Q588" s="348">
        <v>0.8</v>
      </c>
    </row>
    <row r="589" spans="1:17" ht="15" hidden="1" customHeight="1">
      <c r="A589" s="163">
        <v>582</v>
      </c>
      <c r="B589" s="53" t="s">
        <v>10</v>
      </c>
      <c r="C589" s="53" t="s">
        <v>8918</v>
      </c>
      <c r="D589" s="53">
        <v>100022767</v>
      </c>
      <c r="E589" s="55" t="s">
        <v>8919</v>
      </c>
      <c r="F589" s="129">
        <v>250</v>
      </c>
      <c r="G589" s="129">
        <v>22500</v>
      </c>
      <c r="H589" s="512">
        <v>3.2</v>
      </c>
      <c r="I589" s="265" t="s">
        <v>76</v>
      </c>
      <c r="J589" s="265" t="s">
        <v>102</v>
      </c>
      <c r="K589" s="265" t="s">
        <v>8920</v>
      </c>
      <c r="L589" s="265" t="s">
        <v>8921</v>
      </c>
      <c r="M589" s="265" t="s">
        <v>8922</v>
      </c>
      <c r="N589" s="347">
        <v>4.5999999999999999E-2</v>
      </c>
      <c r="O589" s="348">
        <v>10</v>
      </c>
      <c r="P589" s="348">
        <v>12.76</v>
      </c>
      <c r="Q589" s="348">
        <v>0.8</v>
      </c>
    </row>
    <row r="590" spans="1:17" ht="15" hidden="1" customHeight="1">
      <c r="A590" s="163">
        <v>583</v>
      </c>
      <c r="B590" s="53" t="s">
        <v>10</v>
      </c>
      <c r="C590" s="53" t="s">
        <v>8923</v>
      </c>
      <c r="D590" s="53">
        <v>100022771</v>
      </c>
      <c r="E590" s="55" t="s">
        <v>8924</v>
      </c>
      <c r="F590" s="129">
        <v>100</v>
      </c>
      <c r="G590" s="129">
        <v>15000</v>
      </c>
      <c r="H590" s="512">
        <v>4.25</v>
      </c>
      <c r="I590" s="265" t="s">
        <v>76</v>
      </c>
      <c r="J590" s="265" t="s">
        <v>102</v>
      </c>
      <c r="K590" s="265" t="s">
        <v>8925</v>
      </c>
      <c r="L590" s="265" t="s">
        <v>8926</v>
      </c>
      <c r="M590" s="265" t="s">
        <v>8927</v>
      </c>
      <c r="N590" s="347">
        <v>7.4999999999999997E-2</v>
      </c>
      <c r="O590" s="348">
        <v>10</v>
      </c>
      <c r="P590" s="348">
        <v>9.44</v>
      </c>
      <c r="Q590" s="348">
        <v>0.5</v>
      </c>
    </row>
    <row r="591" spans="1:17" ht="15" hidden="1" customHeight="1">
      <c r="A591" s="163">
        <v>584</v>
      </c>
      <c r="B591" s="53" t="s">
        <v>10</v>
      </c>
      <c r="C591" s="53" t="s">
        <v>8928</v>
      </c>
      <c r="D591" s="53">
        <v>100022773</v>
      </c>
      <c r="E591" s="55" t="s">
        <v>8929</v>
      </c>
      <c r="F591" s="129">
        <v>100</v>
      </c>
      <c r="G591" s="129">
        <v>15000</v>
      </c>
      <c r="H591" s="512">
        <v>4.25</v>
      </c>
      <c r="I591" s="265" t="s">
        <v>76</v>
      </c>
      <c r="J591" s="265" t="s">
        <v>102</v>
      </c>
      <c r="K591" s="265" t="s">
        <v>8930</v>
      </c>
      <c r="L591" s="265" t="s">
        <v>8931</v>
      </c>
      <c r="M591" s="265" t="s">
        <v>8932</v>
      </c>
      <c r="N591" s="347">
        <v>7.9000000000000001E-2</v>
      </c>
      <c r="O591" s="348">
        <v>10</v>
      </c>
      <c r="P591" s="348">
        <v>9.57</v>
      </c>
      <c r="Q591" s="348">
        <v>0.5</v>
      </c>
    </row>
    <row r="592" spans="1:17" ht="15" hidden="1" customHeight="1">
      <c r="A592" s="163">
        <v>585</v>
      </c>
      <c r="B592" s="53" t="s">
        <v>10</v>
      </c>
      <c r="C592" s="53" t="s">
        <v>8933</v>
      </c>
      <c r="D592" s="53">
        <v>100022779</v>
      </c>
      <c r="E592" s="55" t="s">
        <v>8934</v>
      </c>
      <c r="F592" s="129">
        <v>25</v>
      </c>
      <c r="G592" s="129">
        <v>3750</v>
      </c>
      <c r="H592" s="512">
        <v>8.5399999999999991</v>
      </c>
      <c r="I592" s="265" t="s">
        <v>359</v>
      </c>
      <c r="J592" s="265" t="s">
        <v>102</v>
      </c>
      <c r="K592" s="265" t="s">
        <v>8935</v>
      </c>
      <c r="L592" s="265" t="s">
        <v>8936</v>
      </c>
      <c r="M592" s="265" t="s">
        <v>8937</v>
      </c>
      <c r="N592" s="347">
        <v>0.19800000000000001</v>
      </c>
      <c r="O592" s="348">
        <v>5</v>
      </c>
      <c r="P592" s="348">
        <v>5.7</v>
      </c>
      <c r="Q592" s="348">
        <v>0.5</v>
      </c>
    </row>
    <row r="593" spans="1:17" ht="15" hidden="1" customHeight="1">
      <c r="A593" s="163">
        <v>586</v>
      </c>
      <c r="B593" s="53" t="s">
        <v>10</v>
      </c>
      <c r="C593" s="53" t="s">
        <v>8938</v>
      </c>
      <c r="D593" s="53">
        <v>100022782</v>
      </c>
      <c r="E593" s="55" t="s">
        <v>8939</v>
      </c>
      <c r="F593" s="129">
        <v>250</v>
      </c>
      <c r="G593" s="129">
        <v>37500</v>
      </c>
      <c r="H593" s="512">
        <v>1.42</v>
      </c>
      <c r="I593" s="265" t="s">
        <v>76</v>
      </c>
      <c r="J593" s="265" t="s">
        <v>102</v>
      </c>
      <c r="K593" s="265" t="s">
        <v>8940</v>
      </c>
      <c r="L593" s="265" t="s">
        <v>8941</v>
      </c>
      <c r="M593" s="265" t="s">
        <v>8942</v>
      </c>
      <c r="N593" s="347">
        <v>3.3000000000000002E-2</v>
      </c>
      <c r="O593" s="348">
        <v>10</v>
      </c>
      <c r="P593" s="348">
        <v>9.18</v>
      </c>
      <c r="Q593" s="348">
        <v>0.5</v>
      </c>
    </row>
    <row r="594" spans="1:17" ht="15" hidden="1" customHeight="1">
      <c r="A594" s="163">
        <v>587</v>
      </c>
      <c r="B594" s="53" t="s">
        <v>10</v>
      </c>
      <c r="C594" s="53" t="s">
        <v>8943</v>
      </c>
      <c r="D594" s="53">
        <v>100022784</v>
      </c>
      <c r="E594" s="55" t="s">
        <v>8944</v>
      </c>
      <c r="F594" s="129">
        <v>250</v>
      </c>
      <c r="G594" s="129">
        <v>22500</v>
      </c>
      <c r="H594" s="512">
        <v>1.58</v>
      </c>
      <c r="I594" s="265" t="s">
        <v>76</v>
      </c>
      <c r="J594" s="265" t="s">
        <v>102</v>
      </c>
      <c r="K594" s="265" t="s">
        <v>8945</v>
      </c>
      <c r="L594" s="265" t="s">
        <v>8946</v>
      </c>
      <c r="M594" s="265" t="s">
        <v>8947</v>
      </c>
      <c r="N594" s="347">
        <v>4.9000000000000002E-2</v>
      </c>
      <c r="O594" s="348">
        <v>10</v>
      </c>
      <c r="P594" s="348">
        <v>13.49</v>
      </c>
      <c r="Q594" s="348">
        <v>0.8</v>
      </c>
    </row>
    <row r="595" spans="1:17" ht="15" hidden="1" customHeight="1">
      <c r="A595" s="163">
        <v>588</v>
      </c>
      <c r="B595" s="53" t="s">
        <v>10</v>
      </c>
      <c r="C595" s="53" t="s">
        <v>8948</v>
      </c>
      <c r="D595" s="53">
        <v>100022787</v>
      </c>
      <c r="E595" s="55" t="s">
        <v>8949</v>
      </c>
      <c r="F595" s="129">
        <v>100</v>
      </c>
      <c r="G595" s="129">
        <v>12000</v>
      </c>
      <c r="H595" s="512">
        <v>2.85</v>
      </c>
      <c r="I595" s="265" t="s">
        <v>76</v>
      </c>
      <c r="J595" s="265" t="s">
        <v>102</v>
      </c>
      <c r="K595" s="265" t="s">
        <v>8950</v>
      </c>
      <c r="L595" s="265" t="s">
        <v>8951</v>
      </c>
      <c r="M595" s="265" t="s">
        <v>8952</v>
      </c>
      <c r="N595" s="347">
        <v>7.8E-2</v>
      </c>
      <c r="O595" s="348">
        <v>10</v>
      </c>
      <c r="P595" s="348">
        <v>8.9600000000000009</v>
      </c>
      <c r="Q595" s="348">
        <v>0.65</v>
      </c>
    </row>
    <row r="596" spans="1:17" ht="15" hidden="1" customHeight="1">
      <c r="A596" s="163">
        <v>589</v>
      </c>
      <c r="B596" s="53" t="s">
        <v>10</v>
      </c>
      <c r="C596" s="53" t="s">
        <v>8953</v>
      </c>
      <c r="D596" s="53">
        <v>100022789</v>
      </c>
      <c r="E596" s="55" t="s">
        <v>8954</v>
      </c>
      <c r="F596" s="129">
        <v>50</v>
      </c>
      <c r="G596" s="129">
        <v>7500</v>
      </c>
      <c r="H596" s="512">
        <v>3.48</v>
      </c>
      <c r="I596" s="265" t="s">
        <v>76</v>
      </c>
      <c r="J596" s="265" t="s">
        <v>102</v>
      </c>
      <c r="K596" s="265" t="s">
        <v>8955</v>
      </c>
      <c r="L596" s="265" t="s">
        <v>8956</v>
      </c>
      <c r="M596" s="265" t="s">
        <v>8957</v>
      </c>
      <c r="N596" s="347">
        <v>0.11700000000000001</v>
      </c>
      <c r="O596" s="348">
        <v>5</v>
      </c>
      <c r="P596" s="348">
        <v>6.6</v>
      </c>
      <c r="Q596" s="348">
        <v>0.5</v>
      </c>
    </row>
    <row r="597" spans="1:17" ht="15" hidden="1" customHeight="1">
      <c r="A597" s="163">
        <v>590</v>
      </c>
      <c r="B597" s="53" t="s">
        <v>10</v>
      </c>
      <c r="C597" s="53" t="s">
        <v>8958</v>
      </c>
      <c r="D597" s="53">
        <v>100022791</v>
      </c>
      <c r="E597" s="55" t="s">
        <v>8959</v>
      </c>
      <c r="F597" s="129">
        <v>50</v>
      </c>
      <c r="G597" s="129">
        <v>6000</v>
      </c>
      <c r="H597" s="512">
        <v>4.67</v>
      </c>
      <c r="I597" s="265" t="s">
        <v>76</v>
      </c>
      <c r="J597" s="265" t="s">
        <v>102</v>
      </c>
      <c r="K597" s="265" t="s">
        <v>8960</v>
      </c>
      <c r="L597" s="265" t="s">
        <v>8961</v>
      </c>
      <c r="M597" s="265" t="s">
        <v>8962</v>
      </c>
      <c r="N597" s="347">
        <v>0.14899999999999999</v>
      </c>
      <c r="O597" s="348">
        <v>5</v>
      </c>
      <c r="P597" s="348">
        <v>8.26</v>
      </c>
      <c r="Q597" s="348">
        <v>0.65</v>
      </c>
    </row>
    <row r="598" spans="1:17" ht="15" hidden="1" customHeight="1">
      <c r="A598" s="163">
        <v>591</v>
      </c>
      <c r="B598" s="53" t="s">
        <v>10</v>
      </c>
      <c r="C598" s="53" t="s">
        <v>8963</v>
      </c>
      <c r="D598" s="53">
        <v>100022793</v>
      </c>
      <c r="E598" s="55" t="s">
        <v>8964</v>
      </c>
      <c r="F598" s="129">
        <v>25</v>
      </c>
      <c r="G598" s="129">
        <v>3750</v>
      </c>
      <c r="H598" s="512">
        <v>6.11</v>
      </c>
      <c r="I598" s="265" t="s">
        <v>76</v>
      </c>
      <c r="J598" s="265" t="s">
        <v>102</v>
      </c>
      <c r="K598" s="265" t="s">
        <v>8965</v>
      </c>
      <c r="L598" s="265" t="s">
        <v>8966</v>
      </c>
      <c r="M598" s="265" t="s">
        <v>8967</v>
      </c>
      <c r="N598" s="347">
        <v>0.223</v>
      </c>
      <c r="O598" s="348">
        <v>5</v>
      </c>
      <c r="P598" s="348">
        <v>6.15</v>
      </c>
      <c r="Q598" s="348">
        <v>0.5</v>
      </c>
    </row>
    <row r="599" spans="1:17" ht="15" hidden="1" customHeight="1">
      <c r="A599" s="163">
        <v>592</v>
      </c>
      <c r="B599" s="53" t="s">
        <v>10</v>
      </c>
      <c r="C599" s="53" t="s">
        <v>8968</v>
      </c>
      <c r="D599" s="53">
        <v>100022797</v>
      </c>
      <c r="E599" s="55" t="s">
        <v>8969</v>
      </c>
      <c r="F599" s="129">
        <v>16</v>
      </c>
      <c r="G599" s="129">
        <v>1920</v>
      </c>
      <c r="H599" s="512">
        <v>26.38</v>
      </c>
      <c r="I599" s="265" t="s">
        <v>76</v>
      </c>
      <c r="J599" s="265" t="s">
        <v>102</v>
      </c>
      <c r="K599" s="265" t="s">
        <v>8970</v>
      </c>
      <c r="L599" s="348" t="s">
        <v>1205</v>
      </c>
      <c r="M599" s="265" t="s">
        <v>8971</v>
      </c>
      <c r="N599" s="347">
        <v>0.6</v>
      </c>
      <c r="O599" s="348" t="s">
        <v>1205</v>
      </c>
      <c r="P599" s="348">
        <v>11</v>
      </c>
      <c r="Q599" s="348">
        <v>0.65</v>
      </c>
    </row>
    <row r="600" spans="1:17" ht="15" hidden="1" customHeight="1">
      <c r="A600" s="163">
        <v>593</v>
      </c>
      <c r="B600" s="53" t="s">
        <v>10</v>
      </c>
      <c r="C600" s="53" t="s">
        <v>8972</v>
      </c>
      <c r="D600" s="53">
        <v>100022799</v>
      </c>
      <c r="E600" s="55" t="s">
        <v>8973</v>
      </c>
      <c r="F600" s="129">
        <v>12</v>
      </c>
      <c r="G600" s="129">
        <v>1080</v>
      </c>
      <c r="H600" s="512">
        <v>33.67</v>
      </c>
      <c r="I600" s="265" t="s">
        <v>76</v>
      </c>
      <c r="J600" s="265" t="s">
        <v>102</v>
      </c>
      <c r="K600" s="265" t="s">
        <v>8974</v>
      </c>
      <c r="L600" s="348" t="s">
        <v>1205</v>
      </c>
      <c r="M600" s="265" t="s">
        <v>8975</v>
      </c>
      <c r="N600" s="347">
        <v>0.81799999999999995</v>
      </c>
      <c r="O600" s="348" t="s">
        <v>1205</v>
      </c>
      <c r="P600" s="348">
        <v>10.46</v>
      </c>
      <c r="Q600" s="348">
        <v>0.8</v>
      </c>
    </row>
    <row r="601" spans="1:17" ht="15" hidden="1" customHeight="1">
      <c r="A601" s="163">
        <v>594</v>
      </c>
      <c r="B601" s="53" t="s">
        <v>10</v>
      </c>
      <c r="C601" s="53" t="s">
        <v>8976</v>
      </c>
      <c r="D601" s="53">
        <v>100027412</v>
      </c>
      <c r="E601" s="55" t="s">
        <v>8977</v>
      </c>
      <c r="F601" s="129">
        <v>250</v>
      </c>
      <c r="G601" s="129">
        <v>37500</v>
      </c>
      <c r="H601" s="512">
        <v>8.5500000000000007</v>
      </c>
      <c r="I601" s="265" t="s">
        <v>359</v>
      </c>
      <c r="J601" s="265" t="s">
        <v>102</v>
      </c>
      <c r="K601" s="265" t="s">
        <v>8978</v>
      </c>
      <c r="L601" s="265" t="s">
        <v>8979</v>
      </c>
      <c r="M601" s="265" t="s">
        <v>8980</v>
      </c>
      <c r="N601" s="347">
        <v>4.4999999999999998E-2</v>
      </c>
      <c r="O601" s="348">
        <v>10</v>
      </c>
      <c r="P601" s="348">
        <v>12.34</v>
      </c>
      <c r="Q601" s="348">
        <v>0.5</v>
      </c>
    </row>
    <row r="602" spans="1:17" ht="15" hidden="1" customHeight="1">
      <c r="A602" s="163">
        <v>595</v>
      </c>
      <c r="B602" s="53" t="s">
        <v>10</v>
      </c>
      <c r="C602" s="53" t="s">
        <v>8981</v>
      </c>
      <c r="D602" s="53">
        <v>100022805</v>
      </c>
      <c r="E602" s="55" t="s">
        <v>8982</v>
      </c>
      <c r="F602" s="129">
        <v>250</v>
      </c>
      <c r="G602" s="129">
        <v>22500</v>
      </c>
      <c r="H602" s="512">
        <v>2.85</v>
      </c>
      <c r="I602" s="265" t="s">
        <v>76</v>
      </c>
      <c r="J602" s="265" t="s">
        <v>102</v>
      </c>
      <c r="K602" s="265" t="s">
        <v>8983</v>
      </c>
      <c r="L602" s="265" t="s">
        <v>8984</v>
      </c>
      <c r="M602" s="265" t="s">
        <v>8985</v>
      </c>
      <c r="N602" s="347">
        <v>4.4999999999999998E-2</v>
      </c>
      <c r="O602" s="348">
        <v>10</v>
      </c>
      <c r="P602" s="348">
        <v>12.14</v>
      </c>
      <c r="Q602" s="348">
        <v>0.8</v>
      </c>
    </row>
    <row r="603" spans="1:17" ht="15" hidden="1" customHeight="1">
      <c r="A603" s="163">
        <v>596</v>
      </c>
      <c r="B603" s="53" t="s">
        <v>10</v>
      </c>
      <c r="C603" s="53" t="s">
        <v>8986</v>
      </c>
      <c r="D603" s="53">
        <v>100022807</v>
      </c>
      <c r="E603" s="55" t="s">
        <v>8987</v>
      </c>
      <c r="F603" s="129">
        <v>100</v>
      </c>
      <c r="G603" s="129">
        <v>12000</v>
      </c>
      <c r="H603" s="512">
        <v>9.27</v>
      </c>
      <c r="I603" s="265" t="s">
        <v>76</v>
      </c>
      <c r="J603" s="265" t="s">
        <v>102</v>
      </c>
      <c r="K603" s="265" t="s">
        <v>8988</v>
      </c>
      <c r="L603" s="265" t="s">
        <v>8989</v>
      </c>
      <c r="M603" s="265" t="s">
        <v>8990</v>
      </c>
      <c r="N603" s="347">
        <v>0.1</v>
      </c>
      <c r="O603" s="348">
        <v>10</v>
      </c>
      <c r="P603" s="348">
        <v>10.73</v>
      </c>
      <c r="Q603" s="348">
        <v>0.65</v>
      </c>
    </row>
    <row r="604" spans="1:17" ht="15" hidden="1" customHeight="1">
      <c r="A604" s="163">
        <v>597</v>
      </c>
      <c r="B604" s="53" t="s">
        <v>10</v>
      </c>
      <c r="C604" s="53" t="s">
        <v>8991</v>
      </c>
      <c r="D604" s="53">
        <v>100022810</v>
      </c>
      <c r="E604" s="55" t="s">
        <v>8992</v>
      </c>
      <c r="F604" s="129">
        <v>250</v>
      </c>
      <c r="G604" s="129">
        <v>30000</v>
      </c>
      <c r="H604" s="512">
        <v>2.65</v>
      </c>
      <c r="I604" s="265" t="s">
        <v>359</v>
      </c>
      <c r="J604" s="265" t="s">
        <v>102</v>
      </c>
      <c r="K604" s="265" t="s">
        <v>8993</v>
      </c>
      <c r="L604" s="265" t="s">
        <v>8994</v>
      </c>
      <c r="M604" s="265" t="s">
        <v>8995</v>
      </c>
      <c r="N604" s="347">
        <v>3.1E-2</v>
      </c>
      <c r="O604" s="348">
        <v>10</v>
      </c>
      <c r="P604" s="348">
        <v>11.4</v>
      </c>
      <c r="Q604" s="348">
        <v>0.65</v>
      </c>
    </row>
    <row r="605" spans="1:17" ht="15" hidden="1" customHeight="1">
      <c r="A605" s="163">
        <v>598</v>
      </c>
      <c r="B605" s="53" t="s">
        <v>10</v>
      </c>
      <c r="C605" s="53" t="s">
        <v>8996</v>
      </c>
      <c r="D605" s="53">
        <v>100022812</v>
      </c>
      <c r="E605" s="55" t="s">
        <v>8997</v>
      </c>
      <c r="F605" s="129">
        <v>100</v>
      </c>
      <c r="G605" s="129">
        <v>12000</v>
      </c>
      <c r="H605" s="512">
        <v>4.07</v>
      </c>
      <c r="I605" s="265" t="s">
        <v>76</v>
      </c>
      <c r="J605" s="265" t="s">
        <v>102</v>
      </c>
      <c r="K605" s="265" t="s">
        <v>8998</v>
      </c>
      <c r="L605" s="265" t="s">
        <v>8999</v>
      </c>
      <c r="M605" s="265" t="s">
        <v>9000</v>
      </c>
      <c r="N605" s="347">
        <v>7.4999999999999997E-2</v>
      </c>
      <c r="O605" s="348">
        <v>10</v>
      </c>
      <c r="P605" s="348">
        <v>8.5</v>
      </c>
      <c r="Q605" s="348">
        <v>0.65</v>
      </c>
    </row>
    <row r="606" spans="1:17" ht="15" hidden="1" customHeight="1">
      <c r="A606" s="163">
        <v>599</v>
      </c>
      <c r="B606" s="53" t="s">
        <v>10</v>
      </c>
      <c r="C606" s="53" t="s">
        <v>9001</v>
      </c>
      <c r="D606" s="53">
        <v>100022814</v>
      </c>
      <c r="E606" s="55" t="s">
        <v>9002</v>
      </c>
      <c r="F606" s="129">
        <v>250</v>
      </c>
      <c r="G606" s="129">
        <v>18750</v>
      </c>
      <c r="H606" s="512">
        <v>7.57</v>
      </c>
      <c r="I606" s="265" t="s">
        <v>359</v>
      </c>
      <c r="J606" s="265" t="s">
        <v>102</v>
      </c>
      <c r="K606" s="265" t="s">
        <v>9003</v>
      </c>
      <c r="L606" s="265" t="s">
        <v>9004</v>
      </c>
      <c r="M606" s="265" t="s">
        <v>9005</v>
      </c>
      <c r="N606" s="347">
        <v>4.3999999999999997E-2</v>
      </c>
      <c r="O606" s="348">
        <v>10</v>
      </c>
      <c r="P606" s="348">
        <v>24.58</v>
      </c>
      <c r="Q606" s="348">
        <v>0.95</v>
      </c>
    </row>
    <row r="607" spans="1:17" ht="15" hidden="1" customHeight="1">
      <c r="A607" s="163">
        <v>600</v>
      </c>
      <c r="B607" s="53" t="s">
        <v>10</v>
      </c>
      <c r="C607" s="53" t="s">
        <v>9006</v>
      </c>
      <c r="D607" s="53">
        <v>100022816</v>
      </c>
      <c r="E607" s="55" t="s">
        <v>9007</v>
      </c>
      <c r="F607" s="129">
        <v>200</v>
      </c>
      <c r="G607" s="129">
        <v>18000</v>
      </c>
      <c r="H607" s="512">
        <v>8.77</v>
      </c>
      <c r="I607" s="265" t="s">
        <v>76</v>
      </c>
      <c r="J607" s="265" t="s">
        <v>102</v>
      </c>
      <c r="K607" s="265" t="s">
        <v>9008</v>
      </c>
      <c r="L607" s="265" t="s">
        <v>9009</v>
      </c>
      <c r="M607" s="265" t="s">
        <v>9010</v>
      </c>
      <c r="N607" s="347">
        <v>5.3999999999999999E-2</v>
      </c>
      <c r="O607" s="348">
        <v>10</v>
      </c>
      <c r="P607" s="348">
        <v>13.25</v>
      </c>
      <c r="Q607" s="348">
        <v>0.8</v>
      </c>
    </row>
    <row r="608" spans="1:17" ht="15" hidden="1" customHeight="1">
      <c r="A608" s="163">
        <v>601</v>
      </c>
      <c r="B608" s="53" t="s">
        <v>10</v>
      </c>
      <c r="C608" s="53" t="s">
        <v>9011</v>
      </c>
      <c r="D608" s="53">
        <v>100022818</v>
      </c>
      <c r="E608" s="55" t="s">
        <v>9012</v>
      </c>
      <c r="F608" s="129">
        <v>50</v>
      </c>
      <c r="G608" s="129">
        <v>7500</v>
      </c>
      <c r="H608" s="512">
        <v>9.5</v>
      </c>
      <c r="I608" s="265" t="s">
        <v>76</v>
      </c>
      <c r="J608" s="265" t="s">
        <v>102</v>
      </c>
      <c r="K608" s="265" t="s">
        <v>9013</v>
      </c>
      <c r="L608" s="265" t="s">
        <v>9014</v>
      </c>
      <c r="M608" s="265" t="s">
        <v>9015</v>
      </c>
      <c r="N608" s="347">
        <v>0.105</v>
      </c>
      <c r="O608" s="348">
        <v>5</v>
      </c>
      <c r="P608" s="348">
        <v>6.87</v>
      </c>
      <c r="Q608" s="348">
        <v>0.5</v>
      </c>
    </row>
    <row r="609" spans="1:17" ht="15" hidden="1" customHeight="1">
      <c r="A609" s="163">
        <v>602</v>
      </c>
      <c r="B609" s="53" t="s">
        <v>10</v>
      </c>
      <c r="C609" s="53" t="s">
        <v>9016</v>
      </c>
      <c r="D609" s="53">
        <v>100022820</v>
      </c>
      <c r="E609" s="55" t="s">
        <v>9017</v>
      </c>
      <c r="F609" s="129">
        <v>100</v>
      </c>
      <c r="G609" s="129">
        <v>9000</v>
      </c>
      <c r="H609" s="512">
        <v>10.73</v>
      </c>
      <c r="I609" s="265" t="s">
        <v>76</v>
      </c>
      <c r="J609" s="265" t="s">
        <v>102</v>
      </c>
      <c r="K609" s="265" t="s">
        <v>9018</v>
      </c>
      <c r="L609" s="265" t="s">
        <v>9019</v>
      </c>
      <c r="M609" s="265" t="s">
        <v>9020</v>
      </c>
      <c r="N609" s="347">
        <v>0.122</v>
      </c>
      <c r="O609" s="348">
        <v>5</v>
      </c>
      <c r="P609" s="348">
        <v>13.2</v>
      </c>
      <c r="Q609" s="348">
        <v>0.8</v>
      </c>
    </row>
    <row r="610" spans="1:17" ht="15" hidden="1" customHeight="1">
      <c r="A610" s="163">
        <v>603</v>
      </c>
      <c r="B610" s="53" t="s">
        <v>10</v>
      </c>
      <c r="C610" s="53" t="s">
        <v>9021</v>
      </c>
      <c r="D610" s="53">
        <v>100022823</v>
      </c>
      <c r="E610" s="55" t="s">
        <v>9022</v>
      </c>
      <c r="F610" s="129">
        <v>125</v>
      </c>
      <c r="G610" s="129">
        <v>7500</v>
      </c>
      <c r="H610" s="512">
        <v>10.73</v>
      </c>
      <c r="I610" s="265" t="s">
        <v>359</v>
      </c>
      <c r="J610" s="265" t="s">
        <v>102</v>
      </c>
      <c r="K610" s="265" t="s">
        <v>9023</v>
      </c>
      <c r="L610" s="265" t="s">
        <v>9024</v>
      </c>
      <c r="M610" s="265" t="s">
        <v>9025</v>
      </c>
      <c r="N610" s="347">
        <v>0.15</v>
      </c>
      <c r="O610" s="348">
        <v>5</v>
      </c>
      <c r="P610" s="348">
        <v>21.5</v>
      </c>
      <c r="Q610" s="348">
        <v>1.25</v>
      </c>
    </row>
    <row r="611" spans="1:17" ht="15" hidden="1" customHeight="1">
      <c r="A611" s="163">
        <v>604</v>
      </c>
      <c r="B611" s="53" t="s">
        <v>10</v>
      </c>
      <c r="C611" s="53" t="s">
        <v>9026</v>
      </c>
      <c r="D611" s="53">
        <v>100022825</v>
      </c>
      <c r="E611" s="55" t="s">
        <v>9027</v>
      </c>
      <c r="F611" s="129">
        <v>125</v>
      </c>
      <c r="G611" s="129">
        <v>11250</v>
      </c>
      <c r="H611" s="512">
        <v>9.73</v>
      </c>
      <c r="I611" s="265" t="s">
        <v>359</v>
      </c>
      <c r="J611" s="265" t="s">
        <v>102</v>
      </c>
      <c r="K611" s="265" t="s">
        <v>9028</v>
      </c>
      <c r="L611" s="265" t="s">
        <v>9029</v>
      </c>
      <c r="M611" s="265" t="s">
        <v>9030</v>
      </c>
      <c r="N611" s="347">
        <v>0.151</v>
      </c>
      <c r="O611" s="348">
        <v>5</v>
      </c>
      <c r="P611" s="348">
        <v>12.6</v>
      </c>
      <c r="Q611" s="348">
        <v>0.8</v>
      </c>
    </row>
    <row r="612" spans="1:17" ht="15" hidden="1" customHeight="1">
      <c r="A612" s="163">
        <v>605</v>
      </c>
      <c r="B612" s="53" t="s">
        <v>10</v>
      </c>
      <c r="C612" s="53" t="s">
        <v>9031</v>
      </c>
      <c r="D612" s="53">
        <v>100022827</v>
      </c>
      <c r="E612" s="55" t="s">
        <v>9032</v>
      </c>
      <c r="F612" s="129">
        <v>50</v>
      </c>
      <c r="G612" s="129">
        <v>6000</v>
      </c>
      <c r="H612" s="512">
        <v>12.99</v>
      </c>
      <c r="I612" s="265" t="s">
        <v>76</v>
      </c>
      <c r="J612" s="265" t="s">
        <v>102</v>
      </c>
      <c r="K612" s="265" t="s">
        <v>9033</v>
      </c>
      <c r="L612" s="265" t="s">
        <v>9034</v>
      </c>
      <c r="M612" s="265" t="s">
        <v>9035</v>
      </c>
      <c r="N612" s="347">
        <v>0.108</v>
      </c>
      <c r="O612" s="348">
        <v>5</v>
      </c>
      <c r="P612" s="348">
        <v>7.43</v>
      </c>
      <c r="Q612" s="348">
        <v>0.65</v>
      </c>
    </row>
    <row r="613" spans="1:17" ht="15" hidden="1" customHeight="1">
      <c r="A613" s="163">
        <v>606</v>
      </c>
      <c r="B613" s="53" t="s">
        <v>10</v>
      </c>
      <c r="C613" s="53" t="s">
        <v>9036</v>
      </c>
      <c r="D613" s="53">
        <v>100022830</v>
      </c>
      <c r="E613" s="55" t="s">
        <v>9037</v>
      </c>
      <c r="F613" s="129">
        <v>50</v>
      </c>
      <c r="G613" s="129">
        <v>3750</v>
      </c>
      <c r="H613" s="512">
        <v>12.99</v>
      </c>
      <c r="I613" s="265" t="s">
        <v>76</v>
      </c>
      <c r="J613" s="265" t="s">
        <v>102</v>
      </c>
      <c r="K613" s="265" t="s">
        <v>9038</v>
      </c>
      <c r="L613" s="265" t="s">
        <v>9039</v>
      </c>
      <c r="M613" s="265" t="s">
        <v>9040</v>
      </c>
      <c r="N613" s="347">
        <v>0.20699999999999999</v>
      </c>
      <c r="O613" s="348">
        <v>5</v>
      </c>
      <c r="P613" s="348">
        <v>14.64</v>
      </c>
      <c r="Q613" s="348">
        <v>0.95</v>
      </c>
    </row>
    <row r="614" spans="1:17" ht="15" hidden="1" customHeight="1">
      <c r="A614" s="163">
        <v>607</v>
      </c>
      <c r="B614" s="53" t="s">
        <v>10</v>
      </c>
      <c r="C614" s="53" t="s">
        <v>9041</v>
      </c>
      <c r="D614" s="53">
        <v>100022834</v>
      </c>
      <c r="E614" s="55" t="s">
        <v>9042</v>
      </c>
      <c r="F614" s="129">
        <v>50</v>
      </c>
      <c r="G614" s="129">
        <v>7500</v>
      </c>
      <c r="H614" s="512">
        <v>14.8</v>
      </c>
      <c r="I614" s="265" t="s">
        <v>76</v>
      </c>
      <c r="J614" s="265" t="s">
        <v>102</v>
      </c>
      <c r="K614" s="265" t="s">
        <v>9043</v>
      </c>
      <c r="L614" s="265" t="s">
        <v>9044</v>
      </c>
      <c r="M614" s="265" t="s">
        <v>9045</v>
      </c>
      <c r="N614" s="347">
        <v>0.11600000000000001</v>
      </c>
      <c r="O614" s="348">
        <v>5</v>
      </c>
      <c r="P614" s="348">
        <v>6.62</v>
      </c>
      <c r="Q614" s="348">
        <v>0.5</v>
      </c>
    </row>
    <row r="615" spans="1:17" ht="15" hidden="1" customHeight="1">
      <c r="A615" s="163">
        <v>608</v>
      </c>
      <c r="B615" s="53" t="s">
        <v>10</v>
      </c>
      <c r="C615" s="53" t="s">
        <v>9046</v>
      </c>
      <c r="D615" s="53">
        <v>100022840</v>
      </c>
      <c r="E615" s="55" t="s">
        <v>9047</v>
      </c>
      <c r="F615" s="129">
        <v>6</v>
      </c>
      <c r="G615" s="129">
        <v>1500</v>
      </c>
      <c r="H615" s="512">
        <v>44.57</v>
      </c>
      <c r="I615" s="265" t="s">
        <v>76</v>
      </c>
      <c r="J615" s="265" t="s">
        <v>102</v>
      </c>
      <c r="K615" s="265" t="s">
        <v>9048</v>
      </c>
      <c r="L615" s="348" t="s">
        <v>1205</v>
      </c>
      <c r="M615" s="265" t="s">
        <v>9049</v>
      </c>
      <c r="N615" s="347">
        <v>0.83599999999999997</v>
      </c>
      <c r="O615" s="348" t="s">
        <v>1205</v>
      </c>
      <c r="P615" s="348">
        <v>5.55</v>
      </c>
      <c r="Q615" s="348">
        <v>0.5</v>
      </c>
    </row>
    <row r="616" spans="1:17" ht="15" hidden="1" customHeight="1">
      <c r="A616" s="163">
        <v>609</v>
      </c>
      <c r="B616" s="53" t="s">
        <v>10</v>
      </c>
      <c r="C616" s="53" t="s">
        <v>9050</v>
      </c>
      <c r="D616" s="53">
        <v>100022847</v>
      </c>
      <c r="E616" s="55" t="s">
        <v>9051</v>
      </c>
      <c r="F616" s="129">
        <v>250</v>
      </c>
      <c r="G616" s="129">
        <v>37500</v>
      </c>
      <c r="H616" s="512">
        <v>1.67</v>
      </c>
      <c r="I616" s="265" t="s">
        <v>76</v>
      </c>
      <c r="J616" s="265" t="s">
        <v>102</v>
      </c>
      <c r="K616" s="265" t="s">
        <v>9052</v>
      </c>
      <c r="L616" s="265" t="s">
        <v>9053</v>
      </c>
      <c r="M616" s="265" t="s">
        <v>9054</v>
      </c>
      <c r="N616" s="347">
        <v>2.3E-2</v>
      </c>
      <c r="O616" s="348">
        <v>10</v>
      </c>
      <c r="P616" s="348">
        <v>6.68</v>
      </c>
      <c r="Q616" s="348">
        <v>0.5</v>
      </c>
    </row>
    <row r="617" spans="1:17" ht="15" hidden="1" customHeight="1">
      <c r="A617" s="163">
        <v>610</v>
      </c>
      <c r="B617" s="53" t="s">
        <v>10</v>
      </c>
      <c r="C617" s="53" t="s">
        <v>9055</v>
      </c>
      <c r="D617" s="53">
        <v>100022849</v>
      </c>
      <c r="E617" s="55" t="s">
        <v>9056</v>
      </c>
      <c r="F617" s="129">
        <v>250</v>
      </c>
      <c r="G617" s="129">
        <v>30000</v>
      </c>
      <c r="H617" s="512">
        <v>3.02</v>
      </c>
      <c r="I617" s="265" t="s">
        <v>76</v>
      </c>
      <c r="J617" s="265" t="s">
        <v>102</v>
      </c>
      <c r="K617" s="265" t="s">
        <v>9057</v>
      </c>
      <c r="L617" s="265" t="s">
        <v>9058</v>
      </c>
      <c r="M617" s="265" t="s">
        <v>9059</v>
      </c>
      <c r="N617" s="347">
        <v>4.4999999999999998E-2</v>
      </c>
      <c r="O617" s="348">
        <v>10</v>
      </c>
      <c r="P617" s="348">
        <v>14.88</v>
      </c>
      <c r="Q617" s="348">
        <v>0.65</v>
      </c>
    </row>
    <row r="618" spans="1:17" ht="15" hidden="1" customHeight="1">
      <c r="A618" s="163">
        <v>611</v>
      </c>
      <c r="B618" s="53" t="s">
        <v>10</v>
      </c>
      <c r="C618" s="53" t="s">
        <v>9060</v>
      </c>
      <c r="D618" s="53">
        <v>100027421</v>
      </c>
      <c r="E618" s="55" t="s">
        <v>9061</v>
      </c>
      <c r="F618" s="129">
        <v>250</v>
      </c>
      <c r="G618" s="129">
        <v>30000</v>
      </c>
      <c r="H618" s="512">
        <v>3.02</v>
      </c>
      <c r="I618" s="265" t="s">
        <v>76</v>
      </c>
      <c r="J618" s="265" t="s">
        <v>102</v>
      </c>
      <c r="K618" s="265">
        <v>0</v>
      </c>
      <c r="L618" s="265" t="s">
        <v>9062</v>
      </c>
      <c r="M618" s="265" t="s">
        <v>9063</v>
      </c>
      <c r="N618" s="347">
        <v>3.3000000000000002E-2</v>
      </c>
      <c r="O618" s="348">
        <v>10</v>
      </c>
      <c r="P618" s="348">
        <v>10.88</v>
      </c>
      <c r="Q618" s="348">
        <v>0.65</v>
      </c>
    </row>
    <row r="619" spans="1:17" ht="15" hidden="1" customHeight="1">
      <c r="A619" s="163">
        <v>612</v>
      </c>
      <c r="B619" s="53" t="s">
        <v>10</v>
      </c>
      <c r="C619" s="53" t="s">
        <v>9064</v>
      </c>
      <c r="D619" s="53">
        <v>100022854</v>
      </c>
      <c r="E619" s="55" t="s">
        <v>9065</v>
      </c>
      <c r="F619" s="129">
        <v>150</v>
      </c>
      <c r="G619" s="129">
        <v>18000</v>
      </c>
      <c r="H619" s="512">
        <v>4.07</v>
      </c>
      <c r="I619" s="265" t="s">
        <v>359</v>
      </c>
      <c r="J619" s="265" t="s">
        <v>102</v>
      </c>
      <c r="K619" s="265" t="s">
        <v>9066</v>
      </c>
      <c r="L619" s="265" t="s">
        <v>9067</v>
      </c>
      <c r="M619" s="265" t="s">
        <v>9068</v>
      </c>
      <c r="N619" s="347">
        <v>9.1999999999999998E-2</v>
      </c>
      <c r="O619" s="348">
        <v>5</v>
      </c>
      <c r="P619" s="348">
        <v>14.45</v>
      </c>
      <c r="Q619" s="348">
        <v>0.65</v>
      </c>
    </row>
    <row r="620" spans="1:17" ht="15" hidden="1" customHeight="1">
      <c r="A620" s="163">
        <v>613</v>
      </c>
      <c r="B620" s="53" t="s">
        <v>10</v>
      </c>
      <c r="C620" s="53" t="s">
        <v>9069</v>
      </c>
      <c r="D620" s="53">
        <v>100027422</v>
      </c>
      <c r="E620" s="55" t="s">
        <v>9070</v>
      </c>
      <c r="F620" s="129">
        <v>150</v>
      </c>
      <c r="G620" s="129">
        <v>13500</v>
      </c>
      <c r="H620" s="512">
        <v>4.07</v>
      </c>
      <c r="I620" s="265" t="s">
        <v>76</v>
      </c>
      <c r="J620" s="265" t="s">
        <v>102</v>
      </c>
      <c r="K620" s="265">
        <v>0</v>
      </c>
      <c r="L620" s="265" t="s">
        <v>9071</v>
      </c>
      <c r="M620" s="265" t="s">
        <v>9072</v>
      </c>
      <c r="N620" s="347">
        <v>6.6000000000000003E-2</v>
      </c>
      <c r="O620" s="348">
        <v>5</v>
      </c>
      <c r="P620" s="348">
        <v>10.85</v>
      </c>
      <c r="Q620" s="348">
        <v>0.8</v>
      </c>
    </row>
    <row r="621" spans="1:17" ht="15" hidden="1" customHeight="1">
      <c r="A621" s="163">
        <v>614</v>
      </c>
      <c r="B621" s="53" t="s">
        <v>10</v>
      </c>
      <c r="C621" s="53" t="s">
        <v>9073</v>
      </c>
      <c r="D621" s="53">
        <v>100022856</v>
      </c>
      <c r="E621" s="55" t="s">
        <v>9074</v>
      </c>
      <c r="F621" s="129">
        <v>100</v>
      </c>
      <c r="G621" s="129">
        <v>12000</v>
      </c>
      <c r="H621" s="512">
        <v>4.32</v>
      </c>
      <c r="I621" s="265" t="s">
        <v>76</v>
      </c>
      <c r="J621" s="265" t="s">
        <v>102</v>
      </c>
      <c r="K621" s="265" t="s">
        <v>9075</v>
      </c>
      <c r="L621" s="265" t="s">
        <v>9076</v>
      </c>
      <c r="M621" s="265" t="s">
        <v>9077</v>
      </c>
      <c r="N621" s="347">
        <v>0.122</v>
      </c>
      <c r="O621" s="348">
        <v>5</v>
      </c>
      <c r="P621" s="348">
        <v>13.46</v>
      </c>
      <c r="Q621" s="348">
        <v>0.65</v>
      </c>
    </row>
    <row r="622" spans="1:17" ht="15" hidden="1" customHeight="1">
      <c r="A622" s="163">
        <v>615</v>
      </c>
      <c r="B622" s="53" t="s">
        <v>10</v>
      </c>
      <c r="C622" s="53" t="s">
        <v>9078</v>
      </c>
      <c r="D622" s="53">
        <v>100022858</v>
      </c>
      <c r="E622" s="55" t="s">
        <v>9079</v>
      </c>
      <c r="F622" s="129">
        <v>100</v>
      </c>
      <c r="G622" s="129">
        <v>12000</v>
      </c>
      <c r="H622" s="512">
        <v>4.32</v>
      </c>
      <c r="I622" s="265" t="s">
        <v>76</v>
      </c>
      <c r="J622" s="265" t="s">
        <v>102</v>
      </c>
      <c r="K622" s="265" t="s">
        <v>9080</v>
      </c>
      <c r="L622" s="265" t="s">
        <v>9081</v>
      </c>
      <c r="M622" s="265" t="s">
        <v>9082</v>
      </c>
      <c r="N622" s="347">
        <v>0.10199999999999999</v>
      </c>
      <c r="O622" s="348">
        <v>5</v>
      </c>
      <c r="P622" s="348">
        <v>13.35</v>
      </c>
      <c r="Q622" s="348">
        <v>0.65</v>
      </c>
    </row>
    <row r="623" spans="1:17" ht="15" hidden="1" customHeight="1">
      <c r="A623" s="163">
        <v>616</v>
      </c>
      <c r="B623" s="53" t="s">
        <v>10</v>
      </c>
      <c r="C623" s="53" t="s">
        <v>9083</v>
      </c>
      <c r="D623" s="53">
        <v>100022860</v>
      </c>
      <c r="E623" s="55" t="s">
        <v>9084</v>
      </c>
      <c r="F623" s="129">
        <v>100</v>
      </c>
      <c r="G623" s="129">
        <v>12000</v>
      </c>
      <c r="H623" s="512">
        <v>4.32</v>
      </c>
      <c r="I623" s="265" t="s">
        <v>76</v>
      </c>
      <c r="J623" s="265" t="s">
        <v>102</v>
      </c>
      <c r="K623" s="265" t="s">
        <v>9085</v>
      </c>
      <c r="L623" s="265" t="s">
        <v>9086</v>
      </c>
      <c r="M623" s="265" t="s">
        <v>9087</v>
      </c>
      <c r="N623" s="347">
        <v>0.122</v>
      </c>
      <c r="O623" s="348">
        <v>10</v>
      </c>
      <c r="P623" s="348">
        <v>13.04</v>
      </c>
      <c r="Q623" s="348">
        <v>0.65</v>
      </c>
    </row>
    <row r="624" spans="1:17" ht="15" hidden="1" customHeight="1">
      <c r="A624" s="163">
        <v>617</v>
      </c>
      <c r="B624" s="53" t="s">
        <v>10</v>
      </c>
      <c r="C624" s="53" t="s">
        <v>9088</v>
      </c>
      <c r="D624" s="53">
        <v>100022862</v>
      </c>
      <c r="E624" s="55" t="s">
        <v>9089</v>
      </c>
      <c r="F624" s="129">
        <v>100</v>
      </c>
      <c r="G624" s="129">
        <v>12000</v>
      </c>
      <c r="H624" s="512">
        <v>4.32</v>
      </c>
      <c r="I624" s="265" t="s">
        <v>76</v>
      </c>
      <c r="J624" s="265" t="s">
        <v>102</v>
      </c>
      <c r="K624" s="265" t="s">
        <v>9090</v>
      </c>
      <c r="L624" s="265" t="s">
        <v>9091</v>
      </c>
      <c r="M624" s="265" t="s">
        <v>9092</v>
      </c>
      <c r="N624" s="347">
        <v>5.1999999999999998E-2</v>
      </c>
      <c r="O624" s="348">
        <v>10</v>
      </c>
      <c r="P624" s="348">
        <v>6.03</v>
      </c>
      <c r="Q624" s="348">
        <v>0.65</v>
      </c>
    </row>
    <row r="625" spans="1:17" ht="15" hidden="1" customHeight="1">
      <c r="A625" s="163">
        <v>618</v>
      </c>
      <c r="B625" s="53" t="s">
        <v>10</v>
      </c>
      <c r="C625" s="53" t="s">
        <v>9093</v>
      </c>
      <c r="D625" s="53">
        <v>100022864</v>
      </c>
      <c r="E625" s="55" t="s">
        <v>9094</v>
      </c>
      <c r="F625" s="129">
        <v>50</v>
      </c>
      <c r="G625" s="129">
        <v>7500</v>
      </c>
      <c r="H625" s="512">
        <v>7.13</v>
      </c>
      <c r="I625" s="265" t="s">
        <v>76</v>
      </c>
      <c r="J625" s="265" t="s">
        <v>102</v>
      </c>
      <c r="K625" s="265" t="s">
        <v>9095</v>
      </c>
      <c r="L625" s="265" t="s">
        <v>9096</v>
      </c>
      <c r="M625" s="265" t="s">
        <v>9097</v>
      </c>
      <c r="N625" s="347">
        <v>0.16400000000000001</v>
      </c>
      <c r="O625" s="348">
        <v>5</v>
      </c>
      <c r="P625" s="348">
        <v>8.3699999999999992</v>
      </c>
      <c r="Q625" s="348">
        <v>0.5</v>
      </c>
    </row>
    <row r="626" spans="1:17" ht="15" hidden="1" customHeight="1">
      <c r="A626" s="163">
        <v>619</v>
      </c>
      <c r="B626" s="53" t="s">
        <v>10</v>
      </c>
      <c r="C626" s="53" t="s">
        <v>9098</v>
      </c>
      <c r="D626" s="53">
        <v>100022866</v>
      </c>
      <c r="E626" s="55" t="s">
        <v>9099</v>
      </c>
      <c r="F626" s="129">
        <v>50</v>
      </c>
      <c r="G626" s="129">
        <v>7500</v>
      </c>
      <c r="H626" s="512">
        <v>7.13</v>
      </c>
      <c r="I626" s="265" t="s">
        <v>76</v>
      </c>
      <c r="J626" s="265" t="s">
        <v>102</v>
      </c>
      <c r="K626" s="265" t="s">
        <v>9100</v>
      </c>
      <c r="L626" s="265" t="s">
        <v>9101</v>
      </c>
      <c r="M626" s="265" t="s">
        <v>9102</v>
      </c>
      <c r="N626" s="347">
        <v>0.16500000000000001</v>
      </c>
      <c r="O626" s="348">
        <v>5</v>
      </c>
      <c r="P626" s="348">
        <v>9.06</v>
      </c>
      <c r="Q626" s="348">
        <v>0.5</v>
      </c>
    </row>
    <row r="627" spans="1:17" ht="15" hidden="1" customHeight="1">
      <c r="A627" s="163">
        <v>620</v>
      </c>
      <c r="B627" s="53" t="s">
        <v>10</v>
      </c>
      <c r="C627" s="53" t="s">
        <v>9103</v>
      </c>
      <c r="D627" s="53">
        <v>100022868</v>
      </c>
      <c r="E627" s="55" t="s">
        <v>9104</v>
      </c>
      <c r="F627" s="129">
        <v>50</v>
      </c>
      <c r="G627" s="129">
        <v>6000</v>
      </c>
      <c r="H627" s="512">
        <v>7.13</v>
      </c>
      <c r="I627" s="265" t="s">
        <v>76</v>
      </c>
      <c r="J627" s="265" t="s">
        <v>102</v>
      </c>
      <c r="K627" s="265" t="s">
        <v>9105</v>
      </c>
      <c r="L627" s="265" t="s">
        <v>9106</v>
      </c>
      <c r="M627" s="265" t="s">
        <v>9107</v>
      </c>
      <c r="N627" s="347">
        <v>0.17100000000000001</v>
      </c>
      <c r="O627" s="348">
        <v>5</v>
      </c>
      <c r="P627" s="348">
        <v>9.64</v>
      </c>
      <c r="Q627" s="348">
        <v>0.65</v>
      </c>
    </row>
    <row r="628" spans="1:17" ht="15" hidden="1" customHeight="1">
      <c r="A628" s="163">
        <v>621</v>
      </c>
      <c r="B628" s="53" t="s">
        <v>10</v>
      </c>
      <c r="C628" s="53" t="s">
        <v>9108</v>
      </c>
      <c r="D628" s="53">
        <v>100022870</v>
      </c>
      <c r="E628" s="55" t="s">
        <v>9109</v>
      </c>
      <c r="F628" s="129">
        <v>50</v>
      </c>
      <c r="G628" s="129">
        <v>6000</v>
      </c>
      <c r="H628" s="512">
        <v>7.13</v>
      </c>
      <c r="I628" s="265" t="s">
        <v>76</v>
      </c>
      <c r="J628" s="265" t="s">
        <v>102</v>
      </c>
      <c r="K628" s="265" t="s">
        <v>9110</v>
      </c>
      <c r="L628" s="265" t="s">
        <v>9111</v>
      </c>
      <c r="M628" s="265" t="s">
        <v>9112</v>
      </c>
      <c r="N628" s="347">
        <v>0.13</v>
      </c>
      <c r="O628" s="348">
        <v>5</v>
      </c>
      <c r="P628" s="348">
        <v>7.37</v>
      </c>
      <c r="Q628" s="348">
        <v>0.65</v>
      </c>
    </row>
    <row r="629" spans="1:17" ht="15" hidden="1" customHeight="1">
      <c r="A629" s="163">
        <v>622</v>
      </c>
      <c r="B629" s="53" t="s">
        <v>10</v>
      </c>
      <c r="C629" s="53" t="s">
        <v>9113</v>
      </c>
      <c r="D629" s="53">
        <v>100022872</v>
      </c>
      <c r="E629" s="55" t="s">
        <v>9114</v>
      </c>
      <c r="F629" s="129">
        <v>25</v>
      </c>
      <c r="G629" s="129">
        <v>3750</v>
      </c>
      <c r="H629" s="512">
        <v>11.4</v>
      </c>
      <c r="I629" s="265" t="s">
        <v>76</v>
      </c>
      <c r="J629" s="265" t="s">
        <v>102</v>
      </c>
      <c r="K629" s="265" t="s">
        <v>9115</v>
      </c>
      <c r="L629" s="265" t="s">
        <v>9116</v>
      </c>
      <c r="M629" s="265" t="s">
        <v>9117</v>
      </c>
      <c r="N629" s="347">
        <v>0.34200000000000003</v>
      </c>
      <c r="O629" s="348">
        <v>5</v>
      </c>
      <c r="P629" s="348">
        <v>9.64</v>
      </c>
      <c r="Q629" s="348">
        <v>0.5</v>
      </c>
    </row>
    <row r="630" spans="1:17" ht="15" hidden="1" customHeight="1">
      <c r="A630" s="163">
        <v>623</v>
      </c>
      <c r="B630" s="53" t="s">
        <v>10</v>
      </c>
      <c r="C630" s="53" t="s">
        <v>9118</v>
      </c>
      <c r="D630" s="53">
        <v>100022877</v>
      </c>
      <c r="E630" s="55" t="s">
        <v>9119</v>
      </c>
      <c r="F630" s="129">
        <v>25</v>
      </c>
      <c r="G630" s="129">
        <v>3750</v>
      </c>
      <c r="H630" s="512">
        <v>11.4</v>
      </c>
      <c r="I630" s="265" t="s">
        <v>76</v>
      </c>
      <c r="J630" s="265" t="s">
        <v>102</v>
      </c>
      <c r="K630" s="265" t="s">
        <v>9120</v>
      </c>
      <c r="L630" s="265" t="s">
        <v>9121</v>
      </c>
      <c r="M630" s="265" t="s">
        <v>9122</v>
      </c>
      <c r="N630" s="347">
        <v>0.372</v>
      </c>
      <c r="O630" s="348">
        <v>5</v>
      </c>
      <c r="P630" s="348">
        <v>9.41</v>
      </c>
      <c r="Q630" s="348">
        <v>0.5</v>
      </c>
    </row>
    <row r="631" spans="1:17" ht="15" hidden="1" customHeight="1">
      <c r="A631" s="163">
        <v>624</v>
      </c>
      <c r="B631" s="53" t="s">
        <v>10</v>
      </c>
      <c r="C631" s="53" t="s">
        <v>9123</v>
      </c>
      <c r="D631" s="53">
        <v>100022879</v>
      </c>
      <c r="E631" s="55" t="s">
        <v>9124</v>
      </c>
      <c r="F631" s="129">
        <v>25</v>
      </c>
      <c r="G631" s="129">
        <v>3750</v>
      </c>
      <c r="H631" s="512">
        <v>11.4</v>
      </c>
      <c r="I631" s="265" t="s">
        <v>76</v>
      </c>
      <c r="J631" s="265" t="s">
        <v>102</v>
      </c>
      <c r="K631" s="265" t="s">
        <v>9125</v>
      </c>
      <c r="L631" s="265" t="s">
        <v>9126</v>
      </c>
      <c r="M631" s="265" t="s">
        <v>9127</v>
      </c>
      <c r="N631" s="347">
        <v>0.24299999999999999</v>
      </c>
      <c r="O631" s="348">
        <v>5</v>
      </c>
      <c r="P631" s="348">
        <v>6.94</v>
      </c>
      <c r="Q631" s="348">
        <v>0.5</v>
      </c>
    </row>
    <row r="632" spans="1:17" ht="15" hidden="1" customHeight="1">
      <c r="A632" s="163">
        <v>625</v>
      </c>
      <c r="B632" s="53" t="s">
        <v>10</v>
      </c>
      <c r="C632" s="53" t="s">
        <v>9128</v>
      </c>
      <c r="D632" s="53">
        <v>100022884</v>
      </c>
      <c r="E632" s="55" t="s">
        <v>9129</v>
      </c>
      <c r="F632" s="129">
        <v>25</v>
      </c>
      <c r="G632" s="129">
        <v>3000</v>
      </c>
      <c r="H632" s="512">
        <v>16.82</v>
      </c>
      <c r="I632" s="265" t="s">
        <v>76</v>
      </c>
      <c r="J632" s="265" t="s">
        <v>102</v>
      </c>
      <c r="K632" s="265" t="s">
        <v>9130</v>
      </c>
      <c r="L632" s="265" t="s">
        <v>9131</v>
      </c>
      <c r="M632" s="265" t="s">
        <v>9132</v>
      </c>
      <c r="N632" s="347">
        <v>0.41399999999999998</v>
      </c>
      <c r="O632" s="348">
        <v>5</v>
      </c>
      <c r="P632" s="348">
        <v>11.04</v>
      </c>
      <c r="Q632" s="348">
        <v>0.65</v>
      </c>
    </row>
    <row r="633" spans="1:17" ht="15" hidden="1" customHeight="1">
      <c r="A633" s="163">
        <v>626</v>
      </c>
      <c r="B633" s="53" t="s">
        <v>10</v>
      </c>
      <c r="C633" s="53" t="s">
        <v>9133</v>
      </c>
      <c r="D633" s="53">
        <v>100022887</v>
      </c>
      <c r="E633" s="55" t="s">
        <v>9134</v>
      </c>
      <c r="F633" s="129">
        <v>25</v>
      </c>
      <c r="G633" s="129">
        <v>3000</v>
      </c>
      <c r="H633" s="512">
        <v>16.82</v>
      </c>
      <c r="I633" s="265" t="s">
        <v>76</v>
      </c>
      <c r="J633" s="265" t="s">
        <v>102</v>
      </c>
      <c r="K633" s="265" t="s">
        <v>9135</v>
      </c>
      <c r="L633" s="265" t="s">
        <v>9136</v>
      </c>
      <c r="M633" s="265" t="s">
        <v>9137</v>
      </c>
      <c r="N633" s="347">
        <v>0.42</v>
      </c>
      <c r="O633" s="348">
        <v>5</v>
      </c>
      <c r="P633" s="348">
        <v>11.35</v>
      </c>
      <c r="Q633" s="348">
        <v>0.65</v>
      </c>
    </row>
    <row r="634" spans="1:17" ht="15" hidden="1" customHeight="1">
      <c r="A634" s="163">
        <v>627</v>
      </c>
      <c r="B634" s="53" t="s">
        <v>10</v>
      </c>
      <c r="C634" s="53" t="s">
        <v>9138</v>
      </c>
      <c r="D634" s="53">
        <v>100022889</v>
      </c>
      <c r="E634" s="55" t="s">
        <v>9139</v>
      </c>
      <c r="F634" s="129">
        <v>25</v>
      </c>
      <c r="G634" s="129">
        <v>3000</v>
      </c>
      <c r="H634" s="512">
        <v>16.82</v>
      </c>
      <c r="I634" s="265" t="s">
        <v>76</v>
      </c>
      <c r="J634" s="265" t="s">
        <v>102</v>
      </c>
      <c r="K634" s="265" t="s">
        <v>9140</v>
      </c>
      <c r="L634" s="265" t="s">
        <v>9141</v>
      </c>
      <c r="M634" s="265" t="s">
        <v>9142</v>
      </c>
      <c r="N634" s="347">
        <v>0.378</v>
      </c>
      <c r="O634" s="348">
        <v>5</v>
      </c>
      <c r="P634" s="348">
        <v>11.05</v>
      </c>
      <c r="Q634" s="348">
        <v>0.65</v>
      </c>
    </row>
    <row r="635" spans="1:17" ht="15" hidden="1" customHeight="1">
      <c r="A635" s="163">
        <v>628</v>
      </c>
      <c r="B635" s="53" t="s">
        <v>10</v>
      </c>
      <c r="C635" s="53" t="s">
        <v>9143</v>
      </c>
      <c r="D635" s="53">
        <v>100022891</v>
      </c>
      <c r="E635" s="55" t="s">
        <v>9144</v>
      </c>
      <c r="F635" s="129">
        <v>25</v>
      </c>
      <c r="G635" s="129">
        <v>3000</v>
      </c>
      <c r="H635" s="512">
        <v>16.82</v>
      </c>
      <c r="I635" s="265" t="s">
        <v>76</v>
      </c>
      <c r="J635" s="265" t="s">
        <v>102</v>
      </c>
      <c r="K635" s="265" t="s">
        <v>9145</v>
      </c>
      <c r="L635" s="265" t="s">
        <v>9146</v>
      </c>
      <c r="M635" s="265" t="s">
        <v>9147</v>
      </c>
      <c r="N635" s="347">
        <v>0.33900000000000002</v>
      </c>
      <c r="O635" s="348">
        <v>5</v>
      </c>
      <c r="P635" s="348">
        <v>9.18</v>
      </c>
      <c r="Q635" s="348">
        <v>0.65</v>
      </c>
    </row>
    <row r="636" spans="1:17" ht="15" hidden="1" customHeight="1">
      <c r="A636" s="163">
        <v>629</v>
      </c>
      <c r="B636" s="53" t="s">
        <v>10</v>
      </c>
      <c r="C636" s="53" t="s">
        <v>9148</v>
      </c>
      <c r="D636" s="53">
        <v>100022893</v>
      </c>
      <c r="E636" s="55" t="s">
        <v>9149</v>
      </c>
      <c r="F636" s="129">
        <v>10</v>
      </c>
      <c r="G636" s="129">
        <v>1500</v>
      </c>
      <c r="H636" s="512">
        <v>37.64</v>
      </c>
      <c r="I636" s="265" t="s">
        <v>76</v>
      </c>
      <c r="J636" s="265" t="s">
        <v>102</v>
      </c>
      <c r="K636" s="265" t="s">
        <v>9150</v>
      </c>
      <c r="L636" s="348" t="s">
        <v>1205</v>
      </c>
      <c r="M636" s="265" t="s">
        <v>9151</v>
      </c>
      <c r="N636" s="347">
        <v>0.79</v>
      </c>
      <c r="O636" s="348" t="s">
        <v>1205</v>
      </c>
      <c r="P636" s="348">
        <v>8.84</v>
      </c>
      <c r="Q636" s="348">
        <v>0.5</v>
      </c>
    </row>
    <row r="637" spans="1:17" ht="15" hidden="1" customHeight="1">
      <c r="A637" s="163">
        <v>630</v>
      </c>
      <c r="B637" s="53" t="s">
        <v>10</v>
      </c>
      <c r="C637" s="53" t="s">
        <v>9152</v>
      </c>
      <c r="D637" s="53">
        <v>100022895</v>
      </c>
      <c r="E637" s="55" t="s">
        <v>9153</v>
      </c>
      <c r="F637" s="129">
        <v>10</v>
      </c>
      <c r="G637" s="129">
        <v>1500</v>
      </c>
      <c r="H637" s="512">
        <v>37.64</v>
      </c>
      <c r="I637" s="265" t="s">
        <v>76</v>
      </c>
      <c r="J637" s="265" t="s">
        <v>102</v>
      </c>
      <c r="K637" s="265" t="s">
        <v>9154</v>
      </c>
      <c r="L637" s="348" t="s">
        <v>1205</v>
      </c>
      <c r="M637" s="265" t="s">
        <v>9155</v>
      </c>
      <c r="N637" s="347">
        <v>0.78300000000000003</v>
      </c>
      <c r="O637" s="348" t="s">
        <v>1205</v>
      </c>
      <c r="P637" s="348">
        <v>8.5299999999999994</v>
      </c>
      <c r="Q637" s="348">
        <v>0.5</v>
      </c>
    </row>
    <row r="638" spans="1:17" ht="15" hidden="1" customHeight="1">
      <c r="A638" s="163">
        <v>631</v>
      </c>
      <c r="B638" s="53" t="s">
        <v>10</v>
      </c>
      <c r="C638" s="53" t="s">
        <v>9156</v>
      </c>
      <c r="D638" s="53">
        <v>100022899</v>
      </c>
      <c r="E638" s="55" t="s">
        <v>9157</v>
      </c>
      <c r="F638" s="129">
        <v>5</v>
      </c>
      <c r="G638" s="129">
        <v>750</v>
      </c>
      <c r="H638" s="512">
        <v>52.94</v>
      </c>
      <c r="I638" s="265" t="s">
        <v>359</v>
      </c>
      <c r="J638" s="265" t="s">
        <v>102</v>
      </c>
      <c r="K638" s="265" t="s">
        <v>9158</v>
      </c>
      <c r="L638" s="348" t="s">
        <v>1205</v>
      </c>
      <c r="M638" s="265" t="s">
        <v>9159</v>
      </c>
      <c r="N638" s="347">
        <v>1.4570000000000001</v>
      </c>
      <c r="O638" s="348" t="s">
        <v>1205</v>
      </c>
      <c r="P638" s="348">
        <v>7.96</v>
      </c>
      <c r="Q638" s="348">
        <v>0.5</v>
      </c>
    </row>
    <row r="639" spans="1:17" ht="15" hidden="1" customHeight="1">
      <c r="A639" s="163">
        <v>632</v>
      </c>
      <c r="B639" s="53" t="s">
        <v>10</v>
      </c>
      <c r="C639" s="53" t="s">
        <v>9160</v>
      </c>
      <c r="D639" s="53">
        <v>100022901</v>
      </c>
      <c r="E639" s="55" t="s">
        <v>9161</v>
      </c>
      <c r="F639" s="129">
        <v>5</v>
      </c>
      <c r="G639" s="129">
        <v>750</v>
      </c>
      <c r="H639" s="512">
        <v>52.94</v>
      </c>
      <c r="I639" s="265" t="s">
        <v>76</v>
      </c>
      <c r="J639" s="265" t="s">
        <v>102</v>
      </c>
      <c r="K639" s="265" t="s">
        <v>9162</v>
      </c>
      <c r="L639" s="348" t="s">
        <v>1205</v>
      </c>
      <c r="M639" s="265" t="s">
        <v>9163</v>
      </c>
      <c r="N639" s="347">
        <v>2.9649999999999999</v>
      </c>
      <c r="O639" s="348" t="s">
        <v>1205</v>
      </c>
      <c r="P639" s="348">
        <v>7.43</v>
      </c>
      <c r="Q639" s="348">
        <v>0.5</v>
      </c>
    </row>
    <row r="640" spans="1:17" ht="15" hidden="1" customHeight="1">
      <c r="A640" s="163">
        <v>633</v>
      </c>
      <c r="B640" s="53" t="s">
        <v>10</v>
      </c>
      <c r="C640" s="53" t="s">
        <v>9164</v>
      </c>
      <c r="D640" s="53">
        <v>100022903</v>
      </c>
      <c r="E640" s="55" t="s">
        <v>9165</v>
      </c>
      <c r="F640" s="129">
        <v>4</v>
      </c>
      <c r="G640" s="129">
        <v>480</v>
      </c>
      <c r="H640" s="512">
        <v>93.24</v>
      </c>
      <c r="I640" s="265" t="s">
        <v>76</v>
      </c>
      <c r="J640" s="265" t="s">
        <v>102</v>
      </c>
      <c r="K640" s="265" t="s">
        <v>9166</v>
      </c>
      <c r="L640" s="348" t="s">
        <v>1205</v>
      </c>
      <c r="M640" s="265" t="s">
        <v>9167</v>
      </c>
      <c r="N640" s="347">
        <v>2.1749999999999998</v>
      </c>
      <c r="O640" s="348" t="s">
        <v>1205</v>
      </c>
      <c r="P640" s="348">
        <v>9.32</v>
      </c>
      <c r="Q640" s="348">
        <v>0.65</v>
      </c>
    </row>
    <row r="641" spans="1:17" ht="15" hidden="1" customHeight="1">
      <c r="A641" s="163">
        <v>634</v>
      </c>
      <c r="B641" s="53" t="s">
        <v>10</v>
      </c>
      <c r="C641" s="53" t="s">
        <v>9168</v>
      </c>
      <c r="D641" s="53">
        <v>100022905</v>
      </c>
      <c r="E641" s="55" t="s">
        <v>9169</v>
      </c>
      <c r="F641" s="129">
        <v>4</v>
      </c>
      <c r="G641" s="129">
        <v>480</v>
      </c>
      <c r="H641" s="512">
        <v>93.24</v>
      </c>
      <c r="I641" s="265" t="s">
        <v>76</v>
      </c>
      <c r="J641" s="265" t="s">
        <v>102</v>
      </c>
      <c r="K641" s="265" t="s">
        <v>9170</v>
      </c>
      <c r="L641" s="348" t="s">
        <v>1205</v>
      </c>
      <c r="M641" s="265" t="s">
        <v>9171</v>
      </c>
      <c r="N641" s="347">
        <v>2.0550000000000002</v>
      </c>
      <c r="O641" s="348" t="s">
        <v>1205</v>
      </c>
      <c r="P641" s="348">
        <v>9.0299999999999994</v>
      </c>
      <c r="Q641" s="348">
        <v>0.65</v>
      </c>
    </row>
    <row r="642" spans="1:17" ht="15" hidden="1" customHeight="1">
      <c r="A642" s="163">
        <v>635</v>
      </c>
      <c r="B642" s="53" t="s">
        <v>10</v>
      </c>
      <c r="C642" s="53" t="s">
        <v>9172</v>
      </c>
      <c r="D642" s="53">
        <v>100022907</v>
      </c>
      <c r="E642" s="55" t="s">
        <v>9173</v>
      </c>
      <c r="F642" s="129">
        <v>4</v>
      </c>
      <c r="G642" s="129">
        <v>480</v>
      </c>
      <c r="H642" s="512">
        <v>93.24</v>
      </c>
      <c r="I642" s="265" t="s">
        <v>76</v>
      </c>
      <c r="J642" s="265" t="s">
        <v>102</v>
      </c>
      <c r="K642" s="265" t="s">
        <v>9174</v>
      </c>
      <c r="L642" s="348" t="s">
        <v>1205</v>
      </c>
      <c r="M642" s="265" t="s">
        <v>9175</v>
      </c>
      <c r="N642" s="347">
        <v>1.7490000000000001</v>
      </c>
      <c r="O642" s="348" t="s">
        <v>1205</v>
      </c>
      <c r="P642" s="348">
        <v>7.74</v>
      </c>
      <c r="Q642" s="348">
        <v>0.65</v>
      </c>
    </row>
    <row r="643" spans="1:17" ht="15" hidden="1" customHeight="1">
      <c r="A643" s="163">
        <v>636</v>
      </c>
      <c r="B643" s="53" t="s">
        <v>10</v>
      </c>
      <c r="C643" s="53" t="s">
        <v>9176</v>
      </c>
      <c r="D643" s="53">
        <v>100022909</v>
      </c>
      <c r="E643" s="55" t="s">
        <v>9177</v>
      </c>
      <c r="F643" s="129">
        <v>4</v>
      </c>
      <c r="G643" s="129">
        <v>480</v>
      </c>
      <c r="H643" s="512">
        <v>93.24</v>
      </c>
      <c r="I643" s="265" t="s">
        <v>76</v>
      </c>
      <c r="J643" s="265" t="s">
        <v>102</v>
      </c>
      <c r="K643" s="265" t="s">
        <v>9178</v>
      </c>
      <c r="L643" s="348" t="s">
        <v>1205</v>
      </c>
      <c r="M643" s="265" t="s">
        <v>9179</v>
      </c>
      <c r="N643" s="347">
        <v>1.913</v>
      </c>
      <c r="O643" s="348" t="s">
        <v>1205</v>
      </c>
      <c r="P643" s="348">
        <v>7.72</v>
      </c>
      <c r="Q643" s="348">
        <v>0.65</v>
      </c>
    </row>
    <row r="644" spans="1:17" ht="15" hidden="1" customHeight="1">
      <c r="A644" s="163">
        <v>637</v>
      </c>
      <c r="B644" s="53" t="s">
        <v>10</v>
      </c>
      <c r="C644" s="53" t="s">
        <v>9180</v>
      </c>
      <c r="D644" s="53">
        <v>100022911</v>
      </c>
      <c r="E644" s="55" t="s">
        <v>9181</v>
      </c>
      <c r="F644" s="129">
        <v>2</v>
      </c>
      <c r="G644" s="129">
        <v>180</v>
      </c>
      <c r="H644" s="512">
        <v>324.99</v>
      </c>
      <c r="I644" s="265" t="s">
        <v>76</v>
      </c>
      <c r="J644" s="265" t="s">
        <v>102</v>
      </c>
      <c r="K644" s="265" t="s">
        <v>9182</v>
      </c>
      <c r="L644" s="348" t="s">
        <v>1205</v>
      </c>
      <c r="M644" s="265" t="s">
        <v>9183</v>
      </c>
      <c r="N644" s="347">
        <v>4.1050000000000004</v>
      </c>
      <c r="O644" s="348" t="s">
        <v>1205</v>
      </c>
      <c r="P644" s="348">
        <v>8.2899999999999991</v>
      </c>
      <c r="Q644" s="348">
        <v>0.8</v>
      </c>
    </row>
    <row r="645" spans="1:17" ht="15" hidden="1" customHeight="1">
      <c r="A645" s="163">
        <v>638</v>
      </c>
      <c r="B645" s="53" t="s">
        <v>10</v>
      </c>
      <c r="C645" s="53" t="s">
        <v>9184</v>
      </c>
      <c r="D645" s="53">
        <v>100022916</v>
      </c>
      <c r="E645" s="55" t="s">
        <v>9185</v>
      </c>
      <c r="F645" s="129">
        <v>2</v>
      </c>
      <c r="G645" s="129">
        <v>150</v>
      </c>
      <c r="H645" s="512">
        <v>324.94</v>
      </c>
      <c r="I645" s="265" t="s">
        <v>76</v>
      </c>
      <c r="J645" s="265" t="s">
        <v>102</v>
      </c>
      <c r="K645" s="265" t="s">
        <v>9186</v>
      </c>
      <c r="L645" s="348" t="s">
        <v>1205</v>
      </c>
      <c r="M645" s="265" t="s">
        <v>9187</v>
      </c>
      <c r="N645" s="347">
        <v>3.8740000000000001</v>
      </c>
      <c r="O645" s="348" t="s">
        <v>1205</v>
      </c>
      <c r="P645" s="348">
        <v>8.52</v>
      </c>
      <c r="Q645" s="348">
        <v>1.1000000000000001</v>
      </c>
    </row>
    <row r="646" spans="1:17" ht="15" hidden="1" customHeight="1">
      <c r="A646" s="163">
        <v>639</v>
      </c>
      <c r="B646" s="53" t="s">
        <v>10</v>
      </c>
      <c r="C646" s="53" t="s">
        <v>9188</v>
      </c>
      <c r="D646" s="53">
        <v>100022920</v>
      </c>
      <c r="E646" s="55" t="s">
        <v>9189</v>
      </c>
      <c r="F646" s="129">
        <v>2</v>
      </c>
      <c r="G646" s="129">
        <v>150</v>
      </c>
      <c r="H646" s="512">
        <v>324.94</v>
      </c>
      <c r="I646" s="265" t="s">
        <v>76</v>
      </c>
      <c r="J646" s="265" t="s">
        <v>102</v>
      </c>
      <c r="K646" s="265" t="s">
        <v>9190</v>
      </c>
      <c r="L646" s="348" t="s">
        <v>1205</v>
      </c>
      <c r="M646" s="265" t="s">
        <v>9191</v>
      </c>
      <c r="N646" s="347">
        <v>3.984</v>
      </c>
      <c r="O646" s="348" t="s">
        <v>1205</v>
      </c>
      <c r="P646" s="348">
        <v>8.6999999999999993</v>
      </c>
      <c r="Q646" s="348">
        <v>1.1000000000000001</v>
      </c>
    </row>
    <row r="647" spans="1:17" ht="15" hidden="1" customHeight="1">
      <c r="A647" s="163">
        <v>640</v>
      </c>
      <c r="B647" s="53" t="s">
        <v>10</v>
      </c>
      <c r="C647" s="53" t="s">
        <v>9192</v>
      </c>
      <c r="D647" s="53">
        <v>100022921</v>
      </c>
      <c r="E647" s="55" t="s">
        <v>9193</v>
      </c>
      <c r="F647" s="129">
        <v>250</v>
      </c>
      <c r="G647" s="129">
        <v>67500</v>
      </c>
      <c r="H647" s="512">
        <v>3.48</v>
      </c>
      <c r="I647" s="265" t="s">
        <v>359</v>
      </c>
      <c r="J647" s="265" t="s">
        <v>102</v>
      </c>
      <c r="K647" s="265" t="s">
        <v>9194</v>
      </c>
      <c r="L647" s="265" t="s">
        <v>9195</v>
      </c>
      <c r="M647" s="265" t="s">
        <v>9196</v>
      </c>
      <c r="N647" s="347">
        <v>2.1999999999999999E-2</v>
      </c>
      <c r="O647" s="348">
        <v>10</v>
      </c>
      <c r="P647" s="348">
        <v>6.9</v>
      </c>
      <c r="Q647" s="348">
        <v>0.31</v>
      </c>
    </row>
    <row r="648" spans="1:17" ht="15" hidden="1" customHeight="1">
      <c r="A648" s="163">
        <v>641</v>
      </c>
      <c r="B648" s="53" t="s">
        <v>10</v>
      </c>
      <c r="C648" s="53" t="s">
        <v>9197</v>
      </c>
      <c r="D648" s="53">
        <v>100022923</v>
      </c>
      <c r="E648" s="55" t="s">
        <v>9198</v>
      </c>
      <c r="F648" s="129">
        <v>250</v>
      </c>
      <c r="G648" s="129">
        <v>67500</v>
      </c>
      <c r="H648" s="512">
        <v>3.48</v>
      </c>
      <c r="I648" s="265" t="s">
        <v>76</v>
      </c>
      <c r="J648" s="265" t="s">
        <v>102</v>
      </c>
      <c r="K648" s="265" t="s">
        <v>9199</v>
      </c>
      <c r="L648" s="265" t="s">
        <v>9200</v>
      </c>
      <c r="M648" s="265" t="s">
        <v>9201</v>
      </c>
      <c r="N648" s="347">
        <v>2.1000000000000001E-2</v>
      </c>
      <c r="O648" s="348">
        <v>10</v>
      </c>
      <c r="P648" s="348">
        <v>5.5</v>
      </c>
      <c r="Q648" s="348">
        <v>0.31</v>
      </c>
    </row>
    <row r="649" spans="1:17" ht="15" hidden="1" customHeight="1">
      <c r="A649" s="163">
        <v>642</v>
      </c>
      <c r="B649" s="53" t="s">
        <v>10</v>
      </c>
      <c r="C649" s="53" t="s">
        <v>9202</v>
      </c>
      <c r="D649" s="53">
        <v>100022924</v>
      </c>
      <c r="E649" s="55" t="s">
        <v>9203</v>
      </c>
      <c r="F649" s="129">
        <v>250</v>
      </c>
      <c r="G649" s="129">
        <v>67500</v>
      </c>
      <c r="H649" s="512">
        <v>3.48</v>
      </c>
      <c r="I649" s="265" t="s">
        <v>359</v>
      </c>
      <c r="J649" s="265" t="s">
        <v>102</v>
      </c>
      <c r="K649" s="265" t="s">
        <v>9204</v>
      </c>
      <c r="L649" s="265" t="s">
        <v>9205</v>
      </c>
      <c r="M649" s="265" t="s">
        <v>9206</v>
      </c>
      <c r="N649" s="347">
        <v>1.7999999999999999E-2</v>
      </c>
      <c r="O649" s="348">
        <v>10</v>
      </c>
      <c r="P649" s="348">
        <v>4.68</v>
      </c>
      <c r="Q649" s="348">
        <v>0.31</v>
      </c>
    </row>
    <row r="650" spans="1:17" ht="15" hidden="1" customHeight="1">
      <c r="A650" s="163">
        <v>643</v>
      </c>
      <c r="B650" s="53" t="s">
        <v>10</v>
      </c>
      <c r="C650" s="53" t="s">
        <v>9207</v>
      </c>
      <c r="D650" s="53">
        <v>100022926</v>
      </c>
      <c r="E650" s="55" t="s">
        <v>9208</v>
      </c>
      <c r="F650" s="129">
        <v>250</v>
      </c>
      <c r="G650" s="129">
        <v>37500</v>
      </c>
      <c r="H650" s="512">
        <v>3.48</v>
      </c>
      <c r="I650" s="265" t="s">
        <v>76</v>
      </c>
      <c r="J650" s="265" t="s">
        <v>102</v>
      </c>
      <c r="K650" s="265" t="s">
        <v>9209</v>
      </c>
      <c r="L650" s="265" t="s">
        <v>9210</v>
      </c>
      <c r="M650" s="265" t="s">
        <v>9211</v>
      </c>
      <c r="N650" s="347">
        <v>3.6999999999999998E-2</v>
      </c>
      <c r="O650" s="348">
        <v>10</v>
      </c>
      <c r="P650" s="348">
        <v>9.23</v>
      </c>
      <c r="Q650" s="348">
        <v>0.5</v>
      </c>
    </row>
    <row r="651" spans="1:17" ht="15" hidden="1" customHeight="1">
      <c r="A651" s="163">
        <v>644</v>
      </c>
      <c r="B651" s="53" t="s">
        <v>10</v>
      </c>
      <c r="C651" s="53" t="s">
        <v>9212</v>
      </c>
      <c r="D651" s="53">
        <v>100022930</v>
      </c>
      <c r="E651" s="55" t="s">
        <v>9213</v>
      </c>
      <c r="F651" s="129">
        <v>500</v>
      </c>
      <c r="G651" s="129">
        <v>45000</v>
      </c>
      <c r="H651" s="512">
        <v>2.65</v>
      </c>
      <c r="I651" s="265" t="s">
        <v>76</v>
      </c>
      <c r="J651" s="265" t="s">
        <v>102</v>
      </c>
      <c r="K651" s="265" t="s">
        <v>9214</v>
      </c>
      <c r="L651" s="265" t="s">
        <v>9215</v>
      </c>
      <c r="M651" s="265" t="s">
        <v>9216</v>
      </c>
      <c r="N651" s="347">
        <v>2.8000000000000001E-2</v>
      </c>
      <c r="O651" s="348">
        <v>10</v>
      </c>
      <c r="P651" s="348">
        <v>15.36</v>
      </c>
      <c r="Q651" s="348">
        <v>0.8</v>
      </c>
    </row>
    <row r="652" spans="1:17" ht="15" hidden="1" customHeight="1">
      <c r="A652" s="163">
        <v>645</v>
      </c>
      <c r="B652" s="53" t="s">
        <v>10</v>
      </c>
      <c r="C652" s="53" t="s">
        <v>9217</v>
      </c>
      <c r="D652" s="53">
        <v>100022931</v>
      </c>
      <c r="E652" s="55" t="s">
        <v>9218</v>
      </c>
      <c r="F652" s="129">
        <v>250</v>
      </c>
      <c r="G652" s="129">
        <v>37500</v>
      </c>
      <c r="H652" s="512">
        <v>4.25</v>
      </c>
      <c r="I652" s="265" t="s">
        <v>76</v>
      </c>
      <c r="J652" s="265" t="s">
        <v>102</v>
      </c>
      <c r="K652" s="265" t="s">
        <v>9219</v>
      </c>
      <c r="L652" s="265" t="s">
        <v>9220</v>
      </c>
      <c r="M652" s="265" t="s">
        <v>9221</v>
      </c>
      <c r="N652" s="347">
        <v>0.05</v>
      </c>
      <c r="O652" s="348">
        <v>10</v>
      </c>
      <c r="P652" s="348">
        <v>15.44</v>
      </c>
      <c r="Q652" s="348">
        <v>0.5</v>
      </c>
    </row>
    <row r="653" spans="1:17" ht="15" hidden="1" customHeight="1">
      <c r="A653" s="163">
        <v>646</v>
      </c>
      <c r="B653" s="53" t="s">
        <v>10</v>
      </c>
      <c r="C653" s="53" t="s">
        <v>9222</v>
      </c>
      <c r="D653" s="53">
        <v>100022934</v>
      </c>
      <c r="E653" s="55" t="s">
        <v>9223</v>
      </c>
      <c r="F653" s="129">
        <v>250</v>
      </c>
      <c r="G653" s="129">
        <v>30000</v>
      </c>
      <c r="H653" s="512">
        <v>4.25</v>
      </c>
      <c r="I653" s="265" t="s">
        <v>76</v>
      </c>
      <c r="J653" s="265" t="s">
        <v>102</v>
      </c>
      <c r="K653" s="265" t="s">
        <v>9224</v>
      </c>
      <c r="L653" s="265" t="s">
        <v>9225</v>
      </c>
      <c r="M653" s="265" t="s">
        <v>9226</v>
      </c>
      <c r="N653" s="347">
        <v>5.1999999999999998E-2</v>
      </c>
      <c r="O653" s="348">
        <v>10</v>
      </c>
      <c r="P653" s="348">
        <v>13.72</v>
      </c>
      <c r="Q653" s="348">
        <v>0.65</v>
      </c>
    </row>
    <row r="654" spans="1:17" ht="15" hidden="1" customHeight="1">
      <c r="A654" s="163">
        <v>647</v>
      </c>
      <c r="B654" s="53" t="s">
        <v>10</v>
      </c>
      <c r="C654" s="53" t="s">
        <v>9227</v>
      </c>
      <c r="D654" s="53">
        <v>100022936</v>
      </c>
      <c r="E654" s="55" t="s">
        <v>9228</v>
      </c>
      <c r="F654" s="129">
        <v>250</v>
      </c>
      <c r="G654" s="129">
        <v>30000</v>
      </c>
      <c r="H654" s="512">
        <v>4.25</v>
      </c>
      <c r="I654" s="265" t="s">
        <v>76</v>
      </c>
      <c r="J654" s="265" t="s">
        <v>102</v>
      </c>
      <c r="K654" s="265" t="s">
        <v>9229</v>
      </c>
      <c r="L654" s="265" t="s">
        <v>9230</v>
      </c>
      <c r="M654" s="265" t="s">
        <v>9231</v>
      </c>
      <c r="N654" s="347">
        <v>4.1000000000000002E-2</v>
      </c>
      <c r="O654" s="348">
        <v>10</v>
      </c>
      <c r="P654" s="348">
        <v>11.31</v>
      </c>
      <c r="Q654" s="348">
        <v>0.65</v>
      </c>
    </row>
    <row r="655" spans="1:17" ht="15" hidden="1" customHeight="1">
      <c r="A655" s="163">
        <v>648</v>
      </c>
      <c r="B655" s="53" t="s">
        <v>10</v>
      </c>
      <c r="C655" s="53" t="s">
        <v>9232</v>
      </c>
      <c r="D655" s="53">
        <v>100022938</v>
      </c>
      <c r="E655" s="55" t="s">
        <v>9233</v>
      </c>
      <c r="F655" s="129">
        <v>150</v>
      </c>
      <c r="G655" s="129">
        <v>18000</v>
      </c>
      <c r="H655" s="512">
        <v>6.53</v>
      </c>
      <c r="I655" s="265" t="s">
        <v>359</v>
      </c>
      <c r="J655" s="265" t="s">
        <v>102</v>
      </c>
      <c r="K655" s="265" t="s">
        <v>9234</v>
      </c>
      <c r="L655" s="265" t="s">
        <v>9235</v>
      </c>
      <c r="M655" s="265" t="s">
        <v>9236</v>
      </c>
      <c r="N655" s="347">
        <v>0.08</v>
      </c>
      <c r="O655" s="348">
        <v>10</v>
      </c>
      <c r="P655" s="348">
        <v>12.85</v>
      </c>
      <c r="Q655" s="348">
        <v>0.65</v>
      </c>
    </row>
    <row r="656" spans="1:17" ht="15" hidden="1" customHeight="1">
      <c r="A656" s="163">
        <v>649</v>
      </c>
      <c r="B656" s="53" t="s">
        <v>10</v>
      </c>
      <c r="C656" s="53" t="s">
        <v>9237</v>
      </c>
      <c r="D656" s="53">
        <v>100022940</v>
      </c>
      <c r="E656" s="55" t="s">
        <v>9238</v>
      </c>
      <c r="F656" s="129">
        <v>150</v>
      </c>
      <c r="G656" s="129">
        <v>18000</v>
      </c>
      <c r="H656" s="512">
        <v>6.53</v>
      </c>
      <c r="I656" s="265" t="s">
        <v>359</v>
      </c>
      <c r="J656" s="265" t="s">
        <v>102</v>
      </c>
      <c r="K656" s="265" t="s">
        <v>9239</v>
      </c>
      <c r="L656" s="265" t="s">
        <v>9240</v>
      </c>
      <c r="M656" s="265" t="s">
        <v>9241</v>
      </c>
      <c r="N656" s="347">
        <v>7.8E-2</v>
      </c>
      <c r="O656" s="348">
        <v>10</v>
      </c>
      <c r="P656" s="348">
        <v>12.39</v>
      </c>
      <c r="Q656" s="348">
        <v>0.65</v>
      </c>
    </row>
    <row r="657" spans="1:17" ht="15" hidden="1" customHeight="1">
      <c r="A657" s="163">
        <v>650</v>
      </c>
      <c r="B657" s="53" t="s">
        <v>10</v>
      </c>
      <c r="C657" s="53" t="s">
        <v>9242</v>
      </c>
      <c r="D657" s="53">
        <v>100022942</v>
      </c>
      <c r="E657" s="55" t="s">
        <v>9243</v>
      </c>
      <c r="F657" s="129">
        <v>150</v>
      </c>
      <c r="G657" s="129">
        <v>13500</v>
      </c>
      <c r="H657" s="512">
        <v>6.53</v>
      </c>
      <c r="I657" s="265" t="s">
        <v>76</v>
      </c>
      <c r="J657" s="265" t="s">
        <v>102</v>
      </c>
      <c r="K657" s="265" t="s">
        <v>9244</v>
      </c>
      <c r="L657" s="265" t="s">
        <v>9245</v>
      </c>
      <c r="M657" s="265" t="s">
        <v>9246</v>
      </c>
      <c r="N657" s="347">
        <v>6.7000000000000004E-2</v>
      </c>
      <c r="O657" s="348">
        <v>10</v>
      </c>
      <c r="P657" s="348">
        <v>11.16</v>
      </c>
      <c r="Q657" s="348">
        <v>0.8</v>
      </c>
    </row>
    <row r="658" spans="1:17" ht="15" hidden="1" customHeight="1">
      <c r="A658" s="163">
        <v>651</v>
      </c>
      <c r="B658" s="53" t="s">
        <v>10</v>
      </c>
      <c r="C658" s="53" t="s">
        <v>9247</v>
      </c>
      <c r="D658" s="53">
        <v>100022944</v>
      </c>
      <c r="E658" s="55" t="s">
        <v>9248</v>
      </c>
      <c r="F658" s="129">
        <v>100</v>
      </c>
      <c r="G658" s="129">
        <v>12000</v>
      </c>
      <c r="H658" s="512">
        <v>7.54</v>
      </c>
      <c r="I658" s="265" t="s">
        <v>76</v>
      </c>
      <c r="J658" s="265" t="s">
        <v>102</v>
      </c>
      <c r="K658" s="265" t="s">
        <v>9249</v>
      </c>
      <c r="L658" s="265" t="s">
        <v>9250</v>
      </c>
      <c r="M658" s="265" t="s">
        <v>9251</v>
      </c>
      <c r="N658" s="347">
        <v>0.108</v>
      </c>
      <c r="O658" s="348">
        <v>5</v>
      </c>
      <c r="P658" s="348">
        <v>10.76</v>
      </c>
      <c r="Q658" s="348">
        <v>0.65</v>
      </c>
    </row>
    <row r="659" spans="1:17" ht="15" hidden="1" customHeight="1">
      <c r="A659" s="163">
        <v>652</v>
      </c>
      <c r="B659" s="53" t="s">
        <v>10</v>
      </c>
      <c r="C659" s="53" t="s">
        <v>9252</v>
      </c>
      <c r="D659" s="53">
        <v>100022946</v>
      </c>
      <c r="E659" s="55" t="s">
        <v>9253</v>
      </c>
      <c r="F659" s="129">
        <v>100</v>
      </c>
      <c r="G659" s="129">
        <v>12000</v>
      </c>
      <c r="H659" s="512">
        <v>7.54</v>
      </c>
      <c r="I659" s="265" t="s">
        <v>76</v>
      </c>
      <c r="J659" s="265" t="s">
        <v>102</v>
      </c>
      <c r="K659" s="265" t="s">
        <v>9254</v>
      </c>
      <c r="L659" s="265" t="s">
        <v>9255</v>
      </c>
      <c r="M659" s="265" t="s">
        <v>9256</v>
      </c>
      <c r="N659" s="347">
        <v>0.108</v>
      </c>
      <c r="O659" s="348">
        <v>5</v>
      </c>
      <c r="P659" s="348">
        <v>10.3</v>
      </c>
      <c r="Q659" s="348">
        <v>0.65</v>
      </c>
    </row>
    <row r="660" spans="1:17" ht="15" hidden="1" customHeight="1">
      <c r="A660" s="163">
        <v>653</v>
      </c>
      <c r="B660" s="53" t="s">
        <v>10</v>
      </c>
      <c r="C660" s="53" t="s">
        <v>9257</v>
      </c>
      <c r="D660" s="53">
        <v>100022948</v>
      </c>
      <c r="E660" s="55" t="s">
        <v>9258</v>
      </c>
      <c r="F660" s="129">
        <v>100</v>
      </c>
      <c r="G660" s="129">
        <v>12000</v>
      </c>
      <c r="H660" s="512">
        <v>7.54</v>
      </c>
      <c r="I660" s="265" t="s">
        <v>76</v>
      </c>
      <c r="J660" s="265" t="s">
        <v>102</v>
      </c>
      <c r="K660" s="265" t="s">
        <v>9259</v>
      </c>
      <c r="L660" s="265" t="s">
        <v>9260</v>
      </c>
      <c r="M660" s="265" t="s">
        <v>9261</v>
      </c>
      <c r="N660" s="347">
        <v>0.11</v>
      </c>
      <c r="O660" s="348">
        <v>5</v>
      </c>
      <c r="P660" s="348">
        <v>10.75</v>
      </c>
      <c r="Q660" s="348">
        <v>0.65</v>
      </c>
    </row>
    <row r="661" spans="1:17" ht="15" hidden="1" customHeight="1">
      <c r="A661" s="163">
        <v>654</v>
      </c>
      <c r="B661" s="53" t="s">
        <v>10</v>
      </c>
      <c r="C661" s="53" t="s">
        <v>9262</v>
      </c>
      <c r="D661" s="53">
        <v>100022950</v>
      </c>
      <c r="E661" s="55" t="s">
        <v>9263</v>
      </c>
      <c r="F661" s="129">
        <v>100</v>
      </c>
      <c r="G661" s="129">
        <v>12000</v>
      </c>
      <c r="H661" s="512">
        <v>7.54</v>
      </c>
      <c r="I661" s="265" t="s">
        <v>359</v>
      </c>
      <c r="J661" s="265" t="s">
        <v>102</v>
      </c>
      <c r="K661" s="265" t="s">
        <v>9264</v>
      </c>
      <c r="L661" s="265" t="s">
        <v>9265</v>
      </c>
      <c r="M661" s="265" t="s">
        <v>9266</v>
      </c>
      <c r="N661" s="347">
        <v>7.2999999999999995E-2</v>
      </c>
      <c r="O661" s="348">
        <v>5</v>
      </c>
      <c r="P661" s="348">
        <v>7.22</v>
      </c>
      <c r="Q661" s="348">
        <v>0.65</v>
      </c>
    </row>
    <row r="662" spans="1:17" ht="15" hidden="1" customHeight="1">
      <c r="A662" s="163">
        <v>655</v>
      </c>
      <c r="B662" s="53" t="s">
        <v>10</v>
      </c>
      <c r="C662" s="53" t="s">
        <v>9267</v>
      </c>
      <c r="D662" s="53">
        <v>100022952</v>
      </c>
      <c r="E662" s="55" t="s">
        <v>9268</v>
      </c>
      <c r="F662" s="129">
        <v>50</v>
      </c>
      <c r="G662" s="129">
        <v>7500</v>
      </c>
      <c r="H662" s="512">
        <v>10.09</v>
      </c>
      <c r="I662" s="265" t="s">
        <v>76</v>
      </c>
      <c r="J662" s="265" t="s">
        <v>102</v>
      </c>
      <c r="K662" s="265" t="s">
        <v>9269</v>
      </c>
      <c r="L662" s="265" t="s">
        <v>9270</v>
      </c>
      <c r="M662" s="265" t="s">
        <v>9271</v>
      </c>
      <c r="N662" s="347">
        <v>0.16</v>
      </c>
      <c r="O662" s="348">
        <v>5</v>
      </c>
      <c r="P662" s="348">
        <v>8.4</v>
      </c>
      <c r="Q662" s="348">
        <v>0.5</v>
      </c>
    </row>
    <row r="663" spans="1:17" ht="15" hidden="1" customHeight="1">
      <c r="A663" s="163">
        <v>656</v>
      </c>
      <c r="B663" s="53" t="s">
        <v>10</v>
      </c>
      <c r="C663" s="53" t="s">
        <v>9272</v>
      </c>
      <c r="D663" s="53">
        <v>100022954</v>
      </c>
      <c r="E663" s="55" t="s">
        <v>9273</v>
      </c>
      <c r="F663" s="129">
        <v>50</v>
      </c>
      <c r="G663" s="129">
        <v>7500</v>
      </c>
      <c r="H663" s="512">
        <v>10.09</v>
      </c>
      <c r="I663" s="265" t="s">
        <v>76</v>
      </c>
      <c r="J663" s="265" t="s">
        <v>102</v>
      </c>
      <c r="K663" s="265" t="s">
        <v>9274</v>
      </c>
      <c r="L663" s="265" t="s">
        <v>9275</v>
      </c>
      <c r="M663" s="265" t="s">
        <v>9276</v>
      </c>
      <c r="N663" s="347">
        <v>0.152</v>
      </c>
      <c r="O663" s="348">
        <v>5</v>
      </c>
      <c r="P663" s="348">
        <v>7.55</v>
      </c>
      <c r="Q663" s="348">
        <v>0.5</v>
      </c>
    </row>
    <row r="664" spans="1:17" ht="15" hidden="1" customHeight="1">
      <c r="A664" s="163">
        <v>657</v>
      </c>
      <c r="B664" s="53" t="s">
        <v>10</v>
      </c>
      <c r="C664" s="53" t="s">
        <v>9277</v>
      </c>
      <c r="D664" s="53">
        <v>100022956</v>
      </c>
      <c r="E664" s="55" t="s">
        <v>9278</v>
      </c>
      <c r="F664" s="129">
        <v>50</v>
      </c>
      <c r="G664" s="129">
        <v>7500</v>
      </c>
      <c r="H664" s="512">
        <v>10.09</v>
      </c>
      <c r="I664" s="265" t="s">
        <v>76</v>
      </c>
      <c r="J664" s="265" t="s">
        <v>102</v>
      </c>
      <c r="K664" s="265" t="s">
        <v>9279</v>
      </c>
      <c r="L664" s="265" t="s">
        <v>9280</v>
      </c>
      <c r="M664" s="265" t="s">
        <v>9281</v>
      </c>
      <c r="N664" s="347">
        <v>0.16300000000000001</v>
      </c>
      <c r="O664" s="348">
        <v>5</v>
      </c>
      <c r="P664" s="348">
        <v>8.84</v>
      </c>
      <c r="Q664" s="348">
        <v>0.5</v>
      </c>
    </row>
    <row r="665" spans="1:17" ht="15" hidden="1" customHeight="1">
      <c r="A665" s="163">
        <v>658</v>
      </c>
      <c r="B665" s="53" t="s">
        <v>10</v>
      </c>
      <c r="C665" s="53" t="s">
        <v>9282</v>
      </c>
      <c r="D665" s="53">
        <v>100022958</v>
      </c>
      <c r="E665" s="55" t="s">
        <v>9283</v>
      </c>
      <c r="F665" s="129">
        <v>50</v>
      </c>
      <c r="G665" s="129">
        <v>7500</v>
      </c>
      <c r="H665" s="512">
        <v>10.09</v>
      </c>
      <c r="I665" s="265" t="s">
        <v>76</v>
      </c>
      <c r="J665" s="265" t="s">
        <v>102</v>
      </c>
      <c r="K665" s="265" t="s">
        <v>9284</v>
      </c>
      <c r="L665" s="265" t="s">
        <v>9285</v>
      </c>
      <c r="M665" s="265" t="s">
        <v>9286</v>
      </c>
      <c r="N665" s="347">
        <v>0.16800000000000001</v>
      </c>
      <c r="O665" s="348">
        <v>5</v>
      </c>
      <c r="P665" s="348">
        <v>9.0030000000000001</v>
      </c>
      <c r="Q665" s="348">
        <v>0.5</v>
      </c>
    </row>
    <row r="666" spans="1:17" ht="15" hidden="1" customHeight="1">
      <c r="A666" s="163">
        <v>659</v>
      </c>
      <c r="B666" s="53" t="s">
        <v>10</v>
      </c>
      <c r="C666" s="53" t="s">
        <v>9287</v>
      </c>
      <c r="D666" s="53">
        <v>100022960</v>
      </c>
      <c r="E666" s="55" t="s">
        <v>9288</v>
      </c>
      <c r="F666" s="129">
        <v>50</v>
      </c>
      <c r="G666" s="129">
        <v>7500</v>
      </c>
      <c r="H666" s="512">
        <v>10.09</v>
      </c>
      <c r="I666" s="265" t="s">
        <v>76</v>
      </c>
      <c r="J666" s="265" t="s">
        <v>102</v>
      </c>
      <c r="K666" s="265" t="s">
        <v>9289</v>
      </c>
      <c r="L666" s="265" t="s">
        <v>9290</v>
      </c>
      <c r="M666" s="265" t="s">
        <v>9291</v>
      </c>
      <c r="N666" s="347">
        <v>0.13600000000000001</v>
      </c>
      <c r="O666" s="348">
        <v>5</v>
      </c>
      <c r="P666" s="348">
        <v>6.75</v>
      </c>
      <c r="Q666" s="348">
        <v>0.5</v>
      </c>
    </row>
    <row r="667" spans="1:17" ht="15" hidden="1" customHeight="1">
      <c r="A667" s="163">
        <v>660</v>
      </c>
      <c r="B667" s="53" t="s">
        <v>10</v>
      </c>
      <c r="C667" s="53" t="s">
        <v>9292</v>
      </c>
      <c r="D667" s="53">
        <v>100022974</v>
      </c>
      <c r="E667" s="55" t="s">
        <v>9293</v>
      </c>
      <c r="F667" s="129">
        <v>25</v>
      </c>
      <c r="G667" s="129">
        <v>3000</v>
      </c>
      <c r="H667" s="512">
        <v>16.82</v>
      </c>
      <c r="I667" s="265" t="s">
        <v>76</v>
      </c>
      <c r="J667" s="265" t="s">
        <v>102</v>
      </c>
      <c r="K667" s="265" t="s">
        <v>9294</v>
      </c>
      <c r="L667" s="265" t="s">
        <v>9295</v>
      </c>
      <c r="M667" s="265" t="s">
        <v>9296</v>
      </c>
      <c r="N667" s="347">
        <v>0.63</v>
      </c>
      <c r="O667" s="348">
        <v>5</v>
      </c>
      <c r="P667" s="348">
        <v>16.66</v>
      </c>
      <c r="Q667" s="348">
        <v>0.65</v>
      </c>
    </row>
    <row r="668" spans="1:17" ht="15" hidden="1" customHeight="1">
      <c r="A668" s="163">
        <v>661</v>
      </c>
      <c r="B668" s="53" t="s">
        <v>10</v>
      </c>
      <c r="C668" s="53" t="s">
        <v>9297</v>
      </c>
      <c r="D668" s="53">
        <v>100022978</v>
      </c>
      <c r="E668" s="55" t="s">
        <v>9298</v>
      </c>
      <c r="F668" s="129">
        <v>25</v>
      </c>
      <c r="G668" s="129">
        <v>3000</v>
      </c>
      <c r="H668" s="512">
        <v>16.82</v>
      </c>
      <c r="I668" s="265" t="s">
        <v>76</v>
      </c>
      <c r="J668" s="265" t="s">
        <v>102</v>
      </c>
      <c r="K668" s="265" t="s">
        <v>9299</v>
      </c>
      <c r="L668" s="265" t="s">
        <v>9300</v>
      </c>
      <c r="M668" s="265" t="s">
        <v>9301</v>
      </c>
      <c r="N668" s="347">
        <v>0.56999999999999995</v>
      </c>
      <c r="O668" s="348">
        <v>5</v>
      </c>
      <c r="P668" s="348">
        <v>15</v>
      </c>
      <c r="Q668" s="348">
        <v>0.65</v>
      </c>
    </row>
    <row r="669" spans="1:17" ht="15" hidden="1" customHeight="1">
      <c r="A669" s="163">
        <v>662</v>
      </c>
      <c r="B669" s="53" t="s">
        <v>10</v>
      </c>
      <c r="C669" s="53" t="s">
        <v>9302</v>
      </c>
      <c r="D669" s="53">
        <v>100022983</v>
      </c>
      <c r="E669" s="55" t="s">
        <v>9303</v>
      </c>
      <c r="F669" s="129">
        <v>10</v>
      </c>
      <c r="G669" s="129">
        <v>1500</v>
      </c>
      <c r="H669" s="512">
        <v>37.56</v>
      </c>
      <c r="I669" s="265" t="s">
        <v>76</v>
      </c>
      <c r="J669" s="265" t="s">
        <v>102</v>
      </c>
      <c r="K669" s="265" t="s">
        <v>9304</v>
      </c>
      <c r="L669" s="348" t="s">
        <v>1205</v>
      </c>
      <c r="M669" s="265" t="s">
        <v>9305</v>
      </c>
      <c r="N669" s="347">
        <v>0.63600000000000001</v>
      </c>
      <c r="O669" s="348" t="s">
        <v>1205</v>
      </c>
      <c r="P669" s="348">
        <v>7.08</v>
      </c>
      <c r="Q669" s="348">
        <v>0.5</v>
      </c>
    </row>
    <row r="670" spans="1:17" ht="15" hidden="1" customHeight="1">
      <c r="A670" s="163">
        <v>663</v>
      </c>
      <c r="B670" s="53" t="s">
        <v>10</v>
      </c>
      <c r="C670" s="53" t="s">
        <v>9306</v>
      </c>
      <c r="D670" s="53">
        <v>100022987</v>
      </c>
      <c r="E670" s="55" t="s">
        <v>9307</v>
      </c>
      <c r="F670" s="129">
        <v>10</v>
      </c>
      <c r="G670" s="129">
        <v>1500</v>
      </c>
      <c r="H670" s="512">
        <v>37.56</v>
      </c>
      <c r="I670" s="265" t="s">
        <v>76</v>
      </c>
      <c r="J670" s="265" t="s">
        <v>102</v>
      </c>
      <c r="K670" s="265" t="s">
        <v>9308</v>
      </c>
      <c r="L670" s="348" t="s">
        <v>1205</v>
      </c>
      <c r="M670" s="265" t="s">
        <v>9309</v>
      </c>
      <c r="N670" s="347">
        <v>0.61899999999999999</v>
      </c>
      <c r="O670" s="348" t="s">
        <v>1205</v>
      </c>
      <c r="P670" s="348">
        <v>6.89</v>
      </c>
      <c r="Q670" s="348">
        <v>0.5</v>
      </c>
    </row>
    <row r="671" spans="1:17" ht="15" hidden="1" customHeight="1">
      <c r="A671" s="163">
        <v>664</v>
      </c>
      <c r="B671" s="53" t="s">
        <v>10</v>
      </c>
      <c r="C671" s="53" t="s">
        <v>9310</v>
      </c>
      <c r="D671" s="53">
        <v>100022991</v>
      </c>
      <c r="E671" s="55" t="s">
        <v>9311</v>
      </c>
      <c r="F671" s="129">
        <v>10</v>
      </c>
      <c r="G671" s="129">
        <v>1500</v>
      </c>
      <c r="H671" s="512">
        <v>37.56</v>
      </c>
      <c r="I671" s="265" t="s">
        <v>359</v>
      </c>
      <c r="J671" s="265" t="s">
        <v>102</v>
      </c>
      <c r="K671" s="265" t="s">
        <v>9312</v>
      </c>
      <c r="L671" s="348" t="s">
        <v>1205</v>
      </c>
      <c r="M671" s="265" t="s">
        <v>9313</v>
      </c>
      <c r="N671" s="347">
        <v>0.747</v>
      </c>
      <c r="O671" s="348" t="s">
        <v>1205</v>
      </c>
      <c r="P671" s="348">
        <v>8.1</v>
      </c>
      <c r="Q671" s="348">
        <v>0.5</v>
      </c>
    </row>
    <row r="672" spans="1:17" ht="15" hidden="1" customHeight="1">
      <c r="A672" s="163">
        <v>665</v>
      </c>
      <c r="B672" s="53" t="s">
        <v>10</v>
      </c>
      <c r="C672" s="53" t="s">
        <v>9314</v>
      </c>
      <c r="D672" s="53">
        <v>100022997</v>
      </c>
      <c r="E672" s="55" t="s">
        <v>9315</v>
      </c>
      <c r="F672" s="129">
        <v>500</v>
      </c>
      <c r="G672" s="129">
        <v>75000</v>
      </c>
      <c r="H672" s="512">
        <v>7.54</v>
      </c>
      <c r="I672" s="265" t="s">
        <v>359</v>
      </c>
      <c r="J672" s="265" t="s">
        <v>102</v>
      </c>
      <c r="K672" s="265" t="s">
        <v>9316</v>
      </c>
      <c r="L672" s="265" t="s">
        <v>9317</v>
      </c>
      <c r="M672" s="265" t="s">
        <v>9318</v>
      </c>
      <c r="N672" s="347">
        <v>2.1000000000000001E-2</v>
      </c>
      <c r="O672" s="348">
        <v>10</v>
      </c>
      <c r="P672" s="348">
        <v>10.8</v>
      </c>
      <c r="Q672" s="348">
        <v>0.5</v>
      </c>
    </row>
    <row r="673" spans="1:17" ht="15" hidden="1" customHeight="1">
      <c r="A673" s="163">
        <v>666</v>
      </c>
      <c r="B673" s="53" t="s">
        <v>10</v>
      </c>
      <c r="C673" s="53" t="s">
        <v>9319</v>
      </c>
      <c r="D673" s="53">
        <v>100022999</v>
      </c>
      <c r="E673" s="55" t="s">
        <v>9320</v>
      </c>
      <c r="F673" s="129">
        <v>500</v>
      </c>
      <c r="G673" s="129">
        <v>75000</v>
      </c>
      <c r="H673" s="512">
        <v>7.54</v>
      </c>
      <c r="I673" s="265" t="s">
        <v>359</v>
      </c>
      <c r="J673" s="265" t="s">
        <v>102</v>
      </c>
      <c r="K673" s="265" t="s">
        <v>9321</v>
      </c>
      <c r="L673" s="265" t="s">
        <v>9322</v>
      </c>
      <c r="M673" s="265" t="s">
        <v>9323</v>
      </c>
      <c r="N673" s="347">
        <v>1.6E-2</v>
      </c>
      <c r="O673" s="348">
        <v>10</v>
      </c>
      <c r="P673" s="348">
        <v>8.4700000000000006</v>
      </c>
      <c r="Q673" s="348">
        <v>0.5</v>
      </c>
    </row>
    <row r="674" spans="1:17" ht="15" hidden="1" customHeight="1">
      <c r="A674" s="163">
        <v>667</v>
      </c>
      <c r="B674" s="53" t="s">
        <v>10</v>
      </c>
      <c r="C674" s="53" t="s">
        <v>9324</v>
      </c>
      <c r="D674" s="53">
        <v>100023005</v>
      </c>
      <c r="E674" s="55" t="s">
        <v>9325</v>
      </c>
      <c r="F674" s="129">
        <v>500</v>
      </c>
      <c r="G674" s="129">
        <v>60000</v>
      </c>
      <c r="H674" s="512">
        <v>4.67</v>
      </c>
      <c r="I674" s="265" t="s">
        <v>76</v>
      </c>
      <c r="J674" s="265" t="s">
        <v>102</v>
      </c>
      <c r="K674" s="265" t="s">
        <v>9326</v>
      </c>
      <c r="L674" s="265" t="s">
        <v>9327</v>
      </c>
      <c r="M674" s="265" t="s">
        <v>9328</v>
      </c>
      <c r="N674" s="347">
        <v>2.1000000000000001E-2</v>
      </c>
      <c r="O674" s="348">
        <v>10</v>
      </c>
      <c r="P674" s="348">
        <v>11.55</v>
      </c>
      <c r="Q674" s="348">
        <v>0.65</v>
      </c>
    </row>
    <row r="675" spans="1:17" ht="15" hidden="1" customHeight="1">
      <c r="A675" s="163">
        <v>668</v>
      </c>
      <c r="B675" s="53" t="s">
        <v>10</v>
      </c>
      <c r="C675" s="53" t="s">
        <v>9329</v>
      </c>
      <c r="D675" s="53">
        <v>100023009</v>
      </c>
      <c r="E675" s="55" t="s">
        <v>9330</v>
      </c>
      <c r="F675" s="129">
        <v>250</v>
      </c>
      <c r="G675" s="129">
        <v>30000</v>
      </c>
      <c r="H675" s="512">
        <v>6.53</v>
      </c>
      <c r="I675" s="265" t="s">
        <v>76</v>
      </c>
      <c r="J675" s="265" t="s">
        <v>102</v>
      </c>
      <c r="K675" s="265" t="s">
        <v>9331</v>
      </c>
      <c r="L675" s="265" t="s">
        <v>9332</v>
      </c>
      <c r="M675" s="265" t="s">
        <v>9333</v>
      </c>
      <c r="N675" s="347">
        <v>4.7E-2</v>
      </c>
      <c r="O675" s="348">
        <v>10</v>
      </c>
      <c r="P675" s="348">
        <v>12.68</v>
      </c>
      <c r="Q675" s="348">
        <v>0.65</v>
      </c>
    </row>
    <row r="676" spans="1:17" ht="15" hidden="1" customHeight="1">
      <c r="A676" s="163">
        <v>669</v>
      </c>
      <c r="B676" s="53" t="s">
        <v>10</v>
      </c>
      <c r="C676" s="53" t="s">
        <v>9334</v>
      </c>
      <c r="D676" s="53">
        <v>100023011</v>
      </c>
      <c r="E676" s="55" t="s">
        <v>9335</v>
      </c>
      <c r="F676" s="129">
        <v>250</v>
      </c>
      <c r="G676" s="129">
        <v>30000</v>
      </c>
      <c r="H676" s="512">
        <v>6.53</v>
      </c>
      <c r="I676" s="265" t="s">
        <v>76</v>
      </c>
      <c r="J676" s="265" t="s">
        <v>102</v>
      </c>
      <c r="K676" s="265" t="s">
        <v>9336</v>
      </c>
      <c r="L676" s="265" t="s">
        <v>9337</v>
      </c>
      <c r="M676" s="265" t="s">
        <v>9338</v>
      </c>
      <c r="N676" s="347">
        <v>3.5999999999999997E-2</v>
      </c>
      <c r="O676" s="348">
        <v>10</v>
      </c>
      <c r="P676" s="348">
        <v>10.25</v>
      </c>
      <c r="Q676" s="348">
        <v>0.65</v>
      </c>
    </row>
    <row r="677" spans="1:17" ht="15" hidden="1" customHeight="1">
      <c r="A677" s="163">
        <v>670</v>
      </c>
      <c r="B677" s="53" t="s">
        <v>10</v>
      </c>
      <c r="C677" s="53" t="s">
        <v>9339</v>
      </c>
      <c r="D677" s="53">
        <v>100023015</v>
      </c>
      <c r="E677" s="55" t="s">
        <v>9340</v>
      </c>
      <c r="F677" s="129">
        <v>150</v>
      </c>
      <c r="G677" s="129">
        <v>18000</v>
      </c>
      <c r="H677" s="512">
        <v>9.73</v>
      </c>
      <c r="I677" s="265" t="s">
        <v>359</v>
      </c>
      <c r="J677" s="265" t="s">
        <v>102</v>
      </c>
      <c r="K677" s="265" t="s">
        <v>9341</v>
      </c>
      <c r="L677" s="265" t="s">
        <v>9342</v>
      </c>
      <c r="M677" s="265" t="s">
        <v>9343</v>
      </c>
      <c r="N677" s="347">
        <v>6.8000000000000005E-2</v>
      </c>
      <c r="O677" s="348">
        <v>5</v>
      </c>
      <c r="P677" s="348">
        <v>13.6</v>
      </c>
      <c r="Q677" s="348">
        <v>0.65</v>
      </c>
    </row>
    <row r="678" spans="1:17" ht="15" hidden="1" customHeight="1">
      <c r="A678" s="163">
        <v>671</v>
      </c>
      <c r="B678" s="53" t="s">
        <v>10</v>
      </c>
      <c r="C678" s="53" t="s">
        <v>9344</v>
      </c>
      <c r="D678" s="53">
        <v>100023017</v>
      </c>
      <c r="E678" s="55" t="s">
        <v>9345</v>
      </c>
      <c r="F678" s="129">
        <v>150</v>
      </c>
      <c r="G678" s="129">
        <v>18000</v>
      </c>
      <c r="H678" s="512">
        <v>9.73</v>
      </c>
      <c r="I678" s="265" t="s">
        <v>76</v>
      </c>
      <c r="J678" s="265" t="s">
        <v>102</v>
      </c>
      <c r="K678" s="265" t="s">
        <v>9346</v>
      </c>
      <c r="L678" s="265" t="s">
        <v>9347</v>
      </c>
      <c r="M678" s="265" t="s">
        <v>9348</v>
      </c>
      <c r="N678" s="347">
        <v>5.3999999999999999E-2</v>
      </c>
      <c r="O678" s="348">
        <v>5</v>
      </c>
      <c r="P678" s="348">
        <v>9.4600000000000009</v>
      </c>
      <c r="Q678" s="348">
        <v>0.65</v>
      </c>
    </row>
    <row r="679" spans="1:17" ht="15" hidden="1" customHeight="1">
      <c r="A679" s="163">
        <v>672</v>
      </c>
      <c r="B679" s="53" t="s">
        <v>10</v>
      </c>
      <c r="C679" s="53" t="s">
        <v>9349</v>
      </c>
      <c r="D679" s="53">
        <v>100023019</v>
      </c>
      <c r="E679" s="55" t="s">
        <v>9350</v>
      </c>
      <c r="F679" s="129">
        <v>100</v>
      </c>
      <c r="G679" s="129">
        <v>15000</v>
      </c>
      <c r="H679" s="512">
        <v>11.75</v>
      </c>
      <c r="I679" s="265" t="s">
        <v>359</v>
      </c>
      <c r="J679" s="265" t="s">
        <v>102</v>
      </c>
      <c r="K679" s="265" t="s">
        <v>9351</v>
      </c>
      <c r="L679" s="265" t="s">
        <v>9352</v>
      </c>
      <c r="M679" s="265" t="s">
        <v>9353</v>
      </c>
      <c r="N679" s="347">
        <v>9.5000000000000001E-2</v>
      </c>
      <c r="O679" s="348">
        <v>10</v>
      </c>
      <c r="P679" s="348">
        <v>10.27</v>
      </c>
      <c r="Q679" s="348">
        <v>0.5</v>
      </c>
    </row>
    <row r="680" spans="1:17" ht="15" hidden="1" customHeight="1">
      <c r="A680" s="163">
        <v>673</v>
      </c>
      <c r="B680" s="53" t="s">
        <v>10</v>
      </c>
      <c r="C680" s="53" t="s">
        <v>9354</v>
      </c>
      <c r="D680" s="53">
        <v>100023021</v>
      </c>
      <c r="E680" s="55" t="s">
        <v>9355</v>
      </c>
      <c r="F680" s="129">
        <v>100</v>
      </c>
      <c r="G680" s="129">
        <v>15000</v>
      </c>
      <c r="H680" s="512">
        <v>11.75</v>
      </c>
      <c r="I680" s="265" t="s">
        <v>76</v>
      </c>
      <c r="J680" s="265" t="s">
        <v>102</v>
      </c>
      <c r="K680" s="265" t="s">
        <v>9356</v>
      </c>
      <c r="L680" s="265" t="s">
        <v>9357</v>
      </c>
      <c r="M680" s="265" t="s">
        <v>9358</v>
      </c>
      <c r="N680" s="347">
        <v>9.4E-2</v>
      </c>
      <c r="O680" s="348">
        <v>10</v>
      </c>
      <c r="P680" s="348">
        <v>10.24</v>
      </c>
      <c r="Q680" s="348">
        <v>0.5</v>
      </c>
    </row>
    <row r="681" spans="1:17" ht="15" hidden="1" customHeight="1">
      <c r="A681" s="163">
        <v>674</v>
      </c>
      <c r="B681" s="53" t="s">
        <v>10</v>
      </c>
      <c r="C681" s="53" t="s">
        <v>9359</v>
      </c>
      <c r="D681" s="53">
        <v>100023023</v>
      </c>
      <c r="E681" s="55" t="s">
        <v>9360</v>
      </c>
      <c r="F681" s="129">
        <v>100</v>
      </c>
      <c r="G681" s="129">
        <v>15000</v>
      </c>
      <c r="H681" s="512">
        <v>11.75</v>
      </c>
      <c r="I681" s="265" t="s">
        <v>76</v>
      </c>
      <c r="J681" s="265" t="s">
        <v>102</v>
      </c>
      <c r="K681" s="265" t="s">
        <v>9361</v>
      </c>
      <c r="L681" s="265" t="s">
        <v>9362</v>
      </c>
      <c r="M681" s="265" t="s">
        <v>9363</v>
      </c>
      <c r="N681" s="347">
        <v>9.4E-2</v>
      </c>
      <c r="O681" s="348">
        <v>10</v>
      </c>
      <c r="P681" s="348">
        <v>9.52</v>
      </c>
      <c r="Q681" s="348">
        <v>0.5</v>
      </c>
    </row>
    <row r="682" spans="1:17" ht="15" hidden="1" customHeight="1">
      <c r="A682" s="163">
        <v>675</v>
      </c>
      <c r="B682" s="53" t="s">
        <v>10</v>
      </c>
      <c r="C682" s="53" t="s">
        <v>9364</v>
      </c>
      <c r="D682" s="53">
        <v>100023025</v>
      </c>
      <c r="E682" s="55" t="s">
        <v>9365</v>
      </c>
      <c r="F682" s="129">
        <v>100</v>
      </c>
      <c r="G682" s="129">
        <v>15000</v>
      </c>
      <c r="H682" s="512">
        <v>11.75</v>
      </c>
      <c r="I682" s="265" t="s">
        <v>359</v>
      </c>
      <c r="J682" s="265" t="s">
        <v>102</v>
      </c>
      <c r="K682" s="265" t="s">
        <v>9366</v>
      </c>
      <c r="L682" s="265" t="s">
        <v>9367</v>
      </c>
      <c r="M682" s="265" t="s">
        <v>9368</v>
      </c>
      <c r="N682" s="347">
        <v>0.06</v>
      </c>
      <c r="O682" s="348">
        <v>10</v>
      </c>
      <c r="P682" s="348">
        <v>7.06</v>
      </c>
      <c r="Q682" s="348">
        <v>0.5</v>
      </c>
    </row>
    <row r="683" spans="1:17" ht="15" hidden="1" customHeight="1">
      <c r="A683" s="163">
        <v>676</v>
      </c>
      <c r="B683" s="53" t="s">
        <v>10</v>
      </c>
      <c r="C683" s="53" t="s">
        <v>9369</v>
      </c>
      <c r="D683" s="53">
        <v>100023027</v>
      </c>
      <c r="E683" s="55" t="s">
        <v>9370</v>
      </c>
      <c r="F683" s="129">
        <v>50</v>
      </c>
      <c r="G683" s="129">
        <v>6000</v>
      </c>
      <c r="H683" s="512">
        <v>12.56</v>
      </c>
      <c r="I683" s="265" t="s">
        <v>76</v>
      </c>
      <c r="J683" s="265" t="s">
        <v>102</v>
      </c>
      <c r="K683" s="265" t="s">
        <v>9371</v>
      </c>
      <c r="L683" s="265" t="s">
        <v>9372</v>
      </c>
      <c r="M683" s="265" t="s">
        <v>9373</v>
      </c>
      <c r="N683" s="347">
        <v>0.115</v>
      </c>
      <c r="O683" s="348">
        <v>5</v>
      </c>
      <c r="P683" s="348">
        <v>6.76</v>
      </c>
      <c r="Q683" s="348">
        <v>0.65</v>
      </c>
    </row>
    <row r="684" spans="1:17" ht="15" hidden="1" customHeight="1">
      <c r="A684" s="163">
        <v>677</v>
      </c>
      <c r="B684" s="53" t="s">
        <v>10</v>
      </c>
      <c r="C684" s="53" t="s">
        <v>9374</v>
      </c>
      <c r="D684" s="53">
        <v>100023029</v>
      </c>
      <c r="E684" s="55" t="s">
        <v>9375</v>
      </c>
      <c r="F684" s="129">
        <v>250</v>
      </c>
      <c r="G684" s="129">
        <v>37500</v>
      </c>
      <c r="H684" s="512">
        <v>1.42</v>
      </c>
      <c r="I684" s="265" t="s">
        <v>76</v>
      </c>
      <c r="J684" s="265" t="s">
        <v>102</v>
      </c>
      <c r="K684" s="265" t="s">
        <v>9376</v>
      </c>
      <c r="L684" s="265" t="s">
        <v>9377</v>
      </c>
      <c r="M684" s="265" t="s">
        <v>9378</v>
      </c>
      <c r="N684" s="347">
        <v>2.3E-2</v>
      </c>
      <c r="O684" s="348">
        <v>10</v>
      </c>
      <c r="P684" s="348">
        <v>7.82</v>
      </c>
      <c r="Q684" s="348">
        <v>0.5</v>
      </c>
    </row>
    <row r="685" spans="1:17" ht="15" hidden="1" customHeight="1">
      <c r="A685" s="163">
        <v>678</v>
      </c>
      <c r="B685" s="53" t="s">
        <v>10</v>
      </c>
      <c r="C685" s="53" t="s">
        <v>9379</v>
      </c>
      <c r="D685" s="53">
        <v>100023031</v>
      </c>
      <c r="E685" s="55" t="s">
        <v>9380</v>
      </c>
      <c r="F685" s="129">
        <v>250</v>
      </c>
      <c r="G685" s="129">
        <v>30000</v>
      </c>
      <c r="H685" s="512">
        <v>1.67</v>
      </c>
      <c r="I685" s="265" t="s">
        <v>76</v>
      </c>
      <c r="J685" s="265" t="s">
        <v>102</v>
      </c>
      <c r="K685" s="265" t="s">
        <v>9381</v>
      </c>
      <c r="L685" s="265" t="s">
        <v>9382</v>
      </c>
      <c r="M685" s="265" t="s">
        <v>9383</v>
      </c>
      <c r="N685" s="347">
        <v>3.6999999999999998E-2</v>
      </c>
      <c r="O685" s="348">
        <v>10</v>
      </c>
      <c r="P685" s="348">
        <v>11.19</v>
      </c>
      <c r="Q685" s="348">
        <v>0.65</v>
      </c>
    </row>
    <row r="686" spans="1:17" ht="15" hidden="1" customHeight="1">
      <c r="A686" s="163">
        <v>679</v>
      </c>
      <c r="B686" s="53" t="s">
        <v>10</v>
      </c>
      <c r="C686" s="53" t="s">
        <v>9384</v>
      </c>
      <c r="D686" s="53">
        <v>100023033</v>
      </c>
      <c r="E686" s="55" t="s">
        <v>9385</v>
      </c>
      <c r="F686" s="129">
        <v>250</v>
      </c>
      <c r="G686" s="129">
        <v>22500</v>
      </c>
      <c r="H686" s="512">
        <v>2.65</v>
      </c>
      <c r="I686" s="265" t="s">
        <v>76</v>
      </c>
      <c r="J686" s="265" t="s">
        <v>102</v>
      </c>
      <c r="K686" s="265" t="s">
        <v>9386</v>
      </c>
      <c r="L686" s="265" t="s">
        <v>9387</v>
      </c>
      <c r="M686" s="265" t="s">
        <v>9388</v>
      </c>
      <c r="N686" s="347">
        <v>6.9000000000000006E-2</v>
      </c>
      <c r="O686" s="348">
        <v>10</v>
      </c>
      <c r="P686" s="348">
        <v>18.5</v>
      </c>
      <c r="Q686" s="348">
        <v>0.8</v>
      </c>
    </row>
    <row r="687" spans="1:17" ht="15" hidden="1" customHeight="1">
      <c r="A687" s="163">
        <v>680</v>
      </c>
      <c r="B687" s="53" t="s">
        <v>10</v>
      </c>
      <c r="C687" s="53" t="s">
        <v>9389</v>
      </c>
      <c r="D687" s="53">
        <v>100023035</v>
      </c>
      <c r="E687" s="55" t="s">
        <v>9390</v>
      </c>
      <c r="F687" s="129">
        <v>125</v>
      </c>
      <c r="G687" s="129">
        <v>11250</v>
      </c>
      <c r="H687" s="512">
        <v>3.73</v>
      </c>
      <c r="I687" s="265" t="s">
        <v>76</v>
      </c>
      <c r="J687" s="265" t="s">
        <v>102</v>
      </c>
      <c r="K687" s="265" t="s">
        <v>9391</v>
      </c>
      <c r="L687" s="265" t="s">
        <v>9392</v>
      </c>
      <c r="M687" s="265" t="s">
        <v>9393</v>
      </c>
      <c r="N687" s="347">
        <v>0.10299999999999999</v>
      </c>
      <c r="O687" s="348">
        <v>5</v>
      </c>
      <c r="P687" s="348">
        <v>13.62</v>
      </c>
      <c r="Q687" s="348">
        <v>0.8</v>
      </c>
    </row>
    <row r="688" spans="1:17" ht="15" hidden="1" customHeight="1">
      <c r="A688" s="163">
        <v>681</v>
      </c>
      <c r="B688" s="53" t="s">
        <v>10</v>
      </c>
      <c r="C688" s="53" t="s">
        <v>9394</v>
      </c>
      <c r="D688" s="53">
        <v>100023037</v>
      </c>
      <c r="E688" s="55" t="s">
        <v>9395</v>
      </c>
      <c r="F688" s="129">
        <v>50</v>
      </c>
      <c r="G688" s="129">
        <v>7500</v>
      </c>
      <c r="H688" s="512">
        <v>4.07</v>
      </c>
      <c r="I688" s="265" t="s">
        <v>76</v>
      </c>
      <c r="J688" s="265" t="s">
        <v>102</v>
      </c>
      <c r="K688" s="265" t="s">
        <v>9396</v>
      </c>
      <c r="L688" s="265" t="s">
        <v>9397</v>
      </c>
      <c r="M688" s="265" t="s">
        <v>9398</v>
      </c>
      <c r="N688" s="347">
        <v>0.12</v>
      </c>
      <c r="O688" s="348">
        <v>5</v>
      </c>
      <c r="P688" s="348">
        <v>6.79</v>
      </c>
      <c r="Q688" s="348">
        <v>0.5</v>
      </c>
    </row>
    <row r="689" spans="1:17" ht="15" hidden="1" customHeight="1">
      <c r="A689" s="163">
        <v>682</v>
      </c>
      <c r="B689" s="53" t="s">
        <v>10</v>
      </c>
      <c r="C689" s="53" t="s">
        <v>9399</v>
      </c>
      <c r="D689" s="53">
        <v>100023039</v>
      </c>
      <c r="E689" s="55" t="s">
        <v>9400</v>
      </c>
      <c r="F689" s="129">
        <v>50</v>
      </c>
      <c r="G689" s="129">
        <v>6000</v>
      </c>
      <c r="H689" s="512">
        <v>4.92</v>
      </c>
      <c r="I689" s="265" t="s">
        <v>76</v>
      </c>
      <c r="J689" s="265" t="s">
        <v>102</v>
      </c>
      <c r="K689" s="265" t="s">
        <v>9401</v>
      </c>
      <c r="L689" s="265" t="s">
        <v>9402</v>
      </c>
      <c r="M689" s="265" t="s">
        <v>9403</v>
      </c>
      <c r="N689" s="347">
        <v>0.17599999999999999</v>
      </c>
      <c r="O689" s="348">
        <v>5</v>
      </c>
      <c r="P689" s="348">
        <v>9.82</v>
      </c>
      <c r="Q689" s="348">
        <v>0.65</v>
      </c>
    </row>
    <row r="690" spans="1:17" ht="15" hidden="1" customHeight="1">
      <c r="A690" s="163">
        <v>683</v>
      </c>
      <c r="B690" s="53" t="s">
        <v>10</v>
      </c>
      <c r="C690" s="53" t="s">
        <v>9404</v>
      </c>
      <c r="D690" s="53">
        <v>100023041</v>
      </c>
      <c r="E690" s="55" t="s">
        <v>9405</v>
      </c>
      <c r="F690" s="129">
        <v>25</v>
      </c>
      <c r="G690" s="129">
        <v>3000</v>
      </c>
      <c r="H690" s="512">
        <v>15.6</v>
      </c>
      <c r="I690" s="265" t="s">
        <v>76</v>
      </c>
      <c r="J690" s="265" t="s">
        <v>102</v>
      </c>
      <c r="K690" s="265" t="s">
        <v>9406</v>
      </c>
      <c r="L690" s="348" t="s">
        <v>1205</v>
      </c>
      <c r="M690" s="265" t="s">
        <v>9407</v>
      </c>
      <c r="N690" s="347">
        <v>0.35499999999999998</v>
      </c>
      <c r="O690" s="348" t="s">
        <v>1205</v>
      </c>
      <c r="P690" s="348">
        <v>9.3699999999999992</v>
      </c>
      <c r="Q690" s="348">
        <v>0.65</v>
      </c>
    </row>
    <row r="691" spans="1:17" ht="15" hidden="1" customHeight="1">
      <c r="A691" s="163">
        <v>684</v>
      </c>
      <c r="B691" s="53" t="s">
        <v>10</v>
      </c>
      <c r="C691" s="53" t="s">
        <v>9408</v>
      </c>
      <c r="D691" s="53">
        <v>100023043</v>
      </c>
      <c r="E691" s="55" t="s">
        <v>9409</v>
      </c>
      <c r="F691" s="129">
        <v>15</v>
      </c>
      <c r="G691" s="129">
        <v>2250</v>
      </c>
      <c r="H691" s="512">
        <v>17.02</v>
      </c>
      <c r="I691" s="265" t="s">
        <v>76</v>
      </c>
      <c r="J691" s="265" t="s">
        <v>102</v>
      </c>
      <c r="K691" s="265" t="s">
        <v>9410</v>
      </c>
      <c r="L691" s="348" t="s">
        <v>1205</v>
      </c>
      <c r="M691" s="265" t="s">
        <v>9411</v>
      </c>
      <c r="N691" s="347">
        <v>0.504</v>
      </c>
      <c r="O691" s="348" t="s">
        <v>1205</v>
      </c>
      <c r="P691" s="348">
        <v>7.99</v>
      </c>
      <c r="Q691" s="348">
        <v>0.5</v>
      </c>
    </row>
    <row r="692" spans="1:17" ht="15" hidden="1" customHeight="1">
      <c r="A692" s="163">
        <v>685</v>
      </c>
      <c r="B692" s="53" t="s">
        <v>10</v>
      </c>
      <c r="C692" s="53" t="s">
        <v>9412</v>
      </c>
      <c r="D692" s="53">
        <v>100023045</v>
      </c>
      <c r="E692" s="55" t="s">
        <v>9413</v>
      </c>
      <c r="F692" s="129">
        <v>9</v>
      </c>
      <c r="G692" s="129">
        <v>1350</v>
      </c>
      <c r="H692" s="512">
        <v>38.71</v>
      </c>
      <c r="I692" s="265" t="s">
        <v>76</v>
      </c>
      <c r="J692" s="265" t="s">
        <v>102</v>
      </c>
      <c r="K692" s="265" t="s">
        <v>9414</v>
      </c>
      <c r="L692" s="348" t="s">
        <v>1205</v>
      </c>
      <c r="M692" s="265" t="s">
        <v>9415</v>
      </c>
      <c r="N692" s="347">
        <v>0.78400000000000003</v>
      </c>
      <c r="O692" s="348" t="s">
        <v>1205</v>
      </c>
      <c r="P692" s="348">
        <v>7.82</v>
      </c>
      <c r="Q692" s="348">
        <v>0.5</v>
      </c>
    </row>
    <row r="693" spans="1:17" ht="15" hidden="1" customHeight="1">
      <c r="A693" s="163">
        <v>686</v>
      </c>
      <c r="B693" s="53" t="s">
        <v>10</v>
      </c>
      <c r="C693" s="53" t="s">
        <v>9416</v>
      </c>
      <c r="D693" s="53">
        <v>100027429</v>
      </c>
      <c r="E693" s="55" t="s">
        <v>9417</v>
      </c>
      <c r="F693" s="129">
        <v>5</v>
      </c>
      <c r="G693" s="129">
        <v>450</v>
      </c>
      <c r="H693" s="512">
        <v>65.09</v>
      </c>
      <c r="I693" s="265" t="s">
        <v>76</v>
      </c>
      <c r="J693" s="265" t="s">
        <v>102</v>
      </c>
      <c r="K693" s="265" t="s">
        <v>9418</v>
      </c>
      <c r="L693" s="348" t="s">
        <v>1205</v>
      </c>
      <c r="M693" s="265" t="s">
        <v>9419</v>
      </c>
      <c r="N693" s="347">
        <v>1.74</v>
      </c>
      <c r="O693" s="348" t="s">
        <v>1205</v>
      </c>
      <c r="P693" s="348">
        <v>8.92</v>
      </c>
      <c r="Q693" s="348">
        <v>0.8</v>
      </c>
    </row>
    <row r="694" spans="1:17" ht="15" hidden="1" customHeight="1">
      <c r="A694" s="163">
        <v>687</v>
      </c>
      <c r="B694" s="53" t="s">
        <v>10</v>
      </c>
      <c r="C694" s="53" t="s">
        <v>9420</v>
      </c>
      <c r="D694" s="53">
        <v>100023047</v>
      </c>
      <c r="E694" s="55" t="s">
        <v>9421</v>
      </c>
      <c r="F694" s="129">
        <v>3</v>
      </c>
      <c r="G694" s="129">
        <v>360</v>
      </c>
      <c r="H694" s="512">
        <v>92.88</v>
      </c>
      <c r="I694" s="265" t="s">
        <v>76</v>
      </c>
      <c r="J694" s="265" t="s">
        <v>102</v>
      </c>
      <c r="K694" s="265" t="s">
        <v>9422</v>
      </c>
      <c r="L694" s="348" t="s">
        <v>1205</v>
      </c>
      <c r="M694" s="265" t="s">
        <v>9423</v>
      </c>
      <c r="N694" s="347">
        <v>2.2949999999999999</v>
      </c>
      <c r="O694" s="348" t="s">
        <v>1205</v>
      </c>
      <c r="P694" s="348">
        <v>9.4</v>
      </c>
      <c r="Q694" s="348">
        <v>0.65</v>
      </c>
    </row>
    <row r="695" spans="1:17" ht="15" hidden="1" customHeight="1">
      <c r="A695" s="163">
        <v>688</v>
      </c>
      <c r="B695" s="53" t="s">
        <v>10</v>
      </c>
      <c r="C695" s="53" t="s">
        <v>9424</v>
      </c>
      <c r="D695" s="53">
        <v>100023049</v>
      </c>
      <c r="E695" s="55" t="s">
        <v>9425</v>
      </c>
      <c r="F695" s="129">
        <v>2</v>
      </c>
      <c r="G695" s="129">
        <v>120</v>
      </c>
      <c r="H695" s="512">
        <v>233.25</v>
      </c>
      <c r="I695" s="265" t="s">
        <v>76</v>
      </c>
      <c r="J695" s="265" t="s">
        <v>102</v>
      </c>
      <c r="K695" s="265" t="s">
        <v>9426</v>
      </c>
      <c r="L695" s="348" t="s">
        <v>1205</v>
      </c>
      <c r="M695" s="265" t="s">
        <v>9427</v>
      </c>
      <c r="N695" s="347">
        <v>4.766</v>
      </c>
      <c r="O695" s="348" t="s">
        <v>1205</v>
      </c>
      <c r="P695" s="348">
        <v>10.16</v>
      </c>
      <c r="Q695" s="348">
        <v>1.25</v>
      </c>
    </row>
    <row r="696" spans="1:17" ht="15" hidden="1" customHeight="1">
      <c r="A696" s="163">
        <v>689</v>
      </c>
      <c r="B696" s="53" t="s">
        <v>10</v>
      </c>
      <c r="C696" s="53" t="s">
        <v>9428</v>
      </c>
      <c r="D696" s="53">
        <v>100023051</v>
      </c>
      <c r="E696" s="55" t="s">
        <v>9429</v>
      </c>
      <c r="F696" s="129">
        <v>250</v>
      </c>
      <c r="G696" s="129">
        <v>37500</v>
      </c>
      <c r="H696" s="512">
        <v>3.02</v>
      </c>
      <c r="I696" s="265" t="s">
        <v>76</v>
      </c>
      <c r="J696" s="265" t="s">
        <v>102</v>
      </c>
      <c r="K696" s="265" t="s">
        <v>9430</v>
      </c>
      <c r="L696" s="265" t="s">
        <v>9431</v>
      </c>
      <c r="M696" s="265" t="s">
        <v>9432</v>
      </c>
      <c r="N696" s="347">
        <v>2.9000000000000001E-2</v>
      </c>
      <c r="O696" s="348">
        <v>10</v>
      </c>
      <c r="P696" s="348">
        <v>8.2100000000000009</v>
      </c>
      <c r="Q696" s="348">
        <v>0.5</v>
      </c>
    </row>
    <row r="697" spans="1:17" ht="15" hidden="1" customHeight="1">
      <c r="A697" s="163">
        <v>690</v>
      </c>
      <c r="B697" s="53" t="s">
        <v>10</v>
      </c>
      <c r="C697" s="53" t="s">
        <v>9433</v>
      </c>
      <c r="D697" s="53">
        <v>100023053</v>
      </c>
      <c r="E697" s="55" t="s">
        <v>9434</v>
      </c>
      <c r="F697" s="129">
        <v>250</v>
      </c>
      <c r="G697" s="129">
        <v>30000</v>
      </c>
      <c r="H697" s="512">
        <v>3.48</v>
      </c>
      <c r="I697" s="265" t="s">
        <v>76</v>
      </c>
      <c r="J697" s="265" t="s">
        <v>102</v>
      </c>
      <c r="K697" s="265" t="s">
        <v>9435</v>
      </c>
      <c r="L697" s="265" t="s">
        <v>9436</v>
      </c>
      <c r="M697" s="265" t="s">
        <v>9437</v>
      </c>
      <c r="N697" s="347">
        <v>0.04</v>
      </c>
      <c r="O697" s="348">
        <v>10</v>
      </c>
      <c r="P697" s="348">
        <v>10.8</v>
      </c>
      <c r="Q697" s="348">
        <v>0.65</v>
      </c>
    </row>
    <row r="698" spans="1:17" ht="15" hidden="1" customHeight="1">
      <c r="A698" s="163">
        <v>691</v>
      </c>
      <c r="B698" s="53" t="s">
        <v>10</v>
      </c>
      <c r="C698" s="53" t="s">
        <v>9438</v>
      </c>
      <c r="D698" s="53">
        <v>100023055</v>
      </c>
      <c r="E698" s="55" t="s">
        <v>9439</v>
      </c>
      <c r="F698" s="129">
        <v>250</v>
      </c>
      <c r="G698" s="129">
        <v>22500</v>
      </c>
      <c r="H698" s="512">
        <v>5.27</v>
      </c>
      <c r="I698" s="265" t="s">
        <v>76</v>
      </c>
      <c r="J698" s="265" t="s">
        <v>102</v>
      </c>
      <c r="K698" s="265">
        <v>0</v>
      </c>
      <c r="L698" s="265" t="s">
        <v>9440</v>
      </c>
      <c r="M698" s="265">
        <v>0</v>
      </c>
      <c r="N698" s="347">
        <v>7.5999999999999998E-2</v>
      </c>
      <c r="O698" s="348">
        <v>10</v>
      </c>
      <c r="P698" s="348">
        <v>20.21</v>
      </c>
      <c r="Q698" s="348">
        <v>0.8</v>
      </c>
    </row>
    <row r="699" spans="1:17" ht="15" hidden="1" customHeight="1">
      <c r="A699" s="163">
        <v>692</v>
      </c>
      <c r="B699" s="53" t="s">
        <v>10</v>
      </c>
      <c r="C699" s="53" t="s">
        <v>9441</v>
      </c>
      <c r="D699" s="53">
        <v>100023057</v>
      </c>
      <c r="E699" s="55" t="s">
        <v>9442</v>
      </c>
      <c r="F699" s="129">
        <v>125</v>
      </c>
      <c r="G699" s="129">
        <v>11250</v>
      </c>
      <c r="H699" s="512">
        <v>6.26</v>
      </c>
      <c r="I699" s="265" t="s">
        <v>76</v>
      </c>
      <c r="J699" s="265" t="s">
        <v>102</v>
      </c>
      <c r="K699" s="265" t="s">
        <v>9443</v>
      </c>
      <c r="L699" s="265" t="s">
        <v>9444</v>
      </c>
      <c r="M699" s="265" t="s">
        <v>9445</v>
      </c>
      <c r="N699" s="347">
        <v>8.5999999999999993E-2</v>
      </c>
      <c r="O699" s="348">
        <v>5</v>
      </c>
      <c r="P699" s="348">
        <v>11.54</v>
      </c>
      <c r="Q699" s="348">
        <v>0.8</v>
      </c>
    </row>
    <row r="700" spans="1:17" ht="15" hidden="1" customHeight="1">
      <c r="A700" s="163">
        <v>693</v>
      </c>
      <c r="B700" s="53" t="s">
        <v>10</v>
      </c>
      <c r="C700" s="53" t="s">
        <v>9446</v>
      </c>
      <c r="D700" s="53">
        <v>100023059</v>
      </c>
      <c r="E700" s="55" t="s">
        <v>9447</v>
      </c>
      <c r="F700" s="129">
        <v>50</v>
      </c>
      <c r="G700" s="129">
        <v>7500</v>
      </c>
      <c r="H700" s="512">
        <v>6.53</v>
      </c>
      <c r="I700" s="265" t="s">
        <v>359</v>
      </c>
      <c r="J700" s="265" t="s">
        <v>102</v>
      </c>
      <c r="K700" s="265" t="s">
        <v>9448</v>
      </c>
      <c r="L700" s="265" t="s">
        <v>9449</v>
      </c>
      <c r="M700" s="265" t="s">
        <v>9450</v>
      </c>
      <c r="N700" s="347">
        <v>0.11799999999999999</v>
      </c>
      <c r="O700" s="348">
        <v>5</v>
      </c>
      <c r="P700" s="348">
        <v>8.4700000000000006</v>
      </c>
      <c r="Q700" s="348">
        <v>0.5</v>
      </c>
    </row>
    <row r="701" spans="1:17" ht="15" hidden="1" customHeight="1">
      <c r="A701" s="163">
        <v>694</v>
      </c>
      <c r="B701" s="53" t="s">
        <v>10</v>
      </c>
      <c r="C701" s="53" t="s">
        <v>9451</v>
      </c>
      <c r="D701" s="53">
        <v>100023061</v>
      </c>
      <c r="E701" s="55" t="s">
        <v>9452</v>
      </c>
      <c r="F701" s="129">
        <v>50</v>
      </c>
      <c r="G701" s="129">
        <v>6000</v>
      </c>
      <c r="H701" s="512">
        <v>11.57</v>
      </c>
      <c r="I701" s="265" t="s">
        <v>76</v>
      </c>
      <c r="J701" s="265" t="s">
        <v>102</v>
      </c>
      <c r="K701" s="265" t="s">
        <v>9453</v>
      </c>
      <c r="L701" s="265" t="s">
        <v>9454</v>
      </c>
      <c r="M701" s="265" t="s">
        <v>9455</v>
      </c>
      <c r="N701" s="347">
        <v>0.188</v>
      </c>
      <c r="O701" s="348">
        <v>5</v>
      </c>
      <c r="P701" s="348">
        <v>10.220000000000001</v>
      </c>
      <c r="Q701" s="348">
        <v>0.65</v>
      </c>
    </row>
    <row r="702" spans="1:17" ht="15" hidden="1" customHeight="1">
      <c r="A702" s="163">
        <v>695</v>
      </c>
      <c r="B702" s="53" t="s">
        <v>10</v>
      </c>
      <c r="C702" s="53" t="s">
        <v>9456</v>
      </c>
      <c r="D702" s="53">
        <v>100023063</v>
      </c>
      <c r="E702" s="55" t="s">
        <v>9457</v>
      </c>
      <c r="F702" s="129">
        <v>25</v>
      </c>
      <c r="G702" s="129">
        <v>3000</v>
      </c>
      <c r="H702" s="512">
        <v>17.02</v>
      </c>
      <c r="I702" s="265" t="s">
        <v>76</v>
      </c>
      <c r="J702" s="265" t="s">
        <v>102</v>
      </c>
      <c r="K702" s="265" t="s">
        <v>9458</v>
      </c>
      <c r="L702" s="348" t="s">
        <v>1205</v>
      </c>
      <c r="M702" s="265" t="s">
        <v>9459</v>
      </c>
      <c r="N702" s="347">
        <v>0.44400000000000001</v>
      </c>
      <c r="O702" s="348" t="s">
        <v>1205</v>
      </c>
      <c r="P702" s="348">
        <v>12.06</v>
      </c>
      <c r="Q702" s="348">
        <v>0.65</v>
      </c>
    </row>
    <row r="703" spans="1:17" ht="15" hidden="1" customHeight="1">
      <c r="A703" s="163">
        <v>696</v>
      </c>
      <c r="B703" s="53" t="s">
        <v>10</v>
      </c>
      <c r="C703" s="53" t="s">
        <v>9460</v>
      </c>
      <c r="D703" s="53">
        <v>100023065</v>
      </c>
      <c r="E703" s="55" t="s">
        <v>9461</v>
      </c>
      <c r="F703" s="129">
        <v>15</v>
      </c>
      <c r="G703" s="129">
        <v>2250</v>
      </c>
      <c r="H703" s="512">
        <v>22.25</v>
      </c>
      <c r="I703" s="265" t="s">
        <v>76</v>
      </c>
      <c r="J703" s="265" t="s">
        <v>102</v>
      </c>
      <c r="K703" s="265" t="s">
        <v>9462</v>
      </c>
      <c r="L703" s="348" t="s">
        <v>1205</v>
      </c>
      <c r="M703" s="265" t="s">
        <v>9463</v>
      </c>
      <c r="N703" s="347">
        <v>0.60399999999999998</v>
      </c>
      <c r="O703" s="348" t="s">
        <v>1205</v>
      </c>
      <c r="P703" s="348">
        <v>9.68</v>
      </c>
      <c r="Q703" s="348">
        <v>0.5</v>
      </c>
    </row>
    <row r="704" spans="1:17" ht="15" hidden="1" customHeight="1">
      <c r="A704" s="163">
        <v>697</v>
      </c>
      <c r="B704" s="53" t="s">
        <v>10</v>
      </c>
      <c r="C704" s="53" t="s">
        <v>9464</v>
      </c>
      <c r="D704" s="53">
        <v>100023067</v>
      </c>
      <c r="E704" s="55" t="s">
        <v>9465</v>
      </c>
      <c r="F704" s="129">
        <v>9</v>
      </c>
      <c r="G704" s="129">
        <v>1350</v>
      </c>
      <c r="H704" s="512">
        <v>39.08</v>
      </c>
      <c r="I704" s="265" t="s">
        <v>359</v>
      </c>
      <c r="J704" s="265" t="s">
        <v>102</v>
      </c>
      <c r="K704" s="265" t="s">
        <v>9466</v>
      </c>
      <c r="L704" s="348" t="s">
        <v>1205</v>
      </c>
      <c r="M704" s="265" t="s">
        <v>9467</v>
      </c>
      <c r="N704" s="347">
        <v>0.93400000000000005</v>
      </c>
      <c r="O704" s="348" t="s">
        <v>1205</v>
      </c>
      <c r="P704" s="348">
        <v>9.39</v>
      </c>
      <c r="Q704" s="348">
        <v>0.5</v>
      </c>
    </row>
    <row r="705" spans="1:17" ht="15" hidden="1" customHeight="1">
      <c r="A705" s="163">
        <v>698</v>
      </c>
      <c r="B705" s="53" t="s">
        <v>10</v>
      </c>
      <c r="C705" s="53" t="s">
        <v>9468</v>
      </c>
      <c r="D705" s="53">
        <v>100023069</v>
      </c>
      <c r="E705" s="55" t="s">
        <v>9469</v>
      </c>
      <c r="F705" s="129">
        <v>250</v>
      </c>
      <c r="G705" s="129">
        <v>67500</v>
      </c>
      <c r="H705" s="512">
        <v>3.48</v>
      </c>
      <c r="I705" s="265" t="s">
        <v>76</v>
      </c>
      <c r="J705" s="265" t="s">
        <v>102</v>
      </c>
      <c r="K705" s="265" t="s">
        <v>9470</v>
      </c>
      <c r="L705" s="265" t="s">
        <v>9471</v>
      </c>
      <c r="M705" s="265" t="s">
        <v>9472</v>
      </c>
      <c r="N705" s="347">
        <v>2.1999999999999999E-2</v>
      </c>
      <c r="O705" s="348">
        <v>10</v>
      </c>
      <c r="P705" s="348">
        <v>6.3</v>
      </c>
      <c r="Q705" s="348">
        <v>0.31</v>
      </c>
    </row>
    <row r="706" spans="1:17" ht="15" hidden="1" customHeight="1">
      <c r="A706" s="163">
        <v>699</v>
      </c>
      <c r="B706" s="53" t="s">
        <v>10</v>
      </c>
      <c r="C706" s="53" t="s">
        <v>9473</v>
      </c>
      <c r="D706" s="53">
        <v>100023071</v>
      </c>
      <c r="E706" s="55" t="s">
        <v>9474</v>
      </c>
      <c r="F706" s="129">
        <v>250</v>
      </c>
      <c r="G706" s="129">
        <v>37500</v>
      </c>
      <c r="H706" s="512">
        <v>4.07</v>
      </c>
      <c r="I706" s="265" t="s">
        <v>76</v>
      </c>
      <c r="J706" s="265" t="s">
        <v>102</v>
      </c>
      <c r="K706" s="265" t="s">
        <v>9475</v>
      </c>
      <c r="L706" s="265" t="s">
        <v>9476</v>
      </c>
      <c r="M706" s="265" t="s">
        <v>9477</v>
      </c>
      <c r="N706" s="347">
        <v>3.5000000000000003E-2</v>
      </c>
      <c r="O706" s="348">
        <v>10</v>
      </c>
      <c r="P706" s="348">
        <v>9.61</v>
      </c>
      <c r="Q706" s="348">
        <v>0.5</v>
      </c>
    </row>
    <row r="707" spans="1:17" ht="15" hidden="1" customHeight="1">
      <c r="A707" s="163">
        <v>700</v>
      </c>
      <c r="B707" s="53" t="s">
        <v>10</v>
      </c>
      <c r="C707" s="53" t="s">
        <v>9478</v>
      </c>
      <c r="D707" s="53">
        <v>100023073</v>
      </c>
      <c r="E707" s="55" t="s">
        <v>9479</v>
      </c>
      <c r="F707" s="129">
        <v>250</v>
      </c>
      <c r="G707" s="129">
        <v>22500</v>
      </c>
      <c r="H707" s="512">
        <v>4.92</v>
      </c>
      <c r="I707" s="265" t="s">
        <v>76</v>
      </c>
      <c r="J707" s="265" t="s">
        <v>102</v>
      </c>
      <c r="K707" s="265" t="s">
        <v>9480</v>
      </c>
      <c r="L707" s="265" t="s">
        <v>9481</v>
      </c>
      <c r="M707" s="265" t="s">
        <v>9482</v>
      </c>
      <c r="N707" s="347">
        <v>5.7000000000000002E-2</v>
      </c>
      <c r="O707" s="348">
        <v>10</v>
      </c>
      <c r="P707" s="348">
        <v>15.79</v>
      </c>
      <c r="Q707" s="348">
        <v>0.8</v>
      </c>
    </row>
    <row r="708" spans="1:17" ht="15" hidden="1" customHeight="1">
      <c r="A708" s="163">
        <v>701</v>
      </c>
      <c r="B708" s="53" t="s">
        <v>10</v>
      </c>
      <c r="C708" s="53" t="s">
        <v>9483</v>
      </c>
      <c r="D708" s="53">
        <v>100023077</v>
      </c>
      <c r="E708" s="55" t="s">
        <v>9484</v>
      </c>
      <c r="F708" s="129">
        <v>50</v>
      </c>
      <c r="G708" s="129">
        <v>7500</v>
      </c>
      <c r="H708" s="512">
        <v>8.34</v>
      </c>
      <c r="I708" s="265" t="s">
        <v>76</v>
      </c>
      <c r="J708" s="265" t="s">
        <v>102</v>
      </c>
      <c r="K708" s="265" t="s">
        <v>9485</v>
      </c>
      <c r="L708" s="265" t="s">
        <v>9486</v>
      </c>
      <c r="M708" s="265" t="s">
        <v>9487</v>
      </c>
      <c r="N708" s="347">
        <v>0.122</v>
      </c>
      <c r="O708" s="348">
        <v>5</v>
      </c>
      <c r="P708" s="348">
        <v>7.14</v>
      </c>
      <c r="Q708" s="348">
        <v>0.5</v>
      </c>
    </row>
    <row r="709" spans="1:17" ht="15" hidden="1" customHeight="1">
      <c r="A709" s="163">
        <v>702</v>
      </c>
      <c r="B709" s="53" t="s">
        <v>10</v>
      </c>
      <c r="C709" s="53" t="s">
        <v>9488</v>
      </c>
      <c r="D709" s="53">
        <v>100023079</v>
      </c>
      <c r="E709" s="55" t="s">
        <v>9489</v>
      </c>
      <c r="F709" s="129">
        <v>50</v>
      </c>
      <c r="G709" s="129">
        <v>7500</v>
      </c>
      <c r="H709" s="512">
        <v>10.3</v>
      </c>
      <c r="I709" s="265" t="s">
        <v>76</v>
      </c>
      <c r="J709" s="265" t="s">
        <v>102</v>
      </c>
      <c r="K709" s="265" t="s">
        <v>9490</v>
      </c>
      <c r="L709" s="265" t="s">
        <v>9491</v>
      </c>
      <c r="M709" s="265" t="s">
        <v>9492</v>
      </c>
      <c r="N709" s="347">
        <v>0.13500000000000001</v>
      </c>
      <c r="O709" s="348">
        <v>5</v>
      </c>
      <c r="P709" s="348">
        <v>9.9700000000000006</v>
      </c>
      <c r="Q709" s="348">
        <v>0.5</v>
      </c>
    </row>
    <row r="710" spans="1:17" ht="15" hidden="1" customHeight="1">
      <c r="A710" s="163">
        <v>703</v>
      </c>
      <c r="B710" s="53" t="s">
        <v>10</v>
      </c>
      <c r="C710" s="53" t="s">
        <v>9493</v>
      </c>
      <c r="D710" s="53">
        <v>100023084</v>
      </c>
      <c r="E710" s="55" t="s">
        <v>9494</v>
      </c>
      <c r="F710" s="129">
        <v>10</v>
      </c>
      <c r="G710" s="129">
        <v>1500</v>
      </c>
      <c r="H710" s="512">
        <v>52.69</v>
      </c>
      <c r="I710" s="265" t="s">
        <v>76</v>
      </c>
      <c r="J710" s="265" t="s">
        <v>102</v>
      </c>
      <c r="K710" s="265" t="s">
        <v>9495</v>
      </c>
      <c r="L710" s="348" t="s">
        <v>1205</v>
      </c>
      <c r="M710" s="265" t="s">
        <v>9496</v>
      </c>
      <c r="N710" s="347">
        <v>0.72899999999999998</v>
      </c>
      <c r="O710" s="348" t="s">
        <v>1205</v>
      </c>
      <c r="P710" s="348">
        <v>7.37</v>
      </c>
      <c r="Q710" s="348">
        <v>0.5</v>
      </c>
    </row>
    <row r="711" spans="1:17" ht="15" hidden="1" customHeight="1">
      <c r="A711" s="163">
        <v>704</v>
      </c>
      <c r="B711" s="53" t="s">
        <v>10</v>
      </c>
      <c r="C711" s="53" t="s">
        <v>9497</v>
      </c>
      <c r="D711" s="53">
        <v>100023086</v>
      </c>
      <c r="E711" s="55" t="s">
        <v>9498</v>
      </c>
      <c r="F711" s="129">
        <v>500</v>
      </c>
      <c r="G711" s="129">
        <v>75000</v>
      </c>
      <c r="H711" s="512">
        <v>2.93</v>
      </c>
      <c r="I711" s="265" t="s">
        <v>359</v>
      </c>
      <c r="J711" s="265" t="s">
        <v>102</v>
      </c>
      <c r="K711" s="265" t="s">
        <v>9499</v>
      </c>
      <c r="L711" s="265" t="s">
        <v>9500</v>
      </c>
      <c r="M711" s="265" t="s">
        <v>9501</v>
      </c>
      <c r="N711" s="347">
        <v>1.7000000000000001E-2</v>
      </c>
      <c r="O711" s="348">
        <v>10</v>
      </c>
      <c r="P711" s="348">
        <v>8.81</v>
      </c>
      <c r="Q711" s="348">
        <v>0.5</v>
      </c>
    </row>
    <row r="712" spans="1:17" ht="15" hidden="1" customHeight="1">
      <c r="A712" s="163">
        <v>705</v>
      </c>
      <c r="B712" s="53" t="s">
        <v>10</v>
      </c>
      <c r="C712" s="53" t="s">
        <v>9502</v>
      </c>
      <c r="D712" s="53">
        <v>100023088</v>
      </c>
      <c r="E712" s="55" t="s">
        <v>9503</v>
      </c>
      <c r="F712" s="129">
        <v>250</v>
      </c>
      <c r="G712" s="129">
        <v>67500</v>
      </c>
      <c r="H712" s="512">
        <v>4.32</v>
      </c>
      <c r="I712" s="265" t="s">
        <v>76</v>
      </c>
      <c r="J712" s="265" t="s">
        <v>102</v>
      </c>
      <c r="K712" s="265" t="s">
        <v>9504</v>
      </c>
      <c r="L712" s="265" t="s">
        <v>9505</v>
      </c>
      <c r="M712" s="265" t="s">
        <v>9506</v>
      </c>
      <c r="N712" s="347">
        <v>2.1999999999999999E-2</v>
      </c>
      <c r="O712" s="348">
        <v>10</v>
      </c>
      <c r="P712" s="348">
        <v>6.41</v>
      </c>
      <c r="Q712" s="348">
        <v>0.31</v>
      </c>
    </row>
    <row r="713" spans="1:17" ht="15" hidden="1" customHeight="1">
      <c r="A713" s="163">
        <v>706</v>
      </c>
      <c r="B713" s="53" t="s">
        <v>10</v>
      </c>
      <c r="C713" s="53" t="s">
        <v>9507</v>
      </c>
      <c r="D713" s="53">
        <v>100023090</v>
      </c>
      <c r="E713" s="55" t="s">
        <v>9508</v>
      </c>
      <c r="F713" s="129">
        <v>500</v>
      </c>
      <c r="G713" s="129">
        <v>45000</v>
      </c>
      <c r="H713" s="512">
        <v>4.62</v>
      </c>
      <c r="I713" s="265" t="s">
        <v>76</v>
      </c>
      <c r="J713" s="265" t="s">
        <v>102</v>
      </c>
      <c r="K713" s="265" t="s">
        <v>9509</v>
      </c>
      <c r="L713" s="265" t="s">
        <v>9510</v>
      </c>
      <c r="M713" s="265" t="s">
        <v>9511</v>
      </c>
      <c r="N713" s="347">
        <v>2.7E-2</v>
      </c>
      <c r="O713" s="348">
        <v>10</v>
      </c>
      <c r="P713" s="348">
        <v>15.34</v>
      </c>
      <c r="Q713" s="348">
        <v>0.8</v>
      </c>
    </row>
    <row r="714" spans="1:17" ht="15" hidden="1" customHeight="1">
      <c r="A714" s="163">
        <v>707</v>
      </c>
      <c r="B714" s="53" t="s">
        <v>10</v>
      </c>
      <c r="C714" s="53" t="s">
        <v>9512</v>
      </c>
      <c r="D714" s="53">
        <v>100023092</v>
      </c>
      <c r="E714" s="55" t="s">
        <v>9513</v>
      </c>
      <c r="F714" s="129">
        <v>250</v>
      </c>
      <c r="G714" s="129">
        <v>30000</v>
      </c>
      <c r="H714" s="512">
        <v>7.54</v>
      </c>
      <c r="I714" s="265" t="s">
        <v>76</v>
      </c>
      <c r="J714" s="265" t="s">
        <v>102</v>
      </c>
      <c r="K714" s="265" t="s">
        <v>9514</v>
      </c>
      <c r="L714" s="265" t="s">
        <v>9515</v>
      </c>
      <c r="M714" s="265" t="s">
        <v>9516</v>
      </c>
      <c r="N714" s="347">
        <v>0.05</v>
      </c>
      <c r="O714" s="348">
        <v>10</v>
      </c>
      <c r="P714" s="348">
        <v>13.25</v>
      </c>
      <c r="Q714" s="348">
        <v>0.65</v>
      </c>
    </row>
    <row r="715" spans="1:17" ht="15" hidden="1" customHeight="1">
      <c r="A715" s="163">
        <v>708</v>
      </c>
      <c r="B715" s="53" t="s">
        <v>10</v>
      </c>
      <c r="C715" s="53" t="s">
        <v>9517</v>
      </c>
      <c r="D715" s="53">
        <v>100023094</v>
      </c>
      <c r="E715" s="55" t="s">
        <v>9518</v>
      </c>
      <c r="F715" s="129">
        <v>125</v>
      </c>
      <c r="G715" s="129">
        <v>18750</v>
      </c>
      <c r="H715" s="512">
        <v>7.94</v>
      </c>
      <c r="I715" s="265" t="s">
        <v>76</v>
      </c>
      <c r="J715" s="265" t="s">
        <v>102</v>
      </c>
      <c r="K715" s="265" t="s">
        <v>9519</v>
      </c>
      <c r="L715" s="265" t="s">
        <v>9520</v>
      </c>
      <c r="M715" s="265" t="s">
        <v>9521</v>
      </c>
      <c r="N715" s="347">
        <v>7.4999999999999997E-2</v>
      </c>
      <c r="O715" s="348">
        <v>5</v>
      </c>
      <c r="P715" s="348">
        <v>10.5</v>
      </c>
      <c r="Q715" s="348">
        <v>0.5</v>
      </c>
    </row>
    <row r="716" spans="1:17" ht="15" hidden="1" customHeight="1">
      <c r="A716" s="163">
        <v>709</v>
      </c>
      <c r="B716" s="53" t="s">
        <v>10</v>
      </c>
      <c r="C716" s="53" t="s">
        <v>9522</v>
      </c>
      <c r="D716" s="53">
        <v>100027431</v>
      </c>
      <c r="E716" s="55" t="s">
        <v>9523</v>
      </c>
      <c r="F716" s="129">
        <v>125</v>
      </c>
      <c r="G716" s="129">
        <v>11250</v>
      </c>
      <c r="H716" s="512">
        <v>8.5</v>
      </c>
      <c r="I716" s="265" t="s">
        <v>76</v>
      </c>
      <c r="J716" s="265" t="s">
        <v>102</v>
      </c>
      <c r="K716" s="265">
        <v>0</v>
      </c>
      <c r="L716" s="265" t="s">
        <v>9524</v>
      </c>
      <c r="M716" s="265" t="s">
        <v>9525</v>
      </c>
      <c r="N716" s="347">
        <v>0.126</v>
      </c>
      <c r="O716" s="348">
        <v>5</v>
      </c>
      <c r="P716" s="348">
        <v>17.149999999999999</v>
      </c>
      <c r="Q716" s="348">
        <v>0.8</v>
      </c>
    </row>
    <row r="717" spans="1:17" ht="15" hidden="1" customHeight="1">
      <c r="A717" s="163">
        <v>710</v>
      </c>
      <c r="B717" s="53" t="s">
        <v>10</v>
      </c>
      <c r="C717" s="53" t="s">
        <v>9526</v>
      </c>
      <c r="D717" s="53">
        <v>100023096</v>
      </c>
      <c r="E717" s="55" t="s">
        <v>9527</v>
      </c>
      <c r="F717" s="129">
        <v>50</v>
      </c>
      <c r="G717" s="129">
        <v>7500</v>
      </c>
      <c r="H717" s="512">
        <v>10.98</v>
      </c>
      <c r="I717" s="265" t="s">
        <v>76</v>
      </c>
      <c r="J717" s="265" t="s">
        <v>102</v>
      </c>
      <c r="K717" s="265" t="s">
        <v>9528</v>
      </c>
      <c r="L717" s="265" t="s">
        <v>9529</v>
      </c>
      <c r="M717" s="265" t="s">
        <v>9530</v>
      </c>
      <c r="N717" s="347">
        <v>0.152</v>
      </c>
      <c r="O717" s="348">
        <v>5</v>
      </c>
      <c r="P717" s="348">
        <v>8.58</v>
      </c>
      <c r="Q717" s="348">
        <v>0.5</v>
      </c>
    </row>
    <row r="718" spans="1:17" ht="15" hidden="1" customHeight="1">
      <c r="A718" s="163">
        <v>711</v>
      </c>
      <c r="B718" s="53" t="s">
        <v>10</v>
      </c>
      <c r="C718" s="53" t="s">
        <v>9531</v>
      </c>
      <c r="D718" s="53">
        <v>100023100</v>
      </c>
      <c r="E718" s="55" t="s">
        <v>9532</v>
      </c>
      <c r="F718" s="129">
        <v>25</v>
      </c>
      <c r="G718" s="129">
        <v>3000</v>
      </c>
      <c r="H718" s="512">
        <v>23.1</v>
      </c>
      <c r="I718" s="265" t="s">
        <v>76</v>
      </c>
      <c r="J718" s="265" t="s">
        <v>102</v>
      </c>
      <c r="K718" s="265" t="s">
        <v>9533</v>
      </c>
      <c r="L718" s="265" t="s">
        <v>9534</v>
      </c>
      <c r="M718" s="265" t="s">
        <v>9535</v>
      </c>
      <c r="N718" s="347">
        <v>0.432</v>
      </c>
      <c r="O718" s="348">
        <v>5</v>
      </c>
      <c r="P718" s="348">
        <v>11.58</v>
      </c>
      <c r="Q718" s="348">
        <v>0.65</v>
      </c>
    </row>
    <row r="719" spans="1:17" ht="15" hidden="1" customHeight="1">
      <c r="A719" s="163">
        <v>712</v>
      </c>
      <c r="B719" s="53" t="s">
        <v>10</v>
      </c>
      <c r="C719" s="53" t="s">
        <v>9536</v>
      </c>
      <c r="D719" s="53">
        <v>100023104</v>
      </c>
      <c r="E719" s="55" t="s">
        <v>9537</v>
      </c>
      <c r="F719" s="129">
        <v>50</v>
      </c>
      <c r="G719" s="129">
        <v>13500</v>
      </c>
      <c r="H719" s="512">
        <v>19.54</v>
      </c>
      <c r="I719" s="265" t="s">
        <v>76</v>
      </c>
      <c r="J719" s="265" t="s">
        <v>102</v>
      </c>
      <c r="K719" s="265" t="s">
        <v>9538</v>
      </c>
      <c r="L719" s="348" t="s">
        <v>1205</v>
      </c>
      <c r="M719" s="265" t="s">
        <v>9539</v>
      </c>
      <c r="N719" s="347">
        <v>0.14599999999999999</v>
      </c>
      <c r="O719" s="348" t="s">
        <v>1205</v>
      </c>
      <c r="P719" s="348">
        <v>3.76</v>
      </c>
      <c r="Q719" s="348">
        <v>0.31</v>
      </c>
    </row>
    <row r="720" spans="1:17" ht="15" hidden="1" customHeight="1">
      <c r="A720" s="163">
        <v>713</v>
      </c>
      <c r="B720" s="53" t="s">
        <v>10</v>
      </c>
      <c r="C720" s="53" t="s">
        <v>9540</v>
      </c>
      <c r="D720" s="53">
        <v>100023106</v>
      </c>
      <c r="E720" s="55" t="s">
        <v>9541</v>
      </c>
      <c r="F720" s="129">
        <v>50</v>
      </c>
      <c r="G720" s="129">
        <v>7500</v>
      </c>
      <c r="H720" s="512">
        <v>22.18</v>
      </c>
      <c r="I720" s="265" t="s">
        <v>76</v>
      </c>
      <c r="J720" s="265" t="s">
        <v>102</v>
      </c>
      <c r="K720" s="265" t="s">
        <v>9542</v>
      </c>
      <c r="L720" s="348" t="s">
        <v>1205</v>
      </c>
      <c r="M720" s="265" t="s">
        <v>9543</v>
      </c>
      <c r="N720" s="347">
        <v>0.27700000000000002</v>
      </c>
      <c r="O720" s="348" t="s">
        <v>1205</v>
      </c>
      <c r="P720" s="348">
        <v>4.97</v>
      </c>
      <c r="Q720" s="348">
        <v>0.5</v>
      </c>
    </row>
    <row r="721" spans="1:17" ht="15" hidden="1" customHeight="1">
      <c r="A721" s="163">
        <v>714</v>
      </c>
      <c r="B721" s="53" t="s">
        <v>10</v>
      </c>
      <c r="C721" s="53" t="s">
        <v>9544</v>
      </c>
      <c r="D721" s="53">
        <v>100023108</v>
      </c>
      <c r="E721" s="55" t="s">
        <v>9545</v>
      </c>
      <c r="F721" s="129">
        <v>18</v>
      </c>
      <c r="G721" s="129">
        <v>2700</v>
      </c>
      <c r="H721" s="512">
        <v>22.83</v>
      </c>
      <c r="I721" s="265" t="s">
        <v>76</v>
      </c>
      <c r="J721" s="265" t="s">
        <v>102</v>
      </c>
      <c r="K721" s="265" t="s">
        <v>9546</v>
      </c>
      <c r="L721" s="348" t="s">
        <v>1205</v>
      </c>
      <c r="M721" s="265" t="s">
        <v>9547</v>
      </c>
      <c r="N721" s="347">
        <v>0.29699999999999999</v>
      </c>
      <c r="O721" s="348" t="s">
        <v>1205</v>
      </c>
      <c r="P721" s="348">
        <v>3.5</v>
      </c>
      <c r="Q721" s="348">
        <v>0.5</v>
      </c>
    </row>
    <row r="722" spans="1:17" ht="15" hidden="1" customHeight="1">
      <c r="A722" s="163">
        <v>715</v>
      </c>
      <c r="B722" s="53" t="s">
        <v>10</v>
      </c>
      <c r="C722" s="53" t="s">
        <v>9548</v>
      </c>
      <c r="D722" s="53">
        <v>100023110</v>
      </c>
      <c r="E722" s="55" t="s">
        <v>9549</v>
      </c>
      <c r="F722" s="129">
        <v>10</v>
      </c>
      <c r="G722" s="129">
        <v>2700</v>
      </c>
      <c r="H722" s="512">
        <v>73.53</v>
      </c>
      <c r="I722" s="265" t="s">
        <v>76</v>
      </c>
      <c r="J722" s="265" t="s">
        <v>102</v>
      </c>
      <c r="K722" s="265" t="s">
        <v>9550</v>
      </c>
      <c r="L722" s="348" t="s">
        <v>1205</v>
      </c>
      <c r="M722" s="265" t="s">
        <v>9551</v>
      </c>
      <c r="N722" s="347">
        <v>0.51700000000000002</v>
      </c>
      <c r="O722" s="348" t="s">
        <v>1205</v>
      </c>
      <c r="P722" s="348">
        <v>2.87</v>
      </c>
      <c r="Q722" s="348">
        <v>0.31</v>
      </c>
    </row>
    <row r="723" spans="1:17" ht="15" hidden="1" customHeight="1">
      <c r="A723" s="163">
        <v>716</v>
      </c>
      <c r="B723" s="53" t="s">
        <v>10</v>
      </c>
      <c r="C723" s="53" t="s">
        <v>9552</v>
      </c>
      <c r="D723" s="53">
        <v>100023112</v>
      </c>
      <c r="E723" s="55" t="s">
        <v>9553</v>
      </c>
      <c r="F723" s="129">
        <v>10</v>
      </c>
      <c r="G723" s="129">
        <v>1500</v>
      </c>
      <c r="H723" s="512">
        <v>76.59</v>
      </c>
      <c r="I723" s="265" t="s">
        <v>76</v>
      </c>
      <c r="J723" s="265" t="s">
        <v>102</v>
      </c>
      <c r="K723" s="265" t="s">
        <v>9554</v>
      </c>
      <c r="L723" s="348" t="s">
        <v>1205</v>
      </c>
      <c r="M723" s="265" t="s">
        <v>9555</v>
      </c>
      <c r="N723" s="347">
        <v>0.79400000000000004</v>
      </c>
      <c r="O723" s="348" t="s">
        <v>1205</v>
      </c>
      <c r="P723" s="348">
        <v>4.03</v>
      </c>
      <c r="Q723" s="348">
        <v>0.5</v>
      </c>
    </row>
    <row r="724" spans="1:17" ht="15" hidden="1" customHeight="1">
      <c r="A724" s="163">
        <v>717</v>
      </c>
      <c r="B724" s="53" t="s">
        <v>10</v>
      </c>
      <c r="C724" s="53" t="s">
        <v>9556</v>
      </c>
      <c r="D724" s="53">
        <v>100023114</v>
      </c>
      <c r="E724" s="55" t="s">
        <v>9557</v>
      </c>
      <c r="F724" s="129">
        <v>16</v>
      </c>
      <c r="G724" s="129">
        <v>1200</v>
      </c>
      <c r="H724" s="512">
        <v>103.31</v>
      </c>
      <c r="I724" s="265" t="s">
        <v>76</v>
      </c>
      <c r="J724" s="265" t="s">
        <v>102</v>
      </c>
      <c r="K724" s="265" t="s">
        <v>9558</v>
      </c>
      <c r="L724" s="348" t="s">
        <v>1205</v>
      </c>
      <c r="M724" s="265" t="s">
        <v>9559</v>
      </c>
      <c r="N724" s="347">
        <v>1.1679999999999999</v>
      </c>
      <c r="O724" s="348" t="s">
        <v>1205</v>
      </c>
      <c r="P724" s="348">
        <v>9.25</v>
      </c>
      <c r="Q724" s="348">
        <v>1.1000000000000001</v>
      </c>
    </row>
    <row r="725" spans="1:17" ht="15" hidden="1" customHeight="1">
      <c r="A725" s="163">
        <v>718</v>
      </c>
      <c r="B725" s="53" t="s">
        <v>10</v>
      </c>
      <c r="C725" s="53" t="s">
        <v>9560</v>
      </c>
      <c r="D725" s="53">
        <v>100023115</v>
      </c>
      <c r="E725" s="55" t="s">
        <v>9561</v>
      </c>
      <c r="F725" s="129">
        <v>3</v>
      </c>
      <c r="G725" s="129">
        <v>450</v>
      </c>
      <c r="H725" s="512">
        <v>144.6</v>
      </c>
      <c r="I725" s="265" t="s">
        <v>76</v>
      </c>
      <c r="J725" s="265" t="s">
        <v>102</v>
      </c>
      <c r="K725" s="265" t="s">
        <v>9562</v>
      </c>
      <c r="L725" s="348" t="s">
        <v>1205</v>
      </c>
      <c r="M725" s="265" t="s">
        <v>9563</v>
      </c>
      <c r="N725" s="347">
        <v>2.0670000000000002</v>
      </c>
      <c r="O725" s="348" t="s">
        <v>1205</v>
      </c>
      <c r="P725" s="348">
        <v>5.72</v>
      </c>
      <c r="Q725" s="348">
        <v>0.5</v>
      </c>
    </row>
    <row r="726" spans="1:17" ht="15" hidden="1" customHeight="1">
      <c r="A726" s="163">
        <v>719</v>
      </c>
      <c r="B726" s="53" t="s">
        <v>10</v>
      </c>
      <c r="C726" s="53" t="s">
        <v>9564</v>
      </c>
      <c r="D726" s="53">
        <v>100023117</v>
      </c>
      <c r="E726" s="55" t="s">
        <v>9565</v>
      </c>
      <c r="F726" s="129">
        <v>3</v>
      </c>
      <c r="G726" s="129">
        <v>450</v>
      </c>
      <c r="H726" s="512">
        <v>230.99</v>
      </c>
      <c r="I726" s="265" t="s">
        <v>76</v>
      </c>
      <c r="J726" s="265" t="s">
        <v>102</v>
      </c>
      <c r="K726" s="265" t="s">
        <v>9566</v>
      </c>
      <c r="L726" s="348" t="s">
        <v>1205</v>
      </c>
      <c r="M726" s="265" t="s">
        <v>9567</v>
      </c>
      <c r="N726" s="347">
        <v>3.0169999999999999</v>
      </c>
      <c r="O726" s="348" t="s">
        <v>1205</v>
      </c>
      <c r="P726" s="348">
        <v>9.07</v>
      </c>
      <c r="Q726" s="348">
        <v>0.5</v>
      </c>
    </row>
    <row r="727" spans="1:17" ht="15" hidden="1" customHeight="1">
      <c r="A727" s="163">
        <v>720</v>
      </c>
      <c r="B727" s="53" t="s">
        <v>10</v>
      </c>
      <c r="C727" s="53" t="s">
        <v>9568</v>
      </c>
      <c r="D727" s="53">
        <v>100027432</v>
      </c>
      <c r="E727" s="55" t="s">
        <v>9569</v>
      </c>
      <c r="F727" s="129">
        <v>2</v>
      </c>
      <c r="G727" s="129">
        <v>180</v>
      </c>
      <c r="H727" s="512">
        <v>319.85000000000002</v>
      </c>
      <c r="I727" s="265" t="s">
        <v>76</v>
      </c>
      <c r="J727" s="265" t="s">
        <v>102</v>
      </c>
      <c r="K727" s="265" t="s">
        <v>9570</v>
      </c>
      <c r="L727" s="348" t="s">
        <v>1205</v>
      </c>
      <c r="M727" s="265" t="s">
        <v>9571</v>
      </c>
      <c r="N727" s="347">
        <v>7.26</v>
      </c>
      <c r="O727" s="348" t="s">
        <v>1205</v>
      </c>
      <c r="P727" s="348">
        <v>14.7</v>
      </c>
      <c r="Q727" s="348">
        <v>0.8</v>
      </c>
    </row>
    <row r="728" spans="1:17" ht="15" hidden="1" customHeight="1">
      <c r="A728" s="163">
        <v>721</v>
      </c>
      <c r="B728" s="53" t="s">
        <v>10</v>
      </c>
      <c r="C728" s="53" t="s">
        <v>9572</v>
      </c>
      <c r="D728" s="53">
        <v>100023119</v>
      </c>
      <c r="E728" s="55" t="s">
        <v>9573</v>
      </c>
      <c r="F728" s="129">
        <v>50</v>
      </c>
      <c r="G728" s="129">
        <v>13500</v>
      </c>
      <c r="H728" s="512">
        <v>21.8</v>
      </c>
      <c r="I728" s="265" t="s">
        <v>369</v>
      </c>
      <c r="J728" s="265" t="s">
        <v>102</v>
      </c>
      <c r="K728" s="265" t="s">
        <v>9574</v>
      </c>
      <c r="L728" s="348" t="s">
        <v>1205</v>
      </c>
      <c r="M728" s="265" t="s">
        <v>9575</v>
      </c>
      <c r="N728" s="347">
        <v>0.126</v>
      </c>
      <c r="O728" s="348" t="s">
        <v>1205</v>
      </c>
      <c r="P728" s="348">
        <v>8.75</v>
      </c>
      <c r="Q728" s="348">
        <v>0.31</v>
      </c>
    </row>
    <row r="729" spans="1:17" ht="15" hidden="1" customHeight="1">
      <c r="A729" s="163">
        <v>722</v>
      </c>
      <c r="B729" s="53" t="s">
        <v>10</v>
      </c>
      <c r="C729" s="53" t="s">
        <v>9576</v>
      </c>
      <c r="D729" s="53">
        <v>100023121</v>
      </c>
      <c r="E729" s="55" t="s">
        <v>9577</v>
      </c>
      <c r="F729" s="129">
        <v>50</v>
      </c>
      <c r="G729" s="129">
        <v>7500</v>
      </c>
      <c r="H729" s="512">
        <v>36.450000000000003</v>
      </c>
      <c r="I729" s="265" t="s">
        <v>369</v>
      </c>
      <c r="J729" s="265" t="s">
        <v>102</v>
      </c>
      <c r="K729" s="265" t="s">
        <v>9578</v>
      </c>
      <c r="L729" s="348" t="s">
        <v>1205</v>
      </c>
      <c r="M729" s="265" t="s">
        <v>9579</v>
      </c>
      <c r="N729" s="347">
        <v>0.20100000000000001</v>
      </c>
      <c r="O729" s="348" t="s">
        <v>1205</v>
      </c>
      <c r="P729" s="348">
        <v>13.5</v>
      </c>
      <c r="Q729" s="348">
        <v>0.5</v>
      </c>
    </row>
    <row r="730" spans="1:17" ht="15" hidden="1" customHeight="1">
      <c r="A730" s="163">
        <v>723</v>
      </c>
      <c r="B730" s="53" t="s">
        <v>10</v>
      </c>
      <c r="C730" s="53" t="s">
        <v>9580</v>
      </c>
      <c r="D730" s="53">
        <v>100023123</v>
      </c>
      <c r="E730" s="55" t="s">
        <v>9581</v>
      </c>
      <c r="F730" s="129">
        <v>18</v>
      </c>
      <c r="G730" s="129">
        <v>2700</v>
      </c>
      <c r="H730" s="512">
        <v>49.8</v>
      </c>
      <c r="I730" s="265" t="s">
        <v>76</v>
      </c>
      <c r="J730" s="265" t="s">
        <v>102</v>
      </c>
      <c r="K730" s="265" t="s">
        <v>9582</v>
      </c>
      <c r="L730" s="348" t="s">
        <v>1205</v>
      </c>
      <c r="M730" s="265" t="s">
        <v>9583</v>
      </c>
      <c r="N730" s="347">
        <v>0.317</v>
      </c>
      <c r="O730" s="348" t="s">
        <v>1205</v>
      </c>
      <c r="P730" s="348">
        <v>6.5</v>
      </c>
      <c r="Q730" s="348">
        <v>0.5</v>
      </c>
    </row>
    <row r="731" spans="1:17" ht="15" hidden="1" customHeight="1">
      <c r="A731" s="163">
        <v>724</v>
      </c>
      <c r="B731" s="53" t="s">
        <v>10</v>
      </c>
      <c r="C731" s="53" t="s">
        <v>9584</v>
      </c>
      <c r="D731" s="53">
        <v>100023125</v>
      </c>
      <c r="E731" s="55" t="s">
        <v>9585</v>
      </c>
      <c r="F731" s="129">
        <v>10</v>
      </c>
      <c r="G731" s="129">
        <v>2700</v>
      </c>
      <c r="H731" s="512">
        <v>85.48</v>
      </c>
      <c r="I731" s="265" t="s">
        <v>369</v>
      </c>
      <c r="J731" s="265" t="s">
        <v>102</v>
      </c>
      <c r="K731" s="265" t="s">
        <v>9586</v>
      </c>
      <c r="L731" s="348" t="s">
        <v>1205</v>
      </c>
      <c r="M731" s="265" t="s">
        <v>9587</v>
      </c>
      <c r="N731" s="347">
        <v>0.75</v>
      </c>
      <c r="O731" s="348" t="s">
        <v>1205</v>
      </c>
      <c r="P731" s="348">
        <v>5.21</v>
      </c>
      <c r="Q731" s="348">
        <v>0.31</v>
      </c>
    </row>
    <row r="732" spans="1:17" ht="15" hidden="1" customHeight="1">
      <c r="A732" s="163">
        <v>725</v>
      </c>
      <c r="B732" s="53" t="s">
        <v>10</v>
      </c>
      <c r="C732" s="53" t="s">
        <v>9588</v>
      </c>
      <c r="D732" s="53">
        <v>100023127</v>
      </c>
      <c r="E732" s="55" t="s">
        <v>9589</v>
      </c>
      <c r="F732" s="129">
        <v>10</v>
      </c>
      <c r="G732" s="129">
        <v>1500</v>
      </c>
      <c r="H732" s="512">
        <v>87.4</v>
      </c>
      <c r="I732" s="265" t="s">
        <v>76</v>
      </c>
      <c r="J732" s="265" t="s">
        <v>102</v>
      </c>
      <c r="K732" s="265" t="s">
        <v>9590</v>
      </c>
      <c r="L732" s="348" t="s">
        <v>1205</v>
      </c>
      <c r="M732" s="265" t="s">
        <v>9591</v>
      </c>
      <c r="N732" s="347">
        <v>0.91500000000000004</v>
      </c>
      <c r="O732" s="348" t="s">
        <v>1205</v>
      </c>
      <c r="P732" s="348">
        <v>4.37</v>
      </c>
      <c r="Q732" s="348">
        <v>0.5</v>
      </c>
    </row>
    <row r="733" spans="1:17" ht="15" hidden="1" customHeight="1">
      <c r="A733" s="163">
        <v>726</v>
      </c>
      <c r="B733" s="53" t="s">
        <v>10</v>
      </c>
      <c r="C733" s="53" t="s">
        <v>9592</v>
      </c>
      <c r="D733" s="53">
        <v>100023129</v>
      </c>
      <c r="E733" s="55" t="s">
        <v>9593</v>
      </c>
      <c r="F733" s="129">
        <v>16</v>
      </c>
      <c r="G733" s="129">
        <v>1200</v>
      </c>
      <c r="H733" s="512">
        <v>107.24</v>
      </c>
      <c r="I733" s="265" t="s">
        <v>76</v>
      </c>
      <c r="J733" s="265" t="s">
        <v>102</v>
      </c>
      <c r="K733" s="265" t="s">
        <v>9594</v>
      </c>
      <c r="L733" s="348" t="s">
        <v>1205</v>
      </c>
      <c r="M733" s="265" t="s">
        <v>9595</v>
      </c>
      <c r="N733" s="347">
        <v>1.3720000000000001</v>
      </c>
      <c r="O733" s="348" t="s">
        <v>1205</v>
      </c>
      <c r="P733" s="348">
        <v>21.86</v>
      </c>
      <c r="Q733" s="348">
        <v>0.95</v>
      </c>
    </row>
    <row r="734" spans="1:17" ht="15" hidden="1" customHeight="1">
      <c r="A734" s="163">
        <v>727</v>
      </c>
      <c r="B734" s="53" t="s">
        <v>10</v>
      </c>
      <c r="C734" s="53" t="s">
        <v>9596</v>
      </c>
      <c r="D734" s="53">
        <v>100023132</v>
      </c>
      <c r="E734" s="55" t="s">
        <v>9597</v>
      </c>
      <c r="F734" s="129">
        <v>3</v>
      </c>
      <c r="G734" s="129">
        <v>450</v>
      </c>
      <c r="H734" s="512">
        <v>245.2</v>
      </c>
      <c r="I734" s="265" t="s">
        <v>76</v>
      </c>
      <c r="J734" s="265" t="s">
        <v>102</v>
      </c>
      <c r="K734" s="265" t="s">
        <v>9598</v>
      </c>
      <c r="L734" s="348" t="s">
        <v>1205</v>
      </c>
      <c r="M734" s="265" t="s">
        <v>9599</v>
      </c>
      <c r="N734" s="347">
        <v>3.1829999999999998</v>
      </c>
      <c r="O734" s="348" t="s">
        <v>1205</v>
      </c>
      <c r="P734" s="348">
        <v>9.5299999999999994</v>
      </c>
      <c r="Q734" s="348">
        <v>0.5</v>
      </c>
    </row>
    <row r="735" spans="1:17" ht="15" hidden="1" customHeight="1">
      <c r="A735" s="163">
        <v>728</v>
      </c>
      <c r="B735" s="53" t="s">
        <v>10</v>
      </c>
      <c r="C735" s="53" t="s">
        <v>9600</v>
      </c>
      <c r="D735" s="53">
        <v>100023137</v>
      </c>
      <c r="E735" s="55" t="s">
        <v>9601</v>
      </c>
      <c r="F735" s="129">
        <v>10</v>
      </c>
      <c r="G735" s="129">
        <v>1500</v>
      </c>
      <c r="H735" s="512">
        <v>82.33</v>
      </c>
      <c r="I735" s="265" t="s">
        <v>76</v>
      </c>
      <c r="J735" s="265" t="s">
        <v>102</v>
      </c>
      <c r="K735" s="265" t="s">
        <v>9602</v>
      </c>
      <c r="L735" s="348" t="s">
        <v>1205</v>
      </c>
      <c r="M735" s="265" t="s">
        <v>9603</v>
      </c>
      <c r="N735" s="347">
        <v>0.79200000000000004</v>
      </c>
      <c r="O735" s="348" t="s">
        <v>1205</v>
      </c>
      <c r="P735" s="348">
        <v>6.43</v>
      </c>
      <c r="Q735" s="348">
        <v>0.5</v>
      </c>
    </row>
    <row r="736" spans="1:17" ht="15" hidden="1" customHeight="1">
      <c r="A736" s="163">
        <v>729</v>
      </c>
      <c r="B736" s="53" t="s">
        <v>10</v>
      </c>
      <c r="C736" s="53" t="s">
        <v>9604</v>
      </c>
      <c r="D736" s="53">
        <v>100023138</v>
      </c>
      <c r="E736" s="55" t="s">
        <v>9605</v>
      </c>
      <c r="F736" s="129">
        <v>16</v>
      </c>
      <c r="G736" s="129">
        <v>1200</v>
      </c>
      <c r="H736" s="512">
        <v>105.59</v>
      </c>
      <c r="I736" s="265" t="s">
        <v>76</v>
      </c>
      <c r="J736" s="265" t="s">
        <v>102</v>
      </c>
      <c r="K736" s="265" t="s">
        <v>9606</v>
      </c>
      <c r="L736" s="348" t="s">
        <v>1205</v>
      </c>
      <c r="M736" s="265" t="s">
        <v>9607</v>
      </c>
      <c r="N736" s="347">
        <v>1.3460000000000001</v>
      </c>
      <c r="O736" s="348" t="s">
        <v>1205</v>
      </c>
      <c r="P736" s="348">
        <v>13.99</v>
      </c>
      <c r="Q736" s="348">
        <v>0.95</v>
      </c>
    </row>
    <row r="737" spans="1:17" ht="15" hidden="1" customHeight="1">
      <c r="A737" s="163">
        <v>730</v>
      </c>
      <c r="B737" s="53" t="s">
        <v>10</v>
      </c>
      <c r="C737" s="53" t="s">
        <v>9608</v>
      </c>
      <c r="D737" s="53">
        <v>100023144</v>
      </c>
      <c r="E737" s="55" t="s">
        <v>9609</v>
      </c>
      <c r="F737" s="129">
        <v>100</v>
      </c>
      <c r="G737" s="129">
        <v>9000</v>
      </c>
      <c r="H737" s="512">
        <v>3.93</v>
      </c>
      <c r="I737" s="265" t="s">
        <v>359</v>
      </c>
      <c r="J737" s="265" t="s">
        <v>102</v>
      </c>
      <c r="K737" s="265" t="s">
        <v>9610</v>
      </c>
      <c r="L737" s="265" t="s">
        <v>9611</v>
      </c>
      <c r="M737" s="265" t="s">
        <v>9612</v>
      </c>
      <c r="N737" s="347">
        <v>9.0999999999999998E-2</v>
      </c>
      <c r="O737" s="348">
        <v>10</v>
      </c>
      <c r="P737" s="348">
        <v>10.199999999999999</v>
      </c>
      <c r="Q737" s="348">
        <v>0.8</v>
      </c>
    </row>
    <row r="738" spans="1:17" ht="15" hidden="1" customHeight="1">
      <c r="A738" s="163">
        <v>731</v>
      </c>
      <c r="B738" s="53" t="s">
        <v>10</v>
      </c>
      <c r="C738" s="53" t="s">
        <v>9613</v>
      </c>
      <c r="D738" s="53">
        <v>100023146</v>
      </c>
      <c r="E738" s="55" t="s">
        <v>9614</v>
      </c>
      <c r="F738" s="129">
        <v>45</v>
      </c>
      <c r="G738" s="129">
        <v>5400</v>
      </c>
      <c r="H738" s="512">
        <v>7.57</v>
      </c>
      <c r="I738" s="265" t="s">
        <v>359</v>
      </c>
      <c r="J738" s="265" t="s">
        <v>102</v>
      </c>
      <c r="K738" s="265" t="s">
        <v>9615</v>
      </c>
      <c r="L738" s="348" t="s">
        <v>1205</v>
      </c>
      <c r="M738" s="265" t="s">
        <v>9616</v>
      </c>
      <c r="N738" s="347">
        <v>0.15</v>
      </c>
      <c r="O738" s="348" t="s">
        <v>1205</v>
      </c>
      <c r="P738" s="348">
        <v>7.62</v>
      </c>
      <c r="Q738" s="348">
        <v>0.65</v>
      </c>
    </row>
    <row r="739" spans="1:17" ht="15" hidden="1" customHeight="1">
      <c r="A739" s="163">
        <v>732</v>
      </c>
      <c r="B739" s="53" t="s">
        <v>10</v>
      </c>
      <c r="C739" s="53" t="s">
        <v>9617</v>
      </c>
      <c r="D739" s="53">
        <v>100023150</v>
      </c>
      <c r="E739" s="55" t="s">
        <v>9618</v>
      </c>
      <c r="F739" s="129">
        <v>25</v>
      </c>
      <c r="G739" s="129">
        <v>3000</v>
      </c>
      <c r="H739" s="512">
        <v>14.25</v>
      </c>
      <c r="I739" s="265" t="s">
        <v>76</v>
      </c>
      <c r="J739" s="265" t="s">
        <v>102</v>
      </c>
      <c r="K739" s="265" t="s">
        <v>9619</v>
      </c>
      <c r="L739" s="348" t="s">
        <v>1205</v>
      </c>
      <c r="M739" s="265" t="s">
        <v>9620</v>
      </c>
      <c r="N739" s="347">
        <v>0.28399999999999997</v>
      </c>
      <c r="O739" s="348" t="s">
        <v>1205</v>
      </c>
      <c r="P739" s="348">
        <v>7.24</v>
      </c>
      <c r="Q739" s="348">
        <v>0.65</v>
      </c>
    </row>
    <row r="740" spans="1:17" ht="15" hidden="1" customHeight="1">
      <c r="A740" s="163">
        <v>733</v>
      </c>
      <c r="B740" s="53" t="s">
        <v>10</v>
      </c>
      <c r="C740" s="53" t="s">
        <v>9621</v>
      </c>
      <c r="D740" s="53">
        <v>100023155</v>
      </c>
      <c r="E740" s="55" t="s">
        <v>9622</v>
      </c>
      <c r="F740" s="129">
        <v>5</v>
      </c>
      <c r="G740" s="129">
        <v>600</v>
      </c>
      <c r="H740" s="512">
        <v>110.69</v>
      </c>
      <c r="I740" s="265" t="s">
        <v>76</v>
      </c>
      <c r="J740" s="265" t="s">
        <v>102</v>
      </c>
      <c r="K740" s="265" t="s">
        <v>9623</v>
      </c>
      <c r="L740" s="348" t="s">
        <v>1205</v>
      </c>
      <c r="M740" s="265" t="s">
        <v>9624</v>
      </c>
      <c r="N740" s="347">
        <v>1.169</v>
      </c>
      <c r="O740" s="348" t="s">
        <v>1205</v>
      </c>
      <c r="P740" s="348">
        <v>6.77</v>
      </c>
      <c r="Q740" s="348">
        <v>0.65</v>
      </c>
    </row>
    <row r="741" spans="1:17" ht="15" hidden="1" customHeight="1">
      <c r="A741" s="163">
        <v>734</v>
      </c>
      <c r="B741" s="53" t="s">
        <v>10</v>
      </c>
      <c r="C741" s="53" t="s">
        <v>9625</v>
      </c>
      <c r="D741" s="53">
        <v>100023157</v>
      </c>
      <c r="E741" s="55" t="s">
        <v>9626</v>
      </c>
      <c r="F741" s="129">
        <v>3</v>
      </c>
      <c r="G741" s="129">
        <v>270</v>
      </c>
      <c r="H741" s="512">
        <v>184.38</v>
      </c>
      <c r="I741" s="265" t="s">
        <v>76</v>
      </c>
      <c r="J741" s="265" t="s">
        <v>102</v>
      </c>
      <c r="K741" s="265" t="s">
        <v>9627</v>
      </c>
      <c r="L741" s="348" t="s">
        <v>1205</v>
      </c>
      <c r="M741" s="265" t="s">
        <v>9628</v>
      </c>
      <c r="N741" s="347">
        <v>2.0070000000000001</v>
      </c>
      <c r="O741" s="348" t="s">
        <v>1205</v>
      </c>
      <c r="P741" s="348">
        <v>6.18</v>
      </c>
      <c r="Q741" s="348">
        <v>0.8</v>
      </c>
    </row>
    <row r="742" spans="1:17" ht="15" hidden="1" customHeight="1">
      <c r="A742" s="163">
        <v>735</v>
      </c>
      <c r="B742" s="53" t="s">
        <v>10</v>
      </c>
      <c r="C742" s="53" t="s">
        <v>9629</v>
      </c>
      <c r="D742" s="53">
        <v>100023159</v>
      </c>
      <c r="E742" s="55" t="s">
        <v>9630</v>
      </c>
      <c r="F742" s="129">
        <v>70</v>
      </c>
      <c r="G742" s="129">
        <v>8400</v>
      </c>
      <c r="H742" s="512">
        <v>7.57</v>
      </c>
      <c r="I742" s="265" t="s">
        <v>76</v>
      </c>
      <c r="J742" s="265" t="s">
        <v>102</v>
      </c>
      <c r="K742" s="265" t="s">
        <v>9631</v>
      </c>
      <c r="L742" s="348" t="s">
        <v>1205</v>
      </c>
      <c r="M742" s="265" t="s">
        <v>9632</v>
      </c>
      <c r="N742" s="347">
        <v>9.7000000000000003E-2</v>
      </c>
      <c r="O742" s="348" t="s">
        <v>1205</v>
      </c>
      <c r="P742" s="348">
        <v>7.66</v>
      </c>
      <c r="Q742" s="348">
        <v>0.65</v>
      </c>
    </row>
    <row r="743" spans="1:17" ht="15" hidden="1" customHeight="1">
      <c r="A743" s="163">
        <v>736</v>
      </c>
      <c r="B743" s="53" t="s">
        <v>10</v>
      </c>
      <c r="C743" s="53" t="s">
        <v>9633</v>
      </c>
      <c r="D743" s="53">
        <v>100023165</v>
      </c>
      <c r="E743" s="55" t="s">
        <v>9634</v>
      </c>
      <c r="F743" s="129">
        <v>125</v>
      </c>
      <c r="G743" s="129">
        <v>15000</v>
      </c>
      <c r="H743" s="512">
        <v>6.11</v>
      </c>
      <c r="I743" s="265" t="s">
        <v>359</v>
      </c>
      <c r="J743" s="265" t="s">
        <v>102</v>
      </c>
      <c r="K743" s="265" t="s">
        <v>9635</v>
      </c>
      <c r="L743" s="348" t="s">
        <v>1205</v>
      </c>
      <c r="M743" s="265" t="s">
        <v>9636</v>
      </c>
      <c r="N743" s="347">
        <v>6.7000000000000004E-2</v>
      </c>
      <c r="O743" s="348" t="s">
        <v>1205</v>
      </c>
      <c r="P743" s="348">
        <v>9.32</v>
      </c>
      <c r="Q743" s="348">
        <v>0.65</v>
      </c>
    </row>
    <row r="744" spans="1:17" ht="15" hidden="1" customHeight="1">
      <c r="A744" s="163">
        <v>737</v>
      </c>
      <c r="B744" s="53" t="s">
        <v>10</v>
      </c>
      <c r="C744" s="53" t="s">
        <v>9637</v>
      </c>
      <c r="D744" s="53">
        <v>100023167</v>
      </c>
      <c r="E744" s="55" t="s">
        <v>9638</v>
      </c>
      <c r="F744" s="129">
        <v>70</v>
      </c>
      <c r="G744" s="129">
        <v>8400</v>
      </c>
      <c r="H744" s="512">
        <v>11</v>
      </c>
      <c r="I744" s="265" t="s">
        <v>76</v>
      </c>
      <c r="J744" s="265" t="s">
        <v>102</v>
      </c>
      <c r="K744" s="265" t="s">
        <v>9639</v>
      </c>
      <c r="L744" s="348" t="s">
        <v>1205</v>
      </c>
      <c r="M744" s="265" t="s">
        <v>9640</v>
      </c>
      <c r="N744" s="347">
        <v>0.10299999999999999</v>
      </c>
      <c r="O744" s="348" t="s">
        <v>1205</v>
      </c>
      <c r="P744" s="348">
        <v>7.92</v>
      </c>
      <c r="Q744" s="348">
        <v>0.65</v>
      </c>
    </row>
    <row r="745" spans="1:17" ht="15" hidden="1" customHeight="1">
      <c r="A745" s="163">
        <v>738</v>
      </c>
      <c r="B745" s="53" t="s">
        <v>10</v>
      </c>
      <c r="C745" s="53" t="s">
        <v>9641</v>
      </c>
      <c r="D745" s="53">
        <v>100023170</v>
      </c>
      <c r="E745" s="55" t="s">
        <v>9642</v>
      </c>
      <c r="F745" s="129">
        <v>50</v>
      </c>
      <c r="G745" s="129">
        <v>6000</v>
      </c>
      <c r="H745" s="512">
        <v>8.5</v>
      </c>
      <c r="I745" s="265" t="s">
        <v>359</v>
      </c>
      <c r="J745" s="265" t="s">
        <v>102</v>
      </c>
      <c r="K745" s="265" t="s">
        <v>9643</v>
      </c>
      <c r="L745" s="265" t="s">
        <v>9644</v>
      </c>
      <c r="M745" s="265" t="s">
        <v>9645</v>
      </c>
      <c r="N745" s="347">
        <v>0.14899999999999999</v>
      </c>
      <c r="O745" s="348">
        <v>10</v>
      </c>
      <c r="P745" s="348">
        <v>8.44</v>
      </c>
      <c r="Q745" s="348">
        <v>0.65</v>
      </c>
    </row>
    <row r="746" spans="1:17" ht="15" hidden="1" customHeight="1">
      <c r="A746" s="163">
        <v>739</v>
      </c>
      <c r="B746" s="53" t="s">
        <v>10</v>
      </c>
      <c r="C746" s="53" t="s">
        <v>9646</v>
      </c>
      <c r="D746" s="53">
        <v>100023172</v>
      </c>
      <c r="E746" s="55" t="s">
        <v>9647</v>
      </c>
      <c r="F746" s="129">
        <v>25</v>
      </c>
      <c r="G746" s="129">
        <v>3750</v>
      </c>
      <c r="H746" s="512">
        <v>14.13</v>
      </c>
      <c r="I746" s="265" t="s">
        <v>359</v>
      </c>
      <c r="J746" s="265" t="s">
        <v>102</v>
      </c>
      <c r="K746" s="265" t="s">
        <v>9648</v>
      </c>
      <c r="L746" s="265" t="s">
        <v>9649</v>
      </c>
      <c r="M746" s="265" t="s">
        <v>9650</v>
      </c>
      <c r="N746" s="347">
        <v>0.22600000000000001</v>
      </c>
      <c r="O746" s="348">
        <v>5</v>
      </c>
      <c r="P746" s="348">
        <v>4.9000000000000004</v>
      </c>
      <c r="Q746" s="348">
        <v>0.5</v>
      </c>
    </row>
    <row r="747" spans="1:17" ht="15" hidden="1" customHeight="1">
      <c r="A747" s="163">
        <v>740</v>
      </c>
      <c r="B747" s="53" t="s">
        <v>10</v>
      </c>
      <c r="C747" s="53" t="s">
        <v>9651</v>
      </c>
      <c r="D747" s="53">
        <v>100026390</v>
      </c>
      <c r="E747" s="55" t="s">
        <v>9652</v>
      </c>
      <c r="F747" s="129">
        <v>50</v>
      </c>
      <c r="G747" s="129">
        <v>3750</v>
      </c>
      <c r="H747" s="512">
        <v>16.7</v>
      </c>
      <c r="I747" s="265" t="s">
        <v>76</v>
      </c>
      <c r="J747" s="265" t="s">
        <v>102</v>
      </c>
      <c r="K747" s="265" t="s">
        <v>9653</v>
      </c>
      <c r="L747" s="265" t="s">
        <v>9654</v>
      </c>
      <c r="M747" s="265" t="s">
        <v>9655</v>
      </c>
      <c r="N747" s="347">
        <v>0.23</v>
      </c>
      <c r="O747" s="348">
        <v>10</v>
      </c>
      <c r="P747" s="348">
        <v>12.73</v>
      </c>
      <c r="Q747" s="348">
        <v>0.95</v>
      </c>
    </row>
    <row r="748" spans="1:17" ht="15" hidden="1" customHeight="1">
      <c r="A748" s="163">
        <v>741</v>
      </c>
      <c r="B748" s="53" t="s">
        <v>10</v>
      </c>
      <c r="C748" s="53" t="s">
        <v>9656</v>
      </c>
      <c r="D748" s="53">
        <v>100026391</v>
      </c>
      <c r="E748" s="55" t="s">
        <v>9657</v>
      </c>
      <c r="F748" s="129">
        <v>50</v>
      </c>
      <c r="G748" s="129">
        <v>3750</v>
      </c>
      <c r="H748" s="512">
        <v>16.7</v>
      </c>
      <c r="I748" s="265" t="s">
        <v>76</v>
      </c>
      <c r="J748" s="265" t="s">
        <v>102</v>
      </c>
      <c r="K748" s="265" t="s">
        <v>9658</v>
      </c>
      <c r="L748" s="265" t="s">
        <v>9659</v>
      </c>
      <c r="M748" s="265" t="s">
        <v>9660</v>
      </c>
      <c r="N748" s="347">
        <v>0.245</v>
      </c>
      <c r="O748" s="348">
        <v>10</v>
      </c>
      <c r="P748" s="348">
        <v>12.26</v>
      </c>
      <c r="Q748" s="348">
        <v>0.95</v>
      </c>
    </row>
    <row r="749" spans="1:17" ht="15" hidden="1" customHeight="1">
      <c r="A749" s="163">
        <v>742</v>
      </c>
      <c r="B749" s="53" t="s">
        <v>10</v>
      </c>
      <c r="C749" s="53" t="s">
        <v>9661</v>
      </c>
      <c r="D749" s="53">
        <v>100026392</v>
      </c>
      <c r="E749" s="55" t="s">
        <v>9662</v>
      </c>
      <c r="F749" s="129">
        <v>50</v>
      </c>
      <c r="G749" s="129">
        <v>3750</v>
      </c>
      <c r="H749" s="512">
        <v>15.5</v>
      </c>
      <c r="I749" s="265" t="s">
        <v>76</v>
      </c>
      <c r="J749" s="265" t="s">
        <v>102</v>
      </c>
      <c r="K749" s="265" t="s">
        <v>9663</v>
      </c>
      <c r="L749" s="265" t="s">
        <v>9664</v>
      </c>
      <c r="M749" s="265" t="s">
        <v>9665</v>
      </c>
      <c r="N749" s="347">
        <v>0.26100000000000001</v>
      </c>
      <c r="O749" s="348">
        <v>10</v>
      </c>
      <c r="P749" s="348">
        <v>13.66</v>
      </c>
      <c r="Q749" s="348">
        <v>0.95</v>
      </c>
    </row>
    <row r="750" spans="1:17" ht="15" hidden="1" customHeight="1">
      <c r="A750" s="163">
        <v>743</v>
      </c>
      <c r="B750" s="53" t="s">
        <v>10</v>
      </c>
      <c r="C750" s="53" t="s">
        <v>9666</v>
      </c>
      <c r="D750" s="53">
        <v>100023174</v>
      </c>
      <c r="E750" s="55" t="s">
        <v>9667</v>
      </c>
      <c r="F750" s="129">
        <v>8</v>
      </c>
      <c r="G750" s="129">
        <v>960</v>
      </c>
      <c r="H750" s="512">
        <v>88.63</v>
      </c>
      <c r="I750" s="265" t="s">
        <v>76</v>
      </c>
      <c r="J750" s="265" t="s">
        <v>102</v>
      </c>
      <c r="K750" s="265" t="s">
        <v>9668</v>
      </c>
      <c r="L750" s="348" t="s">
        <v>1205</v>
      </c>
      <c r="M750" s="265" t="s">
        <v>9669</v>
      </c>
      <c r="N750" s="347">
        <v>1.133</v>
      </c>
      <c r="O750" s="348" t="s">
        <v>1205</v>
      </c>
      <c r="P750" s="348">
        <v>9.84</v>
      </c>
      <c r="Q750" s="348">
        <v>0.65</v>
      </c>
    </row>
    <row r="751" spans="1:17" ht="15" hidden="1" customHeight="1">
      <c r="A751" s="163">
        <v>744</v>
      </c>
      <c r="B751" s="53" t="s">
        <v>10</v>
      </c>
      <c r="C751" s="53" t="s">
        <v>9670</v>
      </c>
      <c r="D751" s="53">
        <v>100023176</v>
      </c>
      <c r="E751" s="55" t="s">
        <v>9671</v>
      </c>
      <c r="F751" s="129">
        <v>2</v>
      </c>
      <c r="G751" s="129">
        <v>150</v>
      </c>
      <c r="H751" s="512">
        <v>281.55</v>
      </c>
      <c r="I751" s="265" t="s">
        <v>76</v>
      </c>
      <c r="J751" s="265" t="s">
        <v>102</v>
      </c>
      <c r="K751" s="265" t="s">
        <v>9672</v>
      </c>
      <c r="L751" s="348" t="s">
        <v>1205</v>
      </c>
      <c r="M751" s="265" t="s">
        <v>9673</v>
      </c>
      <c r="N751" s="347">
        <v>5.13</v>
      </c>
      <c r="O751" s="348" t="s">
        <v>1205</v>
      </c>
      <c r="P751" s="348">
        <v>11.05</v>
      </c>
      <c r="Q751" s="348">
        <v>1.1000000000000001</v>
      </c>
    </row>
    <row r="752" spans="1:17" ht="15" hidden="1" customHeight="1">
      <c r="A752" s="163">
        <v>745</v>
      </c>
      <c r="B752" s="53" t="s">
        <v>10</v>
      </c>
      <c r="C752" s="53" t="s">
        <v>9674</v>
      </c>
      <c r="D752" s="53">
        <v>100023177</v>
      </c>
      <c r="E752" s="55" t="s">
        <v>9675</v>
      </c>
      <c r="F752" s="129">
        <v>1</v>
      </c>
      <c r="G752" s="129">
        <v>60</v>
      </c>
      <c r="H752" s="512">
        <v>595.70000000000005</v>
      </c>
      <c r="I752" s="265" t="s">
        <v>359</v>
      </c>
      <c r="J752" s="265" t="s">
        <v>102</v>
      </c>
      <c r="K752" s="265" t="s">
        <v>9676</v>
      </c>
      <c r="L752" s="348" t="s">
        <v>1205</v>
      </c>
      <c r="M752" s="265" t="s">
        <v>9677</v>
      </c>
      <c r="N752" s="347">
        <v>13.134</v>
      </c>
      <c r="O752" s="348" t="s">
        <v>1205</v>
      </c>
      <c r="P752" s="348">
        <v>12.9</v>
      </c>
      <c r="Q752" s="348">
        <v>1.25</v>
      </c>
    </row>
    <row r="753" spans="1:17" ht="15" hidden="1" customHeight="1">
      <c r="A753" s="163">
        <v>746</v>
      </c>
      <c r="B753" s="53" t="s">
        <v>10</v>
      </c>
      <c r="C753" s="53" t="s">
        <v>9678</v>
      </c>
      <c r="D753" s="53">
        <v>100023181</v>
      </c>
      <c r="E753" s="55" t="s">
        <v>9679</v>
      </c>
      <c r="F753" s="129">
        <v>250</v>
      </c>
      <c r="G753" s="129">
        <v>30000</v>
      </c>
      <c r="H753" s="512">
        <v>2.37</v>
      </c>
      <c r="I753" s="265" t="s">
        <v>359</v>
      </c>
      <c r="J753" s="265" t="s">
        <v>102</v>
      </c>
      <c r="K753" s="265" t="s">
        <v>9680</v>
      </c>
      <c r="L753" s="265" t="s">
        <v>9681</v>
      </c>
      <c r="M753" s="265" t="s">
        <v>9682</v>
      </c>
      <c r="N753" s="347">
        <v>4.4999999999999998E-2</v>
      </c>
      <c r="O753" s="348">
        <v>10</v>
      </c>
      <c r="P753" s="348">
        <v>12.91</v>
      </c>
      <c r="Q753" s="348">
        <v>0.65</v>
      </c>
    </row>
    <row r="754" spans="1:17" ht="15" hidden="1" customHeight="1">
      <c r="A754" s="163">
        <v>747</v>
      </c>
      <c r="B754" s="53" t="s">
        <v>10</v>
      </c>
      <c r="C754" s="53" t="s">
        <v>9683</v>
      </c>
      <c r="D754" s="53">
        <v>100023183</v>
      </c>
      <c r="E754" s="55" t="s">
        <v>9684</v>
      </c>
      <c r="F754" s="129">
        <v>100</v>
      </c>
      <c r="G754" s="129">
        <v>15000</v>
      </c>
      <c r="H754" s="512">
        <v>3.74</v>
      </c>
      <c r="I754" s="265" t="s">
        <v>359</v>
      </c>
      <c r="J754" s="265" t="s">
        <v>102</v>
      </c>
      <c r="K754" s="265" t="s">
        <v>9685</v>
      </c>
      <c r="L754" s="265" t="s">
        <v>9686</v>
      </c>
      <c r="M754" s="265" t="s">
        <v>9687</v>
      </c>
      <c r="N754" s="347">
        <v>7.8E-2</v>
      </c>
      <c r="O754" s="348">
        <v>10</v>
      </c>
      <c r="P754" s="348">
        <v>8.74</v>
      </c>
      <c r="Q754" s="348">
        <v>0.5</v>
      </c>
    </row>
    <row r="755" spans="1:17" ht="15" hidden="1" customHeight="1">
      <c r="A755" s="163">
        <v>748</v>
      </c>
      <c r="B755" s="53" t="s">
        <v>10</v>
      </c>
      <c r="C755" s="53" t="s">
        <v>9688</v>
      </c>
      <c r="D755" s="53">
        <v>100023189</v>
      </c>
      <c r="E755" s="55" t="s">
        <v>9689</v>
      </c>
      <c r="F755" s="129">
        <v>25</v>
      </c>
      <c r="G755" s="129">
        <v>3750</v>
      </c>
      <c r="H755" s="512">
        <v>9.5</v>
      </c>
      <c r="I755" s="265" t="s">
        <v>359</v>
      </c>
      <c r="J755" s="265" t="s">
        <v>102</v>
      </c>
      <c r="K755" s="265" t="s">
        <v>9690</v>
      </c>
      <c r="L755" s="348" t="s">
        <v>1205</v>
      </c>
      <c r="M755" s="265" t="s">
        <v>9691</v>
      </c>
      <c r="N755" s="347">
        <v>0.20300000000000001</v>
      </c>
      <c r="O755" s="348" t="s">
        <v>1205</v>
      </c>
      <c r="P755" s="348">
        <v>5.04</v>
      </c>
      <c r="Q755" s="348">
        <v>0.5</v>
      </c>
    </row>
    <row r="756" spans="1:17" ht="15" hidden="1" customHeight="1">
      <c r="A756" s="163">
        <v>749</v>
      </c>
      <c r="B756" s="53" t="s">
        <v>10</v>
      </c>
      <c r="C756" s="53" t="s">
        <v>9692</v>
      </c>
      <c r="D756" s="53">
        <v>100023193</v>
      </c>
      <c r="E756" s="55" t="s">
        <v>9693</v>
      </c>
      <c r="F756" s="129">
        <v>6</v>
      </c>
      <c r="G756" s="129">
        <v>540</v>
      </c>
      <c r="H756" s="512">
        <v>53.54</v>
      </c>
      <c r="I756" s="265" t="s">
        <v>359</v>
      </c>
      <c r="J756" s="265" t="s">
        <v>102</v>
      </c>
      <c r="K756" s="265" t="s">
        <v>9694</v>
      </c>
      <c r="L756" s="348" t="s">
        <v>1205</v>
      </c>
      <c r="M756" s="265" t="s">
        <v>9695</v>
      </c>
      <c r="N756" s="347">
        <v>0.83399999999999996</v>
      </c>
      <c r="O756" s="348" t="s">
        <v>1205</v>
      </c>
      <c r="P756" s="348">
        <v>7.19</v>
      </c>
      <c r="Q756" s="348">
        <v>0.8</v>
      </c>
    </row>
    <row r="757" spans="1:17" ht="15" hidden="1" customHeight="1">
      <c r="A757" s="163">
        <v>750</v>
      </c>
      <c r="B757" s="53" t="s">
        <v>10</v>
      </c>
      <c r="C757" s="53" t="s">
        <v>9696</v>
      </c>
      <c r="D757" s="53">
        <v>100023196</v>
      </c>
      <c r="E757" s="55" t="s">
        <v>9697</v>
      </c>
      <c r="F757" s="129">
        <v>15</v>
      </c>
      <c r="G757" s="129">
        <v>2250</v>
      </c>
      <c r="H757" s="512">
        <v>16.100000000000001</v>
      </c>
      <c r="I757" s="265" t="s">
        <v>76</v>
      </c>
      <c r="J757" s="265" t="s">
        <v>102</v>
      </c>
      <c r="K757" s="265" t="s">
        <v>9698</v>
      </c>
      <c r="L757" s="348" t="s">
        <v>1205</v>
      </c>
      <c r="M757" s="265" t="s">
        <v>9699</v>
      </c>
      <c r="N757" s="347">
        <v>0.42799999999999999</v>
      </c>
      <c r="O757" s="348" t="s">
        <v>1205</v>
      </c>
      <c r="P757" s="348">
        <v>7.26</v>
      </c>
      <c r="Q757" s="348">
        <v>0.5</v>
      </c>
    </row>
    <row r="758" spans="1:17" ht="15" hidden="1" customHeight="1">
      <c r="A758" s="163">
        <v>751</v>
      </c>
      <c r="B758" s="53" t="s">
        <v>10</v>
      </c>
      <c r="C758" s="53" t="s">
        <v>9700</v>
      </c>
      <c r="D758" s="53">
        <v>100023198</v>
      </c>
      <c r="E758" s="55" t="s">
        <v>9701</v>
      </c>
      <c r="F758" s="129">
        <v>8</v>
      </c>
      <c r="G758" s="129">
        <v>960</v>
      </c>
      <c r="H758" s="512">
        <v>31.17</v>
      </c>
      <c r="I758" s="265" t="s">
        <v>76</v>
      </c>
      <c r="J758" s="265" t="s">
        <v>102</v>
      </c>
      <c r="K758" s="265" t="s">
        <v>9702</v>
      </c>
      <c r="L758" s="348" t="s">
        <v>1205</v>
      </c>
      <c r="M758" s="265" t="s">
        <v>9703</v>
      </c>
      <c r="N758" s="347">
        <v>1.22</v>
      </c>
      <c r="O758" s="348" t="s">
        <v>1205</v>
      </c>
      <c r="P758" s="348">
        <v>10.74</v>
      </c>
      <c r="Q758" s="348">
        <v>0.65</v>
      </c>
    </row>
    <row r="759" spans="1:17" ht="15" hidden="1" customHeight="1">
      <c r="A759" s="163">
        <v>752</v>
      </c>
      <c r="B759" s="53" t="s">
        <v>10</v>
      </c>
      <c r="C759" s="53" t="s">
        <v>9704</v>
      </c>
      <c r="D759" s="53">
        <v>100023199</v>
      </c>
      <c r="E759" s="55" t="s">
        <v>9705</v>
      </c>
      <c r="F759" s="129">
        <v>6</v>
      </c>
      <c r="G759" s="129">
        <v>540</v>
      </c>
      <c r="H759" s="512">
        <v>62.6</v>
      </c>
      <c r="I759" s="265" t="s">
        <v>76</v>
      </c>
      <c r="J759" s="265" t="s">
        <v>102</v>
      </c>
      <c r="K759" s="265" t="s">
        <v>9706</v>
      </c>
      <c r="L759" s="348" t="s">
        <v>1205</v>
      </c>
      <c r="M759" s="265" t="s">
        <v>9707</v>
      </c>
      <c r="N759" s="347">
        <v>1.7130000000000001</v>
      </c>
      <c r="O759" s="348" t="s">
        <v>1205</v>
      </c>
      <c r="P759" s="348">
        <v>11.31</v>
      </c>
      <c r="Q759" s="348">
        <v>0.8</v>
      </c>
    </row>
    <row r="760" spans="1:17" ht="15" customHeight="1">
      <c r="A760" s="163">
        <v>753</v>
      </c>
      <c r="B760" s="53" t="s">
        <v>10</v>
      </c>
      <c r="C760" s="53" t="s">
        <v>9708</v>
      </c>
      <c r="D760" s="53">
        <v>300006192</v>
      </c>
      <c r="E760" s="55" t="s">
        <v>9709</v>
      </c>
      <c r="F760" s="129">
        <v>50</v>
      </c>
      <c r="G760" s="129">
        <v>3000</v>
      </c>
      <c r="H760" s="512">
        <v>16.7</v>
      </c>
      <c r="I760" s="265" t="s">
        <v>1693</v>
      </c>
      <c r="J760" s="265" t="s">
        <v>77</v>
      </c>
      <c r="K760" s="265">
        <v>0</v>
      </c>
      <c r="L760" s="348" t="s">
        <v>1205</v>
      </c>
      <c r="M760" s="265">
        <v>0</v>
      </c>
      <c r="N760" s="347">
        <v>0.247</v>
      </c>
      <c r="O760" s="348" t="s">
        <v>1205</v>
      </c>
      <c r="P760" s="348" t="s">
        <v>1205</v>
      </c>
      <c r="Q760" s="348" t="s">
        <v>1205</v>
      </c>
    </row>
    <row r="761" spans="1:17" ht="15" hidden="1" customHeight="1">
      <c r="A761" s="163">
        <v>754</v>
      </c>
      <c r="B761" s="53" t="s">
        <v>10</v>
      </c>
      <c r="C761" s="53" t="s">
        <v>9710</v>
      </c>
      <c r="D761" s="53">
        <v>300005951</v>
      </c>
      <c r="E761" s="55" t="s">
        <v>9711</v>
      </c>
      <c r="F761" s="129">
        <v>50</v>
      </c>
      <c r="G761" s="129">
        <v>3000</v>
      </c>
      <c r="H761" s="512">
        <v>16.7</v>
      </c>
      <c r="I761" s="265" t="s">
        <v>359</v>
      </c>
      <c r="J761" s="265" t="s">
        <v>77</v>
      </c>
      <c r="K761" s="265" t="s">
        <v>9712</v>
      </c>
      <c r="L761" s="348" t="s">
        <v>1205</v>
      </c>
      <c r="M761" s="265">
        <v>0</v>
      </c>
      <c r="N761" s="347">
        <v>0.247</v>
      </c>
      <c r="O761" s="348" t="s">
        <v>1205</v>
      </c>
      <c r="P761" s="348" t="s">
        <v>1205</v>
      </c>
      <c r="Q761" s="348" t="s">
        <v>1205</v>
      </c>
    </row>
    <row r="762" spans="1:17" ht="15" hidden="1" customHeight="1">
      <c r="A762" s="163">
        <v>755</v>
      </c>
      <c r="B762" s="53" t="s">
        <v>14</v>
      </c>
      <c r="C762" s="53" t="s">
        <v>9713</v>
      </c>
      <c r="D762" s="53">
        <v>100022263</v>
      </c>
      <c r="E762" s="55" t="s">
        <v>9714</v>
      </c>
      <c r="F762" s="129">
        <v>1</v>
      </c>
      <c r="G762" s="129">
        <v>18</v>
      </c>
      <c r="H762" s="512">
        <v>2381</v>
      </c>
      <c r="I762" s="265" t="s">
        <v>76</v>
      </c>
      <c r="J762" s="265" t="s">
        <v>102</v>
      </c>
      <c r="K762" s="265" t="s">
        <v>9715</v>
      </c>
      <c r="L762" s="348" t="s">
        <v>1205</v>
      </c>
      <c r="M762" s="265" t="s">
        <v>9716</v>
      </c>
      <c r="N762" s="347">
        <v>21.742000000000001</v>
      </c>
      <c r="O762" s="348" t="s">
        <v>1205</v>
      </c>
      <c r="P762" s="348">
        <v>23.15</v>
      </c>
      <c r="Q762" s="348">
        <v>2.65</v>
      </c>
    </row>
    <row r="763" spans="1:17" ht="15" hidden="1" customHeight="1">
      <c r="A763" s="163">
        <v>756</v>
      </c>
      <c r="B763" s="53" t="s">
        <v>14</v>
      </c>
      <c r="C763" s="53" t="s">
        <v>9717</v>
      </c>
      <c r="D763" s="53">
        <v>100022264</v>
      </c>
      <c r="E763" s="55" t="s">
        <v>9718</v>
      </c>
      <c r="F763" s="129">
        <v>1</v>
      </c>
      <c r="G763" s="129">
        <v>18</v>
      </c>
      <c r="H763" s="512">
        <v>3517.96</v>
      </c>
      <c r="I763" s="265" t="s">
        <v>76</v>
      </c>
      <c r="J763" s="265" t="s">
        <v>102</v>
      </c>
      <c r="K763" s="265" t="s">
        <v>9719</v>
      </c>
      <c r="L763" s="348" t="s">
        <v>1205</v>
      </c>
      <c r="M763" s="265" t="s">
        <v>9720</v>
      </c>
      <c r="N763" s="347">
        <v>37</v>
      </c>
      <c r="O763" s="348" t="s">
        <v>1205</v>
      </c>
      <c r="P763" s="348">
        <v>38.590000000000003</v>
      </c>
      <c r="Q763" s="348">
        <v>4.38</v>
      </c>
    </row>
    <row r="764" spans="1:17" ht="15" hidden="1" customHeight="1">
      <c r="A764" s="163">
        <v>757</v>
      </c>
      <c r="B764" s="53" t="s">
        <v>14</v>
      </c>
      <c r="C764" s="53" t="s">
        <v>9721</v>
      </c>
      <c r="D764" s="53">
        <v>100022266</v>
      </c>
      <c r="E764" s="55" t="s">
        <v>9722</v>
      </c>
      <c r="F764" s="129">
        <v>1</v>
      </c>
      <c r="G764" s="129">
        <v>18</v>
      </c>
      <c r="H764" s="512">
        <v>1912.65</v>
      </c>
      <c r="I764" s="265" t="s">
        <v>76</v>
      </c>
      <c r="J764" s="265" t="s">
        <v>102</v>
      </c>
      <c r="K764" s="265" t="s">
        <v>9723</v>
      </c>
      <c r="L764" s="348" t="s">
        <v>1205</v>
      </c>
      <c r="M764" s="265" t="s">
        <v>9724</v>
      </c>
      <c r="N764" s="347">
        <v>16.251999999999999</v>
      </c>
      <c r="O764" s="348" t="s">
        <v>1205</v>
      </c>
      <c r="P764" s="348">
        <v>17.86</v>
      </c>
      <c r="Q764" s="348">
        <v>2.65</v>
      </c>
    </row>
    <row r="765" spans="1:17" ht="15" hidden="1" customHeight="1">
      <c r="A765" s="163">
        <v>758</v>
      </c>
      <c r="B765" s="53" t="s">
        <v>14</v>
      </c>
      <c r="C765" s="53" t="s">
        <v>9725</v>
      </c>
      <c r="D765" s="53">
        <v>100022267</v>
      </c>
      <c r="E765" s="55" t="s">
        <v>9726</v>
      </c>
      <c r="F765" s="129">
        <v>1</v>
      </c>
      <c r="G765" s="129">
        <v>18</v>
      </c>
      <c r="H765" s="512">
        <v>2565.25</v>
      </c>
      <c r="I765" s="265" t="s">
        <v>76</v>
      </c>
      <c r="J765" s="265" t="s">
        <v>102</v>
      </c>
      <c r="K765" s="265" t="s">
        <v>9727</v>
      </c>
      <c r="L765" s="348" t="s">
        <v>1205</v>
      </c>
      <c r="M765" s="265" t="s">
        <v>9728</v>
      </c>
      <c r="N765" s="347">
        <v>24.844000000000001</v>
      </c>
      <c r="O765" s="348" t="s">
        <v>1205</v>
      </c>
      <c r="P765" s="348">
        <v>26.72</v>
      </c>
      <c r="Q765" s="348">
        <v>4.38</v>
      </c>
    </row>
    <row r="766" spans="1:17" ht="15" hidden="1" customHeight="1">
      <c r="A766" s="163">
        <v>759</v>
      </c>
      <c r="B766" s="53" t="s">
        <v>14</v>
      </c>
      <c r="C766" s="53" t="s">
        <v>9729</v>
      </c>
      <c r="D766" s="53">
        <v>100022268</v>
      </c>
      <c r="E766" s="55" t="s">
        <v>9730</v>
      </c>
      <c r="F766" s="129">
        <v>1</v>
      </c>
      <c r="G766" s="129">
        <v>18</v>
      </c>
      <c r="H766" s="512">
        <v>1249.53</v>
      </c>
      <c r="I766" s="265" t="s">
        <v>76</v>
      </c>
      <c r="J766" s="265" t="s">
        <v>102</v>
      </c>
      <c r="K766" s="265" t="s">
        <v>9731</v>
      </c>
      <c r="L766" s="348" t="s">
        <v>1205</v>
      </c>
      <c r="M766" s="265" t="s">
        <v>9732</v>
      </c>
      <c r="N766" s="347">
        <v>11.992000000000001</v>
      </c>
      <c r="O766" s="348" t="s">
        <v>1205</v>
      </c>
      <c r="P766" s="348">
        <v>13.55</v>
      </c>
      <c r="Q766" s="348">
        <v>2.65</v>
      </c>
    </row>
    <row r="767" spans="1:17" ht="15" hidden="1" customHeight="1">
      <c r="A767" s="163">
        <v>760</v>
      </c>
      <c r="B767" s="53" t="s">
        <v>14</v>
      </c>
      <c r="C767" s="53" t="s">
        <v>9733</v>
      </c>
      <c r="D767" s="53">
        <v>100022247</v>
      </c>
      <c r="E767" s="55" t="s">
        <v>9734</v>
      </c>
      <c r="F767" s="129">
        <v>1</v>
      </c>
      <c r="G767" s="129">
        <v>18</v>
      </c>
      <c r="H767" s="512">
        <v>1851.62</v>
      </c>
      <c r="I767" s="265" t="s">
        <v>76</v>
      </c>
      <c r="J767" s="265" t="s">
        <v>102</v>
      </c>
      <c r="K767" s="265" t="s">
        <v>9735</v>
      </c>
      <c r="L767" s="348" t="s">
        <v>1205</v>
      </c>
      <c r="M767" s="265" t="s">
        <v>9736</v>
      </c>
      <c r="N767" s="347">
        <v>20.937000000000001</v>
      </c>
      <c r="O767" s="348" t="s">
        <v>1205</v>
      </c>
      <c r="P767" s="348">
        <v>23.25</v>
      </c>
      <c r="Q767" s="348">
        <v>4.38</v>
      </c>
    </row>
    <row r="768" spans="1:17" ht="15" hidden="1" customHeight="1">
      <c r="A768" s="163">
        <v>761</v>
      </c>
      <c r="B768" s="53" t="s">
        <v>14</v>
      </c>
      <c r="C768" s="53" t="s">
        <v>9737</v>
      </c>
      <c r="D768" s="53">
        <v>100022269</v>
      </c>
      <c r="E768" s="55" t="s">
        <v>9738</v>
      </c>
      <c r="F768" s="129">
        <v>1</v>
      </c>
      <c r="G768" s="129">
        <v>18</v>
      </c>
      <c r="H768" s="512">
        <v>489.76</v>
      </c>
      <c r="I768" s="265" t="s">
        <v>76</v>
      </c>
      <c r="J768" s="265" t="s">
        <v>102</v>
      </c>
      <c r="K768" s="265" t="s">
        <v>9739</v>
      </c>
      <c r="L768" s="348" t="s">
        <v>1205</v>
      </c>
      <c r="M768" s="265" t="s">
        <v>9740</v>
      </c>
      <c r="N768" s="347">
        <v>11.45</v>
      </c>
      <c r="O768" s="348" t="s">
        <v>1205</v>
      </c>
      <c r="P768" s="348">
        <v>12.5</v>
      </c>
      <c r="Q768" s="348">
        <v>2.65</v>
      </c>
    </row>
    <row r="769" spans="1:17" ht="15" hidden="1" customHeight="1">
      <c r="A769" s="163">
        <v>762</v>
      </c>
      <c r="B769" s="53" t="s">
        <v>14</v>
      </c>
      <c r="C769" s="53" t="s">
        <v>9741</v>
      </c>
      <c r="D769" s="53">
        <v>100027381</v>
      </c>
      <c r="E769" s="55" t="s">
        <v>9742</v>
      </c>
      <c r="F769" s="129">
        <v>1</v>
      </c>
      <c r="G769" s="129">
        <v>75</v>
      </c>
      <c r="H769" s="512">
        <v>884.49</v>
      </c>
      <c r="I769" s="265" t="s">
        <v>76</v>
      </c>
      <c r="J769" s="265" t="s">
        <v>102</v>
      </c>
      <c r="K769" s="265" t="s">
        <v>9743</v>
      </c>
      <c r="L769" s="348" t="s">
        <v>1205</v>
      </c>
      <c r="M769" s="265" t="s">
        <v>9744</v>
      </c>
      <c r="N769" s="347">
        <v>6.14</v>
      </c>
      <c r="O769" s="348" t="s">
        <v>1205</v>
      </c>
      <c r="P769" s="348">
        <v>7.12</v>
      </c>
      <c r="Q769" s="348">
        <v>0.95</v>
      </c>
    </row>
    <row r="770" spans="1:17" ht="15" hidden="1" customHeight="1">
      <c r="A770" s="163">
        <v>763</v>
      </c>
      <c r="B770" s="53" t="s">
        <v>14</v>
      </c>
      <c r="C770" s="53" t="s">
        <v>9745</v>
      </c>
      <c r="D770" s="53">
        <v>100022276</v>
      </c>
      <c r="E770" s="55" t="s">
        <v>9746</v>
      </c>
      <c r="F770" s="129">
        <v>1</v>
      </c>
      <c r="G770" s="129">
        <v>75</v>
      </c>
      <c r="H770" s="512">
        <v>884.49</v>
      </c>
      <c r="I770" s="265" t="s">
        <v>76</v>
      </c>
      <c r="J770" s="265" t="s">
        <v>102</v>
      </c>
      <c r="K770" s="265" t="s">
        <v>9747</v>
      </c>
      <c r="L770" s="348" t="s">
        <v>1205</v>
      </c>
      <c r="M770" s="265" t="s">
        <v>9748</v>
      </c>
      <c r="N770" s="347">
        <v>6.1180000000000003</v>
      </c>
      <c r="O770" s="348" t="s">
        <v>1205</v>
      </c>
      <c r="P770" s="348">
        <v>6.98</v>
      </c>
      <c r="Q770" s="348">
        <v>0.95</v>
      </c>
    </row>
    <row r="771" spans="1:17" ht="15" hidden="1" customHeight="1">
      <c r="A771" s="163">
        <v>764</v>
      </c>
      <c r="B771" s="53" t="s">
        <v>14</v>
      </c>
      <c r="C771" s="53" t="s">
        <v>9749</v>
      </c>
      <c r="D771" s="53">
        <v>100022278</v>
      </c>
      <c r="E771" s="55" t="s">
        <v>9750</v>
      </c>
      <c r="F771" s="129">
        <v>1</v>
      </c>
      <c r="G771" s="129">
        <v>75</v>
      </c>
      <c r="H771" s="512">
        <v>703.67</v>
      </c>
      <c r="I771" s="265" t="s">
        <v>76</v>
      </c>
      <c r="J771" s="265" t="s">
        <v>102</v>
      </c>
      <c r="K771" s="265" t="s">
        <v>9751</v>
      </c>
      <c r="L771" s="348" t="s">
        <v>1205</v>
      </c>
      <c r="M771" s="265" t="s">
        <v>9752</v>
      </c>
      <c r="N771" s="347">
        <v>10.5</v>
      </c>
      <c r="O771" s="348" t="s">
        <v>1205</v>
      </c>
      <c r="P771" s="348">
        <v>10.86</v>
      </c>
      <c r="Q771" s="348">
        <v>1.1000000000000001</v>
      </c>
    </row>
    <row r="772" spans="1:17" ht="15" hidden="1" customHeight="1">
      <c r="A772" s="163">
        <v>765</v>
      </c>
      <c r="B772" s="53" t="s">
        <v>14</v>
      </c>
      <c r="C772" s="53" t="s">
        <v>9753</v>
      </c>
      <c r="D772" s="53">
        <v>100022279</v>
      </c>
      <c r="E772" s="55" t="s">
        <v>9754</v>
      </c>
      <c r="F772" s="129">
        <v>1</v>
      </c>
      <c r="G772" s="129">
        <v>75</v>
      </c>
      <c r="H772" s="512">
        <v>983.65</v>
      </c>
      <c r="I772" s="265" t="s">
        <v>76</v>
      </c>
      <c r="J772" s="265" t="s">
        <v>102</v>
      </c>
      <c r="K772" s="265" t="s">
        <v>9755</v>
      </c>
      <c r="L772" s="348" t="s">
        <v>1205</v>
      </c>
      <c r="M772" s="265" t="s">
        <v>9756</v>
      </c>
      <c r="N772" s="347">
        <v>11.39</v>
      </c>
      <c r="O772" s="348" t="s">
        <v>1205</v>
      </c>
      <c r="P772" s="348">
        <v>11.43</v>
      </c>
      <c r="Q772" s="348">
        <v>1.1000000000000001</v>
      </c>
    </row>
    <row r="773" spans="1:17" ht="15" hidden="1" customHeight="1">
      <c r="A773" s="163">
        <v>766</v>
      </c>
      <c r="B773" s="53" t="s">
        <v>14</v>
      </c>
      <c r="C773" s="53" t="s">
        <v>9757</v>
      </c>
      <c r="D773" s="53">
        <v>100022280</v>
      </c>
      <c r="E773" s="55" t="s">
        <v>9758</v>
      </c>
      <c r="F773" s="129">
        <v>1</v>
      </c>
      <c r="G773" s="129">
        <v>75</v>
      </c>
      <c r="H773" s="512">
        <v>983.65</v>
      </c>
      <c r="I773" s="265" t="s">
        <v>76</v>
      </c>
      <c r="J773" s="265" t="s">
        <v>102</v>
      </c>
      <c r="K773" s="265" t="s">
        <v>9759</v>
      </c>
      <c r="L773" s="348" t="s">
        <v>1205</v>
      </c>
      <c r="M773" s="265" t="s">
        <v>9760</v>
      </c>
      <c r="N773" s="347">
        <v>8.1300000000000008</v>
      </c>
      <c r="O773" s="348" t="s">
        <v>1205</v>
      </c>
      <c r="P773" s="348">
        <v>9.15</v>
      </c>
      <c r="Q773" s="348">
        <v>1.1000000000000001</v>
      </c>
    </row>
    <row r="774" spans="1:17" ht="15" hidden="1" customHeight="1">
      <c r="A774" s="163">
        <v>767</v>
      </c>
      <c r="B774" s="53" t="s">
        <v>14</v>
      </c>
      <c r="C774" s="53" t="s">
        <v>9761</v>
      </c>
      <c r="D774" s="53">
        <v>100022281</v>
      </c>
      <c r="E774" s="55" t="s">
        <v>9762</v>
      </c>
      <c r="F774" s="129">
        <v>1</v>
      </c>
      <c r="G774" s="129">
        <v>75</v>
      </c>
      <c r="H774" s="512">
        <v>1477.75</v>
      </c>
      <c r="I774" s="265" t="s">
        <v>76</v>
      </c>
      <c r="J774" s="265" t="s">
        <v>102</v>
      </c>
      <c r="K774" s="265" t="s">
        <v>9763</v>
      </c>
      <c r="L774" s="348" t="s">
        <v>1205</v>
      </c>
      <c r="M774" s="265" t="s">
        <v>9764</v>
      </c>
      <c r="N774" s="347">
        <v>8.3859999999999992</v>
      </c>
      <c r="O774" s="348" t="s">
        <v>1205</v>
      </c>
      <c r="P774" s="348">
        <v>8.73</v>
      </c>
      <c r="Q774" s="348">
        <v>0.95</v>
      </c>
    </row>
    <row r="775" spans="1:17" ht="15" hidden="1" customHeight="1">
      <c r="A775" s="163">
        <v>768</v>
      </c>
      <c r="B775" s="53" t="s">
        <v>14</v>
      </c>
      <c r="C775" s="53" t="s">
        <v>9765</v>
      </c>
      <c r="D775" s="53">
        <v>100022282</v>
      </c>
      <c r="E775" s="55" t="s">
        <v>9766</v>
      </c>
      <c r="F775" s="129">
        <v>2</v>
      </c>
      <c r="G775" s="129">
        <v>48</v>
      </c>
      <c r="H775" s="512">
        <v>1523.01</v>
      </c>
      <c r="I775" s="265" t="s">
        <v>76</v>
      </c>
      <c r="J775" s="265" t="s">
        <v>102</v>
      </c>
      <c r="K775" s="265" t="s">
        <v>9767</v>
      </c>
      <c r="L775" s="348" t="s">
        <v>1205</v>
      </c>
      <c r="M775" s="265" t="s">
        <v>9768</v>
      </c>
      <c r="N775" s="347">
        <v>14.21</v>
      </c>
      <c r="O775" s="348" t="s">
        <v>1205</v>
      </c>
      <c r="P775" s="348">
        <v>28.84</v>
      </c>
      <c r="Q775" s="348">
        <v>2.77</v>
      </c>
    </row>
    <row r="776" spans="1:17" ht="15" hidden="1" customHeight="1">
      <c r="A776" s="163">
        <v>769</v>
      </c>
      <c r="B776" s="53" t="s">
        <v>17</v>
      </c>
      <c r="C776" s="53" t="s">
        <v>9769</v>
      </c>
      <c r="D776" s="53">
        <v>100022214</v>
      </c>
      <c r="E776" s="55" t="s">
        <v>9770</v>
      </c>
      <c r="F776" s="129">
        <v>25</v>
      </c>
      <c r="G776" s="129">
        <v>0</v>
      </c>
      <c r="H776" s="512">
        <v>9.7899999999999991</v>
      </c>
      <c r="I776" s="265" t="s">
        <v>76</v>
      </c>
      <c r="J776" s="265" t="s">
        <v>102</v>
      </c>
      <c r="K776" s="265" t="s">
        <v>9771</v>
      </c>
      <c r="L776" s="348" t="s">
        <v>1205</v>
      </c>
      <c r="M776" s="265" t="s">
        <v>9772</v>
      </c>
      <c r="N776" s="347">
        <v>0.27500000000000002</v>
      </c>
      <c r="O776" s="348" t="s">
        <v>1205</v>
      </c>
      <c r="P776" s="348">
        <v>7.34</v>
      </c>
      <c r="Q776" s="348">
        <v>0.65</v>
      </c>
    </row>
    <row r="777" spans="1:17" ht="15" hidden="1" customHeight="1">
      <c r="A777" s="163">
        <v>770</v>
      </c>
      <c r="B777" s="53" t="s">
        <v>17</v>
      </c>
      <c r="C777" s="53" t="s">
        <v>9773</v>
      </c>
      <c r="D777" s="53">
        <v>100022216</v>
      </c>
      <c r="E777" s="55" t="s">
        <v>9774</v>
      </c>
      <c r="F777" s="129">
        <v>25</v>
      </c>
      <c r="G777" s="129">
        <v>0</v>
      </c>
      <c r="H777" s="512">
        <v>12.23</v>
      </c>
      <c r="I777" s="265" t="s">
        <v>76</v>
      </c>
      <c r="J777" s="265" t="s">
        <v>102</v>
      </c>
      <c r="K777" s="265" t="s">
        <v>9775</v>
      </c>
      <c r="L777" s="348" t="s">
        <v>1205</v>
      </c>
      <c r="M777" s="265" t="s">
        <v>9776</v>
      </c>
      <c r="N777" s="347">
        <v>0.437</v>
      </c>
      <c r="O777" s="348" t="s">
        <v>1205</v>
      </c>
      <c r="P777" s="348">
        <v>12.1</v>
      </c>
      <c r="Q777" s="348">
        <v>0.95</v>
      </c>
    </row>
    <row r="778" spans="1:17" ht="15" hidden="1" customHeight="1">
      <c r="A778" s="163">
        <v>771</v>
      </c>
      <c r="B778" s="53" t="s">
        <v>17</v>
      </c>
      <c r="C778" s="53" t="s">
        <v>9777</v>
      </c>
      <c r="D778" s="53">
        <v>100022218</v>
      </c>
      <c r="E778" s="55" t="s">
        <v>9778</v>
      </c>
      <c r="F778" s="129">
        <v>25</v>
      </c>
      <c r="G778" s="129">
        <v>0</v>
      </c>
      <c r="H778" s="512">
        <v>11.39</v>
      </c>
      <c r="I778" s="265" t="s">
        <v>359</v>
      </c>
      <c r="J778" s="265" t="s">
        <v>102</v>
      </c>
      <c r="K778" s="265" t="s">
        <v>9779</v>
      </c>
      <c r="L778" s="348" t="s">
        <v>1205</v>
      </c>
      <c r="M778" s="265" t="s">
        <v>9780</v>
      </c>
      <c r="N778" s="347">
        <v>0.26900000000000002</v>
      </c>
      <c r="O778" s="348" t="s">
        <v>1205</v>
      </c>
      <c r="P778" s="348">
        <v>7.44</v>
      </c>
      <c r="Q778" s="348">
        <v>0.65</v>
      </c>
    </row>
    <row r="779" spans="1:17" ht="15" hidden="1" customHeight="1">
      <c r="A779" s="163">
        <v>772</v>
      </c>
      <c r="B779" s="53" t="s">
        <v>17</v>
      </c>
      <c r="C779" s="53" t="s">
        <v>9781</v>
      </c>
      <c r="D779" s="53">
        <v>100022220</v>
      </c>
      <c r="E779" s="55" t="s">
        <v>9782</v>
      </c>
      <c r="F779" s="129">
        <v>25</v>
      </c>
      <c r="G779" s="129">
        <v>0</v>
      </c>
      <c r="H779" s="512">
        <v>14.29</v>
      </c>
      <c r="I779" s="265" t="s">
        <v>76</v>
      </c>
      <c r="J779" s="265" t="s">
        <v>102</v>
      </c>
      <c r="K779" s="265" t="s">
        <v>9783</v>
      </c>
      <c r="L779" s="348" t="s">
        <v>1205</v>
      </c>
      <c r="M779" s="265" t="s">
        <v>9784</v>
      </c>
      <c r="N779" s="347">
        <v>0.437</v>
      </c>
      <c r="O779" s="348" t="s">
        <v>1205</v>
      </c>
      <c r="P779" s="348">
        <v>11.86</v>
      </c>
      <c r="Q779" s="348" t="s">
        <v>1205</v>
      </c>
    </row>
    <row r="780" spans="1:17" ht="15" hidden="1" customHeight="1">
      <c r="A780" s="163">
        <v>773</v>
      </c>
      <c r="B780" s="53" t="s">
        <v>20</v>
      </c>
      <c r="C780" s="53" t="s">
        <v>9785</v>
      </c>
      <c r="D780" s="53">
        <v>100022203</v>
      </c>
      <c r="E780" s="55" t="s">
        <v>9786</v>
      </c>
      <c r="F780" s="129">
        <v>100</v>
      </c>
      <c r="G780" s="129">
        <v>15000</v>
      </c>
      <c r="H780" s="512">
        <v>8.44</v>
      </c>
      <c r="I780" s="265" t="s">
        <v>76</v>
      </c>
      <c r="J780" s="265" t="s">
        <v>102</v>
      </c>
      <c r="K780" s="265" t="s">
        <v>9787</v>
      </c>
      <c r="L780" s="265" t="s">
        <v>9788</v>
      </c>
      <c r="M780" s="265" t="s">
        <v>9789</v>
      </c>
      <c r="N780" s="347">
        <v>7.2999999999999995E-2</v>
      </c>
      <c r="O780" s="348">
        <v>10</v>
      </c>
      <c r="P780" s="348">
        <v>7.25</v>
      </c>
      <c r="Q780" s="348">
        <v>0.5</v>
      </c>
    </row>
    <row r="781" spans="1:17" ht="15" hidden="1" customHeight="1">
      <c r="A781" s="163">
        <v>774</v>
      </c>
      <c r="B781" s="53" t="s">
        <v>20</v>
      </c>
      <c r="C781" s="53" t="s">
        <v>9790</v>
      </c>
      <c r="D781" s="53">
        <v>100022208</v>
      </c>
      <c r="E781" s="55" t="s">
        <v>9791</v>
      </c>
      <c r="F781" s="129">
        <v>50</v>
      </c>
      <c r="G781" s="129">
        <v>7500</v>
      </c>
      <c r="H781" s="512">
        <v>10.210000000000001</v>
      </c>
      <c r="I781" s="265" t="s">
        <v>76</v>
      </c>
      <c r="J781" s="265" t="s">
        <v>102</v>
      </c>
      <c r="K781" s="265" t="s">
        <v>9792</v>
      </c>
      <c r="L781" s="265" t="s">
        <v>9793</v>
      </c>
      <c r="M781" s="265" t="s">
        <v>9794</v>
      </c>
      <c r="N781" s="347">
        <v>0.14099999999999999</v>
      </c>
      <c r="O781" s="348">
        <v>10</v>
      </c>
      <c r="P781" s="348">
        <v>7.05</v>
      </c>
      <c r="Q781" s="348">
        <v>0.5</v>
      </c>
    </row>
    <row r="782" spans="1:17" ht="15" hidden="1" customHeight="1">
      <c r="A782" s="163">
        <v>775</v>
      </c>
      <c r="B782" s="53" t="s">
        <v>20</v>
      </c>
      <c r="C782" s="53" t="s">
        <v>9795</v>
      </c>
      <c r="D782" s="53">
        <v>100022211</v>
      </c>
      <c r="E782" s="55" t="s">
        <v>9796</v>
      </c>
      <c r="F782" s="129">
        <v>25</v>
      </c>
      <c r="G782" s="129">
        <v>3750</v>
      </c>
      <c r="H782" s="512">
        <v>12.74</v>
      </c>
      <c r="I782" s="265" t="s">
        <v>76</v>
      </c>
      <c r="J782" s="265" t="s">
        <v>102</v>
      </c>
      <c r="K782" s="265" t="s">
        <v>9797</v>
      </c>
      <c r="L782" s="265" t="s">
        <v>9798</v>
      </c>
      <c r="M782" s="265" t="s">
        <v>9799</v>
      </c>
      <c r="N782" s="347">
        <v>0.18</v>
      </c>
      <c r="O782" s="348">
        <v>5</v>
      </c>
      <c r="P782" s="348">
        <v>5.27</v>
      </c>
      <c r="Q782" s="348">
        <v>0.5</v>
      </c>
    </row>
    <row r="783" spans="1:17" ht="15" hidden="1" customHeight="1">
      <c r="A783" s="163">
        <v>776</v>
      </c>
      <c r="B783" s="53" t="s">
        <v>23</v>
      </c>
      <c r="C783" s="53" t="s">
        <v>9800</v>
      </c>
      <c r="D783" s="53">
        <v>100023374</v>
      </c>
      <c r="E783" s="55" t="s">
        <v>9801</v>
      </c>
      <c r="F783" s="129">
        <v>250</v>
      </c>
      <c r="G783" s="129">
        <v>22500</v>
      </c>
      <c r="H783" s="512">
        <v>23.35</v>
      </c>
      <c r="I783" s="265" t="s">
        <v>76</v>
      </c>
      <c r="J783" s="265" t="s">
        <v>102</v>
      </c>
      <c r="K783" s="265" t="s">
        <v>9802</v>
      </c>
      <c r="L783" s="265" t="s">
        <v>9803</v>
      </c>
      <c r="M783" s="265" t="s">
        <v>9804</v>
      </c>
      <c r="N783" s="347">
        <v>7.0000000000000007E-2</v>
      </c>
      <c r="O783" s="348">
        <v>10</v>
      </c>
      <c r="P783" s="348">
        <v>17.55</v>
      </c>
      <c r="Q783" s="348">
        <v>0.8</v>
      </c>
    </row>
    <row r="784" spans="1:17" ht="15" hidden="1" customHeight="1">
      <c r="A784" s="163">
        <v>777</v>
      </c>
      <c r="B784" s="53" t="s">
        <v>23</v>
      </c>
      <c r="C784" s="53" t="s">
        <v>9805</v>
      </c>
      <c r="D784" s="53">
        <v>100023474</v>
      </c>
      <c r="E784" s="55" t="s">
        <v>9806</v>
      </c>
      <c r="F784" s="129">
        <v>250</v>
      </c>
      <c r="G784" s="129">
        <v>18750</v>
      </c>
      <c r="H784" s="512">
        <v>23.35</v>
      </c>
      <c r="I784" s="265" t="s">
        <v>359</v>
      </c>
      <c r="J784" s="265" t="s">
        <v>102</v>
      </c>
      <c r="K784" s="265" t="s">
        <v>9807</v>
      </c>
      <c r="L784" s="265" t="s">
        <v>9808</v>
      </c>
      <c r="M784" s="265" t="s">
        <v>9809</v>
      </c>
      <c r="N784" s="347">
        <v>9.9000000000000005E-2</v>
      </c>
      <c r="O784" s="348">
        <v>10</v>
      </c>
      <c r="P784" s="348">
        <v>24.8</v>
      </c>
      <c r="Q784" s="348">
        <v>1.1000000000000001</v>
      </c>
    </row>
    <row r="785" spans="1:17" ht="15" hidden="1" customHeight="1">
      <c r="A785" s="163">
        <v>778</v>
      </c>
      <c r="B785" s="53" t="s">
        <v>23</v>
      </c>
      <c r="C785" s="53" t="s">
        <v>9810</v>
      </c>
      <c r="D785" s="53">
        <v>100023475</v>
      </c>
      <c r="E785" s="55" t="s">
        <v>9811</v>
      </c>
      <c r="F785" s="129">
        <v>200</v>
      </c>
      <c r="G785" s="129">
        <v>12000</v>
      </c>
      <c r="H785" s="512">
        <v>23.35</v>
      </c>
      <c r="I785" s="265" t="s">
        <v>76</v>
      </c>
      <c r="J785" s="265" t="s">
        <v>102</v>
      </c>
      <c r="K785" s="265" t="s">
        <v>9812</v>
      </c>
      <c r="L785" s="265" t="s">
        <v>9813</v>
      </c>
      <c r="M785" s="265" t="s">
        <v>9814</v>
      </c>
      <c r="N785" s="347">
        <v>0.13500000000000001</v>
      </c>
      <c r="O785" s="348">
        <v>10</v>
      </c>
      <c r="P785" s="348">
        <v>27.1</v>
      </c>
      <c r="Q785" s="348">
        <v>1.25</v>
      </c>
    </row>
    <row r="786" spans="1:17" ht="15" hidden="1" customHeight="1">
      <c r="A786" s="163">
        <v>779</v>
      </c>
      <c r="B786" s="53" t="s">
        <v>23</v>
      </c>
      <c r="C786" s="53" t="s">
        <v>9815</v>
      </c>
      <c r="D786" s="53">
        <v>100023476</v>
      </c>
      <c r="E786" s="55" t="s">
        <v>9816</v>
      </c>
      <c r="F786" s="129">
        <v>100</v>
      </c>
      <c r="G786" s="129">
        <v>7500</v>
      </c>
      <c r="H786" s="512">
        <v>24.47</v>
      </c>
      <c r="I786" s="265" t="s">
        <v>76</v>
      </c>
      <c r="J786" s="265" t="s">
        <v>102</v>
      </c>
      <c r="K786" s="265" t="s">
        <v>9817</v>
      </c>
      <c r="L786" s="265" t="s">
        <v>9818</v>
      </c>
      <c r="M786" s="265" t="s">
        <v>9819</v>
      </c>
      <c r="N786" s="347">
        <v>0.16300000000000001</v>
      </c>
      <c r="O786" s="348">
        <v>10</v>
      </c>
      <c r="P786" s="348">
        <v>16.3</v>
      </c>
      <c r="Q786" s="348">
        <v>0.95</v>
      </c>
    </row>
    <row r="787" spans="1:17" ht="15" hidden="1" customHeight="1">
      <c r="A787" s="163">
        <v>780</v>
      </c>
      <c r="B787" s="53" t="s">
        <v>23</v>
      </c>
      <c r="C787" s="53" t="s">
        <v>9820</v>
      </c>
      <c r="D787" s="53">
        <v>100023477</v>
      </c>
      <c r="E787" s="55" t="s">
        <v>9821</v>
      </c>
      <c r="F787" s="129">
        <v>50</v>
      </c>
      <c r="G787" s="129">
        <v>4500</v>
      </c>
      <c r="H787" s="512">
        <v>30.65</v>
      </c>
      <c r="I787" s="265" t="s">
        <v>76</v>
      </c>
      <c r="J787" s="265" t="s">
        <v>102</v>
      </c>
      <c r="K787" s="265" t="s">
        <v>9822</v>
      </c>
      <c r="L787" s="265" t="s">
        <v>9823</v>
      </c>
      <c r="M787" s="265" t="s">
        <v>9824</v>
      </c>
      <c r="N787" s="347">
        <v>0.252</v>
      </c>
      <c r="O787" s="348">
        <v>10</v>
      </c>
      <c r="P787" s="348">
        <v>13.4</v>
      </c>
      <c r="Q787" s="348">
        <v>0.8</v>
      </c>
    </row>
    <row r="788" spans="1:17" ht="15" hidden="1" customHeight="1">
      <c r="A788" s="163">
        <v>781</v>
      </c>
      <c r="B788" s="53" t="s">
        <v>23</v>
      </c>
      <c r="C788" s="53" t="s">
        <v>9825</v>
      </c>
      <c r="D788" s="53">
        <v>100023478</v>
      </c>
      <c r="E788" s="55" t="s">
        <v>9826</v>
      </c>
      <c r="F788" s="129">
        <v>50</v>
      </c>
      <c r="G788" s="129">
        <v>3000</v>
      </c>
      <c r="H788" s="512">
        <v>84.11</v>
      </c>
      <c r="I788" s="265" t="s">
        <v>76</v>
      </c>
      <c r="J788" s="265" t="s">
        <v>102</v>
      </c>
      <c r="K788" s="265" t="s">
        <v>9827</v>
      </c>
      <c r="L788" s="265" t="s">
        <v>9828</v>
      </c>
      <c r="M788" s="265" t="s">
        <v>9829</v>
      </c>
      <c r="N788" s="347">
        <v>0.433</v>
      </c>
      <c r="O788" s="348">
        <v>5</v>
      </c>
      <c r="P788" s="348">
        <v>21.64</v>
      </c>
      <c r="Q788" s="348">
        <v>1.41</v>
      </c>
    </row>
    <row r="789" spans="1:17" ht="15" hidden="1" customHeight="1">
      <c r="A789" s="163">
        <v>782</v>
      </c>
      <c r="B789" s="53" t="s">
        <v>23</v>
      </c>
      <c r="C789" s="53" t="s">
        <v>9830</v>
      </c>
      <c r="D789" s="53">
        <v>100023479</v>
      </c>
      <c r="E789" s="55" t="s">
        <v>9831</v>
      </c>
      <c r="F789" s="129">
        <v>25</v>
      </c>
      <c r="G789" s="129">
        <v>1875</v>
      </c>
      <c r="H789" s="512">
        <v>84.11</v>
      </c>
      <c r="I789" s="265" t="s">
        <v>76</v>
      </c>
      <c r="J789" s="265" t="s">
        <v>102</v>
      </c>
      <c r="K789" s="265" t="s">
        <v>9832</v>
      </c>
      <c r="L789" s="265" t="s">
        <v>9833</v>
      </c>
      <c r="M789" s="265" t="s">
        <v>9834</v>
      </c>
      <c r="N789" s="347">
        <v>0.48</v>
      </c>
      <c r="O789" s="348">
        <v>5</v>
      </c>
      <c r="P789" s="348">
        <v>12.85</v>
      </c>
      <c r="Q789" s="348">
        <v>0.95</v>
      </c>
    </row>
    <row r="790" spans="1:17" ht="15" hidden="1" customHeight="1">
      <c r="A790" s="163">
        <v>783</v>
      </c>
      <c r="B790" s="53" t="s">
        <v>23</v>
      </c>
      <c r="C790" s="53" t="s">
        <v>9835</v>
      </c>
      <c r="D790" s="53">
        <v>100023480</v>
      </c>
      <c r="E790" s="55" t="s">
        <v>9836</v>
      </c>
      <c r="F790" s="129">
        <v>10</v>
      </c>
      <c r="G790" s="129">
        <v>900</v>
      </c>
      <c r="H790" s="512">
        <v>105.21</v>
      </c>
      <c r="I790" s="265" t="s">
        <v>76</v>
      </c>
      <c r="J790" s="265" t="s">
        <v>102</v>
      </c>
      <c r="K790" s="265" t="s">
        <v>9837</v>
      </c>
      <c r="L790" s="348" t="s">
        <v>1205</v>
      </c>
      <c r="M790" s="265" t="s">
        <v>9838</v>
      </c>
      <c r="N790" s="347">
        <v>0.77900000000000003</v>
      </c>
      <c r="O790" s="348" t="s">
        <v>1205</v>
      </c>
      <c r="P790" s="348">
        <v>8.6199999999999992</v>
      </c>
      <c r="Q790" s="348">
        <v>0.8</v>
      </c>
    </row>
    <row r="791" spans="1:17" ht="15" hidden="1" customHeight="1">
      <c r="A791" s="163">
        <v>784</v>
      </c>
      <c r="B791" s="53" t="s">
        <v>23</v>
      </c>
      <c r="C791" s="53" t="s">
        <v>9839</v>
      </c>
      <c r="D791" s="53">
        <v>100023481</v>
      </c>
      <c r="E791" s="55" t="s">
        <v>9840</v>
      </c>
      <c r="F791" s="129">
        <v>10</v>
      </c>
      <c r="G791" s="129">
        <v>750</v>
      </c>
      <c r="H791" s="512">
        <v>114.37</v>
      </c>
      <c r="I791" s="265" t="s">
        <v>76</v>
      </c>
      <c r="J791" s="265" t="s">
        <v>102</v>
      </c>
      <c r="K791" s="265" t="s">
        <v>9841</v>
      </c>
      <c r="L791" s="348" t="s">
        <v>1205</v>
      </c>
      <c r="M791" s="265" t="s">
        <v>9842</v>
      </c>
      <c r="N791" s="347">
        <v>1.3560000000000001</v>
      </c>
      <c r="O791" s="348" t="s">
        <v>1205</v>
      </c>
      <c r="P791" s="348">
        <v>14.64</v>
      </c>
      <c r="Q791" s="348">
        <v>0.95</v>
      </c>
    </row>
    <row r="792" spans="1:17" ht="15" hidden="1" customHeight="1">
      <c r="A792" s="163">
        <v>785</v>
      </c>
      <c r="B792" s="53" t="s">
        <v>23</v>
      </c>
      <c r="C792" s="53" t="s">
        <v>9843</v>
      </c>
      <c r="D792" s="53">
        <v>100023482</v>
      </c>
      <c r="E792" s="55" t="s">
        <v>9844</v>
      </c>
      <c r="F792" s="129">
        <v>5</v>
      </c>
      <c r="G792" s="129">
        <v>450</v>
      </c>
      <c r="H792" s="512">
        <v>142.94999999999999</v>
      </c>
      <c r="I792" s="265" t="s">
        <v>76</v>
      </c>
      <c r="J792" s="265" t="s">
        <v>102</v>
      </c>
      <c r="K792" s="265" t="s">
        <v>9845</v>
      </c>
      <c r="L792" s="348" t="s">
        <v>1205</v>
      </c>
      <c r="M792" s="265" t="s">
        <v>9846</v>
      </c>
      <c r="N792" s="347">
        <v>2.04</v>
      </c>
      <c r="O792" s="348" t="s">
        <v>1205</v>
      </c>
      <c r="P792" s="348">
        <v>11.18</v>
      </c>
      <c r="Q792" s="348">
        <v>0.8</v>
      </c>
    </row>
    <row r="793" spans="1:17" ht="15" hidden="1" customHeight="1">
      <c r="A793" s="163">
        <v>786</v>
      </c>
      <c r="B793" s="53" t="s">
        <v>23</v>
      </c>
      <c r="C793" s="53" t="s">
        <v>9847</v>
      </c>
      <c r="D793" s="53">
        <v>100023483</v>
      </c>
      <c r="E793" s="55" t="s">
        <v>9848</v>
      </c>
      <c r="F793" s="129">
        <v>4</v>
      </c>
      <c r="G793" s="129">
        <v>240</v>
      </c>
      <c r="H793" s="512">
        <v>165.63</v>
      </c>
      <c r="I793" s="265" t="s">
        <v>76</v>
      </c>
      <c r="J793" s="265" t="s">
        <v>102</v>
      </c>
      <c r="K793" s="265" t="s">
        <v>9849</v>
      </c>
      <c r="L793" s="348" t="s">
        <v>1205</v>
      </c>
      <c r="M793" s="265" t="s">
        <v>9850</v>
      </c>
      <c r="N793" s="347">
        <v>3.4009999999999998</v>
      </c>
      <c r="O793" s="348" t="s">
        <v>1205</v>
      </c>
      <c r="P793" s="348">
        <v>14.85</v>
      </c>
      <c r="Q793" s="348">
        <v>1.25</v>
      </c>
    </row>
    <row r="794" spans="1:17" ht="15" hidden="1" customHeight="1">
      <c r="A794" s="163">
        <v>787</v>
      </c>
      <c r="B794" s="53" t="s">
        <v>23</v>
      </c>
      <c r="C794" s="53" t="s">
        <v>9851</v>
      </c>
      <c r="D794" s="53">
        <v>100023484</v>
      </c>
      <c r="E794" s="55" t="s">
        <v>9852</v>
      </c>
      <c r="F794" s="129">
        <v>1</v>
      </c>
      <c r="G794" s="129">
        <v>75</v>
      </c>
      <c r="H794" s="512">
        <v>565.49</v>
      </c>
      <c r="I794" s="265" t="s">
        <v>76</v>
      </c>
      <c r="J794" s="265" t="s">
        <v>102</v>
      </c>
      <c r="K794" s="265" t="s">
        <v>9853</v>
      </c>
      <c r="L794" s="348" t="s">
        <v>1205</v>
      </c>
      <c r="M794" s="265" t="s">
        <v>9854</v>
      </c>
      <c r="N794" s="347">
        <v>10.175000000000001</v>
      </c>
      <c r="O794" s="348" t="s">
        <v>1205</v>
      </c>
      <c r="P794" s="348">
        <v>11.36</v>
      </c>
      <c r="Q794" s="348">
        <v>0.95</v>
      </c>
    </row>
    <row r="795" spans="1:17" ht="15" hidden="1" customHeight="1">
      <c r="A795" s="163">
        <v>788</v>
      </c>
      <c r="B795" s="53" t="s">
        <v>23</v>
      </c>
      <c r="C795" s="53" t="s">
        <v>9855</v>
      </c>
      <c r="D795" s="53">
        <v>100023485</v>
      </c>
      <c r="E795" s="55" t="s">
        <v>9856</v>
      </c>
      <c r="F795" s="129">
        <v>2</v>
      </c>
      <c r="G795" s="129">
        <v>36</v>
      </c>
      <c r="H795" s="512">
        <v>1311.57</v>
      </c>
      <c r="I795" s="265" t="s">
        <v>76</v>
      </c>
      <c r="J795" s="265" t="s">
        <v>102</v>
      </c>
      <c r="K795" s="265" t="s">
        <v>9857</v>
      </c>
      <c r="L795" s="348" t="s">
        <v>1205</v>
      </c>
      <c r="M795" s="265" t="s">
        <v>9858</v>
      </c>
      <c r="N795" s="347">
        <v>18.670000000000002</v>
      </c>
      <c r="O795" s="348" t="s">
        <v>1205</v>
      </c>
      <c r="P795" s="348">
        <v>39.83</v>
      </c>
      <c r="Q795" s="348">
        <v>4.38</v>
      </c>
    </row>
    <row r="796" spans="1:17" ht="15" hidden="1" customHeight="1">
      <c r="A796" s="163">
        <v>789</v>
      </c>
      <c r="B796" s="53" t="s">
        <v>23</v>
      </c>
      <c r="C796" s="53" t="s">
        <v>9859</v>
      </c>
      <c r="D796" s="53">
        <v>100023498</v>
      </c>
      <c r="E796" s="55" t="s">
        <v>9860</v>
      </c>
      <c r="F796" s="129">
        <v>250</v>
      </c>
      <c r="G796" s="129">
        <v>22500</v>
      </c>
      <c r="H796" s="512">
        <v>26.98</v>
      </c>
      <c r="I796" s="265" t="s">
        <v>359</v>
      </c>
      <c r="J796" s="265" t="s">
        <v>102</v>
      </c>
      <c r="K796" s="265" t="s">
        <v>9861</v>
      </c>
      <c r="L796" s="265" t="s">
        <v>9862</v>
      </c>
      <c r="M796" s="265" t="s">
        <v>9863</v>
      </c>
      <c r="N796" s="347">
        <v>6.8000000000000005E-2</v>
      </c>
      <c r="O796" s="348">
        <v>10</v>
      </c>
      <c r="P796" s="348">
        <v>18.78</v>
      </c>
      <c r="Q796" s="348">
        <v>0.8</v>
      </c>
    </row>
    <row r="797" spans="1:17" ht="15" hidden="1" customHeight="1">
      <c r="A797" s="163">
        <v>790</v>
      </c>
      <c r="B797" s="53" t="s">
        <v>23</v>
      </c>
      <c r="C797" s="53" t="s">
        <v>9864</v>
      </c>
      <c r="D797" s="53">
        <v>100023499</v>
      </c>
      <c r="E797" s="55" t="s">
        <v>9865</v>
      </c>
      <c r="F797" s="129">
        <v>250</v>
      </c>
      <c r="G797" s="129">
        <v>18750</v>
      </c>
      <c r="H797" s="512">
        <v>26.98</v>
      </c>
      <c r="I797" s="265" t="s">
        <v>76</v>
      </c>
      <c r="J797" s="265" t="s">
        <v>102</v>
      </c>
      <c r="K797" s="265" t="s">
        <v>9866</v>
      </c>
      <c r="L797" s="265" t="s">
        <v>9867</v>
      </c>
      <c r="M797" s="265" t="s">
        <v>9868</v>
      </c>
      <c r="N797" s="347">
        <v>9.5000000000000001E-2</v>
      </c>
      <c r="O797" s="348">
        <v>10</v>
      </c>
      <c r="P797" s="348">
        <v>25.12</v>
      </c>
      <c r="Q797" s="348">
        <v>1.1000000000000001</v>
      </c>
    </row>
    <row r="798" spans="1:17" ht="15" hidden="1" customHeight="1">
      <c r="A798" s="163">
        <v>791</v>
      </c>
      <c r="B798" s="53" t="s">
        <v>23</v>
      </c>
      <c r="C798" s="53" t="s">
        <v>9869</v>
      </c>
      <c r="D798" s="53">
        <v>100023500</v>
      </c>
      <c r="E798" s="55" t="s">
        <v>9870</v>
      </c>
      <c r="F798" s="129">
        <v>125</v>
      </c>
      <c r="G798" s="129">
        <v>9375</v>
      </c>
      <c r="H798" s="512">
        <v>26.98</v>
      </c>
      <c r="I798" s="265" t="s">
        <v>76</v>
      </c>
      <c r="J798" s="265" t="s">
        <v>102</v>
      </c>
      <c r="K798" s="265" t="s">
        <v>9871</v>
      </c>
      <c r="L798" s="265" t="s">
        <v>9872</v>
      </c>
      <c r="M798" s="265" t="s">
        <v>9873</v>
      </c>
      <c r="N798" s="347">
        <v>0.184</v>
      </c>
      <c r="O798" s="348">
        <v>5</v>
      </c>
      <c r="P798" s="348">
        <v>23.5</v>
      </c>
      <c r="Q798" s="348">
        <v>1.1000000000000001</v>
      </c>
    </row>
    <row r="799" spans="1:17" ht="15" hidden="1" customHeight="1">
      <c r="A799" s="163">
        <v>792</v>
      </c>
      <c r="B799" s="53" t="s">
        <v>23</v>
      </c>
      <c r="C799" s="53" t="s">
        <v>9874</v>
      </c>
      <c r="D799" s="53">
        <v>100023501</v>
      </c>
      <c r="E799" s="55" t="s">
        <v>9875</v>
      </c>
      <c r="F799" s="129">
        <v>125</v>
      </c>
      <c r="G799" s="129">
        <v>7500</v>
      </c>
      <c r="H799" s="512">
        <v>30.07</v>
      </c>
      <c r="I799" s="265" t="s">
        <v>76</v>
      </c>
      <c r="J799" s="265" t="s">
        <v>102</v>
      </c>
      <c r="K799" s="265" t="s">
        <v>9876</v>
      </c>
      <c r="L799" s="265" t="s">
        <v>9877</v>
      </c>
      <c r="M799" s="265" t="s">
        <v>9878</v>
      </c>
      <c r="N799" s="347">
        <v>0.23</v>
      </c>
      <c r="O799" s="348">
        <v>5</v>
      </c>
      <c r="P799" s="348">
        <v>31.32</v>
      </c>
      <c r="Q799" s="348">
        <v>1.25</v>
      </c>
    </row>
    <row r="800" spans="1:17" ht="15" hidden="1" customHeight="1">
      <c r="A800" s="163">
        <v>793</v>
      </c>
      <c r="B800" s="53" t="s">
        <v>23</v>
      </c>
      <c r="C800" s="53" t="s">
        <v>9879</v>
      </c>
      <c r="D800" s="53">
        <v>100023502</v>
      </c>
      <c r="E800" s="55" t="s">
        <v>9880</v>
      </c>
      <c r="F800" s="129">
        <v>50</v>
      </c>
      <c r="G800" s="129">
        <v>3750</v>
      </c>
      <c r="H800" s="512">
        <v>66.34</v>
      </c>
      <c r="I800" s="265" t="s">
        <v>76</v>
      </c>
      <c r="J800" s="265" t="s">
        <v>102</v>
      </c>
      <c r="K800" s="265" t="s">
        <v>9881</v>
      </c>
      <c r="L800" s="265" t="s">
        <v>9882</v>
      </c>
      <c r="M800" s="265" t="s">
        <v>9883</v>
      </c>
      <c r="N800" s="347">
        <v>0.38</v>
      </c>
      <c r="O800" s="348">
        <v>5</v>
      </c>
      <c r="P800" s="348">
        <v>20.66</v>
      </c>
      <c r="Q800" s="348">
        <v>0.95</v>
      </c>
    </row>
    <row r="801" spans="1:17" ht="15" hidden="1" customHeight="1">
      <c r="A801" s="163">
        <v>794</v>
      </c>
      <c r="B801" s="53" t="s">
        <v>23</v>
      </c>
      <c r="C801" s="53" t="s">
        <v>9884</v>
      </c>
      <c r="D801" s="53">
        <v>100028097</v>
      </c>
      <c r="E801" s="55" t="s">
        <v>9885</v>
      </c>
      <c r="F801" s="129">
        <v>25</v>
      </c>
      <c r="G801" s="129">
        <v>0</v>
      </c>
      <c r="H801" s="512">
        <v>333.68</v>
      </c>
      <c r="I801" s="265" t="s">
        <v>359</v>
      </c>
      <c r="J801" s="265" t="s">
        <v>102</v>
      </c>
      <c r="K801" s="265" t="s">
        <v>9886</v>
      </c>
      <c r="L801" s="348" t="s">
        <v>1205</v>
      </c>
      <c r="M801" s="265" t="s">
        <v>9887</v>
      </c>
      <c r="N801" s="347">
        <v>1.698</v>
      </c>
      <c r="O801" s="348" t="s">
        <v>1205</v>
      </c>
      <c r="P801" s="348">
        <v>44.368000000000002</v>
      </c>
      <c r="Q801" s="348" t="s">
        <v>1205</v>
      </c>
    </row>
    <row r="802" spans="1:17" ht="15" hidden="1" customHeight="1">
      <c r="A802" s="163">
        <v>795</v>
      </c>
      <c r="B802" s="53" t="s">
        <v>23</v>
      </c>
      <c r="C802" s="53" t="s">
        <v>9888</v>
      </c>
      <c r="D802" s="53">
        <v>100023507</v>
      </c>
      <c r="E802" s="55" t="s">
        <v>9889</v>
      </c>
      <c r="F802" s="129">
        <v>250</v>
      </c>
      <c r="G802" s="129">
        <v>18750</v>
      </c>
      <c r="H802" s="512">
        <v>8.26</v>
      </c>
      <c r="I802" s="265" t="s">
        <v>76</v>
      </c>
      <c r="J802" s="265" t="s">
        <v>102</v>
      </c>
      <c r="K802" s="265" t="s">
        <v>9890</v>
      </c>
      <c r="L802" s="265" t="s">
        <v>9891</v>
      </c>
      <c r="M802" s="265" t="s">
        <v>9892</v>
      </c>
      <c r="N802" s="347">
        <v>9.8000000000000004E-2</v>
      </c>
      <c r="O802" s="348">
        <v>10</v>
      </c>
      <c r="P802" s="348">
        <v>26.08</v>
      </c>
      <c r="Q802" s="348">
        <v>1.1000000000000001</v>
      </c>
    </row>
    <row r="803" spans="1:17" ht="15" hidden="1" customHeight="1">
      <c r="A803" s="163">
        <v>796</v>
      </c>
      <c r="B803" s="53" t="s">
        <v>23</v>
      </c>
      <c r="C803" s="53" t="s">
        <v>9893</v>
      </c>
      <c r="D803" s="53">
        <v>100023508</v>
      </c>
      <c r="E803" s="55" t="s">
        <v>9894</v>
      </c>
      <c r="F803" s="129">
        <v>200</v>
      </c>
      <c r="G803" s="129">
        <v>12000</v>
      </c>
      <c r="H803" s="512">
        <v>10.57</v>
      </c>
      <c r="I803" s="265" t="s">
        <v>76</v>
      </c>
      <c r="J803" s="265" t="s">
        <v>102</v>
      </c>
      <c r="K803" s="265" t="s">
        <v>9895</v>
      </c>
      <c r="L803" s="265" t="s">
        <v>9896</v>
      </c>
      <c r="M803" s="265" t="s">
        <v>9897</v>
      </c>
      <c r="N803" s="347">
        <v>0.114</v>
      </c>
      <c r="O803" s="348">
        <v>10</v>
      </c>
      <c r="P803" s="348">
        <v>24.17</v>
      </c>
      <c r="Q803" s="348">
        <v>1.25</v>
      </c>
    </row>
    <row r="804" spans="1:17" ht="15" hidden="1" customHeight="1">
      <c r="A804" s="163">
        <v>797</v>
      </c>
      <c r="B804" s="53" t="s">
        <v>23</v>
      </c>
      <c r="C804" s="53" t="s">
        <v>9898</v>
      </c>
      <c r="D804" s="53">
        <v>100023510</v>
      </c>
      <c r="E804" s="55" t="s">
        <v>9899</v>
      </c>
      <c r="F804" s="129">
        <v>50</v>
      </c>
      <c r="G804" s="129">
        <v>6000</v>
      </c>
      <c r="H804" s="512">
        <v>17.05</v>
      </c>
      <c r="I804" s="265" t="s">
        <v>76</v>
      </c>
      <c r="J804" s="265" t="s">
        <v>102</v>
      </c>
      <c r="K804" s="265" t="s">
        <v>9900</v>
      </c>
      <c r="L804" s="265" t="s">
        <v>9901</v>
      </c>
      <c r="M804" s="265" t="s">
        <v>9902</v>
      </c>
      <c r="N804" s="347">
        <v>0.20799999999999999</v>
      </c>
      <c r="O804" s="348">
        <v>10</v>
      </c>
      <c r="P804" s="348">
        <v>11.9</v>
      </c>
      <c r="Q804" s="348">
        <v>0.65</v>
      </c>
    </row>
    <row r="805" spans="1:17" ht="15" hidden="1" customHeight="1">
      <c r="A805" s="163">
        <v>798</v>
      </c>
      <c r="B805" s="53" t="s">
        <v>23</v>
      </c>
      <c r="C805" s="53" t="s">
        <v>9903</v>
      </c>
      <c r="D805" s="53">
        <v>100023511</v>
      </c>
      <c r="E805" s="55" t="s">
        <v>9904</v>
      </c>
      <c r="F805" s="129">
        <v>50</v>
      </c>
      <c r="G805" s="129">
        <v>3750</v>
      </c>
      <c r="H805" s="512">
        <v>22.83</v>
      </c>
      <c r="I805" s="265" t="s">
        <v>76</v>
      </c>
      <c r="J805" s="265" t="s">
        <v>102</v>
      </c>
      <c r="K805" s="265" t="s">
        <v>9905</v>
      </c>
      <c r="L805" s="265" t="s">
        <v>9906</v>
      </c>
      <c r="M805" s="265" t="s">
        <v>9907</v>
      </c>
      <c r="N805" s="347">
        <v>0.26900000000000002</v>
      </c>
      <c r="O805" s="348">
        <v>5</v>
      </c>
      <c r="P805" s="348">
        <v>17.25</v>
      </c>
      <c r="Q805" s="348">
        <v>0.95</v>
      </c>
    </row>
    <row r="806" spans="1:17" ht="15" hidden="1" customHeight="1">
      <c r="A806" s="163">
        <v>799</v>
      </c>
      <c r="B806" s="53" t="s">
        <v>23</v>
      </c>
      <c r="C806" s="53" t="s">
        <v>9908</v>
      </c>
      <c r="D806" s="53">
        <v>100023512</v>
      </c>
      <c r="E806" s="55" t="s">
        <v>9909</v>
      </c>
      <c r="F806" s="129">
        <v>25</v>
      </c>
      <c r="G806" s="129">
        <v>2250</v>
      </c>
      <c r="H806" s="512">
        <v>24.45</v>
      </c>
      <c r="I806" s="265" t="s">
        <v>76</v>
      </c>
      <c r="J806" s="265" t="s">
        <v>102</v>
      </c>
      <c r="K806" s="265" t="s">
        <v>9910</v>
      </c>
      <c r="L806" s="265" t="s">
        <v>9911</v>
      </c>
      <c r="M806" s="265" t="s">
        <v>9912</v>
      </c>
      <c r="N806" s="347">
        <v>0.36199999999999999</v>
      </c>
      <c r="O806" s="348">
        <v>5</v>
      </c>
      <c r="P806" s="348">
        <v>9.93</v>
      </c>
      <c r="Q806" s="348">
        <v>0.8</v>
      </c>
    </row>
    <row r="807" spans="1:17" ht="15" hidden="1" customHeight="1">
      <c r="A807" s="163">
        <v>800</v>
      </c>
      <c r="B807" s="53" t="s">
        <v>23</v>
      </c>
      <c r="C807" s="53" t="s">
        <v>9913</v>
      </c>
      <c r="D807" s="53">
        <v>100023513</v>
      </c>
      <c r="E807" s="55" t="s">
        <v>9914</v>
      </c>
      <c r="F807" s="129">
        <v>25</v>
      </c>
      <c r="G807" s="129">
        <v>1875</v>
      </c>
      <c r="H807" s="512">
        <v>29.52</v>
      </c>
      <c r="I807" s="265" t="s">
        <v>76</v>
      </c>
      <c r="J807" s="265" t="s">
        <v>102</v>
      </c>
      <c r="K807" s="265" t="s">
        <v>9915</v>
      </c>
      <c r="L807" s="265" t="s">
        <v>9916</v>
      </c>
      <c r="M807" s="265" t="s">
        <v>9917</v>
      </c>
      <c r="N807" s="347">
        <v>0.56000000000000005</v>
      </c>
      <c r="O807" s="348">
        <v>5</v>
      </c>
      <c r="P807" s="348">
        <v>14.71</v>
      </c>
      <c r="Q807" s="348">
        <v>1.1000000000000001</v>
      </c>
    </row>
    <row r="808" spans="1:17" ht="15" hidden="1" customHeight="1">
      <c r="A808" s="163">
        <v>801</v>
      </c>
      <c r="B808" s="53" t="s">
        <v>23</v>
      </c>
      <c r="C808" s="53" t="s">
        <v>9918</v>
      </c>
      <c r="D808" s="53">
        <v>100023515</v>
      </c>
      <c r="E808" s="55" t="s">
        <v>9919</v>
      </c>
      <c r="F808" s="129">
        <v>10</v>
      </c>
      <c r="G808" s="129">
        <v>750</v>
      </c>
      <c r="H808" s="512">
        <v>77.7</v>
      </c>
      <c r="I808" s="265" t="s">
        <v>76</v>
      </c>
      <c r="J808" s="265" t="s">
        <v>102</v>
      </c>
      <c r="K808" s="265" t="s">
        <v>9920</v>
      </c>
      <c r="L808" s="348" t="s">
        <v>1205</v>
      </c>
      <c r="M808" s="265" t="s">
        <v>9921</v>
      </c>
      <c r="N808" s="347">
        <v>1.63</v>
      </c>
      <c r="O808" s="348" t="s">
        <v>1205</v>
      </c>
      <c r="P808" s="348">
        <v>17.98</v>
      </c>
      <c r="Q808" s="348">
        <v>1.1000000000000001</v>
      </c>
    </row>
    <row r="809" spans="1:17" ht="15" hidden="1" customHeight="1">
      <c r="A809" s="163">
        <v>802</v>
      </c>
      <c r="B809" s="53" t="s">
        <v>23</v>
      </c>
      <c r="C809" s="53" t="s">
        <v>9922</v>
      </c>
      <c r="D809" s="53">
        <v>100023516</v>
      </c>
      <c r="E809" s="55" t="s">
        <v>9923</v>
      </c>
      <c r="F809" s="129">
        <v>5</v>
      </c>
      <c r="G809" s="129">
        <v>375</v>
      </c>
      <c r="H809" s="512">
        <v>118.19</v>
      </c>
      <c r="I809" s="265" t="s">
        <v>76</v>
      </c>
      <c r="J809" s="265" t="s">
        <v>102</v>
      </c>
      <c r="K809" s="265" t="s">
        <v>9924</v>
      </c>
      <c r="L809" s="348" t="s">
        <v>1205</v>
      </c>
      <c r="M809" s="265" t="s">
        <v>9925</v>
      </c>
      <c r="N809" s="347">
        <v>2.7610000000000001</v>
      </c>
      <c r="O809" s="348" t="s">
        <v>1205</v>
      </c>
      <c r="P809" s="348">
        <v>15.1</v>
      </c>
      <c r="Q809" s="348">
        <v>1.1000000000000001</v>
      </c>
    </row>
    <row r="810" spans="1:17" ht="15" hidden="1" customHeight="1">
      <c r="A810" s="163">
        <v>803</v>
      </c>
      <c r="B810" s="53" t="s">
        <v>23</v>
      </c>
      <c r="C810" s="53" t="s">
        <v>9926</v>
      </c>
      <c r="D810" s="53">
        <v>100023518</v>
      </c>
      <c r="E810" s="55" t="s">
        <v>9927</v>
      </c>
      <c r="F810" s="129">
        <v>2</v>
      </c>
      <c r="G810" s="129">
        <v>48</v>
      </c>
      <c r="H810" s="512">
        <v>926.88</v>
      </c>
      <c r="I810" s="265" t="s">
        <v>76</v>
      </c>
      <c r="J810" s="265" t="s">
        <v>102</v>
      </c>
      <c r="K810" s="265" t="s">
        <v>9928</v>
      </c>
      <c r="L810" s="348" t="s">
        <v>1205</v>
      </c>
      <c r="M810" s="265" t="s">
        <v>9929</v>
      </c>
      <c r="N810" s="347">
        <v>15.573</v>
      </c>
      <c r="O810" s="348" t="s">
        <v>1205</v>
      </c>
      <c r="P810" s="348">
        <v>30.15</v>
      </c>
      <c r="Q810" s="348">
        <v>2.77</v>
      </c>
    </row>
    <row r="811" spans="1:17" ht="15" hidden="1" customHeight="1">
      <c r="A811" s="163">
        <v>804</v>
      </c>
      <c r="B811" s="53" t="s">
        <v>23</v>
      </c>
      <c r="C811" s="53" t="s">
        <v>9930</v>
      </c>
      <c r="D811" s="53">
        <v>100023520</v>
      </c>
      <c r="E811" s="55" t="s">
        <v>9931</v>
      </c>
      <c r="F811" s="129">
        <v>200</v>
      </c>
      <c r="G811" s="129">
        <v>12000</v>
      </c>
      <c r="H811" s="512">
        <v>38.32</v>
      </c>
      <c r="I811" s="265" t="s">
        <v>76</v>
      </c>
      <c r="J811" s="265" t="s">
        <v>102</v>
      </c>
      <c r="K811" s="265" t="s">
        <v>9932</v>
      </c>
      <c r="L811" s="265" t="s">
        <v>9933</v>
      </c>
      <c r="M811" s="265" t="s">
        <v>9934</v>
      </c>
      <c r="N811" s="347">
        <v>0.17499999999999999</v>
      </c>
      <c r="O811" s="348">
        <v>10</v>
      </c>
      <c r="P811" s="348">
        <v>35.619999999999997</v>
      </c>
      <c r="Q811" s="348">
        <v>1.41</v>
      </c>
    </row>
    <row r="812" spans="1:17" ht="15" hidden="1" customHeight="1">
      <c r="A812" s="163">
        <v>805</v>
      </c>
      <c r="B812" s="53" t="s">
        <v>23</v>
      </c>
      <c r="C812" s="53" t="s">
        <v>9935</v>
      </c>
      <c r="D812" s="53">
        <v>100023521</v>
      </c>
      <c r="E812" s="55" t="s">
        <v>9936</v>
      </c>
      <c r="F812" s="129">
        <v>50</v>
      </c>
      <c r="G812" s="129">
        <v>6000</v>
      </c>
      <c r="H812" s="512">
        <v>41.49</v>
      </c>
      <c r="I812" s="265" t="s">
        <v>76</v>
      </c>
      <c r="J812" s="265" t="s">
        <v>102</v>
      </c>
      <c r="K812" s="265" t="s">
        <v>9937</v>
      </c>
      <c r="L812" s="265" t="s">
        <v>9938</v>
      </c>
      <c r="M812" s="265" t="s">
        <v>9939</v>
      </c>
      <c r="N812" s="347">
        <v>0.29199999999999998</v>
      </c>
      <c r="O812" s="348">
        <v>5</v>
      </c>
      <c r="P812" s="348">
        <v>14.76</v>
      </c>
      <c r="Q812" s="348">
        <v>0.65</v>
      </c>
    </row>
    <row r="813" spans="1:17" ht="15" hidden="1" customHeight="1">
      <c r="A813" s="163">
        <v>806</v>
      </c>
      <c r="B813" s="53" t="s">
        <v>23</v>
      </c>
      <c r="C813" s="53" t="s">
        <v>9940</v>
      </c>
      <c r="D813" s="53">
        <v>100023524</v>
      </c>
      <c r="E813" s="55" t="s">
        <v>9941</v>
      </c>
      <c r="F813" s="129">
        <v>25</v>
      </c>
      <c r="G813" s="129">
        <v>1875</v>
      </c>
      <c r="H813" s="512">
        <v>73.83</v>
      </c>
      <c r="I813" s="265" t="s">
        <v>76</v>
      </c>
      <c r="J813" s="265" t="s">
        <v>102</v>
      </c>
      <c r="K813" s="265" t="s">
        <v>9942</v>
      </c>
      <c r="L813" s="265" t="s">
        <v>9943</v>
      </c>
      <c r="M813" s="265" t="s">
        <v>9944</v>
      </c>
      <c r="N813" s="347">
        <v>0.79500000000000004</v>
      </c>
      <c r="O813" s="348">
        <v>5</v>
      </c>
      <c r="P813" s="348">
        <v>21.01</v>
      </c>
      <c r="Q813" s="348">
        <v>1.1000000000000001</v>
      </c>
    </row>
    <row r="814" spans="1:17" ht="15" hidden="1" customHeight="1">
      <c r="A814" s="163">
        <v>807</v>
      </c>
      <c r="B814" s="53" t="s">
        <v>23</v>
      </c>
      <c r="C814" s="53" t="s">
        <v>9945</v>
      </c>
      <c r="D814" s="53">
        <v>100023525</v>
      </c>
      <c r="E814" s="55" t="s">
        <v>9946</v>
      </c>
      <c r="F814" s="129">
        <v>250</v>
      </c>
      <c r="G814" s="129">
        <v>37500</v>
      </c>
      <c r="H814" s="512">
        <v>20.54</v>
      </c>
      <c r="I814" s="265" t="s">
        <v>76</v>
      </c>
      <c r="J814" s="265" t="s">
        <v>102</v>
      </c>
      <c r="K814" s="265" t="s">
        <v>9947</v>
      </c>
      <c r="L814" s="265" t="s">
        <v>9948</v>
      </c>
      <c r="M814" s="265" t="s">
        <v>9949</v>
      </c>
      <c r="N814" s="347">
        <v>0.05</v>
      </c>
      <c r="O814" s="348">
        <v>10</v>
      </c>
      <c r="P814" s="348">
        <v>12.5</v>
      </c>
      <c r="Q814" s="348">
        <v>0.5</v>
      </c>
    </row>
    <row r="815" spans="1:17" ht="15" hidden="1" customHeight="1">
      <c r="A815" s="163">
        <v>808</v>
      </c>
      <c r="B815" s="53" t="s">
        <v>23</v>
      </c>
      <c r="C815" s="53" t="s">
        <v>9950</v>
      </c>
      <c r="D815" s="53">
        <v>100023526</v>
      </c>
      <c r="E815" s="55" t="s">
        <v>9951</v>
      </c>
      <c r="F815" s="129">
        <v>250</v>
      </c>
      <c r="G815" s="129">
        <v>30000</v>
      </c>
      <c r="H815" s="512">
        <v>20.54</v>
      </c>
      <c r="I815" s="265" t="s">
        <v>359</v>
      </c>
      <c r="J815" s="265" t="s">
        <v>102</v>
      </c>
      <c r="K815" s="265" t="s">
        <v>9952</v>
      </c>
      <c r="L815" s="265" t="s">
        <v>9953</v>
      </c>
      <c r="M815" s="265" t="s">
        <v>9954</v>
      </c>
      <c r="N815" s="347">
        <v>7.2999999999999995E-2</v>
      </c>
      <c r="O815" s="348">
        <v>10</v>
      </c>
      <c r="P815" s="348">
        <v>18.899999999999999</v>
      </c>
      <c r="Q815" s="348">
        <v>0.65</v>
      </c>
    </row>
    <row r="816" spans="1:17" ht="15" hidden="1" customHeight="1">
      <c r="A816" s="163">
        <v>809</v>
      </c>
      <c r="B816" s="53" t="s">
        <v>23</v>
      </c>
      <c r="C816" s="53" t="s">
        <v>9955</v>
      </c>
      <c r="D816" s="53">
        <v>100023527</v>
      </c>
      <c r="E816" s="55" t="s">
        <v>9956</v>
      </c>
      <c r="F816" s="129">
        <v>250</v>
      </c>
      <c r="G816" s="129">
        <v>18750</v>
      </c>
      <c r="H816" s="512">
        <v>19.16</v>
      </c>
      <c r="I816" s="265" t="s">
        <v>76</v>
      </c>
      <c r="J816" s="265" t="s">
        <v>102</v>
      </c>
      <c r="K816" s="265" t="s">
        <v>9957</v>
      </c>
      <c r="L816" s="265" t="s">
        <v>9958</v>
      </c>
      <c r="M816" s="265" t="s">
        <v>9959</v>
      </c>
      <c r="N816" s="347">
        <v>0.13400000000000001</v>
      </c>
      <c r="O816" s="348">
        <v>10</v>
      </c>
      <c r="P816" s="348">
        <v>34.82</v>
      </c>
      <c r="Q816" s="348">
        <v>1.1000000000000001</v>
      </c>
    </row>
    <row r="817" spans="1:17" ht="15" hidden="1" customHeight="1">
      <c r="A817" s="163">
        <v>810</v>
      </c>
      <c r="B817" s="53" t="s">
        <v>23</v>
      </c>
      <c r="C817" s="53" t="s">
        <v>9960</v>
      </c>
      <c r="D817" s="53">
        <v>100023528</v>
      </c>
      <c r="E817" s="55" t="s">
        <v>9961</v>
      </c>
      <c r="F817" s="129">
        <v>100</v>
      </c>
      <c r="G817" s="129">
        <v>12000</v>
      </c>
      <c r="H817" s="512">
        <v>23.91</v>
      </c>
      <c r="I817" s="265" t="s">
        <v>76</v>
      </c>
      <c r="J817" s="265" t="s">
        <v>102</v>
      </c>
      <c r="K817" s="265" t="s">
        <v>9962</v>
      </c>
      <c r="L817" s="265" t="s">
        <v>9963</v>
      </c>
      <c r="M817" s="265" t="s">
        <v>9964</v>
      </c>
      <c r="N817" s="347">
        <v>0.17699999999999999</v>
      </c>
      <c r="O817" s="348">
        <v>10</v>
      </c>
      <c r="P817" s="348">
        <v>18.36</v>
      </c>
      <c r="Q817" s="348">
        <v>0.65</v>
      </c>
    </row>
    <row r="818" spans="1:17" ht="15" hidden="1" customHeight="1">
      <c r="A818" s="163">
        <v>811</v>
      </c>
      <c r="B818" s="53" t="s">
        <v>23</v>
      </c>
      <c r="C818" s="53" t="s">
        <v>9965</v>
      </c>
      <c r="D818" s="53">
        <v>100023529</v>
      </c>
      <c r="E818" s="55" t="s">
        <v>9966</v>
      </c>
      <c r="F818" s="129">
        <v>50</v>
      </c>
      <c r="G818" s="129">
        <v>6000</v>
      </c>
      <c r="H818" s="512">
        <v>30.07</v>
      </c>
      <c r="I818" s="265" t="s">
        <v>76</v>
      </c>
      <c r="J818" s="265" t="s">
        <v>102</v>
      </c>
      <c r="K818" s="265" t="s">
        <v>9967</v>
      </c>
      <c r="L818" s="265" t="s">
        <v>9968</v>
      </c>
      <c r="M818" s="265" t="s">
        <v>9969</v>
      </c>
      <c r="N818" s="347">
        <v>0.27600000000000002</v>
      </c>
      <c r="O818" s="348">
        <v>5</v>
      </c>
      <c r="P818" s="348">
        <v>15.27</v>
      </c>
      <c r="Q818" s="348">
        <v>0.65</v>
      </c>
    </row>
    <row r="819" spans="1:17" ht="15" hidden="1" customHeight="1">
      <c r="A819" s="163">
        <v>812</v>
      </c>
      <c r="B819" s="53" t="s">
        <v>23</v>
      </c>
      <c r="C819" s="53" t="s">
        <v>9970</v>
      </c>
      <c r="D819" s="53">
        <v>100023530</v>
      </c>
      <c r="E819" s="55" t="s">
        <v>9971</v>
      </c>
      <c r="F819" s="129">
        <v>50</v>
      </c>
      <c r="G819" s="129">
        <v>3750</v>
      </c>
      <c r="H819" s="512">
        <v>32.4</v>
      </c>
      <c r="I819" s="265" t="s">
        <v>359</v>
      </c>
      <c r="J819" s="265" t="s">
        <v>102</v>
      </c>
      <c r="K819" s="265" t="s">
        <v>9972</v>
      </c>
      <c r="L819" s="265" t="s">
        <v>9973</v>
      </c>
      <c r="M819" s="265" t="s">
        <v>9974</v>
      </c>
      <c r="N819" s="347">
        <v>0.46</v>
      </c>
      <c r="O819" s="348">
        <v>5</v>
      </c>
      <c r="P819" s="348">
        <v>22.97</v>
      </c>
      <c r="Q819" s="348">
        <v>0.95</v>
      </c>
    </row>
    <row r="820" spans="1:17" ht="15" hidden="1" customHeight="1">
      <c r="A820" s="163">
        <v>813</v>
      </c>
      <c r="B820" s="53" t="s">
        <v>23</v>
      </c>
      <c r="C820" s="53" t="s">
        <v>9975</v>
      </c>
      <c r="D820" s="53">
        <v>100023531</v>
      </c>
      <c r="E820" s="55" t="s">
        <v>9976</v>
      </c>
      <c r="F820" s="129">
        <v>25</v>
      </c>
      <c r="G820" s="129">
        <v>2250</v>
      </c>
      <c r="H820" s="512">
        <v>45.93</v>
      </c>
      <c r="I820" s="265" t="s">
        <v>76</v>
      </c>
      <c r="J820" s="265" t="s">
        <v>102</v>
      </c>
      <c r="K820" s="265" t="s">
        <v>9977</v>
      </c>
      <c r="L820" s="265" t="s">
        <v>9978</v>
      </c>
      <c r="M820" s="265" t="s">
        <v>9979</v>
      </c>
      <c r="N820" s="347">
        <v>0.61599999999999999</v>
      </c>
      <c r="O820" s="348">
        <v>5</v>
      </c>
      <c r="P820" s="348">
        <v>15.89</v>
      </c>
      <c r="Q820" s="348">
        <v>0.8</v>
      </c>
    </row>
    <row r="821" spans="1:17" ht="15" hidden="1" customHeight="1">
      <c r="A821" s="163">
        <v>814</v>
      </c>
      <c r="B821" s="53" t="s">
        <v>23</v>
      </c>
      <c r="C821" s="53" t="s">
        <v>9980</v>
      </c>
      <c r="D821" s="53">
        <v>100023532</v>
      </c>
      <c r="E821" s="55" t="s">
        <v>9981</v>
      </c>
      <c r="F821" s="129">
        <v>25</v>
      </c>
      <c r="G821" s="129">
        <v>1875</v>
      </c>
      <c r="H821" s="512">
        <v>51.71</v>
      </c>
      <c r="I821" s="265" t="s">
        <v>76</v>
      </c>
      <c r="J821" s="265" t="s">
        <v>102</v>
      </c>
      <c r="K821" s="265" t="s">
        <v>9982</v>
      </c>
      <c r="L821" s="265" t="s">
        <v>9983</v>
      </c>
      <c r="M821" s="265" t="s">
        <v>9984</v>
      </c>
      <c r="N821" s="347">
        <v>0.86599999999999999</v>
      </c>
      <c r="O821" s="348">
        <v>5</v>
      </c>
      <c r="P821" s="348">
        <v>21.75</v>
      </c>
      <c r="Q821" s="348">
        <v>1.1000000000000001</v>
      </c>
    </row>
    <row r="822" spans="1:17" ht="15" hidden="1" customHeight="1">
      <c r="A822" s="163">
        <v>815</v>
      </c>
      <c r="B822" s="53" t="s">
        <v>23</v>
      </c>
      <c r="C822" s="53" t="s">
        <v>9985</v>
      </c>
      <c r="D822" s="53">
        <v>100023535</v>
      </c>
      <c r="E822" s="55" t="s">
        <v>9986</v>
      </c>
      <c r="F822" s="129">
        <v>50</v>
      </c>
      <c r="G822" s="129">
        <v>6000</v>
      </c>
      <c r="H822" s="512">
        <v>64.58</v>
      </c>
      <c r="I822" s="265" t="s">
        <v>76</v>
      </c>
      <c r="J822" s="265" t="s">
        <v>102</v>
      </c>
      <c r="K822" s="265" t="s">
        <v>9987</v>
      </c>
      <c r="L822" s="265" t="s">
        <v>9988</v>
      </c>
      <c r="M822" s="265" t="s">
        <v>9989</v>
      </c>
      <c r="N822" s="347">
        <v>0.23599999999999999</v>
      </c>
      <c r="O822" s="348">
        <v>5</v>
      </c>
      <c r="P822" s="348">
        <v>11.4</v>
      </c>
      <c r="Q822" s="348">
        <v>0.65</v>
      </c>
    </row>
    <row r="823" spans="1:17" ht="15" hidden="1" customHeight="1">
      <c r="A823" s="163">
        <v>816</v>
      </c>
      <c r="B823" s="53" t="s">
        <v>23</v>
      </c>
      <c r="C823" s="53" t="s">
        <v>9990</v>
      </c>
      <c r="D823" s="53">
        <v>100023536</v>
      </c>
      <c r="E823" s="55" t="s">
        <v>9991</v>
      </c>
      <c r="F823" s="129">
        <v>50</v>
      </c>
      <c r="G823" s="129">
        <v>3750</v>
      </c>
      <c r="H823" s="512">
        <v>85.06</v>
      </c>
      <c r="I823" s="265" t="s">
        <v>76</v>
      </c>
      <c r="J823" s="265" t="s">
        <v>102</v>
      </c>
      <c r="K823" s="265" t="s">
        <v>9992</v>
      </c>
      <c r="L823" s="265" t="s">
        <v>9993</v>
      </c>
      <c r="M823" s="265" t="s">
        <v>9994</v>
      </c>
      <c r="N823" s="347">
        <v>0.41199999999999998</v>
      </c>
      <c r="O823" s="348">
        <v>5</v>
      </c>
      <c r="P823" s="348">
        <v>21.54</v>
      </c>
      <c r="Q823" s="348">
        <v>1.1000000000000001</v>
      </c>
    </row>
    <row r="824" spans="1:17" ht="15" hidden="1" customHeight="1">
      <c r="A824" s="163">
        <v>817</v>
      </c>
      <c r="B824" s="53" t="s">
        <v>23</v>
      </c>
      <c r="C824" s="53" t="s">
        <v>9995</v>
      </c>
      <c r="D824" s="53">
        <v>100023538</v>
      </c>
      <c r="E824" s="55" t="s">
        <v>9996</v>
      </c>
      <c r="F824" s="129">
        <v>50</v>
      </c>
      <c r="G824" s="129">
        <v>6000</v>
      </c>
      <c r="H824" s="512">
        <v>69.02</v>
      </c>
      <c r="I824" s="265" t="s">
        <v>76</v>
      </c>
      <c r="J824" s="265" t="s">
        <v>102</v>
      </c>
      <c r="K824" s="265" t="s">
        <v>9997</v>
      </c>
      <c r="L824" s="265" t="s">
        <v>9998</v>
      </c>
      <c r="M824" s="265" t="s">
        <v>9999</v>
      </c>
      <c r="N824" s="347">
        <v>0.22700000000000001</v>
      </c>
      <c r="O824" s="348">
        <v>5</v>
      </c>
      <c r="P824" s="348">
        <v>12.36</v>
      </c>
      <c r="Q824" s="348">
        <v>0.65</v>
      </c>
    </row>
    <row r="825" spans="1:17" ht="15" hidden="1" customHeight="1">
      <c r="A825" s="163">
        <v>818</v>
      </c>
      <c r="B825" s="53" t="s">
        <v>23</v>
      </c>
      <c r="C825" s="53" t="s">
        <v>10000</v>
      </c>
      <c r="D825" s="53">
        <v>100028108</v>
      </c>
      <c r="E825" s="55" t="s">
        <v>10001</v>
      </c>
      <c r="F825" s="129">
        <v>150</v>
      </c>
      <c r="G825" s="129">
        <v>0</v>
      </c>
      <c r="H825" s="512">
        <v>29.77</v>
      </c>
      <c r="I825" s="265" t="s">
        <v>359</v>
      </c>
      <c r="J825" s="265" t="s">
        <v>102</v>
      </c>
      <c r="K825" s="265" t="s">
        <v>10002</v>
      </c>
      <c r="L825" s="348" t="s">
        <v>1205</v>
      </c>
      <c r="M825" s="265" t="s">
        <v>10003</v>
      </c>
      <c r="N825" s="347">
        <v>3.3000000000000002E-2</v>
      </c>
      <c r="O825" s="348" t="s">
        <v>1205</v>
      </c>
      <c r="P825" s="348">
        <v>4.95</v>
      </c>
      <c r="Q825" s="348" t="s">
        <v>1205</v>
      </c>
    </row>
    <row r="826" spans="1:17" ht="15" hidden="1" customHeight="1">
      <c r="A826" s="163">
        <v>819</v>
      </c>
      <c r="B826" s="53" t="s">
        <v>23</v>
      </c>
      <c r="C826" s="53" t="s">
        <v>10004</v>
      </c>
      <c r="D826" s="53">
        <v>100028109</v>
      </c>
      <c r="E826" s="55" t="s">
        <v>10005</v>
      </c>
      <c r="F826" s="129">
        <v>200</v>
      </c>
      <c r="G826" s="129">
        <v>0</v>
      </c>
      <c r="H826" s="512">
        <v>29.77</v>
      </c>
      <c r="I826" s="265" t="s">
        <v>359</v>
      </c>
      <c r="J826" s="265" t="s">
        <v>102</v>
      </c>
      <c r="K826" s="265" t="s">
        <v>10006</v>
      </c>
      <c r="L826" s="348" t="s">
        <v>1205</v>
      </c>
      <c r="M826" s="265" t="s">
        <v>10007</v>
      </c>
      <c r="N826" s="347">
        <v>5.7000000000000002E-2</v>
      </c>
      <c r="O826" s="348" t="s">
        <v>1205</v>
      </c>
      <c r="P826" s="348">
        <v>11.46</v>
      </c>
      <c r="Q826" s="348" t="s">
        <v>1205</v>
      </c>
    </row>
    <row r="827" spans="1:17" ht="15" hidden="1" customHeight="1">
      <c r="A827" s="163">
        <v>820</v>
      </c>
      <c r="B827" s="53" t="s">
        <v>23</v>
      </c>
      <c r="C827" s="53" t="s">
        <v>10008</v>
      </c>
      <c r="D827" s="53">
        <v>100023541</v>
      </c>
      <c r="E827" s="55" t="s">
        <v>10009</v>
      </c>
      <c r="F827" s="129">
        <v>250</v>
      </c>
      <c r="G827" s="129">
        <v>18750</v>
      </c>
      <c r="H827" s="512">
        <v>15.61</v>
      </c>
      <c r="I827" s="265" t="s">
        <v>76</v>
      </c>
      <c r="J827" s="265" t="s">
        <v>102</v>
      </c>
      <c r="K827" s="265" t="s">
        <v>10010</v>
      </c>
      <c r="L827" s="265" t="s">
        <v>10011</v>
      </c>
      <c r="M827" s="265" t="s">
        <v>10012</v>
      </c>
      <c r="N827" s="347">
        <v>7.4999999999999997E-2</v>
      </c>
      <c r="O827" s="348">
        <v>10</v>
      </c>
      <c r="P827" s="348">
        <v>18.55</v>
      </c>
      <c r="Q827" s="348">
        <v>0.95</v>
      </c>
    </row>
    <row r="828" spans="1:17" ht="15" hidden="1" customHeight="1">
      <c r="A828" s="163">
        <v>821</v>
      </c>
      <c r="B828" s="53" t="s">
        <v>23</v>
      </c>
      <c r="C828" s="53" t="s">
        <v>10013</v>
      </c>
      <c r="D828" s="53">
        <v>100023542</v>
      </c>
      <c r="E828" s="55" t="s">
        <v>10014</v>
      </c>
      <c r="F828" s="129">
        <v>100</v>
      </c>
      <c r="G828" s="129">
        <v>12000</v>
      </c>
      <c r="H828" s="512">
        <v>23.85</v>
      </c>
      <c r="I828" s="265" t="s">
        <v>76</v>
      </c>
      <c r="J828" s="265" t="s">
        <v>102</v>
      </c>
      <c r="K828" s="265" t="s">
        <v>10015</v>
      </c>
      <c r="L828" s="265" t="s">
        <v>10016</v>
      </c>
      <c r="M828" s="265" t="s">
        <v>10017</v>
      </c>
      <c r="N828" s="347">
        <v>0.13200000000000001</v>
      </c>
      <c r="O828" s="348">
        <v>10</v>
      </c>
      <c r="P828" s="348">
        <v>12.96</v>
      </c>
      <c r="Q828" s="348">
        <v>0.65</v>
      </c>
    </row>
    <row r="829" spans="1:17" ht="15" hidden="1" customHeight="1">
      <c r="A829" s="163">
        <v>822</v>
      </c>
      <c r="B829" s="53" t="s">
        <v>23</v>
      </c>
      <c r="C829" s="53" t="s">
        <v>10018</v>
      </c>
      <c r="D829" s="53">
        <v>100023543</v>
      </c>
      <c r="E829" s="55" t="s">
        <v>10019</v>
      </c>
      <c r="F829" s="129">
        <v>50</v>
      </c>
      <c r="G829" s="129">
        <v>7500</v>
      </c>
      <c r="H829" s="512">
        <v>35.729999999999997</v>
      </c>
      <c r="I829" s="265" t="s">
        <v>76</v>
      </c>
      <c r="J829" s="265" t="s">
        <v>102</v>
      </c>
      <c r="K829" s="265" t="s">
        <v>10020</v>
      </c>
      <c r="L829" s="265" t="s">
        <v>10021</v>
      </c>
      <c r="M829" s="265" t="s">
        <v>10022</v>
      </c>
      <c r="N829" s="347">
        <v>0.18</v>
      </c>
      <c r="O829" s="348">
        <v>10</v>
      </c>
      <c r="P829" s="348">
        <v>9.85</v>
      </c>
      <c r="Q829" s="348">
        <v>0.5</v>
      </c>
    </row>
    <row r="830" spans="1:17" ht="15" hidden="1" customHeight="1">
      <c r="A830" s="163">
        <v>823</v>
      </c>
      <c r="B830" s="53" t="s">
        <v>23</v>
      </c>
      <c r="C830" s="53" t="s">
        <v>10023</v>
      </c>
      <c r="D830" s="53">
        <v>100023544</v>
      </c>
      <c r="E830" s="55" t="s">
        <v>10024</v>
      </c>
      <c r="F830" s="129">
        <v>50</v>
      </c>
      <c r="G830" s="129">
        <v>4500</v>
      </c>
      <c r="H830" s="512">
        <v>45.53</v>
      </c>
      <c r="I830" s="265" t="s">
        <v>76</v>
      </c>
      <c r="J830" s="265" t="s">
        <v>102</v>
      </c>
      <c r="K830" s="265" t="s">
        <v>10025</v>
      </c>
      <c r="L830" s="265" t="s">
        <v>10026</v>
      </c>
      <c r="M830" s="265" t="s">
        <v>10027</v>
      </c>
      <c r="N830" s="347">
        <v>0.28100000000000003</v>
      </c>
      <c r="O830" s="348">
        <v>10</v>
      </c>
      <c r="P830" s="348">
        <v>14.35</v>
      </c>
      <c r="Q830" s="348">
        <v>0.8</v>
      </c>
    </row>
    <row r="831" spans="1:17" ht="15" hidden="1" customHeight="1">
      <c r="A831" s="163">
        <v>824</v>
      </c>
      <c r="B831" s="53" t="s">
        <v>23</v>
      </c>
      <c r="C831" s="53" t="s">
        <v>10028</v>
      </c>
      <c r="D831" s="53">
        <v>100023545</v>
      </c>
      <c r="E831" s="55" t="s">
        <v>10029</v>
      </c>
      <c r="F831" s="129">
        <v>50</v>
      </c>
      <c r="G831" s="129">
        <v>3750</v>
      </c>
      <c r="H831" s="512">
        <v>53.82</v>
      </c>
      <c r="I831" s="265" t="s">
        <v>76</v>
      </c>
      <c r="J831" s="265" t="s">
        <v>102</v>
      </c>
      <c r="K831" s="265" t="s">
        <v>10030</v>
      </c>
      <c r="L831" s="265" t="s">
        <v>10031</v>
      </c>
      <c r="M831" s="265" t="s">
        <v>10032</v>
      </c>
      <c r="N831" s="347">
        <v>0.371</v>
      </c>
      <c r="O831" s="348">
        <v>5</v>
      </c>
      <c r="P831" s="348">
        <v>18.420000000000002</v>
      </c>
      <c r="Q831" s="348">
        <v>1.1000000000000001</v>
      </c>
    </row>
    <row r="832" spans="1:17" ht="15" hidden="1" customHeight="1">
      <c r="A832" s="163">
        <v>825</v>
      </c>
      <c r="B832" s="53" t="s">
        <v>23</v>
      </c>
      <c r="C832" s="53" t="s">
        <v>10033</v>
      </c>
      <c r="D832" s="53">
        <v>100023546</v>
      </c>
      <c r="E832" s="55" t="s">
        <v>10034</v>
      </c>
      <c r="F832" s="129">
        <v>25</v>
      </c>
      <c r="G832" s="129">
        <v>1875</v>
      </c>
      <c r="H832" s="512">
        <v>69.73</v>
      </c>
      <c r="I832" s="265" t="s">
        <v>76</v>
      </c>
      <c r="J832" s="265" t="s">
        <v>102</v>
      </c>
      <c r="K832" s="265" t="s">
        <v>10035</v>
      </c>
      <c r="L832" s="265" t="s">
        <v>10036</v>
      </c>
      <c r="M832" s="265" t="s">
        <v>10037</v>
      </c>
      <c r="N832" s="347">
        <v>0.51</v>
      </c>
      <c r="O832" s="348">
        <v>5</v>
      </c>
      <c r="P832" s="348">
        <v>14.26</v>
      </c>
      <c r="Q832" s="348">
        <v>1.1000000000000001</v>
      </c>
    </row>
    <row r="833" spans="1:17" ht="15" hidden="1" customHeight="1">
      <c r="A833" s="163">
        <v>826</v>
      </c>
      <c r="B833" s="53" t="s">
        <v>23</v>
      </c>
      <c r="C833" s="53" t="s">
        <v>10038</v>
      </c>
      <c r="D833" s="53">
        <v>100023547</v>
      </c>
      <c r="E833" s="55" t="s">
        <v>10039</v>
      </c>
      <c r="F833" s="129">
        <v>10</v>
      </c>
      <c r="G833" s="129">
        <v>900</v>
      </c>
      <c r="H833" s="512">
        <v>146.44</v>
      </c>
      <c r="I833" s="265" t="s">
        <v>76</v>
      </c>
      <c r="J833" s="265" t="s">
        <v>102</v>
      </c>
      <c r="K833" s="265" t="s">
        <v>10040</v>
      </c>
      <c r="L833" s="348" t="s">
        <v>1205</v>
      </c>
      <c r="M833" s="265" t="s">
        <v>10041</v>
      </c>
      <c r="N833" s="347">
        <v>1.2050000000000001</v>
      </c>
      <c r="O833" s="348" t="s">
        <v>1205</v>
      </c>
      <c r="P833" s="348">
        <v>12.23</v>
      </c>
      <c r="Q833" s="348">
        <v>0.8</v>
      </c>
    </row>
    <row r="834" spans="1:17" ht="15" hidden="1" customHeight="1">
      <c r="A834" s="163">
        <v>827</v>
      </c>
      <c r="B834" s="53" t="s">
        <v>23</v>
      </c>
      <c r="C834" s="53" t="s">
        <v>10042</v>
      </c>
      <c r="D834" s="53">
        <v>100023548</v>
      </c>
      <c r="E834" s="55" t="s">
        <v>10043</v>
      </c>
      <c r="F834" s="129">
        <v>10</v>
      </c>
      <c r="G834" s="129">
        <v>750</v>
      </c>
      <c r="H834" s="512">
        <v>178.22</v>
      </c>
      <c r="I834" s="265" t="s">
        <v>76</v>
      </c>
      <c r="J834" s="265" t="s">
        <v>102</v>
      </c>
      <c r="K834" s="265" t="s">
        <v>10044</v>
      </c>
      <c r="L834" s="348" t="s">
        <v>1205</v>
      </c>
      <c r="M834" s="265" t="s">
        <v>10045</v>
      </c>
      <c r="N834" s="347">
        <v>1.4890000000000001</v>
      </c>
      <c r="O834" s="348" t="s">
        <v>1205</v>
      </c>
      <c r="P834" s="348">
        <v>16.03</v>
      </c>
      <c r="Q834" s="348">
        <v>1.1000000000000001</v>
      </c>
    </row>
    <row r="835" spans="1:17" ht="15" hidden="1" customHeight="1">
      <c r="A835" s="163">
        <v>828</v>
      </c>
      <c r="B835" s="53" t="s">
        <v>23</v>
      </c>
      <c r="C835" s="53" t="s">
        <v>10046</v>
      </c>
      <c r="D835" s="53">
        <v>100023549</v>
      </c>
      <c r="E835" s="55" t="s">
        <v>10047</v>
      </c>
      <c r="F835" s="129">
        <v>4</v>
      </c>
      <c r="G835" s="129">
        <v>240</v>
      </c>
      <c r="H835" s="512">
        <v>320.88</v>
      </c>
      <c r="I835" s="265" t="s">
        <v>76</v>
      </c>
      <c r="J835" s="265" t="s">
        <v>102</v>
      </c>
      <c r="K835" s="265" t="s">
        <v>10048</v>
      </c>
      <c r="L835" s="348" t="s">
        <v>1205</v>
      </c>
      <c r="M835" s="265" t="s">
        <v>10049</v>
      </c>
      <c r="N835" s="347">
        <v>2.734</v>
      </c>
      <c r="O835" s="348" t="s">
        <v>1205</v>
      </c>
      <c r="P835" s="348">
        <v>12.16</v>
      </c>
      <c r="Q835" s="348">
        <v>1.25</v>
      </c>
    </row>
    <row r="836" spans="1:17" ht="15" hidden="1" customHeight="1">
      <c r="A836" s="163">
        <v>829</v>
      </c>
      <c r="B836" s="53" t="s">
        <v>23</v>
      </c>
      <c r="C836" s="53" t="s">
        <v>10050</v>
      </c>
      <c r="D836" s="53">
        <v>100023550</v>
      </c>
      <c r="E836" s="55" t="s">
        <v>10051</v>
      </c>
      <c r="F836" s="129">
        <v>2</v>
      </c>
      <c r="G836" s="129">
        <v>120</v>
      </c>
      <c r="H836" s="512">
        <v>404.12</v>
      </c>
      <c r="I836" s="265" t="s">
        <v>76</v>
      </c>
      <c r="J836" s="265" t="s">
        <v>102</v>
      </c>
      <c r="K836" s="265" t="s">
        <v>10052</v>
      </c>
      <c r="L836" s="348" t="s">
        <v>1205</v>
      </c>
      <c r="M836" s="265" t="s">
        <v>10053</v>
      </c>
      <c r="N836" s="347">
        <v>5.4939999999999998</v>
      </c>
      <c r="O836" s="348" t="s">
        <v>1205</v>
      </c>
      <c r="P836" s="348">
        <v>11.9</v>
      </c>
      <c r="Q836" s="348">
        <v>1.41</v>
      </c>
    </row>
    <row r="837" spans="1:17" ht="15" hidden="1" customHeight="1">
      <c r="A837" s="163">
        <v>830</v>
      </c>
      <c r="B837" s="53" t="s">
        <v>23</v>
      </c>
      <c r="C837" s="53" t="s">
        <v>10054</v>
      </c>
      <c r="D837" s="53">
        <v>100023551</v>
      </c>
      <c r="E837" s="55" t="s">
        <v>10055</v>
      </c>
      <c r="F837" s="129">
        <v>2</v>
      </c>
      <c r="G837" s="129">
        <v>48</v>
      </c>
      <c r="H837" s="512">
        <v>876.15</v>
      </c>
      <c r="I837" s="265" t="s">
        <v>76</v>
      </c>
      <c r="J837" s="265" t="s">
        <v>102</v>
      </c>
      <c r="K837" s="265" t="s">
        <v>10056</v>
      </c>
      <c r="L837" s="348" t="s">
        <v>1205</v>
      </c>
      <c r="M837" s="265" t="s">
        <v>10057</v>
      </c>
      <c r="N837" s="347">
        <v>13.265000000000001</v>
      </c>
      <c r="O837" s="348" t="s">
        <v>1205</v>
      </c>
      <c r="P837" s="348">
        <v>28.34</v>
      </c>
      <c r="Q837" s="348">
        <v>2.77</v>
      </c>
    </row>
    <row r="838" spans="1:17" ht="15" hidden="1" customHeight="1">
      <c r="A838" s="163">
        <v>831</v>
      </c>
      <c r="B838" s="53" t="s">
        <v>23</v>
      </c>
      <c r="C838" s="53" t="s">
        <v>10058</v>
      </c>
      <c r="D838" s="53">
        <v>100028116</v>
      </c>
      <c r="E838" s="55" t="s">
        <v>10059</v>
      </c>
      <c r="F838" s="129">
        <v>25</v>
      </c>
      <c r="G838" s="129">
        <v>0</v>
      </c>
      <c r="H838" s="512">
        <v>63.31</v>
      </c>
      <c r="I838" s="265" t="s">
        <v>76</v>
      </c>
      <c r="J838" s="265" t="s">
        <v>102</v>
      </c>
      <c r="K838" s="265" t="s">
        <v>10060</v>
      </c>
      <c r="L838" s="348" t="s">
        <v>1205</v>
      </c>
      <c r="M838" s="265" t="s">
        <v>10061</v>
      </c>
      <c r="N838" s="347">
        <v>0.26700000000000002</v>
      </c>
      <c r="O838" s="348" t="s">
        <v>1205</v>
      </c>
      <c r="P838" s="348">
        <v>6.6680000000000001</v>
      </c>
      <c r="Q838" s="348" t="s">
        <v>1205</v>
      </c>
    </row>
    <row r="839" spans="1:17" ht="15" hidden="1" customHeight="1">
      <c r="A839" s="163">
        <v>832</v>
      </c>
      <c r="B839" s="53" t="s">
        <v>23</v>
      </c>
      <c r="C839" s="53" t="s">
        <v>10062</v>
      </c>
      <c r="D839" s="53">
        <v>100028118</v>
      </c>
      <c r="E839" s="55" t="s">
        <v>10063</v>
      </c>
      <c r="F839" s="129">
        <v>20</v>
      </c>
      <c r="G839" s="129">
        <v>0</v>
      </c>
      <c r="H839" s="512">
        <v>117.98</v>
      </c>
      <c r="I839" s="265" t="s">
        <v>76</v>
      </c>
      <c r="J839" s="265" t="s">
        <v>102</v>
      </c>
      <c r="K839" s="265" t="s">
        <v>10064</v>
      </c>
      <c r="L839" s="348" t="s">
        <v>1205</v>
      </c>
      <c r="M839" s="265" t="s">
        <v>10065</v>
      </c>
      <c r="N839" s="347">
        <v>0.52</v>
      </c>
      <c r="O839" s="348" t="s">
        <v>1205</v>
      </c>
      <c r="P839" s="348">
        <v>10.404</v>
      </c>
      <c r="Q839" s="348" t="s">
        <v>1205</v>
      </c>
    </row>
    <row r="840" spans="1:17" ht="15" hidden="1" customHeight="1">
      <c r="A840" s="163">
        <v>833</v>
      </c>
      <c r="B840" s="53" t="s">
        <v>23</v>
      </c>
      <c r="C840" s="53" t="s">
        <v>10066</v>
      </c>
      <c r="D840" s="53">
        <v>100028119</v>
      </c>
      <c r="E840" s="55" t="s">
        <v>10067</v>
      </c>
      <c r="F840" s="129">
        <v>15</v>
      </c>
      <c r="G840" s="129">
        <v>0</v>
      </c>
      <c r="H840" s="512">
        <v>375.5</v>
      </c>
      <c r="I840" s="265" t="s">
        <v>359</v>
      </c>
      <c r="J840" s="265" t="s">
        <v>102</v>
      </c>
      <c r="K840" s="265" t="s">
        <v>10068</v>
      </c>
      <c r="L840" s="348" t="s">
        <v>1205</v>
      </c>
      <c r="M840" s="265" t="s">
        <v>10069</v>
      </c>
      <c r="N840" s="347">
        <v>1.429</v>
      </c>
      <c r="O840" s="348" t="s">
        <v>1205</v>
      </c>
      <c r="P840" s="348">
        <v>21.428999999999998</v>
      </c>
      <c r="Q840" s="348" t="s">
        <v>1205</v>
      </c>
    </row>
    <row r="841" spans="1:17" ht="15" hidden="1" customHeight="1">
      <c r="A841" s="163">
        <v>834</v>
      </c>
      <c r="B841" s="53" t="s">
        <v>23</v>
      </c>
      <c r="C841" s="53" t="s">
        <v>10070</v>
      </c>
      <c r="D841" s="53">
        <v>100028120</v>
      </c>
      <c r="E841" s="55" t="s">
        <v>10071</v>
      </c>
      <c r="F841" s="129">
        <v>5</v>
      </c>
      <c r="G841" s="129">
        <v>0</v>
      </c>
      <c r="H841" s="512">
        <v>538.83000000000004</v>
      </c>
      <c r="I841" s="265" t="s">
        <v>359</v>
      </c>
      <c r="J841" s="265" t="s">
        <v>102</v>
      </c>
      <c r="K841" s="265" t="s">
        <v>10072</v>
      </c>
      <c r="L841" s="348" t="s">
        <v>1205</v>
      </c>
      <c r="M841" s="265" t="s">
        <v>10073</v>
      </c>
      <c r="N841" s="347">
        <v>2.5129999999999999</v>
      </c>
      <c r="O841" s="348" t="s">
        <v>1205</v>
      </c>
      <c r="P841" s="348">
        <v>12.566000000000001</v>
      </c>
      <c r="Q841" s="348" t="s">
        <v>1205</v>
      </c>
    </row>
    <row r="842" spans="1:17" ht="15" hidden="1" customHeight="1">
      <c r="A842" s="163">
        <v>835</v>
      </c>
      <c r="B842" s="53" t="s">
        <v>23</v>
      </c>
      <c r="C842" s="53" t="s">
        <v>10074</v>
      </c>
      <c r="D842" s="53">
        <v>100028121</v>
      </c>
      <c r="E842" s="55" t="s">
        <v>10075</v>
      </c>
      <c r="F842" s="129">
        <v>200</v>
      </c>
      <c r="G842" s="129">
        <v>0</v>
      </c>
      <c r="H842" s="512">
        <v>23.98</v>
      </c>
      <c r="I842" s="265" t="s">
        <v>359</v>
      </c>
      <c r="J842" s="265" t="s">
        <v>102</v>
      </c>
      <c r="K842" s="265" t="s">
        <v>10076</v>
      </c>
      <c r="L842" s="265">
        <v>0</v>
      </c>
      <c r="M842" s="265" t="s">
        <v>10077</v>
      </c>
      <c r="N842" s="347">
        <v>2.9000000000000001E-2</v>
      </c>
      <c r="O842" s="348">
        <v>100</v>
      </c>
      <c r="P842" s="348">
        <v>5.72</v>
      </c>
      <c r="Q842" s="348" t="s">
        <v>1205</v>
      </c>
    </row>
    <row r="843" spans="1:17" ht="15" hidden="1" customHeight="1">
      <c r="A843" s="163">
        <v>836</v>
      </c>
      <c r="B843" s="53" t="s">
        <v>23</v>
      </c>
      <c r="C843" s="53" t="s">
        <v>10078</v>
      </c>
      <c r="D843" s="53">
        <v>100028122</v>
      </c>
      <c r="E843" s="55" t="s">
        <v>10079</v>
      </c>
      <c r="F843" s="129">
        <v>50</v>
      </c>
      <c r="G843" s="129">
        <v>0</v>
      </c>
      <c r="H843" s="512">
        <v>23.98</v>
      </c>
      <c r="I843" s="265" t="s">
        <v>359</v>
      </c>
      <c r="J843" s="265" t="s">
        <v>102</v>
      </c>
      <c r="K843" s="265" t="s">
        <v>10080</v>
      </c>
      <c r="L843" s="348" t="s">
        <v>1205</v>
      </c>
      <c r="M843" s="265" t="s">
        <v>10081</v>
      </c>
      <c r="N843" s="347">
        <v>3.4000000000000002E-2</v>
      </c>
      <c r="O843" s="348" t="s">
        <v>1205</v>
      </c>
      <c r="P843" s="348">
        <v>2.09</v>
      </c>
      <c r="Q843" s="348" t="s">
        <v>1205</v>
      </c>
    </row>
    <row r="844" spans="1:17" ht="15" hidden="1" customHeight="1">
      <c r="A844" s="163">
        <v>837</v>
      </c>
      <c r="B844" s="53" t="s">
        <v>23</v>
      </c>
      <c r="C844" s="53" t="s">
        <v>10082</v>
      </c>
      <c r="D844" s="53">
        <v>100023552</v>
      </c>
      <c r="E844" s="55" t="s">
        <v>10083</v>
      </c>
      <c r="F844" s="129">
        <v>250</v>
      </c>
      <c r="G844" s="129">
        <v>30000</v>
      </c>
      <c r="H844" s="512">
        <v>15.02</v>
      </c>
      <c r="I844" s="265" t="s">
        <v>76</v>
      </c>
      <c r="J844" s="265" t="s">
        <v>102</v>
      </c>
      <c r="K844" s="265" t="s">
        <v>10084</v>
      </c>
      <c r="L844" s="265" t="s">
        <v>10085</v>
      </c>
      <c r="M844" s="265" t="s">
        <v>10086</v>
      </c>
      <c r="N844" s="347">
        <v>5.3999999999999999E-2</v>
      </c>
      <c r="O844" s="348">
        <v>10</v>
      </c>
      <c r="P844" s="348">
        <v>13.17</v>
      </c>
      <c r="Q844" s="348">
        <v>0.65</v>
      </c>
    </row>
    <row r="845" spans="1:17" ht="15" hidden="1" customHeight="1">
      <c r="A845" s="163">
        <v>838</v>
      </c>
      <c r="B845" s="53" t="s">
        <v>23</v>
      </c>
      <c r="C845" s="53" t="s">
        <v>10087</v>
      </c>
      <c r="D845" s="53">
        <v>100023553</v>
      </c>
      <c r="E845" s="55" t="s">
        <v>10088</v>
      </c>
      <c r="F845" s="129">
        <v>250</v>
      </c>
      <c r="G845" s="129">
        <v>18750</v>
      </c>
      <c r="H845" s="512">
        <v>20.28</v>
      </c>
      <c r="I845" s="265" t="s">
        <v>76</v>
      </c>
      <c r="J845" s="265" t="s">
        <v>102</v>
      </c>
      <c r="K845" s="265" t="s">
        <v>10089</v>
      </c>
      <c r="L845" s="265" t="s">
        <v>10090</v>
      </c>
      <c r="M845" s="265" t="s">
        <v>10091</v>
      </c>
      <c r="N845" s="347">
        <v>7.1999999999999995E-2</v>
      </c>
      <c r="O845" s="348">
        <v>10</v>
      </c>
      <c r="P845" s="348">
        <v>19.25</v>
      </c>
      <c r="Q845" s="348">
        <v>0.95</v>
      </c>
    </row>
    <row r="846" spans="1:17" ht="15" hidden="1" customHeight="1">
      <c r="A846" s="163">
        <v>839</v>
      </c>
      <c r="B846" s="53" t="s">
        <v>23</v>
      </c>
      <c r="C846" s="53" t="s">
        <v>10092</v>
      </c>
      <c r="D846" s="53">
        <v>100023555</v>
      </c>
      <c r="E846" s="55" t="s">
        <v>10093</v>
      </c>
      <c r="F846" s="129">
        <v>100</v>
      </c>
      <c r="G846" s="129">
        <v>9000</v>
      </c>
      <c r="H846" s="512">
        <v>20.89</v>
      </c>
      <c r="I846" s="265" t="s">
        <v>76</v>
      </c>
      <c r="J846" s="265" t="s">
        <v>102</v>
      </c>
      <c r="K846" s="265" t="s">
        <v>10094</v>
      </c>
      <c r="L846" s="265" t="s">
        <v>10095</v>
      </c>
      <c r="M846" s="265" t="s">
        <v>10096</v>
      </c>
      <c r="N846" s="347">
        <v>0.13200000000000001</v>
      </c>
      <c r="O846" s="348">
        <v>10</v>
      </c>
      <c r="P846" s="348">
        <v>14.21</v>
      </c>
      <c r="Q846" s="348">
        <v>0.8</v>
      </c>
    </row>
    <row r="847" spans="1:17" ht="15" hidden="1" customHeight="1">
      <c r="A847" s="163">
        <v>840</v>
      </c>
      <c r="B847" s="53" t="s">
        <v>23</v>
      </c>
      <c r="C847" s="53" t="s">
        <v>10097</v>
      </c>
      <c r="D847" s="53">
        <v>100023556</v>
      </c>
      <c r="E847" s="55" t="s">
        <v>10098</v>
      </c>
      <c r="F847" s="129">
        <v>50</v>
      </c>
      <c r="G847" s="129">
        <v>6000</v>
      </c>
      <c r="H847" s="512">
        <v>31.77</v>
      </c>
      <c r="I847" s="265" t="s">
        <v>76</v>
      </c>
      <c r="J847" s="265" t="s">
        <v>102</v>
      </c>
      <c r="K847" s="265" t="s">
        <v>10099</v>
      </c>
      <c r="L847" s="265" t="s">
        <v>10100</v>
      </c>
      <c r="M847" s="265" t="s">
        <v>10101</v>
      </c>
      <c r="N847" s="347">
        <v>0.19</v>
      </c>
      <c r="O847" s="348">
        <v>5</v>
      </c>
      <c r="P847" s="348">
        <v>10.73</v>
      </c>
      <c r="Q847" s="348">
        <v>0.65</v>
      </c>
    </row>
    <row r="848" spans="1:17" ht="15" hidden="1" customHeight="1">
      <c r="A848" s="163">
        <v>841</v>
      </c>
      <c r="B848" s="53" t="s">
        <v>23</v>
      </c>
      <c r="C848" s="53" t="s">
        <v>10102</v>
      </c>
      <c r="D848" s="53">
        <v>100023557</v>
      </c>
      <c r="E848" s="55" t="s">
        <v>10103</v>
      </c>
      <c r="F848" s="129">
        <v>50</v>
      </c>
      <c r="G848" s="129">
        <v>3750</v>
      </c>
      <c r="H848" s="512">
        <v>34.24</v>
      </c>
      <c r="I848" s="265" t="s">
        <v>76</v>
      </c>
      <c r="J848" s="265" t="s">
        <v>102</v>
      </c>
      <c r="K848" s="265" t="s">
        <v>10104</v>
      </c>
      <c r="L848" s="265" t="s">
        <v>10105</v>
      </c>
      <c r="M848" s="265" t="s">
        <v>10106</v>
      </c>
      <c r="N848" s="347">
        <v>0.29299999999999998</v>
      </c>
      <c r="O848" s="348">
        <v>5</v>
      </c>
      <c r="P848" s="348">
        <v>14.74</v>
      </c>
      <c r="Q848" s="348">
        <v>0.95</v>
      </c>
    </row>
    <row r="849" spans="1:17" ht="15" hidden="1" customHeight="1">
      <c r="A849" s="163">
        <v>842</v>
      </c>
      <c r="B849" s="53" t="s">
        <v>23</v>
      </c>
      <c r="C849" s="53" t="s">
        <v>10107</v>
      </c>
      <c r="D849" s="53">
        <v>100023558</v>
      </c>
      <c r="E849" s="55" t="s">
        <v>10108</v>
      </c>
      <c r="F849" s="129">
        <v>25</v>
      </c>
      <c r="G849" s="129">
        <v>2250</v>
      </c>
      <c r="H849" s="512">
        <v>36.76</v>
      </c>
      <c r="I849" s="265" t="s">
        <v>76</v>
      </c>
      <c r="J849" s="265" t="s">
        <v>102</v>
      </c>
      <c r="K849" s="265" t="s">
        <v>10109</v>
      </c>
      <c r="L849" s="265" t="s">
        <v>10110</v>
      </c>
      <c r="M849" s="265" t="s">
        <v>10111</v>
      </c>
      <c r="N849" s="347">
        <v>0.378</v>
      </c>
      <c r="O849" s="348">
        <v>5</v>
      </c>
      <c r="P849" s="348">
        <v>10.65</v>
      </c>
      <c r="Q849" s="348">
        <v>0.8</v>
      </c>
    </row>
    <row r="850" spans="1:17" ht="15" hidden="1" customHeight="1">
      <c r="A850" s="163">
        <v>843</v>
      </c>
      <c r="B850" s="53" t="s">
        <v>23</v>
      </c>
      <c r="C850" s="53" t="s">
        <v>10112</v>
      </c>
      <c r="D850" s="53">
        <v>100023559</v>
      </c>
      <c r="E850" s="55" t="s">
        <v>10113</v>
      </c>
      <c r="F850" s="129">
        <v>25</v>
      </c>
      <c r="G850" s="129">
        <v>1875</v>
      </c>
      <c r="H850" s="512">
        <v>90.53</v>
      </c>
      <c r="I850" s="265" t="s">
        <v>76</v>
      </c>
      <c r="J850" s="265" t="s">
        <v>102</v>
      </c>
      <c r="K850" s="265" t="s">
        <v>10114</v>
      </c>
      <c r="L850" s="265" t="s">
        <v>10115</v>
      </c>
      <c r="M850" s="265" t="s">
        <v>10116</v>
      </c>
      <c r="N850" s="347">
        <v>0.754</v>
      </c>
      <c r="O850" s="348">
        <v>5</v>
      </c>
      <c r="P850" s="348">
        <v>18.66</v>
      </c>
      <c r="Q850" s="348">
        <v>1.1000000000000001</v>
      </c>
    </row>
    <row r="851" spans="1:17" ht="15" hidden="1" customHeight="1">
      <c r="A851" s="163">
        <v>844</v>
      </c>
      <c r="B851" s="53" t="s">
        <v>23</v>
      </c>
      <c r="C851" s="53" t="s">
        <v>10117</v>
      </c>
      <c r="D851" s="53">
        <v>100023560</v>
      </c>
      <c r="E851" s="55" t="s">
        <v>10118</v>
      </c>
      <c r="F851" s="129">
        <v>10</v>
      </c>
      <c r="G851" s="129">
        <v>1200</v>
      </c>
      <c r="H851" s="512">
        <v>103.92</v>
      </c>
      <c r="I851" s="265" t="s">
        <v>76</v>
      </c>
      <c r="J851" s="265" t="s">
        <v>102</v>
      </c>
      <c r="K851" s="265" t="s">
        <v>10119</v>
      </c>
      <c r="L851" s="348" t="s">
        <v>1205</v>
      </c>
      <c r="M851" s="265" t="s">
        <v>10120</v>
      </c>
      <c r="N851" s="347">
        <v>0.85599999999999998</v>
      </c>
      <c r="O851" s="348" t="s">
        <v>1205</v>
      </c>
      <c r="P851" s="348">
        <v>9.3699999999999992</v>
      </c>
      <c r="Q851" s="348">
        <v>0.65</v>
      </c>
    </row>
    <row r="852" spans="1:17" ht="15" hidden="1" customHeight="1">
      <c r="A852" s="163">
        <v>845</v>
      </c>
      <c r="B852" s="53" t="s">
        <v>23</v>
      </c>
      <c r="C852" s="53" t="s">
        <v>10121</v>
      </c>
      <c r="D852" s="53">
        <v>100023561</v>
      </c>
      <c r="E852" s="55" t="s">
        <v>10122</v>
      </c>
      <c r="F852" s="129">
        <v>8</v>
      </c>
      <c r="G852" s="129">
        <v>600</v>
      </c>
      <c r="H852" s="512">
        <v>130.13</v>
      </c>
      <c r="I852" s="265" t="s">
        <v>76</v>
      </c>
      <c r="J852" s="265" t="s">
        <v>102</v>
      </c>
      <c r="K852" s="265" t="s">
        <v>10123</v>
      </c>
      <c r="L852" s="348" t="s">
        <v>1205</v>
      </c>
      <c r="M852" s="265" t="s">
        <v>10124</v>
      </c>
      <c r="N852" s="347">
        <v>1.3160000000000001</v>
      </c>
      <c r="O852" s="348" t="s">
        <v>1205</v>
      </c>
      <c r="P852" s="348">
        <v>11.95</v>
      </c>
      <c r="Q852" s="348">
        <v>1.1000000000000001</v>
      </c>
    </row>
    <row r="853" spans="1:17" ht="15" hidden="1" customHeight="1">
      <c r="A853" s="163">
        <v>846</v>
      </c>
      <c r="B853" s="53" t="s">
        <v>23</v>
      </c>
      <c r="C853" s="53" t="s">
        <v>10125</v>
      </c>
      <c r="D853" s="53">
        <v>100023562</v>
      </c>
      <c r="E853" s="55" t="s">
        <v>10126</v>
      </c>
      <c r="F853" s="129">
        <v>4</v>
      </c>
      <c r="G853" s="129">
        <v>300</v>
      </c>
      <c r="H853" s="512">
        <v>280.06</v>
      </c>
      <c r="I853" s="265" t="s">
        <v>76</v>
      </c>
      <c r="J853" s="265" t="s">
        <v>102</v>
      </c>
      <c r="K853" s="265" t="s">
        <v>10127</v>
      </c>
      <c r="L853" s="348" t="s">
        <v>1205</v>
      </c>
      <c r="M853" s="265" t="s">
        <v>10128</v>
      </c>
      <c r="N853" s="347">
        <v>3.31</v>
      </c>
      <c r="O853" s="348" t="s">
        <v>1205</v>
      </c>
      <c r="P853" s="348">
        <v>14.52</v>
      </c>
      <c r="Q853" s="348">
        <v>1.1000000000000001</v>
      </c>
    </row>
    <row r="854" spans="1:17" ht="15" hidden="1" customHeight="1">
      <c r="A854" s="163">
        <v>847</v>
      </c>
      <c r="B854" s="53" t="s">
        <v>23</v>
      </c>
      <c r="C854" s="53" t="s">
        <v>10129</v>
      </c>
      <c r="D854" s="53">
        <v>100023563</v>
      </c>
      <c r="E854" s="55" t="s">
        <v>10130</v>
      </c>
      <c r="F854" s="129">
        <v>5</v>
      </c>
      <c r="G854" s="129">
        <v>120</v>
      </c>
      <c r="H854" s="512">
        <v>381.16</v>
      </c>
      <c r="I854" s="265" t="s">
        <v>76</v>
      </c>
      <c r="J854" s="265" t="s">
        <v>102</v>
      </c>
      <c r="K854" s="265" t="s">
        <v>10131</v>
      </c>
      <c r="L854" s="348" t="s">
        <v>1205</v>
      </c>
      <c r="M854" s="265" t="s">
        <v>10132</v>
      </c>
      <c r="N854" s="347">
        <v>6.2510000000000003</v>
      </c>
      <c r="O854" s="348" t="s">
        <v>1205</v>
      </c>
      <c r="P854" s="348">
        <v>34.630000000000003</v>
      </c>
      <c r="Q854" s="348">
        <v>2.77</v>
      </c>
    </row>
    <row r="855" spans="1:17" ht="15" hidden="1" customHeight="1">
      <c r="A855" s="163">
        <v>848</v>
      </c>
      <c r="B855" s="53" t="s">
        <v>23</v>
      </c>
      <c r="C855" s="53" t="s">
        <v>10133</v>
      </c>
      <c r="D855" s="53">
        <v>100028132</v>
      </c>
      <c r="E855" s="55" t="s">
        <v>10134</v>
      </c>
      <c r="F855" s="129">
        <v>5</v>
      </c>
      <c r="G855" s="129">
        <v>0</v>
      </c>
      <c r="H855" s="512">
        <v>296.64</v>
      </c>
      <c r="I855" s="265" t="s">
        <v>76</v>
      </c>
      <c r="J855" s="265" t="s">
        <v>102</v>
      </c>
      <c r="K855" s="265" t="s">
        <v>10135</v>
      </c>
      <c r="L855" s="348" t="s">
        <v>1205</v>
      </c>
      <c r="M855" s="265" t="s">
        <v>10136</v>
      </c>
      <c r="N855" s="347">
        <v>1.68</v>
      </c>
      <c r="O855" s="348" t="s">
        <v>1205</v>
      </c>
      <c r="P855" s="348">
        <v>8.4</v>
      </c>
      <c r="Q855" s="348" t="s">
        <v>1205</v>
      </c>
    </row>
    <row r="856" spans="1:17" ht="15" hidden="1" customHeight="1">
      <c r="A856" s="163">
        <v>849</v>
      </c>
      <c r="B856" s="53" t="s">
        <v>23</v>
      </c>
      <c r="C856" s="53" t="s">
        <v>10137</v>
      </c>
      <c r="D856" s="53">
        <v>100028134</v>
      </c>
      <c r="E856" s="55" t="s">
        <v>10138</v>
      </c>
      <c r="F856" s="129">
        <v>2</v>
      </c>
      <c r="G856" s="129">
        <v>0</v>
      </c>
      <c r="H856" s="512">
        <v>1832.46</v>
      </c>
      <c r="I856" s="265" t="s">
        <v>359</v>
      </c>
      <c r="J856" s="265" t="s">
        <v>102</v>
      </c>
      <c r="K856" s="265" t="s">
        <v>10139</v>
      </c>
      <c r="L856" s="348" t="s">
        <v>1205</v>
      </c>
      <c r="M856" s="265" t="s">
        <v>10140</v>
      </c>
      <c r="N856" s="347">
        <v>7.5839999999999996</v>
      </c>
      <c r="O856" s="348" t="s">
        <v>1205</v>
      </c>
      <c r="P856" s="348">
        <v>15.167999999999999</v>
      </c>
      <c r="Q856" s="348" t="s">
        <v>1205</v>
      </c>
    </row>
    <row r="857" spans="1:17" ht="15" hidden="1" customHeight="1">
      <c r="A857" s="163">
        <v>850</v>
      </c>
      <c r="B857" s="53" t="s">
        <v>23</v>
      </c>
      <c r="C857" s="53" t="s">
        <v>10141</v>
      </c>
      <c r="D857" s="53">
        <v>100030600</v>
      </c>
      <c r="E857" s="55" t="s">
        <v>10142</v>
      </c>
      <c r="F857" s="129">
        <v>200</v>
      </c>
      <c r="G857" s="129">
        <v>0</v>
      </c>
      <c r="H857" s="512">
        <v>17.98</v>
      </c>
      <c r="I857" s="265" t="s">
        <v>359</v>
      </c>
      <c r="J857" s="265" t="s">
        <v>102</v>
      </c>
      <c r="K857" s="265" t="s">
        <v>10143</v>
      </c>
      <c r="L857" s="348" t="s">
        <v>1205</v>
      </c>
      <c r="M857" s="265" t="s">
        <v>10144</v>
      </c>
      <c r="N857" s="347">
        <v>3.7999999999999999E-2</v>
      </c>
      <c r="O857" s="348" t="s">
        <v>1205</v>
      </c>
      <c r="P857" s="348">
        <v>7.58</v>
      </c>
      <c r="Q857" s="348" t="s">
        <v>1205</v>
      </c>
    </row>
    <row r="858" spans="1:17" ht="15" hidden="1" customHeight="1">
      <c r="A858" s="163">
        <v>851</v>
      </c>
      <c r="B858" s="53" t="s">
        <v>23</v>
      </c>
      <c r="C858" s="53" t="s">
        <v>10145</v>
      </c>
      <c r="D858" s="53">
        <v>100023564</v>
      </c>
      <c r="E858" s="55" t="s">
        <v>10146</v>
      </c>
      <c r="F858" s="129">
        <v>250</v>
      </c>
      <c r="G858" s="129">
        <v>30000</v>
      </c>
      <c r="H858" s="512">
        <v>16.75</v>
      </c>
      <c r="I858" s="265" t="s">
        <v>76</v>
      </c>
      <c r="J858" s="265" t="s">
        <v>102</v>
      </c>
      <c r="K858" s="265" t="s">
        <v>10147</v>
      </c>
      <c r="L858" s="265" t="s">
        <v>10148</v>
      </c>
      <c r="M858" s="265" t="s">
        <v>10149</v>
      </c>
      <c r="N858" s="347">
        <v>7.5999999999999998E-2</v>
      </c>
      <c r="O858" s="348">
        <v>10</v>
      </c>
      <c r="P858" s="348">
        <v>18.690000000000001</v>
      </c>
      <c r="Q858" s="348">
        <v>0.65</v>
      </c>
    </row>
    <row r="859" spans="1:17" ht="15" hidden="1" customHeight="1">
      <c r="A859" s="163">
        <v>852</v>
      </c>
      <c r="B859" s="53" t="s">
        <v>23</v>
      </c>
      <c r="C859" s="53" t="s">
        <v>10150</v>
      </c>
      <c r="D859" s="53">
        <v>100023565</v>
      </c>
      <c r="E859" s="55" t="s">
        <v>10151</v>
      </c>
      <c r="F859" s="129">
        <v>250</v>
      </c>
      <c r="G859" s="129">
        <v>18750</v>
      </c>
      <c r="H859" s="512">
        <v>23.92</v>
      </c>
      <c r="I859" s="265" t="s">
        <v>359</v>
      </c>
      <c r="J859" s="265" t="s">
        <v>102</v>
      </c>
      <c r="K859" s="265" t="s">
        <v>10152</v>
      </c>
      <c r="L859" s="265" t="s">
        <v>10153</v>
      </c>
      <c r="M859" s="265" t="s">
        <v>10154</v>
      </c>
      <c r="N859" s="347">
        <v>9.6000000000000002E-2</v>
      </c>
      <c r="O859" s="348">
        <v>10</v>
      </c>
      <c r="P859" s="348">
        <v>23.86</v>
      </c>
      <c r="Q859" s="348">
        <v>0.95</v>
      </c>
    </row>
    <row r="860" spans="1:17" ht="15" hidden="1" customHeight="1">
      <c r="A860" s="163">
        <v>853</v>
      </c>
      <c r="B860" s="53" t="s">
        <v>23</v>
      </c>
      <c r="C860" s="53" t="s">
        <v>10155</v>
      </c>
      <c r="D860" s="53">
        <v>100023567</v>
      </c>
      <c r="E860" s="55" t="s">
        <v>10156</v>
      </c>
      <c r="F860" s="129">
        <v>100</v>
      </c>
      <c r="G860" s="129">
        <v>9000</v>
      </c>
      <c r="H860" s="512">
        <v>25.67</v>
      </c>
      <c r="I860" s="265" t="s">
        <v>76</v>
      </c>
      <c r="J860" s="265" t="s">
        <v>102</v>
      </c>
      <c r="K860" s="265" t="s">
        <v>10157</v>
      </c>
      <c r="L860" s="265" t="s">
        <v>10158</v>
      </c>
      <c r="M860" s="265" t="s">
        <v>10159</v>
      </c>
      <c r="N860" s="347">
        <v>0.152</v>
      </c>
      <c r="O860" s="348">
        <v>10</v>
      </c>
      <c r="P860" s="348">
        <v>16.5</v>
      </c>
      <c r="Q860" s="348">
        <v>0.8</v>
      </c>
    </row>
    <row r="861" spans="1:17" ht="15" hidden="1" customHeight="1">
      <c r="A861" s="163">
        <v>854</v>
      </c>
      <c r="B861" s="53" t="s">
        <v>23</v>
      </c>
      <c r="C861" s="53" t="s">
        <v>10160</v>
      </c>
      <c r="D861" s="53">
        <v>100023568</v>
      </c>
      <c r="E861" s="55" t="s">
        <v>10161</v>
      </c>
      <c r="F861" s="129">
        <v>50</v>
      </c>
      <c r="G861" s="129">
        <v>6000</v>
      </c>
      <c r="H861" s="512">
        <v>31.77</v>
      </c>
      <c r="I861" s="265" t="s">
        <v>359</v>
      </c>
      <c r="J861" s="265" t="s">
        <v>102</v>
      </c>
      <c r="K861" s="265" t="s">
        <v>10162</v>
      </c>
      <c r="L861" s="265" t="s">
        <v>10163</v>
      </c>
      <c r="M861" s="265" t="s">
        <v>10164</v>
      </c>
      <c r="N861" s="347">
        <v>0.215</v>
      </c>
      <c r="O861" s="348">
        <v>5</v>
      </c>
      <c r="P861" s="348">
        <v>10.98</v>
      </c>
      <c r="Q861" s="348">
        <v>0.65</v>
      </c>
    </row>
    <row r="862" spans="1:17" ht="15" hidden="1" customHeight="1">
      <c r="A862" s="163">
        <v>855</v>
      </c>
      <c r="B862" s="53" t="s">
        <v>23</v>
      </c>
      <c r="C862" s="53" t="s">
        <v>10165</v>
      </c>
      <c r="D862" s="53">
        <v>100023569</v>
      </c>
      <c r="E862" s="55" t="s">
        <v>10166</v>
      </c>
      <c r="F862" s="129">
        <v>50</v>
      </c>
      <c r="G862" s="129">
        <v>6000</v>
      </c>
      <c r="H862" s="512">
        <v>70.64</v>
      </c>
      <c r="I862" s="265" t="s">
        <v>76</v>
      </c>
      <c r="J862" s="265" t="s">
        <v>102</v>
      </c>
      <c r="K862" s="265" t="s">
        <v>10167</v>
      </c>
      <c r="L862" s="265" t="s">
        <v>10168</v>
      </c>
      <c r="M862" s="265" t="s">
        <v>10169</v>
      </c>
      <c r="N862" s="347">
        <v>0.253</v>
      </c>
      <c r="O862" s="348">
        <v>5</v>
      </c>
      <c r="P862" s="348">
        <v>12.45</v>
      </c>
      <c r="Q862" s="348">
        <v>0.65</v>
      </c>
    </row>
    <row r="863" spans="1:17" ht="15" hidden="1" customHeight="1">
      <c r="A863" s="163">
        <v>856</v>
      </c>
      <c r="B863" s="53" t="s">
        <v>23</v>
      </c>
      <c r="C863" s="53" t="s">
        <v>10170</v>
      </c>
      <c r="D863" s="53">
        <v>100023570</v>
      </c>
      <c r="E863" s="55" t="s">
        <v>10171</v>
      </c>
      <c r="F863" s="129">
        <v>25</v>
      </c>
      <c r="G863" s="129">
        <v>3750</v>
      </c>
      <c r="H863" s="512">
        <v>74.17</v>
      </c>
      <c r="I863" s="265" t="s">
        <v>76</v>
      </c>
      <c r="J863" s="265" t="s">
        <v>102</v>
      </c>
      <c r="K863" s="265" t="s">
        <v>10172</v>
      </c>
      <c r="L863" s="265" t="s">
        <v>10173</v>
      </c>
      <c r="M863" s="265" t="s">
        <v>10174</v>
      </c>
      <c r="N863" s="347">
        <v>0.35799999999999998</v>
      </c>
      <c r="O863" s="348">
        <v>5</v>
      </c>
      <c r="P863" s="348">
        <v>9.02</v>
      </c>
      <c r="Q863" s="348">
        <v>0.5</v>
      </c>
    </row>
    <row r="864" spans="1:17" ht="15" hidden="1" customHeight="1">
      <c r="A864" s="163">
        <v>857</v>
      </c>
      <c r="B864" s="53" t="s">
        <v>23</v>
      </c>
      <c r="C864" s="53" t="s">
        <v>10175</v>
      </c>
      <c r="D864" s="53">
        <v>100028136</v>
      </c>
      <c r="E864" s="55" t="s">
        <v>10176</v>
      </c>
      <c r="F864" s="129">
        <v>20</v>
      </c>
      <c r="G864" s="129">
        <v>0</v>
      </c>
      <c r="H864" s="512">
        <v>177.09</v>
      </c>
      <c r="I864" s="265" t="s">
        <v>359</v>
      </c>
      <c r="J864" s="265" t="s">
        <v>102</v>
      </c>
      <c r="K864" s="265" t="s">
        <v>10177</v>
      </c>
      <c r="L864" s="348" t="s">
        <v>1205</v>
      </c>
      <c r="M864" s="265" t="s">
        <v>10178</v>
      </c>
      <c r="N864" s="347">
        <v>0.84199999999999997</v>
      </c>
      <c r="O864" s="348" t="s">
        <v>1205</v>
      </c>
      <c r="P864" s="348">
        <v>16.622</v>
      </c>
      <c r="Q864" s="348" t="s">
        <v>1205</v>
      </c>
    </row>
    <row r="865" spans="1:17" ht="15" hidden="1" customHeight="1">
      <c r="A865" s="163">
        <v>858</v>
      </c>
      <c r="B865" s="53" t="s">
        <v>23</v>
      </c>
      <c r="C865" s="53" t="s">
        <v>10179</v>
      </c>
      <c r="D865" s="53">
        <v>100028137</v>
      </c>
      <c r="E865" s="55" t="s">
        <v>10180</v>
      </c>
      <c r="F865" s="129">
        <v>20</v>
      </c>
      <c r="G865" s="129">
        <v>0</v>
      </c>
      <c r="H865" s="512">
        <v>207.64</v>
      </c>
      <c r="I865" s="265" t="s">
        <v>359</v>
      </c>
      <c r="J865" s="265" t="s">
        <v>102</v>
      </c>
      <c r="K865" s="265" t="s">
        <v>10181</v>
      </c>
      <c r="L865" s="348" t="s">
        <v>1205</v>
      </c>
      <c r="M865" s="265" t="s">
        <v>10182</v>
      </c>
      <c r="N865" s="347">
        <v>1.0780000000000001</v>
      </c>
      <c r="O865" s="348" t="s">
        <v>1205</v>
      </c>
      <c r="P865" s="348">
        <v>21.56</v>
      </c>
      <c r="Q865" s="348" t="s">
        <v>1205</v>
      </c>
    </row>
    <row r="866" spans="1:17" ht="15" hidden="1" customHeight="1">
      <c r="A866" s="163">
        <v>859</v>
      </c>
      <c r="B866" s="53" t="s">
        <v>23</v>
      </c>
      <c r="C866" s="53" t="s">
        <v>10183</v>
      </c>
      <c r="D866" s="53">
        <v>100028138</v>
      </c>
      <c r="E866" s="55" t="s">
        <v>10184</v>
      </c>
      <c r="F866" s="129">
        <v>15</v>
      </c>
      <c r="G866" s="129">
        <v>0</v>
      </c>
      <c r="H866" s="512">
        <v>359.56</v>
      </c>
      <c r="I866" s="265" t="s">
        <v>76</v>
      </c>
      <c r="J866" s="265" t="s">
        <v>102</v>
      </c>
      <c r="K866" s="265" t="s">
        <v>10185</v>
      </c>
      <c r="L866" s="348" t="s">
        <v>1205</v>
      </c>
      <c r="M866" s="265" t="s">
        <v>10186</v>
      </c>
      <c r="N866" s="347">
        <v>1.6120000000000001</v>
      </c>
      <c r="O866" s="348" t="s">
        <v>1205</v>
      </c>
      <c r="P866" s="348">
        <v>24.172999999999998</v>
      </c>
      <c r="Q866" s="348" t="s">
        <v>1205</v>
      </c>
    </row>
    <row r="867" spans="1:17" ht="15" hidden="1" customHeight="1">
      <c r="A867" s="163">
        <v>860</v>
      </c>
      <c r="B867" s="53" t="s">
        <v>23</v>
      </c>
      <c r="C867" s="53" t="s">
        <v>10187</v>
      </c>
      <c r="D867" s="53">
        <v>100023571</v>
      </c>
      <c r="E867" s="55" t="s">
        <v>10188</v>
      </c>
      <c r="F867" s="129">
        <v>250</v>
      </c>
      <c r="G867" s="129">
        <v>22500</v>
      </c>
      <c r="H867" s="512">
        <v>27.52</v>
      </c>
      <c r="I867" s="265" t="s">
        <v>359</v>
      </c>
      <c r="J867" s="265" t="s">
        <v>102</v>
      </c>
      <c r="K867" s="265" t="s">
        <v>10189</v>
      </c>
      <c r="L867" s="265" t="s">
        <v>10190</v>
      </c>
      <c r="M867" s="265" t="s">
        <v>10191</v>
      </c>
      <c r="N867" s="347">
        <v>8.2000000000000003E-2</v>
      </c>
      <c r="O867" s="348">
        <v>10</v>
      </c>
      <c r="P867" s="348">
        <v>20.62</v>
      </c>
      <c r="Q867" s="348">
        <v>0.8</v>
      </c>
    </row>
    <row r="868" spans="1:17" ht="15" hidden="1" customHeight="1">
      <c r="A868" s="163">
        <v>861</v>
      </c>
      <c r="B868" s="53" t="s">
        <v>23</v>
      </c>
      <c r="C868" s="53" t="s">
        <v>10192</v>
      </c>
      <c r="D868" s="53">
        <v>100023578</v>
      </c>
      <c r="E868" s="55" t="s">
        <v>8862</v>
      </c>
      <c r="F868" s="129">
        <v>50</v>
      </c>
      <c r="G868" s="129">
        <v>7500</v>
      </c>
      <c r="H868" s="512">
        <v>46.5</v>
      </c>
      <c r="I868" s="265" t="s">
        <v>76</v>
      </c>
      <c r="J868" s="265" t="s">
        <v>102</v>
      </c>
      <c r="K868" s="265" t="s">
        <v>10193</v>
      </c>
      <c r="L868" s="265" t="s">
        <v>10194</v>
      </c>
      <c r="M868" s="265" t="s">
        <v>10195</v>
      </c>
      <c r="N868" s="347">
        <v>0.14699999999999999</v>
      </c>
      <c r="O868" s="348">
        <v>5</v>
      </c>
      <c r="P868" s="348">
        <v>7.36</v>
      </c>
      <c r="Q868" s="348">
        <v>0.5</v>
      </c>
    </row>
    <row r="869" spans="1:17" ht="15" hidden="1" customHeight="1">
      <c r="A869" s="163">
        <v>862</v>
      </c>
      <c r="B869" s="53" t="s">
        <v>23</v>
      </c>
      <c r="C869" s="53" t="s">
        <v>10196</v>
      </c>
      <c r="D869" s="53">
        <v>100023580</v>
      </c>
      <c r="E869" s="55" t="s">
        <v>10197</v>
      </c>
      <c r="F869" s="129">
        <v>250</v>
      </c>
      <c r="G869" s="129">
        <v>37500</v>
      </c>
      <c r="H869" s="512">
        <v>25.35</v>
      </c>
      <c r="I869" s="265" t="s">
        <v>76</v>
      </c>
      <c r="J869" s="265" t="s">
        <v>102</v>
      </c>
      <c r="K869" s="265" t="s">
        <v>10198</v>
      </c>
      <c r="L869" s="265" t="s">
        <v>10199</v>
      </c>
      <c r="M869" s="265" t="s">
        <v>10200</v>
      </c>
      <c r="N869" s="347">
        <v>2.9000000000000001E-2</v>
      </c>
      <c r="O869" s="348">
        <v>10</v>
      </c>
      <c r="P869" s="348">
        <v>7.38</v>
      </c>
      <c r="Q869" s="348">
        <v>0.5</v>
      </c>
    </row>
    <row r="870" spans="1:17" ht="15" hidden="1" customHeight="1">
      <c r="A870" s="163">
        <v>863</v>
      </c>
      <c r="B870" s="53" t="s">
        <v>23</v>
      </c>
      <c r="C870" s="53" t="s">
        <v>10201</v>
      </c>
      <c r="D870" s="53">
        <v>100023416</v>
      </c>
      <c r="E870" s="55" t="s">
        <v>10202</v>
      </c>
      <c r="F870" s="129">
        <v>250</v>
      </c>
      <c r="G870" s="129">
        <v>37500</v>
      </c>
      <c r="H870" s="512">
        <v>25.35</v>
      </c>
      <c r="I870" s="265" t="s">
        <v>359</v>
      </c>
      <c r="J870" s="265" t="s">
        <v>102</v>
      </c>
      <c r="K870" s="265" t="s">
        <v>10203</v>
      </c>
      <c r="L870" s="265">
        <v>0</v>
      </c>
      <c r="M870" s="265" t="s">
        <v>10204</v>
      </c>
      <c r="N870" s="347">
        <v>3.9E-2</v>
      </c>
      <c r="O870" s="348">
        <v>10</v>
      </c>
      <c r="P870" s="348">
        <v>10.65</v>
      </c>
      <c r="Q870" s="348">
        <v>0.5</v>
      </c>
    </row>
    <row r="871" spans="1:17" ht="15" hidden="1" customHeight="1">
      <c r="A871" s="163">
        <v>864</v>
      </c>
      <c r="B871" s="53" t="s">
        <v>23</v>
      </c>
      <c r="C871" s="53" t="s">
        <v>10205</v>
      </c>
      <c r="D871" s="53">
        <v>100023582</v>
      </c>
      <c r="E871" s="55" t="s">
        <v>10206</v>
      </c>
      <c r="F871" s="129">
        <v>250</v>
      </c>
      <c r="G871" s="129">
        <v>22500</v>
      </c>
      <c r="H871" s="512">
        <v>14.02</v>
      </c>
      <c r="I871" s="265" t="s">
        <v>76</v>
      </c>
      <c r="J871" s="265" t="s">
        <v>102</v>
      </c>
      <c r="K871" s="265" t="s">
        <v>10207</v>
      </c>
      <c r="L871" s="265" t="s">
        <v>10208</v>
      </c>
      <c r="M871" s="265" t="s">
        <v>10209</v>
      </c>
      <c r="N871" s="347">
        <v>6.3E-2</v>
      </c>
      <c r="O871" s="348">
        <v>10</v>
      </c>
      <c r="P871" s="348">
        <v>16.41</v>
      </c>
      <c r="Q871" s="348">
        <v>0.8</v>
      </c>
    </row>
    <row r="872" spans="1:17" ht="15" hidden="1" customHeight="1">
      <c r="A872" s="163">
        <v>865</v>
      </c>
      <c r="B872" s="53" t="s">
        <v>23</v>
      </c>
      <c r="C872" s="53" t="s">
        <v>10210</v>
      </c>
      <c r="D872" s="53">
        <v>100023584</v>
      </c>
      <c r="E872" s="55" t="s">
        <v>10211</v>
      </c>
      <c r="F872" s="129">
        <v>250</v>
      </c>
      <c r="G872" s="129">
        <v>18750</v>
      </c>
      <c r="H872" s="512">
        <v>20.89</v>
      </c>
      <c r="I872" s="265" t="s">
        <v>76</v>
      </c>
      <c r="J872" s="265" t="s">
        <v>102</v>
      </c>
      <c r="K872" s="265" t="s">
        <v>10212</v>
      </c>
      <c r="L872" s="265" t="s">
        <v>10213</v>
      </c>
      <c r="M872" s="265" t="s">
        <v>10214</v>
      </c>
      <c r="N872" s="347">
        <v>8.4000000000000005E-2</v>
      </c>
      <c r="O872" s="348">
        <v>10</v>
      </c>
      <c r="P872" s="348">
        <v>20.73</v>
      </c>
      <c r="Q872" s="348">
        <v>0.95</v>
      </c>
    </row>
    <row r="873" spans="1:17" ht="15" hidden="1" customHeight="1">
      <c r="A873" s="163">
        <v>866</v>
      </c>
      <c r="B873" s="53" t="s">
        <v>23</v>
      </c>
      <c r="C873" s="53" t="s">
        <v>10215</v>
      </c>
      <c r="D873" s="53">
        <v>100023586</v>
      </c>
      <c r="E873" s="55" t="s">
        <v>10216</v>
      </c>
      <c r="F873" s="129">
        <v>100</v>
      </c>
      <c r="G873" s="129">
        <v>9000</v>
      </c>
      <c r="H873" s="512">
        <v>30.73</v>
      </c>
      <c r="I873" s="265" t="s">
        <v>76</v>
      </c>
      <c r="J873" s="265" t="s">
        <v>102</v>
      </c>
      <c r="K873" s="265" t="s">
        <v>10217</v>
      </c>
      <c r="L873" s="265" t="s">
        <v>10218</v>
      </c>
      <c r="M873" s="265" t="s">
        <v>10219</v>
      </c>
      <c r="N873" s="347">
        <v>0.127</v>
      </c>
      <c r="O873" s="348">
        <v>10</v>
      </c>
      <c r="P873" s="348">
        <v>13.63</v>
      </c>
      <c r="Q873" s="348">
        <v>0.8</v>
      </c>
    </row>
    <row r="874" spans="1:17" ht="15" hidden="1" customHeight="1">
      <c r="A874" s="163">
        <v>867</v>
      </c>
      <c r="B874" s="53" t="s">
        <v>23</v>
      </c>
      <c r="C874" s="53" t="s">
        <v>10220</v>
      </c>
      <c r="D874" s="53">
        <v>100023588</v>
      </c>
      <c r="E874" s="55" t="s">
        <v>10221</v>
      </c>
      <c r="F874" s="129">
        <v>50</v>
      </c>
      <c r="G874" s="129">
        <v>6000</v>
      </c>
      <c r="H874" s="512">
        <v>49.79</v>
      </c>
      <c r="I874" s="265" t="s">
        <v>76</v>
      </c>
      <c r="J874" s="265" t="s">
        <v>102</v>
      </c>
      <c r="K874" s="265" t="s">
        <v>10222</v>
      </c>
      <c r="L874" s="265" t="s">
        <v>10223</v>
      </c>
      <c r="M874" s="265" t="s">
        <v>10224</v>
      </c>
      <c r="N874" s="347">
        <v>0.20399999999999999</v>
      </c>
      <c r="O874" s="348">
        <v>5</v>
      </c>
      <c r="P874" s="348">
        <v>12.14</v>
      </c>
      <c r="Q874" s="348">
        <v>0.65</v>
      </c>
    </row>
    <row r="875" spans="1:17" ht="15" hidden="1" customHeight="1">
      <c r="A875" s="163">
        <v>868</v>
      </c>
      <c r="B875" s="53" t="s">
        <v>23</v>
      </c>
      <c r="C875" s="53" t="s">
        <v>10225</v>
      </c>
      <c r="D875" s="53">
        <v>100023589</v>
      </c>
      <c r="E875" s="55" t="s">
        <v>10226</v>
      </c>
      <c r="F875" s="129">
        <v>50</v>
      </c>
      <c r="G875" s="129">
        <v>4500</v>
      </c>
      <c r="H875" s="512">
        <v>61.05</v>
      </c>
      <c r="I875" s="265" t="s">
        <v>76</v>
      </c>
      <c r="J875" s="265" t="s">
        <v>102</v>
      </c>
      <c r="K875" s="265" t="s">
        <v>10227</v>
      </c>
      <c r="L875" s="265" t="s">
        <v>10228</v>
      </c>
      <c r="M875" s="265" t="s">
        <v>10229</v>
      </c>
      <c r="N875" s="347">
        <v>0.23599999999999999</v>
      </c>
      <c r="O875" s="348">
        <v>5</v>
      </c>
      <c r="P875" s="348">
        <v>12.99</v>
      </c>
      <c r="Q875" s="348">
        <v>0.8</v>
      </c>
    </row>
    <row r="876" spans="1:17" ht="15" hidden="1" customHeight="1">
      <c r="A876" s="163">
        <v>869</v>
      </c>
      <c r="B876" s="53" t="s">
        <v>23</v>
      </c>
      <c r="C876" s="53" t="s">
        <v>10230</v>
      </c>
      <c r="D876" s="53">
        <v>100023591</v>
      </c>
      <c r="E876" s="55" t="s">
        <v>10231</v>
      </c>
      <c r="F876" s="129">
        <v>25</v>
      </c>
      <c r="G876" s="129">
        <v>3000</v>
      </c>
      <c r="H876" s="512">
        <v>106.46</v>
      </c>
      <c r="I876" s="265" t="s">
        <v>76</v>
      </c>
      <c r="J876" s="265" t="s">
        <v>102</v>
      </c>
      <c r="K876" s="265" t="s">
        <v>10232</v>
      </c>
      <c r="L876" s="265" t="s">
        <v>10233</v>
      </c>
      <c r="M876" s="265" t="s">
        <v>10234</v>
      </c>
      <c r="N876" s="347">
        <v>0.318</v>
      </c>
      <c r="O876" s="348">
        <v>5</v>
      </c>
      <c r="P876" s="348">
        <v>9.0399999999999991</v>
      </c>
      <c r="Q876" s="348">
        <v>0.65</v>
      </c>
    </row>
    <row r="877" spans="1:17" ht="15" hidden="1" customHeight="1">
      <c r="A877" s="163">
        <v>870</v>
      </c>
      <c r="B877" s="53" t="s">
        <v>23</v>
      </c>
      <c r="C877" s="53" t="s">
        <v>10235</v>
      </c>
      <c r="D877" s="53">
        <v>100028148</v>
      </c>
      <c r="E877" s="55" t="s">
        <v>10236</v>
      </c>
      <c r="F877" s="129">
        <v>30</v>
      </c>
      <c r="G877" s="129">
        <v>0</v>
      </c>
      <c r="H877" s="512">
        <v>189.22</v>
      </c>
      <c r="I877" s="265" t="s">
        <v>76</v>
      </c>
      <c r="J877" s="265" t="s">
        <v>102</v>
      </c>
      <c r="K877" s="265" t="s">
        <v>10237</v>
      </c>
      <c r="L877" s="348" t="s">
        <v>1205</v>
      </c>
      <c r="M877" s="265" t="s">
        <v>10238</v>
      </c>
      <c r="N877" s="347">
        <v>1.26</v>
      </c>
      <c r="O877" s="348" t="s">
        <v>1205</v>
      </c>
      <c r="P877" s="348">
        <v>30.818999999999999</v>
      </c>
      <c r="Q877" s="348" t="s">
        <v>1205</v>
      </c>
    </row>
    <row r="878" spans="1:17" ht="15" hidden="1" customHeight="1">
      <c r="A878" s="163">
        <v>871</v>
      </c>
      <c r="B878" s="53" t="s">
        <v>23</v>
      </c>
      <c r="C878" s="53" t="s">
        <v>10239</v>
      </c>
      <c r="D878" s="53">
        <v>100028149</v>
      </c>
      <c r="E878" s="55" t="s">
        <v>10240</v>
      </c>
      <c r="F878" s="129">
        <v>20</v>
      </c>
      <c r="G878" s="129">
        <v>0</v>
      </c>
      <c r="H878" s="512">
        <v>325.23</v>
      </c>
      <c r="I878" s="265" t="s">
        <v>76</v>
      </c>
      <c r="J878" s="265" t="s">
        <v>102</v>
      </c>
      <c r="K878" s="265" t="s">
        <v>10241</v>
      </c>
      <c r="L878" s="348" t="s">
        <v>1205</v>
      </c>
      <c r="M878" s="265" t="s">
        <v>10242</v>
      </c>
      <c r="N878" s="347">
        <v>1.5940000000000001</v>
      </c>
      <c r="O878" s="348" t="s">
        <v>1205</v>
      </c>
      <c r="P878" s="348">
        <v>31.878</v>
      </c>
      <c r="Q878" s="348" t="s">
        <v>1205</v>
      </c>
    </row>
    <row r="879" spans="1:17" ht="15" hidden="1" customHeight="1">
      <c r="A879" s="163">
        <v>872</v>
      </c>
      <c r="B879" s="53" t="s">
        <v>23</v>
      </c>
      <c r="C879" s="53" t="s">
        <v>10243</v>
      </c>
      <c r="D879" s="53">
        <v>100023595</v>
      </c>
      <c r="E879" s="55" t="s">
        <v>10244</v>
      </c>
      <c r="F879" s="129">
        <v>250</v>
      </c>
      <c r="G879" s="129">
        <v>37500</v>
      </c>
      <c r="H879" s="512">
        <v>17.54</v>
      </c>
      <c r="I879" s="265" t="s">
        <v>359</v>
      </c>
      <c r="J879" s="265" t="s">
        <v>102</v>
      </c>
      <c r="K879" s="265" t="s">
        <v>10245</v>
      </c>
      <c r="L879" s="265" t="s">
        <v>10246</v>
      </c>
      <c r="M879" s="265" t="s">
        <v>10247</v>
      </c>
      <c r="N879" s="347">
        <v>2.1999999999999999E-2</v>
      </c>
      <c r="O879" s="348">
        <v>10</v>
      </c>
      <c r="P879" s="348">
        <v>5.72</v>
      </c>
      <c r="Q879" s="348">
        <v>0.5</v>
      </c>
    </row>
    <row r="880" spans="1:17" ht="15" hidden="1" customHeight="1">
      <c r="A880" s="163">
        <v>873</v>
      </c>
      <c r="B880" s="53" t="s">
        <v>23</v>
      </c>
      <c r="C880" s="53" t="s">
        <v>10248</v>
      </c>
      <c r="D880" s="53">
        <v>100023596</v>
      </c>
      <c r="E880" s="55" t="s">
        <v>10249</v>
      </c>
      <c r="F880" s="129">
        <v>250</v>
      </c>
      <c r="G880" s="129">
        <v>37500</v>
      </c>
      <c r="H880" s="512">
        <v>17.54</v>
      </c>
      <c r="I880" s="265" t="s">
        <v>359</v>
      </c>
      <c r="J880" s="265" t="s">
        <v>102</v>
      </c>
      <c r="K880" s="265" t="s">
        <v>10250</v>
      </c>
      <c r="L880" s="265" t="s">
        <v>10251</v>
      </c>
      <c r="M880" s="265" t="s">
        <v>10252</v>
      </c>
      <c r="N880" s="347">
        <v>3.3000000000000002E-2</v>
      </c>
      <c r="O880" s="348">
        <v>10</v>
      </c>
      <c r="P880" s="348">
        <v>9</v>
      </c>
      <c r="Q880" s="348">
        <v>0.5</v>
      </c>
    </row>
    <row r="881" spans="1:17" ht="15" hidden="1" customHeight="1">
      <c r="A881" s="163">
        <v>874</v>
      </c>
      <c r="B881" s="53" t="s">
        <v>23</v>
      </c>
      <c r="C881" s="53" t="s">
        <v>10253</v>
      </c>
      <c r="D881" s="53">
        <v>100023597</v>
      </c>
      <c r="E881" s="55" t="s">
        <v>10254</v>
      </c>
      <c r="F881" s="129">
        <v>250</v>
      </c>
      <c r="G881" s="129">
        <v>30000</v>
      </c>
      <c r="H881" s="512">
        <v>17.54</v>
      </c>
      <c r="I881" s="265" t="s">
        <v>76</v>
      </c>
      <c r="J881" s="265" t="s">
        <v>102</v>
      </c>
      <c r="K881" s="265" t="s">
        <v>10255</v>
      </c>
      <c r="L881" s="265" t="s">
        <v>10256</v>
      </c>
      <c r="M881" s="265" t="s">
        <v>10257</v>
      </c>
      <c r="N881" s="347">
        <v>4.3999999999999997E-2</v>
      </c>
      <c r="O881" s="348">
        <v>10</v>
      </c>
      <c r="P881" s="348">
        <v>13.93</v>
      </c>
      <c r="Q881" s="348">
        <v>0.65</v>
      </c>
    </row>
    <row r="882" spans="1:17" ht="15" hidden="1" customHeight="1">
      <c r="A882" s="163">
        <v>875</v>
      </c>
      <c r="B882" s="53" t="s">
        <v>23</v>
      </c>
      <c r="C882" s="53" t="s">
        <v>10258</v>
      </c>
      <c r="D882" s="53">
        <v>100023599</v>
      </c>
      <c r="E882" s="55" t="s">
        <v>10259</v>
      </c>
      <c r="F882" s="129">
        <v>250</v>
      </c>
      <c r="G882" s="129">
        <v>18750</v>
      </c>
      <c r="H882" s="512">
        <v>19.329999999999998</v>
      </c>
      <c r="I882" s="265" t="s">
        <v>76</v>
      </c>
      <c r="J882" s="265" t="s">
        <v>102</v>
      </c>
      <c r="K882" s="265" t="s">
        <v>10260</v>
      </c>
      <c r="L882" s="265" t="s">
        <v>10261</v>
      </c>
      <c r="M882" s="265" t="s">
        <v>10262</v>
      </c>
      <c r="N882" s="347">
        <v>5.6000000000000001E-2</v>
      </c>
      <c r="O882" s="348">
        <v>10</v>
      </c>
      <c r="P882" s="348">
        <v>21.33</v>
      </c>
      <c r="Q882" s="348">
        <v>0.95</v>
      </c>
    </row>
    <row r="883" spans="1:17" ht="15" hidden="1" customHeight="1">
      <c r="A883" s="163">
        <v>876</v>
      </c>
      <c r="B883" s="53" t="s">
        <v>23</v>
      </c>
      <c r="C883" s="53" t="s">
        <v>10263</v>
      </c>
      <c r="D883" s="53">
        <v>100023601</v>
      </c>
      <c r="E883" s="55" t="s">
        <v>10264</v>
      </c>
      <c r="F883" s="129">
        <v>100</v>
      </c>
      <c r="G883" s="129">
        <v>9000</v>
      </c>
      <c r="H883" s="512">
        <v>33.44</v>
      </c>
      <c r="I883" s="265" t="s">
        <v>76</v>
      </c>
      <c r="J883" s="265" t="s">
        <v>102</v>
      </c>
      <c r="K883" s="265" t="s">
        <v>10265</v>
      </c>
      <c r="L883" s="265" t="s">
        <v>10266</v>
      </c>
      <c r="M883" s="265" t="s">
        <v>10267</v>
      </c>
      <c r="N883" s="347">
        <v>0.09</v>
      </c>
      <c r="O883" s="348">
        <v>10</v>
      </c>
      <c r="P883" s="348">
        <v>14.55</v>
      </c>
      <c r="Q883" s="348">
        <v>0.8</v>
      </c>
    </row>
    <row r="884" spans="1:17" ht="15" hidden="1" customHeight="1">
      <c r="A884" s="163">
        <v>877</v>
      </c>
      <c r="B884" s="53" t="s">
        <v>23</v>
      </c>
      <c r="C884" s="53" t="s">
        <v>10268</v>
      </c>
      <c r="D884" s="53">
        <v>100023602</v>
      </c>
      <c r="E884" s="55" t="s">
        <v>10269</v>
      </c>
      <c r="F884" s="129">
        <v>50</v>
      </c>
      <c r="G884" s="129">
        <v>7500</v>
      </c>
      <c r="H884" s="512">
        <v>39.090000000000003</v>
      </c>
      <c r="I884" s="265" t="s">
        <v>76</v>
      </c>
      <c r="J884" s="265" t="s">
        <v>102</v>
      </c>
      <c r="K884" s="265" t="s">
        <v>10270</v>
      </c>
      <c r="L884" s="265" t="s">
        <v>10271</v>
      </c>
      <c r="M884" s="265" t="s">
        <v>10272</v>
      </c>
      <c r="N884" s="347">
        <v>0.182</v>
      </c>
      <c r="O884" s="348">
        <v>5</v>
      </c>
      <c r="P884" s="348">
        <v>9.77</v>
      </c>
      <c r="Q884" s="348">
        <v>0.5</v>
      </c>
    </row>
    <row r="885" spans="1:17" ht="15" hidden="1" customHeight="1">
      <c r="A885" s="163">
        <v>878</v>
      </c>
      <c r="B885" s="53" t="s">
        <v>23</v>
      </c>
      <c r="C885" s="53" t="s">
        <v>10273</v>
      </c>
      <c r="D885" s="53">
        <v>100023604</v>
      </c>
      <c r="E885" s="55" t="s">
        <v>10274</v>
      </c>
      <c r="F885" s="129">
        <v>50</v>
      </c>
      <c r="G885" s="129">
        <v>4500</v>
      </c>
      <c r="H885" s="512">
        <v>56.19</v>
      </c>
      <c r="I885" s="265" t="s">
        <v>76</v>
      </c>
      <c r="J885" s="265" t="s">
        <v>102</v>
      </c>
      <c r="K885" s="265" t="s">
        <v>10275</v>
      </c>
      <c r="L885" s="265" t="s">
        <v>10276</v>
      </c>
      <c r="M885" s="265" t="s">
        <v>10277</v>
      </c>
      <c r="N885" s="347">
        <v>0.192</v>
      </c>
      <c r="O885" s="348">
        <v>5</v>
      </c>
      <c r="P885" s="348">
        <v>10.75</v>
      </c>
      <c r="Q885" s="348">
        <v>0.8</v>
      </c>
    </row>
    <row r="886" spans="1:17" ht="15" hidden="1" customHeight="1">
      <c r="A886" s="163">
        <v>879</v>
      </c>
      <c r="B886" s="53" t="s">
        <v>23</v>
      </c>
      <c r="C886" s="53" t="s">
        <v>10278</v>
      </c>
      <c r="D886" s="53">
        <v>100023606</v>
      </c>
      <c r="E886" s="55" t="s">
        <v>10279</v>
      </c>
      <c r="F886" s="129">
        <v>25</v>
      </c>
      <c r="G886" s="129">
        <v>3750</v>
      </c>
      <c r="H886" s="512">
        <v>81.260000000000005</v>
      </c>
      <c r="I886" s="265" t="s">
        <v>76</v>
      </c>
      <c r="J886" s="265" t="s">
        <v>102</v>
      </c>
      <c r="K886" s="265" t="s">
        <v>10280</v>
      </c>
      <c r="L886" s="265" t="s">
        <v>10281</v>
      </c>
      <c r="M886" s="265" t="s">
        <v>10282</v>
      </c>
      <c r="N886" s="347">
        <v>0.26600000000000001</v>
      </c>
      <c r="O886" s="348">
        <v>5</v>
      </c>
      <c r="P886" s="348">
        <v>9.02</v>
      </c>
      <c r="Q886" s="348">
        <v>0.5</v>
      </c>
    </row>
    <row r="887" spans="1:17" ht="15" hidden="1" customHeight="1">
      <c r="A887" s="163">
        <v>880</v>
      </c>
      <c r="B887" s="53" t="s">
        <v>23</v>
      </c>
      <c r="C887" s="53" t="s">
        <v>10283</v>
      </c>
      <c r="D887" s="53">
        <v>100023607</v>
      </c>
      <c r="E887" s="55" t="s">
        <v>10284</v>
      </c>
      <c r="F887" s="129">
        <v>25</v>
      </c>
      <c r="G887" s="129">
        <v>2250</v>
      </c>
      <c r="H887" s="512">
        <v>92.32</v>
      </c>
      <c r="I887" s="265" t="s">
        <v>76</v>
      </c>
      <c r="J887" s="265" t="s">
        <v>102</v>
      </c>
      <c r="K887" s="265" t="s">
        <v>10285</v>
      </c>
      <c r="L887" s="265" t="s">
        <v>10286</v>
      </c>
      <c r="M887" s="265" t="s">
        <v>10287</v>
      </c>
      <c r="N887" s="347">
        <v>0.45800000000000002</v>
      </c>
      <c r="O887" s="348">
        <v>5</v>
      </c>
      <c r="P887" s="348">
        <v>12.28</v>
      </c>
      <c r="Q887" s="348">
        <v>0.8</v>
      </c>
    </row>
    <row r="888" spans="1:17" ht="15" hidden="1" customHeight="1">
      <c r="A888" s="163">
        <v>881</v>
      </c>
      <c r="B888" s="53" t="s">
        <v>23</v>
      </c>
      <c r="C888" s="53" t="s">
        <v>10288</v>
      </c>
      <c r="D888" s="53">
        <v>100023608</v>
      </c>
      <c r="E888" s="55" t="s">
        <v>10289</v>
      </c>
      <c r="F888" s="129">
        <v>10</v>
      </c>
      <c r="G888" s="129">
        <v>1500</v>
      </c>
      <c r="H888" s="512">
        <v>102.49</v>
      </c>
      <c r="I888" s="265" t="s">
        <v>76</v>
      </c>
      <c r="J888" s="265" t="s">
        <v>102</v>
      </c>
      <c r="K888" s="265" t="s">
        <v>10290</v>
      </c>
      <c r="L888" s="265" t="s">
        <v>10291</v>
      </c>
      <c r="M888" s="265" t="s">
        <v>10292</v>
      </c>
      <c r="N888" s="347">
        <v>0.64500000000000002</v>
      </c>
      <c r="O888" s="348">
        <v>2</v>
      </c>
      <c r="P888" s="348">
        <v>7.11</v>
      </c>
      <c r="Q888" s="348">
        <v>0.5</v>
      </c>
    </row>
    <row r="889" spans="1:17" ht="15" hidden="1" customHeight="1">
      <c r="A889" s="163">
        <v>882</v>
      </c>
      <c r="B889" s="53" t="s">
        <v>23</v>
      </c>
      <c r="C889" s="53" t="s">
        <v>10293</v>
      </c>
      <c r="D889" s="53">
        <v>100023609</v>
      </c>
      <c r="E889" s="55" t="s">
        <v>10294</v>
      </c>
      <c r="F889" s="129">
        <v>10</v>
      </c>
      <c r="G889" s="129">
        <v>900</v>
      </c>
      <c r="H889" s="512">
        <v>182.33</v>
      </c>
      <c r="I889" s="265" t="s">
        <v>76</v>
      </c>
      <c r="J889" s="265" t="s">
        <v>102</v>
      </c>
      <c r="K889" s="265" t="s">
        <v>10295</v>
      </c>
      <c r="L889" s="265" t="s">
        <v>10296</v>
      </c>
      <c r="M889" s="265" t="s">
        <v>10297</v>
      </c>
      <c r="N889" s="347">
        <v>1.1850000000000001</v>
      </c>
      <c r="O889" s="348">
        <v>2</v>
      </c>
      <c r="P889" s="348">
        <v>12.28</v>
      </c>
      <c r="Q889" s="348">
        <v>0.8</v>
      </c>
    </row>
    <row r="890" spans="1:17" ht="15" hidden="1" customHeight="1">
      <c r="A890" s="163">
        <v>883</v>
      </c>
      <c r="B890" s="53" t="s">
        <v>23</v>
      </c>
      <c r="C890" s="53" t="s">
        <v>10298</v>
      </c>
      <c r="D890" s="53">
        <v>100023612</v>
      </c>
      <c r="E890" s="55" t="s">
        <v>10299</v>
      </c>
      <c r="F890" s="129">
        <v>100</v>
      </c>
      <c r="G890" s="129">
        <v>12000</v>
      </c>
      <c r="H890" s="512">
        <v>41.95</v>
      </c>
      <c r="I890" s="265" t="s">
        <v>76</v>
      </c>
      <c r="J890" s="265" t="s">
        <v>102</v>
      </c>
      <c r="K890" s="265" t="s">
        <v>10300</v>
      </c>
      <c r="L890" s="265" t="s">
        <v>10301</v>
      </c>
      <c r="M890" s="265" t="s">
        <v>10302</v>
      </c>
      <c r="N890" s="347">
        <v>0.126</v>
      </c>
      <c r="O890" s="348">
        <v>10</v>
      </c>
      <c r="P890" s="348">
        <v>13.52</v>
      </c>
      <c r="Q890" s="348">
        <v>0.65</v>
      </c>
    </row>
    <row r="891" spans="1:17" ht="15" hidden="1" customHeight="1">
      <c r="A891" s="163">
        <v>884</v>
      </c>
      <c r="B891" s="53" t="s">
        <v>23</v>
      </c>
      <c r="C891" s="53" t="s">
        <v>10303</v>
      </c>
      <c r="D891" s="53">
        <v>100023613</v>
      </c>
      <c r="E891" s="55" t="s">
        <v>10304</v>
      </c>
      <c r="F891" s="129">
        <v>100</v>
      </c>
      <c r="G891" s="129">
        <v>15000</v>
      </c>
      <c r="H891" s="512">
        <v>41.95</v>
      </c>
      <c r="I891" s="265" t="s">
        <v>76</v>
      </c>
      <c r="J891" s="265" t="s">
        <v>102</v>
      </c>
      <c r="K891" s="265" t="s">
        <v>10305</v>
      </c>
      <c r="L891" s="265" t="s">
        <v>10306</v>
      </c>
      <c r="M891" s="265" t="s">
        <v>10307</v>
      </c>
      <c r="N891" s="347">
        <v>9.4E-2</v>
      </c>
      <c r="O891" s="348">
        <v>10</v>
      </c>
      <c r="P891" s="348">
        <v>9.34</v>
      </c>
      <c r="Q891" s="348">
        <v>0.5</v>
      </c>
    </row>
    <row r="892" spans="1:17" ht="15" hidden="1" customHeight="1">
      <c r="A892" s="163">
        <v>885</v>
      </c>
      <c r="B892" s="53" t="s">
        <v>23</v>
      </c>
      <c r="C892" s="53" t="s">
        <v>10308</v>
      </c>
      <c r="D892" s="53">
        <v>100023614</v>
      </c>
      <c r="E892" s="55" t="s">
        <v>10309</v>
      </c>
      <c r="F892" s="129">
        <v>125</v>
      </c>
      <c r="G892" s="129">
        <v>9375</v>
      </c>
      <c r="H892" s="512">
        <v>49.02</v>
      </c>
      <c r="I892" s="265" t="s">
        <v>76</v>
      </c>
      <c r="J892" s="265" t="s">
        <v>102</v>
      </c>
      <c r="K892" s="265" t="s">
        <v>10310</v>
      </c>
      <c r="L892" s="265" t="s">
        <v>10311</v>
      </c>
      <c r="M892" s="265" t="s">
        <v>10312</v>
      </c>
      <c r="N892" s="347">
        <v>0.18</v>
      </c>
      <c r="O892" s="348">
        <v>5</v>
      </c>
      <c r="P892" s="348">
        <v>22.62</v>
      </c>
      <c r="Q892" s="348">
        <v>1.1000000000000001</v>
      </c>
    </row>
    <row r="893" spans="1:17" ht="15" hidden="1" customHeight="1">
      <c r="A893" s="163">
        <v>886</v>
      </c>
      <c r="B893" s="53" t="s">
        <v>23</v>
      </c>
      <c r="C893" s="53" t="s">
        <v>10313</v>
      </c>
      <c r="D893" s="53">
        <v>100023620</v>
      </c>
      <c r="E893" s="55" t="s">
        <v>10314</v>
      </c>
      <c r="F893" s="129">
        <v>50</v>
      </c>
      <c r="G893" s="129">
        <v>3750</v>
      </c>
      <c r="H893" s="512">
        <v>101.62</v>
      </c>
      <c r="I893" s="265" t="s">
        <v>76</v>
      </c>
      <c r="J893" s="265" t="s">
        <v>102</v>
      </c>
      <c r="K893" s="265" t="s">
        <v>10315</v>
      </c>
      <c r="L893" s="265" t="s">
        <v>10316</v>
      </c>
      <c r="M893" s="265" t="s">
        <v>10317</v>
      </c>
      <c r="N893" s="347">
        <v>0.35199999999999998</v>
      </c>
      <c r="O893" s="348">
        <v>5</v>
      </c>
      <c r="P893" s="348">
        <v>17.86</v>
      </c>
      <c r="Q893" s="348">
        <v>1.1000000000000001</v>
      </c>
    </row>
    <row r="894" spans="1:17" ht="15" hidden="1" customHeight="1">
      <c r="A894" s="163">
        <v>887</v>
      </c>
      <c r="B894" s="53" t="s">
        <v>23</v>
      </c>
      <c r="C894" s="53" t="s">
        <v>10318</v>
      </c>
      <c r="D894" s="53">
        <v>100023621</v>
      </c>
      <c r="E894" s="55" t="s">
        <v>10319</v>
      </c>
      <c r="F894" s="129">
        <v>50</v>
      </c>
      <c r="G894" s="129">
        <v>7500</v>
      </c>
      <c r="H894" s="512">
        <v>101.62</v>
      </c>
      <c r="I894" s="265" t="s">
        <v>76</v>
      </c>
      <c r="J894" s="265" t="s">
        <v>102</v>
      </c>
      <c r="K894" s="265" t="s">
        <v>10320</v>
      </c>
      <c r="L894" s="265" t="s">
        <v>10321</v>
      </c>
      <c r="M894" s="265" t="s">
        <v>10322</v>
      </c>
      <c r="N894" s="347">
        <v>0.186</v>
      </c>
      <c r="O894" s="348">
        <v>5</v>
      </c>
      <c r="P894" s="348">
        <v>9.16</v>
      </c>
      <c r="Q894" s="348">
        <v>0.5</v>
      </c>
    </row>
    <row r="895" spans="1:17" ht="15" hidden="1" customHeight="1">
      <c r="A895" s="163">
        <v>888</v>
      </c>
      <c r="B895" s="53" t="s">
        <v>23</v>
      </c>
      <c r="C895" s="53" t="s">
        <v>10323</v>
      </c>
      <c r="D895" s="53">
        <v>100023623</v>
      </c>
      <c r="E895" s="55" t="s">
        <v>10324</v>
      </c>
      <c r="F895" s="129">
        <v>500</v>
      </c>
      <c r="G895" s="129">
        <v>60000</v>
      </c>
      <c r="H895" s="512">
        <v>13.23</v>
      </c>
      <c r="I895" s="265" t="s">
        <v>359</v>
      </c>
      <c r="J895" s="265" t="s">
        <v>102</v>
      </c>
      <c r="K895" s="265" t="s">
        <v>10325</v>
      </c>
      <c r="L895" s="265" t="s">
        <v>10326</v>
      </c>
      <c r="M895" s="265" t="s">
        <v>10327</v>
      </c>
      <c r="N895" s="347">
        <v>2.1999999999999999E-2</v>
      </c>
      <c r="O895" s="348">
        <v>10</v>
      </c>
      <c r="P895" s="348">
        <v>10.9</v>
      </c>
      <c r="Q895" s="348">
        <v>0.65</v>
      </c>
    </row>
    <row r="896" spans="1:17" ht="15" hidden="1" customHeight="1">
      <c r="A896" s="163">
        <v>889</v>
      </c>
      <c r="B896" s="53" t="s">
        <v>23</v>
      </c>
      <c r="C896" s="53" t="s">
        <v>10328</v>
      </c>
      <c r="D896" s="53">
        <v>100023624</v>
      </c>
      <c r="E896" s="55" t="s">
        <v>10329</v>
      </c>
      <c r="F896" s="129">
        <v>500</v>
      </c>
      <c r="G896" s="129">
        <v>75000</v>
      </c>
      <c r="H896" s="512">
        <v>13.23</v>
      </c>
      <c r="I896" s="265" t="s">
        <v>76</v>
      </c>
      <c r="J896" s="265" t="s">
        <v>102</v>
      </c>
      <c r="K896" s="265" t="s">
        <v>10330</v>
      </c>
      <c r="L896" s="265" t="s">
        <v>10331</v>
      </c>
      <c r="M896" s="265" t="s">
        <v>10332</v>
      </c>
      <c r="N896" s="347">
        <v>1.4999999999999999E-2</v>
      </c>
      <c r="O896" s="348">
        <v>10</v>
      </c>
      <c r="P896" s="348">
        <v>7.75</v>
      </c>
      <c r="Q896" s="348">
        <v>0.5</v>
      </c>
    </row>
    <row r="897" spans="1:17" ht="15" hidden="1" customHeight="1">
      <c r="A897" s="163">
        <v>890</v>
      </c>
      <c r="B897" s="53" t="s">
        <v>23</v>
      </c>
      <c r="C897" s="53" t="s">
        <v>10333</v>
      </c>
      <c r="D897" s="53">
        <v>100023625</v>
      </c>
      <c r="E897" s="55" t="s">
        <v>10334</v>
      </c>
      <c r="F897" s="129">
        <v>250</v>
      </c>
      <c r="G897" s="129">
        <v>37500</v>
      </c>
      <c r="H897" s="512">
        <v>4.8499999999999996</v>
      </c>
      <c r="I897" s="265" t="s">
        <v>76</v>
      </c>
      <c r="J897" s="265" t="s">
        <v>102</v>
      </c>
      <c r="K897" s="265" t="s">
        <v>10335</v>
      </c>
      <c r="L897" s="265" t="s">
        <v>10336</v>
      </c>
      <c r="M897" s="265" t="s">
        <v>10337</v>
      </c>
      <c r="N897" s="347">
        <v>2.3E-2</v>
      </c>
      <c r="O897" s="348">
        <v>10</v>
      </c>
      <c r="P897" s="348">
        <v>6.57</v>
      </c>
      <c r="Q897" s="348">
        <v>0.5</v>
      </c>
    </row>
    <row r="898" spans="1:17" ht="15" hidden="1" customHeight="1">
      <c r="A898" s="163">
        <v>891</v>
      </c>
      <c r="B898" s="53" t="s">
        <v>23</v>
      </c>
      <c r="C898" s="53" t="s">
        <v>10338</v>
      </c>
      <c r="D898" s="53">
        <v>100023626</v>
      </c>
      <c r="E898" s="55" t="s">
        <v>10339</v>
      </c>
      <c r="F898" s="129">
        <v>250</v>
      </c>
      <c r="G898" s="129">
        <v>30000</v>
      </c>
      <c r="H898" s="512">
        <v>13.89</v>
      </c>
      <c r="I898" s="265" t="s">
        <v>76</v>
      </c>
      <c r="J898" s="265" t="s">
        <v>102</v>
      </c>
      <c r="K898" s="265" t="s">
        <v>10340</v>
      </c>
      <c r="L898" s="265" t="s">
        <v>10341</v>
      </c>
      <c r="M898" s="265" t="s">
        <v>10342</v>
      </c>
      <c r="N898" s="347">
        <v>5.8999999999999997E-2</v>
      </c>
      <c r="O898" s="348">
        <v>10</v>
      </c>
      <c r="P898" s="348">
        <v>15.43</v>
      </c>
      <c r="Q898" s="348">
        <v>0.65</v>
      </c>
    </row>
    <row r="899" spans="1:17" ht="15" hidden="1" customHeight="1">
      <c r="A899" s="163">
        <v>892</v>
      </c>
      <c r="B899" s="53" t="s">
        <v>23</v>
      </c>
      <c r="C899" s="53" t="s">
        <v>10343</v>
      </c>
      <c r="D899" s="53">
        <v>100023627</v>
      </c>
      <c r="E899" s="55" t="s">
        <v>10344</v>
      </c>
      <c r="F899" s="129">
        <v>250</v>
      </c>
      <c r="G899" s="129">
        <v>30000</v>
      </c>
      <c r="H899" s="512">
        <v>13.89</v>
      </c>
      <c r="I899" s="265" t="s">
        <v>76</v>
      </c>
      <c r="J899" s="265" t="s">
        <v>102</v>
      </c>
      <c r="K899" s="265" t="s">
        <v>10345</v>
      </c>
      <c r="L899" s="265" t="s">
        <v>10346</v>
      </c>
      <c r="M899" s="265" t="s">
        <v>10347</v>
      </c>
      <c r="N899" s="347">
        <v>4.2000000000000003E-2</v>
      </c>
      <c r="O899" s="348">
        <v>10</v>
      </c>
      <c r="P899" s="348">
        <v>10.64</v>
      </c>
      <c r="Q899" s="348">
        <v>0.65</v>
      </c>
    </row>
    <row r="900" spans="1:17" ht="15" hidden="1" customHeight="1">
      <c r="A900" s="163">
        <v>893</v>
      </c>
      <c r="B900" s="53" t="s">
        <v>23</v>
      </c>
      <c r="C900" s="53" t="s">
        <v>10348</v>
      </c>
      <c r="D900" s="53">
        <v>100023628</v>
      </c>
      <c r="E900" s="55" t="s">
        <v>10349</v>
      </c>
      <c r="F900" s="129">
        <v>100</v>
      </c>
      <c r="G900" s="129">
        <v>15000</v>
      </c>
      <c r="H900" s="512">
        <v>21.71</v>
      </c>
      <c r="I900" s="265" t="s">
        <v>359</v>
      </c>
      <c r="J900" s="265" t="s">
        <v>102</v>
      </c>
      <c r="K900" s="265" t="s">
        <v>10350</v>
      </c>
      <c r="L900" s="265" t="s">
        <v>10351</v>
      </c>
      <c r="M900" s="265" t="s">
        <v>10352</v>
      </c>
      <c r="N900" s="347">
        <v>0.108</v>
      </c>
      <c r="O900" s="348">
        <v>10</v>
      </c>
      <c r="P900" s="348">
        <v>11.76</v>
      </c>
      <c r="Q900" s="348">
        <v>0.5</v>
      </c>
    </row>
    <row r="901" spans="1:17" ht="15" hidden="1" customHeight="1">
      <c r="A901" s="163">
        <v>894</v>
      </c>
      <c r="B901" s="53" t="s">
        <v>23</v>
      </c>
      <c r="C901" s="53" t="s">
        <v>10353</v>
      </c>
      <c r="D901" s="53">
        <v>100023629</v>
      </c>
      <c r="E901" s="55" t="s">
        <v>10354</v>
      </c>
      <c r="F901" s="129">
        <v>100</v>
      </c>
      <c r="G901" s="129">
        <v>15000</v>
      </c>
      <c r="H901" s="512">
        <v>21.71</v>
      </c>
      <c r="I901" s="265" t="s">
        <v>76</v>
      </c>
      <c r="J901" s="265" t="s">
        <v>102</v>
      </c>
      <c r="K901" s="265" t="s">
        <v>10355</v>
      </c>
      <c r="L901" s="265" t="s">
        <v>10356</v>
      </c>
      <c r="M901" s="265" t="s">
        <v>10357</v>
      </c>
      <c r="N901" s="347">
        <v>0.10299999999999999</v>
      </c>
      <c r="O901" s="348">
        <v>10</v>
      </c>
      <c r="P901" s="348">
        <v>9.2100000000000009</v>
      </c>
      <c r="Q901" s="348">
        <v>0.5</v>
      </c>
    </row>
    <row r="902" spans="1:17" ht="15" hidden="1" customHeight="1">
      <c r="A902" s="163">
        <v>895</v>
      </c>
      <c r="B902" s="53" t="s">
        <v>23</v>
      </c>
      <c r="C902" s="53" t="s">
        <v>10358</v>
      </c>
      <c r="D902" s="53">
        <v>100023630</v>
      </c>
      <c r="E902" s="55" t="s">
        <v>10359</v>
      </c>
      <c r="F902" s="129">
        <v>150</v>
      </c>
      <c r="G902" s="129">
        <v>18000</v>
      </c>
      <c r="H902" s="512">
        <v>21.71</v>
      </c>
      <c r="I902" s="265" t="s">
        <v>76</v>
      </c>
      <c r="J902" s="265" t="s">
        <v>102</v>
      </c>
      <c r="K902" s="265" t="s">
        <v>10360</v>
      </c>
      <c r="L902" s="265" t="s">
        <v>10361</v>
      </c>
      <c r="M902" s="265" t="s">
        <v>10362</v>
      </c>
      <c r="N902" s="347">
        <v>7.0000000000000007E-2</v>
      </c>
      <c r="O902" s="348">
        <v>10</v>
      </c>
      <c r="P902" s="348">
        <v>9.19</v>
      </c>
      <c r="Q902" s="348">
        <v>0.65</v>
      </c>
    </row>
    <row r="903" spans="1:17" ht="15" hidden="1" customHeight="1">
      <c r="A903" s="163">
        <v>896</v>
      </c>
      <c r="B903" s="53" t="s">
        <v>23</v>
      </c>
      <c r="C903" s="53" t="s">
        <v>10363</v>
      </c>
      <c r="D903" s="53">
        <v>100023631</v>
      </c>
      <c r="E903" s="55" t="s">
        <v>10364</v>
      </c>
      <c r="F903" s="129">
        <v>100</v>
      </c>
      <c r="G903" s="129">
        <v>12000</v>
      </c>
      <c r="H903" s="512">
        <v>29.52</v>
      </c>
      <c r="I903" s="265" t="s">
        <v>76</v>
      </c>
      <c r="J903" s="265" t="s">
        <v>102</v>
      </c>
      <c r="K903" s="265" t="s">
        <v>10365</v>
      </c>
      <c r="L903" s="265" t="s">
        <v>10366</v>
      </c>
      <c r="M903" s="265" t="s">
        <v>10367</v>
      </c>
      <c r="N903" s="347">
        <v>0.151</v>
      </c>
      <c r="O903" s="348">
        <v>10</v>
      </c>
      <c r="P903" s="348">
        <v>15.01</v>
      </c>
      <c r="Q903" s="348">
        <v>0.65</v>
      </c>
    </row>
    <row r="904" spans="1:17" ht="15" hidden="1" customHeight="1">
      <c r="A904" s="163">
        <v>897</v>
      </c>
      <c r="B904" s="53" t="s">
        <v>23</v>
      </c>
      <c r="C904" s="53" t="s">
        <v>10368</v>
      </c>
      <c r="D904" s="53">
        <v>100023632</v>
      </c>
      <c r="E904" s="55" t="s">
        <v>10369</v>
      </c>
      <c r="F904" s="129">
        <v>100</v>
      </c>
      <c r="G904" s="129">
        <v>12000</v>
      </c>
      <c r="H904" s="512">
        <v>29.52</v>
      </c>
      <c r="I904" s="265" t="s">
        <v>76</v>
      </c>
      <c r="J904" s="265" t="s">
        <v>102</v>
      </c>
      <c r="K904" s="265" t="s">
        <v>10370</v>
      </c>
      <c r="L904" s="265" t="s">
        <v>10371</v>
      </c>
      <c r="M904" s="265" t="s">
        <v>10372</v>
      </c>
      <c r="N904" s="347">
        <v>0.152</v>
      </c>
      <c r="O904" s="348">
        <v>10</v>
      </c>
      <c r="P904" s="348">
        <v>14.85</v>
      </c>
      <c r="Q904" s="348">
        <v>0.65</v>
      </c>
    </row>
    <row r="905" spans="1:17" ht="15" hidden="1" customHeight="1">
      <c r="A905" s="163">
        <v>898</v>
      </c>
      <c r="B905" s="53" t="s">
        <v>23</v>
      </c>
      <c r="C905" s="53" t="s">
        <v>10373</v>
      </c>
      <c r="D905" s="53">
        <v>100023633</v>
      </c>
      <c r="E905" s="55" t="s">
        <v>10374</v>
      </c>
      <c r="F905" s="129">
        <v>100</v>
      </c>
      <c r="G905" s="129">
        <v>12000</v>
      </c>
      <c r="H905" s="512">
        <v>29.52</v>
      </c>
      <c r="I905" s="265" t="s">
        <v>76</v>
      </c>
      <c r="J905" s="265" t="s">
        <v>102</v>
      </c>
      <c r="K905" s="265" t="s">
        <v>10375</v>
      </c>
      <c r="L905" s="265" t="s">
        <v>10376</v>
      </c>
      <c r="M905" s="265" t="s">
        <v>10377</v>
      </c>
      <c r="N905" s="347">
        <v>0.129</v>
      </c>
      <c r="O905" s="348">
        <v>10</v>
      </c>
      <c r="P905" s="348">
        <v>12.73</v>
      </c>
      <c r="Q905" s="348">
        <v>0.65</v>
      </c>
    </row>
    <row r="906" spans="1:17" ht="15" hidden="1" customHeight="1">
      <c r="A906" s="163">
        <v>899</v>
      </c>
      <c r="B906" s="53" t="s">
        <v>23</v>
      </c>
      <c r="C906" s="53" t="s">
        <v>10378</v>
      </c>
      <c r="D906" s="53">
        <v>100023634</v>
      </c>
      <c r="E906" s="55" t="s">
        <v>10379</v>
      </c>
      <c r="F906" s="129">
        <v>100</v>
      </c>
      <c r="G906" s="129">
        <v>12000</v>
      </c>
      <c r="H906" s="512">
        <v>29.52</v>
      </c>
      <c r="I906" s="265" t="s">
        <v>76</v>
      </c>
      <c r="J906" s="265" t="s">
        <v>102</v>
      </c>
      <c r="K906" s="265" t="s">
        <v>10380</v>
      </c>
      <c r="L906" s="265" t="s">
        <v>10381</v>
      </c>
      <c r="M906" s="265" t="s">
        <v>10382</v>
      </c>
      <c r="N906" s="347">
        <v>0.06</v>
      </c>
      <c r="O906" s="348">
        <v>10</v>
      </c>
      <c r="P906" s="348">
        <v>6.75</v>
      </c>
      <c r="Q906" s="348">
        <v>0.65</v>
      </c>
    </row>
    <row r="907" spans="1:17" ht="15" hidden="1" customHeight="1">
      <c r="A907" s="163">
        <v>900</v>
      </c>
      <c r="B907" s="53" t="s">
        <v>23</v>
      </c>
      <c r="C907" s="53" t="s">
        <v>10383</v>
      </c>
      <c r="D907" s="53">
        <v>100023635</v>
      </c>
      <c r="E907" s="55" t="s">
        <v>10384</v>
      </c>
      <c r="F907" s="129">
        <v>50</v>
      </c>
      <c r="G907" s="129">
        <v>6000</v>
      </c>
      <c r="H907" s="512">
        <v>42.11</v>
      </c>
      <c r="I907" s="265" t="s">
        <v>76</v>
      </c>
      <c r="J907" s="265" t="s">
        <v>102</v>
      </c>
      <c r="K907" s="265" t="s">
        <v>10385</v>
      </c>
      <c r="L907" s="265" t="s">
        <v>10386</v>
      </c>
      <c r="M907" s="265" t="s">
        <v>10387</v>
      </c>
      <c r="N907" s="347">
        <v>0.27700000000000002</v>
      </c>
      <c r="O907" s="348">
        <v>5</v>
      </c>
      <c r="P907" s="348">
        <v>14.01</v>
      </c>
      <c r="Q907" s="348">
        <v>0.65</v>
      </c>
    </row>
    <row r="908" spans="1:17" ht="15" hidden="1" customHeight="1">
      <c r="A908" s="163">
        <v>901</v>
      </c>
      <c r="B908" s="53" t="s">
        <v>23</v>
      </c>
      <c r="C908" s="53" t="s">
        <v>10388</v>
      </c>
      <c r="D908" s="53">
        <v>100023636</v>
      </c>
      <c r="E908" s="55" t="s">
        <v>10389</v>
      </c>
      <c r="F908" s="129">
        <v>50</v>
      </c>
      <c r="G908" s="129">
        <v>6000</v>
      </c>
      <c r="H908" s="512">
        <v>42.1</v>
      </c>
      <c r="I908" s="265" t="s">
        <v>76</v>
      </c>
      <c r="J908" s="265" t="s">
        <v>102</v>
      </c>
      <c r="K908" s="265" t="s">
        <v>10390</v>
      </c>
      <c r="L908" s="265" t="s">
        <v>10391</v>
      </c>
      <c r="M908" s="265" t="s">
        <v>10392</v>
      </c>
      <c r="N908" s="347">
        <v>0.27600000000000002</v>
      </c>
      <c r="O908" s="348">
        <v>5</v>
      </c>
      <c r="P908" s="348">
        <v>13.95</v>
      </c>
      <c r="Q908" s="348">
        <v>0.65</v>
      </c>
    </row>
    <row r="909" spans="1:17" ht="15" hidden="1" customHeight="1">
      <c r="A909" s="163">
        <v>902</v>
      </c>
      <c r="B909" s="53" t="s">
        <v>23</v>
      </c>
      <c r="C909" s="53" t="s">
        <v>10393</v>
      </c>
      <c r="D909" s="53">
        <v>100023637</v>
      </c>
      <c r="E909" s="55" t="s">
        <v>10394</v>
      </c>
      <c r="F909" s="129">
        <v>50</v>
      </c>
      <c r="G909" s="129">
        <v>6000</v>
      </c>
      <c r="H909" s="512">
        <v>42.11</v>
      </c>
      <c r="I909" s="265" t="s">
        <v>76</v>
      </c>
      <c r="J909" s="265" t="s">
        <v>102</v>
      </c>
      <c r="K909" s="265" t="s">
        <v>10395</v>
      </c>
      <c r="L909" s="265" t="s">
        <v>10396</v>
      </c>
      <c r="M909" s="265" t="s">
        <v>10397</v>
      </c>
      <c r="N909" s="347">
        <v>0.28599999999999998</v>
      </c>
      <c r="O909" s="348">
        <v>5</v>
      </c>
      <c r="P909" s="348">
        <v>14.55</v>
      </c>
      <c r="Q909" s="348">
        <v>0.65</v>
      </c>
    </row>
    <row r="910" spans="1:17" ht="15" hidden="1" customHeight="1">
      <c r="A910" s="163">
        <v>903</v>
      </c>
      <c r="B910" s="53" t="s">
        <v>23</v>
      </c>
      <c r="C910" s="53" t="s">
        <v>10398</v>
      </c>
      <c r="D910" s="53">
        <v>100023638</v>
      </c>
      <c r="E910" s="55" t="s">
        <v>10399</v>
      </c>
      <c r="F910" s="129">
        <v>50</v>
      </c>
      <c r="G910" s="129">
        <v>6000</v>
      </c>
      <c r="H910" s="512">
        <v>42.11</v>
      </c>
      <c r="I910" s="265" t="s">
        <v>76</v>
      </c>
      <c r="J910" s="265" t="s">
        <v>102</v>
      </c>
      <c r="K910" s="265" t="s">
        <v>10400</v>
      </c>
      <c r="L910" s="265" t="s">
        <v>10401</v>
      </c>
      <c r="M910" s="265" t="s">
        <v>10402</v>
      </c>
      <c r="N910" s="347">
        <v>0.23</v>
      </c>
      <c r="O910" s="348">
        <v>5</v>
      </c>
      <c r="P910" s="348">
        <v>12.54</v>
      </c>
      <c r="Q910" s="348">
        <v>0.65</v>
      </c>
    </row>
    <row r="911" spans="1:17" ht="15" hidden="1" customHeight="1">
      <c r="A911" s="163">
        <v>904</v>
      </c>
      <c r="B911" s="53" t="s">
        <v>23</v>
      </c>
      <c r="C911" s="53" t="s">
        <v>10403</v>
      </c>
      <c r="D911" s="53">
        <v>100023639</v>
      </c>
      <c r="E911" s="55" t="s">
        <v>10404</v>
      </c>
      <c r="F911" s="129">
        <v>50</v>
      </c>
      <c r="G911" s="129">
        <v>6000</v>
      </c>
      <c r="H911" s="512">
        <v>42.1</v>
      </c>
      <c r="I911" s="265" t="s">
        <v>76</v>
      </c>
      <c r="J911" s="265" t="s">
        <v>102</v>
      </c>
      <c r="K911" s="265" t="s">
        <v>10405</v>
      </c>
      <c r="L911" s="265" t="s">
        <v>10406</v>
      </c>
      <c r="M911" s="265" t="s">
        <v>10407</v>
      </c>
      <c r="N911" s="347">
        <v>0.13800000000000001</v>
      </c>
      <c r="O911" s="348">
        <v>5</v>
      </c>
      <c r="P911" s="348">
        <v>8.5299999999999994</v>
      </c>
      <c r="Q911" s="348">
        <v>0.65</v>
      </c>
    </row>
    <row r="912" spans="1:17" ht="15" hidden="1" customHeight="1">
      <c r="A912" s="163">
        <v>905</v>
      </c>
      <c r="B912" s="53" t="s">
        <v>23</v>
      </c>
      <c r="C912" s="53" t="s">
        <v>10408</v>
      </c>
      <c r="D912" s="53">
        <v>100023643</v>
      </c>
      <c r="E912" s="55" t="s">
        <v>10409</v>
      </c>
      <c r="F912" s="129">
        <v>25</v>
      </c>
      <c r="G912" s="129">
        <v>3750</v>
      </c>
      <c r="H912" s="512">
        <v>73.17</v>
      </c>
      <c r="I912" s="265" t="s">
        <v>76</v>
      </c>
      <c r="J912" s="265" t="s">
        <v>102</v>
      </c>
      <c r="K912" s="265" t="s">
        <v>10410</v>
      </c>
      <c r="L912" s="265" t="s">
        <v>10411</v>
      </c>
      <c r="M912" s="265" t="s">
        <v>10412</v>
      </c>
      <c r="N912" s="347">
        <v>0.23400000000000001</v>
      </c>
      <c r="O912" s="348">
        <v>5</v>
      </c>
      <c r="P912" s="348">
        <v>6.94</v>
      </c>
      <c r="Q912" s="348">
        <v>0.5</v>
      </c>
    </row>
    <row r="913" spans="1:17" ht="15" hidden="1" customHeight="1">
      <c r="A913" s="163">
        <v>906</v>
      </c>
      <c r="B913" s="53" t="s">
        <v>23</v>
      </c>
      <c r="C913" s="53" t="s">
        <v>10413</v>
      </c>
      <c r="D913" s="53">
        <v>100023644</v>
      </c>
      <c r="E913" s="55" t="s">
        <v>10414</v>
      </c>
      <c r="F913" s="129">
        <v>25</v>
      </c>
      <c r="G913" s="129">
        <v>3000</v>
      </c>
      <c r="H913" s="512">
        <v>116.06</v>
      </c>
      <c r="I913" s="265" t="s">
        <v>76</v>
      </c>
      <c r="J913" s="265" t="s">
        <v>102</v>
      </c>
      <c r="K913" s="265" t="s">
        <v>10415</v>
      </c>
      <c r="L913" s="265" t="s">
        <v>10416</v>
      </c>
      <c r="M913" s="265" t="s">
        <v>10417</v>
      </c>
      <c r="N913" s="347">
        <v>0.51600000000000001</v>
      </c>
      <c r="O913" s="348">
        <v>5</v>
      </c>
      <c r="P913" s="348">
        <v>13.14</v>
      </c>
      <c r="Q913" s="348">
        <v>0.65</v>
      </c>
    </row>
    <row r="914" spans="1:17" ht="15" hidden="1" customHeight="1">
      <c r="A914" s="163">
        <v>907</v>
      </c>
      <c r="B914" s="53" t="s">
        <v>23</v>
      </c>
      <c r="C914" s="53" t="s">
        <v>10418</v>
      </c>
      <c r="D914" s="53">
        <v>100023425</v>
      </c>
      <c r="E914" s="55" t="s">
        <v>10419</v>
      </c>
      <c r="F914" s="129">
        <v>25</v>
      </c>
      <c r="G914" s="129">
        <v>3000</v>
      </c>
      <c r="H914" s="512">
        <v>116.06</v>
      </c>
      <c r="I914" s="265" t="s">
        <v>76</v>
      </c>
      <c r="J914" s="265" t="s">
        <v>102</v>
      </c>
      <c r="K914" s="265" t="s">
        <v>10420</v>
      </c>
      <c r="L914" s="265" t="s">
        <v>10421</v>
      </c>
      <c r="M914" s="265" t="s">
        <v>10422</v>
      </c>
      <c r="N914" s="347">
        <v>0.51800000000000002</v>
      </c>
      <c r="O914" s="348">
        <v>5</v>
      </c>
      <c r="P914" s="348">
        <v>13.24</v>
      </c>
      <c r="Q914" s="348">
        <v>0.65</v>
      </c>
    </row>
    <row r="915" spans="1:17" ht="15" hidden="1" customHeight="1">
      <c r="A915" s="163">
        <v>908</v>
      </c>
      <c r="B915" s="53" t="s">
        <v>23</v>
      </c>
      <c r="C915" s="53" t="s">
        <v>10423</v>
      </c>
      <c r="D915" s="53">
        <v>100023645</v>
      </c>
      <c r="E915" s="55" t="s">
        <v>10424</v>
      </c>
      <c r="F915" s="129">
        <v>25</v>
      </c>
      <c r="G915" s="129">
        <v>3000</v>
      </c>
      <c r="H915" s="512">
        <v>116.06</v>
      </c>
      <c r="I915" s="265" t="s">
        <v>76</v>
      </c>
      <c r="J915" s="265" t="s">
        <v>102</v>
      </c>
      <c r="K915" s="265" t="s">
        <v>10425</v>
      </c>
      <c r="L915" s="265" t="s">
        <v>10426</v>
      </c>
      <c r="M915" s="265" t="s">
        <v>10427</v>
      </c>
      <c r="N915" s="347">
        <v>0.53</v>
      </c>
      <c r="O915" s="348">
        <v>5</v>
      </c>
      <c r="P915" s="348">
        <v>13.35</v>
      </c>
      <c r="Q915" s="348">
        <v>0.65</v>
      </c>
    </row>
    <row r="916" spans="1:17" ht="15" hidden="1" customHeight="1">
      <c r="A916" s="163">
        <v>909</v>
      </c>
      <c r="B916" s="53" t="s">
        <v>23</v>
      </c>
      <c r="C916" s="53" t="s">
        <v>10428</v>
      </c>
      <c r="D916" s="53">
        <v>100023646</v>
      </c>
      <c r="E916" s="55" t="s">
        <v>10429</v>
      </c>
      <c r="F916" s="129">
        <v>25</v>
      </c>
      <c r="G916" s="129">
        <v>3000</v>
      </c>
      <c r="H916" s="512">
        <v>116.06</v>
      </c>
      <c r="I916" s="265" t="s">
        <v>76</v>
      </c>
      <c r="J916" s="265" t="s">
        <v>102</v>
      </c>
      <c r="K916" s="265" t="s">
        <v>10430</v>
      </c>
      <c r="L916" s="265" t="s">
        <v>10431</v>
      </c>
      <c r="M916" s="265" t="s">
        <v>10432</v>
      </c>
      <c r="N916" s="347">
        <v>0.42499999999999999</v>
      </c>
      <c r="O916" s="348">
        <v>5</v>
      </c>
      <c r="P916" s="348">
        <v>13.33</v>
      </c>
      <c r="Q916" s="348">
        <v>0.65</v>
      </c>
    </row>
    <row r="917" spans="1:17" ht="15" hidden="1" customHeight="1">
      <c r="A917" s="163">
        <v>910</v>
      </c>
      <c r="B917" s="53" t="s">
        <v>23</v>
      </c>
      <c r="C917" s="53" t="s">
        <v>10433</v>
      </c>
      <c r="D917" s="53">
        <v>100023647</v>
      </c>
      <c r="E917" s="55" t="s">
        <v>10434</v>
      </c>
      <c r="F917" s="129">
        <v>25</v>
      </c>
      <c r="G917" s="129">
        <v>3000</v>
      </c>
      <c r="H917" s="512">
        <v>116.06</v>
      </c>
      <c r="I917" s="265" t="s">
        <v>76</v>
      </c>
      <c r="J917" s="265" t="s">
        <v>102</v>
      </c>
      <c r="K917" s="265" t="s">
        <v>10435</v>
      </c>
      <c r="L917" s="265" t="s">
        <v>10436</v>
      </c>
      <c r="M917" s="265" t="s">
        <v>10437</v>
      </c>
      <c r="N917" s="347">
        <v>0.32800000000000001</v>
      </c>
      <c r="O917" s="348">
        <v>5</v>
      </c>
      <c r="P917" s="348">
        <v>9.18</v>
      </c>
      <c r="Q917" s="348">
        <v>0.65</v>
      </c>
    </row>
    <row r="918" spans="1:17" ht="15" hidden="1" customHeight="1">
      <c r="A918" s="163">
        <v>911</v>
      </c>
      <c r="B918" s="53" t="s">
        <v>23</v>
      </c>
      <c r="C918" s="53" t="s">
        <v>10438</v>
      </c>
      <c r="D918" s="53">
        <v>100023648</v>
      </c>
      <c r="E918" s="55" t="s">
        <v>10439</v>
      </c>
      <c r="F918" s="129">
        <v>10</v>
      </c>
      <c r="G918" s="129">
        <v>1200</v>
      </c>
      <c r="H918" s="512">
        <v>160.71</v>
      </c>
      <c r="I918" s="265" t="s">
        <v>76</v>
      </c>
      <c r="J918" s="265" t="s">
        <v>102</v>
      </c>
      <c r="K918" s="265" t="s">
        <v>10440</v>
      </c>
      <c r="L918" s="348" t="s">
        <v>1205</v>
      </c>
      <c r="M918" s="265" t="s">
        <v>10441</v>
      </c>
      <c r="N918" s="347">
        <v>0.90800000000000003</v>
      </c>
      <c r="O918" s="348" t="s">
        <v>1205</v>
      </c>
      <c r="P918" s="348">
        <v>9.9600000000000009</v>
      </c>
      <c r="Q918" s="348">
        <v>0.65</v>
      </c>
    </row>
    <row r="919" spans="1:17" ht="15" hidden="1" customHeight="1">
      <c r="A919" s="163">
        <v>912</v>
      </c>
      <c r="B919" s="53" t="s">
        <v>23</v>
      </c>
      <c r="C919" s="53" t="s">
        <v>10442</v>
      </c>
      <c r="D919" s="53">
        <v>100023649</v>
      </c>
      <c r="E919" s="55" t="s">
        <v>10443</v>
      </c>
      <c r="F919" s="129">
        <v>10</v>
      </c>
      <c r="G919" s="129">
        <v>1500</v>
      </c>
      <c r="H919" s="512">
        <v>160.71</v>
      </c>
      <c r="I919" s="265" t="s">
        <v>76</v>
      </c>
      <c r="J919" s="265" t="s">
        <v>102</v>
      </c>
      <c r="K919" s="265" t="s">
        <v>10444</v>
      </c>
      <c r="L919" s="348" t="s">
        <v>1205</v>
      </c>
      <c r="M919" s="265" t="s">
        <v>10445</v>
      </c>
      <c r="N919" s="347">
        <v>1.075</v>
      </c>
      <c r="O919" s="348" t="s">
        <v>1205</v>
      </c>
      <c r="P919" s="348">
        <v>10.94</v>
      </c>
      <c r="Q919" s="348">
        <v>0.5</v>
      </c>
    </row>
    <row r="920" spans="1:17" ht="15" hidden="1" customHeight="1">
      <c r="A920" s="163">
        <v>913</v>
      </c>
      <c r="B920" s="53" t="s">
        <v>23</v>
      </c>
      <c r="C920" s="53" t="s">
        <v>10446</v>
      </c>
      <c r="D920" s="53">
        <v>100023650</v>
      </c>
      <c r="E920" s="55" t="s">
        <v>10447</v>
      </c>
      <c r="F920" s="129">
        <v>10</v>
      </c>
      <c r="G920" s="129">
        <v>1500</v>
      </c>
      <c r="H920" s="512">
        <v>160.71</v>
      </c>
      <c r="I920" s="265" t="s">
        <v>76</v>
      </c>
      <c r="J920" s="265" t="s">
        <v>102</v>
      </c>
      <c r="K920" s="265" t="s">
        <v>10448</v>
      </c>
      <c r="L920" s="348" t="s">
        <v>1205</v>
      </c>
      <c r="M920" s="265" t="s">
        <v>10449</v>
      </c>
      <c r="N920" s="347">
        <v>0.83499999999999996</v>
      </c>
      <c r="O920" s="348" t="s">
        <v>1205</v>
      </c>
      <c r="P920" s="348">
        <v>8.59</v>
      </c>
      <c r="Q920" s="348">
        <v>0.5</v>
      </c>
    </row>
    <row r="921" spans="1:17" ht="15" hidden="1" customHeight="1">
      <c r="A921" s="163">
        <v>914</v>
      </c>
      <c r="B921" s="53" t="s">
        <v>23</v>
      </c>
      <c r="C921" s="53" t="s">
        <v>10450</v>
      </c>
      <c r="D921" s="53">
        <v>100023653</v>
      </c>
      <c r="E921" s="55" t="s">
        <v>10451</v>
      </c>
      <c r="F921" s="129">
        <v>4</v>
      </c>
      <c r="G921" s="129">
        <v>480</v>
      </c>
      <c r="H921" s="512">
        <v>223.4</v>
      </c>
      <c r="I921" s="265" t="s">
        <v>76</v>
      </c>
      <c r="J921" s="265" t="s">
        <v>102</v>
      </c>
      <c r="K921" s="265" t="s">
        <v>10452</v>
      </c>
      <c r="L921" s="348" t="s">
        <v>1205</v>
      </c>
      <c r="M921" s="265" t="s">
        <v>10453</v>
      </c>
      <c r="N921" s="347">
        <v>1.913</v>
      </c>
      <c r="O921" s="348" t="s">
        <v>1205</v>
      </c>
      <c r="P921" s="348">
        <v>11.37</v>
      </c>
      <c r="Q921" s="348">
        <v>0.65</v>
      </c>
    </row>
    <row r="922" spans="1:17" ht="15" hidden="1" customHeight="1">
      <c r="A922" s="163">
        <v>915</v>
      </c>
      <c r="B922" s="53" t="s">
        <v>23</v>
      </c>
      <c r="C922" s="53" t="s">
        <v>10454</v>
      </c>
      <c r="D922" s="53">
        <v>100028164</v>
      </c>
      <c r="E922" s="55" t="s">
        <v>10455</v>
      </c>
      <c r="F922" s="129">
        <v>500</v>
      </c>
      <c r="G922" s="129">
        <v>0</v>
      </c>
      <c r="H922" s="512">
        <v>13.23</v>
      </c>
      <c r="I922" s="265" t="s">
        <v>359</v>
      </c>
      <c r="J922" s="265" t="s">
        <v>102</v>
      </c>
      <c r="K922" s="265" t="s">
        <v>10456</v>
      </c>
      <c r="L922" s="348" t="s">
        <v>1205</v>
      </c>
      <c r="M922" s="265" t="s">
        <v>10457</v>
      </c>
      <c r="N922" s="347">
        <v>1.0999999999999999E-2</v>
      </c>
      <c r="O922" s="348" t="s">
        <v>1205</v>
      </c>
      <c r="P922" s="348">
        <v>5.5</v>
      </c>
      <c r="Q922" s="348" t="s">
        <v>1205</v>
      </c>
    </row>
    <row r="923" spans="1:17" ht="15" hidden="1" customHeight="1">
      <c r="A923" s="163">
        <v>916</v>
      </c>
      <c r="B923" s="53" t="s">
        <v>23</v>
      </c>
      <c r="C923" s="53" t="s">
        <v>10458</v>
      </c>
      <c r="D923" s="53">
        <v>100023654</v>
      </c>
      <c r="E923" s="55" t="s">
        <v>10459</v>
      </c>
      <c r="F923" s="129">
        <v>500</v>
      </c>
      <c r="G923" s="129">
        <v>60000</v>
      </c>
      <c r="H923" s="512">
        <v>13.23</v>
      </c>
      <c r="I923" s="265" t="s">
        <v>76</v>
      </c>
      <c r="J923" s="265" t="s">
        <v>102</v>
      </c>
      <c r="K923" s="265" t="s">
        <v>10460</v>
      </c>
      <c r="L923" s="265" t="s">
        <v>10461</v>
      </c>
      <c r="M923" s="265" t="s">
        <v>10462</v>
      </c>
      <c r="N923" s="347">
        <v>0.02</v>
      </c>
      <c r="O923" s="348">
        <v>10</v>
      </c>
      <c r="P923" s="348">
        <v>11.46</v>
      </c>
      <c r="Q923" s="348">
        <v>0.65</v>
      </c>
    </row>
    <row r="924" spans="1:17" ht="15" hidden="1" customHeight="1">
      <c r="A924" s="163">
        <v>917</v>
      </c>
      <c r="B924" s="53" t="s">
        <v>23</v>
      </c>
      <c r="C924" s="53" t="s">
        <v>10463</v>
      </c>
      <c r="D924" s="53">
        <v>100023655</v>
      </c>
      <c r="E924" s="55" t="s">
        <v>10464</v>
      </c>
      <c r="F924" s="129">
        <v>500</v>
      </c>
      <c r="G924" s="129">
        <v>75000</v>
      </c>
      <c r="H924" s="512">
        <v>13.23</v>
      </c>
      <c r="I924" s="265" t="s">
        <v>359</v>
      </c>
      <c r="J924" s="265" t="s">
        <v>102</v>
      </c>
      <c r="K924" s="265" t="s">
        <v>10465</v>
      </c>
      <c r="L924" s="265" t="s">
        <v>10466</v>
      </c>
      <c r="M924" s="265" t="s">
        <v>10467</v>
      </c>
      <c r="N924" s="347">
        <v>8.9999999999999993E-3</v>
      </c>
      <c r="O924" s="348">
        <v>10</v>
      </c>
      <c r="P924" s="348">
        <v>4.68</v>
      </c>
      <c r="Q924" s="348">
        <v>0.5</v>
      </c>
    </row>
    <row r="925" spans="1:17" ht="15" hidden="1" customHeight="1">
      <c r="A925" s="163">
        <v>918</v>
      </c>
      <c r="B925" s="53" t="s">
        <v>23</v>
      </c>
      <c r="C925" s="53" t="s">
        <v>10468</v>
      </c>
      <c r="D925" s="53">
        <v>100023656</v>
      </c>
      <c r="E925" s="55" t="s">
        <v>10469</v>
      </c>
      <c r="F925" s="129">
        <v>250</v>
      </c>
      <c r="G925" s="129">
        <v>37500</v>
      </c>
      <c r="H925" s="512">
        <v>8.7200000000000006</v>
      </c>
      <c r="I925" s="265" t="s">
        <v>359</v>
      </c>
      <c r="J925" s="265" t="s">
        <v>102</v>
      </c>
      <c r="K925" s="265" t="s">
        <v>10470</v>
      </c>
      <c r="L925" s="265" t="s">
        <v>10471</v>
      </c>
      <c r="M925" s="265" t="s">
        <v>10472</v>
      </c>
      <c r="N925" s="347">
        <v>3.5999999999999997E-2</v>
      </c>
      <c r="O925" s="348">
        <v>10</v>
      </c>
      <c r="P925" s="348">
        <v>11.34</v>
      </c>
      <c r="Q925" s="348">
        <v>0.5</v>
      </c>
    </row>
    <row r="926" spans="1:17" ht="15" hidden="1" customHeight="1">
      <c r="A926" s="163">
        <v>919</v>
      </c>
      <c r="B926" s="53" t="s">
        <v>23</v>
      </c>
      <c r="C926" s="53" t="s">
        <v>10473</v>
      </c>
      <c r="D926" s="53">
        <v>100023658</v>
      </c>
      <c r="E926" s="55" t="s">
        <v>10474</v>
      </c>
      <c r="F926" s="129">
        <v>250</v>
      </c>
      <c r="G926" s="129">
        <v>37500</v>
      </c>
      <c r="H926" s="512">
        <v>8.7200000000000006</v>
      </c>
      <c r="I926" s="265" t="s">
        <v>76</v>
      </c>
      <c r="J926" s="265" t="s">
        <v>102</v>
      </c>
      <c r="K926" s="265" t="s">
        <v>10475</v>
      </c>
      <c r="L926" s="265" t="s">
        <v>10476</v>
      </c>
      <c r="M926" s="265" t="s">
        <v>10477</v>
      </c>
      <c r="N926" s="347">
        <v>2.8000000000000001E-2</v>
      </c>
      <c r="O926" s="348">
        <v>10</v>
      </c>
      <c r="P926" s="348">
        <v>7.98</v>
      </c>
      <c r="Q926" s="348">
        <v>0.5</v>
      </c>
    </row>
    <row r="927" spans="1:17" ht="15" hidden="1" customHeight="1">
      <c r="A927" s="163">
        <v>920</v>
      </c>
      <c r="B927" s="53" t="s">
        <v>23</v>
      </c>
      <c r="C927" s="53" t="s">
        <v>10478</v>
      </c>
      <c r="D927" s="53">
        <v>100023660</v>
      </c>
      <c r="E927" s="55" t="s">
        <v>10479</v>
      </c>
      <c r="F927" s="129">
        <v>250</v>
      </c>
      <c r="G927" s="129">
        <v>37500</v>
      </c>
      <c r="H927" s="512">
        <v>13.89</v>
      </c>
      <c r="I927" s="265" t="s">
        <v>359</v>
      </c>
      <c r="J927" s="265" t="s">
        <v>102</v>
      </c>
      <c r="K927" s="265" t="s">
        <v>10480</v>
      </c>
      <c r="L927" s="265" t="s">
        <v>10481</v>
      </c>
      <c r="M927" s="265" t="s">
        <v>10482</v>
      </c>
      <c r="N927" s="347">
        <v>0.05</v>
      </c>
      <c r="O927" s="348">
        <v>10</v>
      </c>
      <c r="P927" s="348">
        <v>17.3</v>
      </c>
      <c r="Q927" s="348">
        <v>0.5</v>
      </c>
    </row>
    <row r="928" spans="1:17" ht="15" hidden="1" customHeight="1">
      <c r="A928" s="163">
        <v>921</v>
      </c>
      <c r="B928" s="53" t="s">
        <v>23</v>
      </c>
      <c r="C928" s="53" t="s">
        <v>10483</v>
      </c>
      <c r="D928" s="53">
        <v>100023661</v>
      </c>
      <c r="E928" s="55" t="s">
        <v>10484</v>
      </c>
      <c r="F928" s="129">
        <v>250</v>
      </c>
      <c r="G928" s="129">
        <v>30000</v>
      </c>
      <c r="H928" s="512">
        <v>13.89</v>
      </c>
      <c r="I928" s="265" t="s">
        <v>359</v>
      </c>
      <c r="J928" s="265" t="s">
        <v>102</v>
      </c>
      <c r="K928" s="265" t="s">
        <v>10485</v>
      </c>
      <c r="L928" s="265" t="s">
        <v>10486</v>
      </c>
      <c r="M928" s="265" t="s">
        <v>10487</v>
      </c>
      <c r="N928" s="347">
        <v>0.05</v>
      </c>
      <c r="O928" s="348">
        <v>10</v>
      </c>
      <c r="P928" s="348">
        <v>15.43</v>
      </c>
      <c r="Q928" s="348">
        <v>0.65</v>
      </c>
    </row>
    <row r="929" spans="1:17" ht="15" hidden="1" customHeight="1">
      <c r="A929" s="163">
        <v>922</v>
      </c>
      <c r="B929" s="53" t="s">
        <v>23</v>
      </c>
      <c r="C929" s="53" t="s">
        <v>10488</v>
      </c>
      <c r="D929" s="53">
        <v>100023662</v>
      </c>
      <c r="E929" s="55" t="s">
        <v>10489</v>
      </c>
      <c r="F929" s="129">
        <v>250</v>
      </c>
      <c r="G929" s="129">
        <v>30000</v>
      </c>
      <c r="H929" s="512">
        <v>13.89</v>
      </c>
      <c r="I929" s="265" t="s">
        <v>76</v>
      </c>
      <c r="J929" s="265" t="s">
        <v>102</v>
      </c>
      <c r="K929" s="265" t="s">
        <v>10490</v>
      </c>
      <c r="L929" s="265" t="s">
        <v>10491</v>
      </c>
      <c r="M929" s="265" t="s">
        <v>10492</v>
      </c>
      <c r="N929" s="347">
        <v>4.1000000000000002E-2</v>
      </c>
      <c r="O929" s="348">
        <v>10</v>
      </c>
      <c r="P929" s="348">
        <v>10.45</v>
      </c>
      <c r="Q929" s="348">
        <v>0.65</v>
      </c>
    </row>
    <row r="930" spans="1:17" ht="15" hidden="1" customHeight="1">
      <c r="A930" s="163">
        <v>923</v>
      </c>
      <c r="B930" s="53" t="s">
        <v>23</v>
      </c>
      <c r="C930" s="53" t="s">
        <v>10493</v>
      </c>
      <c r="D930" s="53">
        <v>100023663</v>
      </c>
      <c r="E930" s="55" t="s">
        <v>10494</v>
      </c>
      <c r="F930" s="129">
        <v>100</v>
      </c>
      <c r="G930" s="129">
        <v>15000</v>
      </c>
      <c r="H930" s="512">
        <v>28.06</v>
      </c>
      <c r="I930" s="265" t="s">
        <v>76</v>
      </c>
      <c r="J930" s="265" t="s">
        <v>102</v>
      </c>
      <c r="K930" s="265" t="s">
        <v>10495</v>
      </c>
      <c r="L930" s="265" t="s">
        <v>10496</v>
      </c>
      <c r="M930" s="265" t="s">
        <v>10497</v>
      </c>
      <c r="N930" s="347">
        <v>9.2999999999999999E-2</v>
      </c>
      <c r="O930" s="348">
        <v>10</v>
      </c>
      <c r="P930" s="348">
        <v>9.32</v>
      </c>
      <c r="Q930" s="348">
        <v>0.5</v>
      </c>
    </row>
    <row r="931" spans="1:17" ht="15" hidden="1" customHeight="1">
      <c r="A931" s="163">
        <v>924</v>
      </c>
      <c r="B931" s="53" t="s">
        <v>23</v>
      </c>
      <c r="C931" s="53" t="s">
        <v>10498</v>
      </c>
      <c r="D931" s="53">
        <v>100023664</v>
      </c>
      <c r="E931" s="55" t="s">
        <v>10499</v>
      </c>
      <c r="F931" s="129">
        <v>100</v>
      </c>
      <c r="G931" s="129">
        <v>12000</v>
      </c>
      <c r="H931" s="512">
        <v>28.06</v>
      </c>
      <c r="I931" s="265" t="s">
        <v>359</v>
      </c>
      <c r="J931" s="265" t="s">
        <v>102</v>
      </c>
      <c r="K931" s="265" t="s">
        <v>10500</v>
      </c>
      <c r="L931" s="265" t="s">
        <v>10501</v>
      </c>
      <c r="M931" s="265" t="s">
        <v>10502</v>
      </c>
      <c r="N931" s="347">
        <v>9.2999999999999999E-2</v>
      </c>
      <c r="O931" s="348">
        <v>10</v>
      </c>
      <c r="P931" s="348">
        <v>9.65</v>
      </c>
      <c r="Q931" s="348">
        <v>0.65</v>
      </c>
    </row>
    <row r="932" spans="1:17" ht="15" hidden="1" customHeight="1">
      <c r="A932" s="163">
        <v>925</v>
      </c>
      <c r="B932" s="53" t="s">
        <v>23</v>
      </c>
      <c r="C932" s="53" t="s">
        <v>10503</v>
      </c>
      <c r="D932" s="53">
        <v>100023665</v>
      </c>
      <c r="E932" s="55" t="s">
        <v>10504</v>
      </c>
      <c r="F932" s="129">
        <v>100</v>
      </c>
      <c r="G932" s="129">
        <v>12000</v>
      </c>
      <c r="H932" s="512">
        <v>28.06</v>
      </c>
      <c r="I932" s="265" t="s">
        <v>76</v>
      </c>
      <c r="J932" s="265" t="s">
        <v>102</v>
      </c>
      <c r="K932" s="265" t="s">
        <v>10505</v>
      </c>
      <c r="L932" s="265" t="s">
        <v>10506</v>
      </c>
      <c r="M932" s="265" t="s">
        <v>10507</v>
      </c>
      <c r="N932" s="347">
        <v>7.3999999999999996E-2</v>
      </c>
      <c r="O932" s="348">
        <v>10</v>
      </c>
      <c r="P932" s="348">
        <v>7.45</v>
      </c>
      <c r="Q932" s="348">
        <v>0.65</v>
      </c>
    </row>
    <row r="933" spans="1:17" ht="15" hidden="1" customHeight="1">
      <c r="A933" s="163">
        <v>926</v>
      </c>
      <c r="B933" s="53" t="s">
        <v>23</v>
      </c>
      <c r="C933" s="53" t="s">
        <v>10508</v>
      </c>
      <c r="D933" s="53">
        <v>100023666</v>
      </c>
      <c r="E933" s="55" t="s">
        <v>10509</v>
      </c>
      <c r="F933" s="129">
        <v>100</v>
      </c>
      <c r="G933" s="129">
        <v>12000</v>
      </c>
      <c r="H933" s="512">
        <v>35.22</v>
      </c>
      <c r="I933" s="265" t="s">
        <v>76</v>
      </c>
      <c r="J933" s="265" t="s">
        <v>102</v>
      </c>
      <c r="K933" s="265" t="s">
        <v>10510</v>
      </c>
      <c r="L933" s="265" t="s">
        <v>10511</v>
      </c>
      <c r="M933" s="265" t="s">
        <v>10512</v>
      </c>
      <c r="N933" s="347">
        <v>0.13400000000000001</v>
      </c>
      <c r="O933" s="348">
        <v>10</v>
      </c>
      <c r="P933" s="348">
        <v>13.67</v>
      </c>
      <c r="Q933" s="348">
        <v>0.65</v>
      </c>
    </row>
    <row r="934" spans="1:17" ht="15" hidden="1" customHeight="1">
      <c r="A934" s="163">
        <v>927</v>
      </c>
      <c r="B934" s="53" t="s">
        <v>23</v>
      </c>
      <c r="C934" s="53" t="s">
        <v>10513</v>
      </c>
      <c r="D934" s="53">
        <v>100023667</v>
      </c>
      <c r="E934" s="55" t="s">
        <v>10514</v>
      </c>
      <c r="F934" s="129">
        <v>100</v>
      </c>
      <c r="G934" s="129">
        <v>12000</v>
      </c>
      <c r="H934" s="512">
        <v>35.22</v>
      </c>
      <c r="I934" s="265" t="s">
        <v>359</v>
      </c>
      <c r="J934" s="265" t="s">
        <v>102</v>
      </c>
      <c r="K934" s="265" t="s">
        <v>10515</v>
      </c>
      <c r="L934" s="265" t="s">
        <v>10516</v>
      </c>
      <c r="M934" s="265" t="s">
        <v>10517</v>
      </c>
      <c r="N934" s="347">
        <v>0.13400000000000001</v>
      </c>
      <c r="O934" s="348">
        <v>10</v>
      </c>
      <c r="P934" s="348">
        <v>13.56</v>
      </c>
      <c r="Q934" s="348">
        <v>0.65</v>
      </c>
    </row>
    <row r="935" spans="1:17" ht="15" hidden="1" customHeight="1">
      <c r="A935" s="163">
        <v>928</v>
      </c>
      <c r="B935" s="53" t="s">
        <v>23</v>
      </c>
      <c r="C935" s="53" t="s">
        <v>10518</v>
      </c>
      <c r="D935" s="53">
        <v>100023668</v>
      </c>
      <c r="E935" s="55" t="s">
        <v>10519</v>
      </c>
      <c r="F935" s="129">
        <v>100</v>
      </c>
      <c r="G935" s="129">
        <v>12000</v>
      </c>
      <c r="H935" s="512">
        <v>35.22</v>
      </c>
      <c r="I935" s="265" t="s">
        <v>76</v>
      </c>
      <c r="J935" s="265" t="s">
        <v>102</v>
      </c>
      <c r="K935" s="265" t="s">
        <v>10520</v>
      </c>
      <c r="L935" s="265" t="s">
        <v>10521</v>
      </c>
      <c r="M935" s="265" t="s">
        <v>10522</v>
      </c>
      <c r="N935" s="347">
        <v>0.12</v>
      </c>
      <c r="O935" s="348">
        <v>10</v>
      </c>
      <c r="P935" s="348">
        <v>12.64</v>
      </c>
      <c r="Q935" s="348">
        <v>0.65</v>
      </c>
    </row>
    <row r="936" spans="1:17" ht="15" hidden="1" customHeight="1">
      <c r="A936" s="163">
        <v>929</v>
      </c>
      <c r="B936" s="53" t="s">
        <v>23</v>
      </c>
      <c r="C936" s="53" t="s">
        <v>10523</v>
      </c>
      <c r="D936" s="53">
        <v>100023669</v>
      </c>
      <c r="E936" s="55" t="s">
        <v>10524</v>
      </c>
      <c r="F936" s="129">
        <v>100</v>
      </c>
      <c r="G936" s="129">
        <v>12000</v>
      </c>
      <c r="H936" s="512">
        <v>35.22</v>
      </c>
      <c r="I936" s="265" t="s">
        <v>359</v>
      </c>
      <c r="J936" s="265" t="s">
        <v>102</v>
      </c>
      <c r="K936" s="265" t="s">
        <v>10525</v>
      </c>
      <c r="L936" s="265" t="s">
        <v>10526</v>
      </c>
      <c r="M936" s="265" t="s">
        <v>10527</v>
      </c>
      <c r="N936" s="347">
        <v>9.2999999999999999E-2</v>
      </c>
      <c r="O936" s="348">
        <v>10</v>
      </c>
      <c r="P936" s="348">
        <v>9.44</v>
      </c>
      <c r="Q936" s="348">
        <v>0.65</v>
      </c>
    </row>
    <row r="937" spans="1:17" ht="15" hidden="1" customHeight="1">
      <c r="A937" s="163">
        <v>930</v>
      </c>
      <c r="B937" s="53" t="s">
        <v>23</v>
      </c>
      <c r="C937" s="53" t="s">
        <v>10528</v>
      </c>
      <c r="D937" s="53">
        <v>100023670</v>
      </c>
      <c r="E937" s="55" t="s">
        <v>10529</v>
      </c>
      <c r="F937" s="129">
        <v>50</v>
      </c>
      <c r="G937" s="129">
        <v>6000</v>
      </c>
      <c r="H937" s="512">
        <v>43.04</v>
      </c>
      <c r="I937" s="265" t="s">
        <v>359</v>
      </c>
      <c r="J937" s="265" t="s">
        <v>102</v>
      </c>
      <c r="K937" s="265" t="s">
        <v>10530</v>
      </c>
      <c r="L937" s="265" t="s">
        <v>10531</v>
      </c>
      <c r="M937" s="265" t="s">
        <v>10532</v>
      </c>
      <c r="N937" s="347">
        <v>0.20699999999999999</v>
      </c>
      <c r="O937" s="348">
        <v>5</v>
      </c>
      <c r="P937" s="348">
        <v>10.25</v>
      </c>
      <c r="Q937" s="348">
        <v>0.65</v>
      </c>
    </row>
    <row r="938" spans="1:17" ht="15" hidden="1" customHeight="1">
      <c r="A938" s="163">
        <v>931</v>
      </c>
      <c r="B938" s="53" t="s">
        <v>23</v>
      </c>
      <c r="C938" s="53" t="s">
        <v>10533</v>
      </c>
      <c r="D938" s="53">
        <v>100023671</v>
      </c>
      <c r="E938" s="55" t="s">
        <v>10534</v>
      </c>
      <c r="F938" s="129">
        <v>50</v>
      </c>
      <c r="G938" s="129">
        <v>6000</v>
      </c>
      <c r="H938" s="512">
        <v>43.04</v>
      </c>
      <c r="I938" s="265" t="s">
        <v>76</v>
      </c>
      <c r="J938" s="265" t="s">
        <v>102</v>
      </c>
      <c r="K938" s="265" t="s">
        <v>10535</v>
      </c>
      <c r="L938" s="265" t="s">
        <v>10536</v>
      </c>
      <c r="M938" s="265" t="s">
        <v>10537</v>
      </c>
      <c r="N938" s="347">
        <v>0.20200000000000001</v>
      </c>
      <c r="O938" s="348">
        <v>5</v>
      </c>
      <c r="P938" s="348">
        <v>10.43</v>
      </c>
      <c r="Q938" s="348">
        <v>0.65</v>
      </c>
    </row>
    <row r="939" spans="1:17" ht="15" hidden="1" customHeight="1">
      <c r="A939" s="163">
        <v>932</v>
      </c>
      <c r="B939" s="53" t="s">
        <v>23</v>
      </c>
      <c r="C939" s="53" t="s">
        <v>10538</v>
      </c>
      <c r="D939" s="53">
        <v>100023672</v>
      </c>
      <c r="E939" s="55" t="s">
        <v>10539</v>
      </c>
      <c r="F939" s="129">
        <v>50</v>
      </c>
      <c r="G939" s="129">
        <v>7500</v>
      </c>
      <c r="H939" s="512">
        <v>43.04</v>
      </c>
      <c r="I939" s="265" t="s">
        <v>76</v>
      </c>
      <c r="J939" s="265" t="s">
        <v>102</v>
      </c>
      <c r="K939" s="265" t="s">
        <v>10540</v>
      </c>
      <c r="L939" s="265" t="s">
        <v>10541</v>
      </c>
      <c r="M939" s="265" t="s">
        <v>10542</v>
      </c>
      <c r="N939" s="347">
        <v>0.21199999999999999</v>
      </c>
      <c r="O939" s="348">
        <v>5</v>
      </c>
      <c r="P939" s="348">
        <v>10.92</v>
      </c>
      <c r="Q939" s="348">
        <v>0.5</v>
      </c>
    </row>
    <row r="940" spans="1:17" ht="15" hidden="1" customHeight="1">
      <c r="A940" s="163">
        <v>933</v>
      </c>
      <c r="B940" s="53" t="s">
        <v>23</v>
      </c>
      <c r="C940" s="53" t="s">
        <v>10543</v>
      </c>
      <c r="D940" s="53">
        <v>100023673</v>
      </c>
      <c r="E940" s="55" t="s">
        <v>10544</v>
      </c>
      <c r="F940" s="129">
        <v>50</v>
      </c>
      <c r="G940" s="129">
        <v>7500</v>
      </c>
      <c r="H940" s="512">
        <v>43.04</v>
      </c>
      <c r="I940" s="265" t="s">
        <v>359</v>
      </c>
      <c r="J940" s="265" t="s">
        <v>102</v>
      </c>
      <c r="K940" s="265" t="s">
        <v>10545</v>
      </c>
      <c r="L940" s="265" t="s">
        <v>10546</v>
      </c>
      <c r="M940" s="265" t="s">
        <v>10547</v>
      </c>
      <c r="N940" s="347">
        <v>0.19500000000000001</v>
      </c>
      <c r="O940" s="348">
        <v>5</v>
      </c>
      <c r="P940" s="348">
        <v>9.42</v>
      </c>
      <c r="Q940" s="348">
        <v>0.5</v>
      </c>
    </row>
    <row r="941" spans="1:17" ht="15" hidden="1" customHeight="1">
      <c r="A941" s="163">
        <v>934</v>
      </c>
      <c r="B941" s="53" t="s">
        <v>23</v>
      </c>
      <c r="C941" s="53" t="s">
        <v>10548</v>
      </c>
      <c r="D941" s="53">
        <v>100023674</v>
      </c>
      <c r="E941" s="55" t="s">
        <v>10549</v>
      </c>
      <c r="F941" s="129">
        <v>50</v>
      </c>
      <c r="G941" s="129">
        <v>7500</v>
      </c>
      <c r="H941" s="512">
        <v>43.04</v>
      </c>
      <c r="I941" s="265" t="s">
        <v>76</v>
      </c>
      <c r="J941" s="265" t="s">
        <v>102</v>
      </c>
      <c r="K941" s="265" t="s">
        <v>10550</v>
      </c>
      <c r="L941" s="265" t="s">
        <v>10551</v>
      </c>
      <c r="M941" s="265" t="s">
        <v>10552</v>
      </c>
      <c r="N941" s="347">
        <v>0.152</v>
      </c>
      <c r="O941" s="348">
        <v>5</v>
      </c>
      <c r="P941" s="348">
        <v>6.71</v>
      </c>
      <c r="Q941" s="348">
        <v>0.5</v>
      </c>
    </row>
    <row r="942" spans="1:17" ht="15" hidden="1" customHeight="1">
      <c r="A942" s="163">
        <v>935</v>
      </c>
      <c r="B942" s="53" t="s">
        <v>23</v>
      </c>
      <c r="C942" s="53" t="s">
        <v>10553</v>
      </c>
      <c r="D942" s="53">
        <v>100023677</v>
      </c>
      <c r="E942" s="55" t="s">
        <v>10554</v>
      </c>
      <c r="F942" s="129">
        <v>25</v>
      </c>
      <c r="G942" s="129">
        <v>3750</v>
      </c>
      <c r="H942" s="512">
        <v>91.13</v>
      </c>
      <c r="I942" s="265" t="s">
        <v>359</v>
      </c>
      <c r="J942" s="265" t="s">
        <v>102</v>
      </c>
      <c r="K942" s="265" t="s">
        <v>10555</v>
      </c>
      <c r="L942" s="265" t="s">
        <v>10556</v>
      </c>
      <c r="M942" s="265" t="s">
        <v>10557</v>
      </c>
      <c r="N942" s="347">
        <v>0.28699999999999998</v>
      </c>
      <c r="O942" s="348">
        <v>5</v>
      </c>
      <c r="P942" s="348">
        <v>7.2</v>
      </c>
      <c r="Q942" s="348">
        <v>0.5</v>
      </c>
    </row>
    <row r="943" spans="1:17" ht="15" hidden="1" customHeight="1">
      <c r="A943" s="163">
        <v>936</v>
      </c>
      <c r="B943" s="53" t="s">
        <v>23</v>
      </c>
      <c r="C943" s="53" t="s">
        <v>10558</v>
      </c>
      <c r="D943" s="53">
        <v>100023434</v>
      </c>
      <c r="E943" s="55" t="s">
        <v>10559</v>
      </c>
      <c r="F943" s="129">
        <v>25</v>
      </c>
      <c r="G943" s="129">
        <v>3000</v>
      </c>
      <c r="H943" s="512">
        <v>168.71</v>
      </c>
      <c r="I943" s="265" t="s">
        <v>76</v>
      </c>
      <c r="J943" s="265" t="s">
        <v>102</v>
      </c>
      <c r="K943" s="265" t="s">
        <v>10560</v>
      </c>
      <c r="L943" s="265" t="s">
        <v>10561</v>
      </c>
      <c r="M943" s="265" t="s">
        <v>10562</v>
      </c>
      <c r="N943" s="347">
        <v>0.58799999999999997</v>
      </c>
      <c r="O943" s="348">
        <v>5</v>
      </c>
      <c r="P943" s="348">
        <v>13.07</v>
      </c>
      <c r="Q943" s="348">
        <v>0.65</v>
      </c>
    </row>
    <row r="944" spans="1:17" ht="15" hidden="1" customHeight="1">
      <c r="A944" s="163">
        <v>937</v>
      </c>
      <c r="B944" s="53" t="s">
        <v>23</v>
      </c>
      <c r="C944" s="53" t="s">
        <v>10563</v>
      </c>
      <c r="D944" s="53">
        <v>100023678</v>
      </c>
      <c r="E944" s="55" t="s">
        <v>10564</v>
      </c>
      <c r="F944" s="129">
        <v>25</v>
      </c>
      <c r="G944" s="129">
        <v>3000</v>
      </c>
      <c r="H944" s="512">
        <v>168.71</v>
      </c>
      <c r="I944" s="265" t="s">
        <v>359</v>
      </c>
      <c r="J944" s="265" t="s">
        <v>102</v>
      </c>
      <c r="K944" s="265" t="s">
        <v>10565</v>
      </c>
      <c r="L944" s="265" t="s">
        <v>10566</v>
      </c>
      <c r="M944" s="265" t="s">
        <v>10567</v>
      </c>
      <c r="N944" s="347">
        <v>0.53600000000000003</v>
      </c>
      <c r="O944" s="348">
        <v>5</v>
      </c>
      <c r="P944" s="348">
        <v>13.39</v>
      </c>
      <c r="Q944" s="348">
        <v>0.65</v>
      </c>
    </row>
    <row r="945" spans="1:17" ht="15" hidden="1" customHeight="1">
      <c r="A945" s="163">
        <v>938</v>
      </c>
      <c r="B945" s="53" t="s">
        <v>23</v>
      </c>
      <c r="C945" s="53" t="s">
        <v>10568</v>
      </c>
      <c r="D945" s="53">
        <v>100023681</v>
      </c>
      <c r="E945" s="55" t="s">
        <v>10569</v>
      </c>
      <c r="F945" s="129">
        <v>25</v>
      </c>
      <c r="G945" s="129">
        <v>3000</v>
      </c>
      <c r="H945" s="512">
        <v>168.71</v>
      </c>
      <c r="I945" s="265" t="s">
        <v>76</v>
      </c>
      <c r="J945" s="265" t="s">
        <v>102</v>
      </c>
      <c r="K945" s="265" t="s">
        <v>10570</v>
      </c>
      <c r="L945" s="265" t="s">
        <v>10571</v>
      </c>
      <c r="M945" s="265" t="s">
        <v>10572</v>
      </c>
      <c r="N945" s="347">
        <v>0.58399999999999996</v>
      </c>
      <c r="O945" s="348">
        <v>5</v>
      </c>
      <c r="P945" s="348">
        <v>11.96</v>
      </c>
      <c r="Q945" s="348">
        <v>0.95</v>
      </c>
    </row>
    <row r="946" spans="1:17" ht="15" hidden="1" customHeight="1">
      <c r="A946" s="163">
        <v>939</v>
      </c>
      <c r="B946" s="53" t="s">
        <v>23</v>
      </c>
      <c r="C946" s="53" t="s">
        <v>10573</v>
      </c>
      <c r="D946" s="53">
        <v>100023682</v>
      </c>
      <c r="E946" s="55" t="s">
        <v>10574</v>
      </c>
      <c r="F946" s="129">
        <v>25</v>
      </c>
      <c r="G946" s="129">
        <v>3000</v>
      </c>
      <c r="H946" s="512">
        <v>168.71</v>
      </c>
      <c r="I946" s="265" t="s">
        <v>359</v>
      </c>
      <c r="J946" s="265" t="s">
        <v>102</v>
      </c>
      <c r="K946" s="265" t="s">
        <v>10575</v>
      </c>
      <c r="L946" s="265" t="s">
        <v>10576</v>
      </c>
      <c r="M946" s="265" t="s">
        <v>10577</v>
      </c>
      <c r="N946" s="347">
        <v>0.48199999999999998</v>
      </c>
      <c r="O946" s="348">
        <v>5</v>
      </c>
      <c r="P946" s="348">
        <v>9.2100000000000009</v>
      </c>
      <c r="Q946" s="348">
        <v>0.65</v>
      </c>
    </row>
    <row r="947" spans="1:17" ht="15" hidden="1" customHeight="1">
      <c r="A947" s="163">
        <v>940</v>
      </c>
      <c r="B947" s="53" t="s">
        <v>23</v>
      </c>
      <c r="C947" s="53" t="s">
        <v>10578</v>
      </c>
      <c r="D947" s="53">
        <v>100023685</v>
      </c>
      <c r="E947" s="55" t="s">
        <v>10579</v>
      </c>
      <c r="F947" s="129">
        <v>10</v>
      </c>
      <c r="G947" s="129">
        <v>1500</v>
      </c>
      <c r="H947" s="512">
        <v>259.2</v>
      </c>
      <c r="I947" s="265" t="s">
        <v>76</v>
      </c>
      <c r="J947" s="265" t="s">
        <v>102</v>
      </c>
      <c r="K947" s="265" t="s">
        <v>10580</v>
      </c>
      <c r="L947" s="348" t="s">
        <v>1205</v>
      </c>
      <c r="M947" s="265" t="s">
        <v>10581</v>
      </c>
      <c r="N947" s="347">
        <v>0.89</v>
      </c>
      <c r="O947" s="348" t="s">
        <v>1205</v>
      </c>
      <c r="P947" s="348">
        <v>8.9600000000000009</v>
      </c>
      <c r="Q947" s="348">
        <v>0.5</v>
      </c>
    </row>
    <row r="948" spans="1:17" ht="15" hidden="1" customHeight="1">
      <c r="A948" s="163">
        <v>941</v>
      </c>
      <c r="B948" s="53" t="s">
        <v>23</v>
      </c>
      <c r="C948" s="53" t="s">
        <v>10582</v>
      </c>
      <c r="D948" s="53">
        <v>100028166</v>
      </c>
      <c r="E948" s="55" t="s">
        <v>10583</v>
      </c>
      <c r="F948" s="129">
        <v>10</v>
      </c>
      <c r="G948" s="129">
        <v>1500</v>
      </c>
      <c r="H948" s="512">
        <v>259.2</v>
      </c>
      <c r="I948" s="265" t="s">
        <v>359</v>
      </c>
      <c r="J948" s="265" t="s">
        <v>102</v>
      </c>
      <c r="K948" s="265" t="s">
        <v>10584</v>
      </c>
      <c r="L948" s="348" t="s">
        <v>1205</v>
      </c>
      <c r="M948" s="265" t="s">
        <v>10585</v>
      </c>
      <c r="N948" s="347">
        <v>0.96599999999999997</v>
      </c>
      <c r="O948" s="348" t="s">
        <v>1205</v>
      </c>
      <c r="P948" s="348">
        <v>9.73</v>
      </c>
      <c r="Q948" s="348">
        <v>0.5</v>
      </c>
    </row>
    <row r="949" spans="1:17" ht="15" hidden="1" customHeight="1">
      <c r="A949" s="163">
        <v>942</v>
      </c>
      <c r="B949" s="53" t="s">
        <v>23</v>
      </c>
      <c r="C949" s="53" t="s">
        <v>10586</v>
      </c>
      <c r="D949" s="53">
        <v>100023686</v>
      </c>
      <c r="E949" s="55" t="s">
        <v>10587</v>
      </c>
      <c r="F949" s="129">
        <v>10</v>
      </c>
      <c r="G949" s="129">
        <v>1500</v>
      </c>
      <c r="H949" s="512">
        <v>259.2</v>
      </c>
      <c r="I949" s="265" t="s">
        <v>76</v>
      </c>
      <c r="J949" s="265" t="s">
        <v>102</v>
      </c>
      <c r="K949" s="265" t="s">
        <v>10588</v>
      </c>
      <c r="L949" s="348" t="s">
        <v>1205</v>
      </c>
      <c r="M949" s="265" t="s">
        <v>10589</v>
      </c>
      <c r="N949" s="347">
        <v>0.86</v>
      </c>
      <c r="O949" s="348" t="s">
        <v>1205</v>
      </c>
      <c r="P949" s="348">
        <v>8.84</v>
      </c>
      <c r="Q949" s="348">
        <v>0.5</v>
      </c>
    </row>
    <row r="950" spans="1:17" ht="15" hidden="1" customHeight="1">
      <c r="A950" s="163">
        <v>943</v>
      </c>
      <c r="B950" s="53" t="s">
        <v>23</v>
      </c>
      <c r="C950" s="53" t="s">
        <v>10590</v>
      </c>
      <c r="D950" s="53">
        <v>100023437</v>
      </c>
      <c r="E950" s="55" t="s">
        <v>10591</v>
      </c>
      <c r="F950" s="129">
        <v>500</v>
      </c>
      <c r="G950" s="129">
        <v>135000</v>
      </c>
      <c r="H950" s="512">
        <v>30.2</v>
      </c>
      <c r="I950" s="265" t="s">
        <v>359</v>
      </c>
      <c r="J950" s="265" t="s">
        <v>102</v>
      </c>
      <c r="K950" s="265" t="s">
        <v>10592</v>
      </c>
      <c r="L950" s="265" t="s">
        <v>10593</v>
      </c>
      <c r="M950" s="265" t="s">
        <v>10594</v>
      </c>
      <c r="N950" s="347">
        <v>1.4999999999999999E-2</v>
      </c>
      <c r="O950" s="348">
        <v>10</v>
      </c>
      <c r="P950" s="348">
        <v>7.64</v>
      </c>
      <c r="Q950" s="348">
        <v>0.31</v>
      </c>
    </row>
    <row r="951" spans="1:17" ht="15" hidden="1" customHeight="1">
      <c r="A951" s="163">
        <v>944</v>
      </c>
      <c r="B951" s="53" t="s">
        <v>23</v>
      </c>
      <c r="C951" s="53" t="s">
        <v>10595</v>
      </c>
      <c r="D951" s="53">
        <v>100023687</v>
      </c>
      <c r="E951" s="55" t="s">
        <v>10596</v>
      </c>
      <c r="F951" s="129">
        <v>500</v>
      </c>
      <c r="G951" s="129">
        <v>75000</v>
      </c>
      <c r="H951" s="512">
        <v>30.2</v>
      </c>
      <c r="I951" s="265" t="s">
        <v>76</v>
      </c>
      <c r="J951" s="265" t="s">
        <v>102</v>
      </c>
      <c r="K951" s="265" t="s">
        <v>10597</v>
      </c>
      <c r="L951" s="265" t="s">
        <v>10598</v>
      </c>
      <c r="M951" s="265" t="s">
        <v>10599</v>
      </c>
      <c r="N951" s="347">
        <v>1.2999999999999999E-2</v>
      </c>
      <c r="O951" s="348">
        <v>10</v>
      </c>
      <c r="P951" s="348">
        <v>10.7</v>
      </c>
      <c r="Q951" s="348">
        <v>0.5</v>
      </c>
    </row>
    <row r="952" spans="1:17" ht="15" hidden="1" customHeight="1">
      <c r="A952" s="163">
        <v>945</v>
      </c>
      <c r="B952" s="53" t="s">
        <v>23</v>
      </c>
      <c r="C952" s="53" t="s">
        <v>10600</v>
      </c>
      <c r="D952" s="53">
        <v>100023689</v>
      </c>
      <c r="E952" s="55" t="s">
        <v>10601</v>
      </c>
      <c r="F952" s="129">
        <v>500</v>
      </c>
      <c r="G952" s="129">
        <v>75000</v>
      </c>
      <c r="H952" s="512">
        <v>30.2</v>
      </c>
      <c r="I952" s="265" t="s">
        <v>76</v>
      </c>
      <c r="J952" s="265" t="s">
        <v>102</v>
      </c>
      <c r="K952" s="265" t="s">
        <v>10602</v>
      </c>
      <c r="L952" s="265" t="s">
        <v>10603</v>
      </c>
      <c r="M952" s="265" t="s">
        <v>10604</v>
      </c>
      <c r="N952" s="347">
        <v>2.1000000000000001E-2</v>
      </c>
      <c r="O952" s="348">
        <v>10</v>
      </c>
      <c r="P952" s="348">
        <v>11.05</v>
      </c>
      <c r="Q952" s="348">
        <v>0.5</v>
      </c>
    </row>
    <row r="953" spans="1:17" ht="15" hidden="1" customHeight="1">
      <c r="A953" s="163">
        <v>946</v>
      </c>
      <c r="B953" s="53" t="s">
        <v>23</v>
      </c>
      <c r="C953" s="53" t="s">
        <v>10605</v>
      </c>
      <c r="D953" s="53">
        <v>100023690</v>
      </c>
      <c r="E953" s="55" t="s">
        <v>10606</v>
      </c>
      <c r="F953" s="129">
        <v>500</v>
      </c>
      <c r="G953" s="129">
        <v>75000</v>
      </c>
      <c r="H953" s="512">
        <v>30.2</v>
      </c>
      <c r="I953" s="265" t="s">
        <v>76</v>
      </c>
      <c r="J953" s="265" t="s">
        <v>102</v>
      </c>
      <c r="K953" s="265" t="s">
        <v>10607</v>
      </c>
      <c r="L953" s="265" t="s">
        <v>10608</v>
      </c>
      <c r="M953" s="265" t="s">
        <v>10609</v>
      </c>
      <c r="N953" s="347">
        <v>1.4999999999999999E-2</v>
      </c>
      <c r="O953" s="348">
        <v>10</v>
      </c>
      <c r="P953" s="348">
        <v>8.02</v>
      </c>
      <c r="Q953" s="348">
        <v>0.5</v>
      </c>
    </row>
    <row r="954" spans="1:17" ht="15" hidden="1" customHeight="1">
      <c r="A954" s="163">
        <v>947</v>
      </c>
      <c r="B954" s="53" t="s">
        <v>23</v>
      </c>
      <c r="C954" s="53" t="s">
        <v>10610</v>
      </c>
      <c r="D954" s="53">
        <v>100023691</v>
      </c>
      <c r="E954" s="55" t="s">
        <v>10611</v>
      </c>
      <c r="F954" s="129">
        <v>250</v>
      </c>
      <c r="G954" s="129">
        <v>37500</v>
      </c>
      <c r="H954" s="512">
        <v>22.5</v>
      </c>
      <c r="I954" s="265" t="s">
        <v>359</v>
      </c>
      <c r="J954" s="265" t="s">
        <v>102</v>
      </c>
      <c r="K954" s="265" t="s">
        <v>10612</v>
      </c>
      <c r="L954" s="265" t="s">
        <v>10613</v>
      </c>
      <c r="M954" s="265" t="s">
        <v>10614</v>
      </c>
      <c r="N954" s="347">
        <v>3.5999999999999997E-2</v>
      </c>
      <c r="O954" s="348">
        <v>10</v>
      </c>
      <c r="P954" s="348">
        <v>10.35</v>
      </c>
      <c r="Q954" s="348">
        <v>0.5</v>
      </c>
    </row>
    <row r="955" spans="1:17" ht="15" hidden="1" customHeight="1">
      <c r="A955" s="163">
        <v>948</v>
      </c>
      <c r="B955" s="53" t="s">
        <v>23</v>
      </c>
      <c r="C955" s="53" t="s">
        <v>10615</v>
      </c>
      <c r="D955" s="53">
        <v>100023692</v>
      </c>
      <c r="E955" s="55" t="s">
        <v>10616</v>
      </c>
      <c r="F955" s="129">
        <v>250</v>
      </c>
      <c r="G955" s="129">
        <v>37500</v>
      </c>
      <c r="H955" s="512">
        <v>22.5</v>
      </c>
      <c r="I955" s="265" t="s">
        <v>76</v>
      </c>
      <c r="J955" s="265" t="s">
        <v>102</v>
      </c>
      <c r="K955" s="265" t="s">
        <v>10617</v>
      </c>
      <c r="L955" s="265" t="s">
        <v>10618</v>
      </c>
      <c r="M955" s="265" t="s">
        <v>10619</v>
      </c>
      <c r="N955" s="347">
        <v>0.03</v>
      </c>
      <c r="O955" s="348">
        <v>10</v>
      </c>
      <c r="P955" s="348">
        <v>8.6999999999999993</v>
      </c>
      <c r="Q955" s="348">
        <v>0.5</v>
      </c>
    </row>
    <row r="956" spans="1:17" ht="15" hidden="1" customHeight="1">
      <c r="A956" s="163">
        <v>949</v>
      </c>
      <c r="B956" s="53" t="s">
        <v>23</v>
      </c>
      <c r="C956" s="53" t="s">
        <v>10620</v>
      </c>
      <c r="D956" s="53">
        <v>100023693</v>
      </c>
      <c r="E956" s="55" t="s">
        <v>10621</v>
      </c>
      <c r="F956" s="129">
        <v>250</v>
      </c>
      <c r="G956" s="129">
        <v>37500</v>
      </c>
      <c r="H956" s="512">
        <v>18.54</v>
      </c>
      <c r="I956" s="265" t="s">
        <v>76</v>
      </c>
      <c r="J956" s="265" t="s">
        <v>102</v>
      </c>
      <c r="K956" s="265" t="s">
        <v>10622</v>
      </c>
      <c r="L956" s="265" t="s">
        <v>10623</v>
      </c>
      <c r="M956" s="265" t="s">
        <v>10624</v>
      </c>
      <c r="N956" s="347">
        <v>2.5999999999999999E-2</v>
      </c>
      <c r="O956" s="348">
        <v>10</v>
      </c>
      <c r="P956" s="348">
        <v>5.5</v>
      </c>
      <c r="Q956" s="348">
        <v>0.5</v>
      </c>
    </row>
    <row r="957" spans="1:17" ht="15" hidden="1" customHeight="1">
      <c r="A957" s="163">
        <v>950</v>
      </c>
      <c r="B957" s="53" t="s">
        <v>23</v>
      </c>
      <c r="C957" s="53" t="s">
        <v>10625</v>
      </c>
      <c r="D957" s="53">
        <v>100023694</v>
      </c>
      <c r="E957" s="55" t="s">
        <v>10626</v>
      </c>
      <c r="F957" s="129">
        <v>250</v>
      </c>
      <c r="G957" s="129">
        <v>30000</v>
      </c>
      <c r="H957" s="512">
        <v>36.340000000000003</v>
      </c>
      <c r="I957" s="265" t="s">
        <v>76</v>
      </c>
      <c r="J957" s="265" t="s">
        <v>102</v>
      </c>
      <c r="K957" s="265" t="s">
        <v>10627</v>
      </c>
      <c r="L957" s="265" t="s">
        <v>10628</v>
      </c>
      <c r="M957" s="265" t="s">
        <v>10629</v>
      </c>
      <c r="N957" s="347">
        <v>6.8000000000000005E-2</v>
      </c>
      <c r="O957" s="348">
        <v>10</v>
      </c>
      <c r="P957" s="348">
        <v>17.12</v>
      </c>
      <c r="Q957" s="348">
        <v>0.65</v>
      </c>
    </row>
    <row r="958" spans="1:17" ht="15" hidden="1" customHeight="1">
      <c r="A958" s="163">
        <v>951</v>
      </c>
      <c r="B958" s="53" t="s">
        <v>23</v>
      </c>
      <c r="C958" s="53" t="s">
        <v>10630</v>
      </c>
      <c r="D958" s="53">
        <v>100023695</v>
      </c>
      <c r="E958" s="55" t="s">
        <v>10631</v>
      </c>
      <c r="F958" s="129">
        <v>250</v>
      </c>
      <c r="G958" s="129">
        <v>30000</v>
      </c>
      <c r="H958" s="512">
        <v>29.05</v>
      </c>
      <c r="I958" s="265" t="s">
        <v>76</v>
      </c>
      <c r="J958" s="265" t="s">
        <v>102</v>
      </c>
      <c r="K958" s="265" t="s">
        <v>10632</v>
      </c>
      <c r="L958" s="265" t="s">
        <v>10633</v>
      </c>
      <c r="M958" s="265" t="s">
        <v>10634</v>
      </c>
      <c r="N958" s="347">
        <v>6.2E-2</v>
      </c>
      <c r="O958" s="348">
        <v>10</v>
      </c>
      <c r="P958" s="348">
        <v>15.52</v>
      </c>
      <c r="Q958" s="348">
        <v>0.65</v>
      </c>
    </row>
    <row r="959" spans="1:17" ht="15" hidden="1" customHeight="1">
      <c r="A959" s="163">
        <v>952</v>
      </c>
      <c r="B959" s="53" t="s">
        <v>23</v>
      </c>
      <c r="C959" s="53" t="s">
        <v>10635</v>
      </c>
      <c r="D959" s="53">
        <v>100023696</v>
      </c>
      <c r="E959" s="55" t="s">
        <v>10636</v>
      </c>
      <c r="F959" s="129">
        <v>250</v>
      </c>
      <c r="G959" s="129">
        <v>30000</v>
      </c>
      <c r="H959" s="512">
        <v>29.05</v>
      </c>
      <c r="I959" s="265" t="s">
        <v>76</v>
      </c>
      <c r="J959" s="265" t="s">
        <v>102</v>
      </c>
      <c r="K959" s="265" t="s">
        <v>10637</v>
      </c>
      <c r="L959" s="265" t="s">
        <v>10638</v>
      </c>
      <c r="M959" s="265" t="s">
        <v>10639</v>
      </c>
      <c r="N959" s="347">
        <v>5.3999999999999999E-2</v>
      </c>
      <c r="O959" s="348">
        <v>10</v>
      </c>
      <c r="P959" s="348">
        <v>13.55</v>
      </c>
      <c r="Q959" s="348">
        <v>0.65</v>
      </c>
    </row>
    <row r="960" spans="1:17" ht="15" hidden="1" customHeight="1">
      <c r="A960" s="163">
        <v>953</v>
      </c>
      <c r="B960" s="53" t="s">
        <v>23</v>
      </c>
      <c r="C960" s="53" t="s">
        <v>10640</v>
      </c>
      <c r="D960" s="53">
        <v>100023697</v>
      </c>
      <c r="E960" s="55" t="s">
        <v>10641</v>
      </c>
      <c r="F960" s="129">
        <v>250</v>
      </c>
      <c r="G960" s="129">
        <v>30000</v>
      </c>
      <c r="H960" s="512">
        <v>29.05</v>
      </c>
      <c r="I960" s="265" t="s">
        <v>76</v>
      </c>
      <c r="J960" s="265" t="s">
        <v>102</v>
      </c>
      <c r="K960" s="265" t="s">
        <v>10642</v>
      </c>
      <c r="L960" s="265" t="s">
        <v>10643</v>
      </c>
      <c r="M960" s="265" t="s">
        <v>10644</v>
      </c>
      <c r="N960" s="347">
        <v>3.9E-2</v>
      </c>
      <c r="O960" s="348">
        <v>10</v>
      </c>
      <c r="P960" s="348">
        <v>9.4600000000000009</v>
      </c>
      <c r="Q960" s="348">
        <v>0.65</v>
      </c>
    </row>
    <row r="961" spans="1:17" ht="15" hidden="1" customHeight="1">
      <c r="A961" s="163">
        <v>954</v>
      </c>
      <c r="B961" s="53" t="s">
        <v>23</v>
      </c>
      <c r="C961" s="53" t="s">
        <v>10645</v>
      </c>
      <c r="D961" s="53">
        <v>100023698</v>
      </c>
      <c r="E961" s="55" t="s">
        <v>10646</v>
      </c>
      <c r="F961" s="129">
        <v>100</v>
      </c>
      <c r="G961" s="129">
        <v>15000</v>
      </c>
      <c r="H961" s="512">
        <v>30.85</v>
      </c>
      <c r="I961" s="265" t="s">
        <v>76</v>
      </c>
      <c r="J961" s="265" t="s">
        <v>102</v>
      </c>
      <c r="K961" s="265" t="s">
        <v>10647</v>
      </c>
      <c r="L961" s="265" t="s">
        <v>10648</v>
      </c>
      <c r="M961" s="265" t="s">
        <v>10649</v>
      </c>
      <c r="N961" s="347">
        <v>8.2000000000000003E-2</v>
      </c>
      <c r="O961" s="348">
        <v>10</v>
      </c>
      <c r="P961" s="348">
        <v>8.3000000000000007</v>
      </c>
      <c r="Q961" s="348">
        <v>0.5</v>
      </c>
    </row>
    <row r="962" spans="1:17" ht="15" hidden="1" customHeight="1">
      <c r="A962" s="163">
        <v>955</v>
      </c>
      <c r="B962" s="53" t="s">
        <v>23</v>
      </c>
      <c r="C962" s="53" t="s">
        <v>10650</v>
      </c>
      <c r="D962" s="53">
        <v>100023699</v>
      </c>
      <c r="E962" s="55" t="s">
        <v>10651</v>
      </c>
      <c r="F962" s="129">
        <v>100</v>
      </c>
      <c r="G962" s="129">
        <v>15000</v>
      </c>
      <c r="H962" s="512">
        <v>30.85</v>
      </c>
      <c r="I962" s="265" t="s">
        <v>359</v>
      </c>
      <c r="J962" s="265" t="s">
        <v>102</v>
      </c>
      <c r="K962" s="265" t="s">
        <v>10652</v>
      </c>
      <c r="L962" s="265" t="s">
        <v>10653</v>
      </c>
      <c r="M962" s="265" t="s">
        <v>10654</v>
      </c>
      <c r="N962" s="347">
        <v>8.5999999999999993E-2</v>
      </c>
      <c r="O962" s="348">
        <v>10</v>
      </c>
      <c r="P962" s="348">
        <v>8.9700000000000006</v>
      </c>
      <c r="Q962" s="348">
        <v>0.5</v>
      </c>
    </row>
    <row r="963" spans="1:17" ht="15" hidden="1" customHeight="1">
      <c r="A963" s="163">
        <v>956</v>
      </c>
      <c r="B963" s="53" t="s">
        <v>23</v>
      </c>
      <c r="C963" s="53" t="s">
        <v>10655</v>
      </c>
      <c r="D963" s="53">
        <v>100023700</v>
      </c>
      <c r="E963" s="55" t="s">
        <v>10656</v>
      </c>
      <c r="F963" s="129">
        <v>100</v>
      </c>
      <c r="G963" s="129">
        <v>15000</v>
      </c>
      <c r="H963" s="512">
        <v>30.85</v>
      </c>
      <c r="I963" s="265" t="s">
        <v>76</v>
      </c>
      <c r="J963" s="265" t="s">
        <v>102</v>
      </c>
      <c r="K963" s="265" t="s">
        <v>10657</v>
      </c>
      <c r="L963" s="265" t="s">
        <v>10658</v>
      </c>
      <c r="M963" s="265" t="s">
        <v>10659</v>
      </c>
      <c r="N963" s="347">
        <v>5.3999999999999999E-2</v>
      </c>
      <c r="O963" s="348">
        <v>10</v>
      </c>
      <c r="P963" s="348">
        <v>6.31</v>
      </c>
      <c r="Q963" s="348">
        <v>0.5</v>
      </c>
    </row>
    <row r="964" spans="1:17" ht="15" hidden="1" customHeight="1">
      <c r="A964" s="163">
        <v>957</v>
      </c>
      <c r="B964" s="53" t="s">
        <v>23</v>
      </c>
      <c r="C964" s="53" t="s">
        <v>10660</v>
      </c>
      <c r="D964" s="53">
        <v>100023701</v>
      </c>
      <c r="E964" s="55" t="s">
        <v>10661</v>
      </c>
      <c r="F964" s="129">
        <v>100</v>
      </c>
      <c r="G964" s="129">
        <v>15000</v>
      </c>
      <c r="H964" s="512">
        <v>36.53</v>
      </c>
      <c r="I964" s="265" t="s">
        <v>76</v>
      </c>
      <c r="J964" s="265" t="s">
        <v>102</v>
      </c>
      <c r="K964" s="265" t="s">
        <v>10662</v>
      </c>
      <c r="L964" s="265" t="s">
        <v>10662</v>
      </c>
      <c r="M964" s="265" t="s">
        <v>10663</v>
      </c>
      <c r="N964" s="347">
        <v>9.4E-2</v>
      </c>
      <c r="O964" s="348">
        <v>10</v>
      </c>
      <c r="P964" s="348">
        <v>10.39</v>
      </c>
      <c r="Q964" s="348">
        <v>0.5</v>
      </c>
    </row>
    <row r="965" spans="1:17" ht="15" hidden="1" customHeight="1">
      <c r="A965" s="163">
        <v>958</v>
      </c>
      <c r="B965" s="53" t="s">
        <v>23</v>
      </c>
      <c r="C965" s="53" t="s">
        <v>10664</v>
      </c>
      <c r="D965" s="53">
        <v>100023702</v>
      </c>
      <c r="E965" s="55" t="s">
        <v>10665</v>
      </c>
      <c r="F965" s="129">
        <v>100</v>
      </c>
      <c r="G965" s="129">
        <v>15000</v>
      </c>
      <c r="H965" s="512">
        <v>36.53</v>
      </c>
      <c r="I965" s="265" t="s">
        <v>359</v>
      </c>
      <c r="J965" s="265" t="s">
        <v>102</v>
      </c>
      <c r="K965" s="265" t="s">
        <v>10666</v>
      </c>
      <c r="L965" s="265" t="s">
        <v>10667</v>
      </c>
      <c r="M965" s="265" t="s">
        <v>10668</v>
      </c>
      <c r="N965" s="347">
        <v>9.9000000000000005E-2</v>
      </c>
      <c r="O965" s="348">
        <v>10</v>
      </c>
      <c r="P965" s="348">
        <v>9.92</v>
      </c>
      <c r="Q965" s="348">
        <v>0.5</v>
      </c>
    </row>
    <row r="966" spans="1:17" ht="15" hidden="1" customHeight="1">
      <c r="A966" s="163">
        <v>959</v>
      </c>
      <c r="B966" s="53" t="s">
        <v>23</v>
      </c>
      <c r="C966" s="53" t="s">
        <v>10669</v>
      </c>
      <c r="D966" s="53">
        <v>100023703</v>
      </c>
      <c r="E966" s="55" t="s">
        <v>10670</v>
      </c>
      <c r="F966" s="129">
        <v>100</v>
      </c>
      <c r="G966" s="129">
        <v>15000</v>
      </c>
      <c r="H966" s="512">
        <v>36.53</v>
      </c>
      <c r="I966" s="265" t="s">
        <v>76</v>
      </c>
      <c r="J966" s="265" t="s">
        <v>102</v>
      </c>
      <c r="K966" s="265" t="s">
        <v>10671</v>
      </c>
      <c r="L966" s="265" t="s">
        <v>10672</v>
      </c>
      <c r="M966" s="265" t="s">
        <v>10673</v>
      </c>
      <c r="N966" s="347">
        <v>9.2999999999999999E-2</v>
      </c>
      <c r="O966" s="348">
        <v>10</v>
      </c>
      <c r="P966" s="348">
        <v>9.1999999999999993</v>
      </c>
      <c r="Q966" s="348">
        <v>0.5</v>
      </c>
    </row>
    <row r="967" spans="1:17" ht="15" hidden="1" customHeight="1">
      <c r="A967" s="163">
        <v>960</v>
      </c>
      <c r="B967" s="53" t="s">
        <v>23</v>
      </c>
      <c r="C967" s="53" t="s">
        <v>10674</v>
      </c>
      <c r="D967" s="53">
        <v>100023704</v>
      </c>
      <c r="E967" s="55" t="s">
        <v>10675</v>
      </c>
      <c r="F967" s="129">
        <v>100</v>
      </c>
      <c r="G967" s="129">
        <v>15000</v>
      </c>
      <c r="H967" s="512">
        <v>36.53</v>
      </c>
      <c r="I967" s="265" t="s">
        <v>76</v>
      </c>
      <c r="J967" s="265" t="s">
        <v>102</v>
      </c>
      <c r="K967" s="265" t="s">
        <v>10676</v>
      </c>
      <c r="L967" s="265" t="s">
        <v>10677</v>
      </c>
      <c r="M967" s="265" t="s">
        <v>10678</v>
      </c>
      <c r="N967" s="347">
        <v>6.8000000000000005E-2</v>
      </c>
      <c r="O967" s="348">
        <v>10</v>
      </c>
      <c r="P967" s="348">
        <v>6.8</v>
      </c>
      <c r="Q967" s="348">
        <v>0.5</v>
      </c>
    </row>
    <row r="968" spans="1:17" ht="15" hidden="1" customHeight="1">
      <c r="A968" s="163">
        <v>961</v>
      </c>
      <c r="B968" s="53" t="s">
        <v>23</v>
      </c>
      <c r="C968" s="53" t="s">
        <v>10679</v>
      </c>
      <c r="D968" s="53">
        <v>100028167</v>
      </c>
      <c r="E968" s="55" t="s">
        <v>10680</v>
      </c>
      <c r="F968" s="129">
        <v>80</v>
      </c>
      <c r="G968" s="129">
        <v>0</v>
      </c>
      <c r="H968" s="512">
        <v>53.5</v>
      </c>
      <c r="I968" s="265" t="s">
        <v>359</v>
      </c>
      <c r="J968" s="265" t="s">
        <v>102</v>
      </c>
      <c r="K968" s="265" t="s">
        <v>10681</v>
      </c>
      <c r="L968" s="265">
        <v>0</v>
      </c>
      <c r="M968" s="265" t="s">
        <v>10682</v>
      </c>
      <c r="N968" s="347">
        <v>0.36</v>
      </c>
      <c r="O968" s="348">
        <v>10</v>
      </c>
      <c r="P968" s="348">
        <v>16.8</v>
      </c>
      <c r="Q968" s="348" t="s">
        <v>1205</v>
      </c>
    </row>
    <row r="969" spans="1:17" ht="15" hidden="1" customHeight="1">
      <c r="A969" s="163">
        <v>962</v>
      </c>
      <c r="B969" s="53" t="s">
        <v>23</v>
      </c>
      <c r="C969" s="53" t="s">
        <v>10683</v>
      </c>
      <c r="D969" s="53">
        <v>100028170</v>
      </c>
      <c r="E969" s="55" t="s">
        <v>10684</v>
      </c>
      <c r="F969" s="129">
        <v>60</v>
      </c>
      <c r="G969" s="129">
        <v>0</v>
      </c>
      <c r="H969" s="512">
        <v>53.5</v>
      </c>
      <c r="I969" s="265" t="s">
        <v>359</v>
      </c>
      <c r="J969" s="265" t="s">
        <v>102</v>
      </c>
      <c r="K969" s="265" t="s">
        <v>10685</v>
      </c>
      <c r="L969" s="265" t="s">
        <v>10686</v>
      </c>
      <c r="M969" s="265" t="s">
        <v>10687</v>
      </c>
      <c r="N969" s="347">
        <v>0.17299999999999999</v>
      </c>
      <c r="O969" s="348">
        <v>15</v>
      </c>
      <c r="P969" s="348">
        <v>10.356</v>
      </c>
      <c r="Q969" s="348" t="s">
        <v>1205</v>
      </c>
    </row>
    <row r="970" spans="1:17" ht="15" hidden="1" customHeight="1">
      <c r="A970" s="163">
        <v>963</v>
      </c>
      <c r="B970" s="53" t="s">
        <v>23</v>
      </c>
      <c r="C970" s="53" t="s">
        <v>10688</v>
      </c>
      <c r="D970" s="53">
        <v>100023705</v>
      </c>
      <c r="E970" s="55" t="s">
        <v>10689</v>
      </c>
      <c r="F970" s="129">
        <v>50</v>
      </c>
      <c r="G970" s="129">
        <v>7500</v>
      </c>
      <c r="H970" s="512">
        <v>53.5</v>
      </c>
      <c r="I970" s="265" t="s">
        <v>76</v>
      </c>
      <c r="J970" s="265" t="s">
        <v>102</v>
      </c>
      <c r="K970" s="265" t="s">
        <v>10690</v>
      </c>
      <c r="L970" s="265" t="s">
        <v>10691</v>
      </c>
      <c r="M970" s="265" t="s">
        <v>10692</v>
      </c>
      <c r="N970" s="347">
        <v>0.113</v>
      </c>
      <c r="O970" s="348">
        <v>10</v>
      </c>
      <c r="P970" s="348">
        <v>6.64</v>
      </c>
      <c r="Q970" s="348">
        <v>0.5</v>
      </c>
    </row>
    <row r="971" spans="1:17" ht="15" hidden="1" customHeight="1">
      <c r="A971" s="163">
        <v>964</v>
      </c>
      <c r="B971" s="53" t="s">
        <v>23</v>
      </c>
      <c r="C971" s="53" t="s">
        <v>10693</v>
      </c>
      <c r="D971" s="53">
        <v>100028173</v>
      </c>
      <c r="E971" s="55" t="s">
        <v>10694</v>
      </c>
      <c r="F971" s="129">
        <v>15</v>
      </c>
      <c r="G971" s="129">
        <v>0</v>
      </c>
      <c r="H971" s="512">
        <v>259.2</v>
      </c>
      <c r="I971" s="265" t="s">
        <v>359</v>
      </c>
      <c r="J971" s="265" t="s">
        <v>102</v>
      </c>
      <c r="K971" s="265" t="s">
        <v>10695</v>
      </c>
      <c r="L971" s="348" t="s">
        <v>1205</v>
      </c>
      <c r="M971" s="265" t="s">
        <v>10696</v>
      </c>
      <c r="N971" s="347">
        <v>0.65</v>
      </c>
      <c r="O971" s="348" t="s">
        <v>1205</v>
      </c>
      <c r="P971" s="348">
        <v>9.7550000000000008</v>
      </c>
      <c r="Q971" s="348" t="s">
        <v>1205</v>
      </c>
    </row>
    <row r="972" spans="1:17" ht="15" hidden="1" customHeight="1">
      <c r="A972" s="163">
        <v>965</v>
      </c>
      <c r="B972" s="53" t="s">
        <v>23</v>
      </c>
      <c r="C972" s="53" t="s">
        <v>10697</v>
      </c>
      <c r="D972" s="53">
        <v>100023706</v>
      </c>
      <c r="E972" s="55" t="s">
        <v>10698</v>
      </c>
      <c r="F972" s="129">
        <v>500</v>
      </c>
      <c r="G972" s="129">
        <v>75000</v>
      </c>
      <c r="H972" s="512">
        <v>19.04</v>
      </c>
      <c r="I972" s="265" t="s">
        <v>359</v>
      </c>
      <c r="J972" s="265" t="s">
        <v>102</v>
      </c>
      <c r="K972" s="265" t="s">
        <v>10699</v>
      </c>
      <c r="L972" s="265" t="s">
        <v>10700</v>
      </c>
      <c r="M972" s="265" t="s">
        <v>10701</v>
      </c>
      <c r="N972" s="347">
        <v>0.02</v>
      </c>
      <c r="O972" s="348">
        <v>10</v>
      </c>
      <c r="P972" s="348">
        <v>10.050000000000001</v>
      </c>
      <c r="Q972" s="348">
        <v>0.5</v>
      </c>
    </row>
    <row r="973" spans="1:17" ht="15" hidden="1" customHeight="1">
      <c r="A973" s="163">
        <v>966</v>
      </c>
      <c r="B973" s="53" t="s">
        <v>23</v>
      </c>
      <c r="C973" s="53" t="s">
        <v>10702</v>
      </c>
      <c r="D973" s="53">
        <v>100028174</v>
      </c>
      <c r="E973" s="55" t="s">
        <v>10703</v>
      </c>
      <c r="F973" s="129">
        <v>500</v>
      </c>
      <c r="G973" s="129">
        <v>75000</v>
      </c>
      <c r="H973" s="512">
        <v>19.04</v>
      </c>
      <c r="I973" s="265" t="s">
        <v>359</v>
      </c>
      <c r="J973" s="265" t="s">
        <v>102</v>
      </c>
      <c r="K973" s="265" t="s">
        <v>10704</v>
      </c>
      <c r="L973" s="265" t="s">
        <v>10705</v>
      </c>
      <c r="M973" s="265" t="s">
        <v>10706</v>
      </c>
      <c r="N973" s="347">
        <v>2.5000000000000001E-2</v>
      </c>
      <c r="O973" s="348">
        <v>10</v>
      </c>
      <c r="P973" s="348">
        <v>14.09</v>
      </c>
      <c r="Q973" s="348">
        <v>0.5</v>
      </c>
    </row>
    <row r="974" spans="1:17" ht="15" hidden="1" customHeight="1">
      <c r="A974" s="163">
        <v>967</v>
      </c>
      <c r="B974" s="53" t="s">
        <v>23</v>
      </c>
      <c r="C974" s="53" t="s">
        <v>10707</v>
      </c>
      <c r="D974" s="53">
        <v>100023707</v>
      </c>
      <c r="E974" s="55" t="s">
        <v>10708</v>
      </c>
      <c r="F974" s="129">
        <v>250</v>
      </c>
      <c r="G974" s="129">
        <v>37500</v>
      </c>
      <c r="H974" s="512">
        <v>14.65</v>
      </c>
      <c r="I974" s="265" t="s">
        <v>76</v>
      </c>
      <c r="J974" s="265" t="s">
        <v>102</v>
      </c>
      <c r="K974" s="265" t="s">
        <v>10709</v>
      </c>
      <c r="L974" s="265" t="s">
        <v>10710</v>
      </c>
      <c r="M974" s="265" t="s">
        <v>10711</v>
      </c>
      <c r="N974" s="347">
        <v>4.8000000000000001E-2</v>
      </c>
      <c r="O974" s="348">
        <v>10</v>
      </c>
      <c r="P974" s="348">
        <v>12.79</v>
      </c>
      <c r="Q974" s="348">
        <v>0.5</v>
      </c>
    </row>
    <row r="975" spans="1:17" ht="15" hidden="1" customHeight="1">
      <c r="A975" s="163">
        <v>968</v>
      </c>
      <c r="B975" s="53" t="s">
        <v>23</v>
      </c>
      <c r="C975" s="53" t="s">
        <v>10712</v>
      </c>
      <c r="D975" s="53">
        <v>100023708</v>
      </c>
      <c r="E975" s="55" t="s">
        <v>10713</v>
      </c>
      <c r="F975" s="129">
        <v>250</v>
      </c>
      <c r="G975" s="129">
        <v>30000</v>
      </c>
      <c r="H975" s="512">
        <v>15.46</v>
      </c>
      <c r="I975" s="265" t="s">
        <v>76</v>
      </c>
      <c r="J975" s="265" t="s">
        <v>102</v>
      </c>
      <c r="K975" s="265" t="s">
        <v>10714</v>
      </c>
      <c r="L975" s="265" t="s">
        <v>10715</v>
      </c>
      <c r="M975" s="265" t="s">
        <v>10716</v>
      </c>
      <c r="N975" s="347">
        <v>5.8999999999999997E-2</v>
      </c>
      <c r="O975" s="348">
        <v>10</v>
      </c>
      <c r="P975" s="348">
        <v>15.87</v>
      </c>
      <c r="Q975" s="348">
        <v>0.65</v>
      </c>
    </row>
    <row r="976" spans="1:17" ht="15" hidden="1" customHeight="1">
      <c r="A976" s="163">
        <v>969</v>
      </c>
      <c r="B976" s="53" t="s">
        <v>23</v>
      </c>
      <c r="C976" s="53" t="s">
        <v>10717</v>
      </c>
      <c r="D976" s="53">
        <v>100028175</v>
      </c>
      <c r="E976" s="55" t="s">
        <v>10718</v>
      </c>
      <c r="F976" s="129">
        <v>250</v>
      </c>
      <c r="G976" s="129">
        <v>15000</v>
      </c>
      <c r="H976" s="512">
        <v>27.52</v>
      </c>
      <c r="I976" s="265" t="s">
        <v>359</v>
      </c>
      <c r="J976" s="265" t="s">
        <v>102</v>
      </c>
      <c r="K976" s="265" t="s">
        <v>10719</v>
      </c>
      <c r="L976" s="265" t="s">
        <v>10720</v>
      </c>
      <c r="M976" s="265" t="s">
        <v>10721</v>
      </c>
      <c r="N976" s="347">
        <v>9.6000000000000002E-2</v>
      </c>
      <c r="O976" s="348">
        <v>10</v>
      </c>
      <c r="P976" s="348">
        <v>28.46</v>
      </c>
      <c r="Q976" s="348">
        <v>1.25</v>
      </c>
    </row>
    <row r="977" spans="1:17" ht="15" hidden="1" customHeight="1">
      <c r="A977" s="163">
        <v>970</v>
      </c>
      <c r="B977" s="53" t="s">
        <v>23</v>
      </c>
      <c r="C977" s="53" t="s">
        <v>10722</v>
      </c>
      <c r="D977" s="53">
        <v>100028176</v>
      </c>
      <c r="E977" s="55" t="s">
        <v>10723</v>
      </c>
      <c r="F977" s="129">
        <v>100</v>
      </c>
      <c r="G977" s="129">
        <v>7500</v>
      </c>
      <c r="H977" s="512">
        <v>33.130000000000003</v>
      </c>
      <c r="I977" s="265" t="s">
        <v>359</v>
      </c>
      <c r="J977" s="265" t="s">
        <v>102</v>
      </c>
      <c r="K977" s="265" t="s">
        <v>10724</v>
      </c>
      <c r="L977" s="265" t="s">
        <v>10725</v>
      </c>
      <c r="M977" s="265" t="s">
        <v>10726</v>
      </c>
      <c r="N977" s="347">
        <v>0.21</v>
      </c>
      <c r="O977" s="348">
        <v>10</v>
      </c>
      <c r="P977" s="348">
        <v>17.54</v>
      </c>
      <c r="Q977" s="348">
        <v>0.95</v>
      </c>
    </row>
    <row r="978" spans="1:17" ht="15" hidden="1" customHeight="1">
      <c r="A978" s="163">
        <v>971</v>
      </c>
      <c r="B978" s="53" t="s">
        <v>23</v>
      </c>
      <c r="C978" s="53" t="s">
        <v>10727</v>
      </c>
      <c r="D978" s="53">
        <v>100028177</v>
      </c>
      <c r="E978" s="55" t="s">
        <v>10728</v>
      </c>
      <c r="F978" s="129">
        <v>50</v>
      </c>
      <c r="G978" s="129">
        <v>6000</v>
      </c>
      <c r="H978" s="512">
        <v>33.130000000000003</v>
      </c>
      <c r="I978" s="265" t="s">
        <v>359</v>
      </c>
      <c r="J978" s="265" t="s">
        <v>102</v>
      </c>
      <c r="K978" s="265" t="s">
        <v>10729</v>
      </c>
      <c r="L978" s="265" t="s">
        <v>10730</v>
      </c>
      <c r="M978" s="265" t="s">
        <v>10731</v>
      </c>
      <c r="N978" s="347">
        <v>0.249</v>
      </c>
      <c r="O978" s="348">
        <v>5</v>
      </c>
      <c r="P978" s="348">
        <v>12.99</v>
      </c>
      <c r="Q978" s="348">
        <v>0.65</v>
      </c>
    </row>
    <row r="979" spans="1:17" ht="15" hidden="1" customHeight="1">
      <c r="A979" s="163">
        <v>972</v>
      </c>
      <c r="B979" s="53" t="s">
        <v>23</v>
      </c>
      <c r="C979" s="53" t="s">
        <v>10732</v>
      </c>
      <c r="D979" s="53">
        <v>100023709</v>
      </c>
      <c r="E979" s="55" t="s">
        <v>10733</v>
      </c>
      <c r="F979" s="129">
        <v>50</v>
      </c>
      <c r="G979" s="129">
        <v>4500</v>
      </c>
      <c r="H979" s="512">
        <v>65.44</v>
      </c>
      <c r="I979" s="265" t="s">
        <v>76</v>
      </c>
      <c r="J979" s="265" t="s">
        <v>102</v>
      </c>
      <c r="K979" s="265" t="s">
        <v>10734</v>
      </c>
      <c r="L979" s="265" t="s">
        <v>10735</v>
      </c>
      <c r="M979" s="265" t="s">
        <v>10736</v>
      </c>
      <c r="N979" s="347">
        <v>0.26400000000000001</v>
      </c>
      <c r="O979" s="348">
        <v>5</v>
      </c>
      <c r="P979" s="348">
        <v>17.600000000000001</v>
      </c>
      <c r="Q979" s="348">
        <v>0.8</v>
      </c>
    </row>
    <row r="980" spans="1:17" ht="15" hidden="1" customHeight="1">
      <c r="A980" s="163">
        <v>973</v>
      </c>
      <c r="B980" s="53" t="s">
        <v>23</v>
      </c>
      <c r="C980" s="53" t="s">
        <v>10737</v>
      </c>
      <c r="D980" s="53">
        <v>100023710</v>
      </c>
      <c r="E980" s="55" t="s">
        <v>10738</v>
      </c>
      <c r="F980" s="129">
        <v>25</v>
      </c>
      <c r="G980" s="129">
        <v>3000</v>
      </c>
      <c r="H980" s="512">
        <v>133.62</v>
      </c>
      <c r="I980" s="265" t="s">
        <v>359</v>
      </c>
      <c r="J980" s="265" t="s">
        <v>102</v>
      </c>
      <c r="K980" s="265" t="s">
        <v>10739</v>
      </c>
      <c r="L980" s="265" t="s">
        <v>10740</v>
      </c>
      <c r="M980" s="265" t="s">
        <v>10741</v>
      </c>
      <c r="N980" s="347">
        <v>0.46200000000000002</v>
      </c>
      <c r="O980" s="348">
        <v>5</v>
      </c>
      <c r="P980" s="348">
        <v>13.6</v>
      </c>
      <c r="Q980" s="348">
        <v>0.65</v>
      </c>
    </row>
    <row r="981" spans="1:17" ht="15" hidden="1" customHeight="1">
      <c r="A981" s="163">
        <v>974</v>
      </c>
      <c r="B981" s="53" t="s">
        <v>23</v>
      </c>
      <c r="C981" s="53" t="s">
        <v>10742</v>
      </c>
      <c r="D981" s="53">
        <v>100023711</v>
      </c>
      <c r="E981" s="55" t="s">
        <v>10743</v>
      </c>
      <c r="F981" s="129">
        <v>25</v>
      </c>
      <c r="G981" s="129">
        <v>1875</v>
      </c>
      <c r="H981" s="512">
        <v>156.35</v>
      </c>
      <c r="I981" s="265" t="s">
        <v>76</v>
      </c>
      <c r="J981" s="265" t="s">
        <v>102</v>
      </c>
      <c r="K981" s="265" t="s">
        <v>10744</v>
      </c>
      <c r="L981" s="265" t="s">
        <v>10745</v>
      </c>
      <c r="M981" s="265" t="s">
        <v>10746</v>
      </c>
      <c r="N981" s="347">
        <v>0.69199999999999995</v>
      </c>
      <c r="O981" s="348">
        <v>5</v>
      </c>
      <c r="P981" s="348">
        <v>17.07</v>
      </c>
      <c r="Q981" s="348">
        <v>0.95</v>
      </c>
    </row>
    <row r="982" spans="1:17" ht="15" hidden="1" customHeight="1">
      <c r="A982" s="163">
        <v>975</v>
      </c>
      <c r="B982" s="53" t="s">
        <v>23</v>
      </c>
      <c r="C982" s="53" t="s">
        <v>10747</v>
      </c>
      <c r="D982" s="53">
        <v>100023712</v>
      </c>
      <c r="E982" s="55" t="s">
        <v>10748</v>
      </c>
      <c r="F982" s="129">
        <v>10</v>
      </c>
      <c r="G982" s="129">
        <v>900</v>
      </c>
      <c r="H982" s="512">
        <v>263.64</v>
      </c>
      <c r="I982" s="265" t="s">
        <v>76</v>
      </c>
      <c r="J982" s="265" t="s">
        <v>102</v>
      </c>
      <c r="K982" s="265" t="s">
        <v>10749</v>
      </c>
      <c r="L982" s="265" t="s">
        <v>10750</v>
      </c>
      <c r="M982" s="265" t="s">
        <v>10751</v>
      </c>
      <c r="N982" s="347">
        <v>1.34</v>
      </c>
      <c r="O982" s="348">
        <v>2</v>
      </c>
      <c r="P982" s="348">
        <v>13.72</v>
      </c>
      <c r="Q982" s="348">
        <v>0.8</v>
      </c>
    </row>
    <row r="983" spans="1:17" ht="15" hidden="1" customHeight="1">
      <c r="A983" s="163">
        <v>976</v>
      </c>
      <c r="B983" s="53" t="s">
        <v>23</v>
      </c>
      <c r="C983" s="53" t="s">
        <v>10752</v>
      </c>
      <c r="D983" s="53">
        <v>100023713</v>
      </c>
      <c r="E983" s="55" t="s">
        <v>10753</v>
      </c>
      <c r="F983" s="129">
        <v>5</v>
      </c>
      <c r="G983" s="129">
        <v>300</v>
      </c>
      <c r="H983" s="512">
        <v>655.76</v>
      </c>
      <c r="I983" s="265" t="s">
        <v>76</v>
      </c>
      <c r="J983" s="265" t="s">
        <v>102</v>
      </c>
      <c r="K983" s="265" t="s">
        <v>10754</v>
      </c>
      <c r="L983" s="348" t="s">
        <v>1205</v>
      </c>
      <c r="M983" s="265" t="s">
        <v>10755</v>
      </c>
      <c r="N983" s="347">
        <v>4.2</v>
      </c>
      <c r="O983" s="348" t="s">
        <v>1205</v>
      </c>
      <c r="P983" s="348">
        <v>22.85</v>
      </c>
      <c r="Q983" s="348">
        <v>1.41</v>
      </c>
    </row>
    <row r="984" spans="1:17" ht="15" hidden="1" customHeight="1">
      <c r="A984" s="163">
        <v>977</v>
      </c>
      <c r="B984" s="53" t="s">
        <v>23</v>
      </c>
      <c r="C984" s="53" t="s">
        <v>10756</v>
      </c>
      <c r="D984" s="53">
        <v>100023714</v>
      </c>
      <c r="E984" s="55" t="s">
        <v>10757</v>
      </c>
      <c r="F984" s="129">
        <v>250</v>
      </c>
      <c r="G984" s="129">
        <v>67500</v>
      </c>
      <c r="H984" s="512">
        <v>18.38</v>
      </c>
      <c r="I984" s="265" t="s">
        <v>76</v>
      </c>
      <c r="J984" s="265" t="s">
        <v>102</v>
      </c>
      <c r="K984" s="265" t="s">
        <v>10758</v>
      </c>
      <c r="L984" s="265">
        <v>0</v>
      </c>
      <c r="M984" s="265" t="s">
        <v>10759</v>
      </c>
      <c r="N984" s="347">
        <v>0.02</v>
      </c>
      <c r="O984" s="348">
        <v>10</v>
      </c>
      <c r="P984" s="348">
        <v>5.15</v>
      </c>
      <c r="Q984" s="348">
        <v>0.27</v>
      </c>
    </row>
    <row r="985" spans="1:17" ht="15" hidden="1" customHeight="1">
      <c r="A985" s="163">
        <v>978</v>
      </c>
      <c r="B985" s="53" t="s">
        <v>23</v>
      </c>
      <c r="C985" s="53" t="s">
        <v>10760</v>
      </c>
      <c r="D985" s="53">
        <v>100023715</v>
      </c>
      <c r="E985" s="55" t="s">
        <v>10761</v>
      </c>
      <c r="F985" s="129">
        <v>250</v>
      </c>
      <c r="G985" s="129">
        <v>67500</v>
      </c>
      <c r="H985" s="512">
        <v>18.38</v>
      </c>
      <c r="I985" s="265" t="s">
        <v>359</v>
      </c>
      <c r="J985" s="265" t="s">
        <v>102</v>
      </c>
      <c r="K985" s="265" t="s">
        <v>10762</v>
      </c>
      <c r="L985" s="265" t="s">
        <v>10763</v>
      </c>
      <c r="M985" s="265" t="s">
        <v>10764</v>
      </c>
      <c r="N985" s="347">
        <v>0.03</v>
      </c>
      <c r="O985" s="348">
        <v>10</v>
      </c>
      <c r="P985" s="348">
        <v>14.68</v>
      </c>
      <c r="Q985" s="348">
        <v>0.31</v>
      </c>
    </row>
    <row r="986" spans="1:17" ht="15" hidden="1" customHeight="1">
      <c r="A986" s="163">
        <v>979</v>
      </c>
      <c r="B986" s="53" t="s">
        <v>23</v>
      </c>
      <c r="C986" s="53" t="s">
        <v>10765</v>
      </c>
      <c r="D986" s="53">
        <v>100023716</v>
      </c>
      <c r="E986" s="55" t="s">
        <v>10766</v>
      </c>
      <c r="F986" s="129">
        <v>250</v>
      </c>
      <c r="G986" s="129">
        <v>37500</v>
      </c>
      <c r="H986" s="512">
        <v>18.38</v>
      </c>
      <c r="I986" s="265" t="s">
        <v>76</v>
      </c>
      <c r="J986" s="265" t="s">
        <v>102</v>
      </c>
      <c r="K986" s="265" t="s">
        <v>10767</v>
      </c>
      <c r="L986" s="265" t="s">
        <v>10768</v>
      </c>
      <c r="M986" s="265" t="s">
        <v>10769</v>
      </c>
      <c r="N986" s="347">
        <v>5.5E-2</v>
      </c>
      <c r="O986" s="348">
        <v>10</v>
      </c>
      <c r="P986" s="348">
        <v>13.84</v>
      </c>
      <c r="Q986" s="348">
        <v>0.5</v>
      </c>
    </row>
    <row r="987" spans="1:17" ht="15" hidden="1" customHeight="1">
      <c r="A987" s="163">
        <v>980</v>
      </c>
      <c r="B987" s="53" t="s">
        <v>23</v>
      </c>
      <c r="C987" s="53" t="s">
        <v>10770</v>
      </c>
      <c r="D987" s="53">
        <v>100023717</v>
      </c>
      <c r="E987" s="55" t="s">
        <v>10771</v>
      </c>
      <c r="F987" s="129">
        <v>250</v>
      </c>
      <c r="G987" s="129">
        <v>30000</v>
      </c>
      <c r="H987" s="512">
        <v>20.54</v>
      </c>
      <c r="I987" s="265" t="s">
        <v>359</v>
      </c>
      <c r="J987" s="265" t="s">
        <v>102</v>
      </c>
      <c r="K987" s="265" t="s">
        <v>10772</v>
      </c>
      <c r="L987" s="265" t="s">
        <v>10773</v>
      </c>
      <c r="M987" s="265" t="s">
        <v>10774</v>
      </c>
      <c r="N987" s="347">
        <v>6.6000000000000003E-2</v>
      </c>
      <c r="O987" s="348">
        <v>10</v>
      </c>
      <c r="P987" s="348">
        <v>17.59</v>
      </c>
      <c r="Q987" s="348">
        <v>0.65</v>
      </c>
    </row>
    <row r="988" spans="1:17" ht="15" hidden="1" customHeight="1">
      <c r="A988" s="163">
        <v>981</v>
      </c>
      <c r="B988" s="53" t="s">
        <v>23</v>
      </c>
      <c r="C988" s="53" t="s">
        <v>10775</v>
      </c>
      <c r="D988" s="53">
        <v>100028178</v>
      </c>
      <c r="E988" s="55" t="s">
        <v>10776</v>
      </c>
      <c r="F988" s="129">
        <v>100</v>
      </c>
      <c r="G988" s="129">
        <v>15000</v>
      </c>
      <c r="H988" s="512">
        <v>25.86</v>
      </c>
      <c r="I988" s="265" t="s">
        <v>359</v>
      </c>
      <c r="J988" s="265" t="s">
        <v>102</v>
      </c>
      <c r="K988" s="265" t="s">
        <v>10777</v>
      </c>
      <c r="L988" s="265" t="s">
        <v>10778</v>
      </c>
      <c r="M988" s="265" t="s">
        <v>10779</v>
      </c>
      <c r="N988" s="347">
        <v>0.15</v>
      </c>
      <c r="O988" s="348">
        <v>10</v>
      </c>
      <c r="P988" s="348">
        <v>13.19</v>
      </c>
      <c r="Q988" s="348">
        <v>0.5</v>
      </c>
    </row>
    <row r="989" spans="1:17" ht="15" hidden="1" customHeight="1">
      <c r="A989" s="163">
        <v>982</v>
      </c>
      <c r="B989" s="53" t="s">
        <v>23</v>
      </c>
      <c r="C989" s="53" t="s">
        <v>10780</v>
      </c>
      <c r="D989" s="53">
        <v>100028179</v>
      </c>
      <c r="E989" s="55" t="s">
        <v>10781</v>
      </c>
      <c r="F989" s="129">
        <v>100</v>
      </c>
      <c r="G989" s="129">
        <v>12000</v>
      </c>
      <c r="H989" s="512">
        <v>30.85</v>
      </c>
      <c r="I989" s="265" t="s">
        <v>359</v>
      </c>
      <c r="J989" s="265" t="s">
        <v>102</v>
      </c>
      <c r="K989" s="265" t="s">
        <v>10782</v>
      </c>
      <c r="L989" s="265">
        <v>0</v>
      </c>
      <c r="M989" s="265" t="s">
        <v>10783</v>
      </c>
      <c r="N989" s="347">
        <v>0.188</v>
      </c>
      <c r="O989" s="348">
        <v>10</v>
      </c>
      <c r="P989" s="348">
        <v>19.79</v>
      </c>
      <c r="Q989" s="348">
        <v>0.65</v>
      </c>
    </row>
    <row r="990" spans="1:17" ht="15" hidden="1" customHeight="1">
      <c r="A990" s="163">
        <v>983</v>
      </c>
      <c r="B990" s="53" t="s">
        <v>23</v>
      </c>
      <c r="C990" s="53" t="s">
        <v>10784</v>
      </c>
      <c r="D990" s="53">
        <v>100028180</v>
      </c>
      <c r="E990" s="55" t="s">
        <v>10785</v>
      </c>
      <c r="F990" s="129">
        <v>50</v>
      </c>
      <c r="G990" s="129">
        <v>7500</v>
      </c>
      <c r="H990" s="512">
        <v>35.22</v>
      </c>
      <c r="I990" s="265" t="s">
        <v>359</v>
      </c>
      <c r="J990" s="265" t="s">
        <v>102</v>
      </c>
      <c r="K990" s="265" t="s">
        <v>10786</v>
      </c>
      <c r="L990" s="265" t="s">
        <v>10787</v>
      </c>
      <c r="M990" s="265" t="s">
        <v>10788</v>
      </c>
      <c r="N990" s="347">
        <v>0.248</v>
      </c>
      <c r="O990" s="348">
        <v>5</v>
      </c>
      <c r="P990" s="348">
        <v>12.17</v>
      </c>
      <c r="Q990" s="348">
        <v>0.5</v>
      </c>
    </row>
    <row r="991" spans="1:17" ht="15" hidden="1" customHeight="1">
      <c r="A991" s="163">
        <v>984</v>
      </c>
      <c r="B991" s="53" t="s">
        <v>23</v>
      </c>
      <c r="C991" s="53" t="s">
        <v>10789</v>
      </c>
      <c r="D991" s="53">
        <v>100023718</v>
      </c>
      <c r="E991" s="55" t="s">
        <v>10790</v>
      </c>
      <c r="F991" s="129">
        <v>50</v>
      </c>
      <c r="G991" s="129">
        <v>4500</v>
      </c>
      <c r="H991" s="512">
        <v>69.150000000000006</v>
      </c>
      <c r="I991" s="265" t="s">
        <v>359</v>
      </c>
      <c r="J991" s="265" t="s">
        <v>102</v>
      </c>
      <c r="K991" s="265" t="s">
        <v>10791</v>
      </c>
      <c r="L991" s="265" t="s">
        <v>10792</v>
      </c>
      <c r="M991" s="265" t="s">
        <v>10793</v>
      </c>
      <c r="N991" s="347">
        <v>0.29099999999999998</v>
      </c>
      <c r="O991" s="348">
        <v>5</v>
      </c>
      <c r="P991" s="348">
        <v>14.55</v>
      </c>
      <c r="Q991" s="348">
        <v>0.8</v>
      </c>
    </row>
    <row r="992" spans="1:17" ht="15" hidden="1" customHeight="1">
      <c r="A992" s="163">
        <v>985</v>
      </c>
      <c r="B992" s="53" t="s">
        <v>23</v>
      </c>
      <c r="C992" s="53" t="s">
        <v>10794</v>
      </c>
      <c r="D992" s="53">
        <v>100023726</v>
      </c>
      <c r="E992" s="55" t="s">
        <v>10795</v>
      </c>
      <c r="F992" s="129">
        <v>500</v>
      </c>
      <c r="G992" s="129">
        <v>75000</v>
      </c>
      <c r="H992" s="512">
        <v>15.85</v>
      </c>
      <c r="I992" s="265" t="s">
        <v>76</v>
      </c>
      <c r="J992" s="265" t="s">
        <v>102</v>
      </c>
      <c r="K992" s="265" t="s">
        <v>10796</v>
      </c>
      <c r="L992" s="265" t="s">
        <v>10797</v>
      </c>
      <c r="M992" s="265" t="s">
        <v>10798</v>
      </c>
      <c r="N992" s="347">
        <v>1.7999999999999999E-2</v>
      </c>
      <c r="O992" s="348">
        <v>10</v>
      </c>
      <c r="P992" s="348">
        <v>9.02</v>
      </c>
      <c r="Q992" s="348">
        <v>0.5</v>
      </c>
    </row>
    <row r="993" spans="1:17" ht="15" hidden="1" customHeight="1">
      <c r="A993" s="163">
        <v>986</v>
      </c>
      <c r="B993" s="53" t="s">
        <v>23</v>
      </c>
      <c r="C993" s="53" t="s">
        <v>10799</v>
      </c>
      <c r="D993" s="53">
        <v>100023727</v>
      </c>
      <c r="E993" s="55" t="s">
        <v>10800</v>
      </c>
      <c r="F993" s="129">
        <v>500</v>
      </c>
      <c r="G993" s="129">
        <v>75000</v>
      </c>
      <c r="H993" s="512">
        <v>15.85</v>
      </c>
      <c r="I993" s="265" t="s">
        <v>359</v>
      </c>
      <c r="J993" s="265" t="s">
        <v>102</v>
      </c>
      <c r="K993" s="265" t="s">
        <v>10801</v>
      </c>
      <c r="L993" s="265">
        <v>0</v>
      </c>
      <c r="M993" s="265" t="s">
        <v>10802</v>
      </c>
      <c r="N993" s="347">
        <v>2.4E-2</v>
      </c>
      <c r="O993" s="348">
        <v>10</v>
      </c>
      <c r="P993" s="348">
        <v>12.9</v>
      </c>
      <c r="Q993" s="348">
        <v>0.5</v>
      </c>
    </row>
    <row r="994" spans="1:17" ht="15" hidden="1" customHeight="1">
      <c r="A994" s="163">
        <v>987</v>
      </c>
      <c r="B994" s="53" t="s">
        <v>23</v>
      </c>
      <c r="C994" s="53" t="s">
        <v>10803</v>
      </c>
      <c r="D994" s="53">
        <v>100023728</v>
      </c>
      <c r="E994" s="55" t="s">
        <v>10804</v>
      </c>
      <c r="F994" s="129">
        <v>500</v>
      </c>
      <c r="G994" s="129">
        <v>75000</v>
      </c>
      <c r="H994" s="512">
        <v>14.12</v>
      </c>
      <c r="I994" s="265" t="s">
        <v>76</v>
      </c>
      <c r="J994" s="265" t="s">
        <v>102</v>
      </c>
      <c r="K994" s="265" t="s">
        <v>10805</v>
      </c>
      <c r="L994" s="265" t="s">
        <v>10806</v>
      </c>
      <c r="M994" s="265" t="s">
        <v>10807</v>
      </c>
      <c r="N994" s="347">
        <v>2.4E-2</v>
      </c>
      <c r="O994" s="348">
        <v>10</v>
      </c>
      <c r="P994" s="348">
        <v>12.59</v>
      </c>
      <c r="Q994" s="348">
        <v>0.5</v>
      </c>
    </row>
    <row r="995" spans="1:17" ht="15" hidden="1" customHeight="1">
      <c r="A995" s="163">
        <v>988</v>
      </c>
      <c r="B995" s="53" t="s">
        <v>23</v>
      </c>
      <c r="C995" s="53" t="s">
        <v>10808</v>
      </c>
      <c r="D995" s="53">
        <v>100023729</v>
      </c>
      <c r="E995" s="55" t="s">
        <v>10809</v>
      </c>
      <c r="F995" s="129">
        <v>500</v>
      </c>
      <c r="G995" s="129">
        <v>45000</v>
      </c>
      <c r="H995" s="512">
        <v>14.65</v>
      </c>
      <c r="I995" s="265" t="s">
        <v>76</v>
      </c>
      <c r="J995" s="265" t="s">
        <v>102</v>
      </c>
      <c r="K995" s="265" t="s">
        <v>10810</v>
      </c>
      <c r="L995" s="265" t="s">
        <v>10811</v>
      </c>
      <c r="M995" s="265" t="s">
        <v>10812</v>
      </c>
      <c r="N995" s="347">
        <v>0.03</v>
      </c>
      <c r="O995" s="348">
        <v>10</v>
      </c>
      <c r="P995" s="348">
        <v>25.38</v>
      </c>
      <c r="Q995" s="348">
        <v>0.8</v>
      </c>
    </row>
    <row r="996" spans="1:17" ht="15" hidden="1" customHeight="1">
      <c r="A996" s="163">
        <v>989</v>
      </c>
      <c r="B996" s="53" t="s">
        <v>23</v>
      </c>
      <c r="C996" s="53" t="s">
        <v>10813</v>
      </c>
      <c r="D996" s="53">
        <v>100023730</v>
      </c>
      <c r="E996" s="55" t="s">
        <v>10814</v>
      </c>
      <c r="F996" s="129">
        <v>250</v>
      </c>
      <c r="G996" s="129">
        <v>22500</v>
      </c>
      <c r="H996" s="512">
        <v>17.98</v>
      </c>
      <c r="I996" s="265" t="s">
        <v>359</v>
      </c>
      <c r="J996" s="265" t="s">
        <v>102</v>
      </c>
      <c r="K996" s="265" t="s">
        <v>10815</v>
      </c>
      <c r="L996" s="265" t="s">
        <v>10816</v>
      </c>
      <c r="M996" s="265" t="s">
        <v>10817</v>
      </c>
      <c r="N996" s="347">
        <v>3.6999999999999998E-2</v>
      </c>
      <c r="O996" s="348">
        <v>10</v>
      </c>
      <c r="P996" s="348">
        <v>13.9</v>
      </c>
      <c r="Q996" s="348">
        <v>0.8</v>
      </c>
    </row>
    <row r="997" spans="1:17" ht="15" hidden="1" customHeight="1">
      <c r="A997" s="163">
        <v>990</v>
      </c>
      <c r="B997" s="53" t="s">
        <v>23</v>
      </c>
      <c r="C997" s="53" t="s">
        <v>10818</v>
      </c>
      <c r="D997" s="53">
        <v>100023731</v>
      </c>
      <c r="E997" s="55" t="s">
        <v>10819</v>
      </c>
      <c r="F997" s="129">
        <v>100</v>
      </c>
      <c r="G997" s="129">
        <v>15000</v>
      </c>
      <c r="H997" s="512">
        <v>26.51</v>
      </c>
      <c r="I997" s="265" t="s">
        <v>359</v>
      </c>
      <c r="J997" s="265" t="s">
        <v>102</v>
      </c>
      <c r="K997" s="265" t="s">
        <v>10820</v>
      </c>
      <c r="L997" s="265" t="s">
        <v>10821</v>
      </c>
      <c r="M997" s="265" t="s">
        <v>10822</v>
      </c>
      <c r="N997" s="347">
        <v>7.4999999999999997E-2</v>
      </c>
      <c r="O997" s="348">
        <v>10</v>
      </c>
      <c r="P997" s="348">
        <v>8.39</v>
      </c>
      <c r="Q997" s="348">
        <v>0.5</v>
      </c>
    </row>
    <row r="998" spans="1:17" ht="15" hidden="1" customHeight="1">
      <c r="A998" s="163">
        <v>991</v>
      </c>
      <c r="B998" s="53" t="s">
        <v>23</v>
      </c>
      <c r="C998" s="53" t="s">
        <v>10823</v>
      </c>
      <c r="D998" s="53">
        <v>100023732</v>
      </c>
      <c r="E998" s="55" t="s">
        <v>10824</v>
      </c>
      <c r="F998" s="129">
        <v>100</v>
      </c>
      <c r="G998" s="129">
        <v>15000</v>
      </c>
      <c r="H998" s="512">
        <v>32.200000000000003</v>
      </c>
      <c r="I998" s="265" t="s">
        <v>76</v>
      </c>
      <c r="J998" s="265" t="s">
        <v>102</v>
      </c>
      <c r="K998" s="265" t="s">
        <v>10825</v>
      </c>
      <c r="L998" s="265">
        <v>0</v>
      </c>
      <c r="M998" s="265" t="s">
        <v>10826</v>
      </c>
      <c r="N998" s="347">
        <v>0.1</v>
      </c>
      <c r="O998" s="348">
        <v>10</v>
      </c>
      <c r="P998" s="348">
        <v>10.199999999999999</v>
      </c>
      <c r="Q998" s="348">
        <v>0.5</v>
      </c>
    </row>
    <row r="999" spans="1:17" ht="15" hidden="1" customHeight="1">
      <c r="A999" s="163">
        <v>992</v>
      </c>
      <c r="B999" s="53" t="s">
        <v>23</v>
      </c>
      <c r="C999" s="53" t="s">
        <v>10827</v>
      </c>
      <c r="D999" s="53">
        <v>100023733</v>
      </c>
      <c r="E999" s="55" t="s">
        <v>10828</v>
      </c>
      <c r="F999" s="129">
        <v>50</v>
      </c>
      <c r="G999" s="129">
        <v>7500</v>
      </c>
      <c r="H999" s="512">
        <v>33.08</v>
      </c>
      <c r="I999" s="265" t="s">
        <v>359</v>
      </c>
      <c r="J999" s="265" t="s">
        <v>102</v>
      </c>
      <c r="K999" s="265" t="s">
        <v>10829</v>
      </c>
      <c r="L999" s="265" t="s">
        <v>10830</v>
      </c>
      <c r="M999" s="265" t="s">
        <v>10831</v>
      </c>
      <c r="N999" s="347">
        <v>0.152</v>
      </c>
      <c r="O999" s="348">
        <v>5</v>
      </c>
      <c r="P999" s="348">
        <v>8.4600000000000009</v>
      </c>
      <c r="Q999" s="348">
        <v>0.5</v>
      </c>
    </row>
    <row r="1000" spans="1:17" ht="15" hidden="1" customHeight="1">
      <c r="A1000" s="163">
        <v>993</v>
      </c>
      <c r="B1000" s="53" t="s">
        <v>23</v>
      </c>
      <c r="C1000" s="53" t="s">
        <v>10832</v>
      </c>
      <c r="D1000" s="53">
        <v>100023735</v>
      </c>
      <c r="E1000" s="55" t="s">
        <v>10833</v>
      </c>
      <c r="F1000" s="129">
        <v>25</v>
      </c>
      <c r="G1000" s="129">
        <v>3000</v>
      </c>
      <c r="H1000" s="512">
        <v>107.73</v>
      </c>
      <c r="I1000" s="265" t="s">
        <v>359</v>
      </c>
      <c r="J1000" s="265" t="s">
        <v>102</v>
      </c>
      <c r="K1000" s="265" t="s">
        <v>10834</v>
      </c>
      <c r="L1000" s="265" t="s">
        <v>10835</v>
      </c>
      <c r="M1000" s="265" t="s">
        <v>10836</v>
      </c>
      <c r="N1000" s="347">
        <v>0.46</v>
      </c>
      <c r="O1000" s="348">
        <v>5</v>
      </c>
      <c r="P1000" s="348">
        <v>11.5</v>
      </c>
      <c r="Q1000" s="348">
        <v>0.65</v>
      </c>
    </row>
    <row r="1001" spans="1:17" ht="15" hidden="1" customHeight="1">
      <c r="A1001" s="163">
        <v>994</v>
      </c>
      <c r="B1001" s="53" t="s">
        <v>23</v>
      </c>
      <c r="C1001" s="53" t="s">
        <v>10837</v>
      </c>
      <c r="D1001" s="53">
        <v>100023739</v>
      </c>
      <c r="E1001" s="55" t="s">
        <v>10838</v>
      </c>
      <c r="F1001" s="129">
        <v>1</v>
      </c>
      <c r="G1001" s="129">
        <v>60</v>
      </c>
      <c r="H1001" s="512">
        <v>1379.96</v>
      </c>
      <c r="I1001" s="265" t="s">
        <v>76</v>
      </c>
      <c r="J1001" s="265" t="s">
        <v>102</v>
      </c>
      <c r="K1001" s="265" t="s">
        <v>10839</v>
      </c>
      <c r="L1001" s="348" t="s">
        <v>1205</v>
      </c>
      <c r="M1001" s="265" t="s">
        <v>10840</v>
      </c>
      <c r="N1001" s="347">
        <v>11.38</v>
      </c>
      <c r="O1001" s="348" t="s">
        <v>1205</v>
      </c>
      <c r="P1001" s="348">
        <v>12.65</v>
      </c>
      <c r="Q1001" s="348">
        <v>1.25</v>
      </c>
    </row>
    <row r="1002" spans="1:17" ht="15" hidden="1" customHeight="1">
      <c r="A1002" s="163">
        <v>995</v>
      </c>
      <c r="B1002" s="53" t="s">
        <v>23</v>
      </c>
      <c r="C1002" s="53" t="s">
        <v>10841</v>
      </c>
      <c r="D1002" s="53">
        <v>100023741</v>
      </c>
      <c r="E1002" s="55" t="s">
        <v>10842</v>
      </c>
      <c r="F1002" s="129">
        <v>250</v>
      </c>
      <c r="G1002" s="129">
        <v>18750</v>
      </c>
      <c r="H1002" s="512">
        <v>26.03</v>
      </c>
      <c r="I1002" s="265" t="s">
        <v>76</v>
      </c>
      <c r="J1002" s="265" t="s">
        <v>102</v>
      </c>
      <c r="K1002" s="265" t="s">
        <v>10843</v>
      </c>
      <c r="L1002" s="265" t="s">
        <v>10844</v>
      </c>
      <c r="M1002" s="265" t="s">
        <v>10845</v>
      </c>
      <c r="N1002" s="347">
        <v>8.3000000000000004E-2</v>
      </c>
      <c r="O1002" s="348">
        <v>10</v>
      </c>
      <c r="P1002" s="348">
        <v>20.99</v>
      </c>
      <c r="Q1002" s="348">
        <v>0.95</v>
      </c>
    </row>
    <row r="1003" spans="1:17" ht="15" hidden="1" customHeight="1">
      <c r="A1003" s="163">
        <v>996</v>
      </c>
      <c r="B1003" s="53" t="s">
        <v>23</v>
      </c>
      <c r="C1003" s="53" t="s">
        <v>10846</v>
      </c>
      <c r="D1003" s="53">
        <v>100023743</v>
      </c>
      <c r="E1003" s="55" t="s">
        <v>10847</v>
      </c>
      <c r="F1003" s="129">
        <v>25</v>
      </c>
      <c r="G1003" s="129">
        <v>3750</v>
      </c>
      <c r="H1003" s="512">
        <v>133.35</v>
      </c>
      <c r="I1003" s="265" t="s">
        <v>359</v>
      </c>
      <c r="J1003" s="265" t="s">
        <v>102</v>
      </c>
      <c r="K1003" s="265" t="s">
        <v>10848</v>
      </c>
      <c r="L1003" s="265" t="s">
        <v>10849</v>
      </c>
      <c r="M1003" s="265" t="s">
        <v>10850</v>
      </c>
      <c r="N1003" s="347">
        <v>0.31900000000000001</v>
      </c>
      <c r="O1003" s="348">
        <v>5</v>
      </c>
      <c r="P1003" s="348">
        <v>8.19</v>
      </c>
      <c r="Q1003" s="348">
        <v>0.5</v>
      </c>
    </row>
    <row r="1004" spans="1:17" ht="15" hidden="1" customHeight="1">
      <c r="A1004" s="163">
        <v>997</v>
      </c>
      <c r="B1004" s="53" t="s">
        <v>23</v>
      </c>
      <c r="C1004" s="53" t="s">
        <v>10851</v>
      </c>
      <c r="D1004" s="53">
        <v>100028184</v>
      </c>
      <c r="E1004" s="55" t="s">
        <v>10852</v>
      </c>
      <c r="F1004" s="129">
        <v>100</v>
      </c>
      <c r="G1004" s="129">
        <v>15000</v>
      </c>
      <c r="H1004" s="512">
        <v>70.849999999999994</v>
      </c>
      <c r="I1004" s="265" t="s">
        <v>359</v>
      </c>
      <c r="J1004" s="265" t="s">
        <v>102</v>
      </c>
      <c r="K1004" s="265" t="s">
        <v>10853</v>
      </c>
      <c r="L1004" s="265" t="s">
        <v>10854</v>
      </c>
      <c r="M1004" s="265" t="s">
        <v>10855</v>
      </c>
      <c r="N1004" s="347">
        <v>9.4E-2</v>
      </c>
      <c r="O1004" s="348">
        <v>5</v>
      </c>
      <c r="P1004" s="348">
        <v>12</v>
      </c>
      <c r="Q1004" s="348">
        <v>0.5</v>
      </c>
    </row>
    <row r="1005" spans="1:17" ht="15" hidden="1" customHeight="1">
      <c r="A1005" s="163">
        <v>998</v>
      </c>
      <c r="B1005" s="53" t="s">
        <v>23</v>
      </c>
      <c r="C1005" s="53" t="s">
        <v>10856</v>
      </c>
      <c r="D1005" s="53">
        <v>100028185</v>
      </c>
      <c r="E1005" s="55" t="s">
        <v>10857</v>
      </c>
      <c r="F1005" s="129">
        <v>100</v>
      </c>
      <c r="G1005" s="129">
        <v>9000</v>
      </c>
      <c r="H1005" s="512">
        <v>70.849999999999994</v>
      </c>
      <c r="I1005" s="265" t="s">
        <v>359</v>
      </c>
      <c r="J1005" s="265" t="s">
        <v>102</v>
      </c>
      <c r="K1005" s="265" t="s">
        <v>10858</v>
      </c>
      <c r="L1005" s="265" t="s">
        <v>10859</v>
      </c>
      <c r="M1005" s="265" t="s">
        <v>10860</v>
      </c>
      <c r="N1005" s="347">
        <v>0.16200000000000001</v>
      </c>
      <c r="O1005" s="348">
        <v>5</v>
      </c>
      <c r="P1005" s="348">
        <v>16.2</v>
      </c>
      <c r="Q1005" s="348">
        <v>0.8</v>
      </c>
    </row>
    <row r="1006" spans="1:17" ht="15" hidden="1" customHeight="1">
      <c r="A1006" s="163">
        <v>999</v>
      </c>
      <c r="B1006" s="53" t="s">
        <v>23</v>
      </c>
      <c r="C1006" s="53" t="s">
        <v>10861</v>
      </c>
      <c r="D1006" s="53">
        <v>100028186</v>
      </c>
      <c r="E1006" s="55" t="s">
        <v>10862</v>
      </c>
      <c r="F1006" s="129">
        <v>50</v>
      </c>
      <c r="G1006" s="129">
        <v>13500</v>
      </c>
      <c r="H1006" s="512">
        <v>37.86</v>
      </c>
      <c r="I1006" s="265" t="s">
        <v>76</v>
      </c>
      <c r="J1006" s="265" t="s">
        <v>102</v>
      </c>
      <c r="K1006" s="265" t="s">
        <v>10863</v>
      </c>
      <c r="L1006" s="348" t="s">
        <v>1205</v>
      </c>
      <c r="M1006" s="265" t="s">
        <v>10864</v>
      </c>
      <c r="N1006" s="347">
        <v>0.124</v>
      </c>
      <c r="O1006" s="348" t="s">
        <v>1205</v>
      </c>
      <c r="P1006" s="348">
        <v>8.07</v>
      </c>
      <c r="Q1006" s="348">
        <v>0.31</v>
      </c>
    </row>
    <row r="1007" spans="1:17" ht="15" hidden="1" customHeight="1">
      <c r="A1007" s="163">
        <v>1000</v>
      </c>
      <c r="B1007" s="53" t="s">
        <v>23</v>
      </c>
      <c r="C1007" s="53" t="s">
        <v>10865</v>
      </c>
      <c r="D1007" s="53">
        <v>100028187</v>
      </c>
      <c r="E1007" s="55" t="s">
        <v>10866</v>
      </c>
      <c r="F1007" s="129">
        <v>50</v>
      </c>
      <c r="G1007" s="129">
        <v>7500</v>
      </c>
      <c r="H1007" s="512">
        <v>48.18</v>
      </c>
      <c r="I1007" s="265" t="s">
        <v>76</v>
      </c>
      <c r="J1007" s="265" t="s">
        <v>102</v>
      </c>
      <c r="K1007" s="265" t="s">
        <v>10867</v>
      </c>
      <c r="L1007" s="348" t="s">
        <v>1205</v>
      </c>
      <c r="M1007" s="265" t="s">
        <v>10868</v>
      </c>
      <c r="N1007" s="347">
        <v>0.19400000000000001</v>
      </c>
      <c r="O1007" s="348" t="s">
        <v>1205</v>
      </c>
      <c r="P1007" s="348">
        <v>12.63</v>
      </c>
      <c r="Q1007" s="348">
        <v>0.5</v>
      </c>
    </row>
    <row r="1008" spans="1:17" ht="15" hidden="1" customHeight="1">
      <c r="A1008" s="163">
        <v>1001</v>
      </c>
      <c r="B1008" s="53" t="s">
        <v>23</v>
      </c>
      <c r="C1008" s="53" t="s">
        <v>10869</v>
      </c>
      <c r="D1008" s="53">
        <v>100028188</v>
      </c>
      <c r="E1008" s="55" t="s">
        <v>10870</v>
      </c>
      <c r="F1008" s="129">
        <v>18</v>
      </c>
      <c r="G1008" s="129">
        <v>2700</v>
      </c>
      <c r="H1008" s="512">
        <v>55.17</v>
      </c>
      <c r="I1008" s="265" t="s">
        <v>76</v>
      </c>
      <c r="J1008" s="265" t="s">
        <v>102</v>
      </c>
      <c r="K1008" s="265" t="s">
        <v>10871</v>
      </c>
      <c r="L1008" s="348" t="s">
        <v>1205</v>
      </c>
      <c r="M1008" s="265" t="s">
        <v>10872</v>
      </c>
      <c r="N1008" s="347">
        <v>0.30599999999999999</v>
      </c>
      <c r="O1008" s="348" t="s">
        <v>1205</v>
      </c>
      <c r="P1008" s="348">
        <v>6.25</v>
      </c>
      <c r="Q1008" s="348">
        <v>0.5</v>
      </c>
    </row>
    <row r="1009" spans="1:17" ht="15" hidden="1" customHeight="1">
      <c r="A1009" s="163">
        <v>1002</v>
      </c>
      <c r="B1009" s="53" t="s">
        <v>23</v>
      </c>
      <c r="C1009" s="53" t="s">
        <v>10873</v>
      </c>
      <c r="D1009" s="53">
        <v>100028189</v>
      </c>
      <c r="E1009" s="55" t="s">
        <v>10874</v>
      </c>
      <c r="F1009" s="129">
        <v>10</v>
      </c>
      <c r="G1009" s="129">
        <v>2700</v>
      </c>
      <c r="H1009" s="512">
        <v>109.29</v>
      </c>
      <c r="I1009" s="265" t="s">
        <v>76</v>
      </c>
      <c r="J1009" s="265" t="s">
        <v>102</v>
      </c>
      <c r="K1009" s="265" t="s">
        <v>10875</v>
      </c>
      <c r="L1009" s="348" t="s">
        <v>1205</v>
      </c>
      <c r="M1009" s="265" t="s">
        <v>10876</v>
      </c>
      <c r="N1009" s="347">
        <v>0.53500000000000003</v>
      </c>
      <c r="O1009" s="348" t="s">
        <v>1205</v>
      </c>
      <c r="P1009" s="348">
        <v>4.76</v>
      </c>
      <c r="Q1009" s="348">
        <v>0.31</v>
      </c>
    </row>
    <row r="1010" spans="1:17" ht="15" hidden="1" customHeight="1">
      <c r="A1010" s="163">
        <v>1003</v>
      </c>
      <c r="B1010" s="53" t="s">
        <v>23</v>
      </c>
      <c r="C1010" s="53" t="s">
        <v>10877</v>
      </c>
      <c r="D1010" s="53">
        <v>100028190</v>
      </c>
      <c r="E1010" s="55" t="s">
        <v>10878</v>
      </c>
      <c r="F1010" s="129">
        <v>10</v>
      </c>
      <c r="G1010" s="129">
        <v>1500</v>
      </c>
      <c r="H1010" s="512">
        <v>123.66</v>
      </c>
      <c r="I1010" s="265" t="s">
        <v>76</v>
      </c>
      <c r="J1010" s="265" t="s">
        <v>102</v>
      </c>
      <c r="K1010" s="265" t="s">
        <v>10879</v>
      </c>
      <c r="L1010" s="348" t="s">
        <v>1205</v>
      </c>
      <c r="M1010" s="265" t="s">
        <v>10880</v>
      </c>
      <c r="N1010" s="347">
        <v>0.82499999999999996</v>
      </c>
      <c r="O1010" s="348" t="s">
        <v>1205</v>
      </c>
      <c r="P1010" s="348">
        <v>6.54</v>
      </c>
      <c r="Q1010" s="348">
        <v>0.5</v>
      </c>
    </row>
    <row r="1011" spans="1:17" ht="15" hidden="1" customHeight="1">
      <c r="A1011" s="163">
        <v>1004</v>
      </c>
      <c r="B1011" s="53" t="s">
        <v>23</v>
      </c>
      <c r="C1011" s="53" t="s">
        <v>10881</v>
      </c>
      <c r="D1011" s="53">
        <v>100028191</v>
      </c>
      <c r="E1011" s="55" t="s">
        <v>10882</v>
      </c>
      <c r="F1011" s="129">
        <v>16</v>
      </c>
      <c r="G1011" s="129">
        <v>1200</v>
      </c>
      <c r="H1011" s="512">
        <v>167.83</v>
      </c>
      <c r="I1011" s="265" t="s">
        <v>76</v>
      </c>
      <c r="J1011" s="265" t="s">
        <v>102</v>
      </c>
      <c r="K1011" s="265" t="s">
        <v>10883</v>
      </c>
      <c r="L1011" s="348" t="s">
        <v>1205</v>
      </c>
      <c r="M1011" s="265" t="s">
        <v>10884</v>
      </c>
      <c r="N1011" s="347">
        <v>1.325</v>
      </c>
      <c r="O1011" s="348" t="s">
        <v>1205</v>
      </c>
      <c r="P1011" s="348">
        <v>21.15</v>
      </c>
      <c r="Q1011" s="348">
        <v>1.1000000000000001</v>
      </c>
    </row>
    <row r="1012" spans="1:17" ht="15" hidden="1" customHeight="1">
      <c r="A1012" s="163">
        <v>1005</v>
      </c>
      <c r="B1012" s="53" t="s">
        <v>23</v>
      </c>
      <c r="C1012" s="53" t="s">
        <v>10885</v>
      </c>
      <c r="D1012" s="53">
        <v>100028192</v>
      </c>
      <c r="E1012" s="55" t="s">
        <v>10886</v>
      </c>
      <c r="F1012" s="129">
        <v>3</v>
      </c>
      <c r="G1012" s="129">
        <v>450</v>
      </c>
      <c r="H1012" s="512">
        <v>266.77999999999997</v>
      </c>
      <c r="I1012" s="265" t="s">
        <v>76</v>
      </c>
      <c r="J1012" s="265" t="s">
        <v>102</v>
      </c>
      <c r="K1012" s="265" t="s">
        <v>10887</v>
      </c>
      <c r="L1012" s="348" t="s">
        <v>1205</v>
      </c>
      <c r="M1012" s="265" t="s">
        <v>10888</v>
      </c>
      <c r="N1012" s="347">
        <v>2.0329999999999999</v>
      </c>
      <c r="O1012" s="348" t="s">
        <v>1205</v>
      </c>
      <c r="P1012" s="348">
        <v>5.72</v>
      </c>
      <c r="Q1012" s="348">
        <v>0.5</v>
      </c>
    </row>
    <row r="1013" spans="1:17" ht="15" hidden="1" customHeight="1">
      <c r="A1013" s="163">
        <v>1006</v>
      </c>
      <c r="B1013" s="53" t="s">
        <v>23</v>
      </c>
      <c r="C1013" s="53" t="s">
        <v>10889</v>
      </c>
      <c r="D1013" s="53">
        <v>100028193</v>
      </c>
      <c r="E1013" s="55" t="s">
        <v>10890</v>
      </c>
      <c r="F1013" s="129">
        <v>3</v>
      </c>
      <c r="G1013" s="129">
        <v>450</v>
      </c>
      <c r="H1013" s="512">
        <v>312.25</v>
      </c>
      <c r="I1013" s="265" t="s">
        <v>76</v>
      </c>
      <c r="J1013" s="265" t="s">
        <v>102</v>
      </c>
      <c r="K1013" s="265" t="s">
        <v>10891</v>
      </c>
      <c r="L1013" s="348" t="s">
        <v>1205</v>
      </c>
      <c r="M1013" s="265" t="s">
        <v>10892</v>
      </c>
      <c r="N1013" s="347">
        <v>3</v>
      </c>
      <c r="O1013" s="348" t="s">
        <v>1205</v>
      </c>
      <c r="P1013" s="348">
        <v>7.84</v>
      </c>
      <c r="Q1013" s="348">
        <v>0.5</v>
      </c>
    </row>
    <row r="1014" spans="1:17" ht="15" hidden="1" customHeight="1">
      <c r="A1014" s="163">
        <v>1007</v>
      </c>
      <c r="B1014" s="53" t="s">
        <v>23</v>
      </c>
      <c r="C1014" s="53" t="s">
        <v>10893</v>
      </c>
      <c r="D1014" s="53">
        <v>100028194</v>
      </c>
      <c r="E1014" s="55" t="s">
        <v>10894</v>
      </c>
      <c r="F1014" s="129">
        <v>2</v>
      </c>
      <c r="G1014" s="129">
        <v>180</v>
      </c>
      <c r="H1014" s="512">
        <v>431.91</v>
      </c>
      <c r="I1014" s="265" t="s">
        <v>76</v>
      </c>
      <c r="J1014" s="265" t="s">
        <v>102</v>
      </c>
      <c r="K1014" s="265" t="s">
        <v>10895</v>
      </c>
      <c r="L1014" s="348" t="s">
        <v>1205</v>
      </c>
      <c r="M1014" s="265" t="s">
        <v>10896</v>
      </c>
      <c r="N1014" s="347">
        <v>7.4249999999999998</v>
      </c>
      <c r="O1014" s="348" t="s">
        <v>1205</v>
      </c>
      <c r="P1014" s="348">
        <v>14.65</v>
      </c>
      <c r="Q1014" s="348">
        <v>0.8</v>
      </c>
    </row>
    <row r="1015" spans="1:17" ht="15" hidden="1" customHeight="1">
      <c r="A1015" s="163">
        <v>1008</v>
      </c>
      <c r="B1015" s="53" t="s">
        <v>23</v>
      </c>
      <c r="C1015" s="53" t="s">
        <v>10897</v>
      </c>
      <c r="D1015" s="53">
        <v>100028195</v>
      </c>
      <c r="E1015" s="55" t="s">
        <v>10898</v>
      </c>
      <c r="F1015" s="129">
        <v>100</v>
      </c>
      <c r="G1015" s="129">
        <v>15000</v>
      </c>
      <c r="H1015" s="512">
        <v>76.36</v>
      </c>
      <c r="I1015" s="265" t="s">
        <v>359</v>
      </c>
      <c r="J1015" s="265" t="s">
        <v>102</v>
      </c>
      <c r="K1015" s="265" t="s">
        <v>10899</v>
      </c>
      <c r="L1015" s="265" t="s">
        <v>10900</v>
      </c>
      <c r="M1015" s="265" t="s">
        <v>10901</v>
      </c>
      <c r="N1015" s="347">
        <v>0.123</v>
      </c>
      <c r="O1015" s="348">
        <v>5</v>
      </c>
      <c r="P1015" s="348">
        <v>12.03</v>
      </c>
      <c r="Q1015" s="348">
        <v>0.5</v>
      </c>
    </row>
    <row r="1016" spans="1:17" ht="15" hidden="1" customHeight="1">
      <c r="A1016" s="163">
        <v>1009</v>
      </c>
      <c r="B1016" s="53" t="s">
        <v>23</v>
      </c>
      <c r="C1016" s="53" t="s">
        <v>10902</v>
      </c>
      <c r="D1016" s="53">
        <v>100028196</v>
      </c>
      <c r="E1016" s="55" t="s">
        <v>10903</v>
      </c>
      <c r="F1016" s="129">
        <v>100</v>
      </c>
      <c r="G1016" s="129">
        <v>9000</v>
      </c>
      <c r="H1016" s="512">
        <v>76.36</v>
      </c>
      <c r="I1016" s="265" t="s">
        <v>369</v>
      </c>
      <c r="J1016" s="265" t="s">
        <v>102</v>
      </c>
      <c r="K1016" s="265" t="s">
        <v>10904</v>
      </c>
      <c r="L1016" s="265">
        <v>0</v>
      </c>
      <c r="M1016" s="265" t="s">
        <v>10905</v>
      </c>
      <c r="N1016" s="347">
        <v>0.17</v>
      </c>
      <c r="O1016" s="348">
        <v>5</v>
      </c>
      <c r="P1016" s="348">
        <v>17</v>
      </c>
      <c r="Q1016" s="348">
        <v>0.8</v>
      </c>
    </row>
    <row r="1017" spans="1:17" ht="15" hidden="1" customHeight="1">
      <c r="A1017" s="163">
        <v>1010</v>
      </c>
      <c r="B1017" s="53" t="s">
        <v>23</v>
      </c>
      <c r="C1017" s="53" t="s">
        <v>10906</v>
      </c>
      <c r="D1017" s="53">
        <v>100028197</v>
      </c>
      <c r="E1017" s="55" t="s">
        <v>10907</v>
      </c>
      <c r="F1017" s="129">
        <v>50</v>
      </c>
      <c r="G1017" s="129">
        <v>13500</v>
      </c>
      <c r="H1017" s="512">
        <v>43.96</v>
      </c>
      <c r="I1017" s="265" t="s">
        <v>359</v>
      </c>
      <c r="J1017" s="265" t="s">
        <v>102</v>
      </c>
      <c r="K1017" s="265" t="s">
        <v>10908</v>
      </c>
      <c r="L1017" s="348" t="s">
        <v>1205</v>
      </c>
      <c r="M1017" s="265" t="s">
        <v>10909</v>
      </c>
      <c r="N1017" s="347">
        <v>0.128</v>
      </c>
      <c r="O1017" s="348" t="s">
        <v>1205</v>
      </c>
      <c r="P1017" s="348">
        <v>8.49</v>
      </c>
      <c r="Q1017" s="348">
        <v>0.31</v>
      </c>
    </row>
    <row r="1018" spans="1:17" ht="15" hidden="1" customHeight="1">
      <c r="A1018" s="163">
        <v>1011</v>
      </c>
      <c r="B1018" s="53" t="s">
        <v>23</v>
      </c>
      <c r="C1018" s="53" t="s">
        <v>10910</v>
      </c>
      <c r="D1018" s="53">
        <v>100028198</v>
      </c>
      <c r="E1018" s="55" t="s">
        <v>10911</v>
      </c>
      <c r="F1018" s="129">
        <v>50</v>
      </c>
      <c r="G1018" s="129">
        <v>7500</v>
      </c>
      <c r="H1018" s="512">
        <v>61.55</v>
      </c>
      <c r="I1018" s="265" t="s">
        <v>359</v>
      </c>
      <c r="J1018" s="265" t="s">
        <v>102</v>
      </c>
      <c r="K1018" s="265" t="s">
        <v>10912</v>
      </c>
      <c r="L1018" s="348" t="s">
        <v>1205</v>
      </c>
      <c r="M1018" s="265" t="s">
        <v>10913</v>
      </c>
      <c r="N1018" s="347">
        <v>0.2</v>
      </c>
      <c r="O1018" s="348" t="s">
        <v>1205</v>
      </c>
      <c r="P1018" s="348">
        <v>13.36</v>
      </c>
      <c r="Q1018" s="348">
        <v>0.5</v>
      </c>
    </row>
    <row r="1019" spans="1:17" ht="15" hidden="1" customHeight="1">
      <c r="A1019" s="163">
        <v>1012</v>
      </c>
      <c r="B1019" s="53" t="s">
        <v>23</v>
      </c>
      <c r="C1019" s="53" t="s">
        <v>10914</v>
      </c>
      <c r="D1019" s="53">
        <v>100028199</v>
      </c>
      <c r="E1019" s="55" t="s">
        <v>10915</v>
      </c>
      <c r="F1019" s="129">
        <v>18</v>
      </c>
      <c r="G1019" s="129">
        <v>4860</v>
      </c>
      <c r="H1019" s="512">
        <v>81.96</v>
      </c>
      <c r="I1019" s="265" t="s">
        <v>76</v>
      </c>
      <c r="J1019" s="265" t="s">
        <v>102</v>
      </c>
      <c r="K1019" s="265" t="s">
        <v>10916</v>
      </c>
      <c r="L1019" s="348" t="s">
        <v>1205</v>
      </c>
      <c r="M1019" s="265" t="s">
        <v>10917</v>
      </c>
      <c r="N1019" s="347">
        <v>0.31900000000000001</v>
      </c>
      <c r="O1019" s="348" t="s">
        <v>1205</v>
      </c>
      <c r="P1019" s="348">
        <v>7.04</v>
      </c>
      <c r="Q1019" s="348">
        <v>0.31</v>
      </c>
    </row>
    <row r="1020" spans="1:17" ht="15" hidden="1" customHeight="1">
      <c r="A1020" s="163">
        <v>1013</v>
      </c>
      <c r="B1020" s="53" t="s">
        <v>23</v>
      </c>
      <c r="C1020" s="53" t="s">
        <v>10918</v>
      </c>
      <c r="D1020" s="53">
        <v>100028200</v>
      </c>
      <c r="E1020" s="55" t="s">
        <v>10919</v>
      </c>
      <c r="F1020" s="129">
        <v>10</v>
      </c>
      <c r="G1020" s="129">
        <v>2700</v>
      </c>
      <c r="H1020" s="512">
        <v>156.26</v>
      </c>
      <c r="I1020" s="265" t="s">
        <v>76</v>
      </c>
      <c r="J1020" s="265" t="s">
        <v>102</v>
      </c>
      <c r="K1020" s="265" t="s">
        <v>10920</v>
      </c>
      <c r="L1020" s="348" t="s">
        <v>1205</v>
      </c>
      <c r="M1020" s="265" t="s">
        <v>10921</v>
      </c>
      <c r="N1020" s="347">
        <v>0.5</v>
      </c>
      <c r="O1020" s="348" t="s">
        <v>1205</v>
      </c>
      <c r="P1020" s="348">
        <v>5</v>
      </c>
      <c r="Q1020" s="348">
        <v>0.31</v>
      </c>
    </row>
    <row r="1021" spans="1:17" ht="15" hidden="1" customHeight="1">
      <c r="A1021" s="163">
        <v>1014</v>
      </c>
      <c r="B1021" s="53" t="s">
        <v>23</v>
      </c>
      <c r="C1021" s="53" t="s">
        <v>10922</v>
      </c>
      <c r="D1021" s="53">
        <v>100028201</v>
      </c>
      <c r="E1021" s="55" t="s">
        <v>10923</v>
      </c>
      <c r="F1021" s="129">
        <v>10</v>
      </c>
      <c r="G1021" s="129">
        <v>1500</v>
      </c>
      <c r="H1021" s="512">
        <v>193.51</v>
      </c>
      <c r="I1021" s="265" t="s">
        <v>359</v>
      </c>
      <c r="J1021" s="265" t="s">
        <v>102</v>
      </c>
      <c r="K1021" s="265" t="s">
        <v>10924</v>
      </c>
      <c r="L1021" s="348" t="s">
        <v>1205</v>
      </c>
      <c r="M1021" s="265" t="s">
        <v>10925</v>
      </c>
      <c r="N1021" s="347">
        <v>0.86499999999999999</v>
      </c>
      <c r="O1021" s="348" t="s">
        <v>1205</v>
      </c>
      <c r="P1021" s="348">
        <v>6.92</v>
      </c>
      <c r="Q1021" s="348">
        <v>0.5</v>
      </c>
    </row>
    <row r="1022" spans="1:17" ht="15" hidden="1" customHeight="1">
      <c r="A1022" s="163">
        <v>1015</v>
      </c>
      <c r="B1022" s="53" t="s">
        <v>23</v>
      </c>
      <c r="C1022" s="53" t="s">
        <v>10926</v>
      </c>
      <c r="D1022" s="53">
        <v>100028202</v>
      </c>
      <c r="E1022" s="55" t="s">
        <v>10927</v>
      </c>
      <c r="F1022" s="129">
        <v>16</v>
      </c>
      <c r="G1022" s="129">
        <v>1200</v>
      </c>
      <c r="H1022" s="512">
        <v>297.79000000000002</v>
      </c>
      <c r="I1022" s="265" t="s">
        <v>359</v>
      </c>
      <c r="J1022" s="265" t="s">
        <v>102</v>
      </c>
      <c r="K1022" s="265" t="s">
        <v>10928</v>
      </c>
      <c r="L1022" s="348" t="s">
        <v>1205</v>
      </c>
      <c r="M1022" s="265" t="s">
        <v>10929</v>
      </c>
      <c r="N1022" s="347">
        <v>1.8140000000000001</v>
      </c>
      <c r="O1022" s="348" t="s">
        <v>1205</v>
      </c>
      <c r="P1022" s="348">
        <v>14.15</v>
      </c>
      <c r="Q1022" s="348">
        <v>1.1000000000000001</v>
      </c>
    </row>
    <row r="1023" spans="1:17" ht="15" hidden="1" customHeight="1">
      <c r="A1023" s="163">
        <v>1016</v>
      </c>
      <c r="B1023" s="53" t="s">
        <v>23</v>
      </c>
      <c r="C1023" s="53" t="s">
        <v>10930</v>
      </c>
      <c r="D1023" s="53">
        <v>100028204</v>
      </c>
      <c r="E1023" s="55" t="s">
        <v>10931</v>
      </c>
      <c r="F1023" s="129">
        <v>3</v>
      </c>
      <c r="G1023" s="129">
        <v>450</v>
      </c>
      <c r="H1023" s="512">
        <v>755.39</v>
      </c>
      <c r="I1023" s="265" t="s">
        <v>76</v>
      </c>
      <c r="J1023" s="265" t="s">
        <v>102</v>
      </c>
      <c r="K1023" s="265" t="s">
        <v>10932</v>
      </c>
      <c r="L1023" s="348" t="s">
        <v>1205</v>
      </c>
      <c r="M1023" s="265" t="s">
        <v>10933</v>
      </c>
      <c r="N1023" s="347">
        <v>3.1829999999999998</v>
      </c>
      <c r="O1023" s="348" t="s">
        <v>1205</v>
      </c>
      <c r="P1023" s="348">
        <v>7.84</v>
      </c>
      <c r="Q1023" s="348">
        <v>0.5</v>
      </c>
    </row>
    <row r="1024" spans="1:17" ht="15" hidden="1" customHeight="1">
      <c r="A1024" s="163">
        <v>1017</v>
      </c>
      <c r="B1024" s="53" t="s">
        <v>23</v>
      </c>
      <c r="C1024" s="53" t="s">
        <v>10934</v>
      </c>
      <c r="D1024" s="53">
        <v>100028205</v>
      </c>
      <c r="E1024" s="55" t="s">
        <v>10935</v>
      </c>
      <c r="F1024" s="129">
        <v>2</v>
      </c>
      <c r="G1024" s="129">
        <v>180</v>
      </c>
      <c r="H1024" s="512">
        <v>883.53</v>
      </c>
      <c r="I1024" s="265" t="s">
        <v>76</v>
      </c>
      <c r="J1024" s="265" t="s">
        <v>102</v>
      </c>
      <c r="K1024" s="265" t="s">
        <v>10936</v>
      </c>
      <c r="L1024" s="348" t="s">
        <v>1205</v>
      </c>
      <c r="M1024" s="265" t="s">
        <v>10937</v>
      </c>
      <c r="N1024" s="347">
        <v>7.48</v>
      </c>
      <c r="O1024" s="348" t="s">
        <v>1205</v>
      </c>
      <c r="P1024" s="348">
        <v>14.98</v>
      </c>
      <c r="Q1024" s="348">
        <v>0.8</v>
      </c>
    </row>
    <row r="1025" spans="1:17" ht="15" hidden="1" customHeight="1">
      <c r="A1025" s="163">
        <v>1018</v>
      </c>
      <c r="B1025" s="53" t="s">
        <v>24</v>
      </c>
      <c r="C1025" s="53" t="s">
        <v>10938</v>
      </c>
      <c r="D1025" s="53">
        <v>100028011</v>
      </c>
      <c r="E1025" s="55" t="s">
        <v>10939</v>
      </c>
      <c r="F1025" s="129">
        <v>75</v>
      </c>
      <c r="G1025" s="129">
        <v>0</v>
      </c>
      <c r="H1025" s="512">
        <v>63.65</v>
      </c>
      <c r="I1025" s="265" t="s">
        <v>359</v>
      </c>
      <c r="J1025" s="265" t="s">
        <v>102</v>
      </c>
      <c r="K1025" s="265">
        <v>0</v>
      </c>
      <c r="L1025" s="348" t="s">
        <v>1205</v>
      </c>
      <c r="M1025" s="265" t="s">
        <v>10940</v>
      </c>
      <c r="N1025" s="347">
        <v>0.27600000000000002</v>
      </c>
      <c r="O1025" s="348" t="s">
        <v>1205</v>
      </c>
      <c r="P1025" s="348">
        <v>20.663</v>
      </c>
      <c r="Q1025" s="348" t="s">
        <v>1205</v>
      </c>
    </row>
    <row r="1026" spans="1:17" ht="15" hidden="1" customHeight="1">
      <c r="A1026" s="163">
        <v>1019</v>
      </c>
      <c r="B1026" s="53" t="s">
        <v>24</v>
      </c>
      <c r="C1026" s="53" t="s">
        <v>10941</v>
      </c>
      <c r="D1026" s="53">
        <v>100028012</v>
      </c>
      <c r="E1026" s="55" t="s">
        <v>10942</v>
      </c>
      <c r="F1026" s="129">
        <v>50</v>
      </c>
      <c r="G1026" s="129">
        <v>0</v>
      </c>
      <c r="H1026" s="512">
        <v>69.69</v>
      </c>
      <c r="I1026" s="265" t="s">
        <v>359</v>
      </c>
      <c r="J1026" s="265" t="s">
        <v>102</v>
      </c>
      <c r="K1026" s="265" t="s">
        <v>10943</v>
      </c>
      <c r="L1026" s="348" t="s">
        <v>1205</v>
      </c>
      <c r="M1026" s="265" t="s">
        <v>10944</v>
      </c>
      <c r="N1026" s="347">
        <v>0.41</v>
      </c>
      <c r="O1026" s="348" t="s">
        <v>1205</v>
      </c>
      <c r="P1026" s="348">
        <v>20.5</v>
      </c>
      <c r="Q1026" s="348" t="s">
        <v>1205</v>
      </c>
    </row>
    <row r="1027" spans="1:17" ht="15" hidden="1" customHeight="1">
      <c r="A1027" s="163">
        <v>1020</v>
      </c>
      <c r="B1027" s="53" t="s">
        <v>24</v>
      </c>
      <c r="C1027" s="53" t="s">
        <v>10945</v>
      </c>
      <c r="D1027" s="53">
        <v>100028013</v>
      </c>
      <c r="E1027" s="55" t="s">
        <v>10946</v>
      </c>
      <c r="F1027" s="129">
        <v>20</v>
      </c>
      <c r="G1027" s="129">
        <v>0</v>
      </c>
      <c r="H1027" s="512">
        <v>96.1</v>
      </c>
      <c r="I1027" s="265" t="s">
        <v>359</v>
      </c>
      <c r="J1027" s="265" t="s">
        <v>102</v>
      </c>
      <c r="K1027" s="265" t="s">
        <v>10947</v>
      </c>
      <c r="L1027" s="348" t="s">
        <v>1205</v>
      </c>
      <c r="M1027" s="265" t="s">
        <v>10948</v>
      </c>
      <c r="N1027" s="347">
        <v>0.53100000000000003</v>
      </c>
      <c r="O1027" s="348" t="s">
        <v>1205</v>
      </c>
      <c r="P1027" s="348">
        <v>10.625999999999999</v>
      </c>
      <c r="Q1027" s="348" t="s">
        <v>1205</v>
      </c>
    </row>
    <row r="1028" spans="1:17" ht="15" hidden="1" customHeight="1">
      <c r="A1028" s="163">
        <v>1021</v>
      </c>
      <c r="B1028" s="53" t="s">
        <v>24</v>
      </c>
      <c r="C1028" s="53" t="s">
        <v>10949</v>
      </c>
      <c r="D1028" s="53">
        <v>100028014</v>
      </c>
      <c r="E1028" s="55" t="s">
        <v>10950</v>
      </c>
      <c r="F1028" s="129">
        <v>30</v>
      </c>
      <c r="G1028" s="129">
        <v>0</v>
      </c>
      <c r="H1028" s="512">
        <v>104.87</v>
      </c>
      <c r="I1028" s="265" t="s">
        <v>359</v>
      </c>
      <c r="J1028" s="265" t="s">
        <v>102</v>
      </c>
      <c r="K1028" s="265" t="s">
        <v>10951</v>
      </c>
      <c r="L1028" s="348" t="s">
        <v>1205</v>
      </c>
      <c r="M1028" s="265" t="s">
        <v>10952</v>
      </c>
      <c r="N1028" s="347">
        <v>0.65300000000000002</v>
      </c>
      <c r="O1028" s="348" t="s">
        <v>1205</v>
      </c>
      <c r="P1028" s="348">
        <v>19.574999999999999</v>
      </c>
      <c r="Q1028" s="348" t="s">
        <v>1205</v>
      </c>
    </row>
    <row r="1029" spans="1:17" ht="15" hidden="1" customHeight="1">
      <c r="A1029" s="163">
        <v>1022</v>
      </c>
      <c r="B1029" s="53" t="s">
        <v>24</v>
      </c>
      <c r="C1029" s="53" t="s">
        <v>10953</v>
      </c>
      <c r="D1029" s="53">
        <v>100028015</v>
      </c>
      <c r="E1029" s="55" t="s">
        <v>10954</v>
      </c>
      <c r="F1029" s="129">
        <v>20</v>
      </c>
      <c r="G1029" s="129">
        <v>0</v>
      </c>
      <c r="H1029" s="512">
        <v>107.24</v>
      </c>
      <c r="I1029" s="265" t="s">
        <v>76</v>
      </c>
      <c r="J1029" s="265" t="s">
        <v>102</v>
      </c>
      <c r="K1029" s="265">
        <v>0</v>
      </c>
      <c r="L1029" s="348" t="s">
        <v>1205</v>
      </c>
      <c r="M1029" s="265" t="s">
        <v>10955</v>
      </c>
      <c r="N1029" s="347">
        <v>1.1419999999999999</v>
      </c>
      <c r="O1029" s="348" t="s">
        <v>1205</v>
      </c>
      <c r="P1029" s="348">
        <v>22.84</v>
      </c>
      <c r="Q1029" s="348" t="s">
        <v>1205</v>
      </c>
    </row>
    <row r="1030" spans="1:17" ht="15" hidden="1" customHeight="1">
      <c r="A1030" s="163">
        <v>1023</v>
      </c>
      <c r="B1030" s="53" t="s">
        <v>24</v>
      </c>
      <c r="C1030" s="53" t="s">
        <v>10956</v>
      </c>
      <c r="D1030" s="53">
        <v>100028016</v>
      </c>
      <c r="E1030" s="55" t="s">
        <v>10957</v>
      </c>
      <c r="F1030" s="129">
        <v>10</v>
      </c>
      <c r="G1030" s="129">
        <v>0</v>
      </c>
      <c r="H1030" s="512">
        <v>246.5</v>
      </c>
      <c r="I1030" s="265" t="s">
        <v>359</v>
      </c>
      <c r="J1030" s="265" t="s">
        <v>102</v>
      </c>
      <c r="K1030" s="265" t="s">
        <v>10958</v>
      </c>
      <c r="L1030" s="348" t="s">
        <v>1205</v>
      </c>
      <c r="M1030" s="265" t="s">
        <v>10959</v>
      </c>
      <c r="N1030" s="347">
        <v>1.484</v>
      </c>
      <c r="O1030" s="348" t="s">
        <v>1205</v>
      </c>
      <c r="P1030" s="348">
        <v>14.837</v>
      </c>
      <c r="Q1030" s="348" t="s">
        <v>1205</v>
      </c>
    </row>
    <row r="1031" spans="1:17" ht="15" hidden="1" customHeight="1">
      <c r="A1031" s="163">
        <v>1024</v>
      </c>
      <c r="B1031" s="53" t="s">
        <v>24</v>
      </c>
      <c r="C1031" s="53" t="s">
        <v>10960</v>
      </c>
      <c r="D1031" s="53">
        <v>100028017</v>
      </c>
      <c r="E1031" s="55" t="s">
        <v>10961</v>
      </c>
      <c r="F1031" s="129">
        <v>10</v>
      </c>
      <c r="G1031" s="129">
        <v>0</v>
      </c>
      <c r="H1031" s="512">
        <v>253.75</v>
      </c>
      <c r="I1031" s="265" t="s">
        <v>359</v>
      </c>
      <c r="J1031" s="265" t="s">
        <v>102</v>
      </c>
      <c r="K1031" s="265" t="s">
        <v>10962</v>
      </c>
      <c r="L1031" s="348" t="s">
        <v>1205</v>
      </c>
      <c r="M1031" s="265" t="s">
        <v>10963</v>
      </c>
      <c r="N1031" s="347">
        <v>1.9419999999999999</v>
      </c>
      <c r="O1031" s="348" t="s">
        <v>1205</v>
      </c>
      <c r="P1031" s="348">
        <v>19.422000000000001</v>
      </c>
      <c r="Q1031" s="348" t="s">
        <v>1205</v>
      </c>
    </row>
    <row r="1032" spans="1:17" ht="15" hidden="1" customHeight="1">
      <c r="A1032" s="163">
        <v>1025</v>
      </c>
      <c r="B1032" s="53" t="s">
        <v>24</v>
      </c>
      <c r="C1032" s="53" t="s">
        <v>10964</v>
      </c>
      <c r="D1032" s="53">
        <v>100028018</v>
      </c>
      <c r="E1032" s="55" t="s">
        <v>10965</v>
      </c>
      <c r="F1032" s="129">
        <v>5</v>
      </c>
      <c r="G1032" s="129">
        <v>0</v>
      </c>
      <c r="H1032" s="512">
        <v>476.69</v>
      </c>
      <c r="I1032" s="265" t="s">
        <v>359</v>
      </c>
      <c r="J1032" s="265" t="s">
        <v>102</v>
      </c>
      <c r="K1032" s="265" t="s">
        <v>10966</v>
      </c>
      <c r="L1032" s="348" t="s">
        <v>1205</v>
      </c>
      <c r="M1032" s="265" t="s">
        <v>10967</v>
      </c>
      <c r="N1032" s="347">
        <v>2.8620000000000001</v>
      </c>
      <c r="O1032" s="348" t="s">
        <v>1205</v>
      </c>
      <c r="P1032" s="348">
        <v>14.308</v>
      </c>
      <c r="Q1032" s="348" t="s">
        <v>1205</v>
      </c>
    </row>
    <row r="1033" spans="1:17" ht="15" hidden="1" customHeight="1">
      <c r="A1033" s="163">
        <v>1026</v>
      </c>
      <c r="B1033" s="53" t="s">
        <v>24</v>
      </c>
      <c r="C1033" s="53" t="s">
        <v>10968</v>
      </c>
      <c r="D1033" s="53">
        <v>100028019</v>
      </c>
      <c r="E1033" s="55" t="s">
        <v>10969</v>
      </c>
      <c r="F1033" s="129">
        <v>25</v>
      </c>
      <c r="G1033" s="129">
        <v>3750</v>
      </c>
      <c r="H1033" s="512">
        <v>127.04</v>
      </c>
      <c r="I1033" s="265" t="s">
        <v>76</v>
      </c>
      <c r="J1033" s="265" t="s">
        <v>102</v>
      </c>
      <c r="K1033" s="265" t="s">
        <v>10970</v>
      </c>
      <c r="L1033" s="348" t="s">
        <v>1205</v>
      </c>
      <c r="M1033" s="265" t="s">
        <v>10971</v>
      </c>
      <c r="N1033" s="347">
        <v>0.51500000000000001</v>
      </c>
      <c r="O1033" s="348" t="s">
        <v>1205</v>
      </c>
      <c r="P1033" s="348">
        <v>13.97</v>
      </c>
      <c r="Q1033" s="348">
        <v>0.5</v>
      </c>
    </row>
    <row r="1034" spans="1:17" ht="15" hidden="1" customHeight="1">
      <c r="A1034" s="163">
        <v>1027</v>
      </c>
      <c r="B1034" s="53" t="s">
        <v>24</v>
      </c>
      <c r="C1034" s="53" t="s">
        <v>10972</v>
      </c>
      <c r="D1034" s="53">
        <v>100023467</v>
      </c>
      <c r="E1034" s="55" t="s">
        <v>10973</v>
      </c>
      <c r="F1034" s="129">
        <v>25</v>
      </c>
      <c r="G1034" s="129">
        <v>3000</v>
      </c>
      <c r="H1034" s="512">
        <v>189.8</v>
      </c>
      <c r="I1034" s="265" t="s">
        <v>359</v>
      </c>
      <c r="J1034" s="265" t="s">
        <v>102</v>
      </c>
      <c r="K1034" s="265" t="s">
        <v>10974</v>
      </c>
      <c r="L1034" s="348" t="s">
        <v>1205</v>
      </c>
      <c r="M1034" s="265" t="s">
        <v>10975</v>
      </c>
      <c r="N1034" s="347">
        <v>0.78</v>
      </c>
      <c r="O1034" s="348" t="s">
        <v>1205</v>
      </c>
      <c r="P1034" s="348">
        <v>20.52</v>
      </c>
      <c r="Q1034" s="348">
        <v>0.65</v>
      </c>
    </row>
    <row r="1035" spans="1:17" ht="15" hidden="1" customHeight="1">
      <c r="A1035" s="163">
        <v>1028</v>
      </c>
      <c r="B1035" s="53" t="s">
        <v>24</v>
      </c>
      <c r="C1035" s="53" t="s">
        <v>10976</v>
      </c>
      <c r="D1035" s="53">
        <v>100028020</v>
      </c>
      <c r="E1035" s="55" t="s">
        <v>10977</v>
      </c>
      <c r="F1035" s="129">
        <v>25</v>
      </c>
      <c r="G1035" s="129">
        <v>3000</v>
      </c>
      <c r="H1035" s="512">
        <v>189.8</v>
      </c>
      <c r="I1035" s="265" t="s">
        <v>1693</v>
      </c>
      <c r="J1035" s="265" t="s">
        <v>77</v>
      </c>
      <c r="K1035" s="265" t="s">
        <v>10978</v>
      </c>
      <c r="L1035" s="348" t="s">
        <v>1205</v>
      </c>
      <c r="M1035" s="265" t="s">
        <v>10979</v>
      </c>
      <c r="N1035" s="347">
        <v>0.82899999999999996</v>
      </c>
      <c r="O1035" s="348" t="s">
        <v>1205</v>
      </c>
      <c r="P1035" s="348">
        <v>20.3</v>
      </c>
      <c r="Q1035" s="348">
        <v>0.65</v>
      </c>
    </row>
    <row r="1036" spans="1:17" ht="15" hidden="1" customHeight="1">
      <c r="A1036" s="163">
        <v>1029</v>
      </c>
      <c r="B1036" s="53" t="s">
        <v>24</v>
      </c>
      <c r="C1036" s="53" t="s">
        <v>10980</v>
      </c>
      <c r="D1036" s="53">
        <v>100028021</v>
      </c>
      <c r="E1036" s="55" t="s">
        <v>10981</v>
      </c>
      <c r="F1036" s="129">
        <v>15</v>
      </c>
      <c r="G1036" s="129">
        <v>1800</v>
      </c>
      <c r="H1036" s="512">
        <v>309.20999999999998</v>
      </c>
      <c r="I1036" s="265" t="s">
        <v>76</v>
      </c>
      <c r="J1036" s="265" t="s">
        <v>102</v>
      </c>
      <c r="K1036" s="265" t="s">
        <v>10982</v>
      </c>
      <c r="L1036" s="348" t="s">
        <v>1205</v>
      </c>
      <c r="M1036" s="265" t="s">
        <v>10983</v>
      </c>
      <c r="N1036" s="347">
        <v>1.2350000000000001</v>
      </c>
      <c r="O1036" s="348" t="s">
        <v>1205</v>
      </c>
      <c r="P1036" s="348">
        <v>18.48</v>
      </c>
      <c r="Q1036" s="348">
        <v>0.65</v>
      </c>
    </row>
    <row r="1037" spans="1:17" ht="15" hidden="1" customHeight="1">
      <c r="A1037" s="163">
        <v>1030</v>
      </c>
      <c r="B1037" s="53" t="s">
        <v>24</v>
      </c>
      <c r="C1037" s="53" t="s">
        <v>10984</v>
      </c>
      <c r="D1037" s="53">
        <v>100028022</v>
      </c>
      <c r="E1037" s="55" t="s">
        <v>10985</v>
      </c>
      <c r="F1037" s="129">
        <v>15</v>
      </c>
      <c r="G1037" s="129">
        <v>1800</v>
      </c>
      <c r="H1037" s="512">
        <v>309.20999999999998</v>
      </c>
      <c r="I1037" s="265" t="s">
        <v>1693</v>
      </c>
      <c r="J1037" s="265" t="s">
        <v>77</v>
      </c>
      <c r="K1037" s="265" t="s">
        <v>10986</v>
      </c>
      <c r="L1037" s="348" t="s">
        <v>1205</v>
      </c>
      <c r="M1037" s="265" t="s">
        <v>10987</v>
      </c>
      <c r="N1037" s="347">
        <v>1.254</v>
      </c>
      <c r="O1037" s="348" t="s">
        <v>1205</v>
      </c>
      <c r="P1037" s="348">
        <v>18.63</v>
      </c>
      <c r="Q1037" s="348">
        <v>0.65</v>
      </c>
    </row>
    <row r="1038" spans="1:17" ht="15" hidden="1" customHeight="1">
      <c r="A1038" s="163">
        <v>1031</v>
      </c>
      <c r="B1038" s="53" t="s">
        <v>24</v>
      </c>
      <c r="C1038" s="53" t="s">
        <v>10988</v>
      </c>
      <c r="D1038" s="53">
        <v>100023468</v>
      </c>
      <c r="E1038" s="55" t="s">
        <v>10989</v>
      </c>
      <c r="F1038" s="129">
        <v>13</v>
      </c>
      <c r="G1038" s="129">
        <v>1560</v>
      </c>
      <c r="H1038" s="512">
        <v>373.11</v>
      </c>
      <c r="I1038" s="265" t="s">
        <v>76</v>
      </c>
      <c r="J1038" s="265" t="s">
        <v>102</v>
      </c>
      <c r="K1038" s="265" t="s">
        <v>10990</v>
      </c>
      <c r="L1038" s="348" t="s">
        <v>1205</v>
      </c>
      <c r="M1038" s="265" t="s">
        <v>10991</v>
      </c>
      <c r="N1038" s="347">
        <v>1.575</v>
      </c>
      <c r="O1038" s="348" t="s">
        <v>1205</v>
      </c>
      <c r="P1038" s="348">
        <v>21.66</v>
      </c>
      <c r="Q1038" s="348">
        <v>0.65</v>
      </c>
    </row>
    <row r="1039" spans="1:17" ht="15" hidden="1" customHeight="1">
      <c r="A1039" s="163">
        <v>1032</v>
      </c>
      <c r="B1039" s="53" t="s">
        <v>24</v>
      </c>
      <c r="C1039" s="53" t="s">
        <v>10992</v>
      </c>
      <c r="D1039" s="53">
        <v>100028023</v>
      </c>
      <c r="E1039" s="55" t="s">
        <v>10993</v>
      </c>
      <c r="F1039" s="129">
        <v>13</v>
      </c>
      <c r="G1039" s="129">
        <v>1560</v>
      </c>
      <c r="H1039" s="512">
        <v>373.11</v>
      </c>
      <c r="I1039" s="265" t="s">
        <v>1693</v>
      </c>
      <c r="J1039" s="265" t="s">
        <v>77</v>
      </c>
      <c r="K1039" s="265" t="s">
        <v>10994</v>
      </c>
      <c r="L1039" s="348" t="s">
        <v>1205</v>
      </c>
      <c r="M1039" s="265" t="s">
        <v>10995</v>
      </c>
      <c r="N1039" s="347">
        <v>1.623</v>
      </c>
      <c r="O1039" s="348" t="s">
        <v>1205</v>
      </c>
      <c r="P1039" s="348">
        <v>21.1</v>
      </c>
      <c r="Q1039" s="348">
        <v>0.65</v>
      </c>
    </row>
    <row r="1040" spans="1:17" ht="15" hidden="1" customHeight="1">
      <c r="A1040" s="163">
        <v>1033</v>
      </c>
      <c r="B1040" s="53" t="s">
        <v>24</v>
      </c>
      <c r="C1040" s="53" t="s">
        <v>10996</v>
      </c>
      <c r="D1040" s="53">
        <v>100023453</v>
      </c>
      <c r="E1040" s="55" t="s">
        <v>10997</v>
      </c>
      <c r="F1040" s="129">
        <v>6</v>
      </c>
      <c r="G1040" s="129">
        <v>540</v>
      </c>
      <c r="H1040" s="512">
        <v>464.82</v>
      </c>
      <c r="I1040" s="265" t="s">
        <v>76</v>
      </c>
      <c r="J1040" s="265" t="s">
        <v>102</v>
      </c>
      <c r="K1040" s="265" t="s">
        <v>10998</v>
      </c>
      <c r="L1040" s="348" t="s">
        <v>1205</v>
      </c>
      <c r="M1040" s="265" t="s">
        <v>10999</v>
      </c>
      <c r="N1040" s="347">
        <v>2.42</v>
      </c>
      <c r="O1040" s="348" t="s">
        <v>1205</v>
      </c>
      <c r="P1040" s="348">
        <v>16</v>
      </c>
      <c r="Q1040" s="348">
        <v>0.8</v>
      </c>
    </row>
    <row r="1041" spans="1:17" ht="15" hidden="1" customHeight="1">
      <c r="A1041" s="163">
        <v>1034</v>
      </c>
      <c r="B1041" s="53" t="s">
        <v>24</v>
      </c>
      <c r="C1041" s="53" t="s">
        <v>11000</v>
      </c>
      <c r="D1041" s="53">
        <v>100023454</v>
      </c>
      <c r="E1041" s="55" t="s">
        <v>11001</v>
      </c>
      <c r="F1041" s="129">
        <v>6</v>
      </c>
      <c r="G1041" s="129">
        <v>540</v>
      </c>
      <c r="H1041" s="512">
        <v>464.82</v>
      </c>
      <c r="I1041" s="265" t="s">
        <v>359</v>
      </c>
      <c r="J1041" s="265" t="s">
        <v>102</v>
      </c>
      <c r="K1041" s="265" t="s">
        <v>11002</v>
      </c>
      <c r="L1041" s="348" t="s">
        <v>1205</v>
      </c>
      <c r="M1041" s="265" t="s">
        <v>11003</v>
      </c>
      <c r="N1041" s="347">
        <v>2.56</v>
      </c>
      <c r="O1041" s="348" t="s">
        <v>1205</v>
      </c>
      <c r="P1041" s="348">
        <v>15.54</v>
      </c>
      <c r="Q1041" s="348">
        <v>0.8</v>
      </c>
    </row>
    <row r="1042" spans="1:17" ht="15" hidden="1" customHeight="1">
      <c r="A1042" s="163">
        <v>1035</v>
      </c>
      <c r="B1042" s="53" t="s">
        <v>24</v>
      </c>
      <c r="C1042" s="53" t="s">
        <v>11004</v>
      </c>
      <c r="D1042" s="53">
        <v>100023469</v>
      </c>
      <c r="E1042" s="55" t="s">
        <v>11005</v>
      </c>
      <c r="F1042" s="129">
        <v>5</v>
      </c>
      <c r="G1042" s="129">
        <v>375</v>
      </c>
      <c r="H1042" s="512">
        <v>564.86</v>
      </c>
      <c r="I1042" s="265" t="s">
        <v>359</v>
      </c>
      <c r="J1042" s="265" t="s">
        <v>102</v>
      </c>
      <c r="K1042" s="265" t="s">
        <v>11006</v>
      </c>
      <c r="L1042" s="348" t="s">
        <v>1205</v>
      </c>
      <c r="M1042" s="265" t="s">
        <v>11007</v>
      </c>
      <c r="N1042" s="347">
        <v>3.97</v>
      </c>
      <c r="O1042" s="348" t="s">
        <v>1205</v>
      </c>
      <c r="P1042" s="348">
        <v>20.98</v>
      </c>
      <c r="Q1042" s="348">
        <v>0.95</v>
      </c>
    </row>
    <row r="1043" spans="1:17" ht="15" hidden="1" customHeight="1">
      <c r="A1043" s="163">
        <v>1036</v>
      </c>
      <c r="B1043" s="53" t="s">
        <v>24</v>
      </c>
      <c r="C1043" s="53" t="s">
        <v>11008</v>
      </c>
      <c r="D1043" s="53">
        <v>100028029</v>
      </c>
      <c r="E1043" s="55" t="s">
        <v>11009</v>
      </c>
      <c r="F1043" s="129">
        <v>5</v>
      </c>
      <c r="G1043" s="129">
        <v>375</v>
      </c>
      <c r="H1043" s="512">
        <v>564.86</v>
      </c>
      <c r="I1043" s="265" t="s">
        <v>1693</v>
      </c>
      <c r="J1043" s="265" t="s">
        <v>77</v>
      </c>
      <c r="K1043" s="265" t="s">
        <v>11010</v>
      </c>
      <c r="L1043" s="348" t="s">
        <v>1205</v>
      </c>
      <c r="M1043" s="265" t="s">
        <v>11011</v>
      </c>
      <c r="N1043" s="347">
        <v>4.33</v>
      </c>
      <c r="O1043" s="348" t="s">
        <v>1205</v>
      </c>
      <c r="P1043" s="348">
        <v>20.6</v>
      </c>
      <c r="Q1043" s="348">
        <v>1.1000000000000001</v>
      </c>
    </row>
    <row r="1044" spans="1:17" ht="15" hidden="1" customHeight="1">
      <c r="A1044" s="163">
        <v>1037</v>
      </c>
      <c r="B1044" s="53" t="s">
        <v>24</v>
      </c>
      <c r="C1044" s="53" t="s">
        <v>11012</v>
      </c>
      <c r="D1044" s="53">
        <v>100028030</v>
      </c>
      <c r="E1044" s="55" t="s">
        <v>11013</v>
      </c>
      <c r="F1044" s="129">
        <v>3</v>
      </c>
      <c r="G1044" s="129">
        <v>225</v>
      </c>
      <c r="H1044" s="512">
        <v>707.01</v>
      </c>
      <c r="I1044" s="265" t="s">
        <v>1693</v>
      </c>
      <c r="J1044" s="265" t="s">
        <v>77</v>
      </c>
      <c r="K1044" s="265" t="s">
        <v>11014</v>
      </c>
      <c r="L1044" s="348" t="s">
        <v>1205</v>
      </c>
      <c r="M1044" s="265" t="s">
        <v>11015</v>
      </c>
      <c r="N1044" s="347">
        <v>7.5069999999999997</v>
      </c>
      <c r="O1044" s="348" t="s">
        <v>1205</v>
      </c>
      <c r="P1044" s="348">
        <v>22.96</v>
      </c>
      <c r="Q1044" s="348">
        <v>1.1000000000000001</v>
      </c>
    </row>
    <row r="1045" spans="1:17" ht="15" hidden="1" customHeight="1">
      <c r="A1045" s="163">
        <v>1038</v>
      </c>
      <c r="B1045" s="53" t="s">
        <v>24</v>
      </c>
      <c r="C1045" s="53" t="s">
        <v>11016</v>
      </c>
      <c r="D1045" s="53">
        <v>100028032</v>
      </c>
      <c r="E1045" s="55" t="s">
        <v>11017</v>
      </c>
      <c r="F1045" s="129">
        <v>5</v>
      </c>
      <c r="G1045" s="129">
        <v>1350</v>
      </c>
      <c r="H1045" s="512">
        <v>75.59</v>
      </c>
      <c r="I1045" s="265" t="s">
        <v>359</v>
      </c>
      <c r="J1045" s="265" t="s">
        <v>102</v>
      </c>
      <c r="K1045" s="265" t="s">
        <v>11018</v>
      </c>
      <c r="L1045" s="348" t="s">
        <v>1205</v>
      </c>
      <c r="M1045" s="265" t="s">
        <v>11019</v>
      </c>
      <c r="N1045" s="347">
        <v>0.94799999999999995</v>
      </c>
      <c r="O1045" s="348" t="s">
        <v>1205</v>
      </c>
      <c r="P1045" s="348">
        <v>5.32</v>
      </c>
      <c r="Q1045" s="348">
        <v>0.31</v>
      </c>
    </row>
    <row r="1046" spans="1:17" ht="15" hidden="1" customHeight="1">
      <c r="A1046" s="163">
        <v>1039</v>
      </c>
      <c r="B1046" s="53" t="s">
        <v>24</v>
      </c>
      <c r="C1046" s="53" t="s">
        <v>11020</v>
      </c>
      <c r="D1046" s="53">
        <v>100028033</v>
      </c>
      <c r="E1046" s="55" t="s">
        <v>11021</v>
      </c>
      <c r="F1046" s="129">
        <v>5</v>
      </c>
      <c r="G1046" s="129">
        <v>750</v>
      </c>
      <c r="H1046" s="512">
        <v>75.59</v>
      </c>
      <c r="I1046" s="265" t="s">
        <v>76</v>
      </c>
      <c r="J1046" s="265" t="s">
        <v>102</v>
      </c>
      <c r="K1046" s="265" t="s">
        <v>11022</v>
      </c>
      <c r="L1046" s="348" t="s">
        <v>1205</v>
      </c>
      <c r="M1046" s="265" t="s">
        <v>11023</v>
      </c>
      <c r="N1046" s="347">
        <v>1.6830000000000001</v>
      </c>
      <c r="O1046" s="348" t="s">
        <v>1205</v>
      </c>
      <c r="P1046" s="348">
        <v>5.42</v>
      </c>
      <c r="Q1046" s="348">
        <v>0.5</v>
      </c>
    </row>
    <row r="1047" spans="1:17" ht="15" hidden="1" customHeight="1">
      <c r="A1047" s="163">
        <v>1040</v>
      </c>
      <c r="B1047" s="53" t="s">
        <v>24</v>
      </c>
      <c r="C1047" s="53" t="s">
        <v>11024</v>
      </c>
      <c r="D1047" s="53">
        <v>100028036</v>
      </c>
      <c r="E1047" s="55" t="s">
        <v>11025</v>
      </c>
      <c r="F1047" s="129">
        <v>10</v>
      </c>
      <c r="G1047" s="129">
        <v>750</v>
      </c>
      <c r="H1047" s="512">
        <v>116.67</v>
      </c>
      <c r="I1047" s="265" t="s">
        <v>359</v>
      </c>
      <c r="J1047" s="265" t="s">
        <v>102</v>
      </c>
      <c r="K1047" s="265" t="s">
        <v>11026</v>
      </c>
      <c r="L1047" s="348" t="s">
        <v>1205</v>
      </c>
      <c r="M1047" s="265" t="s">
        <v>11027</v>
      </c>
      <c r="N1047" s="347">
        <v>2.3839999999999999</v>
      </c>
      <c r="O1047" s="348" t="s">
        <v>1205</v>
      </c>
      <c r="P1047" s="348">
        <v>15.52</v>
      </c>
      <c r="Q1047" s="348">
        <v>0.95</v>
      </c>
    </row>
    <row r="1048" spans="1:17" ht="15" hidden="1" customHeight="1">
      <c r="A1048" s="163">
        <v>1041</v>
      </c>
      <c r="B1048" s="53" t="s">
        <v>24</v>
      </c>
      <c r="C1048" s="53" t="s">
        <v>11028</v>
      </c>
      <c r="D1048" s="53">
        <v>100028038</v>
      </c>
      <c r="E1048" s="55" t="s">
        <v>11029</v>
      </c>
      <c r="F1048" s="129">
        <v>5</v>
      </c>
      <c r="G1048" s="129">
        <v>600</v>
      </c>
      <c r="H1048" s="512">
        <v>128.9</v>
      </c>
      <c r="I1048" s="265" t="s">
        <v>76</v>
      </c>
      <c r="J1048" s="265" t="s">
        <v>102</v>
      </c>
      <c r="K1048" s="265" t="s">
        <v>11030</v>
      </c>
      <c r="L1048" s="348" t="s">
        <v>1205</v>
      </c>
      <c r="M1048" s="265" t="s">
        <v>11031</v>
      </c>
      <c r="N1048" s="347">
        <v>1.7949999999999999</v>
      </c>
      <c r="O1048" s="348" t="s">
        <v>1205</v>
      </c>
      <c r="P1048" s="348">
        <v>9.75</v>
      </c>
      <c r="Q1048" s="348">
        <v>0.65</v>
      </c>
    </row>
    <row r="1049" spans="1:17" ht="15" hidden="1" customHeight="1">
      <c r="A1049" s="163">
        <v>1042</v>
      </c>
      <c r="B1049" s="53" t="s">
        <v>24</v>
      </c>
      <c r="C1049" s="53" t="s">
        <v>11032</v>
      </c>
      <c r="D1049" s="53">
        <v>100028039</v>
      </c>
      <c r="E1049" s="55" t="s">
        <v>11033</v>
      </c>
      <c r="F1049" s="129">
        <v>5</v>
      </c>
      <c r="G1049" s="129">
        <v>600</v>
      </c>
      <c r="H1049" s="512">
        <v>128.9</v>
      </c>
      <c r="I1049" s="265" t="s">
        <v>76</v>
      </c>
      <c r="J1049" s="265" t="s">
        <v>102</v>
      </c>
      <c r="K1049" s="265" t="s">
        <v>11034</v>
      </c>
      <c r="L1049" s="348" t="s">
        <v>1205</v>
      </c>
      <c r="M1049" s="265" t="s">
        <v>11035</v>
      </c>
      <c r="N1049" s="347">
        <v>1.7669999999999999</v>
      </c>
      <c r="O1049" s="348" t="s">
        <v>1205</v>
      </c>
      <c r="P1049" s="348">
        <v>7.8</v>
      </c>
      <c r="Q1049" s="348">
        <v>0.65</v>
      </c>
    </row>
    <row r="1050" spans="1:17" ht="15" hidden="1" customHeight="1">
      <c r="A1050" s="163">
        <v>1043</v>
      </c>
      <c r="B1050" s="53" t="s">
        <v>24</v>
      </c>
      <c r="C1050" s="53" t="s">
        <v>11036</v>
      </c>
      <c r="D1050" s="53">
        <v>100028041</v>
      </c>
      <c r="E1050" s="55" t="s">
        <v>11037</v>
      </c>
      <c r="F1050" s="129">
        <v>4</v>
      </c>
      <c r="G1050" s="129">
        <v>360</v>
      </c>
      <c r="H1050" s="512">
        <v>163.13</v>
      </c>
      <c r="I1050" s="265" t="s">
        <v>76</v>
      </c>
      <c r="J1050" s="265" t="s">
        <v>102</v>
      </c>
      <c r="K1050" s="265" t="s">
        <v>11038</v>
      </c>
      <c r="L1050" s="348" t="s">
        <v>1205</v>
      </c>
      <c r="M1050" s="265" t="s">
        <v>11039</v>
      </c>
      <c r="N1050" s="347">
        <v>3.032</v>
      </c>
      <c r="O1050" s="348" t="s">
        <v>1205</v>
      </c>
      <c r="P1050" s="348">
        <v>12.35</v>
      </c>
      <c r="Q1050" s="348">
        <v>0.8</v>
      </c>
    </row>
    <row r="1051" spans="1:17" ht="15" hidden="1" customHeight="1">
      <c r="A1051" s="163">
        <v>1044</v>
      </c>
      <c r="B1051" s="53" t="s">
        <v>24</v>
      </c>
      <c r="C1051" s="53" t="s">
        <v>11040</v>
      </c>
      <c r="D1051" s="53">
        <v>100028042</v>
      </c>
      <c r="E1051" s="55" t="s">
        <v>11041</v>
      </c>
      <c r="F1051" s="129">
        <v>4</v>
      </c>
      <c r="G1051" s="129">
        <v>360</v>
      </c>
      <c r="H1051" s="512">
        <v>163.13</v>
      </c>
      <c r="I1051" s="265" t="s">
        <v>359</v>
      </c>
      <c r="J1051" s="265" t="s">
        <v>102</v>
      </c>
      <c r="K1051" s="265" t="s">
        <v>11042</v>
      </c>
      <c r="L1051" s="348" t="s">
        <v>1205</v>
      </c>
      <c r="M1051" s="265" t="s">
        <v>11043</v>
      </c>
      <c r="N1051" s="347">
        <v>3.0110000000000001</v>
      </c>
      <c r="O1051" s="348" t="s">
        <v>1205</v>
      </c>
      <c r="P1051" s="348">
        <v>12</v>
      </c>
      <c r="Q1051" s="348">
        <v>0.8</v>
      </c>
    </row>
    <row r="1052" spans="1:17" ht="15" hidden="1" customHeight="1">
      <c r="A1052" s="163">
        <v>1045</v>
      </c>
      <c r="B1052" s="53" t="s">
        <v>24</v>
      </c>
      <c r="C1052" s="53" t="s">
        <v>11044</v>
      </c>
      <c r="D1052" s="53">
        <v>100028044</v>
      </c>
      <c r="E1052" s="55" t="s">
        <v>11045</v>
      </c>
      <c r="F1052" s="129">
        <v>2</v>
      </c>
      <c r="G1052" s="129">
        <v>180</v>
      </c>
      <c r="H1052" s="512">
        <v>256.57</v>
      </c>
      <c r="I1052" s="265" t="s">
        <v>76</v>
      </c>
      <c r="J1052" s="265" t="s">
        <v>102</v>
      </c>
      <c r="K1052" s="265" t="s">
        <v>11046</v>
      </c>
      <c r="L1052" s="348" t="s">
        <v>1205</v>
      </c>
      <c r="M1052" s="265" t="s">
        <v>11047</v>
      </c>
      <c r="N1052" s="347">
        <v>5.7060000000000004</v>
      </c>
      <c r="O1052" s="348" t="s">
        <v>1205</v>
      </c>
      <c r="P1052" s="348">
        <v>8.02</v>
      </c>
      <c r="Q1052" s="348">
        <v>0.8</v>
      </c>
    </row>
    <row r="1053" spans="1:17" ht="15" hidden="1" customHeight="1">
      <c r="A1053" s="163">
        <v>1046</v>
      </c>
      <c r="B1053" s="53" t="s">
        <v>24</v>
      </c>
      <c r="C1053" s="53" t="s">
        <v>11048</v>
      </c>
      <c r="D1053" s="53">
        <v>100028045</v>
      </c>
      <c r="E1053" s="55" t="s">
        <v>11049</v>
      </c>
      <c r="F1053" s="129">
        <v>2</v>
      </c>
      <c r="G1053" s="129">
        <v>180</v>
      </c>
      <c r="H1053" s="512">
        <v>256.57</v>
      </c>
      <c r="I1053" s="265" t="s">
        <v>1693</v>
      </c>
      <c r="J1053" s="265" t="s">
        <v>77</v>
      </c>
      <c r="K1053" s="265" t="s">
        <v>11050</v>
      </c>
      <c r="L1053" s="348" t="s">
        <v>1205</v>
      </c>
      <c r="M1053" s="265" t="s">
        <v>11051</v>
      </c>
      <c r="N1053" s="347">
        <v>3.7250000000000001</v>
      </c>
      <c r="O1053" s="348" t="s">
        <v>1205</v>
      </c>
      <c r="P1053" s="348">
        <v>7.45</v>
      </c>
      <c r="Q1053" s="348">
        <v>0.8</v>
      </c>
    </row>
    <row r="1054" spans="1:17" ht="15" hidden="1" customHeight="1">
      <c r="A1054" s="163">
        <v>1047</v>
      </c>
      <c r="B1054" s="53" t="s">
        <v>24</v>
      </c>
      <c r="C1054" s="53" t="s">
        <v>11052</v>
      </c>
      <c r="D1054" s="53">
        <v>100028047</v>
      </c>
      <c r="E1054" s="55" t="s">
        <v>11053</v>
      </c>
      <c r="F1054" s="129">
        <v>2</v>
      </c>
      <c r="G1054" s="129">
        <v>150</v>
      </c>
      <c r="H1054" s="512">
        <v>256.57</v>
      </c>
      <c r="I1054" s="265" t="s">
        <v>76</v>
      </c>
      <c r="J1054" s="265" t="s">
        <v>102</v>
      </c>
      <c r="K1054" s="265" t="s">
        <v>11054</v>
      </c>
      <c r="L1054" s="348" t="s">
        <v>1205</v>
      </c>
      <c r="M1054" s="265" t="s">
        <v>11055</v>
      </c>
      <c r="N1054" s="347">
        <v>4.8659999999999997</v>
      </c>
      <c r="O1054" s="348" t="s">
        <v>1205</v>
      </c>
      <c r="P1054" s="348">
        <v>10.53</v>
      </c>
      <c r="Q1054" s="348">
        <v>0.95</v>
      </c>
    </row>
    <row r="1055" spans="1:17" ht="15" hidden="1" customHeight="1">
      <c r="A1055" s="163">
        <v>1048</v>
      </c>
      <c r="B1055" s="53" t="s">
        <v>24</v>
      </c>
      <c r="C1055" s="53" t="s">
        <v>11056</v>
      </c>
      <c r="D1055" s="53">
        <v>100028048</v>
      </c>
      <c r="E1055" s="55" t="s">
        <v>11057</v>
      </c>
      <c r="F1055" s="129">
        <v>2</v>
      </c>
      <c r="G1055" s="129">
        <v>150</v>
      </c>
      <c r="H1055" s="512">
        <v>256.57</v>
      </c>
      <c r="I1055" s="265" t="s">
        <v>359</v>
      </c>
      <c r="J1055" s="265" t="s">
        <v>102</v>
      </c>
      <c r="K1055" s="265" t="s">
        <v>11058</v>
      </c>
      <c r="L1055" s="348" t="s">
        <v>1205</v>
      </c>
      <c r="M1055" s="265" t="s">
        <v>11059</v>
      </c>
      <c r="N1055" s="347">
        <v>7.6859999999999999</v>
      </c>
      <c r="O1055" s="348" t="s">
        <v>1205</v>
      </c>
      <c r="P1055" s="348">
        <v>10.050000000000001</v>
      </c>
      <c r="Q1055" s="348">
        <v>0.95</v>
      </c>
    </row>
    <row r="1056" spans="1:17" ht="15" hidden="1" customHeight="1">
      <c r="A1056" s="163">
        <v>1049</v>
      </c>
      <c r="B1056" s="53" t="s">
        <v>24</v>
      </c>
      <c r="C1056" s="53" t="s">
        <v>11060</v>
      </c>
      <c r="D1056" s="53">
        <v>100028050</v>
      </c>
      <c r="E1056" s="55" t="s">
        <v>11061</v>
      </c>
      <c r="F1056" s="129">
        <v>1</v>
      </c>
      <c r="G1056" s="129">
        <v>75</v>
      </c>
      <c r="H1056" s="512">
        <v>417.68</v>
      </c>
      <c r="I1056" s="265" t="s">
        <v>359</v>
      </c>
      <c r="J1056" s="265" t="s">
        <v>102</v>
      </c>
      <c r="K1056" s="265" t="s">
        <v>11062</v>
      </c>
      <c r="L1056" s="348" t="s">
        <v>1205</v>
      </c>
      <c r="M1056" s="265" t="s">
        <v>11063</v>
      </c>
      <c r="N1056" s="347">
        <v>9.7240000000000002</v>
      </c>
      <c r="O1056" s="348" t="s">
        <v>1205</v>
      </c>
      <c r="P1056" s="348">
        <v>10.7</v>
      </c>
      <c r="Q1056" s="348">
        <v>1.1000000000000001</v>
      </c>
    </row>
    <row r="1057" spans="1:17" ht="15" hidden="1" customHeight="1">
      <c r="A1057" s="163">
        <v>1050</v>
      </c>
      <c r="B1057" s="53" t="s">
        <v>24</v>
      </c>
      <c r="C1057" s="53" t="s">
        <v>11064</v>
      </c>
      <c r="D1057" s="53">
        <v>100028051</v>
      </c>
      <c r="E1057" s="55" t="s">
        <v>11065</v>
      </c>
      <c r="F1057" s="129">
        <v>1</v>
      </c>
      <c r="G1057" s="129">
        <v>75</v>
      </c>
      <c r="H1057" s="512">
        <v>417.68</v>
      </c>
      <c r="I1057" s="265" t="s">
        <v>359</v>
      </c>
      <c r="J1057" s="265" t="s">
        <v>102</v>
      </c>
      <c r="K1057" s="265" t="s">
        <v>11066</v>
      </c>
      <c r="L1057" s="348" t="s">
        <v>1205</v>
      </c>
      <c r="M1057" s="265" t="s">
        <v>11067</v>
      </c>
      <c r="N1057" s="347">
        <v>9.7230000000000008</v>
      </c>
      <c r="O1057" s="348" t="s">
        <v>1205</v>
      </c>
      <c r="P1057" s="348">
        <v>10.08</v>
      </c>
      <c r="Q1057" s="348">
        <v>1.1000000000000001</v>
      </c>
    </row>
    <row r="1058" spans="1:17" ht="15" hidden="1" customHeight="1">
      <c r="A1058" s="163">
        <v>1051</v>
      </c>
      <c r="B1058" s="53" t="s">
        <v>24</v>
      </c>
      <c r="C1058" s="53" t="s">
        <v>11068</v>
      </c>
      <c r="D1058" s="53">
        <v>100028054</v>
      </c>
      <c r="E1058" s="55" t="s">
        <v>11069</v>
      </c>
      <c r="F1058" s="129">
        <v>5</v>
      </c>
      <c r="G1058" s="129">
        <v>750</v>
      </c>
      <c r="H1058" s="512">
        <v>75.59</v>
      </c>
      <c r="I1058" s="265" t="s">
        <v>359</v>
      </c>
      <c r="J1058" s="265" t="s">
        <v>102</v>
      </c>
      <c r="K1058" s="265" t="s">
        <v>11070</v>
      </c>
      <c r="L1058" s="348" t="s">
        <v>1205</v>
      </c>
      <c r="M1058" s="265" t="s">
        <v>11071</v>
      </c>
      <c r="N1058" s="347">
        <v>1.67</v>
      </c>
      <c r="O1058" s="348" t="s">
        <v>1205</v>
      </c>
      <c r="P1058" s="348">
        <v>5.36</v>
      </c>
      <c r="Q1058" s="348">
        <v>0.5</v>
      </c>
    </row>
    <row r="1059" spans="1:17" ht="15" hidden="1" customHeight="1">
      <c r="A1059" s="163">
        <v>1052</v>
      </c>
      <c r="B1059" s="53" t="s">
        <v>24</v>
      </c>
      <c r="C1059" s="53" t="s">
        <v>11072</v>
      </c>
      <c r="D1059" s="53">
        <v>100028057</v>
      </c>
      <c r="E1059" s="55" t="s">
        <v>11073</v>
      </c>
      <c r="F1059" s="129">
        <v>10</v>
      </c>
      <c r="G1059" s="129">
        <v>750</v>
      </c>
      <c r="H1059" s="512">
        <v>116.67</v>
      </c>
      <c r="I1059" s="265" t="s">
        <v>359</v>
      </c>
      <c r="J1059" s="265" t="s">
        <v>102</v>
      </c>
      <c r="K1059" s="265" t="s">
        <v>11074</v>
      </c>
      <c r="L1059" s="348" t="s">
        <v>1205</v>
      </c>
      <c r="M1059" s="265" t="s">
        <v>11075</v>
      </c>
      <c r="N1059" s="347">
        <v>2.37</v>
      </c>
      <c r="O1059" s="348" t="s">
        <v>1205</v>
      </c>
      <c r="P1059" s="348">
        <v>15.16</v>
      </c>
      <c r="Q1059" s="348">
        <v>0.95</v>
      </c>
    </row>
    <row r="1060" spans="1:17" ht="15" hidden="1" customHeight="1">
      <c r="A1060" s="163">
        <v>1053</v>
      </c>
      <c r="B1060" s="53" t="s">
        <v>24</v>
      </c>
      <c r="C1060" s="53" t="s">
        <v>11076</v>
      </c>
      <c r="D1060" s="53">
        <v>100028060</v>
      </c>
      <c r="E1060" s="55" t="s">
        <v>11077</v>
      </c>
      <c r="F1060" s="129">
        <v>5</v>
      </c>
      <c r="G1060" s="129">
        <v>600</v>
      </c>
      <c r="H1060" s="512">
        <v>128.9</v>
      </c>
      <c r="I1060" s="265" t="s">
        <v>359</v>
      </c>
      <c r="J1060" s="265" t="s">
        <v>102</v>
      </c>
      <c r="K1060" s="265" t="s">
        <v>11078</v>
      </c>
      <c r="L1060" s="348" t="s">
        <v>1205</v>
      </c>
      <c r="M1060" s="265" t="s">
        <v>11079</v>
      </c>
      <c r="N1060" s="347">
        <v>3.0880000000000001</v>
      </c>
      <c r="O1060" s="348" t="s">
        <v>1205</v>
      </c>
      <c r="P1060" s="348">
        <v>10.130000000000001</v>
      </c>
      <c r="Q1060" s="348">
        <v>0.65</v>
      </c>
    </row>
    <row r="1061" spans="1:17" ht="15" hidden="1" customHeight="1">
      <c r="A1061" s="163">
        <v>1054</v>
      </c>
      <c r="B1061" s="53" t="s">
        <v>24</v>
      </c>
      <c r="C1061" s="53" t="s">
        <v>11080</v>
      </c>
      <c r="D1061" s="53">
        <v>100028063</v>
      </c>
      <c r="E1061" s="55" t="s">
        <v>11081</v>
      </c>
      <c r="F1061" s="129">
        <v>4</v>
      </c>
      <c r="G1061" s="129">
        <v>360</v>
      </c>
      <c r="H1061" s="512">
        <v>163.13</v>
      </c>
      <c r="I1061" s="265" t="s">
        <v>359</v>
      </c>
      <c r="J1061" s="265" t="s">
        <v>102</v>
      </c>
      <c r="K1061" s="265" t="s">
        <v>11082</v>
      </c>
      <c r="L1061" s="348" t="s">
        <v>1205</v>
      </c>
      <c r="M1061" s="265" t="s">
        <v>11083</v>
      </c>
      <c r="N1061" s="347">
        <v>3.0129999999999999</v>
      </c>
      <c r="O1061" s="348" t="s">
        <v>1205</v>
      </c>
      <c r="P1061" s="348">
        <v>12.06</v>
      </c>
      <c r="Q1061" s="348">
        <v>0.8</v>
      </c>
    </row>
    <row r="1062" spans="1:17" ht="15" hidden="1" customHeight="1">
      <c r="A1062" s="163">
        <v>1055</v>
      </c>
      <c r="B1062" s="53" t="s">
        <v>24</v>
      </c>
      <c r="C1062" s="53" t="s">
        <v>11084</v>
      </c>
      <c r="D1062" s="53">
        <v>100028066</v>
      </c>
      <c r="E1062" s="55" t="s">
        <v>11085</v>
      </c>
      <c r="F1062" s="129">
        <v>2</v>
      </c>
      <c r="G1062" s="129">
        <v>180</v>
      </c>
      <c r="H1062" s="512">
        <v>256.57</v>
      </c>
      <c r="I1062" s="265" t="s">
        <v>359</v>
      </c>
      <c r="J1062" s="265" t="s">
        <v>102</v>
      </c>
      <c r="K1062" s="265" t="s">
        <v>11086</v>
      </c>
      <c r="L1062" s="348" t="s">
        <v>1205</v>
      </c>
      <c r="M1062" s="265" t="s">
        <v>11087</v>
      </c>
      <c r="N1062" s="347">
        <v>6.2460000000000004</v>
      </c>
      <c r="O1062" s="348" t="s">
        <v>1205</v>
      </c>
      <c r="P1062" s="348">
        <v>8.4499999999999993</v>
      </c>
      <c r="Q1062" s="348">
        <v>0.8</v>
      </c>
    </row>
    <row r="1063" spans="1:17" ht="15" hidden="1" customHeight="1">
      <c r="A1063" s="163">
        <v>1056</v>
      </c>
      <c r="B1063" s="53" t="s">
        <v>24</v>
      </c>
      <c r="C1063" s="53" t="s">
        <v>11088</v>
      </c>
      <c r="D1063" s="53">
        <v>100028068</v>
      </c>
      <c r="E1063" s="55" t="s">
        <v>11089</v>
      </c>
      <c r="F1063" s="129">
        <v>2</v>
      </c>
      <c r="G1063" s="129">
        <v>150</v>
      </c>
      <c r="H1063" s="512">
        <v>256.57</v>
      </c>
      <c r="I1063" s="265" t="s">
        <v>76</v>
      </c>
      <c r="J1063" s="265" t="s">
        <v>102</v>
      </c>
      <c r="K1063" s="265" t="s">
        <v>11090</v>
      </c>
      <c r="L1063" s="348" t="s">
        <v>1205</v>
      </c>
      <c r="M1063" s="265" t="s">
        <v>11091</v>
      </c>
      <c r="N1063" s="347">
        <v>4.74</v>
      </c>
      <c r="O1063" s="348" t="s">
        <v>1205</v>
      </c>
      <c r="P1063" s="348">
        <v>9.85</v>
      </c>
      <c r="Q1063" s="348">
        <v>0.95</v>
      </c>
    </row>
    <row r="1064" spans="1:17" ht="15" hidden="1" customHeight="1">
      <c r="A1064" s="163">
        <v>1057</v>
      </c>
      <c r="B1064" s="53" t="s">
        <v>24</v>
      </c>
      <c r="C1064" s="53" t="s">
        <v>11092</v>
      </c>
      <c r="D1064" s="53">
        <v>100028069</v>
      </c>
      <c r="E1064" s="55" t="s">
        <v>11093</v>
      </c>
      <c r="F1064" s="129">
        <v>2</v>
      </c>
      <c r="G1064" s="129">
        <v>150</v>
      </c>
      <c r="H1064" s="512">
        <v>256.57</v>
      </c>
      <c r="I1064" s="265" t="s">
        <v>359</v>
      </c>
      <c r="J1064" s="265" t="s">
        <v>102</v>
      </c>
      <c r="K1064" s="265" t="s">
        <v>11094</v>
      </c>
      <c r="L1064" s="348" t="s">
        <v>1205</v>
      </c>
      <c r="M1064" s="265" t="s">
        <v>11095</v>
      </c>
      <c r="N1064" s="347">
        <v>4.7110000000000003</v>
      </c>
      <c r="O1064" s="348" t="s">
        <v>1205</v>
      </c>
      <c r="P1064" s="348">
        <v>9.92</v>
      </c>
      <c r="Q1064" s="348">
        <v>0.95</v>
      </c>
    </row>
    <row r="1065" spans="1:17" ht="15" hidden="1" customHeight="1">
      <c r="A1065" s="163">
        <v>1058</v>
      </c>
      <c r="B1065" s="53" t="s">
        <v>24</v>
      </c>
      <c r="C1065" s="53" t="s">
        <v>11096</v>
      </c>
      <c r="D1065" s="53">
        <v>100028072</v>
      </c>
      <c r="E1065" s="55" t="s">
        <v>11097</v>
      </c>
      <c r="F1065" s="129">
        <v>1</v>
      </c>
      <c r="G1065" s="129">
        <v>75</v>
      </c>
      <c r="H1065" s="512">
        <v>417.68</v>
      </c>
      <c r="I1065" s="265" t="s">
        <v>359</v>
      </c>
      <c r="J1065" s="265" t="s">
        <v>102</v>
      </c>
      <c r="K1065" s="265" t="s">
        <v>11098</v>
      </c>
      <c r="L1065" s="348" t="s">
        <v>1205</v>
      </c>
      <c r="M1065" s="265" t="s">
        <v>11099</v>
      </c>
      <c r="N1065" s="347">
        <v>14.032999999999999</v>
      </c>
      <c r="O1065" s="348" t="s">
        <v>1205</v>
      </c>
      <c r="P1065" s="348">
        <v>9.94</v>
      </c>
      <c r="Q1065" s="348">
        <v>1.1000000000000001</v>
      </c>
    </row>
    <row r="1066" spans="1:17" ht="15" hidden="1" customHeight="1">
      <c r="A1066" s="163">
        <v>1059</v>
      </c>
      <c r="B1066" s="53" t="s">
        <v>25</v>
      </c>
      <c r="C1066" s="53" t="s">
        <v>11100</v>
      </c>
      <c r="D1066" s="53">
        <v>100027973</v>
      </c>
      <c r="E1066" s="55" t="s">
        <v>11101</v>
      </c>
      <c r="F1066" s="129">
        <v>2</v>
      </c>
      <c r="G1066" s="129" t="s">
        <v>1205</v>
      </c>
      <c r="H1066" s="512">
        <v>1182.25</v>
      </c>
      <c r="I1066" s="265" t="s">
        <v>359</v>
      </c>
      <c r="J1066" s="265" t="s">
        <v>102</v>
      </c>
      <c r="K1066" s="265" t="s">
        <v>11102</v>
      </c>
      <c r="L1066" s="348" t="s">
        <v>1205</v>
      </c>
      <c r="M1066" s="265" t="s">
        <v>11103</v>
      </c>
      <c r="N1066" s="347">
        <v>14.025</v>
      </c>
      <c r="O1066" s="348" t="s">
        <v>1205</v>
      </c>
      <c r="P1066" s="348">
        <v>28.05</v>
      </c>
      <c r="Q1066" s="348">
        <v>1.25</v>
      </c>
    </row>
    <row r="1067" spans="1:17" ht="15" hidden="1" customHeight="1">
      <c r="A1067" s="163">
        <v>1060</v>
      </c>
      <c r="B1067" s="53" t="s">
        <v>25</v>
      </c>
      <c r="C1067" s="53" t="s">
        <v>11104</v>
      </c>
      <c r="D1067" s="53">
        <v>100023466</v>
      </c>
      <c r="E1067" s="55" t="s">
        <v>11105</v>
      </c>
      <c r="F1067" s="129">
        <v>2</v>
      </c>
      <c r="G1067" s="129" t="s">
        <v>1205</v>
      </c>
      <c r="H1067" s="512">
        <v>1841.29</v>
      </c>
      <c r="I1067" s="265" t="s">
        <v>359</v>
      </c>
      <c r="J1067" s="265" t="s">
        <v>102</v>
      </c>
      <c r="K1067" s="265" t="s">
        <v>11106</v>
      </c>
      <c r="L1067" s="348" t="s">
        <v>1205</v>
      </c>
      <c r="M1067" s="265" t="s">
        <v>11107</v>
      </c>
      <c r="N1067" s="347">
        <v>20.87</v>
      </c>
      <c r="O1067" s="348" t="s">
        <v>1205</v>
      </c>
      <c r="P1067" s="348">
        <v>42.22</v>
      </c>
      <c r="Q1067" s="348">
        <v>3.96</v>
      </c>
    </row>
    <row r="1068" spans="1:17" ht="15" hidden="1" customHeight="1">
      <c r="A1068" s="163">
        <v>1061</v>
      </c>
      <c r="B1068" s="53" t="s">
        <v>25</v>
      </c>
      <c r="C1068" s="53" t="s">
        <v>11108</v>
      </c>
      <c r="D1068" s="53">
        <v>100027974</v>
      </c>
      <c r="E1068" s="55" t="s">
        <v>11109</v>
      </c>
      <c r="F1068" s="129">
        <v>4</v>
      </c>
      <c r="G1068" s="129" t="s">
        <v>1205</v>
      </c>
      <c r="H1068" s="512">
        <v>1841.29</v>
      </c>
      <c r="I1068" s="265" t="s">
        <v>359</v>
      </c>
      <c r="J1068" s="265" t="s">
        <v>102</v>
      </c>
      <c r="K1068" s="265" t="s">
        <v>11110</v>
      </c>
      <c r="L1068" s="348" t="s">
        <v>1205</v>
      </c>
      <c r="M1068" s="265" t="s">
        <v>11111</v>
      </c>
      <c r="N1068" s="347">
        <v>11.81</v>
      </c>
      <c r="O1068" s="348" t="s">
        <v>1205</v>
      </c>
      <c r="P1068" s="348">
        <v>79.3</v>
      </c>
      <c r="Q1068" s="348">
        <v>3.96</v>
      </c>
    </row>
    <row r="1069" spans="1:17" ht="15" hidden="1" customHeight="1">
      <c r="A1069" s="163">
        <v>1062</v>
      </c>
      <c r="B1069" s="53" t="s">
        <v>25</v>
      </c>
      <c r="C1069" s="53" t="s">
        <v>11112</v>
      </c>
      <c r="D1069" s="53">
        <v>100027976</v>
      </c>
      <c r="E1069" s="55" t="s">
        <v>11113</v>
      </c>
      <c r="F1069" s="129">
        <v>1</v>
      </c>
      <c r="G1069" s="129" t="s">
        <v>1205</v>
      </c>
      <c r="H1069" s="512">
        <v>540.80999999999995</v>
      </c>
      <c r="I1069" s="265" t="s">
        <v>76</v>
      </c>
      <c r="J1069" s="265" t="s">
        <v>102</v>
      </c>
      <c r="K1069" s="265" t="s">
        <v>11114</v>
      </c>
      <c r="L1069" s="348" t="s">
        <v>1205</v>
      </c>
      <c r="M1069" s="265" t="s">
        <v>11115</v>
      </c>
      <c r="N1069" s="347">
        <v>15.010999999999999</v>
      </c>
      <c r="O1069" s="348" t="s">
        <v>1205</v>
      </c>
      <c r="P1069" s="348">
        <v>16.34</v>
      </c>
      <c r="Q1069" s="348">
        <v>1.25</v>
      </c>
    </row>
    <row r="1070" spans="1:17" ht="15" hidden="1" customHeight="1">
      <c r="A1070" s="163">
        <v>1063</v>
      </c>
      <c r="B1070" s="53" t="s">
        <v>25</v>
      </c>
      <c r="C1070" s="53" t="s">
        <v>11116</v>
      </c>
      <c r="D1070" s="53">
        <v>100027977</v>
      </c>
      <c r="E1070" s="55" t="s">
        <v>11117</v>
      </c>
      <c r="F1070" s="129">
        <v>1</v>
      </c>
      <c r="G1070" s="129" t="s">
        <v>1205</v>
      </c>
      <c r="H1070" s="512">
        <v>540.80999999999995</v>
      </c>
      <c r="I1070" s="265" t="s">
        <v>359</v>
      </c>
      <c r="J1070" s="265" t="s">
        <v>102</v>
      </c>
      <c r="K1070" s="265" t="s">
        <v>11118</v>
      </c>
      <c r="L1070" s="348" t="s">
        <v>1205</v>
      </c>
      <c r="M1070" s="265" t="s">
        <v>11119</v>
      </c>
      <c r="N1070" s="347">
        <v>15.93</v>
      </c>
      <c r="O1070" s="348" t="s">
        <v>1205</v>
      </c>
      <c r="P1070" s="348">
        <v>16.03</v>
      </c>
      <c r="Q1070" s="348">
        <v>1.25</v>
      </c>
    </row>
    <row r="1071" spans="1:17" ht="15" hidden="1" customHeight="1">
      <c r="A1071" s="163">
        <v>1064</v>
      </c>
      <c r="B1071" s="53" t="s">
        <v>25</v>
      </c>
      <c r="C1071" s="53" t="s">
        <v>11120</v>
      </c>
      <c r="D1071" s="53">
        <v>100027979</v>
      </c>
      <c r="E1071" s="55" t="s">
        <v>11121</v>
      </c>
      <c r="F1071" s="129">
        <v>2</v>
      </c>
      <c r="G1071" s="129" t="s">
        <v>1205</v>
      </c>
      <c r="H1071" s="512">
        <v>583.04999999999995</v>
      </c>
      <c r="I1071" s="265" t="s">
        <v>76</v>
      </c>
      <c r="J1071" s="265" t="s">
        <v>102</v>
      </c>
      <c r="K1071" s="265" t="s">
        <v>11122</v>
      </c>
      <c r="L1071" s="348" t="s">
        <v>1205</v>
      </c>
      <c r="M1071" s="265" t="s">
        <v>11123</v>
      </c>
      <c r="N1071" s="347">
        <v>20.725999999999999</v>
      </c>
      <c r="O1071" s="348" t="s">
        <v>1205</v>
      </c>
      <c r="P1071" s="348">
        <v>44.16</v>
      </c>
      <c r="Q1071" s="348">
        <v>4.38</v>
      </c>
    </row>
    <row r="1072" spans="1:17" ht="15" hidden="1" customHeight="1">
      <c r="A1072" s="163">
        <v>1065</v>
      </c>
      <c r="B1072" s="53" t="s">
        <v>25</v>
      </c>
      <c r="C1072" s="53" t="s">
        <v>11124</v>
      </c>
      <c r="D1072" s="53">
        <v>100027980</v>
      </c>
      <c r="E1072" s="55" t="s">
        <v>11125</v>
      </c>
      <c r="F1072" s="129">
        <v>2</v>
      </c>
      <c r="G1072" s="129" t="s">
        <v>1205</v>
      </c>
      <c r="H1072" s="512">
        <v>583.04999999999995</v>
      </c>
      <c r="I1072" s="265" t="s">
        <v>359</v>
      </c>
      <c r="J1072" s="265" t="s">
        <v>102</v>
      </c>
      <c r="K1072" s="265" t="s">
        <v>11126</v>
      </c>
      <c r="L1072" s="348" t="s">
        <v>1205</v>
      </c>
      <c r="M1072" s="265" t="s">
        <v>11127</v>
      </c>
      <c r="N1072" s="347">
        <v>20.504000000000001</v>
      </c>
      <c r="O1072" s="348" t="s">
        <v>1205</v>
      </c>
      <c r="P1072" s="348">
        <v>42.44</v>
      </c>
      <c r="Q1072" s="348">
        <v>3.96</v>
      </c>
    </row>
    <row r="1073" spans="1:17" ht="15" hidden="1" customHeight="1">
      <c r="A1073" s="163">
        <v>1066</v>
      </c>
      <c r="B1073" s="53" t="s">
        <v>25</v>
      </c>
      <c r="C1073" s="53" t="s">
        <v>11128</v>
      </c>
      <c r="D1073" s="53">
        <v>100027983</v>
      </c>
      <c r="E1073" s="55" t="s">
        <v>11129</v>
      </c>
      <c r="F1073" s="129">
        <v>1</v>
      </c>
      <c r="G1073" s="129" t="s">
        <v>1205</v>
      </c>
      <c r="H1073" s="512">
        <v>540.80999999999995</v>
      </c>
      <c r="I1073" s="265" t="s">
        <v>359</v>
      </c>
      <c r="J1073" s="265" t="s">
        <v>102</v>
      </c>
      <c r="K1073" s="265" t="s">
        <v>11130</v>
      </c>
      <c r="L1073" s="348" t="s">
        <v>1205</v>
      </c>
      <c r="M1073" s="265" t="s">
        <v>11131</v>
      </c>
      <c r="N1073" s="347">
        <v>20.381</v>
      </c>
      <c r="O1073" s="348" t="s">
        <v>1205</v>
      </c>
      <c r="P1073" s="348">
        <v>14.76</v>
      </c>
      <c r="Q1073" s="348">
        <v>1.25</v>
      </c>
    </row>
    <row r="1074" spans="1:17" ht="15" hidden="1" customHeight="1">
      <c r="A1074" s="163">
        <v>1067</v>
      </c>
      <c r="B1074" s="53" t="s">
        <v>25</v>
      </c>
      <c r="C1074" s="53" t="s">
        <v>11132</v>
      </c>
      <c r="D1074" s="53">
        <v>100027986</v>
      </c>
      <c r="E1074" s="55" t="s">
        <v>11133</v>
      </c>
      <c r="F1074" s="129">
        <v>2</v>
      </c>
      <c r="G1074" s="129" t="s">
        <v>1205</v>
      </c>
      <c r="H1074" s="512">
        <v>583.04999999999995</v>
      </c>
      <c r="I1074" s="265" t="s">
        <v>359</v>
      </c>
      <c r="J1074" s="265" t="s">
        <v>102</v>
      </c>
      <c r="K1074" s="265" t="s">
        <v>11134</v>
      </c>
      <c r="L1074" s="348" t="s">
        <v>1205</v>
      </c>
      <c r="M1074" s="265" t="s">
        <v>11135</v>
      </c>
      <c r="N1074" s="347">
        <v>8.0500000000000007</v>
      </c>
      <c r="O1074" s="348" t="s">
        <v>1205</v>
      </c>
      <c r="P1074" s="348">
        <v>22.4</v>
      </c>
      <c r="Q1074" s="348">
        <v>3.96</v>
      </c>
    </row>
    <row r="1075" spans="1:17" ht="15" hidden="1" customHeight="1">
      <c r="A1075" s="163">
        <v>1068</v>
      </c>
      <c r="B1075" s="53" t="s">
        <v>28</v>
      </c>
      <c r="C1075" s="53" t="s">
        <v>11136</v>
      </c>
      <c r="D1075" s="53">
        <v>300006054</v>
      </c>
      <c r="E1075" s="55" t="s">
        <v>11137</v>
      </c>
      <c r="F1075" s="129">
        <v>500</v>
      </c>
      <c r="G1075" s="129" t="s">
        <v>1205</v>
      </c>
      <c r="H1075" s="512">
        <v>3.91</v>
      </c>
      <c r="I1075" s="265" t="s">
        <v>11138</v>
      </c>
      <c r="J1075" s="265" t="s">
        <v>77</v>
      </c>
      <c r="K1075" s="265" t="s">
        <v>360</v>
      </c>
      <c r="L1075" s="348" t="s">
        <v>1205</v>
      </c>
      <c r="M1075" s="265" t="s">
        <v>361</v>
      </c>
      <c r="N1075" s="347">
        <v>3.5000000000000003E-2</v>
      </c>
      <c r="O1075" s="348" t="s">
        <v>1205</v>
      </c>
      <c r="P1075" s="348" t="s">
        <v>1205</v>
      </c>
      <c r="Q1075" s="348" t="s">
        <v>1205</v>
      </c>
    </row>
    <row r="1076" spans="1:17" ht="15" hidden="1" customHeight="1">
      <c r="A1076" s="163">
        <v>1069</v>
      </c>
      <c r="B1076" s="53" t="s">
        <v>28</v>
      </c>
      <c r="C1076" s="53" t="s">
        <v>11139</v>
      </c>
      <c r="D1076" s="53">
        <v>300006053</v>
      </c>
      <c r="E1076" s="55" t="s">
        <v>11140</v>
      </c>
      <c r="F1076" s="129">
        <v>250</v>
      </c>
      <c r="G1076" s="129" t="s">
        <v>1205</v>
      </c>
      <c r="H1076" s="512">
        <v>6.95</v>
      </c>
      <c r="I1076" s="265" t="s">
        <v>11138</v>
      </c>
      <c r="J1076" s="265" t="s">
        <v>77</v>
      </c>
      <c r="K1076" s="265" t="s">
        <v>362</v>
      </c>
      <c r="L1076" s="348" t="s">
        <v>1205</v>
      </c>
      <c r="M1076" s="265" t="s">
        <v>363</v>
      </c>
      <c r="N1076" s="347">
        <v>6.8000000000000005E-2</v>
      </c>
      <c r="O1076" s="348" t="s">
        <v>1205</v>
      </c>
      <c r="P1076" s="348" t="s">
        <v>1205</v>
      </c>
      <c r="Q1076" s="348" t="s">
        <v>1205</v>
      </c>
    </row>
    <row r="1077" spans="1:17" ht="15" hidden="1" customHeight="1">
      <c r="A1077" s="163">
        <v>1070</v>
      </c>
      <c r="B1077" s="53" t="s">
        <v>28</v>
      </c>
      <c r="C1077" s="53" t="s">
        <v>11141</v>
      </c>
      <c r="D1077" s="53">
        <v>300005784</v>
      </c>
      <c r="E1077" s="55" t="s">
        <v>11142</v>
      </c>
      <c r="F1077" s="129">
        <v>100</v>
      </c>
      <c r="G1077" s="129" t="s">
        <v>1205</v>
      </c>
      <c r="H1077" s="512">
        <v>36.36</v>
      </c>
      <c r="I1077" s="265" t="s">
        <v>11138</v>
      </c>
      <c r="J1077" s="265" t="s">
        <v>77</v>
      </c>
      <c r="K1077" s="265">
        <v>0</v>
      </c>
      <c r="L1077" s="348" t="s">
        <v>1205</v>
      </c>
      <c r="M1077" s="265">
        <v>0</v>
      </c>
      <c r="N1077" s="347">
        <v>0.13900000000000001</v>
      </c>
      <c r="O1077" s="348" t="s">
        <v>1205</v>
      </c>
      <c r="P1077" s="348" t="s">
        <v>1205</v>
      </c>
      <c r="Q1077" s="348" t="s">
        <v>1205</v>
      </c>
    </row>
    <row r="1078" spans="1:17" ht="15" hidden="1" customHeight="1">
      <c r="A1078" s="163">
        <v>1071</v>
      </c>
      <c r="B1078" s="53" t="s">
        <v>28</v>
      </c>
      <c r="C1078" s="53" t="s">
        <v>11143</v>
      </c>
      <c r="D1078" s="53">
        <v>300005789</v>
      </c>
      <c r="E1078" s="55" t="s">
        <v>11144</v>
      </c>
      <c r="F1078" s="129">
        <v>100</v>
      </c>
      <c r="G1078" s="129" t="s">
        <v>1205</v>
      </c>
      <c r="H1078" s="512">
        <v>55.81</v>
      </c>
      <c r="I1078" s="265" t="s">
        <v>11138</v>
      </c>
      <c r="J1078" s="265" t="s">
        <v>77</v>
      </c>
      <c r="K1078" s="265" t="s">
        <v>364</v>
      </c>
      <c r="L1078" s="348" t="s">
        <v>1205</v>
      </c>
      <c r="M1078" s="265">
        <v>0</v>
      </c>
      <c r="N1078" s="347">
        <v>0.19400000000000001</v>
      </c>
      <c r="O1078" s="348" t="s">
        <v>1205</v>
      </c>
      <c r="P1078" s="348" t="s">
        <v>1205</v>
      </c>
      <c r="Q1078" s="348" t="s">
        <v>1205</v>
      </c>
    </row>
    <row r="1079" spans="1:17" ht="15" hidden="1" customHeight="1">
      <c r="A1079" s="163">
        <v>1072</v>
      </c>
      <c r="B1079" s="53" t="s">
        <v>28</v>
      </c>
      <c r="C1079" s="53" t="s">
        <v>11145</v>
      </c>
      <c r="D1079" s="53">
        <v>300005790</v>
      </c>
      <c r="E1079" s="55" t="s">
        <v>11146</v>
      </c>
      <c r="F1079" s="129">
        <v>100</v>
      </c>
      <c r="G1079" s="129" t="s">
        <v>1205</v>
      </c>
      <c r="H1079" s="512">
        <v>72.69</v>
      </c>
      <c r="I1079" s="265" t="s">
        <v>11138</v>
      </c>
      <c r="J1079" s="265" t="s">
        <v>77</v>
      </c>
      <c r="K1079" s="265" t="s">
        <v>365</v>
      </c>
      <c r="L1079" s="348" t="s">
        <v>1205</v>
      </c>
      <c r="M1079" s="265">
        <v>0</v>
      </c>
      <c r="N1079" s="347">
        <v>0.30599999999999999</v>
      </c>
      <c r="O1079" s="348" t="s">
        <v>1205</v>
      </c>
      <c r="P1079" s="348" t="s">
        <v>1205</v>
      </c>
      <c r="Q1079" s="348" t="s">
        <v>1205</v>
      </c>
    </row>
    <row r="1080" spans="1:17" ht="15" hidden="1" customHeight="1">
      <c r="A1080" s="163">
        <v>1073</v>
      </c>
      <c r="B1080" s="53" t="s">
        <v>28</v>
      </c>
      <c r="C1080" s="53" t="s">
        <v>11147</v>
      </c>
      <c r="D1080" s="53">
        <v>300005783</v>
      </c>
      <c r="E1080" s="55" t="s">
        <v>11148</v>
      </c>
      <c r="F1080" s="129">
        <v>50</v>
      </c>
      <c r="G1080" s="129" t="s">
        <v>1205</v>
      </c>
      <c r="H1080" s="512">
        <v>121.28</v>
      </c>
      <c r="I1080" s="265" t="s">
        <v>11138</v>
      </c>
      <c r="J1080" s="265" t="s">
        <v>77</v>
      </c>
      <c r="K1080" s="265" t="s">
        <v>366</v>
      </c>
      <c r="L1080" s="348" t="s">
        <v>1205</v>
      </c>
      <c r="M1080" s="265">
        <v>0</v>
      </c>
      <c r="N1080" s="347">
        <v>0.69199999999999995</v>
      </c>
      <c r="O1080" s="348" t="s">
        <v>1205</v>
      </c>
      <c r="P1080" s="348" t="s">
        <v>1205</v>
      </c>
      <c r="Q1080" s="348" t="s">
        <v>1205</v>
      </c>
    </row>
    <row r="1081" spans="1:17" ht="15" hidden="1" customHeight="1">
      <c r="A1081" s="163">
        <v>1074</v>
      </c>
      <c r="B1081" s="53" t="s">
        <v>28</v>
      </c>
      <c r="C1081" s="53" t="s">
        <v>11149</v>
      </c>
      <c r="D1081" s="53">
        <v>300005736</v>
      </c>
      <c r="E1081" s="55" t="s">
        <v>11150</v>
      </c>
      <c r="F1081" s="129">
        <v>320</v>
      </c>
      <c r="G1081" s="129" t="s">
        <v>1205</v>
      </c>
      <c r="H1081" s="512">
        <v>7.15</v>
      </c>
      <c r="I1081" s="265" t="s">
        <v>11138</v>
      </c>
      <c r="J1081" s="265" t="s">
        <v>77</v>
      </c>
      <c r="K1081" s="265">
        <v>0</v>
      </c>
      <c r="L1081" s="348" t="s">
        <v>1205</v>
      </c>
      <c r="M1081" s="265">
        <v>0</v>
      </c>
      <c r="N1081" s="347">
        <v>7.0999999999999994E-2</v>
      </c>
      <c r="O1081" s="348" t="s">
        <v>1205</v>
      </c>
      <c r="P1081" s="348" t="s">
        <v>1205</v>
      </c>
      <c r="Q1081" s="348" t="s">
        <v>1205</v>
      </c>
    </row>
    <row r="1082" spans="1:17" ht="15" hidden="1" customHeight="1">
      <c r="A1082" s="163">
        <v>1075</v>
      </c>
      <c r="B1082" s="53" t="s">
        <v>28</v>
      </c>
      <c r="C1082" s="53" t="s">
        <v>11151</v>
      </c>
      <c r="D1082" s="53">
        <v>300005734</v>
      </c>
      <c r="E1082" s="55" t="s">
        <v>11152</v>
      </c>
      <c r="F1082" s="129">
        <v>100</v>
      </c>
      <c r="G1082" s="129" t="s">
        <v>1205</v>
      </c>
      <c r="H1082" s="512">
        <v>7.54</v>
      </c>
      <c r="I1082" s="265" t="s">
        <v>11138</v>
      </c>
      <c r="J1082" s="265" t="s">
        <v>77</v>
      </c>
      <c r="K1082" s="265" t="s">
        <v>367</v>
      </c>
      <c r="L1082" s="348" t="s">
        <v>1205</v>
      </c>
      <c r="M1082" s="265" t="s">
        <v>368</v>
      </c>
      <c r="N1082" s="347">
        <v>7.0999999999999994E-2</v>
      </c>
      <c r="O1082" s="348" t="s">
        <v>1205</v>
      </c>
      <c r="P1082" s="348" t="s">
        <v>1205</v>
      </c>
      <c r="Q1082" s="348" t="s">
        <v>1205</v>
      </c>
    </row>
    <row r="1083" spans="1:17" ht="15" hidden="1" customHeight="1">
      <c r="A1083" s="163">
        <v>1076</v>
      </c>
      <c r="B1083" s="53" t="s">
        <v>28</v>
      </c>
      <c r="C1083" s="53" t="s">
        <v>11153</v>
      </c>
      <c r="D1083" s="53">
        <v>300005822</v>
      </c>
      <c r="E1083" s="55" t="s">
        <v>11154</v>
      </c>
      <c r="F1083" s="129">
        <v>100</v>
      </c>
      <c r="G1083" s="129" t="s">
        <v>1205</v>
      </c>
      <c r="H1083" s="512">
        <v>26.05</v>
      </c>
      <c r="I1083" s="265" t="s">
        <v>11138</v>
      </c>
      <c r="J1083" s="265" t="s">
        <v>77</v>
      </c>
      <c r="K1083" s="265">
        <v>0</v>
      </c>
      <c r="L1083" s="348" t="s">
        <v>1205</v>
      </c>
      <c r="M1083" s="265">
        <v>0</v>
      </c>
      <c r="N1083" s="347">
        <v>7.0999999999999994E-2</v>
      </c>
      <c r="O1083" s="348" t="s">
        <v>1205</v>
      </c>
      <c r="P1083" s="348" t="s">
        <v>1205</v>
      </c>
      <c r="Q1083" s="348" t="s">
        <v>1205</v>
      </c>
    </row>
    <row r="1084" spans="1:17" ht="15" hidden="1" customHeight="1">
      <c r="A1084" s="163">
        <v>1077</v>
      </c>
      <c r="B1084" s="53" t="s">
        <v>28</v>
      </c>
      <c r="C1084" s="53" t="s">
        <v>11155</v>
      </c>
      <c r="D1084" s="53">
        <v>300005806</v>
      </c>
      <c r="E1084" s="55" t="s">
        <v>11156</v>
      </c>
      <c r="F1084" s="129">
        <v>100</v>
      </c>
      <c r="G1084" s="129" t="s">
        <v>1205</v>
      </c>
      <c r="H1084" s="512">
        <v>84.91</v>
      </c>
      <c r="I1084" s="265" t="s">
        <v>11138</v>
      </c>
      <c r="J1084" s="265" t="s">
        <v>77</v>
      </c>
      <c r="K1084" s="265">
        <v>0</v>
      </c>
      <c r="L1084" s="348" t="s">
        <v>1205</v>
      </c>
      <c r="M1084" s="265">
        <v>0</v>
      </c>
      <c r="N1084" s="347">
        <v>9.9000000000000005E-2</v>
      </c>
      <c r="O1084" s="348" t="s">
        <v>1205</v>
      </c>
      <c r="P1084" s="348" t="s">
        <v>1205</v>
      </c>
      <c r="Q1084" s="348" t="s">
        <v>1205</v>
      </c>
    </row>
    <row r="1085" spans="1:17" ht="15" hidden="1" customHeight="1">
      <c r="A1085" s="163">
        <v>1078</v>
      </c>
      <c r="B1085" s="53" t="s">
        <v>28</v>
      </c>
      <c r="C1085" s="53" t="s">
        <v>11157</v>
      </c>
      <c r="D1085" s="53">
        <v>300005807</v>
      </c>
      <c r="E1085" s="55" t="s">
        <v>11158</v>
      </c>
      <c r="F1085" s="129">
        <v>100</v>
      </c>
      <c r="G1085" s="129" t="s">
        <v>1205</v>
      </c>
      <c r="H1085" s="512">
        <v>39.409999999999997</v>
      </c>
      <c r="I1085" s="265" t="s">
        <v>11138</v>
      </c>
      <c r="J1085" s="265" t="s">
        <v>77</v>
      </c>
      <c r="K1085" s="265">
        <v>0</v>
      </c>
      <c r="L1085" s="348" t="s">
        <v>1205</v>
      </c>
      <c r="M1085" s="265">
        <v>0</v>
      </c>
      <c r="N1085" s="347">
        <v>0.11899999999999999</v>
      </c>
      <c r="O1085" s="348" t="s">
        <v>1205</v>
      </c>
      <c r="P1085" s="348" t="s">
        <v>1205</v>
      </c>
      <c r="Q1085" s="348" t="s">
        <v>1205</v>
      </c>
    </row>
    <row r="1086" spans="1:17" ht="15" hidden="1" customHeight="1">
      <c r="A1086" s="163">
        <v>1079</v>
      </c>
      <c r="B1086" s="53" t="s">
        <v>28</v>
      </c>
      <c r="C1086" s="53" t="s">
        <v>11159</v>
      </c>
      <c r="D1086" s="53">
        <v>300005814</v>
      </c>
      <c r="E1086" s="55" t="s">
        <v>11160</v>
      </c>
      <c r="F1086" s="129">
        <v>100</v>
      </c>
      <c r="G1086" s="129" t="s">
        <v>1205</v>
      </c>
      <c r="H1086" s="512">
        <v>171.49</v>
      </c>
      <c r="I1086" s="265" t="s">
        <v>11138</v>
      </c>
      <c r="J1086" s="265" t="s">
        <v>77</v>
      </c>
      <c r="K1086" s="265">
        <v>0</v>
      </c>
      <c r="L1086" s="348" t="s">
        <v>1205</v>
      </c>
      <c r="M1086" s="265">
        <v>0</v>
      </c>
      <c r="N1086" s="347">
        <v>0.16800000000000001</v>
      </c>
      <c r="O1086" s="348" t="s">
        <v>1205</v>
      </c>
      <c r="P1086" s="348" t="s">
        <v>1205</v>
      </c>
      <c r="Q1086" s="348" t="s">
        <v>1205</v>
      </c>
    </row>
    <row r="1087" spans="1:17" ht="15" hidden="1" customHeight="1">
      <c r="A1087" s="163">
        <v>1080</v>
      </c>
      <c r="B1087" s="53" t="s">
        <v>28</v>
      </c>
      <c r="C1087" s="53" t="s">
        <v>11161</v>
      </c>
      <c r="D1087" s="53">
        <v>300005815</v>
      </c>
      <c r="E1087" s="55" t="s">
        <v>11162</v>
      </c>
      <c r="F1087" s="129">
        <v>100</v>
      </c>
      <c r="G1087" s="129" t="s">
        <v>1205</v>
      </c>
      <c r="H1087" s="512">
        <v>174.54</v>
      </c>
      <c r="I1087" s="265" t="s">
        <v>11138</v>
      </c>
      <c r="J1087" s="265" t="s">
        <v>77</v>
      </c>
      <c r="K1087" s="265">
        <v>0</v>
      </c>
      <c r="L1087" s="348" t="s">
        <v>1205</v>
      </c>
      <c r="M1087" s="265">
        <v>0</v>
      </c>
      <c r="N1087" s="347">
        <v>0.24299999999999999</v>
      </c>
      <c r="O1087" s="348" t="s">
        <v>1205</v>
      </c>
      <c r="P1087" s="348" t="s">
        <v>1205</v>
      </c>
      <c r="Q1087" s="348" t="s">
        <v>1205</v>
      </c>
    </row>
    <row r="1088" spans="1:17" ht="15" hidden="1" customHeight="1">
      <c r="A1088" s="163">
        <v>1082</v>
      </c>
      <c r="B1088" s="53" t="s">
        <v>28</v>
      </c>
      <c r="C1088" s="53" t="s">
        <v>11163</v>
      </c>
      <c r="D1088" s="53">
        <v>300005808</v>
      </c>
      <c r="E1088" s="55" t="s">
        <v>11164</v>
      </c>
      <c r="F1088" s="129">
        <v>50</v>
      </c>
      <c r="G1088" s="129" t="s">
        <v>1205</v>
      </c>
      <c r="H1088" s="512">
        <v>188.92</v>
      </c>
      <c r="I1088" s="265" t="s">
        <v>11138</v>
      </c>
      <c r="J1088" s="265" t="s">
        <v>77</v>
      </c>
      <c r="K1088" s="265">
        <v>0</v>
      </c>
      <c r="L1088" s="348" t="s">
        <v>1205</v>
      </c>
      <c r="M1088" s="265">
        <v>0</v>
      </c>
      <c r="N1088" s="347">
        <v>0.47199999999999998</v>
      </c>
      <c r="O1088" s="348" t="s">
        <v>1205</v>
      </c>
      <c r="P1088" s="348" t="s">
        <v>1205</v>
      </c>
      <c r="Q1088" s="348" t="s">
        <v>1205</v>
      </c>
    </row>
    <row r="1089" spans="1:17" ht="15" hidden="1" customHeight="1">
      <c r="A1089" s="163">
        <v>1083</v>
      </c>
      <c r="B1089" s="53" t="s">
        <v>28</v>
      </c>
      <c r="C1089" s="53" t="s">
        <v>11165</v>
      </c>
      <c r="D1089" s="53">
        <v>300006060</v>
      </c>
      <c r="E1089" s="55" t="s">
        <v>11166</v>
      </c>
      <c r="F1089" s="129">
        <v>500</v>
      </c>
      <c r="G1089" s="129" t="s">
        <v>1205</v>
      </c>
      <c r="H1089" s="512">
        <v>2.89</v>
      </c>
      <c r="I1089" s="265" t="s">
        <v>11138</v>
      </c>
      <c r="J1089" s="265" t="s">
        <v>77</v>
      </c>
      <c r="K1089" s="265" t="s">
        <v>370</v>
      </c>
      <c r="L1089" s="348" t="s">
        <v>1205</v>
      </c>
      <c r="M1089" s="265" t="s">
        <v>371</v>
      </c>
      <c r="N1089" s="347">
        <v>2.9000000000000001E-2</v>
      </c>
      <c r="O1089" s="348" t="s">
        <v>1205</v>
      </c>
      <c r="P1089" s="348" t="s">
        <v>1205</v>
      </c>
      <c r="Q1089" s="348" t="s">
        <v>1205</v>
      </c>
    </row>
    <row r="1090" spans="1:17" ht="15" hidden="1" customHeight="1">
      <c r="A1090" s="163">
        <v>1084</v>
      </c>
      <c r="B1090" s="53" t="s">
        <v>28</v>
      </c>
      <c r="C1090" s="53" t="s">
        <v>11167</v>
      </c>
      <c r="D1090" s="53">
        <v>300006059</v>
      </c>
      <c r="E1090" s="55" t="s">
        <v>11168</v>
      </c>
      <c r="F1090" s="129">
        <v>250</v>
      </c>
      <c r="G1090" s="129" t="s">
        <v>1205</v>
      </c>
      <c r="H1090" s="512">
        <v>4.75</v>
      </c>
      <c r="I1090" s="265" t="s">
        <v>11138</v>
      </c>
      <c r="J1090" s="265" t="s">
        <v>77</v>
      </c>
      <c r="K1090" s="265" t="s">
        <v>372</v>
      </c>
      <c r="L1090" s="348" t="s">
        <v>1205</v>
      </c>
      <c r="M1090" s="265" t="s">
        <v>373</v>
      </c>
      <c r="N1090" s="347">
        <v>5.7000000000000002E-2</v>
      </c>
      <c r="O1090" s="348" t="s">
        <v>1205</v>
      </c>
      <c r="P1090" s="348" t="s">
        <v>1205</v>
      </c>
      <c r="Q1090" s="348" t="s">
        <v>1205</v>
      </c>
    </row>
    <row r="1091" spans="1:17" ht="15" hidden="1" customHeight="1">
      <c r="A1091" s="163">
        <v>1085</v>
      </c>
      <c r="B1091" s="53" t="s">
        <v>28</v>
      </c>
      <c r="C1091" s="53" t="s">
        <v>11169</v>
      </c>
      <c r="D1091" s="53">
        <v>300005793</v>
      </c>
      <c r="E1091" s="55" t="s">
        <v>11170</v>
      </c>
      <c r="F1091" s="129">
        <v>100</v>
      </c>
      <c r="G1091" s="129" t="s">
        <v>1205</v>
      </c>
      <c r="H1091" s="512">
        <v>13.86</v>
      </c>
      <c r="I1091" s="265" t="s">
        <v>11138</v>
      </c>
      <c r="J1091" s="265" t="s">
        <v>77</v>
      </c>
      <c r="K1091" s="265" t="s">
        <v>374</v>
      </c>
      <c r="L1091" s="348" t="s">
        <v>1205</v>
      </c>
      <c r="M1091" s="265">
        <v>0</v>
      </c>
      <c r="N1091" s="347">
        <v>0.108</v>
      </c>
      <c r="O1091" s="348" t="s">
        <v>1205</v>
      </c>
      <c r="P1091" s="348" t="s">
        <v>1205</v>
      </c>
      <c r="Q1091" s="348" t="s">
        <v>1205</v>
      </c>
    </row>
    <row r="1092" spans="1:17" ht="15" hidden="1" customHeight="1">
      <c r="A1092" s="163">
        <v>1086</v>
      </c>
      <c r="B1092" s="53" t="s">
        <v>28</v>
      </c>
      <c r="C1092" s="53" t="s">
        <v>11171</v>
      </c>
      <c r="D1092" s="53">
        <v>300005800</v>
      </c>
      <c r="E1092" s="55" t="s">
        <v>11172</v>
      </c>
      <c r="F1092" s="129">
        <v>100</v>
      </c>
      <c r="G1092" s="129" t="s">
        <v>1205</v>
      </c>
      <c r="H1092" s="512">
        <v>27.65</v>
      </c>
      <c r="I1092" s="265" t="s">
        <v>11138</v>
      </c>
      <c r="J1092" s="265" t="s">
        <v>77</v>
      </c>
      <c r="K1092" s="265" t="s">
        <v>375</v>
      </c>
      <c r="L1092" s="348" t="s">
        <v>1205</v>
      </c>
      <c r="M1092" s="265">
        <v>0</v>
      </c>
      <c r="N1092" s="347">
        <v>0.17399999999999999</v>
      </c>
      <c r="O1092" s="348" t="s">
        <v>1205</v>
      </c>
      <c r="P1092" s="348" t="s">
        <v>1205</v>
      </c>
      <c r="Q1092" s="348" t="s">
        <v>1205</v>
      </c>
    </row>
    <row r="1093" spans="1:17" ht="15" hidden="1" customHeight="1">
      <c r="A1093" s="163">
        <v>1087</v>
      </c>
      <c r="B1093" s="53" t="s">
        <v>28</v>
      </c>
      <c r="C1093" s="53" t="s">
        <v>11173</v>
      </c>
      <c r="D1093" s="53">
        <v>300005801</v>
      </c>
      <c r="E1093" s="55" t="s">
        <v>11174</v>
      </c>
      <c r="F1093" s="129">
        <v>100</v>
      </c>
      <c r="G1093" s="129" t="s">
        <v>1205</v>
      </c>
      <c r="H1093" s="512">
        <v>49.86</v>
      </c>
      <c r="I1093" s="265" t="s">
        <v>11138</v>
      </c>
      <c r="J1093" s="265" t="s">
        <v>77</v>
      </c>
      <c r="K1093" s="265">
        <v>0</v>
      </c>
      <c r="L1093" s="348" t="s">
        <v>1205</v>
      </c>
      <c r="M1093" s="265">
        <v>0</v>
      </c>
      <c r="N1093" s="347">
        <v>0.27600000000000002</v>
      </c>
      <c r="O1093" s="348" t="s">
        <v>1205</v>
      </c>
      <c r="P1093" s="348" t="s">
        <v>1205</v>
      </c>
      <c r="Q1093" s="348" t="s">
        <v>1205</v>
      </c>
    </row>
    <row r="1094" spans="1:17" ht="15" hidden="1" customHeight="1">
      <c r="A1094" s="163">
        <v>1088</v>
      </c>
      <c r="B1094" s="53" t="s">
        <v>28</v>
      </c>
      <c r="C1094" s="53" t="s">
        <v>11175</v>
      </c>
      <c r="D1094" s="53">
        <v>300005794</v>
      </c>
      <c r="E1094" s="55" t="s">
        <v>11176</v>
      </c>
      <c r="F1094" s="129">
        <v>50</v>
      </c>
      <c r="G1094" s="129" t="s">
        <v>1205</v>
      </c>
      <c r="H1094" s="512">
        <v>95.66</v>
      </c>
      <c r="I1094" s="265" t="s">
        <v>11138</v>
      </c>
      <c r="J1094" s="265" t="s">
        <v>77</v>
      </c>
      <c r="K1094" s="265">
        <v>0</v>
      </c>
      <c r="L1094" s="348" t="s">
        <v>1205</v>
      </c>
      <c r="M1094" s="265">
        <v>0</v>
      </c>
      <c r="N1094" s="347">
        <v>0.6</v>
      </c>
      <c r="O1094" s="348" t="s">
        <v>1205</v>
      </c>
      <c r="P1094" s="348" t="s">
        <v>1205</v>
      </c>
      <c r="Q1094" s="348" t="s">
        <v>1205</v>
      </c>
    </row>
    <row r="1095" spans="1:17" ht="15" hidden="1" customHeight="1">
      <c r="A1095" s="163">
        <v>1089</v>
      </c>
      <c r="B1095" s="53" t="s">
        <v>28</v>
      </c>
      <c r="C1095" s="53" t="s">
        <v>11177</v>
      </c>
      <c r="D1095" s="53">
        <v>300005727</v>
      </c>
      <c r="E1095" s="55" t="s">
        <v>11178</v>
      </c>
      <c r="F1095" s="129">
        <v>500</v>
      </c>
      <c r="G1095" s="129" t="s">
        <v>1205</v>
      </c>
      <c r="H1095" s="512">
        <v>3.6</v>
      </c>
      <c r="I1095" s="265" t="s">
        <v>11138</v>
      </c>
      <c r="J1095" s="265" t="s">
        <v>77</v>
      </c>
      <c r="K1095" s="265">
        <v>0</v>
      </c>
      <c r="L1095" s="348" t="s">
        <v>1205</v>
      </c>
      <c r="M1095" s="265">
        <v>0</v>
      </c>
      <c r="N1095" s="347">
        <v>2.9000000000000001E-2</v>
      </c>
      <c r="O1095" s="348" t="s">
        <v>1205</v>
      </c>
      <c r="P1095" s="348" t="s">
        <v>1205</v>
      </c>
      <c r="Q1095" s="348" t="s">
        <v>1205</v>
      </c>
    </row>
    <row r="1096" spans="1:17" ht="15" hidden="1" customHeight="1">
      <c r="A1096" s="163">
        <v>1090</v>
      </c>
      <c r="B1096" s="53" t="s">
        <v>28</v>
      </c>
      <c r="C1096" s="53" t="s">
        <v>11179</v>
      </c>
      <c r="D1096" s="53">
        <v>300005724</v>
      </c>
      <c r="E1096" s="55" t="s">
        <v>11180</v>
      </c>
      <c r="F1096" s="129">
        <v>250</v>
      </c>
      <c r="G1096" s="129" t="s">
        <v>1205</v>
      </c>
      <c r="H1096" s="512">
        <v>6.28</v>
      </c>
      <c r="I1096" s="265" t="s">
        <v>11138</v>
      </c>
      <c r="J1096" s="265" t="s">
        <v>77</v>
      </c>
      <c r="K1096" s="265">
        <v>0</v>
      </c>
      <c r="L1096" s="348" t="s">
        <v>1205</v>
      </c>
      <c r="M1096" s="265">
        <v>0</v>
      </c>
      <c r="N1096" s="347">
        <v>5.7000000000000002E-2</v>
      </c>
      <c r="O1096" s="348" t="s">
        <v>1205</v>
      </c>
      <c r="P1096" s="348" t="s">
        <v>1205</v>
      </c>
      <c r="Q1096" s="348" t="s">
        <v>1205</v>
      </c>
    </row>
    <row r="1097" spans="1:17" ht="15" hidden="1" customHeight="1">
      <c r="A1097" s="163">
        <v>1091</v>
      </c>
      <c r="B1097" s="53" t="s">
        <v>28</v>
      </c>
      <c r="C1097" s="53" t="s">
        <v>11181</v>
      </c>
      <c r="D1097" s="53">
        <v>300005719</v>
      </c>
      <c r="E1097" s="55" t="s">
        <v>11182</v>
      </c>
      <c r="F1097" s="129">
        <v>100</v>
      </c>
      <c r="G1097" s="129" t="s">
        <v>1205</v>
      </c>
      <c r="H1097" s="512">
        <v>25.75</v>
      </c>
      <c r="I1097" s="265" t="s">
        <v>11138</v>
      </c>
      <c r="J1097" s="265" t="s">
        <v>77</v>
      </c>
      <c r="K1097" s="265">
        <v>0</v>
      </c>
      <c r="L1097" s="348" t="s">
        <v>1205</v>
      </c>
      <c r="M1097" s="265">
        <v>0</v>
      </c>
      <c r="N1097" s="347">
        <v>3.6999999999999998E-2</v>
      </c>
      <c r="O1097" s="348" t="s">
        <v>1205</v>
      </c>
      <c r="P1097" s="348" t="s">
        <v>1205</v>
      </c>
      <c r="Q1097" s="348" t="s">
        <v>1205</v>
      </c>
    </row>
    <row r="1098" spans="1:17" ht="15" hidden="1" customHeight="1">
      <c r="A1098" s="163">
        <v>1092</v>
      </c>
      <c r="B1098" s="53" t="s">
        <v>28</v>
      </c>
      <c r="C1098" s="53" t="s">
        <v>11183</v>
      </c>
      <c r="D1098" s="53">
        <v>300006062</v>
      </c>
      <c r="E1098" s="55" t="s">
        <v>11184</v>
      </c>
      <c r="F1098" s="129">
        <v>500</v>
      </c>
      <c r="G1098" s="129" t="s">
        <v>1205</v>
      </c>
      <c r="H1098" s="512">
        <v>3.85</v>
      </c>
      <c r="I1098" s="265" t="s">
        <v>11138</v>
      </c>
      <c r="J1098" s="265" t="s">
        <v>77</v>
      </c>
      <c r="K1098" s="265" t="s">
        <v>376</v>
      </c>
      <c r="L1098" s="348" t="s">
        <v>1205</v>
      </c>
      <c r="M1098" s="265" t="s">
        <v>377</v>
      </c>
      <c r="N1098" s="347">
        <v>2.4E-2</v>
      </c>
      <c r="O1098" s="348" t="s">
        <v>1205</v>
      </c>
      <c r="P1098" s="348" t="s">
        <v>1205</v>
      </c>
      <c r="Q1098" s="348" t="s">
        <v>1205</v>
      </c>
    </row>
    <row r="1099" spans="1:17" ht="15" hidden="1" customHeight="1">
      <c r="A1099" s="163">
        <v>1093</v>
      </c>
      <c r="B1099" s="53" t="s">
        <v>28</v>
      </c>
      <c r="C1099" s="53" t="s">
        <v>11185</v>
      </c>
      <c r="D1099" s="53">
        <v>300006061</v>
      </c>
      <c r="E1099" s="55" t="s">
        <v>11186</v>
      </c>
      <c r="F1099" s="129">
        <v>250</v>
      </c>
      <c r="G1099" s="129" t="s">
        <v>1205</v>
      </c>
      <c r="H1099" s="512">
        <v>6.7</v>
      </c>
      <c r="I1099" s="265" t="s">
        <v>11138</v>
      </c>
      <c r="J1099" s="265" t="s">
        <v>77</v>
      </c>
      <c r="K1099" s="265" t="s">
        <v>378</v>
      </c>
      <c r="L1099" s="348" t="s">
        <v>1205</v>
      </c>
      <c r="M1099" s="265" t="s">
        <v>379</v>
      </c>
      <c r="N1099" s="347">
        <v>4.9000000000000002E-2</v>
      </c>
      <c r="O1099" s="348" t="s">
        <v>1205</v>
      </c>
      <c r="P1099" s="348" t="s">
        <v>1205</v>
      </c>
      <c r="Q1099" s="348" t="s">
        <v>1205</v>
      </c>
    </row>
    <row r="1100" spans="1:17" ht="15" hidden="1" customHeight="1">
      <c r="A1100" s="163">
        <v>1094</v>
      </c>
      <c r="B1100" s="53" t="s">
        <v>28</v>
      </c>
      <c r="C1100" s="53" t="s">
        <v>11187</v>
      </c>
      <c r="D1100" s="53">
        <v>300005791</v>
      </c>
      <c r="E1100" s="55" t="s">
        <v>11188</v>
      </c>
      <c r="F1100" s="129">
        <v>100</v>
      </c>
      <c r="G1100" s="129" t="s">
        <v>1205</v>
      </c>
      <c r="H1100" s="512">
        <v>16.100000000000001</v>
      </c>
      <c r="I1100" s="265" t="s">
        <v>11138</v>
      </c>
      <c r="J1100" s="265" t="s">
        <v>77</v>
      </c>
      <c r="K1100" s="265" t="s">
        <v>380</v>
      </c>
      <c r="L1100" s="348" t="s">
        <v>1205</v>
      </c>
      <c r="M1100" s="265">
        <v>0</v>
      </c>
      <c r="N1100" s="347">
        <v>7.9000000000000001E-2</v>
      </c>
      <c r="O1100" s="348" t="s">
        <v>1205</v>
      </c>
      <c r="P1100" s="348" t="s">
        <v>1205</v>
      </c>
      <c r="Q1100" s="348" t="s">
        <v>1205</v>
      </c>
    </row>
    <row r="1101" spans="1:17" ht="15" hidden="1" customHeight="1">
      <c r="A1101" s="163">
        <v>1095</v>
      </c>
      <c r="B1101" s="53" t="s">
        <v>28</v>
      </c>
      <c r="C1101" s="53" t="s">
        <v>11189</v>
      </c>
      <c r="D1101" s="53">
        <v>300005804</v>
      </c>
      <c r="E1101" s="55" t="s">
        <v>11190</v>
      </c>
      <c r="F1101" s="129">
        <v>100</v>
      </c>
      <c r="G1101" s="129" t="s">
        <v>1205</v>
      </c>
      <c r="H1101" s="512">
        <v>36.020000000000003</v>
      </c>
      <c r="I1101" s="265" t="s">
        <v>11138</v>
      </c>
      <c r="J1101" s="265" t="s">
        <v>77</v>
      </c>
      <c r="K1101" s="265" t="s">
        <v>381</v>
      </c>
      <c r="L1101" s="348" t="s">
        <v>1205</v>
      </c>
      <c r="M1101" s="265">
        <v>0</v>
      </c>
      <c r="N1101" s="347">
        <v>0.13</v>
      </c>
      <c r="O1101" s="348" t="s">
        <v>1205</v>
      </c>
      <c r="P1101" s="348" t="s">
        <v>1205</v>
      </c>
      <c r="Q1101" s="348" t="s">
        <v>1205</v>
      </c>
    </row>
    <row r="1102" spans="1:17" ht="15" hidden="1" customHeight="1">
      <c r="A1102" s="163">
        <v>1096</v>
      </c>
      <c r="B1102" s="53" t="s">
        <v>28</v>
      </c>
      <c r="C1102" s="53" t="s">
        <v>11191</v>
      </c>
      <c r="D1102" s="53">
        <v>300005799</v>
      </c>
      <c r="E1102" s="55" t="s">
        <v>11192</v>
      </c>
      <c r="F1102" s="129">
        <v>100</v>
      </c>
      <c r="G1102" s="129" t="s">
        <v>1205</v>
      </c>
      <c r="H1102" s="512">
        <v>52.19</v>
      </c>
      <c r="I1102" s="265" t="s">
        <v>11138</v>
      </c>
      <c r="J1102" s="265" t="s">
        <v>77</v>
      </c>
      <c r="K1102" s="265">
        <v>0</v>
      </c>
      <c r="L1102" s="348" t="s">
        <v>1205</v>
      </c>
      <c r="M1102" s="265">
        <v>0</v>
      </c>
      <c r="N1102" s="347">
        <v>0.20499999999999999</v>
      </c>
      <c r="O1102" s="348" t="s">
        <v>1205</v>
      </c>
      <c r="P1102" s="348" t="s">
        <v>1205</v>
      </c>
      <c r="Q1102" s="348" t="s">
        <v>1205</v>
      </c>
    </row>
    <row r="1103" spans="1:17" ht="15" hidden="1" customHeight="1">
      <c r="A1103" s="163">
        <v>1097</v>
      </c>
      <c r="B1103" s="53" t="s">
        <v>28</v>
      </c>
      <c r="C1103" s="53" t="s">
        <v>11193</v>
      </c>
      <c r="D1103" s="53">
        <v>300005792</v>
      </c>
      <c r="E1103" s="55" t="s">
        <v>11194</v>
      </c>
      <c r="F1103" s="129">
        <v>50</v>
      </c>
      <c r="G1103" s="129" t="s">
        <v>1205</v>
      </c>
      <c r="H1103" s="512">
        <v>103.33</v>
      </c>
      <c r="I1103" s="265" t="s">
        <v>11138</v>
      </c>
      <c r="J1103" s="265" t="s">
        <v>77</v>
      </c>
      <c r="K1103" s="265">
        <v>0</v>
      </c>
      <c r="L1103" s="348" t="s">
        <v>1205</v>
      </c>
      <c r="M1103" s="265">
        <v>0</v>
      </c>
      <c r="N1103" s="347">
        <v>0.45600000000000002</v>
      </c>
      <c r="O1103" s="348" t="s">
        <v>1205</v>
      </c>
      <c r="P1103" s="348" t="s">
        <v>1205</v>
      </c>
      <c r="Q1103" s="348" t="s">
        <v>1205</v>
      </c>
    </row>
    <row r="1104" spans="1:17" ht="15" hidden="1" customHeight="1">
      <c r="A1104" s="163">
        <v>1098</v>
      </c>
      <c r="B1104" s="53" t="s">
        <v>28</v>
      </c>
      <c r="C1104" s="53" t="s">
        <v>11195</v>
      </c>
      <c r="D1104" s="53">
        <v>300005725</v>
      </c>
      <c r="E1104" s="55" t="s">
        <v>11196</v>
      </c>
      <c r="F1104" s="129">
        <v>500</v>
      </c>
      <c r="G1104" s="129" t="s">
        <v>1205</v>
      </c>
      <c r="H1104" s="512">
        <v>21.84</v>
      </c>
      <c r="I1104" s="265" t="s">
        <v>11138</v>
      </c>
      <c r="J1104" s="265" t="s">
        <v>77</v>
      </c>
      <c r="K1104" s="265">
        <v>0</v>
      </c>
      <c r="L1104" s="348" t="s">
        <v>1205</v>
      </c>
      <c r="M1104" s="265">
        <v>0</v>
      </c>
      <c r="N1104" s="347">
        <v>7.0000000000000001E-3</v>
      </c>
      <c r="O1104" s="348" t="s">
        <v>1205</v>
      </c>
      <c r="P1104" s="348" t="s">
        <v>1205</v>
      </c>
      <c r="Q1104" s="348" t="s">
        <v>1205</v>
      </c>
    </row>
    <row r="1105" spans="1:17" ht="15" hidden="1" customHeight="1">
      <c r="A1105" s="163">
        <v>1099</v>
      </c>
      <c r="B1105" s="53" t="s">
        <v>28</v>
      </c>
      <c r="C1105" s="53" t="s">
        <v>11197</v>
      </c>
      <c r="D1105" s="53">
        <v>300005726</v>
      </c>
      <c r="E1105" s="55" t="s">
        <v>11198</v>
      </c>
      <c r="F1105" s="129">
        <v>250</v>
      </c>
      <c r="G1105" s="129" t="s">
        <v>1205</v>
      </c>
      <c r="H1105" s="512">
        <v>10.94</v>
      </c>
      <c r="I1105" s="265" t="s">
        <v>11138</v>
      </c>
      <c r="J1105" s="265" t="s">
        <v>77</v>
      </c>
      <c r="K1105" s="265">
        <v>0</v>
      </c>
      <c r="L1105" s="348" t="s">
        <v>1205</v>
      </c>
      <c r="M1105" s="265">
        <v>0</v>
      </c>
      <c r="N1105" s="347">
        <v>1.4E-2</v>
      </c>
      <c r="O1105" s="348" t="s">
        <v>1205</v>
      </c>
      <c r="P1105" s="348" t="s">
        <v>1205</v>
      </c>
      <c r="Q1105" s="348" t="s">
        <v>1205</v>
      </c>
    </row>
    <row r="1106" spans="1:17" ht="15" hidden="1" customHeight="1">
      <c r="A1106" s="163">
        <v>1100</v>
      </c>
      <c r="B1106" s="53" t="s">
        <v>28</v>
      </c>
      <c r="C1106" s="53" t="s">
        <v>11199</v>
      </c>
      <c r="D1106" s="53">
        <v>300005720</v>
      </c>
      <c r="E1106" s="55" t="s">
        <v>11200</v>
      </c>
      <c r="F1106" s="129">
        <v>100</v>
      </c>
      <c r="G1106" s="129" t="s">
        <v>1205</v>
      </c>
      <c r="H1106" s="512">
        <v>76.790000000000006</v>
      </c>
      <c r="I1106" s="265" t="s">
        <v>11138</v>
      </c>
      <c r="J1106" s="265" t="s">
        <v>77</v>
      </c>
      <c r="K1106" s="265">
        <v>0</v>
      </c>
      <c r="L1106" s="348" t="s">
        <v>1205</v>
      </c>
      <c r="M1106" s="265">
        <v>0</v>
      </c>
      <c r="N1106" s="347">
        <v>2.8000000000000001E-2</v>
      </c>
      <c r="O1106" s="348" t="s">
        <v>1205</v>
      </c>
      <c r="P1106" s="348" t="s">
        <v>1205</v>
      </c>
      <c r="Q1106" s="348" t="s">
        <v>1205</v>
      </c>
    </row>
    <row r="1107" spans="1:17" ht="15" hidden="1" customHeight="1">
      <c r="A1107" s="163">
        <v>1101</v>
      </c>
      <c r="B1107" s="53" t="s">
        <v>28</v>
      </c>
      <c r="C1107" s="53" t="s">
        <v>11201</v>
      </c>
      <c r="D1107" s="53">
        <v>300006058</v>
      </c>
      <c r="E1107" s="55" t="s">
        <v>11202</v>
      </c>
      <c r="F1107" s="129">
        <v>500</v>
      </c>
      <c r="G1107" s="129" t="s">
        <v>1205</v>
      </c>
      <c r="H1107" s="512">
        <v>2.5</v>
      </c>
      <c r="I1107" s="265" t="s">
        <v>11138</v>
      </c>
      <c r="J1107" s="265" t="s">
        <v>77</v>
      </c>
      <c r="K1107" s="265" t="s">
        <v>382</v>
      </c>
      <c r="L1107" s="348" t="s">
        <v>1205</v>
      </c>
      <c r="M1107" s="265" t="s">
        <v>383</v>
      </c>
      <c r="N1107" s="347">
        <v>1.7999999999999999E-2</v>
      </c>
      <c r="O1107" s="348" t="s">
        <v>1205</v>
      </c>
      <c r="P1107" s="348" t="s">
        <v>1205</v>
      </c>
      <c r="Q1107" s="348" t="s">
        <v>1205</v>
      </c>
    </row>
    <row r="1108" spans="1:17" ht="15" hidden="1" customHeight="1">
      <c r="A1108" s="163">
        <v>1102</v>
      </c>
      <c r="B1108" s="53" t="s">
        <v>28</v>
      </c>
      <c r="C1108" s="53" t="s">
        <v>11203</v>
      </c>
      <c r="D1108" s="53">
        <v>300006057</v>
      </c>
      <c r="E1108" s="55" t="s">
        <v>11204</v>
      </c>
      <c r="F1108" s="129">
        <v>250</v>
      </c>
      <c r="G1108" s="129" t="s">
        <v>1205</v>
      </c>
      <c r="H1108" s="512">
        <v>4.01</v>
      </c>
      <c r="I1108" s="265" t="s">
        <v>11138</v>
      </c>
      <c r="J1108" s="265" t="s">
        <v>77</v>
      </c>
      <c r="K1108" s="265" t="s">
        <v>384</v>
      </c>
      <c r="L1108" s="348" t="s">
        <v>1205</v>
      </c>
      <c r="M1108" s="265" t="s">
        <v>385</v>
      </c>
      <c r="N1108" s="347">
        <v>3.1E-2</v>
      </c>
      <c r="O1108" s="348" t="s">
        <v>1205</v>
      </c>
      <c r="P1108" s="348" t="s">
        <v>1205</v>
      </c>
      <c r="Q1108" s="348" t="s">
        <v>1205</v>
      </c>
    </row>
    <row r="1109" spans="1:17" ht="15" hidden="1" customHeight="1">
      <c r="A1109" s="163">
        <v>1103</v>
      </c>
      <c r="B1109" s="53" t="s">
        <v>28</v>
      </c>
      <c r="C1109" s="53" t="s">
        <v>11205</v>
      </c>
      <c r="D1109" s="53">
        <v>300005795</v>
      </c>
      <c r="E1109" s="55" t="s">
        <v>11206</v>
      </c>
      <c r="F1109" s="129">
        <v>100</v>
      </c>
      <c r="G1109" s="129" t="s">
        <v>1205</v>
      </c>
      <c r="H1109" s="512">
        <v>14.08</v>
      </c>
      <c r="I1109" s="265" t="s">
        <v>11138</v>
      </c>
      <c r="J1109" s="265" t="s">
        <v>77</v>
      </c>
      <c r="K1109" s="265" t="s">
        <v>386</v>
      </c>
      <c r="L1109" s="348" t="s">
        <v>1205</v>
      </c>
      <c r="M1109" s="265">
        <v>0</v>
      </c>
      <c r="N1109" s="347">
        <v>0.06</v>
      </c>
      <c r="O1109" s="348" t="s">
        <v>1205</v>
      </c>
      <c r="P1109" s="348" t="s">
        <v>1205</v>
      </c>
      <c r="Q1109" s="348" t="s">
        <v>1205</v>
      </c>
    </row>
    <row r="1110" spans="1:17" ht="15" hidden="1" customHeight="1">
      <c r="A1110" s="163">
        <v>1104</v>
      </c>
      <c r="B1110" s="53" t="s">
        <v>28</v>
      </c>
      <c r="C1110" s="53" t="s">
        <v>11207</v>
      </c>
      <c r="D1110" s="53">
        <v>300005802</v>
      </c>
      <c r="E1110" s="55" t="s">
        <v>11208</v>
      </c>
      <c r="F1110" s="129">
        <v>100</v>
      </c>
      <c r="G1110" s="129" t="s">
        <v>1205</v>
      </c>
      <c r="H1110" s="512">
        <v>19.260000000000002</v>
      </c>
      <c r="I1110" s="265" t="s">
        <v>11138</v>
      </c>
      <c r="J1110" s="265" t="s">
        <v>77</v>
      </c>
      <c r="K1110" s="265" t="s">
        <v>387</v>
      </c>
      <c r="L1110" s="348" t="s">
        <v>1205</v>
      </c>
      <c r="M1110" s="265">
        <v>0</v>
      </c>
      <c r="N1110" s="347">
        <v>0.09</v>
      </c>
      <c r="O1110" s="348" t="s">
        <v>1205</v>
      </c>
      <c r="P1110" s="348" t="s">
        <v>1205</v>
      </c>
      <c r="Q1110" s="348" t="s">
        <v>1205</v>
      </c>
    </row>
    <row r="1111" spans="1:17" ht="15" hidden="1" customHeight="1">
      <c r="A1111" s="163">
        <v>1105</v>
      </c>
      <c r="B1111" s="53" t="s">
        <v>28</v>
      </c>
      <c r="C1111" s="53" t="s">
        <v>11209</v>
      </c>
      <c r="D1111" s="53">
        <v>300005803</v>
      </c>
      <c r="E1111" s="55" t="s">
        <v>11210</v>
      </c>
      <c r="F1111" s="129">
        <v>100</v>
      </c>
      <c r="G1111" s="129" t="s">
        <v>1205</v>
      </c>
      <c r="H1111" s="512">
        <v>29.66</v>
      </c>
      <c r="I1111" s="265" t="s">
        <v>11138</v>
      </c>
      <c r="J1111" s="265" t="s">
        <v>77</v>
      </c>
      <c r="K1111" s="265">
        <v>0</v>
      </c>
      <c r="L1111" s="348" t="s">
        <v>1205</v>
      </c>
      <c r="M1111" s="265">
        <v>0</v>
      </c>
      <c r="N1111" s="347">
        <v>0.13400000000000001</v>
      </c>
      <c r="O1111" s="348" t="s">
        <v>1205</v>
      </c>
      <c r="P1111" s="348" t="s">
        <v>1205</v>
      </c>
      <c r="Q1111" s="348" t="s">
        <v>1205</v>
      </c>
    </row>
    <row r="1112" spans="1:17" ht="15" hidden="1" customHeight="1">
      <c r="A1112" s="163">
        <v>1106</v>
      </c>
      <c r="B1112" s="53" t="s">
        <v>28</v>
      </c>
      <c r="C1112" s="53" t="s">
        <v>11211</v>
      </c>
      <c r="D1112" s="53">
        <v>300005796</v>
      </c>
      <c r="E1112" s="55" t="s">
        <v>11212</v>
      </c>
      <c r="F1112" s="129">
        <v>50</v>
      </c>
      <c r="G1112" s="129" t="s">
        <v>1205</v>
      </c>
      <c r="H1112" s="512">
        <v>49.07</v>
      </c>
      <c r="I1112" s="265" t="s">
        <v>11138</v>
      </c>
      <c r="J1112" s="265" t="s">
        <v>77</v>
      </c>
      <c r="K1112" s="265">
        <v>0</v>
      </c>
      <c r="L1112" s="348" t="s">
        <v>1205</v>
      </c>
      <c r="M1112" s="265">
        <v>0</v>
      </c>
      <c r="N1112" s="347">
        <v>0.317</v>
      </c>
      <c r="O1112" s="348" t="s">
        <v>1205</v>
      </c>
      <c r="P1112" s="348" t="s">
        <v>1205</v>
      </c>
      <c r="Q1112" s="348" t="s">
        <v>1205</v>
      </c>
    </row>
    <row r="1113" spans="1:17" ht="15" hidden="1" customHeight="1">
      <c r="A1113" s="163">
        <v>1107</v>
      </c>
      <c r="B1113" s="53" t="s">
        <v>28</v>
      </c>
      <c r="C1113" s="53" t="s">
        <v>11213</v>
      </c>
      <c r="D1113" s="53">
        <v>300005728</v>
      </c>
      <c r="E1113" s="55" t="s">
        <v>11214</v>
      </c>
      <c r="F1113" s="129">
        <v>750</v>
      </c>
      <c r="G1113" s="129" t="s">
        <v>1205</v>
      </c>
      <c r="H1113" s="512">
        <v>5.76</v>
      </c>
      <c r="I1113" s="265" t="s">
        <v>11138</v>
      </c>
      <c r="J1113" s="265" t="s">
        <v>77</v>
      </c>
      <c r="K1113" s="265">
        <v>0</v>
      </c>
      <c r="L1113" s="348" t="s">
        <v>1205</v>
      </c>
      <c r="M1113" s="265">
        <v>0</v>
      </c>
      <c r="N1113" s="347">
        <v>0.01</v>
      </c>
      <c r="O1113" s="348" t="s">
        <v>1205</v>
      </c>
      <c r="P1113" s="348" t="s">
        <v>1205</v>
      </c>
      <c r="Q1113" s="348" t="s">
        <v>1205</v>
      </c>
    </row>
    <row r="1114" spans="1:17" ht="15" hidden="1" customHeight="1">
      <c r="A1114" s="163">
        <v>1108</v>
      </c>
      <c r="B1114" s="53" t="s">
        <v>28</v>
      </c>
      <c r="C1114" s="53" t="s">
        <v>11215</v>
      </c>
      <c r="D1114" s="53">
        <v>300005723</v>
      </c>
      <c r="E1114" s="55" t="s">
        <v>11216</v>
      </c>
      <c r="F1114" s="129">
        <v>350</v>
      </c>
      <c r="G1114" s="129" t="s">
        <v>1205</v>
      </c>
      <c r="H1114" s="512">
        <v>8.6</v>
      </c>
      <c r="I1114" s="265" t="s">
        <v>11138</v>
      </c>
      <c r="J1114" s="265" t="s">
        <v>77</v>
      </c>
      <c r="K1114" s="265">
        <v>0</v>
      </c>
      <c r="L1114" s="348" t="s">
        <v>1205</v>
      </c>
      <c r="M1114" s="265">
        <v>0</v>
      </c>
      <c r="N1114" s="347">
        <v>1.7999999999999999E-2</v>
      </c>
      <c r="O1114" s="348" t="s">
        <v>1205</v>
      </c>
      <c r="P1114" s="348" t="s">
        <v>1205</v>
      </c>
      <c r="Q1114" s="348" t="s">
        <v>1205</v>
      </c>
    </row>
    <row r="1115" spans="1:17" ht="15" hidden="1" customHeight="1">
      <c r="A1115" s="163">
        <v>1109</v>
      </c>
      <c r="B1115" s="53" t="s">
        <v>28</v>
      </c>
      <c r="C1115" s="53" t="s">
        <v>11217</v>
      </c>
      <c r="D1115" s="53">
        <v>300005721</v>
      </c>
      <c r="E1115" s="55" t="s">
        <v>11218</v>
      </c>
      <c r="F1115" s="129">
        <v>500</v>
      </c>
      <c r="G1115" s="129" t="s">
        <v>1205</v>
      </c>
      <c r="H1115" s="512">
        <v>10.5</v>
      </c>
      <c r="I1115" s="265" t="s">
        <v>11138</v>
      </c>
      <c r="J1115" s="265" t="s">
        <v>77</v>
      </c>
      <c r="K1115" s="265">
        <v>0</v>
      </c>
      <c r="L1115" s="348" t="s">
        <v>1205</v>
      </c>
      <c r="M1115" s="265">
        <v>0</v>
      </c>
      <c r="N1115" s="347">
        <v>0.01</v>
      </c>
      <c r="O1115" s="348" t="s">
        <v>1205</v>
      </c>
      <c r="P1115" s="348" t="s">
        <v>1205</v>
      </c>
      <c r="Q1115" s="348" t="s">
        <v>1205</v>
      </c>
    </row>
    <row r="1116" spans="1:17" ht="15" hidden="1" customHeight="1">
      <c r="A1116" s="163">
        <v>1110</v>
      </c>
      <c r="B1116" s="53" t="s">
        <v>28</v>
      </c>
      <c r="C1116" s="53" t="s">
        <v>11219</v>
      </c>
      <c r="D1116" s="53">
        <v>300005722</v>
      </c>
      <c r="E1116" s="55" t="s">
        <v>11220</v>
      </c>
      <c r="F1116" s="129">
        <v>250</v>
      </c>
      <c r="G1116" s="129" t="s">
        <v>1205</v>
      </c>
      <c r="H1116" s="512">
        <v>14.99</v>
      </c>
      <c r="I1116" s="265" t="s">
        <v>11138</v>
      </c>
      <c r="J1116" s="265" t="s">
        <v>77</v>
      </c>
      <c r="K1116" s="265" t="s">
        <v>388</v>
      </c>
      <c r="L1116" s="348" t="s">
        <v>1205</v>
      </c>
      <c r="M1116" s="265">
        <v>0</v>
      </c>
      <c r="N1116" s="347">
        <v>1.7999999999999999E-2</v>
      </c>
      <c r="O1116" s="348" t="s">
        <v>1205</v>
      </c>
      <c r="P1116" s="348" t="s">
        <v>1205</v>
      </c>
      <c r="Q1116" s="348" t="s">
        <v>1205</v>
      </c>
    </row>
    <row r="1117" spans="1:17" ht="15" hidden="1" customHeight="1">
      <c r="A1117" s="163">
        <v>1111</v>
      </c>
      <c r="B1117" s="53" t="s">
        <v>28</v>
      </c>
      <c r="C1117" s="53" t="s">
        <v>11221</v>
      </c>
      <c r="D1117" s="53">
        <v>300005718</v>
      </c>
      <c r="E1117" s="55" t="s">
        <v>11222</v>
      </c>
      <c r="F1117" s="129">
        <v>100</v>
      </c>
      <c r="G1117" s="129" t="s">
        <v>1205</v>
      </c>
      <c r="H1117" s="512">
        <v>61.33</v>
      </c>
      <c r="I1117" s="265" t="s">
        <v>11138</v>
      </c>
      <c r="J1117" s="265" t="s">
        <v>77</v>
      </c>
      <c r="K1117" s="265">
        <v>0</v>
      </c>
      <c r="L1117" s="348" t="s">
        <v>1205</v>
      </c>
      <c r="M1117" s="265">
        <v>0</v>
      </c>
      <c r="N1117" s="347">
        <v>0.04</v>
      </c>
      <c r="O1117" s="348" t="s">
        <v>1205</v>
      </c>
      <c r="P1117" s="348" t="s">
        <v>1205</v>
      </c>
      <c r="Q1117" s="348" t="s">
        <v>1205</v>
      </c>
    </row>
    <row r="1118" spans="1:17" ht="15" hidden="1" customHeight="1">
      <c r="A1118" s="163">
        <v>1112</v>
      </c>
      <c r="B1118" s="53" t="s">
        <v>28</v>
      </c>
      <c r="C1118" s="53" t="s">
        <v>11223</v>
      </c>
      <c r="D1118" s="53">
        <v>300006056</v>
      </c>
      <c r="E1118" s="55" t="s">
        <v>11224</v>
      </c>
      <c r="F1118" s="129">
        <v>500</v>
      </c>
      <c r="G1118" s="129" t="s">
        <v>1205</v>
      </c>
      <c r="H1118" s="512">
        <v>109.12</v>
      </c>
      <c r="I1118" s="265" t="s">
        <v>11138</v>
      </c>
      <c r="J1118" s="265" t="s">
        <v>77</v>
      </c>
      <c r="K1118" s="265" t="s">
        <v>389</v>
      </c>
      <c r="L1118" s="348" t="s">
        <v>1205</v>
      </c>
      <c r="M1118" s="265" t="s">
        <v>390</v>
      </c>
      <c r="N1118" s="347">
        <v>8.2000000000000003E-2</v>
      </c>
      <c r="O1118" s="348" t="s">
        <v>1205</v>
      </c>
      <c r="P1118" s="348" t="s">
        <v>1205</v>
      </c>
      <c r="Q1118" s="348" t="s">
        <v>1205</v>
      </c>
    </row>
    <row r="1119" spans="1:17" ht="15" hidden="1" customHeight="1">
      <c r="A1119" s="163">
        <v>1113</v>
      </c>
      <c r="B1119" s="53" t="s">
        <v>28</v>
      </c>
      <c r="C1119" s="53" t="s">
        <v>11225</v>
      </c>
      <c r="D1119" s="53">
        <v>300006055</v>
      </c>
      <c r="E1119" s="55" t="s">
        <v>11226</v>
      </c>
      <c r="F1119" s="129">
        <v>250</v>
      </c>
      <c r="G1119" s="129" t="s">
        <v>1205</v>
      </c>
      <c r="H1119" s="512">
        <v>127.96</v>
      </c>
      <c r="I1119" s="265" t="s">
        <v>11138</v>
      </c>
      <c r="J1119" s="265" t="s">
        <v>77</v>
      </c>
      <c r="K1119" s="265" t="s">
        <v>391</v>
      </c>
      <c r="L1119" s="348" t="s">
        <v>1205</v>
      </c>
      <c r="M1119" s="265" t="s">
        <v>392</v>
      </c>
      <c r="N1119" s="347">
        <v>0.126</v>
      </c>
      <c r="O1119" s="348" t="s">
        <v>1205</v>
      </c>
      <c r="P1119" s="348" t="s">
        <v>1205</v>
      </c>
      <c r="Q1119" s="348" t="s">
        <v>1205</v>
      </c>
    </row>
    <row r="1120" spans="1:17" ht="15" hidden="1" customHeight="1">
      <c r="A1120" s="163">
        <v>1114</v>
      </c>
      <c r="B1120" s="53" t="s">
        <v>28</v>
      </c>
      <c r="C1120" s="53" t="s">
        <v>11227</v>
      </c>
      <c r="D1120" s="53">
        <v>300005828</v>
      </c>
      <c r="E1120" s="55" t="s">
        <v>11228</v>
      </c>
      <c r="F1120" s="129">
        <v>100</v>
      </c>
      <c r="G1120" s="129" t="s">
        <v>1205</v>
      </c>
      <c r="H1120" s="512">
        <v>291.07</v>
      </c>
      <c r="I1120" s="265" t="s">
        <v>11138</v>
      </c>
      <c r="J1120" s="265" t="s">
        <v>77</v>
      </c>
      <c r="K1120" s="265">
        <v>0</v>
      </c>
      <c r="L1120" s="348" t="s">
        <v>1205</v>
      </c>
      <c r="M1120" s="265">
        <v>0</v>
      </c>
      <c r="N1120" s="347">
        <v>0.23799999999999999</v>
      </c>
      <c r="O1120" s="348" t="s">
        <v>1205</v>
      </c>
      <c r="P1120" s="348" t="s">
        <v>1205</v>
      </c>
      <c r="Q1120" s="348" t="s">
        <v>1205</v>
      </c>
    </row>
    <row r="1121" spans="1:17" ht="15" hidden="1" customHeight="1">
      <c r="A1121" s="163">
        <v>1115</v>
      </c>
      <c r="B1121" s="53" t="s">
        <v>28</v>
      </c>
      <c r="C1121" s="53" t="s">
        <v>11229</v>
      </c>
      <c r="D1121" s="53">
        <v>300005741</v>
      </c>
      <c r="E1121" s="55" t="s">
        <v>11230</v>
      </c>
      <c r="F1121" s="129">
        <v>100</v>
      </c>
      <c r="G1121" s="129" t="s">
        <v>1205</v>
      </c>
      <c r="H1121" s="512">
        <v>413.77</v>
      </c>
      <c r="I1121" s="265" t="s">
        <v>11138</v>
      </c>
      <c r="J1121" s="265" t="s">
        <v>77</v>
      </c>
      <c r="K1121" s="265">
        <v>0</v>
      </c>
      <c r="L1121" s="348" t="s">
        <v>1205</v>
      </c>
      <c r="M1121" s="265">
        <v>0</v>
      </c>
      <c r="N1121" s="347">
        <v>0.85299999999999998</v>
      </c>
      <c r="O1121" s="348" t="s">
        <v>1205</v>
      </c>
      <c r="P1121" s="348" t="s">
        <v>1205</v>
      </c>
      <c r="Q1121" s="348" t="s">
        <v>1205</v>
      </c>
    </row>
    <row r="1122" spans="1:17" ht="15" hidden="1" customHeight="1">
      <c r="A1122" s="163">
        <v>1116</v>
      </c>
      <c r="B1122" s="53" t="s">
        <v>28</v>
      </c>
      <c r="C1122" s="53" t="s">
        <v>11231</v>
      </c>
      <c r="D1122" s="53">
        <v>300005742</v>
      </c>
      <c r="E1122" s="55" t="s">
        <v>11232</v>
      </c>
      <c r="F1122" s="129">
        <v>100</v>
      </c>
      <c r="G1122" s="129" t="s">
        <v>1205</v>
      </c>
      <c r="H1122" s="512">
        <v>463.59</v>
      </c>
      <c r="I1122" s="265" t="s">
        <v>11138</v>
      </c>
      <c r="J1122" s="265" t="s">
        <v>77</v>
      </c>
      <c r="K1122" s="265">
        <v>0</v>
      </c>
      <c r="L1122" s="348" t="s">
        <v>1205</v>
      </c>
      <c r="M1122" s="265">
        <v>0</v>
      </c>
      <c r="N1122" s="347">
        <v>1.113</v>
      </c>
      <c r="O1122" s="348" t="s">
        <v>1205</v>
      </c>
      <c r="P1122" s="348" t="s">
        <v>1205</v>
      </c>
      <c r="Q1122" s="348" t="s">
        <v>1205</v>
      </c>
    </row>
    <row r="1123" spans="1:17" ht="15" hidden="1" customHeight="1">
      <c r="A1123" s="163">
        <v>1117</v>
      </c>
      <c r="B1123" s="53" t="s">
        <v>28</v>
      </c>
      <c r="C1123" s="53" t="s">
        <v>11233</v>
      </c>
      <c r="D1123" s="53">
        <v>300005738</v>
      </c>
      <c r="E1123" s="55" t="s">
        <v>11234</v>
      </c>
      <c r="F1123" s="129">
        <v>50</v>
      </c>
      <c r="G1123" s="129" t="s">
        <v>1205</v>
      </c>
      <c r="H1123" s="512">
        <v>932.18</v>
      </c>
      <c r="I1123" s="265" t="s">
        <v>11138</v>
      </c>
      <c r="J1123" s="265" t="s">
        <v>77</v>
      </c>
      <c r="K1123" s="265">
        <v>0</v>
      </c>
      <c r="L1123" s="348" t="s">
        <v>1205</v>
      </c>
      <c r="M1123" s="265">
        <v>0</v>
      </c>
      <c r="N1123" s="347">
        <v>1.7789999999999999</v>
      </c>
      <c r="O1123" s="348" t="s">
        <v>1205</v>
      </c>
      <c r="P1123" s="348" t="s">
        <v>1205</v>
      </c>
      <c r="Q1123" s="348" t="s">
        <v>1205</v>
      </c>
    </row>
    <row r="1124" spans="1:17" ht="15" hidden="1" customHeight="1">
      <c r="A1124" s="163">
        <v>1118</v>
      </c>
      <c r="B1124" s="53" t="s">
        <v>28</v>
      </c>
      <c r="C1124" s="53" t="s">
        <v>11235</v>
      </c>
      <c r="D1124" s="53">
        <v>100029325</v>
      </c>
      <c r="E1124" s="55" t="s">
        <v>11236</v>
      </c>
      <c r="F1124" s="129">
        <v>250</v>
      </c>
      <c r="G1124" s="129" t="s">
        <v>1205</v>
      </c>
      <c r="H1124" s="512">
        <v>3.42</v>
      </c>
      <c r="I1124" s="265" t="s">
        <v>11138</v>
      </c>
      <c r="J1124" s="265" t="s">
        <v>77</v>
      </c>
      <c r="K1124" s="265">
        <v>0</v>
      </c>
      <c r="L1124" s="348" t="s">
        <v>1205</v>
      </c>
      <c r="M1124" s="265">
        <v>0</v>
      </c>
      <c r="N1124" s="347">
        <v>2.4E-2</v>
      </c>
      <c r="O1124" s="348" t="s">
        <v>1205</v>
      </c>
      <c r="P1124" s="348" t="s">
        <v>1205</v>
      </c>
      <c r="Q1124" s="348" t="s">
        <v>1205</v>
      </c>
    </row>
    <row r="1125" spans="1:17" ht="15" hidden="1" customHeight="1">
      <c r="A1125" s="163">
        <v>1119</v>
      </c>
      <c r="B1125" s="53" t="s">
        <v>28</v>
      </c>
      <c r="C1125" s="53" t="s">
        <v>11237</v>
      </c>
      <c r="D1125" s="53">
        <v>300005717</v>
      </c>
      <c r="E1125" s="55" t="s">
        <v>11238</v>
      </c>
      <c r="F1125" s="129">
        <v>250</v>
      </c>
      <c r="G1125" s="129" t="s">
        <v>1205</v>
      </c>
      <c r="H1125" s="512">
        <v>8.81</v>
      </c>
      <c r="I1125" s="265" t="s">
        <v>11138</v>
      </c>
      <c r="J1125" s="265" t="s">
        <v>77</v>
      </c>
      <c r="K1125" s="265" t="s">
        <v>393</v>
      </c>
      <c r="L1125" s="348" t="s">
        <v>1205</v>
      </c>
      <c r="M1125" s="265">
        <v>0</v>
      </c>
      <c r="N1125" s="347">
        <v>0.14000000000000001</v>
      </c>
      <c r="O1125" s="348" t="s">
        <v>1205</v>
      </c>
      <c r="P1125" s="348" t="s">
        <v>1205</v>
      </c>
      <c r="Q1125" s="348" t="s">
        <v>1205</v>
      </c>
    </row>
    <row r="1126" spans="1:17" ht="15" hidden="1" customHeight="1">
      <c r="A1126" s="163">
        <v>1120</v>
      </c>
      <c r="B1126" s="53" t="s">
        <v>28</v>
      </c>
      <c r="C1126" s="53" t="s">
        <v>11239</v>
      </c>
      <c r="D1126" s="53">
        <v>300005950</v>
      </c>
      <c r="E1126" s="55" t="s">
        <v>11238</v>
      </c>
      <c r="F1126" s="129">
        <v>250</v>
      </c>
      <c r="G1126" s="129" t="s">
        <v>1205</v>
      </c>
      <c r="H1126" s="512">
        <v>5.4</v>
      </c>
      <c r="I1126" s="265" t="s">
        <v>11138</v>
      </c>
      <c r="J1126" s="265" t="s">
        <v>77</v>
      </c>
      <c r="K1126" s="265">
        <v>0</v>
      </c>
      <c r="L1126" s="348" t="s">
        <v>1205</v>
      </c>
      <c r="M1126" s="265">
        <v>0</v>
      </c>
      <c r="N1126" s="347">
        <v>1.4E-2</v>
      </c>
      <c r="O1126" s="348" t="s">
        <v>1205</v>
      </c>
      <c r="P1126" s="348" t="s">
        <v>1205</v>
      </c>
      <c r="Q1126" s="348" t="s">
        <v>1205</v>
      </c>
    </row>
    <row r="1127" spans="1:17" ht="15" hidden="1" customHeight="1">
      <c r="A1127" s="163">
        <v>1121</v>
      </c>
      <c r="B1127" s="53" t="s">
        <v>28</v>
      </c>
      <c r="C1127" s="53" t="s">
        <v>11240</v>
      </c>
      <c r="D1127" s="53">
        <v>300005716</v>
      </c>
      <c r="E1127" s="55" t="s">
        <v>11241</v>
      </c>
      <c r="F1127" s="129">
        <v>100</v>
      </c>
      <c r="G1127" s="129" t="s">
        <v>1205</v>
      </c>
      <c r="H1127" s="512">
        <v>24.09</v>
      </c>
      <c r="I1127" s="265" t="s">
        <v>11138</v>
      </c>
      <c r="J1127" s="265" t="s">
        <v>77</v>
      </c>
      <c r="K1127" s="265" t="s">
        <v>394</v>
      </c>
      <c r="L1127" s="348" t="s">
        <v>1205</v>
      </c>
      <c r="M1127" s="265">
        <v>0</v>
      </c>
      <c r="N1127" s="347">
        <v>2.5999999999999999E-2</v>
      </c>
      <c r="O1127" s="348" t="s">
        <v>1205</v>
      </c>
      <c r="P1127" s="348" t="s">
        <v>1205</v>
      </c>
      <c r="Q1127" s="348" t="s">
        <v>1205</v>
      </c>
    </row>
    <row r="1128" spans="1:17" ht="15" hidden="1" customHeight="1">
      <c r="A1128" s="163">
        <v>1122</v>
      </c>
      <c r="B1128" s="53" t="s">
        <v>28</v>
      </c>
      <c r="C1128" s="53" t="s">
        <v>11242</v>
      </c>
      <c r="D1128" s="53">
        <v>300006064</v>
      </c>
      <c r="E1128" s="55" t="s">
        <v>11243</v>
      </c>
      <c r="F1128" s="129">
        <v>500</v>
      </c>
      <c r="G1128" s="129" t="s">
        <v>1205</v>
      </c>
      <c r="H1128" s="512">
        <v>93.9</v>
      </c>
      <c r="I1128" s="265" t="s">
        <v>11138</v>
      </c>
      <c r="J1128" s="265" t="s">
        <v>77</v>
      </c>
      <c r="K1128" s="265" t="s">
        <v>395</v>
      </c>
      <c r="L1128" s="348" t="s">
        <v>1205</v>
      </c>
      <c r="M1128" s="265" t="s">
        <v>396</v>
      </c>
      <c r="N1128" s="347">
        <v>0.13</v>
      </c>
      <c r="O1128" s="348" t="s">
        <v>1205</v>
      </c>
      <c r="P1128" s="348" t="s">
        <v>1205</v>
      </c>
      <c r="Q1128" s="348" t="s">
        <v>1205</v>
      </c>
    </row>
    <row r="1129" spans="1:17" ht="15" hidden="1" customHeight="1">
      <c r="A1129" s="163">
        <v>1123</v>
      </c>
      <c r="B1129" s="53" t="s">
        <v>28</v>
      </c>
      <c r="C1129" s="53" t="s">
        <v>11244</v>
      </c>
      <c r="D1129" s="53">
        <v>300006063</v>
      </c>
      <c r="E1129" s="55" t="s">
        <v>11245</v>
      </c>
      <c r="F1129" s="129">
        <v>250</v>
      </c>
      <c r="G1129" s="129" t="s">
        <v>1205</v>
      </c>
      <c r="H1129" s="512">
        <v>103.4</v>
      </c>
      <c r="I1129" s="265" t="s">
        <v>11138</v>
      </c>
      <c r="J1129" s="265" t="s">
        <v>77</v>
      </c>
      <c r="K1129" s="265" t="s">
        <v>397</v>
      </c>
      <c r="L1129" s="348" t="s">
        <v>1205</v>
      </c>
      <c r="M1129" s="265" t="s">
        <v>398</v>
      </c>
      <c r="N1129" s="347">
        <v>0.19</v>
      </c>
      <c r="O1129" s="348" t="s">
        <v>1205</v>
      </c>
      <c r="P1129" s="348" t="s">
        <v>1205</v>
      </c>
      <c r="Q1129" s="348" t="s">
        <v>1205</v>
      </c>
    </row>
    <row r="1130" spans="1:17" ht="15" hidden="1" customHeight="1">
      <c r="A1130" s="163">
        <v>1124</v>
      </c>
      <c r="B1130" s="53" t="s">
        <v>28</v>
      </c>
      <c r="C1130" s="53" t="s">
        <v>11246</v>
      </c>
      <c r="D1130" s="53">
        <v>300005825</v>
      </c>
      <c r="E1130" s="55" t="s">
        <v>11247</v>
      </c>
      <c r="F1130" s="129">
        <v>100</v>
      </c>
      <c r="G1130" s="129" t="s">
        <v>1205</v>
      </c>
      <c r="H1130" s="512">
        <v>256.64999999999998</v>
      </c>
      <c r="I1130" s="265" t="s">
        <v>11138</v>
      </c>
      <c r="J1130" s="265" t="s">
        <v>77</v>
      </c>
      <c r="K1130" s="265">
        <v>0</v>
      </c>
      <c r="L1130" s="348" t="s">
        <v>1205</v>
      </c>
      <c r="M1130" s="265">
        <v>0</v>
      </c>
      <c r="N1130" s="347">
        <v>0.42799999999999999</v>
      </c>
      <c r="O1130" s="348" t="s">
        <v>1205</v>
      </c>
      <c r="P1130" s="348" t="s">
        <v>1205</v>
      </c>
      <c r="Q1130" s="348" t="s">
        <v>1205</v>
      </c>
    </row>
    <row r="1131" spans="1:17" ht="15" hidden="1" customHeight="1">
      <c r="A1131" s="163">
        <v>1125</v>
      </c>
      <c r="B1131" s="53" t="s">
        <v>28</v>
      </c>
      <c r="C1131" s="53" t="s">
        <v>11248</v>
      </c>
      <c r="D1131" s="53">
        <v>300005739</v>
      </c>
      <c r="E1131" s="55" t="s">
        <v>11249</v>
      </c>
      <c r="F1131" s="129">
        <v>100</v>
      </c>
      <c r="G1131" s="129" t="s">
        <v>1205</v>
      </c>
      <c r="H1131" s="512">
        <v>345.47</v>
      </c>
      <c r="I1131" s="265" t="s">
        <v>11138</v>
      </c>
      <c r="J1131" s="265" t="s">
        <v>77</v>
      </c>
      <c r="K1131" s="265">
        <v>0</v>
      </c>
      <c r="L1131" s="348" t="s">
        <v>1205</v>
      </c>
      <c r="M1131" s="265">
        <v>0</v>
      </c>
      <c r="N1131" s="347">
        <v>9.5000000000000001E-2</v>
      </c>
      <c r="O1131" s="348" t="s">
        <v>1205</v>
      </c>
      <c r="P1131" s="348" t="s">
        <v>1205</v>
      </c>
      <c r="Q1131" s="348" t="s">
        <v>1205</v>
      </c>
    </row>
    <row r="1132" spans="1:17" ht="15" hidden="1" customHeight="1">
      <c r="A1132" s="163">
        <v>1126</v>
      </c>
      <c r="B1132" s="53" t="s">
        <v>28</v>
      </c>
      <c r="C1132" s="53" t="s">
        <v>11250</v>
      </c>
      <c r="D1132" s="53">
        <v>300005740</v>
      </c>
      <c r="E1132" s="55" t="s">
        <v>11251</v>
      </c>
      <c r="F1132" s="129">
        <v>100</v>
      </c>
      <c r="G1132" s="129" t="s">
        <v>1205</v>
      </c>
      <c r="H1132" s="512">
        <v>393.92</v>
      </c>
      <c r="I1132" s="265" t="s">
        <v>11138</v>
      </c>
      <c r="J1132" s="265" t="s">
        <v>77</v>
      </c>
      <c r="K1132" s="265">
        <v>0</v>
      </c>
      <c r="L1132" s="348" t="s">
        <v>1205</v>
      </c>
      <c r="M1132" s="265">
        <v>0</v>
      </c>
      <c r="N1132" s="347">
        <v>0.91900000000000004</v>
      </c>
      <c r="O1132" s="348" t="s">
        <v>1205</v>
      </c>
      <c r="P1132" s="348" t="s">
        <v>1205</v>
      </c>
      <c r="Q1132" s="348" t="s">
        <v>1205</v>
      </c>
    </row>
    <row r="1133" spans="1:17" ht="15" hidden="1" customHeight="1">
      <c r="A1133" s="163">
        <v>1127</v>
      </c>
      <c r="B1133" s="53" t="s">
        <v>28</v>
      </c>
      <c r="C1133" s="53" t="s">
        <v>11252</v>
      </c>
      <c r="D1133" s="53">
        <v>300005737</v>
      </c>
      <c r="E1133" s="55" t="s">
        <v>11253</v>
      </c>
      <c r="F1133" s="129">
        <v>50</v>
      </c>
      <c r="G1133" s="129" t="s">
        <v>1205</v>
      </c>
      <c r="H1133" s="512">
        <v>778.21</v>
      </c>
      <c r="I1133" s="265" t="s">
        <v>11138</v>
      </c>
      <c r="J1133" s="265" t="s">
        <v>77</v>
      </c>
      <c r="K1133" s="265">
        <v>0</v>
      </c>
      <c r="L1133" s="348" t="s">
        <v>1205</v>
      </c>
      <c r="M1133" s="265">
        <v>0</v>
      </c>
      <c r="N1133" s="347">
        <v>0.313</v>
      </c>
      <c r="O1133" s="348" t="s">
        <v>1205</v>
      </c>
      <c r="P1133" s="348" t="s">
        <v>1205</v>
      </c>
      <c r="Q1133" s="348" t="s">
        <v>1205</v>
      </c>
    </row>
    <row r="1134" spans="1:17" ht="15" hidden="1" customHeight="1">
      <c r="A1134" s="163">
        <v>1128</v>
      </c>
      <c r="B1134" s="53" t="s">
        <v>28</v>
      </c>
      <c r="C1134" s="53" t="s">
        <v>11254</v>
      </c>
      <c r="D1134" s="53">
        <v>300005829</v>
      </c>
      <c r="E1134" s="55" t="s">
        <v>11255</v>
      </c>
      <c r="F1134" s="129">
        <v>250</v>
      </c>
      <c r="G1134" s="129" t="s">
        <v>1205</v>
      </c>
      <c r="H1134" s="512">
        <v>97.76</v>
      </c>
      <c r="I1134" s="265" t="s">
        <v>11138</v>
      </c>
      <c r="J1134" s="265" t="s">
        <v>77</v>
      </c>
      <c r="K1134" s="265">
        <v>0</v>
      </c>
      <c r="L1134" s="348" t="s">
        <v>1205</v>
      </c>
      <c r="M1134" s="265">
        <v>0</v>
      </c>
      <c r="N1134" s="347">
        <v>0.13900000000000001</v>
      </c>
      <c r="O1134" s="348" t="s">
        <v>1205</v>
      </c>
      <c r="P1134" s="348" t="s">
        <v>1205</v>
      </c>
      <c r="Q1134" s="348" t="s">
        <v>1205</v>
      </c>
    </row>
    <row r="1135" spans="1:17" ht="15" hidden="1" customHeight="1">
      <c r="A1135" s="163">
        <v>1129</v>
      </c>
      <c r="B1135" s="53" t="s">
        <v>28</v>
      </c>
      <c r="C1135" s="53" t="s">
        <v>11256</v>
      </c>
      <c r="D1135" s="53">
        <v>300006067</v>
      </c>
      <c r="E1135" s="55" t="s">
        <v>11257</v>
      </c>
      <c r="F1135" s="129">
        <v>250</v>
      </c>
      <c r="G1135" s="129" t="s">
        <v>1205</v>
      </c>
      <c r="H1135" s="512">
        <v>3.78</v>
      </c>
      <c r="I1135" s="265" t="s">
        <v>11138</v>
      </c>
      <c r="J1135" s="265" t="s">
        <v>77</v>
      </c>
      <c r="K1135" s="265" t="s">
        <v>399</v>
      </c>
      <c r="L1135" s="348" t="s">
        <v>1205</v>
      </c>
      <c r="M1135" s="265" t="s">
        <v>400</v>
      </c>
      <c r="N1135" s="347">
        <v>1.2999999999999999E-2</v>
      </c>
      <c r="O1135" s="348" t="s">
        <v>1205</v>
      </c>
      <c r="P1135" s="348" t="s">
        <v>1205</v>
      </c>
      <c r="Q1135" s="348" t="s">
        <v>1205</v>
      </c>
    </row>
    <row r="1136" spans="1:17" ht="15" hidden="1" customHeight="1">
      <c r="A1136" s="163">
        <v>1130</v>
      </c>
      <c r="B1136" s="53" t="s">
        <v>28</v>
      </c>
      <c r="C1136" s="53" t="s">
        <v>11258</v>
      </c>
      <c r="D1136" s="53">
        <v>300005812</v>
      </c>
      <c r="E1136" s="55" t="s">
        <v>11259</v>
      </c>
      <c r="F1136" s="129">
        <v>100</v>
      </c>
      <c r="G1136" s="129" t="s">
        <v>1205</v>
      </c>
      <c r="H1136" s="512">
        <v>8.86</v>
      </c>
      <c r="I1136" s="265" t="s">
        <v>11138</v>
      </c>
      <c r="J1136" s="265" t="s">
        <v>77</v>
      </c>
      <c r="K1136" s="265">
        <v>0</v>
      </c>
      <c r="L1136" s="348" t="s">
        <v>1205</v>
      </c>
      <c r="M1136" s="265">
        <v>0</v>
      </c>
      <c r="N1136" s="347">
        <v>3.5000000000000003E-2</v>
      </c>
      <c r="O1136" s="348" t="s">
        <v>1205</v>
      </c>
      <c r="P1136" s="348" t="s">
        <v>1205</v>
      </c>
      <c r="Q1136" s="348" t="s">
        <v>1205</v>
      </c>
    </row>
    <row r="1137" spans="1:17" ht="15" hidden="1" customHeight="1">
      <c r="A1137" s="163">
        <v>1131</v>
      </c>
      <c r="B1137" s="53" t="s">
        <v>28</v>
      </c>
      <c r="C1137" s="53" t="s">
        <v>11260</v>
      </c>
      <c r="D1137" s="53">
        <v>300005813</v>
      </c>
      <c r="E1137" s="55" t="s">
        <v>11261</v>
      </c>
      <c r="F1137" s="129">
        <v>100</v>
      </c>
      <c r="G1137" s="129" t="s">
        <v>1205</v>
      </c>
      <c r="H1137" s="512">
        <v>8.01</v>
      </c>
      <c r="I1137" s="265" t="s">
        <v>11138</v>
      </c>
      <c r="J1137" s="265" t="s">
        <v>77</v>
      </c>
      <c r="K1137" s="265" t="s">
        <v>401</v>
      </c>
      <c r="L1137" s="348" t="s">
        <v>1205</v>
      </c>
      <c r="M1137" s="265">
        <v>0</v>
      </c>
      <c r="N1137" s="347">
        <v>0.02</v>
      </c>
      <c r="O1137" s="348" t="s">
        <v>1205</v>
      </c>
      <c r="P1137" s="348" t="s">
        <v>1205</v>
      </c>
      <c r="Q1137" s="348" t="s">
        <v>1205</v>
      </c>
    </row>
    <row r="1138" spans="1:17" ht="15" hidden="1" customHeight="1">
      <c r="A1138" s="163">
        <v>1132</v>
      </c>
      <c r="B1138" s="53" t="s">
        <v>28</v>
      </c>
      <c r="C1138" s="53" t="s">
        <v>11262</v>
      </c>
      <c r="D1138" s="53">
        <v>300005823</v>
      </c>
      <c r="E1138" s="55" t="s">
        <v>11263</v>
      </c>
      <c r="F1138" s="129">
        <v>100</v>
      </c>
      <c r="G1138" s="129" t="s">
        <v>1205</v>
      </c>
      <c r="H1138" s="512">
        <v>12.51</v>
      </c>
      <c r="I1138" s="265" t="s">
        <v>11138</v>
      </c>
      <c r="J1138" s="265" t="s">
        <v>77</v>
      </c>
      <c r="K1138" s="265">
        <v>0</v>
      </c>
      <c r="L1138" s="348" t="s">
        <v>1205</v>
      </c>
      <c r="M1138" s="265">
        <v>0</v>
      </c>
      <c r="N1138" s="347">
        <v>0.51600000000000001</v>
      </c>
      <c r="O1138" s="348" t="s">
        <v>1205</v>
      </c>
      <c r="P1138" s="348" t="s">
        <v>1205</v>
      </c>
      <c r="Q1138" s="348" t="s">
        <v>1205</v>
      </c>
    </row>
    <row r="1139" spans="1:17" ht="15" hidden="1" customHeight="1">
      <c r="A1139" s="163">
        <v>1133</v>
      </c>
      <c r="B1139" s="53" t="s">
        <v>28</v>
      </c>
      <c r="C1139" s="53" t="s">
        <v>11264</v>
      </c>
      <c r="D1139" s="53">
        <v>300005826</v>
      </c>
      <c r="E1139" s="55" t="s">
        <v>11265</v>
      </c>
      <c r="F1139" s="129">
        <v>100</v>
      </c>
      <c r="G1139" s="129" t="s">
        <v>1205</v>
      </c>
      <c r="H1139" s="512">
        <v>14.55</v>
      </c>
      <c r="I1139" s="265" t="s">
        <v>11138</v>
      </c>
      <c r="J1139" s="265" t="s">
        <v>77</v>
      </c>
      <c r="K1139" s="265" t="s">
        <v>402</v>
      </c>
      <c r="L1139" s="348" t="s">
        <v>1205</v>
      </c>
      <c r="M1139" s="265">
        <v>0</v>
      </c>
      <c r="N1139" s="347">
        <v>0.55100000000000005</v>
      </c>
      <c r="O1139" s="348" t="s">
        <v>1205</v>
      </c>
      <c r="P1139" s="348" t="s">
        <v>1205</v>
      </c>
      <c r="Q1139" s="348" t="s">
        <v>1205</v>
      </c>
    </row>
    <row r="1140" spans="1:17" ht="15" hidden="1" customHeight="1">
      <c r="A1140" s="163">
        <v>1134</v>
      </c>
      <c r="B1140" s="53" t="s">
        <v>28</v>
      </c>
      <c r="C1140" s="53" t="s">
        <v>11266</v>
      </c>
      <c r="D1140" s="53">
        <v>300005818</v>
      </c>
      <c r="E1140" s="55" t="s">
        <v>11267</v>
      </c>
      <c r="F1140" s="129">
        <v>100</v>
      </c>
      <c r="G1140" s="129" t="s">
        <v>1205</v>
      </c>
      <c r="H1140" s="512">
        <v>14.07</v>
      </c>
      <c r="I1140" s="265" t="s">
        <v>11138</v>
      </c>
      <c r="J1140" s="265" t="s">
        <v>77</v>
      </c>
      <c r="K1140" s="265" t="s">
        <v>403</v>
      </c>
      <c r="L1140" s="348" t="s">
        <v>1205</v>
      </c>
      <c r="M1140" s="265">
        <v>0</v>
      </c>
      <c r="N1140" s="347">
        <v>4.2000000000000003E-2</v>
      </c>
      <c r="O1140" s="348" t="s">
        <v>1205</v>
      </c>
      <c r="P1140" s="348" t="s">
        <v>1205</v>
      </c>
      <c r="Q1140" s="348" t="s">
        <v>1205</v>
      </c>
    </row>
    <row r="1141" spans="1:17" ht="15" hidden="1" customHeight="1">
      <c r="A1141" s="163">
        <v>1135</v>
      </c>
      <c r="B1141" s="53" t="s">
        <v>28</v>
      </c>
      <c r="C1141" s="53" t="s">
        <v>11268</v>
      </c>
      <c r="D1141" s="53">
        <v>300005824</v>
      </c>
      <c r="E1141" s="55" t="s">
        <v>11269</v>
      </c>
      <c r="F1141" s="129">
        <v>100</v>
      </c>
      <c r="G1141" s="129" t="s">
        <v>1205</v>
      </c>
      <c r="H1141" s="512">
        <v>9.5</v>
      </c>
      <c r="I1141" s="265" t="s">
        <v>11138</v>
      </c>
      <c r="J1141" s="265" t="s">
        <v>77</v>
      </c>
      <c r="K1141" s="265">
        <v>0</v>
      </c>
      <c r="L1141" s="348" t="s">
        <v>1205</v>
      </c>
      <c r="M1141" s="265">
        <v>0</v>
      </c>
      <c r="N1141" s="347">
        <v>8.5999999999999993E-2</v>
      </c>
      <c r="O1141" s="348" t="s">
        <v>1205</v>
      </c>
      <c r="P1141" s="348" t="s">
        <v>1205</v>
      </c>
      <c r="Q1141" s="348" t="s">
        <v>1205</v>
      </c>
    </row>
    <row r="1142" spans="1:17" ht="15" hidden="1" customHeight="1">
      <c r="A1142" s="163">
        <v>1136</v>
      </c>
      <c r="B1142" s="53" t="s">
        <v>28</v>
      </c>
      <c r="C1142" s="53" t="s">
        <v>11270</v>
      </c>
      <c r="D1142" s="53">
        <v>300005817</v>
      </c>
      <c r="E1142" s="55" t="s">
        <v>11271</v>
      </c>
      <c r="F1142" s="129">
        <v>100</v>
      </c>
      <c r="G1142" s="129" t="s">
        <v>1205</v>
      </c>
      <c r="H1142" s="512">
        <v>8.1</v>
      </c>
      <c r="I1142" s="265" t="s">
        <v>11138</v>
      </c>
      <c r="J1142" s="265" t="s">
        <v>77</v>
      </c>
      <c r="K1142" s="265">
        <v>0</v>
      </c>
      <c r="L1142" s="348" t="s">
        <v>1205</v>
      </c>
      <c r="M1142" s="265">
        <v>0</v>
      </c>
      <c r="N1142" s="347">
        <v>8.4000000000000005E-2</v>
      </c>
      <c r="O1142" s="348" t="s">
        <v>1205</v>
      </c>
      <c r="P1142" s="348" t="s">
        <v>1205</v>
      </c>
      <c r="Q1142" s="348" t="s">
        <v>1205</v>
      </c>
    </row>
    <row r="1143" spans="1:17" ht="15" hidden="1" customHeight="1">
      <c r="A1143" s="163">
        <v>1137</v>
      </c>
      <c r="B1143" s="53" t="s">
        <v>28</v>
      </c>
      <c r="C1143" s="53" t="s">
        <v>11272</v>
      </c>
      <c r="D1143" s="53">
        <v>300005827</v>
      </c>
      <c r="E1143" s="55" t="s">
        <v>11273</v>
      </c>
      <c r="F1143" s="129">
        <v>100</v>
      </c>
      <c r="G1143" s="129" t="s">
        <v>1205</v>
      </c>
      <c r="H1143" s="512">
        <v>21.69</v>
      </c>
      <c r="I1143" s="265" t="s">
        <v>11138</v>
      </c>
      <c r="J1143" s="265" t="s">
        <v>77</v>
      </c>
      <c r="K1143" s="265">
        <v>0</v>
      </c>
      <c r="L1143" s="348" t="s">
        <v>1205</v>
      </c>
      <c r="M1143" s="265">
        <v>0</v>
      </c>
      <c r="N1143" s="347">
        <v>5.5E-2</v>
      </c>
      <c r="O1143" s="348" t="s">
        <v>1205</v>
      </c>
      <c r="P1143" s="348" t="s">
        <v>1205</v>
      </c>
      <c r="Q1143" s="348" t="s">
        <v>1205</v>
      </c>
    </row>
    <row r="1144" spans="1:17" ht="15" hidden="1" customHeight="1">
      <c r="A1144" s="163">
        <v>1138</v>
      </c>
      <c r="B1144" s="53" t="s">
        <v>28</v>
      </c>
      <c r="C1144" s="53" t="s">
        <v>11274</v>
      </c>
      <c r="D1144" s="53">
        <v>300005811</v>
      </c>
      <c r="E1144" s="55" t="s">
        <v>11275</v>
      </c>
      <c r="F1144" s="129">
        <v>50</v>
      </c>
      <c r="G1144" s="129" t="s">
        <v>1205</v>
      </c>
      <c r="H1144" s="512">
        <v>101.1</v>
      </c>
      <c r="I1144" s="265" t="s">
        <v>11138</v>
      </c>
      <c r="J1144" s="265" t="s">
        <v>77</v>
      </c>
      <c r="K1144" s="265">
        <v>0</v>
      </c>
      <c r="L1144" s="348" t="s">
        <v>1205</v>
      </c>
      <c r="M1144" s="265">
        <v>0</v>
      </c>
      <c r="N1144" s="347">
        <v>0.17899999999999999</v>
      </c>
      <c r="O1144" s="348" t="s">
        <v>1205</v>
      </c>
      <c r="P1144" s="348" t="s">
        <v>1205</v>
      </c>
      <c r="Q1144" s="348" t="s">
        <v>1205</v>
      </c>
    </row>
    <row r="1145" spans="1:17" ht="15" hidden="1" customHeight="1">
      <c r="A1145" s="163">
        <v>1139</v>
      </c>
      <c r="B1145" s="53" t="s">
        <v>28</v>
      </c>
      <c r="C1145" s="53" t="s">
        <v>11276</v>
      </c>
      <c r="D1145" s="53">
        <v>300005819</v>
      </c>
      <c r="E1145" s="55" t="s">
        <v>11277</v>
      </c>
      <c r="F1145" s="129">
        <v>50</v>
      </c>
      <c r="G1145" s="129" t="s">
        <v>1205</v>
      </c>
      <c r="H1145" s="512">
        <v>52.9</v>
      </c>
      <c r="I1145" s="265" t="s">
        <v>11138</v>
      </c>
      <c r="J1145" s="265" t="s">
        <v>77</v>
      </c>
      <c r="K1145" s="265">
        <v>0</v>
      </c>
      <c r="L1145" s="348" t="s">
        <v>1205</v>
      </c>
      <c r="M1145" s="265">
        <v>0</v>
      </c>
      <c r="N1145" s="347">
        <v>0.19400000000000001</v>
      </c>
      <c r="O1145" s="348" t="s">
        <v>1205</v>
      </c>
      <c r="P1145" s="348" t="s">
        <v>1205</v>
      </c>
      <c r="Q1145" s="348" t="s">
        <v>1205</v>
      </c>
    </row>
    <row r="1146" spans="1:17" ht="15" hidden="1" customHeight="1">
      <c r="A1146" s="163">
        <v>1140</v>
      </c>
      <c r="B1146" s="53" t="s">
        <v>28</v>
      </c>
      <c r="C1146" s="53" t="s">
        <v>11278</v>
      </c>
      <c r="D1146" s="53">
        <v>300005820</v>
      </c>
      <c r="E1146" s="55" t="s">
        <v>11279</v>
      </c>
      <c r="F1146" s="129">
        <v>50</v>
      </c>
      <c r="G1146" s="129" t="s">
        <v>1205</v>
      </c>
      <c r="H1146" s="512">
        <v>44.9</v>
      </c>
      <c r="I1146" s="265" t="s">
        <v>11138</v>
      </c>
      <c r="J1146" s="265" t="s">
        <v>77</v>
      </c>
      <c r="K1146" s="265">
        <v>0</v>
      </c>
      <c r="L1146" s="348" t="s">
        <v>1205</v>
      </c>
      <c r="M1146" s="265">
        <v>0</v>
      </c>
      <c r="N1146" s="347">
        <v>0.161</v>
      </c>
      <c r="O1146" s="348" t="s">
        <v>1205</v>
      </c>
      <c r="P1146" s="348" t="s">
        <v>1205</v>
      </c>
      <c r="Q1146" s="348" t="s">
        <v>1205</v>
      </c>
    </row>
    <row r="1147" spans="1:17" ht="15" hidden="1" customHeight="1">
      <c r="A1147" s="163">
        <v>1141</v>
      </c>
      <c r="B1147" s="53" t="s">
        <v>28</v>
      </c>
      <c r="C1147" s="53" t="s">
        <v>11280</v>
      </c>
      <c r="D1147" s="53">
        <v>300006066</v>
      </c>
      <c r="E1147" s="55" t="s">
        <v>11281</v>
      </c>
      <c r="F1147" s="129">
        <v>500</v>
      </c>
      <c r="G1147" s="129" t="s">
        <v>1205</v>
      </c>
      <c r="H1147" s="512">
        <v>4.33</v>
      </c>
      <c r="I1147" s="265" t="s">
        <v>11138</v>
      </c>
      <c r="J1147" s="265" t="s">
        <v>77</v>
      </c>
      <c r="K1147" s="265" t="s">
        <v>404</v>
      </c>
      <c r="L1147" s="348" t="s">
        <v>1205</v>
      </c>
      <c r="M1147" s="265" t="s">
        <v>405</v>
      </c>
      <c r="N1147" s="347">
        <v>1.0999999999999999E-2</v>
      </c>
      <c r="O1147" s="348" t="s">
        <v>1205</v>
      </c>
      <c r="P1147" s="348" t="s">
        <v>1205</v>
      </c>
      <c r="Q1147" s="348" t="s">
        <v>1205</v>
      </c>
    </row>
    <row r="1148" spans="1:17" ht="15" hidden="1" customHeight="1">
      <c r="A1148" s="163">
        <v>1142</v>
      </c>
      <c r="B1148" s="53" t="s">
        <v>28</v>
      </c>
      <c r="C1148" s="53" t="s">
        <v>11282</v>
      </c>
      <c r="D1148" s="53">
        <v>300006065</v>
      </c>
      <c r="E1148" s="55" t="s">
        <v>11283</v>
      </c>
      <c r="F1148" s="129">
        <v>250</v>
      </c>
      <c r="G1148" s="129" t="s">
        <v>1205</v>
      </c>
      <c r="H1148" s="512">
        <v>3.49</v>
      </c>
      <c r="I1148" s="265" t="s">
        <v>11138</v>
      </c>
      <c r="J1148" s="265" t="s">
        <v>77</v>
      </c>
      <c r="K1148" s="265" t="s">
        <v>406</v>
      </c>
      <c r="L1148" s="348" t="s">
        <v>1205</v>
      </c>
      <c r="M1148" s="265" t="s">
        <v>407</v>
      </c>
      <c r="N1148" s="347">
        <v>2.4E-2</v>
      </c>
      <c r="O1148" s="348" t="s">
        <v>1205</v>
      </c>
      <c r="P1148" s="348" t="s">
        <v>1205</v>
      </c>
      <c r="Q1148" s="348" t="s">
        <v>1205</v>
      </c>
    </row>
    <row r="1149" spans="1:17" ht="15" hidden="1" customHeight="1">
      <c r="A1149" s="163">
        <v>1143</v>
      </c>
      <c r="B1149" s="53" t="s">
        <v>28</v>
      </c>
      <c r="C1149" s="53" t="s">
        <v>11284</v>
      </c>
      <c r="D1149" s="53">
        <v>300005782</v>
      </c>
      <c r="E1149" s="55" t="s">
        <v>11285</v>
      </c>
      <c r="F1149" s="129">
        <v>100</v>
      </c>
      <c r="G1149" s="129" t="s">
        <v>1205</v>
      </c>
      <c r="H1149" s="512">
        <v>12.71</v>
      </c>
      <c r="I1149" s="265" t="s">
        <v>11138</v>
      </c>
      <c r="J1149" s="265" t="s">
        <v>77</v>
      </c>
      <c r="K1149" s="265">
        <v>0</v>
      </c>
      <c r="L1149" s="348" t="s">
        <v>1205</v>
      </c>
      <c r="M1149" s="265">
        <v>0</v>
      </c>
      <c r="N1149" s="347">
        <v>4.9000000000000002E-2</v>
      </c>
      <c r="O1149" s="348" t="s">
        <v>1205</v>
      </c>
      <c r="P1149" s="348" t="s">
        <v>1205</v>
      </c>
      <c r="Q1149" s="348" t="s">
        <v>1205</v>
      </c>
    </row>
    <row r="1150" spans="1:17" ht="15" hidden="1" customHeight="1">
      <c r="A1150" s="163">
        <v>1144</v>
      </c>
      <c r="B1150" s="53" t="s">
        <v>28</v>
      </c>
      <c r="C1150" s="53" t="s">
        <v>11286</v>
      </c>
      <c r="D1150" s="53">
        <v>300005787</v>
      </c>
      <c r="E1150" s="55" t="s">
        <v>11287</v>
      </c>
      <c r="F1150" s="129">
        <v>100</v>
      </c>
      <c r="G1150" s="129" t="s">
        <v>1205</v>
      </c>
      <c r="H1150" s="512">
        <v>18.100000000000001</v>
      </c>
      <c r="I1150" s="265" t="s">
        <v>11138</v>
      </c>
      <c r="J1150" s="265" t="s">
        <v>77</v>
      </c>
      <c r="K1150" s="265">
        <v>0</v>
      </c>
      <c r="L1150" s="348" t="s">
        <v>1205</v>
      </c>
      <c r="M1150" s="265">
        <v>0</v>
      </c>
      <c r="N1150" s="347">
        <v>7.2999999999999995E-2</v>
      </c>
      <c r="O1150" s="348" t="s">
        <v>1205</v>
      </c>
      <c r="P1150" s="348" t="s">
        <v>1205</v>
      </c>
      <c r="Q1150" s="348" t="s">
        <v>1205</v>
      </c>
    </row>
    <row r="1151" spans="1:17" ht="15" hidden="1" customHeight="1">
      <c r="A1151" s="163">
        <v>1145</v>
      </c>
      <c r="B1151" s="53" t="s">
        <v>28</v>
      </c>
      <c r="C1151" s="53" t="s">
        <v>11288</v>
      </c>
      <c r="D1151" s="53">
        <v>300005788</v>
      </c>
      <c r="E1151" s="55" t="s">
        <v>11289</v>
      </c>
      <c r="F1151" s="129">
        <v>100</v>
      </c>
      <c r="G1151" s="129" t="s">
        <v>1205</v>
      </c>
      <c r="H1151" s="512">
        <v>48.02</v>
      </c>
      <c r="I1151" s="265" t="s">
        <v>11138</v>
      </c>
      <c r="J1151" s="265" t="s">
        <v>77</v>
      </c>
      <c r="K1151" s="265">
        <v>0</v>
      </c>
      <c r="L1151" s="348" t="s">
        <v>1205</v>
      </c>
      <c r="M1151" s="265">
        <v>0</v>
      </c>
      <c r="N1151" s="347">
        <v>0.11700000000000001</v>
      </c>
      <c r="O1151" s="348" t="s">
        <v>1205</v>
      </c>
      <c r="P1151" s="348" t="s">
        <v>1205</v>
      </c>
      <c r="Q1151" s="348" t="s">
        <v>1205</v>
      </c>
    </row>
    <row r="1152" spans="1:17" ht="15" hidden="1" customHeight="1">
      <c r="A1152" s="163">
        <v>1146</v>
      </c>
      <c r="B1152" s="53" t="s">
        <v>28</v>
      </c>
      <c r="C1152" s="53" t="s">
        <v>11290</v>
      </c>
      <c r="D1152" s="53">
        <v>300005781</v>
      </c>
      <c r="E1152" s="55" t="s">
        <v>11291</v>
      </c>
      <c r="F1152" s="129">
        <v>50</v>
      </c>
      <c r="G1152" s="129" t="s">
        <v>1205</v>
      </c>
      <c r="H1152" s="512">
        <v>79.83</v>
      </c>
      <c r="I1152" s="265" t="s">
        <v>11138</v>
      </c>
      <c r="J1152" s="265" t="s">
        <v>77</v>
      </c>
      <c r="K1152" s="265">
        <v>0</v>
      </c>
      <c r="L1152" s="348" t="s">
        <v>1205</v>
      </c>
      <c r="M1152" s="265">
        <v>0</v>
      </c>
      <c r="N1152" s="347">
        <v>0.254</v>
      </c>
      <c r="O1152" s="348" t="s">
        <v>1205</v>
      </c>
      <c r="P1152" s="348" t="s">
        <v>1205</v>
      </c>
      <c r="Q1152" s="348" t="s">
        <v>1205</v>
      </c>
    </row>
    <row r="1153" spans="1:17" ht="15" hidden="1" customHeight="1">
      <c r="A1153" s="163">
        <v>1147</v>
      </c>
      <c r="B1153" s="53" t="s">
        <v>28</v>
      </c>
      <c r="C1153" s="53" t="s">
        <v>11292</v>
      </c>
      <c r="D1153" s="53">
        <v>300006052</v>
      </c>
      <c r="E1153" s="55" t="s">
        <v>11293</v>
      </c>
      <c r="F1153" s="129">
        <v>500</v>
      </c>
      <c r="G1153" s="129" t="s">
        <v>1205</v>
      </c>
      <c r="H1153" s="512">
        <v>18.03</v>
      </c>
      <c r="I1153" s="265" t="s">
        <v>11138</v>
      </c>
      <c r="J1153" s="265" t="s">
        <v>77</v>
      </c>
      <c r="K1153" s="265" t="s">
        <v>408</v>
      </c>
      <c r="L1153" s="348" t="s">
        <v>1205</v>
      </c>
      <c r="M1153" s="265" t="s">
        <v>409</v>
      </c>
      <c r="N1153" s="347">
        <v>8.4000000000000005E-2</v>
      </c>
      <c r="O1153" s="348" t="s">
        <v>1205</v>
      </c>
      <c r="P1153" s="348" t="s">
        <v>1205</v>
      </c>
      <c r="Q1153" s="348" t="s">
        <v>1205</v>
      </c>
    </row>
    <row r="1154" spans="1:17" ht="15" hidden="1" customHeight="1">
      <c r="A1154" s="163">
        <v>1148</v>
      </c>
      <c r="B1154" s="53" t="s">
        <v>28</v>
      </c>
      <c r="C1154" s="53" t="s">
        <v>11294</v>
      </c>
      <c r="D1154" s="53">
        <v>300006051</v>
      </c>
      <c r="E1154" s="55" t="s">
        <v>11295</v>
      </c>
      <c r="F1154" s="129">
        <v>250</v>
      </c>
      <c r="G1154" s="129" t="s">
        <v>1205</v>
      </c>
      <c r="H1154" s="512">
        <v>16.8</v>
      </c>
      <c r="I1154" s="265" t="s">
        <v>11138</v>
      </c>
      <c r="J1154" s="265" t="s">
        <v>77</v>
      </c>
      <c r="K1154" s="265" t="s">
        <v>410</v>
      </c>
      <c r="L1154" s="348" t="s">
        <v>1205</v>
      </c>
      <c r="M1154" s="265" t="s">
        <v>411</v>
      </c>
      <c r="N1154" s="347">
        <v>8.7999999999999995E-2</v>
      </c>
      <c r="O1154" s="348" t="s">
        <v>1205</v>
      </c>
      <c r="P1154" s="348" t="s">
        <v>1205</v>
      </c>
      <c r="Q1154" s="348" t="s">
        <v>1205</v>
      </c>
    </row>
    <row r="1155" spans="1:17" ht="15" hidden="1" customHeight="1">
      <c r="A1155" s="163">
        <v>1149</v>
      </c>
      <c r="B1155" s="53" t="s">
        <v>28</v>
      </c>
      <c r="C1155" s="53" t="s">
        <v>11296</v>
      </c>
      <c r="D1155" s="53">
        <v>300005785</v>
      </c>
      <c r="E1155" s="55" t="s">
        <v>11297</v>
      </c>
      <c r="F1155" s="129">
        <v>100</v>
      </c>
      <c r="G1155" s="129" t="s">
        <v>1205</v>
      </c>
      <c r="H1155" s="512">
        <v>24.32</v>
      </c>
      <c r="I1155" s="265" t="s">
        <v>11138</v>
      </c>
      <c r="J1155" s="265" t="s">
        <v>77</v>
      </c>
      <c r="K1155" s="265" t="s">
        <v>412</v>
      </c>
      <c r="L1155" s="348" t="s">
        <v>1205</v>
      </c>
      <c r="M1155" s="265">
        <v>0</v>
      </c>
      <c r="N1155" s="347">
        <v>0.154</v>
      </c>
      <c r="O1155" s="348" t="s">
        <v>1205</v>
      </c>
      <c r="P1155" s="348" t="s">
        <v>1205</v>
      </c>
      <c r="Q1155" s="348" t="s">
        <v>1205</v>
      </c>
    </row>
    <row r="1156" spans="1:17" ht="15" hidden="1" customHeight="1">
      <c r="A1156" s="163">
        <v>1150</v>
      </c>
      <c r="B1156" s="53" t="s">
        <v>28</v>
      </c>
      <c r="C1156" s="53" t="s">
        <v>11298</v>
      </c>
      <c r="D1156" s="53">
        <v>300005797</v>
      </c>
      <c r="E1156" s="55" t="s">
        <v>11299</v>
      </c>
      <c r="F1156" s="129">
        <v>100</v>
      </c>
      <c r="G1156" s="129" t="s">
        <v>1205</v>
      </c>
      <c r="H1156" s="512">
        <v>35.49</v>
      </c>
      <c r="I1156" s="265" t="s">
        <v>11138</v>
      </c>
      <c r="J1156" s="265" t="s">
        <v>77</v>
      </c>
      <c r="K1156" s="265">
        <v>0</v>
      </c>
      <c r="L1156" s="348" t="s">
        <v>1205</v>
      </c>
      <c r="M1156" s="265">
        <v>0</v>
      </c>
      <c r="N1156" s="347">
        <v>0.32800000000000001</v>
      </c>
      <c r="O1156" s="348" t="s">
        <v>1205</v>
      </c>
      <c r="P1156" s="348" t="s">
        <v>1205</v>
      </c>
      <c r="Q1156" s="348" t="s">
        <v>1205</v>
      </c>
    </row>
    <row r="1157" spans="1:17" ht="15" hidden="1" customHeight="1">
      <c r="A1157" s="163">
        <v>1151</v>
      </c>
      <c r="B1157" s="53" t="s">
        <v>28</v>
      </c>
      <c r="C1157" s="53" t="s">
        <v>11300</v>
      </c>
      <c r="D1157" s="53">
        <v>300005798</v>
      </c>
      <c r="E1157" s="55" t="s">
        <v>11301</v>
      </c>
      <c r="F1157" s="129">
        <v>100</v>
      </c>
      <c r="G1157" s="129" t="s">
        <v>1205</v>
      </c>
      <c r="H1157" s="512">
        <v>75.569999999999993</v>
      </c>
      <c r="I1157" s="265" t="s">
        <v>11138</v>
      </c>
      <c r="J1157" s="265" t="s">
        <v>77</v>
      </c>
      <c r="K1157" s="265">
        <v>0</v>
      </c>
      <c r="L1157" s="348" t="s">
        <v>1205</v>
      </c>
      <c r="M1157" s="265">
        <v>0</v>
      </c>
      <c r="N1157" s="347">
        <v>0.51400000000000001</v>
      </c>
      <c r="O1157" s="348" t="s">
        <v>1205</v>
      </c>
      <c r="P1157" s="348" t="s">
        <v>1205</v>
      </c>
      <c r="Q1157" s="348" t="s">
        <v>1205</v>
      </c>
    </row>
    <row r="1158" spans="1:17" ht="15" hidden="1" customHeight="1">
      <c r="A1158" s="163">
        <v>1152</v>
      </c>
      <c r="B1158" s="53" t="s">
        <v>28</v>
      </c>
      <c r="C1158" s="53" t="s">
        <v>11302</v>
      </c>
      <c r="D1158" s="53">
        <v>300005786</v>
      </c>
      <c r="E1158" s="55" t="s">
        <v>11303</v>
      </c>
      <c r="F1158" s="129">
        <v>50</v>
      </c>
      <c r="G1158" s="129" t="s">
        <v>1205</v>
      </c>
      <c r="H1158" s="512">
        <v>65.98</v>
      </c>
      <c r="I1158" s="265" t="s">
        <v>11138</v>
      </c>
      <c r="J1158" s="265" t="s">
        <v>77</v>
      </c>
      <c r="K1158" s="265">
        <v>0</v>
      </c>
      <c r="L1158" s="348" t="s">
        <v>1205</v>
      </c>
      <c r="M1158" s="265">
        <v>0</v>
      </c>
      <c r="N1158" s="347">
        <v>0.51400000000000001</v>
      </c>
      <c r="O1158" s="348" t="s">
        <v>1205</v>
      </c>
      <c r="P1158" s="348" t="s">
        <v>1205</v>
      </c>
      <c r="Q1158" s="348" t="s">
        <v>1205</v>
      </c>
    </row>
    <row r="1159" spans="1:17" ht="15" hidden="1" customHeight="1">
      <c r="A1159" s="163">
        <v>1153</v>
      </c>
      <c r="B1159" s="53" t="s">
        <v>28</v>
      </c>
      <c r="C1159" s="53" t="s">
        <v>11304</v>
      </c>
      <c r="D1159" s="53">
        <v>300005830</v>
      </c>
      <c r="E1159" s="55" t="s">
        <v>11305</v>
      </c>
      <c r="F1159" s="129">
        <v>50</v>
      </c>
      <c r="G1159" s="129" t="s">
        <v>1205</v>
      </c>
      <c r="H1159" s="512">
        <v>73.13</v>
      </c>
      <c r="I1159" s="265" t="s">
        <v>11138</v>
      </c>
      <c r="J1159" s="265" t="s">
        <v>77</v>
      </c>
      <c r="K1159" s="265">
        <v>0</v>
      </c>
      <c r="L1159" s="348" t="s">
        <v>1205</v>
      </c>
      <c r="M1159" s="265">
        <v>0</v>
      </c>
      <c r="N1159" s="347">
        <v>0.185</v>
      </c>
      <c r="O1159" s="348" t="s">
        <v>1205</v>
      </c>
      <c r="P1159" s="348" t="s">
        <v>1205</v>
      </c>
      <c r="Q1159" s="348" t="s">
        <v>1205</v>
      </c>
    </row>
    <row r="1160" spans="1:17" ht="15" hidden="1" customHeight="1">
      <c r="A1160" s="163">
        <v>1154</v>
      </c>
      <c r="B1160" s="53" t="s">
        <v>28</v>
      </c>
      <c r="C1160" s="53" t="s">
        <v>11306</v>
      </c>
      <c r="D1160" s="53">
        <v>300005732</v>
      </c>
      <c r="E1160" s="55" t="s">
        <v>11307</v>
      </c>
      <c r="F1160" s="129">
        <v>25</v>
      </c>
      <c r="G1160" s="129" t="s">
        <v>1205</v>
      </c>
      <c r="H1160" s="512">
        <v>40.17</v>
      </c>
      <c r="I1160" s="265" t="s">
        <v>11138</v>
      </c>
      <c r="J1160" s="265" t="s">
        <v>77</v>
      </c>
      <c r="K1160" s="265">
        <v>0</v>
      </c>
      <c r="L1160" s="348" t="s">
        <v>1205</v>
      </c>
      <c r="M1160" s="265">
        <v>0</v>
      </c>
      <c r="N1160" s="347">
        <v>2E-3</v>
      </c>
      <c r="O1160" s="348" t="s">
        <v>1205</v>
      </c>
      <c r="P1160" s="348" t="s">
        <v>1205</v>
      </c>
      <c r="Q1160" s="348" t="s">
        <v>1205</v>
      </c>
    </row>
    <row r="1161" spans="1:17" ht="15" hidden="1" customHeight="1">
      <c r="A1161" s="163">
        <v>1155</v>
      </c>
      <c r="B1161" s="53" t="s">
        <v>28</v>
      </c>
      <c r="C1161" s="53" t="s">
        <v>11308</v>
      </c>
      <c r="D1161" s="53">
        <v>300005733</v>
      </c>
      <c r="E1161" s="55" t="s">
        <v>11309</v>
      </c>
      <c r="F1161" s="129">
        <v>25</v>
      </c>
      <c r="G1161" s="129" t="s">
        <v>1205</v>
      </c>
      <c r="H1161" s="512">
        <v>55.35</v>
      </c>
      <c r="I1161" s="265" t="s">
        <v>11138</v>
      </c>
      <c r="J1161" s="265" t="s">
        <v>77</v>
      </c>
      <c r="K1161" s="265">
        <v>0</v>
      </c>
      <c r="L1161" s="348" t="s">
        <v>1205</v>
      </c>
      <c r="M1161" s="265">
        <v>0</v>
      </c>
      <c r="N1161" s="347">
        <v>2E-3</v>
      </c>
      <c r="O1161" s="348" t="s">
        <v>1205</v>
      </c>
      <c r="P1161" s="348" t="s">
        <v>1205</v>
      </c>
      <c r="Q1161" s="348" t="s">
        <v>1205</v>
      </c>
    </row>
    <row r="1162" spans="1:17" ht="15" hidden="1" customHeight="1">
      <c r="A1162" s="163">
        <v>1156</v>
      </c>
      <c r="B1162" s="53" t="s">
        <v>28</v>
      </c>
      <c r="C1162" s="53" t="s">
        <v>11310</v>
      </c>
      <c r="D1162" s="53">
        <v>300005730</v>
      </c>
      <c r="E1162" s="55" t="s">
        <v>11311</v>
      </c>
      <c r="F1162" s="129">
        <v>100</v>
      </c>
      <c r="G1162" s="129" t="s">
        <v>1205</v>
      </c>
      <c r="H1162" s="512">
        <v>125.38</v>
      </c>
      <c r="I1162" s="265" t="s">
        <v>11138</v>
      </c>
      <c r="J1162" s="265" t="s">
        <v>77</v>
      </c>
      <c r="K1162" s="265">
        <v>0</v>
      </c>
      <c r="L1162" s="348" t="s">
        <v>1205</v>
      </c>
      <c r="M1162" s="265">
        <v>0</v>
      </c>
      <c r="N1162" s="347">
        <v>3.9E-2</v>
      </c>
      <c r="O1162" s="348" t="s">
        <v>1205</v>
      </c>
      <c r="P1162" s="348" t="s">
        <v>1205</v>
      </c>
      <c r="Q1162" s="348" t="s">
        <v>1205</v>
      </c>
    </row>
    <row r="1163" spans="1:17" ht="15" hidden="1" customHeight="1">
      <c r="A1163" s="163">
        <v>1157</v>
      </c>
      <c r="B1163" s="53" t="s">
        <v>28</v>
      </c>
      <c r="C1163" s="53" t="s">
        <v>11312</v>
      </c>
      <c r="D1163" s="53">
        <v>300005809</v>
      </c>
      <c r="E1163" s="55" t="s">
        <v>11313</v>
      </c>
      <c r="F1163" s="129">
        <v>100</v>
      </c>
      <c r="G1163" s="129" t="s">
        <v>1205</v>
      </c>
      <c r="H1163" s="512">
        <v>73.03</v>
      </c>
      <c r="I1163" s="265" t="s">
        <v>11138</v>
      </c>
      <c r="J1163" s="265" t="s">
        <v>77</v>
      </c>
      <c r="K1163" s="265">
        <v>0</v>
      </c>
      <c r="L1163" s="348" t="s">
        <v>1205</v>
      </c>
      <c r="M1163" s="265">
        <v>0</v>
      </c>
      <c r="N1163" s="347">
        <v>9.2999999999999999E-2</v>
      </c>
      <c r="O1163" s="348" t="s">
        <v>1205</v>
      </c>
      <c r="P1163" s="348" t="s">
        <v>1205</v>
      </c>
      <c r="Q1163" s="348" t="s">
        <v>1205</v>
      </c>
    </row>
    <row r="1164" spans="1:17" ht="15" hidden="1" customHeight="1">
      <c r="A1164" s="163">
        <v>1158</v>
      </c>
      <c r="B1164" s="53" t="s">
        <v>28</v>
      </c>
      <c r="C1164" s="53" t="s">
        <v>11314</v>
      </c>
      <c r="D1164" s="53">
        <v>300005810</v>
      </c>
      <c r="E1164" s="55" t="s">
        <v>11315</v>
      </c>
      <c r="F1164" s="129">
        <v>100</v>
      </c>
      <c r="G1164" s="129" t="s">
        <v>1205</v>
      </c>
      <c r="H1164" s="512">
        <v>80.41</v>
      </c>
      <c r="I1164" s="265" t="s">
        <v>11138</v>
      </c>
      <c r="J1164" s="265" t="s">
        <v>77</v>
      </c>
      <c r="K1164" s="265">
        <v>0</v>
      </c>
      <c r="L1164" s="348" t="s">
        <v>1205</v>
      </c>
      <c r="M1164" s="265">
        <v>0</v>
      </c>
      <c r="N1164" s="347">
        <v>0.16800000000000001</v>
      </c>
      <c r="O1164" s="348" t="s">
        <v>1205</v>
      </c>
      <c r="P1164" s="348" t="s">
        <v>1205</v>
      </c>
      <c r="Q1164" s="348" t="s">
        <v>1205</v>
      </c>
    </row>
    <row r="1165" spans="1:17" ht="15" hidden="1" customHeight="1">
      <c r="A1165" s="163">
        <v>1159</v>
      </c>
      <c r="B1165" s="53" t="s">
        <v>28</v>
      </c>
      <c r="C1165" s="53" t="s">
        <v>11316</v>
      </c>
      <c r="D1165" s="53">
        <v>300005805</v>
      </c>
      <c r="E1165" s="55" t="s">
        <v>11317</v>
      </c>
      <c r="F1165" s="129">
        <v>100</v>
      </c>
      <c r="G1165" s="129" t="s">
        <v>1205</v>
      </c>
      <c r="H1165" s="512">
        <v>228.07</v>
      </c>
      <c r="I1165" s="265" t="s">
        <v>11138</v>
      </c>
      <c r="J1165" s="265" t="s">
        <v>77</v>
      </c>
      <c r="K1165" s="265">
        <v>0</v>
      </c>
      <c r="L1165" s="348" t="s">
        <v>1205</v>
      </c>
      <c r="M1165" s="265">
        <v>0</v>
      </c>
      <c r="N1165" s="347">
        <v>0.27800000000000002</v>
      </c>
      <c r="O1165" s="348" t="s">
        <v>1205</v>
      </c>
      <c r="P1165" s="348" t="s">
        <v>1205</v>
      </c>
      <c r="Q1165" s="348" t="s">
        <v>1205</v>
      </c>
    </row>
    <row r="1166" spans="1:17" ht="15" hidden="1" customHeight="1">
      <c r="A1166" s="163">
        <v>1160</v>
      </c>
      <c r="B1166" s="53" t="s">
        <v>28</v>
      </c>
      <c r="C1166" s="53" t="s">
        <v>11318</v>
      </c>
      <c r="D1166" s="53">
        <v>300005816</v>
      </c>
      <c r="E1166" s="55" t="s">
        <v>11319</v>
      </c>
      <c r="F1166" s="129">
        <v>100</v>
      </c>
      <c r="G1166" s="129" t="s">
        <v>1205</v>
      </c>
      <c r="H1166" s="512">
        <v>76.72</v>
      </c>
      <c r="I1166" s="265" t="s">
        <v>11138</v>
      </c>
      <c r="J1166" s="265" t="s">
        <v>77</v>
      </c>
      <c r="K1166" s="265">
        <v>0</v>
      </c>
      <c r="L1166" s="348" t="s">
        <v>1205</v>
      </c>
      <c r="M1166" s="265">
        <v>0</v>
      </c>
      <c r="N1166" s="347">
        <v>0.112</v>
      </c>
      <c r="O1166" s="348" t="s">
        <v>1205</v>
      </c>
      <c r="P1166" s="348" t="s">
        <v>1205</v>
      </c>
      <c r="Q1166" s="348" t="s">
        <v>1205</v>
      </c>
    </row>
    <row r="1167" spans="1:17" ht="15" hidden="1" customHeight="1">
      <c r="A1167" s="163">
        <v>1161</v>
      </c>
      <c r="B1167" s="53" t="s">
        <v>29</v>
      </c>
      <c r="C1167" s="53" t="s">
        <v>417</v>
      </c>
      <c r="D1167" s="53">
        <v>100021857</v>
      </c>
      <c r="E1167" s="55" t="s">
        <v>418</v>
      </c>
      <c r="F1167" s="129">
        <v>250</v>
      </c>
      <c r="G1167" s="129">
        <v>9450</v>
      </c>
      <c r="H1167" s="512">
        <v>5.29</v>
      </c>
      <c r="I1167" s="265" t="s">
        <v>76</v>
      </c>
      <c r="J1167" s="265" t="s">
        <v>102</v>
      </c>
      <c r="K1167" s="265" t="s">
        <v>419</v>
      </c>
      <c r="L1167" s="265" t="s">
        <v>420</v>
      </c>
      <c r="M1167" s="265" t="s">
        <v>421</v>
      </c>
      <c r="N1167" s="347">
        <v>5.8999999999999997E-2</v>
      </c>
      <c r="O1167" s="348">
        <v>10</v>
      </c>
      <c r="P1167" s="348">
        <v>15.59</v>
      </c>
      <c r="Q1167" s="348">
        <v>1.1000000000000001</v>
      </c>
    </row>
    <row r="1168" spans="1:17" ht="15" hidden="1" customHeight="1">
      <c r="A1168" s="163">
        <v>1162</v>
      </c>
      <c r="B1168" s="53" t="s">
        <v>29</v>
      </c>
      <c r="C1168" s="53" t="s">
        <v>422</v>
      </c>
      <c r="D1168" s="53">
        <v>100021859</v>
      </c>
      <c r="E1168" s="55" t="s">
        <v>423</v>
      </c>
      <c r="F1168" s="129">
        <v>200</v>
      </c>
      <c r="G1168" s="129">
        <v>6000</v>
      </c>
      <c r="H1168" s="512">
        <v>5.71</v>
      </c>
      <c r="I1168" s="265" t="s">
        <v>76</v>
      </c>
      <c r="J1168" s="265" t="s">
        <v>102</v>
      </c>
      <c r="K1168" s="265" t="s">
        <v>424</v>
      </c>
      <c r="L1168" s="265" t="s">
        <v>425</v>
      </c>
      <c r="M1168" s="265" t="s">
        <v>426</v>
      </c>
      <c r="N1168" s="347">
        <v>8.7999999999999995E-2</v>
      </c>
      <c r="O1168" s="348">
        <v>10</v>
      </c>
      <c r="P1168" s="348">
        <v>18.36</v>
      </c>
      <c r="Q1168" s="348">
        <v>1.25</v>
      </c>
    </row>
    <row r="1169" spans="1:17" ht="15" hidden="1" customHeight="1">
      <c r="A1169" s="163">
        <v>1163</v>
      </c>
      <c r="B1169" s="53" t="s">
        <v>29</v>
      </c>
      <c r="C1169" s="53" t="s">
        <v>427</v>
      </c>
      <c r="D1169" s="53">
        <v>100021861</v>
      </c>
      <c r="E1169" s="55" t="s">
        <v>428</v>
      </c>
      <c r="F1169" s="129">
        <v>50</v>
      </c>
      <c r="G1169" s="129">
        <v>4500</v>
      </c>
      <c r="H1169" s="512">
        <v>7.43</v>
      </c>
      <c r="I1169" s="265" t="s">
        <v>76</v>
      </c>
      <c r="J1169" s="265" t="s">
        <v>102</v>
      </c>
      <c r="K1169" s="265" t="s">
        <v>429</v>
      </c>
      <c r="L1169" s="265" t="s">
        <v>430</v>
      </c>
      <c r="M1169" s="265" t="s">
        <v>431</v>
      </c>
      <c r="N1169" s="347">
        <v>0.13200000000000001</v>
      </c>
      <c r="O1169" s="348">
        <v>10</v>
      </c>
      <c r="P1169" s="348">
        <v>7.27</v>
      </c>
      <c r="Q1169" s="348">
        <v>0.5</v>
      </c>
    </row>
    <row r="1170" spans="1:17" ht="15" hidden="1" customHeight="1">
      <c r="A1170" s="163">
        <v>1164</v>
      </c>
      <c r="B1170" s="53" t="s">
        <v>29</v>
      </c>
      <c r="C1170" s="53" t="s">
        <v>432</v>
      </c>
      <c r="D1170" s="53">
        <v>100021863</v>
      </c>
      <c r="E1170" s="55" t="s">
        <v>433</v>
      </c>
      <c r="F1170" s="129">
        <v>50</v>
      </c>
      <c r="G1170" s="129">
        <v>3000</v>
      </c>
      <c r="H1170" s="512">
        <v>11.66</v>
      </c>
      <c r="I1170" s="265" t="s">
        <v>76</v>
      </c>
      <c r="J1170" s="265" t="s">
        <v>102</v>
      </c>
      <c r="K1170" s="265" t="s">
        <v>434</v>
      </c>
      <c r="L1170" s="265" t="s">
        <v>435</v>
      </c>
      <c r="M1170" s="265" t="s">
        <v>436</v>
      </c>
      <c r="N1170" s="347">
        <v>0.189</v>
      </c>
      <c r="O1170" s="348">
        <v>10</v>
      </c>
      <c r="P1170" s="348">
        <v>9.56</v>
      </c>
      <c r="Q1170" s="348">
        <v>0.8</v>
      </c>
    </row>
    <row r="1171" spans="1:17" ht="15" hidden="1" customHeight="1">
      <c r="A1171" s="163">
        <v>1165</v>
      </c>
      <c r="B1171" s="53" t="s">
        <v>29</v>
      </c>
      <c r="C1171" s="53" t="s">
        <v>437</v>
      </c>
      <c r="D1171" s="53">
        <v>100021864</v>
      </c>
      <c r="E1171" s="55" t="s">
        <v>438</v>
      </c>
      <c r="F1171" s="129">
        <v>25</v>
      </c>
      <c r="G1171" s="129">
        <v>2250</v>
      </c>
      <c r="H1171" s="512">
        <v>13.19</v>
      </c>
      <c r="I1171" s="265" t="s">
        <v>76</v>
      </c>
      <c r="J1171" s="265" t="s">
        <v>102</v>
      </c>
      <c r="K1171" s="265" t="s">
        <v>439</v>
      </c>
      <c r="L1171" s="265" t="s">
        <v>440</v>
      </c>
      <c r="M1171" s="265" t="s">
        <v>441</v>
      </c>
      <c r="N1171" s="347">
        <v>0.218</v>
      </c>
      <c r="O1171" s="348">
        <v>5</v>
      </c>
      <c r="P1171" s="348">
        <v>6.12</v>
      </c>
      <c r="Q1171" s="348">
        <v>0.5</v>
      </c>
    </row>
    <row r="1172" spans="1:17" ht="15" hidden="1" customHeight="1">
      <c r="A1172" s="163">
        <v>1166</v>
      </c>
      <c r="B1172" s="53" t="s">
        <v>29</v>
      </c>
      <c r="C1172" s="53" t="s">
        <v>442</v>
      </c>
      <c r="D1172" s="53">
        <v>100021866</v>
      </c>
      <c r="E1172" s="55" t="s">
        <v>443</v>
      </c>
      <c r="F1172" s="129">
        <v>20</v>
      </c>
      <c r="G1172" s="129">
        <v>1200</v>
      </c>
      <c r="H1172" s="512">
        <v>26.04</v>
      </c>
      <c r="I1172" s="265" t="s">
        <v>76</v>
      </c>
      <c r="J1172" s="265" t="s">
        <v>102</v>
      </c>
      <c r="K1172" s="265" t="s">
        <v>444</v>
      </c>
      <c r="L1172" s="265" t="s">
        <v>445</v>
      </c>
      <c r="M1172" s="265" t="s">
        <v>446</v>
      </c>
      <c r="N1172" s="347">
        <v>0.318</v>
      </c>
      <c r="O1172" s="348">
        <v>5</v>
      </c>
      <c r="P1172" s="348">
        <v>7.22</v>
      </c>
      <c r="Q1172" s="348">
        <v>0.8</v>
      </c>
    </row>
    <row r="1173" spans="1:17" ht="15" hidden="1" customHeight="1">
      <c r="A1173" s="163">
        <v>1167</v>
      </c>
      <c r="B1173" s="53" t="s">
        <v>29</v>
      </c>
      <c r="C1173" s="53" t="s">
        <v>449</v>
      </c>
      <c r="D1173" s="53">
        <v>100021872</v>
      </c>
      <c r="E1173" s="55" t="s">
        <v>450</v>
      </c>
      <c r="F1173" s="129">
        <v>200</v>
      </c>
      <c r="G1173" s="129">
        <v>9000</v>
      </c>
      <c r="H1173" s="512">
        <v>6.49</v>
      </c>
      <c r="I1173" s="265" t="s">
        <v>76</v>
      </c>
      <c r="J1173" s="265" t="s">
        <v>102</v>
      </c>
      <c r="K1173" s="265" t="s">
        <v>451</v>
      </c>
      <c r="L1173" s="265" t="s">
        <v>452</v>
      </c>
      <c r="M1173" s="265" t="s">
        <v>453</v>
      </c>
      <c r="N1173" s="347">
        <v>7.5999999999999998E-2</v>
      </c>
      <c r="O1173" s="348">
        <v>10</v>
      </c>
      <c r="P1173" s="348">
        <v>16.61</v>
      </c>
      <c r="Q1173" s="348">
        <v>1.1000000000000001</v>
      </c>
    </row>
    <row r="1174" spans="1:17" ht="15" hidden="1" customHeight="1">
      <c r="A1174" s="163">
        <v>1168</v>
      </c>
      <c r="B1174" s="53" t="s">
        <v>29</v>
      </c>
      <c r="C1174" s="53" t="s">
        <v>454</v>
      </c>
      <c r="D1174" s="53">
        <v>100021877</v>
      </c>
      <c r="E1174" s="55" t="s">
        <v>455</v>
      </c>
      <c r="F1174" s="129">
        <v>100</v>
      </c>
      <c r="G1174" s="129">
        <v>6000</v>
      </c>
      <c r="H1174" s="512">
        <v>12.35</v>
      </c>
      <c r="I1174" s="265" t="s">
        <v>359</v>
      </c>
      <c r="J1174" s="265" t="s">
        <v>102</v>
      </c>
      <c r="K1174" s="265" t="s">
        <v>456</v>
      </c>
      <c r="L1174" s="265" t="s">
        <v>457</v>
      </c>
      <c r="M1174" s="265" t="s">
        <v>458</v>
      </c>
      <c r="N1174" s="347">
        <v>8.6999999999999994E-2</v>
      </c>
      <c r="O1174" s="348">
        <v>10</v>
      </c>
      <c r="P1174" s="348">
        <v>9.44</v>
      </c>
      <c r="Q1174" s="348">
        <v>0.8</v>
      </c>
    </row>
    <row r="1175" spans="1:17" ht="15" hidden="1" customHeight="1">
      <c r="A1175" s="163">
        <v>1169</v>
      </c>
      <c r="B1175" s="53" t="s">
        <v>29</v>
      </c>
      <c r="C1175" s="53" t="s">
        <v>459</v>
      </c>
      <c r="D1175" s="53">
        <v>100021879</v>
      </c>
      <c r="E1175" s="55" t="s">
        <v>460</v>
      </c>
      <c r="F1175" s="129">
        <v>100</v>
      </c>
      <c r="G1175" s="129">
        <v>7500</v>
      </c>
      <c r="H1175" s="512">
        <v>7.61</v>
      </c>
      <c r="I1175" s="265" t="s">
        <v>76</v>
      </c>
      <c r="J1175" s="265" t="s">
        <v>102</v>
      </c>
      <c r="K1175" s="265" t="s">
        <v>461</v>
      </c>
      <c r="L1175" s="265" t="s">
        <v>462</v>
      </c>
      <c r="M1175" s="265" t="s">
        <v>463</v>
      </c>
      <c r="N1175" s="347">
        <v>0.105</v>
      </c>
      <c r="O1175" s="348">
        <v>10</v>
      </c>
      <c r="P1175" s="348">
        <v>8.9499999999999993</v>
      </c>
      <c r="Q1175" s="348">
        <v>0.65</v>
      </c>
    </row>
    <row r="1176" spans="1:17" ht="15" hidden="1" customHeight="1">
      <c r="A1176" s="163">
        <v>1170</v>
      </c>
      <c r="B1176" s="53" t="s">
        <v>29</v>
      </c>
      <c r="C1176" s="53" t="s">
        <v>464</v>
      </c>
      <c r="D1176" s="53">
        <v>100021881</v>
      </c>
      <c r="E1176" s="55" t="s">
        <v>465</v>
      </c>
      <c r="F1176" s="129">
        <v>100</v>
      </c>
      <c r="G1176" s="129">
        <v>7500</v>
      </c>
      <c r="H1176" s="512">
        <v>7.67</v>
      </c>
      <c r="I1176" s="265" t="s">
        <v>76</v>
      </c>
      <c r="J1176" s="265" t="s">
        <v>102</v>
      </c>
      <c r="K1176" s="265" t="s">
        <v>466</v>
      </c>
      <c r="L1176" s="265" t="s">
        <v>467</v>
      </c>
      <c r="M1176" s="265" t="s">
        <v>468</v>
      </c>
      <c r="N1176" s="347">
        <v>0.16800000000000001</v>
      </c>
      <c r="O1176" s="348">
        <v>10</v>
      </c>
      <c r="P1176" s="348">
        <v>12.68</v>
      </c>
      <c r="Q1176" s="348">
        <v>0.65</v>
      </c>
    </row>
    <row r="1177" spans="1:17" ht="15" hidden="1" customHeight="1">
      <c r="A1177" s="163">
        <v>1171</v>
      </c>
      <c r="B1177" s="53" t="s">
        <v>29</v>
      </c>
      <c r="C1177" s="53" t="s">
        <v>469</v>
      </c>
      <c r="D1177" s="53">
        <v>100021888</v>
      </c>
      <c r="E1177" s="55" t="s">
        <v>470</v>
      </c>
      <c r="F1177" s="129">
        <v>50</v>
      </c>
      <c r="G1177" s="129">
        <v>3750</v>
      </c>
      <c r="H1177" s="512">
        <v>9.9600000000000009</v>
      </c>
      <c r="I1177" s="265" t="s">
        <v>76</v>
      </c>
      <c r="J1177" s="265" t="s">
        <v>102</v>
      </c>
      <c r="K1177" s="265" t="s">
        <v>471</v>
      </c>
      <c r="L1177" s="265" t="s">
        <v>472</v>
      </c>
      <c r="M1177" s="265" t="s">
        <v>473</v>
      </c>
      <c r="N1177" s="347">
        <v>0.15</v>
      </c>
      <c r="O1177" s="348">
        <v>10</v>
      </c>
      <c r="P1177" s="348">
        <v>8.3000000000000007</v>
      </c>
      <c r="Q1177" s="348">
        <v>0.65</v>
      </c>
    </row>
    <row r="1178" spans="1:17" ht="15" hidden="1" customHeight="1">
      <c r="A1178" s="163">
        <v>1172</v>
      </c>
      <c r="B1178" s="53" t="s">
        <v>29</v>
      </c>
      <c r="C1178" s="53" t="s">
        <v>474</v>
      </c>
      <c r="D1178" s="53">
        <v>100021894</v>
      </c>
      <c r="E1178" s="55" t="s">
        <v>475</v>
      </c>
      <c r="F1178" s="129">
        <v>50</v>
      </c>
      <c r="G1178" s="129">
        <v>3750</v>
      </c>
      <c r="H1178" s="512">
        <v>17.440000000000001</v>
      </c>
      <c r="I1178" s="265" t="s">
        <v>359</v>
      </c>
      <c r="J1178" s="265" t="s">
        <v>102</v>
      </c>
      <c r="K1178" s="265" t="s">
        <v>476</v>
      </c>
      <c r="L1178" s="265" t="s">
        <v>477</v>
      </c>
      <c r="M1178" s="265" t="s">
        <v>478</v>
      </c>
      <c r="N1178" s="347">
        <v>0.17199999999999999</v>
      </c>
      <c r="O1178" s="348">
        <v>10</v>
      </c>
      <c r="P1178" s="348">
        <v>8.6199999999999992</v>
      </c>
      <c r="Q1178" s="348">
        <v>0.65</v>
      </c>
    </row>
    <row r="1179" spans="1:17" ht="15" hidden="1" customHeight="1">
      <c r="A1179" s="163">
        <v>1173</v>
      </c>
      <c r="B1179" s="53" t="s">
        <v>29</v>
      </c>
      <c r="C1179" s="53" t="s">
        <v>479</v>
      </c>
      <c r="D1179" s="53">
        <v>100021895</v>
      </c>
      <c r="E1179" s="55" t="s">
        <v>480</v>
      </c>
      <c r="F1179" s="129">
        <v>50</v>
      </c>
      <c r="G1179" s="129">
        <v>3000</v>
      </c>
      <c r="H1179" s="512">
        <v>17.440000000000001</v>
      </c>
      <c r="I1179" s="265" t="s">
        <v>76</v>
      </c>
      <c r="J1179" s="265" t="s">
        <v>102</v>
      </c>
      <c r="K1179" s="265" t="s">
        <v>481</v>
      </c>
      <c r="L1179" s="265" t="s">
        <v>482</v>
      </c>
      <c r="M1179" s="265" t="s">
        <v>483</v>
      </c>
      <c r="N1179" s="347">
        <v>0.17599999999999999</v>
      </c>
      <c r="O1179" s="348">
        <v>10</v>
      </c>
      <c r="P1179" s="348">
        <v>8.86</v>
      </c>
      <c r="Q1179" s="348">
        <v>0.8</v>
      </c>
    </row>
    <row r="1180" spans="1:17" ht="15" hidden="1" customHeight="1">
      <c r="A1180" s="163">
        <v>1174</v>
      </c>
      <c r="B1180" s="53" t="s">
        <v>29</v>
      </c>
      <c r="C1180" s="53" t="s">
        <v>484</v>
      </c>
      <c r="D1180" s="53">
        <v>100021901</v>
      </c>
      <c r="E1180" s="55" t="s">
        <v>485</v>
      </c>
      <c r="F1180" s="129">
        <v>25</v>
      </c>
      <c r="G1180" s="129">
        <v>1875</v>
      </c>
      <c r="H1180" s="512">
        <v>24.76</v>
      </c>
      <c r="I1180" s="265" t="s">
        <v>359</v>
      </c>
      <c r="J1180" s="265" t="s">
        <v>102</v>
      </c>
      <c r="K1180" s="265" t="s">
        <v>486</v>
      </c>
      <c r="L1180" s="265" t="s">
        <v>487</v>
      </c>
      <c r="M1180" s="265" t="s">
        <v>488</v>
      </c>
      <c r="N1180" s="347">
        <v>0.25600000000000001</v>
      </c>
      <c r="O1180" s="348">
        <v>5</v>
      </c>
      <c r="P1180" s="348">
        <v>6.28</v>
      </c>
      <c r="Q1180" s="348">
        <v>0.65</v>
      </c>
    </row>
    <row r="1181" spans="1:17" ht="15" hidden="1" customHeight="1">
      <c r="A1181" s="163">
        <v>1175</v>
      </c>
      <c r="B1181" s="53" t="s">
        <v>29</v>
      </c>
      <c r="C1181" s="53" t="s">
        <v>490</v>
      </c>
      <c r="D1181" s="53">
        <v>100021885</v>
      </c>
      <c r="E1181" s="55" t="s">
        <v>491</v>
      </c>
      <c r="F1181" s="129">
        <v>50</v>
      </c>
      <c r="G1181" s="129">
        <v>4500</v>
      </c>
      <c r="H1181" s="512">
        <v>14.2</v>
      </c>
      <c r="I1181" s="265" t="s">
        <v>76</v>
      </c>
      <c r="J1181" s="265" t="s">
        <v>102</v>
      </c>
      <c r="K1181" s="265" t="s">
        <v>492</v>
      </c>
      <c r="L1181" s="348" t="s">
        <v>1205</v>
      </c>
      <c r="M1181" s="265" t="s">
        <v>494</v>
      </c>
      <c r="N1181" s="347">
        <v>0.14799999999999999</v>
      </c>
      <c r="O1181" s="348" t="s">
        <v>1205</v>
      </c>
      <c r="P1181" s="348">
        <v>7.67</v>
      </c>
      <c r="Q1181" s="348">
        <v>0.5</v>
      </c>
    </row>
    <row r="1182" spans="1:17" ht="15" hidden="1" customHeight="1">
      <c r="A1182" s="163">
        <v>1176</v>
      </c>
      <c r="B1182" s="53" t="s">
        <v>29</v>
      </c>
      <c r="C1182" s="53" t="s">
        <v>497</v>
      </c>
      <c r="D1182" s="53">
        <v>100021868</v>
      </c>
      <c r="E1182" s="55" t="s">
        <v>498</v>
      </c>
      <c r="F1182" s="129">
        <v>250</v>
      </c>
      <c r="G1182" s="129">
        <v>11250</v>
      </c>
      <c r="H1182" s="512">
        <v>14.31</v>
      </c>
      <c r="I1182" s="265" t="s">
        <v>76</v>
      </c>
      <c r="J1182" s="265" t="s">
        <v>102</v>
      </c>
      <c r="K1182" s="265" t="s">
        <v>499</v>
      </c>
      <c r="L1182" s="265" t="s">
        <v>500</v>
      </c>
      <c r="M1182" s="265" t="s">
        <v>501</v>
      </c>
      <c r="N1182" s="347">
        <v>5.6000000000000001E-2</v>
      </c>
      <c r="O1182" s="348">
        <v>10</v>
      </c>
      <c r="P1182" s="348">
        <v>13.75</v>
      </c>
      <c r="Q1182" s="348">
        <v>0.95</v>
      </c>
    </row>
    <row r="1183" spans="1:17" ht="15" hidden="1" customHeight="1">
      <c r="A1183" s="163">
        <v>1177</v>
      </c>
      <c r="B1183" s="53" t="s">
        <v>29</v>
      </c>
      <c r="C1183" s="53" t="s">
        <v>502</v>
      </c>
      <c r="D1183" s="53">
        <v>100021874</v>
      </c>
      <c r="E1183" s="55" t="s">
        <v>503</v>
      </c>
      <c r="F1183" s="129">
        <v>100</v>
      </c>
      <c r="G1183" s="129">
        <v>72000</v>
      </c>
      <c r="H1183" s="512">
        <v>16.43</v>
      </c>
      <c r="I1183" s="265" t="s">
        <v>76</v>
      </c>
      <c r="J1183" s="265" t="s">
        <v>102</v>
      </c>
      <c r="K1183" s="265" t="s">
        <v>504</v>
      </c>
      <c r="L1183" s="265" t="s">
        <v>505</v>
      </c>
      <c r="M1183" s="265" t="s">
        <v>506</v>
      </c>
      <c r="N1183" s="347">
        <v>8.5999999999999993E-2</v>
      </c>
      <c r="O1183" s="348">
        <v>10</v>
      </c>
      <c r="P1183" s="348">
        <v>9.2799999999999994</v>
      </c>
      <c r="Q1183" s="348">
        <v>0.65</v>
      </c>
    </row>
    <row r="1184" spans="1:17" ht="15" hidden="1" customHeight="1">
      <c r="A1184" s="163">
        <v>1178</v>
      </c>
      <c r="B1184" s="53" t="s">
        <v>29</v>
      </c>
      <c r="C1184" s="53" t="s">
        <v>507</v>
      </c>
      <c r="D1184" s="53">
        <v>100021882</v>
      </c>
      <c r="E1184" s="55" t="s">
        <v>508</v>
      </c>
      <c r="F1184" s="129">
        <v>50</v>
      </c>
      <c r="G1184" s="129">
        <v>3750</v>
      </c>
      <c r="H1184" s="512">
        <v>22.95</v>
      </c>
      <c r="I1184" s="265" t="s">
        <v>76</v>
      </c>
      <c r="J1184" s="265" t="s">
        <v>102</v>
      </c>
      <c r="K1184" s="265" t="s">
        <v>509</v>
      </c>
      <c r="L1184" s="265" t="s">
        <v>510</v>
      </c>
      <c r="M1184" s="265" t="s">
        <v>511</v>
      </c>
      <c r="N1184" s="347">
        <v>0.13</v>
      </c>
      <c r="O1184" s="348">
        <v>10</v>
      </c>
      <c r="P1184" s="348">
        <v>7.22</v>
      </c>
      <c r="Q1184" s="348">
        <v>0.65</v>
      </c>
    </row>
    <row r="1185" spans="1:17" ht="15" hidden="1" customHeight="1">
      <c r="A1185" s="163">
        <v>1179</v>
      </c>
      <c r="B1185" s="53" t="s">
        <v>29</v>
      </c>
      <c r="C1185" s="53" t="s">
        <v>514</v>
      </c>
      <c r="D1185" s="53">
        <v>100026295</v>
      </c>
      <c r="E1185" s="55" t="s">
        <v>515</v>
      </c>
      <c r="F1185" s="129">
        <v>100</v>
      </c>
      <c r="G1185" s="129">
        <v>9000</v>
      </c>
      <c r="H1185" s="512">
        <v>8.2200000000000006</v>
      </c>
      <c r="I1185" s="265" t="s">
        <v>76</v>
      </c>
      <c r="J1185" s="265" t="s">
        <v>102</v>
      </c>
      <c r="K1185" s="265" t="s">
        <v>516</v>
      </c>
      <c r="L1185" s="265" t="s">
        <v>517</v>
      </c>
      <c r="M1185" s="265" t="s">
        <v>518</v>
      </c>
      <c r="N1185" s="347">
        <v>7.5999999999999998E-2</v>
      </c>
      <c r="O1185" s="348">
        <v>10</v>
      </c>
      <c r="P1185" s="348">
        <v>8.57</v>
      </c>
      <c r="Q1185" s="348">
        <v>0.5</v>
      </c>
    </row>
    <row r="1186" spans="1:17" ht="15" hidden="1" customHeight="1">
      <c r="A1186" s="163">
        <v>1180</v>
      </c>
      <c r="B1186" s="53" t="s">
        <v>29</v>
      </c>
      <c r="C1186" s="53" t="s">
        <v>519</v>
      </c>
      <c r="D1186" s="53">
        <v>100026296</v>
      </c>
      <c r="E1186" s="55" t="s">
        <v>520</v>
      </c>
      <c r="F1186" s="129">
        <v>100</v>
      </c>
      <c r="G1186" s="129">
        <v>6000</v>
      </c>
      <c r="H1186" s="512">
        <v>8.9700000000000006</v>
      </c>
      <c r="I1186" s="265" t="s">
        <v>76</v>
      </c>
      <c r="J1186" s="265" t="s">
        <v>102</v>
      </c>
      <c r="K1186" s="265" t="s">
        <v>521</v>
      </c>
      <c r="L1186" s="265" t="s">
        <v>522</v>
      </c>
      <c r="M1186" s="265" t="s">
        <v>523</v>
      </c>
      <c r="N1186" s="347">
        <v>0.107</v>
      </c>
      <c r="O1186" s="348">
        <v>10</v>
      </c>
      <c r="P1186" s="348">
        <v>11.57</v>
      </c>
      <c r="Q1186" s="348">
        <v>0.8</v>
      </c>
    </row>
    <row r="1187" spans="1:17" ht="15" hidden="1" customHeight="1">
      <c r="A1187" s="163">
        <v>1181</v>
      </c>
      <c r="B1187" s="53" t="s">
        <v>29</v>
      </c>
      <c r="C1187" s="53" t="s">
        <v>526</v>
      </c>
      <c r="D1187" s="53">
        <v>100021905</v>
      </c>
      <c r="E1187" s="55" t="s">
        <v>527</v>
      </c>
      <c r="F1187" s="129">
        <v>200</v>
      </c>
      <c r="G1187" s="129">
        <v>12000</v>
      </c>
      <c r="H1187" s="512">
        <v>5.71</v>
      </c>
      <c r="I1187" s="265" t="s">
        <v>76</v>
      </c>
      <c r="J1187" s="265" t="s">
        <v>102</v>
      </c>
      <c r="K1187" s="265" t="s">
        <v>528</v>
      </c>
      <c r="L1187" s="265" t="s">
        <v>529</v>
      </c>
      <c r="M1187" s="265" t="s">
        <v>530</v>
      </c>
      <c r="N1187" s="347">
        <v>6.2E-2</v>
      </c>
      <c r="O1187" s="348">
        <v>10</v>
      </c>
      <c r="P1187" s="348">
        <v>13.44</v>
      </c>
      <c r="Q1187" s="348">
        <v>0.8</v>
      </c>
    </row>
    <row r="1188" spans="1:17" ht="15" hidden="1" customHeight="1">
      <c r="A1188" s="163">
        <v>1182</v>
      </c>
      <c r="B1188" s="53" t="s">
        <v>29</v>
      </c>
      <c r="C1188" s="53" t="s">
        <v>531</v>
      </c>
      <c r="D1188" s="53">
        <v>100021907</v>
      </c>
      <c r="E1188" s="55" t="s">
        <v>532</v>
      </c>
      <c r="F1188" s="129">
        <v>200</v>
      </c>
      <c r="G1188" s="129">
        <v>9000</v>
      </c>
      <c r="H1188" s="512">
        <v>8.61</v>
      </c>
      <c r="I1188" s="265" t="s">
        <v>76</v>
      </c>
      <c r="J1188" s="265" t="s">
        <v>102</v>
      </c>
      <c r="K1188" s="265" t="s">
        <v>533</v>
      </c>
      <c r="L1188" s="265" t="s">
        <v>534</v>
      </c>
      <c r="M1188" s="265" t="s">
        <v>535</v>
      </c>
      <c r="N1188" s="347">
        <v>8.4000000000000005E-2</v>
      </c>
      <c r="O1188" s="348">
        <v>10</v>
      </c>
      <c r="P1188" s="348">
        <v>18.18</v>
      </c>
      <c r="Q1188" s="348">
        <v>1.1000000000000001</v>
      </c>
    </row>
    <row r="1189" spans="1:17" ht="15" hidden="1" customHeight="1">
      <c r="A1189" s="163">
        <v>1183</v>
      </c>
      <c r="B1189" s="53" t="s">
        <v>29</v>
      </c>
      <c r="C1189" s="53" t="s">
        <v>536</v>
      </c>
      <c r="D1189" s="53">
        <v>100021909</v>
      </c>
      <c r="E1189" s="55" t="s">
        <v>537</v>
      </c>
      <c r="F1189" s="129">
        <v>50</v>
      </c>
      <c r="G1189" s="129">
        <v>4500</v>
      </c>
      <c r="H1189" s="512">
        <v>10.16</v>
      </c>
      <c r="I1189" s="265" t="s">
        <v>76</v>
      </c>
      <c r="J1189" s="265" t="s">
        <v>102</v>
      </c>
      <c r="K1189" s="265" t="s">
        <v>538</v>
      </c>
      <c r="L1189" s="265" t="s">
        <v>539</v>
      </c>
      <c r="M1189" s="265" t="s">
        <v>540</v>
      </c>
      <c r="N1189" s="347">
        <v>0.14399999999999999</v>
      </c>
      <c r="O1189" s="348">
        <v>10</v>
      </c>
      <c r="P1189" s="348">
        <v>8.0299999999999994</v>
      </c>
      <c r="Q1189" s="348">
        <v>0.5</v>
      </c>
    </row>
    <row r="1190" spans="1:17" ht="15" hidden="1" customHeight="1">
      <c r="A1190" s="163">
        <v>1184</v>
      </c>
      <c r="B1190" s="53" t="s">
        <v>29</v>
      </c>
      <c r="C1190" s="53" t="s">
        <v>541</v>
      </c>
      <c r="D1190" s="53">
        <v>100021911</v>
      </c>
      <c r="E1190" s="55" t="s">
        <v>542</v>
      </c>
      <c r="F1190" s="129">
        <v>25</v>
      </c>
      <c r="G1190" s="129">
        <v>1875</v>
      </c>
      <c r="H1190" s="512">
        <v>25.88</v>
      </c>
      <c r="I1190" s="265" t="s">
        <v>359</v>
      </c>
      <c r="J1190" s="265" t="s">
        <v>102</v>
      </c>
      <c r="K1190" s="265" t="s">
        <v>543</v>
      </c>
      <c r="L1190" s="265" t="s">
        <v>544</v>
      </c>
      <c r="M1190" s="265" t="s">
        <v>545</v>
      </c>
      <c r="N1190" s="347">
        <v>0.28000000000000003</v>
      </c>
      <c r="O1190" s="348">
        <v>5</v>
      </c>
      <c r="P1190" s="348">
        <v>7.68</v>
      </c>
      <c r="Q1190" s="348">
        <v>0.65</v>
      </c>
    </row>
    <row r="1191" spans="1:17" ht="15" hidden="1" customHeight="1">
      <c r="A1191" s="163">
        <v>1185</v>
      </c>
      <c r="B1191" s="53" t="s">
        <v>29</v>
      </c>
      <c r="C1191" s="53" t="s">
        <v>546</v>
      </c>
      <c r="D1191" s="53">
        <v>100021912</v>
      </c>
      <c r="E1191" s="55" t="s">
        <v>547</v>
      </c>
      <c r="F1191" s="129">
        <v>20</v>
      </c>
      <c r="G1191" s="129">
        <v>1200</v>
      </c>
      <c r="H1191" s="512">
        <v>32.15</v>
      </c>
      <c r="I1191" s="265" t="s">
        <v>76</v>
      </c>
      <c r="J1191" s="265" t="s">
        <v>102</v>
      </c>
      <c r="K1191" s="265" t="s">
        <v>548</v>
      </c>
      <c r="L1191" s="265" t="s">
        <v>549</v>
      </c>
      <c r="M1191" s="265" t="s">
        <v>550</v>
      </c>
      <c r="N1191" s="347">
        <v>0.41</v>
      </c>
      <c r="O1191" s="348">
        <v>5</v>
      </c>
      <c r="P1191" s="348">
        <v>9.09</v>
      </c>
      <c r="Q1191" s="348">
        <v>0.8</v>
      </c>
    </row>
    <row r="1192" spans="1:17" ht="15" hidden="1" customHeight="1">
      <c r="A1192" s="163">
        <v>1186</v>
      </c>
      <c r="B1192" s="53" t="s">
        <v>29</v>
      </c>
      <c r="C1192" s="53" t="s">
        <v>552</v>
      </c>
      <c r="D1192" s="53">
        <v>100021917</v>
      </c>
      <c r="E1192" s="55" t="s">
        <v>553</v>
      </c>
      <c r="F1192" s="129">
        <v>200</v>
      </c>
      <c r="G1192" s="129">
        <v>9000</v>
      </c>
      <c r="H1192" s="512">
        <v>7.2</v>
      </c>
      <c r="I1192" s="265" t="s">
        <v>76</v>
      </c>
      <c r="J1192" s="265" t="s">
        <v>102</v>
      </c>
      <c r="K1192" s="265" t="s">
        <v>554</v>
      </c>
      <c r="L1192" s="265" t="s">
        <v>555</v>
      </c>
      <c r="M1192" s="265" t="s">
        <v>556</v>
      </c>
      <c r="N1192" s="347">
        <v>7.4999999999999997E-2</v>
      </c>
      <c r="O1192" s="348">
        <v>10</v>
      </c>
      <c r="P1192" s="348">
        <v>16.32</v>
      </c>
      <c r="Q1192" s="348">
        <v>1.1000000000000001</v>
      </c>
    </row>
    <row r="1193" spans="1:17" ht="15" hidden="1" customHeight="1">
      <c r="A1193" s="163">
        <v>1187</v>
      </c>
      <c r="B1193" s="53" t="s">
        <v>29</v>
      </c>
      <c r="C1193" s="53" t="s">
        <v>557</v>
      </c>
      <c r="D1193" s="53">
        <v>100021923</v>
      </c>
      <c r="E1193" s="55" t="s">
        <v>558</v>
      </c>
      <c r="F1193" s="129">
        <v>100</v>
      </c>
      <c r="G1193" s="129">
        <v>7500</v>
      </c>
      <c r="H1193" s="512">
        <v>9.4</v>
      </c>
      <c r="I1193" s="265" t="s">
        <v>76</v>
      </c>
      <c r="J1193" s="265" t="s">
        <v>102</v>
      </c>
      <c r="K1193" s="265" t="s">
        <v>559</v>
      </c>
      <c r="L1193" s="265" t="s">
        <v>560</v>
      </c>
      <c r="M1193" s="265" t="s">
        <v>561</v>
      </c>
      <c r="N1193" s="347">
        <v>9.9000000000000005E-2</v>
      </c>
      <c r="O1193" s="348">
        <v>10</v>
      </c>
      <c r="P1193" s="348">
        <v>10.69</v>
      </c>
      <c r="Q1193" s="348">
        <v>0.65</v>
      </c>
    </row>
    <row r="1194" spans="1:17" ht="15" hidden="1" customHeight="1">
      <c r="A1194" s="163">
        <v>1188</v>
      </c>
      <c r="B1194" s="53" t="s">
        <v>29</v>
      </c>
      <c r="C1194" s="53" t="s">
        <v>562</v>
      </c>
      <c r="D1194" s="53">
        <v>100021925</v>
      </c>
      <c r="E1194" s="55" t="s">
        <v>563</v>
      </c>
      <c r="F1194" s="129">
        <v>100</v>
      </c>
      <c r="G1194" s="129">
        <v>6000</v>
      </c>
      <c r="H1194" s="512">
        <v>9.4</v>
      </c>
      <c r="I1194" s="265" t="s">
        <v>76</v>
      </c>
      <c r="J1194" s="265" t="s">
        <v>102</v>
      </c>
      <c r="K1194" s="265" t="s">
        <v>564</v>
      </c>
      <c r="L1194" s="265" t="s">
        <v>565</v>
      </c>
      <c r="M1194" s="265" t="s">
        <v>566</v>
      </c>
      <c r="N1194" s="347">
        <v>0.105</v>
      </c>
      <c r="O1194" s="348">
        <v>10</v>
      </c>
      <c r="P1194" s="348">
        <v>11.26</v>
      </c>
      <c r="Q1194" s="348">
        <v>0.8</v>
      </c>
    </row>
    <row r="1195" spans="1:17" ht="15" hidden="1" customHeight="1">
      <c r="A1195" s="163">
        <v>1189</v>
      </c>
      <c r="B1195" s="53" t="s">
        <v>29</v>
      </c>
      <c r="C1195" s="53" t="s">
        <v>567</v>
      </c>
      <c r="D1195" s="53">
        <v>100021928</v>
      </c>
      <c r="E1195" s="55" t="s">
        <v>568</v>
      </c>
      <c r="F1195" s="129">
        <v>50</v>
      </c>
      <c r="G1195" s="129">
        <v>4500</v>
      </c>
      <c r="H1195" s="512">
        <v>12.8</v>
      </c>
      <c r="I1195" s="265" t="s">
        <v>76</v>
      </c>
      <c r="J1195" s="265" t="s">
        <v>102</v>
      </c>
      <c r="K1195" s="265" t="s">
        <v>569</v>
      </c>
      <c r="L1195" s="265" t="s">
        <v>570</v>
      </c>
      <c r="M1195" s="265" t="s">
        <v>571</v>
      </c>
      <c r="N1195" s="347">
        <v>0.14499999999999999</v>
      </c>
      <c r="O1195" s="348">
        <v>10</v>
      </c>
      <c r="P1195" s="348">
        <v>7.93</v>
      </c>
      <c r="Q1195" s="348">
        <v>0.5</v>
      </c>
    </row>
    <row r="1196" spans="1:17" ht="15" hidden="1" customHeight="1">
      <c r="A1196" s="163">
        <v>1190</v>
      </c>
      <c r="B1196" s="53" t="s">
        <v>29</v>
      </c>
      <c r="C1196" s="53" t="s">
        <v>572</v>
      </c>
      <c r="D1196" s="53">
        <v>100021929</v>
      </c>
      <c r="E1196" s="55" t="s">
        <v>573</v>
      </c>
      <c r="F1196" s="129">
        <v>50</v>
      </c>
      <c r="G1196" s="129">
        <v>3750</v>
      </c>
      <c r="H1196" s="512">
        <v>14.12</v>
      </c>
      <c r="I1196" s="265" t="s">
        <v>76</v>
      </c>
      <c r="J1196" s="265" t="s">
        <v>102</v>
      </c>
      <c r="K1196" s="265" t="s">
        <v>574</v>
      </c>
      <c r="L1196" s="265" t="s">
        <v>575</v>
      </c>
      <c r="M1196" s="265" t="s">
        <v>576</v>
      </c>
      <c r="N1196" s="347">
        <v>0.16200000000000001</v>
      </c>
      <c r="O1196" s="348">
        <v>10</v>
      </c>
      <c r="P1196" s="348">
        <v>9.18</v>
      </c>
      <c r="Q1196" s="348">
        <v>0.65</v>
      </c>
    </row>
    <row r="1197" spans="1:17" ht="15" hidden="1" customHeight="1">
      <c r="A1197" s="163">
        <v>1191</v>
      </c>
      <c r="B1197" s="53" t="s">
        <v>29</v>
      </c>
      <c r="C1197" s="53" t="s">
        <v>577</v>
      </c>
      <c r="D1197" s="53">
        <v>100021930</v>
      </c>
      <c r="E1197" s="55" t="s">
        <v>578</v>
      </c>
      <c r="F1197" s="129">
        <v>50</v>
      </c>
      <c r="G1197" s="129">
        <v>3750</v>
      </c>
      <c r="H1197" s="512">
        <v>14.95</v>
      </c>
      <c r="I1197" s="265" t="s">
        <v>359</v>
      </c>
      <c r="J1197" s="265" t="s">
        <v>102</v>
      </c>
      <c r="K1197" s="265" t="s">
        <v>579</v>
      </c>
      <c r="L1197" s="265" t="s">
        <v>580</v>
      </c>
      <c r="M1197" s="265" t="s">
        <v>581</v>
      </c>
      <c r="N1197" s="347">
        <v>0.20200000000000001</v>
      </c>
      <c r="O1197" s="348">
        <v>10</v>
      </c>
      <c r="P1197" s="348">
        <v>10.76</v>
      </c>
      <c r="Q1197" s="348">
        <v>0.65</v>
      </c>
    </row>
    <row r="1198" spans="1:17" ht="15" hidden="1" customHeight="1">
      <c r="A1198" s="163">
        <v>1192</v>
      </c>
      <c r="B1198" s="53" t="s">
        <v>29</v>
      </c>
      <c r="C1198" s="53" t="s">
        <v>582</v>
      </c>
      <c r="D1198" s="53">
        <v>100021934</v>
      </c>
      <c r="E1198" s="55" t="s">
        <v>583</v>
      </c>
      <c r="F1198" s="129">
        <v>50</v>
      </c>
      <c r="G1198" s="129">
        <v>3750</v>
      </c>
      <c r="H1198" s="512">
        <v>19.670000000000002</v>
      </c>
      <c r="I1198" s="265" t="s">
        <v>76</v>
      </c>
      <c r="J1198" s="265" t="s">
        <v>102</v>
      </c>
      <c r="K1198" s="265" t="s">
        <v>584</v>
      </c>
      <c r="L1198" s="265" t="s">
        <v>585</v>
      </c>
      <c r="M1198" s="265" t="s">
        <v>586</v>
      </c>
      <c r="N1198" s="347">
        <v>0.17199999999999999</v>
      </c>
      <c r="O1198" s="348">
        <v>10</v>
      </c>
      <c r="P1198" s="348">
        <v>9.2200000000000006</v>
      </c>
      <c r="Q1198" s="348">
        <v>0.65</v>
      </c>
    </row>
    <row r="1199" spans="1:17" ht="15" hidden="1" customHeight="1">
      <c r="A1199" s="163">
        <v>1193</v>
      </c>
      <c r="B1199" s="53" t="s">
        <v>29</v>
      </c>
      <c r="C1199" s="53" t="s">
        <v>587</v>
      </c>
      <c r="D1199" s="53">
        <v>100021936</v>
      </c>
      <c r="E1199" s="55" t="s">
        <v>588</v>
      </c>
      <c r="F1199" s="129">
        <v>50</v>
      </c>
      <c r="G1199" s="129">
        <v>3000</v>
      </c>
      <c r="H1199" s="512">
        <v>23.29</v>
      </c>
      <c r="I1199" s="265" t="s">
        <v>76</v>
      </c>
      <c r="J1199" s="265" t="s">
        <v>102</v>
      </c>
      <c r="K1199" s="265" t="s">
        <v>589</v>
      </c>
      <c r="L1199" s="265" t="s">
        <v>590</v>
      </c>
      <c r="M1199" s="265" t="s">
        <v>591</v>
      </c>
      <c r="N1199" s="347">
        <v>0.193</v>
      </c>
      <c r="O1199" s="348">
        <v>10</v>
      </c>
      <c r="P1199" s="348">
        <v>10.15</v>
      </c>
      <c r="Q1199" s="348">
        <v>0.8</v>
      </c>
    </row>
    <row r="1200" spans="1:17" ht="15" hidden="1" customHeight="1">
      <c r="A1200" s="163">
        <v>1194</v>
      </c>
      <c r="B1200" s="53" t="s">
        <v>29</v>
      </c>
      <c r="C1200" s="53" t="s">
        <v>592</v>
      </c>
      <c r="D1200" s="53">
        <v>100021937</v>
      </c>
      <c r="E1200" s="55" t="s">
        <v>593</v>
      </c>
      <c r="F1200" s="129">
        <v>50</v>
      </c>
      <c r="G1200" s="129">
        <v>2250</v>
      </c>
      <c r="H1200" s="512">
        <v>23.29</v>
      </c>
      <c r="I1200" s="265" t="s">
        <v>76</v>
      </c>
      <c r="J1200" s="265" t="s">
        <v>102</v>
      </c>
      <c r="K1200" s="265" t="s">
        <v>594</v>
      </c>
      <c r="L1200" s="265" t="s">
        <v>595</v>
      </c>
      <c r="M1200" s="265" t="s">
        <v>596</v>
      </c>
      <c r="N1200" s="347">
        <v>0.222</v>
      </c>
      <c r="O1200" s="348">
        <v>10</v>
      </c>
      <c r="P1200" s="348">
        <v>11.85</v>
      </c>
      <c r="Q1200" s="348">
        <v>0.95</v>
      </c>
    </row>
    <row r="1201" spans="1:17" ht="15" hidden="1" customHeight="1">
      <c r="A1201" s="163">
        <v>1195</v>
      </c>
      <c r="B1201" s="53" t="s">
        <v>29</v>
      </c>
      <c r="C1201" s="53" t="s">
        <v>597</v>
      </c>
      <c r="D1201" s="53">
        <v>100021939</v>
      </c>
      <c r="E1201" s="55" t="s">
        <v>598</v>
      </c>
      <c r="F1201" s="129">
        <v>25</v>
      </c>
      <c r="G1201" s="129">
        <v>1875</v>
      </c>
      <c r="H1201" s="512">
        <v>26.37</v>
      </c>
      <c r="I1201" s="265" t="s">
        <v>359</v>
      </c>
      <c r="J1201" s="265" t="s">
        <v>102</v>
      </c>
      <c r="K1201" s="265" t="s">
        <v>599</v>
      </c>
      <c r="L1201" s="265" t="s">
        <v>600</v>
      </c>
      <c r="M1201" s="265" t="s">
        <v>601</v>
      </c>
      <c r="N1201" s="347">
        <v>0.22700000000000001</v>
      </c>
      <c r="O1201" s="348">
        <v>5</v>
      </c>
      <c r="P1201" s="348">
        <v>6.25</v>
      </c>
      <c r="Q1201" s="348">
        <v>0.65</v>
      </c>
    </row>
    <row r="1202" spans="1:17" ht="15" hidden="1" customHeight="1">
      <c r="A1202" s="163">
        <v>1196</v>
      </c>
      <c r="B1202" s="53" t="s">
        <v>29</v>
      </c>
      <c r="C1202" s="53" t="s">
        <v>602</v>
      </c>
      <c r="D1202" s="53">
        <v>100021940</v>
      </c>
      <c r="E1202" s="55" t="s">
        <v>603</v>
      </c>
      <c r="F1202" s="129">
        <v>25</v>
      </c>
      <c r="G1202" s="129">
        <v>1875</v>
      </c>
      <c r="H1202" s="512">
        <v>27.91</v>
      </c>
      <c r="I1202" s="265" t="s">
        <v>76</v>
      </c>
      <c r="J1202" s="265" t="s">
        <v>102</v>
      </c>
      <c r="K1202" s="265" t="s">
        <v>604</v>
      </c>
      <c r="L1202" s="265" t="s">
        <v>605</v>
      </c>
      <c r="M1202" s="265" t="s">
        <v>606</v>
      </c>
      <c r="N1202" s="347">
        <v>0.246</v>
      </c>
      <c r="O1202" s="348">
        <v>5</v>
      </c>
      <c r="P1202" s="348">
        <v>6.84</v>
      </c>
      <c r="Q1202" s="348">
        <v>0.65</v>
      </c>
    </row>
    <row r="1203" spans="1:17" ht="15" hidden="1" customHeight="1">
      <c r="A1203" s="163">
        <v>1197</v>
      </c>
      <c r="B1203" s="53" t="s">
        <v>29</v>
      </c>
      <c r="C1203" s="53" t="s">
        <v>607</v>
      </c>
      <c r="D1203" s="53">
        <v>100021941</v>
      </c>
      <c r="E1203" s="55" t="s">
        <v>608</v>
      </c>
      <c r="F1203" s="129">
        <v>25</v>
      </c>
      <c r="G1203" s="129">
        <v>1875</v>
      </c>
      <c r="H1203" s="512">
        <v>30.66</v>
      </c>
      <c r="I1203" s="265" t="s">
        <v>76</v>
      </c>
      <c r="J1203" s="265" t="s">
        <v>102</v>
      </c>
      <c r="K1203" s="265" t="s">
        <v>609</v>
      </c>
      <c r="L1203" s="265" t="s">
        <v>610</v>
      </c>
      <c r="M1203" s="265" t="s">
        <v>611</v>
      </c>
      <c r="N1203" s="347">
        <v>0.314</v>
      </c>
      <c r="O1203" s="348">
        <v>5</v>
      </c>
      <c r="P1203" s="348">
        <v>7.79</v>
      </c>
      <c r="Q1203" s="348">
        <v>0.65</v>
      </c>
    </row>
    <row r="1204" spans="1:17" ht="15" hidden="1" customHeight="1">
      <c r="A1204" s="163">
        <v>1198</v>
      </c>
      <c r="B1204" s="53" t="s">
        <v>29</v>
      </c>
      <c r="C1204" s="53" t="s">
        <v>614</v>
      </c>
      <c r="D1204" s="53">
        <v>100021921</v>
      </c>
      <c r="E1204" s="55" t="s">
        <v>615</v>
      </c>
      <c r="F1204" s="129">
        <v>100</v>
      </c>
      <c r="G1204" s="129">
        <v>6000</v>
      </c>
      <c r="H1204" s="512">
        <v>13.92</v>
      </c>
      <c r="I1204" s="265" t="s">
        <v>76</v>
      </c>
      <c r="J1204" s="265" t="s">
        <v>102</v>
      </c>
      <c r="K1204" s="265" t="s">
        <v>616</v>
      </c>
      <c r="L1204" s="265" t="s">
        <v>617</v>
      </c>
      <c r="M1204" s="265" t="s">
        <v>618</v>
      </c>
      <c r="N1204" s="347">
        <v>0.11799999999999999</v>
      </c>
      <c r="O1204" s="348">
        <v>10</v>
      </c>
      <c r="P1204" s="348">
        <v>12.52</v>
      </c>
      <c r="Q1204" s="348">
        <v>0.8</v>
      </c>
    </row>
    <row r="1205" spans="1:17" ht="15" hidden="1" customHeight="1">
      <c r="A1205" s="163">
        <v>1199</v>
      </c>
      <c r="B1205" s="53" t="s">
        <v>29</v>
      </c>
      <c r="C1205" s="53" t="s">
        <v>620</v>
      </c>
      <c r="D1205" s="53">
        <v>100021944</v>
      </c>
      <c r="E1205" s="55" t="s">
        <v>621</v>
      </c>
      <c r="F1205" s="129">
        <v>200</v>
      </c>
      <c r="G1205" s="129">
        <v>15000</v>
      </c>
      <c r="H1205" s="512">
        <v>7.31</v>
      </c>
      <c r="I1205" s="265" t="s">
        <v>359</v>
      </c>
      <c r="J1205" s="265" t="s">
        <v>102</v>
      </c>
      <c r="K1205" s="265" t="s">
        <v>622</v>
      </c>
      <c r="L1205" s="265" t="s">
        <v>623</v>
      </c>
      <c r="M1205" s="265" t="s">
        <v>624</v>
      </c>
      <c r="N1205" s="347">
        <v>4.5999999999999999E-2</v>
      </c>
      <c r="O1205" s="348">
        <v>10</v>
      </c>
      <c r="P1205" s="348">
        <v>10.1</v>
      </c>
      <c r="Q1205" s="348">
        <v>0.65</v>
      </c>
    </row>
    <row r="1206" spans="1:17" ht="15" hidden="1" customHeight="1">
      <c r="A1206" s="163">
        <v>1200</v>
      </c>
      <c r="B1206" s="53" t="s">
        <v>29</v>
      </c>
      <c r="C1206" s="53" t="s">
        <v>625</v>
      </c>
      <c r="D1206" s="53">
        <v>100021946</v>
      </c>
      <c r="E1206" s="55" t="s">
        <v>626</v>
      </c>
      <c r="F1206" s="129">
        <v>200</v>
      </c>
      <c r="G1206" s="129">
        <v>9000</v>
      </c>
      <c r="H1206" s="512">
        <v>9.9600000000000009</v>
      </c>
      <c r="I1206" s="265" t="s">
        <v>76</v>
      </c>
      <c r="J1206" s="265" t="s">
        <v>102</v>
      </c>
      <c r="K1206" s="265" t="s">
        <v>627</v>
      </c>
      <c r="L1206" s="265" t="s">
        <v>628</v>
      </c>
      <c r="M1206" s="265" t="s">
        <v>629</v>
      </c>
      <c r="N1206" s="347">
        <v>7.0999999999999994E-2</v>
      </c>
      <c r="O1206" s="348">
        <v>10</v>
      </c>
      <c r="P1206" s="348">
        <v>15.28</v>
      </c>
      <c r="Q1206" s="348">
        <v>0.95</v>
      </c>
    </row>
    <row r="1207" spans="1:17" ht="15" hidden="1" customHeight="1">
      <c r="A1207" s="163">
        <v>1201</v>
      </c>
      <c r="B1207" s="53" t="s">
        <v>29</v>
      </c>
      <c r="C1207" s="53" t="s">
        <v>630</v>
      </c>
      <c r="D1207" s="53">
        <v>100021948</v>
      </c>
      <c r="E1207" s="55" t="s">
        <v>631</v>
      </c>
      <c r="F1207" s="129">
        <v>50</v>
      </c>
      <c r="G1207" s="129">
        <v>4500</v>
      </c>
      <c r="H1207" s="512">
        <v>12.8</v>
      </c>
      <c r="I1207" s="265" t="s">
        <v>76</v>
      </c>
      <c r="J1207" s="265" t="s">
        <v>102</v>
      </c>
      <c r="K1207" s="265" t="s">
        <v>632</v>
      </c>
      <c r="L1207" s="265" t="s">
        <v>633</v>
      </c>
      <c r="M1207" s="265" t="s">
        <v>634</v>
      </c>
      <c r="N1207" s="347">
        <v>0.121</v>
      </c>
      <c r="O1207" s="348">
        <v>10</v>
      </c>
      <c r="P1207" s="348">
        <v>6.99</v>
      </c>
      <c r="Q1207" s="348">
        <v>0.5</v>
      </c>
    </row>
    <row r="1208" spans="1:17" ht="15" hidden="1" customHeight="1">
      <c r="A1208" s="163">
        <v>1202</v>
      </c>
      <c r="B1208" s="53" t="s">
        <v>29</v>
      </c>
      <c r="C1208" s="53" t="s">
        <v>635</v>
      </c>
      <c r="D1208" s="53">
        <v>100021949</v>
      </c>
      <c r="E1208" s="55" t="s">
        <v>636</v>
      </c>
      <c r="F1208" s="129">
        <v>50</v>
      </c>
      <c r="G1208" s="129">
        <v>3750</v>
      </c>
      <c r="H1208" s="512">
        <v>16.670000000000002</v>
      </c>
      <c r="I1208" s="265" t="s">
        <v>359</v>
      </c>
      <c r="J1208" s="265" t="s">
        <v>102</v>
      </c>
      <c r="K1208" s="265" t="s">
        <v>637</v>
      </c>
      <c r="L1208" s="265" t="s">
        <v>638</v>
      </c>
      <c r="M1208" s="265" t="s">
        <v>639</v>
      </c>
      <c r="N1208" s="347">
        <v>0.19400000000000001</v>
      </c>
      <c r="O1208" s="348">
        <v>10</v>
      </c>
      <c r="P1208" s="348">
        <v>9.56</v>
      </c>
      <c r="Q1208" s="348">
        <v>0.65</v>
      </c>
    </row>
    <row r="1209" spans="1:17" ht="15" hidden="1" customHeight="1">
      <c r="A1209" s="163">
        <v>1203</v>
      </c>
      <c r="B1209" s="53" t="s">
        <v>29</v>
      </c>
      <c r="C1209" s="53" t="s">
        <v>642</v>
      </c>
      <c r="D1209" s="53">
        <v>100021953</v>
      </c>
      <c r="E1209" s="55" t="s">
        <v>643</v>
      </c>
      <c r="F1209" s="129">
        <v>250</v>
      </c>
      <c r="G1209" s="129">
        <v>22500</v>
      </c>
      <c r="H1209" s="512">
        <v>4.8499999999999996</v>
      </c>
      <c r="I1209" s="265" t="s">
        <v>76</v>
      </c>
      <c r="J1209" s="265" t="s">
        <v>102</v>
      </c>
      <c r="K1209" s="265" t="s">
        <v>644</v>
      </c>
      <c r="L1209" s="265" t="s">
        <v>645</v>
      </c>
      <c r="M1209" s="265" t="s">
        <v>646</v>
      </c>
      <c r="N1209" s="347">
        <v>4.2000000000000003E-2</v>
      </c>
      <c r="O1209" s="348">
        <v>10</v>
      </c>
      <c r="P1209" s="348">
        <v>11.3</v>
      </c>
      <c r="Q1209" s="348">
        <v>0.5</v>
      </c>
    </row>
    <row r="1210" spans="1:17" ht="15" hidden="1" customHeight="1">
      <c r="A1210" s="163">
        <v>1204</v>
      </c>
      <c r="B1210" s="53" t="s">
        <v>29</v>
      </c>
      <c r="C1210" s="53" t="s">
        <v>647</v>
      </c>
      <c r="D1210" s="53">
        <v>100021955</v>
      </c>
      <c r="E1210" s="55" t="s">
        <v>648</v>
      </c>
      <c r="F1210" s="129">
        <v>250</v>
      </c>
      <c r="G1210" s="129">
        <v>11250</v>
      </c>
      <c r="H1210" s="512">
        <v>5.96</v>
      </c>
      <c r="I1210" s="265" t="s">
        <v>76</v>
      </c>
      <c r="J1210" s="265" t="s">
        <v>102</v>
      </c>
      <c r="K1210" s="265" t="s">
        <v>649</v>
      </c>
      <c r="L1210" s="265" t="s">
        <v>650</v>
      </c>
      <c r="M1210" s="265" t="s">
        <v>651</v>
      </c>
      <c r="N1210" s="347">
        <v>0.06</v>
      </c>
      <c r="O1210" s="348">
        <v>10</v>
      </c>
      <c r="P1210" s="348">
        <v>16.21</v>
      </c>
      <c r="Q1210" s="348">
        <v>0.95</v>
      </c>
    </row>
    <row r="1211" spans="1:17" ht="15" hidden="1" customHeight="1">
      <c r="A1211" s="163">
        <v>1205</v>
      </c>
      <c r="B1211" s="53" t="s">
        <v>29</v>
      </c>
      <c r="C1211" s="53" t="s">
        <v>652</v>
      </c>
      <c r="D1211" s="53">
        <v>100021957</v>
      </c>
      <c r="E1211" s="55" t="s">
        <v>653</v>
      </c>
      <c r="F1211" s="129">
        <v>100</v>
      </c>
      <c r="G1211" s="129">
        <v>7500</v>
      </c>
      <c r="H1211" s="512">
        <v>6.55</v>
      </c>
      <c r="I1211" s="265" t="s">
        <v>76</v>
      </c>
      <c r="J1211" s="265" t="s">
        <v>102</v>
      </c>
      <c r="K1211" s="265" t="s">
        <v>654</v>
      </c>
      <c r="L1211" s="265" t="s">
        <v>655</v>
      </c>
      <c r="M1211" s="265" t="s">
        <v>656</v>
      </c>
      <c r="N1211" s="347">
        <v>9.2999999999999999E-2</v>
      </c>
      <c r="O1211" s="348">
        <v>10</v>
      </c>
      <c r="P1211" s="348">
        <v>10.119999999999999</v>
      </c>
      <c r="Q1211" s="348">
        <v>0.65</v>
      </c>
    </row>
    <row r="1212" spans="1:17" ht="15" hidden="1" customHeight="1">
      <c r="A1212" s="163">
        <v>1206</v>
      </c>
      <c r="B1212" s="53" t="s">
        <v>29</v>
      </c>
      <c r="C1212" s="53" t="s">
        <v>657</v>
      </c>
      <c r="D1212" s="53">
        <v>100021959</v>
      </c>
      <c r="E1212" s="55" t="s">
        <v>658</v>
      </c>
      <c r="F1212" s="129">
        <v>50</v>
      </c>
      <c r="G1212" s="129">
        <v>4500</v>
      </c>
      <c r="H1212" s="512">
        <v>7.31</v>
      </c>
      <c r="I1212" s="265" t="s">
        <v>76</v>
      </c>
      <c r="J1212" s="265" t="s">
        <v>102</v>
      </c>
      <c r="K1212" s="265" t="s">
        <v>659</v>
      </c>
      <c r="L1212" s="265" t="s">
        <v>660</v>
      </c>
      <c r="M1212" s="265" t="s">
        <v>661</v>
      </c>
      <c r="N1212" s="347">
        <v>0.13600000000000001</v>
      </c>
      <c r="O1212" s="348">
        <v>5</v>
      </c>
      <c r="P1212" s="348">
        <v>7.44</v>
      </c>
      <c r="Q1212" s="348">
        <v>0.5</v>
      </c>
    </row>
    <row r="1213" spans="1:17" ht="15" hidden="1" customHeight="1">
      <c r="A1213" s="163">
        <v>1207</v>
      </c>
      <c r="B1213" s="53" t="s">
        <v>29</v>
      </c>
      <c r="C1213" s="53" t="s">
        <v>662</v>
      </c>
      <c r="D1213" s="53">
        <v>100021961</v>
      </c>
      <c r="E1213" s="55" t="s">
        <v>663</v>
      </c>
      <c r="F1213" s="129">
        <v>50</v>
      </c>
      <c r="G1213" s="129">
        <v>3750</v>
      </c>
      <c r="H1213" s="512">
        <v>8.61</v>
      </c>
      <c r="I1213" s="265" t="s">
        <v>76</v>
      </c>
      <c r="J1213" s="265" t="s">
        <v>102</v>
      </c>
      <c r="K1213" s="265" t="s">
        <v>664</v>
      </c>
      <c r="L1213" s="265" t="s">
        <v>665</v>
      </c>
      <c r="M1213" s="265" t="s">
        <v>666</v>
      </c>
      <c r="N1213" s="347">
        <v>0.16400000000000001</v>
      </c>
      <c r="O1213" s="348">
        <v>5</v>
      </c>
      <c r="P1213" s="348">
        <v>9.2899999999999991</v>
      </c>
      <c r="Q1213" s="348">
        <v>0.65</v>
      </c>
    </row>
    <row r="1214" spans="1:17" ht="15" hidden="1" customHeight="1">
      <c r="A1214" s="163">
        <v>1208</v>
      </c>
      <c r="B1214" s="53" t="s">
        <v>29</v>
      </c>
      <c r="C1214" s="53" t="s">
        <v>667</v>
      </c>
      <c r="D1214" s="53">
        <v>100021963</v>
      </c>
      <c r="E1214" s="55" t="s">
        <v>668</v>
      </c>
      <c r="F1214" s="129">
        <v>25</v>
      </c>
      <c r="G1214" s="129">
        <v>1875</v>
      </c>
      <c r="H1214" s="512">
        <v>12.04</v>
      </c>
      <c r="I1214" s="265" t="s">
        <v>76</v>
      </c>
      <c r="J1214" s="265" t="s">
        <v>102</v>
      </c>
      <c r="K1214" s="265" t="s">
        <v>669</v>
      </c>
      <c r="L1214" s="265" t="s">
        <v>670</v>
      </c>
      <c r="M1214" s="265" t="s">
        <v>671</v>
      </c>
      <c r="N1214" s="347">
        <v>0.25600000000000001</v>
      </c>
      <c r="O1214" s="348">
        <v>5</v>
      </c>
      <c r="P1214" s="348">
        <v>7.25</v>
      </c>
      <c r="Q1214" s="348">
        <v>0.65</v>
      </c>
    </row>
    <row r="1215" spans="1:17" ht="15" hidden="1" customHeight="1">
      <c r="A1215" s="163">
        <v>1209</v>
      </c>
      <c r="B1215" s="53" t="s">
        <v>29</v>
      </c>
      <c r="C1215" s="53" t="s">
        <v>674</v>
      </c>
      <c r="D1215" s="53">
        <v>100021967</v>
      </c>
      <c r="E1215" s="55" t="s">
        <v>675</v>
      </c>
      <c r="F1215" s="129">
        <v>100</v>
      </c>
      <c r="G1215" s="129">
        <v>9000</v>
      </c>
      <c r="H1215" s="512">
        <v>6.89</v>
      </c>
      <c r="I1215" s="265" t="s">
        <v>359</v>
      </c>
      <c r="J1215" s="265" t="s">
        <v>102</v>
      </c>
      <c r="K1215" s="265" t="s">
        <v>676</v>
      </c>
      <c r="L1215" s="265" t="s">
        <v>677</v>
      </c>
      <c r="M1215" s="265" t="s">
        <v>678</v>
      </c>
      <c r="N1215" s="347">
        <v>9.2999999999999999E-2</v>
      </c>
      <c r="O1215" s="348">
        <v>10</v>
      </c>
      <c r="P1215" s="348">
        <v>9.33</v>
      </c>
      <c r="Q1215" s="348">
        <v>0.5</v>
      </c>
    </row>
    <row r="1216" spans="1:17" ht="15" hidden="1" customHeight="1">
      <c r="A1216" s="163">
        <v>1210</v>
      </c>
      <c r="B1216" s="53" t="s">
        <v>29</v>
      </c>
      <c r="C1216" s="53" t="s">
        <v>681</v>
      </c>
      <c r="D1216" s="53">
        <v>100021966</v>
      </c>
      <c r="E1216" s="55" t="s">
        <v>682</v>
      </c>
      <c r="F1216" s="129">
        <v>250</v>
      </c>
      <c r="G1216" s="129">
        <v>18750</v>
      </c>
      <c r="H1216" s="512">
        <v>5.58</v>
      </c>
      <c r="I1216" s="265" t="s">
        <v>359</v>
      </c>
      <c r="J1216" s="265" t="s">
        <v>102</v>
      </c>
      <c r="K1216" s="265" t="s">
        <v>683</v>
      </c>
      <c r="L1216" s="265" t="s">
        <v>684</v>
      </c>
      <c r="M1216" s="265" t="s">
        <v>685</v>
      </c>
      <c r="N1216" s="347">
        <v>4.2999999999999997E-2</v>
      </c>
      <c r="O1216" s="348">
        <v>10</v>
      </c>
      <c r="P1216" s="348">
        <v>10.41</v>
      </c>
      <c r="Q1216" s="348">
        <v>0.65</v>
      </c>
    </row>
    <row r="1217" spans="1:17" ht="15" hidden="1" customHeight="1">
      <c r="A1217" s="163">
        <v>1211</v>
      </c>
      <c r="B1217" s="53" t="s">
        <v>29</v>
      </c>
      <c r="C1217" s="53" t="s">
        <v>686</v>
      </c>
      <c r="D1217" s="53">
        <v>100021969</v>
      </c>
      <c r="E1217" s="55" t="s">
        <v>687</v>
      </c>
      <c r="F1217" s="129">
        <v>100</v>
      </c>
      <c r="G1217" s="129">
        <v>9000</v>
      </c>
      <c r="H1217" s="512">
        <v>6.89</v>
      </c>
      <c r="I1217" s="265" t="s">
        <v>76</v>
      </c>
      <c r="J1217" s="265" t="s">
        <v>102</v>
      </c>
      <c r="K1217" s="265" t="s">
        <v>688</v>
      </c>
      <c r="L1217" s="265" t="s">
        <v>689</v>
      </c>
      <c r="M1217" s="265" t="s">
        <v>690</v>
      </c>
      <c r="N1217" s="347">
        <v>6.7000000000000004E-2</v>
      </c>
      <c r="O1217" s="348">
        <v>10</v>
      </c>
      <c r="P1217" s="348">
        <v>7.02</v>
      </c>
      <c r="Q1217" s="348">
        <v>0.5</v>
      </c>
    </row>
    <row r="1218" spans="1:17" ht="15" hidden="1" customHeight="1">
      <c r="A1218" s="163">
        <v>1212</v>
      </c>
      <c r="B1218" s="53" t="s">
        <v>29</v>
      </c>
      <c r="C1218" s="53" t="s">
        <v>693</v>
      </c>
      <c r="D1218" s="53">
        <v>100021974</v>
      </c>
      <c r="E1218" s="55" t="s">
        <v>694</v>
      </c>
      <c r="F1218" s="129">
        <v>250</v>
      </c>
      <c r="G1218" s="129">
        <v>15000</v>
      </c>
      <c r="H1218" s="512">
        <v>5.44</v>
      </c>
      <c r="I1218" s="265" t="s">
        <v>76</v>
      </c>
      <c r="J1218" s="265" t="s">
        <v>102</v>
      </c>
      <c r="K1218" s="265" t="s">
        <v>695</v>
      </c>
      <c r="L1218" s="265" t="s">
        <v>696</v>
      </c>
      <c r="M1218" s="265" t="s">
        <v>697</v>
      </c>
      <c r="N1218" s="347">
        <v>6.2E-2</v>
      </c>
      <c r="O1218" s="348">
        <v>10</v>
      </c>
      <c r="P1218" s="348">
        <v>16.59</v>
      </c>
      <c r="Q1218" s="348">
        <v>0.65</v>
      </c>
    </row>
    <row r="1219" spans="1:17" ht="15" hidden="1" customHeight="1">
      <c r="A1219" s="163">
        <v>1213</v>
      </c>
      <c r="B1219" s="53" t="s">
        <v>29</v>
      </c>
      <c r="C1219" s="53" t="s">
        <v>698</v>
      </c>
      <c r="D1219" s="53">
        <v>100021976</v>
      </c>
      <c r="E1219" s="55" t="s">
        <v>699</v>
      </c>
      <c r="F1219" s="129">
        <v>250</v>
      </c>
      <c r="G1219" s="129">
        <v>11250</v>
      </c>
      <c r="H1219" s="512">
        <v>5.96</v>
      </c>
      <c r="I1219" s="265" t="s">
        <v>76</v>
      </c>
      <c r="J1219" s="265" t="s">
        <v>102</v>
      </c>
      <c r="K1219" s="265" t="s">
        <v>700</v>
      </c>
      <c r="L1219" s="265" t="s">
        <v>701</v>
      </c>
      <c r="M1219" s="265" t="s">
        <v>702</v>
      </c>
      <c r="N1219" s="347">
        <v>8.2000000000000003E-2</v>
      </c>
      <c r="O1219" s="348">
        <v>10</v>
      </c>
      <c r="P1219" s="348">
        <v>22.79</v>
      </c>
      <c r="Q1219" s="348">
        <v>0.95</v>
      </c>
    </row>
    <row r="1220" spans="1:17" ht="15" hidden="1" customHeight="1">
      <c r="A1220" s="163">
        <v>1214</v>
      </c>
      <c r="B1220" s="53" t="s">
        <v>29</v>
      </c>
      <c r="C1220" s="53" t="s">
        <v>703</v>
      </c>
      <c r="D1220" s="53">
        <v>100021978</v>
      </c>
      <c r="E1220" s="55" t="s">
        <v>704</v>
      </c>
      <c r="F1220" s="129">
        <v>100</v>
      </c>
      <c r="G1220" s="129">
        <v>6000</v>
      </c>
      <c r="H1220" s="512">
        <v>7.61</v>
      </c>
      <c r="I1220" s="265" t="s">
        <v>76</v>
      </c>
      <c r="J1220" s="265" t="s">
        <v>102</v>
      </c>
      <c r="K1220" s="265" t="s">
        <v>705</v>
      </c>
      <c r="L1220" s="265" t="s">
        <v>706</v>
      </c>
      <c r="M1220" s="265" t="s">
        <v>707</v>
      </c>
      <c r="N1220" s="347">
        <v>0.154</v>
      </c>
      <c r="O1220" s="348">
        <v>10</v>
      </c>
      <c r="P1220" s="348">
        <v>15.85</v>
      </c>
      <c r="Q1220" s="348">
        <v>0.8</v>
      </c>
    </row>
    <row r="1221" spans="1:17" ht="15" hidden="1" customHeight="1">
      <c r="A1221" s="163">
        <v>1215</v>
      </c>
      <c r="B1221" s="53" t="s">
        <v>29</v>
      </c>
      <c r="C1221" s="53" t="s">
        <v>708</v>
      </c>
      <c r="D1221" s="53">
        <v>100021979</v>
      </c>
      <c r="E1221" s="55" t="s">
        <v>709</v>
      </c>
      <c r="F1221" s="129">
        <v>50</v>
      </c>
      <c r="G1221" s="129">
        <v>3750</v>
      </c>
      <c r="H1221" s="512">
        <v>11.24</v>
      </c>
      <c r="I1221" s="265" t="s">
        <v>359</v>
      </c>
      <c r="J1221" s="265" t="s">
        <v>102</v>
      </c>
      <c r="K1221" s="265" t="s">
        <v>710</v>
      </c>
      <c r="L1221" s="265" t="s">
        <v>711</v>
      </c>
      <c r="M1221" s="265" t="s">
        <v>712</v>
      </c>
      <c r="N1221" s="347">
        <v>0.17899999999999999</v>
      </c>
      <c r="O1221" s="348">
        <v>5</v>
      </c>
      <c r="P1221" s="348">
        <v>10.130000000000001</v>
      </c>
      <c r="Q1221" s="348">
        <v>0.65</v>
      </c>
    </row>
    <row r="1222" spans="1:17" ht="15" hidden="1" customHeight="1">
      <c r="A1222" s="163">
        <v>1216</v>
      </c>
      <c r="B1222" s="53" t="s">
        <v>29</v>
      </c>
      <c r="C1222" s="53" t="s">
        <v>713</v>
      </c>
      <c r="D1222" s="53">
        <v>100021980</v>
      </c>
      <c r="E1222" s="55" t="s">
        <v>714</v>
      </c>
      <c r="F1222" s="129">
        <v>50</v>
      </c>
      <c r="G1222" s="129">
        <v>3000</v>
      </c>
      <c r="H1222" s="512">
        <v>12.8</v>
      </c>
      <c r="I1222" s="265" t="s">
        <v>76</v>
      </c>
      <c r="J1222" s="265" t="s">
        <v>102</v>
      </c>
      <c r="K1222" s="265" t="s">
        <v>715</v>
      </c>
      <c r="L1222" s="265" t="s">
        <v>716</v>
      </c>
      <c r="M1222" s="265" t="s">
        <v>717</v>
      </c>
      <c r="N1222" s="347">
        <v>0.23</v>
      </c>
      <c r="O1222" s="348">
        <v>5</v>
      </c>
      <c r="P1222" s="348">
        <v>12.29</v>
      </c>
      <c r="Q1222" s="348">
        <v>0.8</v>
      </c>
    </row>
    <row r="1223" spans="1:17" ht="15" hidden="1" customHeight="1">
      <c r="A1223" s="163">
        <v>1217</v>
      </c>
      <c r="B1223" s="53" t="s">
        <v>29</v>
      </c>
      <c r="C1223" s="53" t="s">
        <v>718</v>
      </c>
      <c r="D1223" s="53">
        <v>100021981</v>
      </c>
      <c r="E1223" s="55" t="s">
        <v>719</v>
      </c>
      <c r="F1223" s="129">
        <v>25</v>
      </c>
      <c r="G1223" s="129">
        <v>1500</v>
      </c>
      <c r="H1223" s="512">
        <v>21.6</v>
      </c>
      <c r="I1223" s="265" t="s">
        <v>76</v>
      </c>
      <c r="J1223" s="265" t="s">
        <v>102</v>
      </c>
      <c r="K1223" s="265" t="s">
        <v>720</v>
      </c>
      <c r="L1223" s="265" t="s">
        <v>721</v>
      </c>
      <c r="M1223" s="265" t="s">
        <v>722</v>
      </c>
      <c r="N1223" s="347">
        <v>0.375</v>
      </c>
      <c r="O1223" s="348">
        <v>5</v>
      </c>
      <c r="P1223" s="348">
        <v>9.4</v>
      </c>
      <c r="Q1223" s="348">
        <v>0.8</v>
      </c>
    </row>
    <row r="1224" spans="1:17" ht="15" hidden="1" customHeight="1">
      <c r="A1224" s="163">
        <v>1218</v>
      </c>
      <c r="B1224" s="53" t="s">
        <v>29</v>
      </c>
      <c r="C1224" s="53" t="s">
        <v>724</v>
      </c>
      <c r="D1224" s="53">
        <v>100021984</v>
      </c>
      <c r="E1224" s="55" t="s">
        <v>725</v>
      </c>
      <c r="F1224" s="129">
        <v>250</v>
      </c>
      <c r="G1224" s="129">
        <v>15000</v>
      </c>
      <c r="H1224" s="512">
        <v>5.58</v>
      </c>
      <c r="I1224" s="265" t="s">
        <v>76</v>
      </c>
      <c r="J1224" s="265" t="s">
        <v>102</v>
      </c>
      <c r="K1224" s="265" t="s">
        <v>726</v>
      </c>
      <c r="L1224" s="265" t="s">
        <v>727</v>
      </c>
      <c r="M1224" s="265" t="s">
        <v>728</v>
      </c>
      <c r="N1224" s="347">
        <v>6.3E-2</v>
      </c>
      <c r="O1224" s="348">
        <v>10</v>
      </c>
      <c r="P1224" s="348">
        <v>17.440000000000001</v>
      </c>
      <c r="Q1224" s="348">
        <v>0.8</v>
      </c>
    </row>
    <row r="1225" spans="1:17" ht="15" hidden="1" customHeight="1">
      <c r="A1225" s="163">
        <v>1219</v>
      </c>
      <c r="B1225" s="53" t="s">
        <v>29</v>
      </c>
      <c r="C1225" s="53" t="s">
        <v>729</v>
      </c>
      <c r="D1225" s="53">
        <v>100021986</v>
      </c>
      <c r="E1225" s="55" t="s">
        <v>730</v>
      </c>
      <c r="F1225" s="129">
        <v>100</v>
      </c>
      <c r="G1225" s="129">
        <v>9000</v>
      </c>
      <c r="H1225" s="512">
        <v>5.96</v>
      </c>
      <c r="I1225" s="265" t="s">
        <v>76</v>
      </c>
      <c r="J1225" s="265" t="s">
        <v>102</v>
      </c>
      <c r="K1225" s="265" t="s">
        <v>731</v>
      </c>
      <c r="L1225" s="265" t="s">
        <v>732</v>
      </c>
      <c r="M1225" s="265" t="s">
        <v>733</v>
      </c>
      <c r="N1225" s="347">
        <v>7.0999999999999994E-2</v>
      </c>
      <c r="O1225" s="348">
        <v>10</v>
      </c>
      <c r="P1225" s="348">
        <v>7.91</v>
      </c>
      <c r="Q1225" s="348">
        <v>0.5</v>
      </c>
    </row>
    <row r="1226" spans="1:17" ht="15" hidden="1" customHeight="1">
      <c r="A1226" s="163">
        <v>1220</v>
      </c>
      <c r="B1226" s="53" t="s">
        <v>29</v>
      </c>
      <c r="C1226" s="53" t="s">
        <v>734</v>
      </c>
      <c r="D1226" s="53">
        <v>100021988</v>
      </c>
      <c r="E1226" s="55" t="s">
        <v>735</v>
      </c>
      <c r="F1226" s="129">
        <v>100</v>
      </c>
      <c r="G1226" s="129">
        <v>9000</v>
      </c>
      <c r="H1226" s="512">
        <v>6.89</v>
      </c>
      <c r="I1226" s="265" t="s">
        <v>76</v>
      </c>
      <c r="J1226" s="265" t="s">
        <v>102</v>
      </c>
      <c r="K1226" s="265" t="s">
        <v>736</v>
      </c>
      <c r="L1226" s="265" t="s">
        <v>737</v>
      </c>
      <c r="M1226" s="265" t="s">
        <v>738</v>
      </c>
      <c r="N1226" s="347">
        <v>8.5000000000000006E-2</v>
      </c>
      <c r="O1226" s="348">
        <v>10</v>
      </c>
      <c r="P1226" s="348">
        <v>9.36</v>
      </c>
      <c r="Q1226" s="348">
        <v>0.5</v>
      </c>
    </row>
    <row r="1227" spans="1:17" ht="15" hidden="1" customHeight="1">
      <c r="A1227" s="163">
        <v>1221</v>
      </c>
      <c r="B1227" s="53" t="s">
        <v>29</v>
      </c>
      <c r="C1227" s="53" t="s">
        <v>739</v>
      </c>
      <c r="D1227" s="53">
        <v>100021989</v>
      </c>
      <c r="E1227" s="55" t="s">
        <v>740</v>
      </c>
      <c r="F1227" s="129">
        <v>100</v>
      </c>
      <c r="G1227" s="129">
        <v>7500</v>
      </c>
      <c r="H1227" s="512">
        <v>10.16</v>
      </c>
      <c r="I1227" s="265" t="s">
        <v>76</v>
      </c>
      <c r="J1227" s="265" t="s">
        <v>102</v>
      </c>
      <c r="K1227" s="265" t="s">
        <v>741</v>
      </c>
      <c r="L1227" s="265" t="s">
        <v>742</v>
      </c>
      <c r="M1227" s="265" t="s">
        <v>743</v>
      </c>
      <c r="N1227" s="347">
        <v>0.112</v>
      </c>
      <c r="O1227" s="348">
        <v>10</v>
      </c>
      <c r="P1227" s="348">
        <v>10.98</v>
      </c>
      <c r="Q1227" s="348">
        <v>0.65</v>
      </c>
    </row>
    <row r="1228" spans="1:17" ht="15" hidden="1" customHeight="1">
      <c r="A1228" s="163">
        <v>1222</v>
      </c>
      <c r="B1228" s="53" t="s">
        <v>29</v>
      </c>
      <c r="C1228" s="53" t="s">
        <v>744</v>
      </c>
      <c r="D1228" s="53">
        <v>100021990</v>
      </c>
      <c r="E1228" s="55" t="s">
        <v>745</v>
      </c>
      <c r="F1228" s="129">
        <v>50</v>
      </c>
      <c r="G1228" s="129">
        <v>4500</v>
      </c>
      <c r="H1228" s="512">
        <v>10.16</v>
      </c>
      <c r="I1228" s="265" t="s">
        <v>359</v>
      </c>
      <c r="J1228" s="265" t="s">
        <v>102</v>
      </c>
      <c r="K1228" s="265" t="s">
        <v>746</v>
      </c>
      <c r="L1228" s="265" t="s">
        <v>747</v>
      </c>
      <c r="M1228" s="265" t="s">
        <v>748</v>
      </c>
      <c r="N1228" s="347">
        <v>0.127</v>
      </c>
      <c r="O1228" s="348">
        <v>5</v>
      </c>
      <c r="P1228" s="348">
        <v>7.23</v>
      </c>
      <c r="Q1228" s="348">
        <v>0.5</v>
      </c>
    </row>
    <row r="1229" spans="1:17" ht="15" hidden="1" customHeight="1">
      <c r="A1229" s="163">
        <v>1223</v>
      </c>
      <c r="B1229" s="53" t="s">
        <v>29</v>
      </c>
      <c r="C1229" s="53" t="s">
        <v>749</v>
      </c>
      <c r="D1229" s="53">
        <v>100021992</v>
      </c>
      <c r="E1229" s="55" t="s">
        <v>750</v>
      </c>
      <c r="F1229" s="129">
        <v>50</v>
      </c>
      <c r="G1229" s="129">
        <v>4500</v>
      </c>
      <c r="H1229" s="512">
        <v>10.16</v>
      </c>
      <c r="I1229" s="265" t="s">
        <v>359</v>
      </c>
      <c r="J1229" s="265" t="s">
        <v>102</v>
      </c>
      <c r="K1229" s="265" t="s">
        <v>751</v>
      </c>
      <c r="L1229" s="265" t="s">
        <v>752</v>
      </c>
      <c r="M1229" s="265" t="s">
        <v>753</v>
      </c>
      <c r="N1229" s="347">
        <v>0.151</v>
      </c>
      <c r="O1229" s="348">
        <v>5</v>
      </c>
      <c r="P1229" s="348">
        <v>8.42</v>
      </c>
      <c r="Q1229" s="348">
        <v>0.5</v>
      </c>
    </row>
    <row r="1230" spans="1:17" ht="15" hidden="1" customHeight="1">
      <c r="A1230" s="163">
        <v>1224</v>
      </c>
      <c r="B1230" s="53" t="s">
        <v>29</v>
      </c>
      <c r="C1230" s="53" t="s">
        <v>755</v>
      </c>
      <c r="D1230" s="53">
        <v>100022001</v>
      </c>
      <c r="E1230" s="55" t="s">
        <v>756</v>
      </c>
      <c r="F1230" s="129">
        <v>250</v>
      </c>
      <c r="G1230" s="129">
        <v>22500</v>
      </c>
      <c r="H1230" s="512">
        <v>6.09</v>
      </c>
      <c r="I1230" s="265" t="s">
        <v>76</v>
      </c>
      <c r="J1230" s="265" t="s">
        <v>102</v>
      </c>
      <c r="K1230" s="265" t="s">
        <v>757</v>
      </c>
      <c r="L1230" s="265" t="s">
        <v>758</v>
      </c>
      <c r="M1230" s="265" t="s">
        <v>759</v>
      </c>
      <c r="N1230" s="347">
        <v>3.3000000000000002E-2</v>
      </c>
      <c r="O1230" s="348">
        <v>10</v>
      </c>
      <c r="P1230" s="348">
        <v>8.5</v>
      </c>
      <c r="Q1230" s="348">
        <v>0.5</v>
      </c>
    </row>
    <row r="1231" spans="1:17" ht="15" hidden="1" customHeight="1">
      <c r="A1231" s="163">
        <v>1225</v>
      </c>
      <c r="B1231" s="53" t="s">
        <v>29</v>
      </c>
      <c r="C1231" s="53" t="s">
        <v>760</v>
      </c>
      <c r="D1231" s="53">
        <v>100022003</v>
      </c>
      <c r="E1231" s="55" t="s">
        <v>761</v>
      </c>
      <c r="F1231" s="129">
        <v>250</v>
      </c>
      <c r="G1231" s="129">
        <v>15000</v>
      </c>
      <c r="H1231" s="512">
        <v>8.44</v>
      </c>
      <c r="I1231" s="265" t="s">
        <v>76</v>
      </c>
      <c r="J1231" s="265" t="s">
        <v>102</v>
      </c>
      <c r="K1231" s="265" t="s">
        <v>762</v>
      </c>
      <c r="L1231" s="265" t="s">
        <v>763</v>
      </c>
      <c r="M1231" s="265" t="s">
        <v>764</v>
      </c>
      <c r="N1231" s="347">
        <v>5.1999999999999998E-2</v>
      </c>
      <c r="O1231" s="348">
        <v>10</v>
      </c>
      <c r="P1231" s="348">
        <v>14.14</v>
      </c>
      <c r="Q1231" s="348">
        <v>0.8</v>
      </c>
    </row>
    <row r="1232" spans="1:17" ht="15" hidden="1" customHeight="1">
      <c r="A1232" s="163">
        <v>1226</v>
      </c>
      <c r="B1232" s="53" t="s">
        <v>29</v>
      </c>
      <c r="C1232" s="53" t="s">
        <v>765</v>
      </c>
      <c r="D1232" s="53">
        <v>100022005</v>
      </c>
      <c r="E1232" s="55" t="s">
        <v>766</v>
      </c>
      <c r="F1232" s="129">
        <v>100</v>
      </c>
      <c r="G1232" s="129">
        <v>7500</v>
      </c>
      <c r="H1232" s="512">
        <v>11.03</v>
      </c>
      <c r="I1232" s="265" t="s">
        <v>76</v>
      </c>
      <c r="J1232" s="265" t="s">
        <v>102</v>
      </c>
      <c r="K1232" s="265" t="s">
        <v>767</v>
      </c>
      <c r="L1232" s="265" t="s">
        <v>768</v>
      </c>
      <c r="M1232" s="265" t="s">
        <v>769</v>
      </c>
      <c r="N1232" s="347">
        <v>9.1999999999999998E-2</v>
      </c>
      <c r="O1232" s="348">
        <v>10</v>
      </c>
      <c r="P1232" s="348">
        <v>10.18</v>
      </c>
      <c r="Q1232" s="348">
        <v>0.65</v>
      </c>
    </row>
    <row r="1233" spans="1:17" ht="15" hidden="1" customHeight="1">
      <c r="A1233" s="163">
        <v>1227</v>
      </c>
      <c r="B1233" s="53" t="s">
        <v>29</v>
      </c>
      <c r="C1233" s="53" t="s">
        <v>770</v>
      </c>
      <c r="D1233" s="53">
        <v>100022006</v>
      </c>
      <c r="E1233" s="55" t="s">
        <v>771</v>
      </c>
      <c r="F1233" s="129">
        <v>50</v>
      </c>
      <c r="G1233" s="129">
        <v>4500</v>
      </c>
      <c r="H1233" s="512">
        <v>14.65</v>
      </c>
      <c r="I1233" s="265" t="s">
        <v>359</v>
      </c>
      <c r="J1233" s="265" t="s">
        <v>102</v>
      </c>
      <c r="K1233" s="265" t="s">
        <v>772</v>
      </c>
      <c r="L1233" s="265" t="s">
        <v>773</v>
      </c>
      <c r="M1233" s="265" t="s">
        <v>774</v>
      </c>
      <c r="N1233" s="347">
        <v>0.14000000000000001</v>
      </c>
      <c r="O1233" s="348">
        <v>5</v>
      </c>
      <c r="P1233" s="348">
        <v>7.95</v>
      </c>
      <c r="Q1233" s="348">
        <v>0.5</v>
      </c>
    </row>
    <row r="1234" spans="1:17" ht="15" hidden="1" customHeight="1">
      <c r="A1234" s="163">
        <v>1228</v>
      </c>
      <c r="B1234" s="53" t="s">
        <v>29</v>
      </c>
      <c r="C1234" s="53" t="s">
        <v>775</v>
      </c>
      <c r="D1234" s="53">
        <v>100022007</v>
      </c>
      <c r="E1234" s="55" t="s">
        <v>776</v>
      </c>
      <c r="F1234" s="129">
        <v>50</v>
      </c>
      <c r="G1234" s="129">
        <v>3750</v>
      </c>
      <c r="H1234" s="512">
        <v>19.48</v>
      </c>
      <c r="I1234" s="265" t="s">
        <v>76</v>
      </c>
      <c r="J1234" s="265" t="s">
        <v>102</v>
      </c>
      <c r="K1234" s="265" t="s">
        <v>777</v>
      </c>
      <c r="L1234" s="265" t="s">
        <v>778</v>
      </c>
      <c r="M1234" s="265" t="s">
        <v>779</v>
      </c>
      <c r="N1234" s="347">
        <v>0.17699999999999999</v>
      </c>
      <c r="O1234" s="348">
        <v>5</v>
      </c>
      <c r="P1234" s="348">
        <v>9.77</v>
      </c>
      <c r="Q1234" s="348">
        <v>0.65</v>
      </c>
    </row>
    <row r="1235" spans="1:17" ht="15" hidden="1" customHeight="1">
      <c r="A1235" s="163">
        <v>1229</v>
      </c>
      <c r="B1235" s="53" t="s">
        <v>29</v>
      </c>
      <c r="C1235" s="53" t="s">
        <v>780</v>
      </c>
      <c r="D1235" s="53">
        <v>100022008</v>
      </c>
      <c r="E1235" s="55" t="s">
        <v>781</v>
      </c>
      <c r="F1235" s="129">
        <v>25</v>
      </c>
      <c r="G1235" s="129">
        <v>1875</v>
      </c>
      <c r="H1235" s="512">
        <v>30.73</v>
      </c>
      <c r="I1235" s="265" t="s">
        <v>76</v>
      </c>
      <c r="J1235" s="265" t="s">
        <v>102</v>
      </c>
      <c r="K1235" s="265" t="s">
        <v>782</v>
      </c>
      <c r="L1235" s="265" t="s">
        <v>783</v>
      </c>
      <c r="M1235" s="265" t="s">
        <v>784</v>
      </c>
      <c r="N1235" s="347">
        <v>0.27600000000000002</v>
      </c>
      <c r="O1235" s="348">
        <v>5</v>
      </c>
      <c r="P1235" s="348">
        <v>7.46</v>
      </c>
      <c r="Q1235" s="348">
        <v>0.65</v>
      </c>
    </row>
    <row r="1236" spans="1:17" ht="15" hidden="1" customHeight="1">
      <c r="A1236" s="163">
        <v>1230</v>
      </c>
      <c r="B1236" s="53" t="s">
        <v>29</v>
      </c>
      <c r="C1236" s="53" t="s">
        <v>785</v>
      </c>
      <c r="D1236" s="53">
        <v>100022012</v>
      </c>
      <c r="E1236" s="55" t="s">
        <v>786</v>
      </c>
      <c r="F1236" s="129">
        <v>250</v>
      </c>
      <c r="G1236" s="129">
        <v>18750</v>
      </c>
      <c r="H1236" s="512">
        <v>12.56</v>
      </c>
      <c r="I1236" s="265" t="s">
        <v>76</v>
      </c>
      <c r="J1236" s="265" t="s">
        <v>102</v>
      </c>
      <c r="K1236" s="265" t="s">
        <v>787</v>
      </c>
      <c r="L1236" s="265" t="s">
        <v>788</v>
      </c>
      <c r="M1236" s="265" t="s">
        <v>789</v>
      </c>
      <c r="N1236" s="347">
        <v>0.04</v>
      </c>
      <c r="O1236" s="348">
        <v>10</v>
      </c>
      <c r="P1236" s="348">
        <v>10.25</v>
      </c>
      <c r="Q1236" s="348">
        <v>0.65</v>
      </c>
    </row>
    <row r="1237" spans="1:17" ht="15" hidden="1" customHeight="1">
      <c r="A1237" s="163">
        <v>1231</v>
      </c>
      <c r="B1237" s="53" t="s">
        <v>29</v>
      </c>
      <c r="C1237" s="53" t="s">
        <v>790</v>
      </c>
      <c r="D1237" s="53">
        <v>100022014</v>
      </c>
      <c r="E1237" s="55" t="s">
        <v>791</v>
      </c>
      <c r="F1237" s="129">
        <v>250</v>
      </c>
      <c r="G1237" s="129">
        <v>15000</v>
      </c>
      <c r="H1237" s="512">
        <v>10.54</v>
      </c>
      <c r="I1237" s="265" t="s">
        <v>76</v>
      </c>
      <c r="J1237" s="265" t="s">
        <v>102</v>
      </c>
      <c r="K1237" s="265" t="s">
        <v>792</v>
      </c>
      <c r="L1237" s="265" t="s">
        <v>793</v>
      </c>
      <c r="M1237" s="265" t="s">
        <v>794</v>
      </c>
      <c r="N1237" s="347">
        <v>5.8000000000000003E-2</v>
      </c>
      <c r="O1237" s="348">
        <v>10</v>
      </c>
      <c r="P1237" s="348">
        <v>16.2</v>
      </c>
      <c r="Q1237" s="348">
        <v>0.8</v>
      </c>
    </row>
    <row r="1238" spans="1:17" ht="15" hidden="1" customHeight="1">
      <c r="A1238" s="163">
        <v>1232</v>
      </c>
      <c r="B1238" s="53" t="s">
        <v>29</v>
      </c>
      <c r="C1238" s="53" t="s">
        <v>795</v>
      </c>
      <c r="D1238" s="53">
        <v>100022016</v>
      </c>
      <c r="E1238" s="55" t="s">
        <v>796</v>
      </c>
      <c r="F1238" s="129">
        <v>100</v>
      </c>
      <c r="G1238" s="129">
        <v>9000</v>
      </c>
      <c r="H1238" s="512">
        <v>11.94</v>
      </c>
      <c r="I1238" s="265" t="s">
        <v>359</v>
      </c>
      <c r="J1238" s="265" t="s">
        <v>102</v>
      </c>
      <c r="K1238" s="265" t="s">
        <v>797</v>
      </c>
      <c r="L1238" s="265" t="s">
        <v>798</v>
      </c>
      <c r="M1238" s="265" t="s">
        <v>799</v>
      </c>
      <c r="N1238" s="347">
        <v>7.5999999999999998E-2</v>
      </c>
      <c r="O1238" s="348">
        <v>10</v>
      </c>
      <c r="P1238" s="348">
        <v>7.62</v>
      </c>
      <c r="Q1238" s="348">
        <v>0.5</v>
      </c>
    </row>
    <row r="1239" spans="1:17" ht="15" hidden="1" customHeight="1">
      <c r="A1239" s="163">
        <v>1233</v>
      </c>
      <c r="B1239" s="53" t="s">
        <v>29</v>
      </c>
      <c r="C1239" s="53" t="s">
        <v>800</v>
      </c>
      <c r="D1239" s="53">
        <v>100022018</v>
      </c>
      <c r="E1239" s="55" t="s">
        <v>801</v>
      </c>
      <c r="F1239" s="129">
        <v>100</v>
      </c>
      <c r="G1239" s="129">
        <v>9000</v>
      </c>
      <c r="H1239" s="512">
        <v>12.82</v>
      </c>
      <c r="I1239" s="265" t="s">
        <v>76</v>
      </c>
      <c r="J1239" s="265" t="s">
        <v>102</v>
      </c>
      <c r="K1239" s="265" t="s">
        <v>802</v>
      </c>
      <c r="L1239" s="265" t="s">
        <v>803</v>
      </c>
      <c r="M1239" s="265" t="s">
        <v>804</v>
      </c>
      <c r="N1239" s="347">
        <v>8.5000000000000006E-2</v>
      </c>
      <c r="O1239" s="348">
        <v>10</v>
      </c>
      <c r="P1239" s="348">
        <v>9.4700000000000006</v>
      </c>
      <c r="Q1239" s="348">
        <v>0.5</v>
      </c>
    </row>
    <row r="1240" spans="1:17" ht="15" hidden="1" customHeight="1">
      <c r="A1240" s="163">
        <v>1234</v>
      </c>
      <c r="B1240" s="53" t="s">
        <v>29</v>
      </c>
      <c r="C1240" s="53" t="s">
        <v>806</v>
      </c>
      <c r="D1240" s="53">
        <v>100026313</v>
      </c>
      <c r="E1240" s="55" t="s">
        <v>807</v>
      </c>
      <c r="F1240" s="129">
        <v>50</v>
      </c>
      <c r="G1240" s="129">
        <v>4500</v>
      </c>
      <c r="H1240" s="512">
        <v>13.92</v>
      </c>
      <c r="I1240" s="265" t="s">
        <v>359</v>
      </c>
      <c r="J1240" s="265" t="s">
        <v>102</v>
      </c>
      <c r="K1240" s="265" t="s">
        <v>808</v>
      </c>
      <c r="L1240" s="265" t="s">
        <v>809</v>
      </c>
      <c r="M1240" s="265" t="s">
        <v>810</v>
      </c>
      <c r="N1240" s="347">
        <v>0.1</v>
      </c>
      <c r="O1240" s="348">
        <v>5</v>
      </c>
      <c r="P1240" s="348">
        <v>5.86</v>
      </c>
      <c r="Q1240" s="348">
        <v>0.5</v>
      </c>
    </row>
    <row r="1241" spans="1:17" ht="15" hidden="1" customHeight="1">
      <c r="A1241" s="163">
        <v>1235</v>
      </c>
      <c r="B1241" s="53" t="s">
        <v>29</v>
      </c>
      <c r="C1241" s="53" t="s">
        <v>811</v>
      </c>
      <c r="D1241" s="53">
        <v>100026314</v>
      </c>
      <c r="E1241" s="55" t="s">
        <v>812</v>
      </c>
      <c r="F1241" s="129">
        <v>50</v>
      </c>
      <c r="G1241" s="129">
        <v>4500</v>
      </c>
      <c r="H1241" s="512">
        <v>13.92</v>
      </c>
      <c r="I1241" s="265" t="s">
        <v>76</v>
      </c>
      <c r="J1241" s="265" t="s">
        <v>102</v>
      </c>
      <c r="K1241" s="265" t="s">
        <v>813</v>
      </c>
      <c r="L1241" s="265" t="s">
        <v>814</v>
      </c>
      <c r="M1241" s="265" t="s">
        <v>815</v>
      </c>
      <c r="N1241" s="347">
        <v>0.104</v>
      </c>
      <c r="O1241" s="348">
        <v>5</v>
      </c>
      <c r="P1241" s="348">
        <v>5.23</v>
      </c>
      <c r="Q1241" s="348">
        <v>0.5</v>
      </c>
    </row>
    <row r="1242" spans="1:17" ht="15" hidden="1" customHeight="1">
      <c r="A1242" s="163">
        <v>1236</v>
      </c>
      <c r="B1242" s="53" t="s">
        <v>29</v>
      </c>
      <c r="C1242" s="53" t="s">
        <v>816</v>
      </c>
      <c r="D1242" s="53">
        <v>100026315</v>
      </c>
      <c r="E1242" s="55" t="s">
        <v>817</v>
      </c>
      <c r="F1242" s="129">
        <v>50</v>
      </c>
      <c r="G1242" s="129">
        <v>4500</v>
      </c>
      <c r="H1242" s="512">
        <v>14.98</v>
      </c>
      <c r="I1242" s="265" t="s">
        <v>359</v>
      </c>
      <c r="J1242" s="265" t="s">
        <v>102</v>
      </c>
      <c r="K1242" s="265" t="s">
        <v>818</v>
      </c>
      <c r="L1242" s="265" t="s">
        <v>819</v>
      </c>
      <c r="M1242" s="265" t="s">
        <v>820</v>
      </c>
      <c r="N1242" s="347">
        <v>0.13200000000000001</v>
      </c>
      <c r="O1242" s="348">
        <v>5</v>
      </c>
      <c r="P1242" s="348">
        <v>6.64</v>
      </c>
      <c r="Q1242" s="348">
        <v>0.5</v>
      </c>
    </row>
    <row r="1243" spans="1:17" ht="15" hidden="1" customHeight="1">
      <c r="A1243" s="163">
        <v>1237</v>
      </c>
      <c r="B1243" s="53" t="s">
        <v>29</v>
      </c>
      <c r="C1243" s="53" t="s">
        <v>821</v>
      </c>
      <c r="D1243" s="53">
        <v>100026316</v>
      </c>
      <c r="E1243" s="55" t="s">
        <v>822</v>
      </c>
      <c r="F1243" s="129">
        <v>50</v>
      </c>
      <c r="G1243" s="129">
        <v>4500</v>
      </c>
      <c r="H1243" s="512">
        <v>14.98</v>
      </c>
      <c r="I1243" s="265" t="s">
        <v>359</v>
      </c>
      <c r="J1243" s="265" t="s">
        <v>102</v>
      </c>
      <c r="K1243" s="265" t="s">
        <v>823</v>
      </c>
      <c r="L1243" s="265" t="s">
        <v>824</v>
      </c>
      <c r="M1243" s="265" t="s">
        <v>825</v>
      </c>
      <c r="N1243" s="347">
        <v>0.13</v>
      </c>
      <c r="O1243" s="348">
        <v>5</v>
      </c>
      <c r="P1243" s="348">
        <v>7.84</v>
      </c>
      <c r="Q1243" s="348">
        <v>0.5</v>
      </c>
    </row>
    <row r="1244" spans="1:17" ht="15" hidden="1" customHeight="1">
      <c r="A1244" s="163">
        <v>1238</v>
      </c>
      <c r="B1244" s="53" t="s">
        <v>29</v>
      </c>
      <c r="C1244" s="53" t="s">
        <v>828</v>
      </c>
      <c r="D1244" s="53">
        <v>100026318</v>
      </c>
      <c r="E1244" s="55" t="s">
        <v>829</v>
      </c>
      <c r="F1244" s="129">
        <v>50</v>
      </c>
      <c r="G1244" s="129">
        <v>4500</v>
      </c>
      <c r="H1244" s="512">
        <v>17.97</v>
      </c>
      <c r="I1244" s="265" t="s">
        <v>76</v>
      </c>
      <c r="J1244" s="265" t="s">
        <v>102</v>
      </c>
      <c r="K1244" s="265" t="s">
        <v>830</v>
      </c>
      <c r="L1244" s="265" t="s">
        <v>831</v>
      </c>
      <c r="M1244" s="265" t="s">
        <v>832</v>
      </c>
      <c r="N1244" s="347">
        <v>0.124</v>
      </c>
      <c r="O1244" s="348">
        <v>5</v>
      </c>
      <c r="P1244" s="348">
        <v>6.22</v>
      </c>
      <c r="Q1244" s="348">
        <v>0.5</v>
      </c>
    </row>
    <row r="1245" spans="1:17" ht="15" hidden="1" customHeight="1">
      <c r="A1245" s="163">
        <v>1239</v>
      </c>
      <c r="B1245" s="53" t="s">
        <v>29</v>
      </c>
      <c r="C1245" s="53" t="s">
        <v>833</v>
      </c>
      <c r="D1245" s="53">
        <v>100026319</v>
      </c>
      <c r="E1245" s="55" t="s">
        <v>834</v>
      </c>
      <c r="F1245" s="129">
        <v>50</v>
      </c>
      <c r="G1245" s="129">
        <v>3750</v>
      </c>
      <c r="H1245" s="512">
        <v>19.12</v>
      </c>
      <c r="I1245" s="265" t="s">
        <v>76</v>
      </c>
      <c r="J1245" s="265" t="s">
        <v>102</v>
      </c>
      <c r="K1245" s="265" t="s">
        <v>835</v>
      </c>
      <c r="L1245" s="265" t="s">
        <v>836</v>
      </c>
      <c r="M1245" s="265" t="s">
        <v>837</v>
      </c>
      <c r="N1245" s="347">
        <v>0.16600000000000001</v>
      </c>
      <c r="O1245" s="348">
        <v>5</v>
      </c>
      <c r="P1245" s="348">
        <v>8.34</v>
      </c>
      <c r="Q1245" s="348">
        <v>0.65</v>
      </c>
    </row>
    <row r="1246" spans="1:17" ht="15" hidden="1" customHeight="1">
      <c r="A1246" s="163">
        <v>1240</v>
      </c>
      <c r="B1246" s="53" t="s">
        <v>29</v>
      </c>
      <c r="C1246" s="53" t="s">
        <v>838</v>
      </c>
      <c r="D1246" s="53">
        <v>100026320</v>
      </c>
      <c r="E1246" s="55" t="s">
        <v>839</v>
      </c>
      <c r="F1246" s="129">
        <v>50</v>
      </c>
      <c r="G1246" s="129">
        <v>3750</v>
      </c>
      <c r="H1246" s="512">
        <v>19.12</v>
      </c>
      <c r="I1246" s="265" t="s">
        <v>76</v>
      </c>
      <c r="J1246" s="265" t="s">
        <v>102</v>
      </c>
      <c r="K1246" s="265" t="s">
        <v>840</v>
      </c>
      <c r="L1246" s="265" t="s">
        <v>841</v>
      </c>
      <c r="M1246" s="265" t="s">
        <v>842</v>
      </c>
      <c r="N1246" s="347">
        <v>0.17299999999999999</v>
      </c>
      <c r="O1246" s="348">
        <v>5</v>
      </c>
      <c r="P1246" s="348">
        <v>8.69</v>
      </c>
      <c r="Q1246" s="348">
        <v>0.65</v>
      </c>
    </row>
    <row r="1247" spans="1:17" ht="15" hidden="1" customHeight="1">
      <c r="A1247" s="163">
        <v>1241</v>
      </c>
      <c r="B1247" s="53" t="s">
        <v>29</v>
      </c>
      <c r="C1247" s="53" t="s">
        <v>845</v>
      </c>
      <c r="D1247" s="53">
        <v>100022020</v>
      </c>
      <c r="E1247" s="55" t="s">
        <v>846</v>
      </c>
      <c r="F1247" s="129">
        <v>100</v>
      </c>
      <c r="G1247" s="129">
        <v>9000</v>
      </c>
      <c r="H1247" s="512">
        <v>13.89</v>
      </c>
      <c r="I1247" s="265" t="s">
        <v>76</v>
      </c>
      <c r="J1247" s="265" t="s">
        <v>102</v>
      </c>
      <c r="K1247" s="265" t="s">
        <v>847</v>
      </c>
      <c r="L1247" s="265" t="s">
        <v>848</v>
      </c>
      <c r="M1247" s="265" t="s">
        <v>849</v>
      </c>
      <c r="N1247" s="347">
        <v>5.3999999999999999E-2</v>
      </c>
      <c r="O1247" s="348">
        <v>10</v>
      </c>
      <c r="P1247" s="348">
        <v>6.26</v>
      </c>
      <c r="Q1247" s="348">
        <v>0.5</v>
      </c>
    </row>
    <row r="1248" spans="1:17" ht="15" hidden="1" customHeight="1">
      <c r="A1248" s="163">
        <v>1242</v>
      </c>
      <c r="B1248" s="53" t="s">
        <v>29</v>
      </c>
      <c r="C1248" s="53" t="s">
        <v>850</v>
      </c>
      <c r="D1248" s="53">
        <v>100022022</v>
      </c>
      <c r="E1248" s="55" t="s">
        <v>851</v>
      </c>
      <c r="F1248" s="129">
        <v>100</v>
      </c>
      <c r="G1248" s="129">
        <v>6000</v>
      </c>
      <c r="H1248" s="512">
        <v>13.89</v>
      </c>
      <c r="I1248" s="265" t="s">
        <v>76</v>
      </c>
      <c r="J1248" s="265" t="s">
        <v>102</v>
      </c>
      <c r="K1248" s="265" t="s">
        <v>852</v>
      </c>
      <c r="L1248" s="265" t="s">
        <v>853</v>
      </c>
      <c r="M1248" s="265" t="s">
        <v>854</v>
      </c>
      <c r="N1248" s="347">
        <v>8.1000000000000003E-2</v>
      </c>
      <c r="O1248" s="348">
        <v>10</v>
      </c>
      <c r="P1248" s="348">
        <v>9.36</v>
      </c>
      <c r="Q1248" s="348">
        <v>0.8</v>
      </c>
    </row>
    <row r="1249" spans="1:17" ht="15" hidden="1" customHeight="1">
      <c r="A1249" s="163">
        <v>1243</v>
      </c>
      <c r="B1249" s="53" t="s">
        <v>29</v>
      </c>
      <c r="C1249" s="53" t="s">
        <v>855</v>
      </c>
      <c r="D1249" s="53">
        <v>100022024</v>
      </c>
      <c r="E1249" s="55" t="s">
        <v>856</v>
      </c>
      <c r="F1249" s="129">
        <v>50</v>
      </c>
      <c r="G1249" s="129">
        <v>3750</v>
      </c>
      <c r="H1249" s="512">
        <v>17.190000000000001</v>
      </c>
      <c r="I1249" s="265" t="s">
        <v>76</v>
      </c>
      <c r="J1249" s="265" t="s">
        <v>102</v>
      </c>
      <c r="K1249" s="265" t="s">
        <v>857</v>
      </c>
      <c r="L1249" s="348" t="s">
        <v>1205</v>
      </c>
      <c r="M1249" s="265" t="s">
        <v>859</v>
      </c>
      <c r="N1249" s="347">
        <v>0.14299999999999999</v>
      </c>
      <c r="O1249" s="348" t="s">
        <v>1205</v>
      </c>
      <c r="P1249" s="348">
        <v>8.0299999999999994</v>
      </c>
      <c r="Q1249" s="348">
        <v>0.65</v>
      </c>
    </row>
    <row r="1250" spans="1:17" ht="15" hidden="1" customHeight="1">
      <c r="A1250" s="163">
        <v>1244</v>
      </c>
      <c r="B1250" s="53" t="s">
        <v>29</v>
      </c>
      <c r="C1250" s="53" t="s">
        <v>862</v>
      </c>
      <c r="D1250" s="53">
        <v>100022031</v>
      </c>
      <c r="E1250" s="55" t="s">
        <v>863</v>
      </c>
      <c r="F1250" s="129">
        <v>50</v>
      </c>
      <c r="G1250" s="129">
        <v>4500</v>
      </c>
      <c r="H1250" s="512">
        <v>25.64</v>
      </c>
      <c r="I1250" s="265" t="s">
        <v>359</v>
      </c>
      <c r="J1250" s="265" t="s">
        <v>102</v>
      </c>
      <c r="K1250" s="265" t="s">
        <v>864</v>
      </c>
      <c r="L1250" s="348" t="s">
        <v>1205</v>
      </c>
      <c r="M1250" s="265" t="s">
        <v>866</v>
      </c>
      <c r="N1250" s="347">
        <v>0.108</v>
      </c>
      <c r="O1250" s="348" t="s">
        <v>1205</v>
      </c>
      <c r="P1250" s="348">
        <v>6.08</v>
      </c>
      <c r="Q1250" s="348">
        <v>0.5</v>
      </c>
    </row>
    <row r="1251" spans="1:17" ht="15" hidden="1" customHeight="1">
      <c r="A1251" s="163">
        <v>1245</v>
      </c>
      <c r="B1251" s="53" t="s">
        <v>29</v>
      </c>
      <c r="C1251" s="53" t="s">
        <v>868</v>
      </c>
      <c r="D1251" s="53">
        <v>100022047</v>
      </c>
      <c r="E1251" s="55" t="s">
        <v>869</v>
      </c>
      <c r="F1251" s="129">
        <v>250</v>
      </c>
      <c r="G1251" s="129">
        <v>22500</v>
      </c>
      <c r="H1251" s="512">
        <v>2.4500000000000002</v>
      </c>
      <c r="I1251" s="265" t="s">
        <v>76</v>
      </c>
      <c r="J1251" s="265" t="s">
        <v>102</v>
      </c>
      <c r="K1251" s="265" t="s">
        <v>870</v>
      </c>
      <c r="L1251" s="265" t="s">
        <v>871</v>
      </c>
      <c r="M1251" s="265" t="s">
        <v>872</v>
      </c>
      <c r="N1251" s="347">
        <v>2.1999999999999999E-2</v>
      </c>
      <c r="O1251" s="348">
        <v>10</v>
      </c>
      <c r="P1251" s="348">
        <v>7.86</v>
      </c>
      <c r="Q1251" s="348">
        <v>0.5</v>
      </c>
    </row>
    <row r="1252" spans="1:17" ht="15" hidden="1" customHeight="1">
      <c r="A1252" s="163">
        <v>1246</v>
      </c>
      <c r="B1252" s="53" t="s">
        <v>29</v>
      </c>
      <c r="C1252" s="53" t="s">
        <v>873</v>
      </c>
      <c r="D1252" s="53">
        <v>100022049</v>
      </c>
      <c r="E1252" s="55" t="s">
        <v>874</v>
      </c>
      <c r="F1252" s="129">
        <v>250</v>
      </c>
      <c r="G1252" s="129">
        <v>18750</v>
      </c>
      <c r="H1252" s="512">
        <v>2.97</v>
      </c>
      <c r="I1252" s="265" t="s">
        <v>76</v>
      </c>
      <c r="J1252" s="265" t="s">
        <v>102</v>
      </c>
      <c r="K1252" s="265" t="s">
        <v>875</v>
      </c>
      <c r="L1252" s="265" t="s">
        <v>876</v>
      </c>
      <c r="M1252" s="265" t="s">
        <v>877</v>
      </c>
      <c r="N1252" s="347">
        <v>3.5000000000000003E-2</v>
      </c>
      <c r="O1252" s="348">
        <v>10</v>
      </c>
      <c r="P1252" s="348">
        <v>10.48</v>
      </c>
      <c r="Q1252" s="348">
        <v>0.65</v>
      </c>
    </row>
    <row r="1253" spans="1:17" ht="15" hidden="1" customHeight="1">
      <c r="A1253" s="163">
        <v>1247</v>
      </c>
      <c r="B1253" s="53" t="s">
        <v>29</v>
      </c>
      <c r="C1253" s="53" t="s">
        <v>878</v>
      </c>
      <c r="D1253" s="53">
        <v>100022051</v>
      </c>
      <c r="E1253" s="55" t="s">
        <v>879</v>
      </c>
      <c r="F1253" s="129">
        <v>100</v>
      </c>
      <c r="G1253" s="129">
        <v>9000</v>
      </c>
      <c r="H1253" s="512">
        <v>3.09</v>
      </c>
      <c r="I1253" s="265" t="s">
        <v>76</v>
      </c>
      <c r="J1253" s="265" t="s">
        <v>102</v>
      </c>
      <c r="K1253" s="265" t="s">
        <v>880</v>
      </c>
      <c r="L1253" s="265" t="s">
        <v>881</v>
      </c>
      <c r="M1253" s="265" t="s">
        <v>882</v>
      </c>
      <c r="N1253" s="347">
        <v>5.3999999999999999E-2</v>
      </c>
      <c r="O1253" s="348">
        <v>10</v>
      </c>
      <c r="P1253" s="348">
        <v>6.05</v>
      </c>
      <c r="Q1253" s="348">
        <v>0.5</v>
      </c>
    </row>
    <row r="1254" spans="1:17" ht="15" hidden="1" customHeight="1">
      <c r="A1254" s="163">
        <v>1248</v>
      </c>
      <c r="B1254" s="53" t="s">
        <v>29</v>
      </c>
      <c r="C1254" s="53" t="s">
        <v>883</v>
      </c>
      <c r="D1254" s="53">
        <v>100022053</v>
      </c>
      <c r="E1254" s="55" t="s">
        <v>884</v>
      </c>
      <c r="F1254" s="129">
        <v>100</v>
      </c>
      <c r="G1254" s="129">
        <v>6000</v>
      </c>
      <c r="H1254" s="512">
        <v>4.57</v>
      </c>
      <c r="I1254" s="265" t="s">
        <v>76</v>
      </c>
      <c r="J1254" s="265" t="s">
        <v>102</v>
      </c>
      <c r="K1254" s="265" t="s">
        <v>885</v>
      </c>
      <c r="L1254" s="265" t="s">
        <v>886</v>
      </c>
      <c r="M1254" s="265" t="s">
        <v>887</v>
      </c>
      <c r="N1254" s="347">
        <v>0.108</v>
      </c>
      <c r="O1254" s="348">
        <v>10</v>
      </c>
      <c r="P1254" s="348">
        <v>9.66</v>
      </c>
      <c r="Q1254" s="348">
        <v>0.8</v>
      </c>
    </row>
    <row r="1255" spans="1:17" ht="15" hidden="1" customHeight="1">
      <c r="A1255" s="163">
        <v>1249</v>
      </c>
      <c r="B1255" s="53" t="s">
        <v>29</v>
      </c>
      <c r="C1255" s="53" t="s">
        <v>888</v>
      </c>
      <c r="D1255" s="53">
        <v>100022055</v>
      </c>
      <c r="E1255" s="55" t="s">
        <v>889</v>
      </c>
      <c r="F1255" s="129">
        <v>50</v>
      </c>
      <c r="G1255" s="129">
        <v>3750</v>
      </c>
      <c r="H1255" s="512">
        <v>5.41</v>
      </c>
      <c r="I1255" s="265" t="s">
        <v>76</v>
      </c>
      <c r="J1255" s="265" t="s">
        <v>102</v>
      </c>
      <c r="K1255" s="265" t="s">
        <v>890</v>
      </c>
      <c r="L1255" s="265" t="s">
        <v>891</v>
      </c>
      <c r="M1255" s="265" t="s">
        <v>892</v>
      </c>
      <c r="N1255" s="347">
        <v>0.13200000000000001</v>
      </c>
      <c r="O1255" s="348">
        <v>10</v>
      </c>
      <c r="P1255" s="348">
        <v>7.59</v>
      </c>
      <c r="Q1255" s="348">
        <v>0.65</v>
      </c>
    </row>
    <row r="1256" spans="1:17" ht="15" hidden="1" customHeight="1">
      <c r="A1256" s="163">
        <v>1250</v>
      </c>
      <c r="B1256" s="53" t="s">
        <v>29</v>
      </c>
      <c r="C1256" s="53" t="s">
        <v>893</v>
      </c>
      <c r="D1256" s="53">
        <v>100022057</v>
      </c>
      <c r="E1256" s="55" t="s">
        <v>894</v>
      </c>
      <c r="F1256" s="129">
        <v>25</v>
      </c>
      <c r="G1256" s="129">
        <v>2250</v>
      </c>
      <c r="H1256" s="512">
        <v>10.23</v>
      </c>
      <c r="I1256" s="265" t="s">
        <v>76</v>
      </c>
      <c r="J1256" s="265" t="s">
        <v>102</v>
      </c>
      <c r="K1256" s="265" t="s">
        <v>895</v>
      </c>
      <c r="L1256" s="265" t="s">
        <v>896</v>
      </c>
      <c r="M1256" s="265" t="s">
        <v>897</v>
      </c>
      <c r="N1256" s="347">
        <v>0.156</v>
      </c>
      <c r="O1256" s="348">
        <v>5</v>
      </c>
      <c r="P1256" s="348">
        <v>4.6100000000000003</v>
      </c>
      <c r="Q1256" s="348">
        <v>0.5</v>
      </c>
    </row>
    <row r="1257" spans="1:17" ht="15" hidden="1" customHeight="1">
      <c r="A1257" s="163">
        <v>1251</v>
      </c>
      <c r="B1257" s="53" t="s">
        <v>29</v>
      </c>
      <c r="C1257" s="53" t="s">
        <v>899</v>
      </c>
      <c r="D1257" s="53">
        <v>100022060</v>
      </c>
      <c r="E1257" s="55" t="s">
        <v>900</v>
      </c>
      <c r="F1257" s="129">
        <v>250</v>
      </c>
      <c r="G1257" s="129">
        <v>15000</v>
      </c>
      <c r="H1257" s="512">
        <v>3.98</v>
      </c>
      <c r="I1257" s="265" t="s">
        <v>359</v>
      </c>
      <c r="J1257" s="265" t="s">
        <v>102</v>
      </c>
      <c r="K1257" s="265" t="s">
        <v>901</v>
      </c>
      <c r="L1257" s="265" t="s">
        <v>902</v>
      </c>
      <c r="M1257" s="265" t="s">
        <v>903</v>
      </c>
      <c r="N1257" s="347">
        <v>3.2000000000000001E-2</v>
      </c>
      <c r="O1257" s="348">
        <v>10</v>
      </c>
      <c r="P1257" s="348">
        <v>11.8</v>
      </c>
      <c r="Q1257" s="348">
        <v>0.8</v>
      </c>
    </row>
    <row r="1258" spans="1:17" ht="15" hidden="1" customHeight="1">
      <c r="A1258" s="163">
        <v>1252</v>
      </c>
      <c r="B1258" s="53" t="s">
        <v>29</v>
      </c>
      <c r="C1258" s="53" t="s">
        <v>904</v>
      </c>
      <c r="D1258" s="53">
        <v>100022064</v>
      </c>
      <c r="E1258" s="55" t="s">
        <v>905</v>
      </c>
      <c r="F1258" s="129">
        <v>100</v>
      </c>
      <c r="G1258" s="129">
        <v>9000</v>
      </c>
      <c r="H1258" s="512">
        <v>5.53</v>
      </c>
      <c r="I1258" s="265" t="s">
        <v>359</v>
      </c>
      <c r="J1258" s="265" t="s">
        <v>102</v>
      </c>
      <c r="K1258" s="265" t="s">
        <v>906</v>
      </c>
      <c r="L1258" s="265" t="s">
        <v>907</v>
      </c>
      <c r="M1258" s="265" t="s">
        <v>908</v>
      </c>
      <c r="N1258" s="347">
        <v>4.8000000000000001E-2</v>
      </c>
      <c r="O1258" s="348">
        <v>10</v>
      </c>
      <c r="P1258" s="348">
        <v>6.85</v>
      </c>
      <c r="Q1258" s="348">
        <v>0.5</v>
      </c>
    </row>
    <row r="1259" spans="1:17" ht="15" hidden="1" customHeight="1">
      <c r="A1259" s="163">
        <v>1253</v>
      </c>
      <c r="B1259" s="53" t="s">
        <v>29</v>
      </c>
      <c r="C1259" s="53" t="s">
        <v>909</v>
      </c>
      <c r="D1259" s="53">
        <v>100022066</v>
      </c>
      <c r="E1259" s="55" t="s">
        <v>910</v>
      </c>
      <c r="F1259" s="129">
        <v>100</v>
      </c>
      <c r="G1259" s="129">
        <v>9000</v>
      </c>
      <c r="H1259" s="512">
        <v>4.12</v>
      </c>
      <c r="I1259" s="265" t="s">
        <v>76</v>
      </c>
      <c r="J1259" s="265" t="s">
        <v>102</v>
      </c>
      <c r="K1259" s="265" t="s">
        <v>911</v>
      </c>
      <c r="L1259" s="265" t="s">
        <v>912</v>
      </c>
      <c r="M1259" s="265" t="s">
        <v>913</v>
      </c>
      <c r="N1259" s="347">
        <v>4.3999999999999997E-2</v>
      </c>
      <c r="O1259" s="348">
        <v>10</v>
      </c>
      <c r="P1259" s="348">
        <v>7.46</v>
      </c>
      <c r="Q1259" s="348">
        <v>0.5</v>
      </c>
    </row>
    <row r="1260" spans="1:17" ht="15" hidden="1" customHeight="1">
      <c r="A1260" s="163">
        <v>1254</v>
      </c>
      <c r="B1260" s="53" t="s">
        <v>29</v>
      </c>
      <c r="C1260" s="53" t="s">
        <v>914</v>
      </c>
      <c r="D1260" s="53">
        <v>100022070</v>
      </c>
      <c r="E1260" s="55" t="s">
        <v>915</v>
      </c>
      <c r="F1260" s="129">
        <v>100</v>
      </c>
      <c r="G1260" s="129">
        <v>7500</v>
      </c>
      <c r="H1260" s="512">
        <v>6.55</v>
      </c>
      <c r="I1260" s="265" t="s">
        <v>76</v>
      </c>
      <c r="J1260" s="265" t="s">
        <v>102</v>
      </c>
      <c r="K1260" s="265" t="s">
        <v>916</v>
      </c>
      <c r="L1260" s="265" t="s">
        <v>917</v>
      </c>
      <c r="M1260" s="265" t="s">
        <v>918</v>
      </c>
      <c r="N1260" s="347">
        <v>0.1</v>
      </c>
      <c r="O1260" s="348">
        <v>10</v>
      </c>
      <c r="P1260" s="348">
        <v>8.6</v>
      </c>
      <c r="Q1260" s="348">
        <v>0.65</v>
      </c>
    </row>
    <row r="1261" spans="1:17" ht="15" hidden="1" customHeight="1">
      <c r="A1261" s="163">
        <v>1255</v>
      </c>
      <c r="B1261" s="53" t="s">
        <v>29</v>
      </c>
      <c r="C1261" s="53" t="s">
        <v>919</v>
      </c>
      <c r="D1261" s="53">
        <v>100022071</v>
      </c>
      <c r="E1261" s="55" t="s">
        <v>920</v>
      </c>
      <c r="F1261" s="129">
        <v>100</v>
      </c>
      <c r="G1261" s="129">
        <v>7500</v>
      </c>
      <c r="H1261" s="512">
        <v>10.23</v>
      </c>
      <c r="I1261" s="265" t="s">
        <v>359</v>
      </c>
      <c r="J1261" s="265" t="s">
        <v>102</v>
      </c>
      <c r="K1261" s="265" t="s">
        <v>921</v>
      </c>
      <c r="L1261" s="265" t="s">
        <v>922</v>
      </c>
      <c r="M1261" s="265" t="s">
        <v>923</v>
      </c>
      <c r="N1261" s="347">
        <v>9.5000000000000001E-2</v>
      </c>
      <c r="O1261" s="348">
        <v>10</v>
      </c>
      <c r="P1261" s="348">
        <v>12.1</v>
      </c>
      <c r="Q1261" s="348">
        <v>0.65</v>
      </c>
    </row>
    <row r="1262" spans="1:17" ht="15" hidden="1" customHeight="1">
      <c r="A1262" s="163">
        <v>1256</v>
      </c>
      <c r="B1262" s="53" t="s">
        <v>29</v>
      </c>
      <c r="C1262" s="53" t="s">
        <v>924</v>
      </c>
      <c r="D1262" s="53">
        <v>100022072</v>
      </c>
      <c r="E1262" s="55" t="s">
        <v>925</v>
      </c>
      <c r="F1262" s="129">
        <v>50</v>
      </c>
      <c r="G1262" s="129">
        <v>4500</v>
      </c>
      <c r="H1262" s="512">
        <v>9.8699999999999992</v>
      </c>
      <c r="I1262" s="265" t="s">
        <v>76</v>
      </c>
      <c r="J1262" s="265" t="s">
        <v>102</v>
      </c>
      <c r="K1262" s="265" t="s">
        <v>926</v>
      </c>
      <c r="L1262" s="265" t="s">
        <v>927</v>
      </c>
      <c r="M1262" s="265" t="s">
        <v>928</v>
      </c>
      <c r="N1262" s="347">
        <v>0.13500000000000001</v>
      </c>
      <c r="O1262" s="348">
        <v>5</v>
      </c>
      <c r="P1262" s="348">
        <v>6.78</v>
      </c>
      <c r="Q1262" s="348">
        <v>0.5</v>
      </c>
    </row>
    <row r="1263" spans="1:17" ht="15" hidden="1" customHeight="1">
      <c r="A1263" s="163">
        <v>1257</v>
      </c>
      <c r="B1263" s="53" t="s">
        <v>29</v>
      </c>
      <c r="C1263" s="53" t="s">
        <v>929</v>
      </c>
      <c r="D1263" s="53">
        <v>100022074</v>
      </c>
      <c r="E1263" s="55" t="s">
        <v>930</v>
      </c>
      <c r="F1263" s="129">
        <v>50</v>
      </c>
      <c r="G1263" s="129">
        <v>4500</v>
      </c>
      <c r="H1263" s="512">
        <v>7.67</v>
      </c>
      <c r="I1263" s="265" t="s">
        <v>359</v>
      </c>
      <c r="J1263" s="265" t="s">
        <v>102</v>
      </c>
      <c r="K1263" s="265" t="s">
        <v>931</v>
      </c>
      <c r="L1263" s="265" t="s">
        <v>932</v>
      </c>
      <c r="M1263" s="265" t="s">
        <v>933</v>
      </c>
      <c r="N1263" s="347">
        <v>0.125</v>
      </c>
      <c r="O1263" s="348">
        <v>5</v>
      </c>
      <c r="P1263" s="348">
        <v>7.27</v>
      </c>
      <c r="Q1263" s="348">
        <v>0.5</v>
      </c>
    </row>
    <row r="1264" spans="1:17" ht="15" hidden="1" customHeight="1">
      <c r="A1264" s="163">
        <v>1258</v>
      </c>
      <c r="B1264" s="53" t="s">
        <v>29</v>
      </c>
      <c r="C1264" s="53" t="s">
        <v>934</v>
      </c>
      <c r="D1264" s="53">
        <v>100022078</v>
      </c>
      <c r="E1264" s="55" t="s">
        <v>935</v>
      </c>
      <c r="F1264" s="129">
        <v>50</v>
      </c>
      <c r="G1264" s="129">
        <v>3750</v>
      </c>
      <c r="H1264" s="512">
        <v>12.34</v>
      </c>
      <c r="I1264" s="265" t="s">
        <v>359</v>
      </c>
      <c r="J1264" s="265" t="s">
        <v>102</v>
      </c>
      <c r="K1264" s="265" t="s">
        <v>936</v>
      </c>
      <c r="L1264" s="265" t="s">
        <v>937</v>
      </c>
      <c r="M1264" s="265" t="s">
        <v>938</v>
      </c>
      <c r="N1264" s="347">
        <v>0.14599999999999999</v>
      </c>
      <c r="O1264" s="348">
        <v>5</v>
      </c>
      <c r="P1264" s="348">
        <v>7.94</v>
      </c>
      <c r="Q1264" s="348">
        <v>0.65</v>
      </c>
    </row>
    <row r="1265" spans="1:17" ht="15" hidden="1" customHeight="1">
      <c r="A1265" s="163">
        <v>1259</v>
      </c>
      <c r="B1265" s="53" t="s">
        <v>29</v>
      </c>
      <c r="C1265" s="53" t="s">
        <v>939</v>
      </c>
      <c r="D1265" s="53">
        <v>100022067</v>
      </c>
      <c r="E1265" s="55" t="s">
        <v>940</v>
      </c>
      <c r="F1265" s="129">
        <v>100</v>
      </c>
      <c r="G1265" s="129">
        <v>9000</v>
      </c>
      <c r="H1265" s="512">
        <v>40.83</v>
      </c>
      <c r="I1265" s="265" t="s">
        <v>76</v>
      </c>
      <c r="J1265" s="265" t="s">
        <v>102</v>
      </c>
      <c r="K1265" s="265" t="s">
        <v>941</v>
      </c>
      <c r="L1265" s="265" t="s">
        <v>942</v>
      </c>
      <c r="M1265" s="265" t="s">
        <v>943</v>
      </c>
      <c r="N1265" s="347">
        <v>7.5999999999999998E-2</v>
      </c>
      <c r="O1265" s="348">
        <v>10</v>
      </c>
      <c r="P1265" s="348" t="s">
        <v>1205</v>
      </c>
      <c r="Q1265" s="348">
        <v>0.5</v>
      </c>
    </row>
    <row r="1266" spans="1:17" ht="15" hidden="1" customHeight="1">
      <c r="A1266" s="163">
        <v>1260</v>
      </c>
      <c r="B1266" s="53" t="s">
        <v>29</v>
      </c>
      <c r="C1266" s="53" t="s">
        <v>945</v>
      </c>
      <c r="D1266" s="53">
        <v>100022058</v>
      </c>
      <c r="E1266" s="55" t="s">
        <v>946</v>
      </c>
      <c r="F1266" s="129">
        <v>250</v>
      </c>
      <c r="G1266" s="129">
        <v>22500</v>
      </c>
      <c r="H1266" s="512">
        <v>5.35</v>
      </c>
      <c r="I1266" s="265" t="s">
        <v>76</v>
      </c>
      <c r="J1266" s="265" t="s">
        <v>102</v>
      </c>
      <c r="K1266" s="265" t="s">
        <v>947</v>
      </c>
      <c r="L1266" s="265" t="s">
        <v>948</v>
      </c>
      <c r="M1266" s="265" t="s">
        <v>949</v>
      </c>
      <c r="N1266" s="347">
        <v>2.5999999999999999E-2</v>
      </c>
      <c r="O1266" s="348">
        <v>10</v>
      </c>
      <c r="P1266" s="348">
        <v>7.43</v>
      </c>
      <c r="Q1266" s="348">
        <v>0.5</v>
      </c>
    </row>
    <row r="1267" spans="1:17" ht="15" hidden="1" customHeight="1">
      <c r="A1267" s="163">
        <v>1261</v>
      </c>
      <c r="B1267" s="53" t="s">
        <v>29</v>
      </c>
      <c r="C1267" s="53" t="s">
        <v>950</v>
      </c>
      <c r="D1267" s="53">
        <v>100022062</v>
      </c>
      <c r="E1267" s="55" t="s">
        <v>951</v>
      </c>
      <c r="F1267" s="129">
        <v>100</v>
      </c>
      <c r="G1267" s="129">
        <v>15000</v>
      </c>
      <c r="H1267" s="512">
        <v>5.7</v>
      </c>
      <c r="I1267" s="265" t="s">
        <v>76</v>
      </c>
      <c r="J1267" s="265" t="s">
        <v>102</v>
      </c>
      <c r="K1267" s="265" t="s">
        <v>952</v>
      </c>
      <c r="L1267" s="265" t="s">
        <v>953</v>
      </c>
      <c r="M1267" s="265" t="s">
        <v>954</v>
      </c>
      <c r="N1267" s="347">
        <v>3.6999999999999998E-2</v>
      </c>
      <c r="O1267" s="348">
        <v>10</v>
      </c>
      <c r="P1267" s="348">
        <v>4.4000000000000004</v>
      </c>
      <c r="Q1267" s="348">
        <v>0.31</v>
      </c>
    </row>
    <row r="1268" spans="1:17" ht="15" hidden="1" customHeight="1">
      <c r="A1268" s="163">
        <v>1262</v>
      </c>
      <c r="B1268" s="53" t="s">
        <v>29</v>
      </c>
      <c r="C1268" s="53" t="s">
        <v>957</v>
      </c>
      <c r="D1268" s="53">
        <v>100022080</v>
      </c>
      <c r="E1268" s="55" t="s">
        <v>958</v>
      </c>
      <c r="F1268" s="129">
        <v>250</v>
      </c>
      <c r="G1268" s="129">
        <v>22500</v>
      </c>
      <c r="H1268" s="512">
        <v>5.67</v>
      </c>
      <c r="I1268" s="265" t="s">
        <v>76</v>
      </c>
      <c r="J1268" s="265" t="s">
        <v>102</v>
      </c>
      <c r="K1268" s="265" t="s">
        <v>959</v>
      </c>
      <c r="L1268" s="265" t="s">
        <v>960</v>
      </c>
      <c r="M1268" s="265" t="s">
        <v>961</v>
      </c>
      <c r="N1268" s="347">
        <v>2.4E-2</v>
      </c>
      <c r="O1268" s="348">
        <v>10</v>
      </c>
      <c r="P1268" s="348">
        <v>7.5</v>
      </c>
      <c r="Q1268" s="348">
        <v>0.5</v>
      </c>
    </row>
    <row r="1269" spans="1:17" ht="15" hidden="1" customHeight="1">
      <c r="A1269" s="163">
        <v>1263</v>
      </c>
      <c r="B1269" s="53" t="s">
        <v>29</v>
      </c>
      <c r="C1269" s="53" t="s">
        <v>962</v>
      </c>
      <c r="D1269" s="53">
        <v>100022082</v>
      </c>
      <c r="E1269" s="55" t="s">
        <v>963</v>
      </c>
      <c r="F1269" s="129">
        <v>250</v>
      </c>
      <c r="G1269" s="129">
        <v>18750</v>
      </c>
      <c r="H1269" s="512">
        <v>7.43</v>
      </c>
      <c r="I1269" s="265" t="s">
        <v>76</v>
      </c>
      <c r="J1269" s="265" t="s">
        <v>102</v>
      </c>
      <c r="K1269" s="265" t="s">
        <v>964</v>
      </c>
      <c r="L1269" s="265" t="s">
        <v>965</v>
      </c>
      <c r="M1269" s="265" t="s">
        <v>966</v>
      </c>
      <c r="N1269" s="347">
        <v>3.7999999999999999E-2</v>
      </c>
      <c r="O1269" s="348">
        <v>10</v>
      </c>
      <c r="P1269" s="348">
        <v>11.16</v>
      </c>
      <c r="Q1269" s="348">
        <v>0.65</v>
      </c>
    </row>
    <row r="1270" spans="1:17" ht="15" hidden="1" customHeight="1">
      <c r="A1270" s="163">
        <v>1264</v>
      </c>
      <c r="B1270" s="53" t="s">
        <v>29</v>
      </c>
      <c r="C1270" s="53" t="s">
        <v>967</v>
      </c>
      <c r="D1270" s="53">
        <v>100022084</v>
      </c>
      <c r="E1270" s="55" t="s">
        <v>968</v>
      </c>
      <c r="F1270" s="129">
        <v>100</v>
      </c>
      <c r="G1270" s="129">
        <v>9000</v>
      </c>
      <c r="H1270" s="512">
        <v>7.77</v>
      </c>
      <c r="I1270" s="265" t="s">
        <v>76</v>
      </c>
      <c r="J1270" s="265" t="s">
        <v>102</v>
      </c>
      <c r="K1270" s="265" t="s">
        <v>969</v>
      </c>
      <c r="L1270" s="265" t="s">
        <v>970</v>
      </c>
      <c r="M1270" s="265" t="s">
        <v>971</v>
      </c>
      <c r="N1270" s="347">
        <v>0.06</v>
      </c>
      <c r="O1270" s="348">
        <v>10</v>
      </c>
      <c r="P1270" s="348">
        <v>7.52</v>
      </c>
      <c r="Q1270" s="348">
        <v>0.5</v>
      </c>
    </row>
    <row r="1271" spans="1:17" ht="15" hidden="1" customHeight="1">
      <c r="A1271" s="163">
        <v>1265</v>
      </c>
      <c r="B1271" s="53" t="s">
        <v>29</v>
      </c>
      <c r="C1271" s="53" t="s">
        <v>972</v>
      </c>
      <c r="D1271" s="53">
        <v>100022085</v>
      </c>
      <c r="E1271" s="55" t="s">
        <v>973</v>
      </c>
      <c r="F1271" s="129">
        <v>50</v>
      </c>
      <c r="G1271" s="129">
        <v>4500</v>
      </c>
      <c r="H1271" s="512">
        <v>8.0500000000000007</v>
      </c>
      <c r="I1271" s="265" t="s">
        <v>76</v>
      </c>
      <c r="J1271" s="265" t="s">
        <v>102</v>
      </c>
      <c r="K1271" s="265" t="s">
        <v>974</v>
      </c>
      <c r="L1271" s="265" t="s">
        <v>975</v>
      </c>
      <c r="M1271" s="265" t="s">
        <v>976</v>
      </c>
      <c r="N1271" s="347">
        <v>0.12</v>
      </c>
      <c r="O1271" s="348">
        <v>5</v>
      </c>
      <c r="P1271" s="348">
        <v>6.13</v>
      </c>
      <c r="Q1271" s="348">
        <v>0.5</v>
      </c>
    </row>
    <row r="1272" spans="1:17" ht="15" hidden="1" customHeight="1">
      <c r="A1272" s="163">
        <v>1266</v>
      </c>
      <c r="B1272" s="53" t="s">
        <v>29</v>
      </c>
      <c r="C1272" s="53" t="s">
        <v>977</v>
      </c>
      <c r="D1272" s="53">
        <v>100022086</v>
      </c>
      <c r="E1272" s="55" t="s">
        <v>978</v>
      </c>
      <c r="F1272" s="129">
        <v>50</v>
      </c>
      <c r="G1272" s="129">
        <v>3750</v>
      </c>
      <c r="H1272" s="512">
        <v>8.61</v>
      </c>
      <c r="I1272" s="265" t="s">
        <v>76</v>
      </c>
      <c r="J1272" s="265" t="s">
        <v>102</v>
      </c>
      <c r="K1272" s="265" t="s">
        <v>979</v>
      </c>
      <c r="L1272" s="265" t="s">
        <v>980</v>
      </c>
      <c r="M1272" s="265" t="s">
        <v>981</v>
      </c>
      <c r="N1272" s="347">
        <v>0.11799999999999999</v>
      </c>
      <c r="O1272" s="348">
        <v>5</v>
      </c>
      <c r="P1272" s="348">
        <v>6.85</v>
      </c>
      <c r="Q1272" s="348">
        <v>0.65</v>
      </c>
    </row>
    <row r="1273" spans="1:17" ht="15" hidden="1" customHeight="1">
      <c r="A1273" s="163">
        <v>1267</v>
      </c>
      <c r="B1273" s="53" t="s">
        <v>29</v>
      </c>
      <c r="C1273" s="53" t="s">
        <v>982</v>
      </c>
      <c r="D1273" s="53">
        <v>100022088</v>
      </c>
      <c r="E1273" s="55" t="s">
        <v>983</v>
      </c>
      <c r="F1273" s="129">
        <v>25</v>
      </c>
      <c r="G1273" s="129">
        <v>2250</v>
      </c>
      <c r="H1273" s="512">
        <v>14.33</v>
      </c>
      <c r="I1273" s="265" t="s">
        <v>76</v>
      </c>
      <c r="J1273" s="265" t="s">
        <v>102</v>
      </c>
      <c r="K1273" s="265" t="s">
        <v>984</v>
      </c>
      <c r="L1273" s="265" t="s">
        <v>985</v>
      </c>
      <c r="M1273" s="265" t="s">
        <v>986</v>
      </c>
      <c r="N1273" s="347">
        <v>0.19600000000000001</v>
      </c>
      <c r="O1273" s="348">
        <v>5</v>
      </c>
      <c r="P1273" s="348">
        <v>5.0999999999999996</v>
      </c>
      <c r="Q1273" s="348">
        <v>0.5</v>
      </c>
    </row>
    <row r="1274" spans="1:17" ht="15" hidden="1" customHeight="1">
      <c r="A1274" s="163">
        <v>1268</v>
      </c>
      <c r="B1274" s="53" t="s">
        <v>29</v>
      </c>
      <c r="C1274" s="53" t="s">
        <v>987</v>
      </c>
      <c r="D1274" s="53">
        <v>100022090</v>
      </c>
      <c r="E1274" s="55" t="s">
        <v>988</v>
      </c>
      <c r="F1274" s="129">
        <v>10</v>
      </c>
      <c r="G1274" s="129">
        <v>750</v>
      </c>
      <c r="H1274" s="512">
        <v>48.46</v>
      </c>
      <c r="I1274" s="265" t="s">
        <v>76</v>
      </c>
      <c r="J1274" s="265" t="s">
        <v>102</v>
      </c>
      <c r="K1274" s="265" t="s">
        <v>989</v>
      </c>
      <c r="L1274" s="348" t="s">
        <v>1205</v>
      </c>
      <c r="M1274" s="265" t="s">
        <v>991</v>
      </c>
      <c r="N1274" s="347">
        <v>0.55200000000000005</v>
      </c>
      <c r="O1274" s="348" t="s">
        <v>1205</v>
      </c>
      <c r="P1274" s="348">
        <v>5.54</v>
      </c>
      <c r="Q1274" s="348">
        <v>0.65</v>
      </c>
    </row>
    <row r="1275" spans="1:17" ht="15" hidden="1" customHeight="1">
      <c r="A1275" s="163">
        <v>1269</v>
      </c>
      <c r="B1275" s="53" t="s">
        <v>29</v>
      </c>
      <c r="C1275" s="53" t="s">
        <v>992</v>
      </c>
      <c r="D1275" s="53">
        <v>100022092</v>
      </c>
      <c r="E1275" s="55" t="s">
        <v>993</v>
      </c>
      <c r="F1275" s="129">
        <v>100</v>
      </c>
      <c r="G1275" s="129">
        <v>15000</v>
      </c>
      <c r="H1275" s="512">
        <v>7.43</v>
      </c>
      <c r="I1275" s="265" t="s">
        <v>76</v>
      </c>
      <c r="J1275" s="265" t="s">
        <v>102</v>
      </c>
      <c r="K1275" s="265" t="s">
        <v>994</v>
      </c>
      <c r="L1275" s="265" t="s">
        <v>995</v>
      </c>
      <c r="M1275" s="265" t="s">
        <v>996</v>
      </c>
      <c r="N1275" s="347">
        <v>3.2000000000000001E-2</v>
      </c>
      <c r="O1275" s="348">
        <v>10</v>
      </c>
      <c r="P1275" s="348">
        <v>4.24</v>
      </c>
      <c r="Q1275" s="348">
        <v>0.31</v>
      </c>
    </row>
    <row r="1276" spans="1:17" ht="15" hidden="1" customHeight="1">
      <c r="A1276" s="163">
        <v>1270</v>
      </c>
      <c r="B1276" s="53" t="s">
        <v>29</v>
      </c>
      <c r="C1276" s="53" t="s">
        <v>997</v>
      </c>
      <c r="D1276" s="53">
        <v>100022094</v>
      </c>
      <c r="E1276" s="55" t="s">
        <v>998</v>
      </c>
      <c r="F1276" s="129">
        <v>100</v>
      </c>
      <c r="G1276" s="129">
        <v>9000</v>
      </c>
      <c r="H1276" s="512">
        <v>8.66</v>
      </c>
      <c r="I1276" s="265" t="s">
        <v>76</v>
      </c>
      <c r="J1276" s="265" t="s">
        <v>102</v>
      </c>
      <c r="K1276" s="265" t="s">
        <v>999</v>
      </c>
      <c r="L1276" s="265" t="s">
        <v>1000</v>
      </c>
      <c r="M1276" s="265" t="s">
        <v>1001</v>
      </c>
      <c r="N1276" s="347">
        <v>5.1999999999999998E-2</v>
      </c>
      <c r="O1276" s="348">
        <v>10</v>
      </c>
      <c r="P1276" s="348">
        <v>5.85</v>
      </c>
      <c r="Q1276" s="348">
        <v>0.5</v>
      </c>
    </row>
    <row r="1277" spans="1:17" ht="15" hidden="1" customHeight="1">
      <c r="A1277" s="163">
        <v>1271</v>
      </c>
      <c r="B1277" s="53" t="s">
        <v>29</v>
      </c>
      <c r="C1277" s="53" t="s">
        <v>1002</v>
      </c>
      <c r="D1277" s="53">
        <v>100022095</v>
      </c>
      <c r="E1277" s="55" t="s">
        <v>1003</v>
      </c>
      <c r="F1277" s="129">
        <v>100</v>
      </c>
      <c r="G1277" s="129">
        <v>9000</v>
      </c>
      <c r="H1277" s="512">
        <v>8.66</v>
      </c>
      <c r="I1277" s="265" t="s">
        <v>76</v>
      </c>
      <c r="J1277" s="265" t="s">
        <v>102</v>
      </c>
      <c r="K1277" s="265" t="s">
        <v>1004</v>
      </c>
      <c r="L1277" s="265" t="s">
        <v>1005</v>
      </c>
      <c r="M1277" s="265" t="s">
        <v>1006</v>
      </c>
      <c r="N1277" s="347">
        <v>0.05</v>
      </c>
      <c r="O1277" s="348">
        <v>10</v>
      </c>
      <c r="P1277" s="348">
        <v>5.93</v>
      </c>
      <c r="Q1277" s="348">
        <v>0.5</v>
      </c>
    </row>
    <row r="1278" spans="1:17" ht="15" hidden="1" customHeight="1">
      <c r="A1278" s="163">
        <v>1272</v>
      </c>
      <c r="B1278" s="53" t="s">
        <v>29</v>
      </c>
      <c r="C1278" s="53" t="s">
        <v>1007</v>
      </c>
      <c r="D1278" s="53">
        <v>100022096</v>
      </c>
      <c r="E1278" s="55" t="s">
        <v>1008</v>
      </c>
      <c r="F1278" s="129">
        <v>100</v>
      </c>
      <c r="G1278" s="129">
        <v>7500</v>
      </c>
      <c r="H1278" s="512">
        <v>10.38</v>
      </c>
      <c r="I1278" s="265" t="s">
        <v>359</v>
      </c>
      <c r="J1278" s="265" t="s">
        <v>102</v>
      </c>
      <c r="K1278" s="265" t="s">
        <v>1009</v>
      </c>
      <c r="L1278" s="265" t="s">
        <v>1010</v>
      </c>
      <c r="M1278" s="265" t="s">
        <v>1011</v>
      </c>
      <c r="N1278" s="347">
        <v>8.8999999999999996E-2</v>
      </c>
      <c r="O1278" s="348">
        <v>10</v>
      </c>
      <c r="P1278" s="348">
        <v>8.9</v>
      </c>
      <c r="Q1278" s="348">
        <v>0.65</v>
      </c>
    </row>
    <row r="1279" spans="1:17" ht="15" hidden="1" customHeight="1">
      <c r="A1279" s="163">
        <v>1273</v>
      </c>
      <c r="B1279" s="53" t="s">
        <v>29</v>
      </c>
      <c r="C1279" s="53" t="s">
        <v>1012</v>
      </c>
      <c r="D1279" s="53">
        <v>100022097</v>
      </c>
      <c r="E1279" s="55" t="s">
        <v>1013</v>
      </c>
      <c r="F1279" s="129">
        <v>100</v>
      </c>
      <c r="G1279" s="129">
        <v>7500</v>
      </c>
      <c r="H1279" s="512">
        <v>10.38</v>
      </c>
      <c r="I1279" s="265" t="s">
        <v>76</v>
      </c>
      <c r="J1279" s="265" t="s">
        <v>102</v>
      </c>
      <c r="K1279" s="265" t="s">
        <v>1014</v>
      </c>
      <c r="L1279" s="265" t="s">
        <v>1015</v>
      </c>
      <c r="M1279" s="265" t="s">
        <v>1016</v>
      </c>
      <c r="N1279" s="347">
        <v>9.4E-2</v>
      </c>
      <c r="O1279" s="348">
        <v>10</v>
      </c>
      <c r="P1279" s="348">
        <v>9.25</v>
      </c>
      <c r="Q1279" s="348">
        <v>0.65</v>
      </c>
    </row>
    <row r="1280" spans="1:17" ht="15" hidden="1" customHeight="1">
      <c r="A1280" s="163">
        <v>1274</v>
      </c>
      <c r="B1280" s="53" t="s">
        <v>29</v>
      </c>
      <c r="C1280" s="53" t="s">
        <v>1017</v>
      </c>
      <c r="D1280" s="53">
        <v>100022098</v>
      </c>
      <c r="E1280" s="55" t="s">
        <v>1018</v>
      </c>
      <c r="F1280" s="129">
        <v>100</v>
      </c>
      <c r="G1280" s="129">
        <v>7500</v>
      </c>
      <c r="H1280" s="512">
        <v>10.38</v>
      </c>
      <c r="I1280" s="265" t="s">
        <v>359</v>
      </c>
      <c r="J1280" s="265" t="s">
        <v>102</v>
      </c>
      <c r="K1280" s="265" t="s">
        <v>1019</v>
      </c>
      <c r="L1280" s="265" t="s">
        <v>1020</v>
      </c>
      <c r="M1280" s="265" t="s">
        <v>1021</v>
      </c>
      <c r="N1280" s="347">
        <v>9.9000000000000005E-2</v>
      </c>
      <c r="O1280" s="348">
        <v>10</v>
      </c>
      <c r="P1280" s="348">
        <v>10.31</v>
      </c>
      <c r="Q1280" s="348">
        <v>0.65</v>
      </c>
    </row>
    <row r="1281" spans="1:17" ht="15" hidden="1" customHeight="1">
      <c r="A1281" s="163">
        <v>1275</v>
      </c>
      <c r="B1281" s="53" t="s">
        <v>29</v>
      </c>
      <c r="C1281" s="53" t="s">
        <v>1022</v>
      </c>
      <c r="D1281" s="53">
        <v>100022101</v>
      </c>
      <c r="E1281" s="55" t="s">
        <v>1023</v>
      </c>
      <c r="F1281" s="129">
        <v>50</v>
      </c>
      <c r="G1281" s="129">
        <v>4500</v>
      </c>
      <c r="H1281" s="512">
        <v>11.88</v>
      </c>
      <c r="I1281" s="265" t="s">
        <v>76</v>
      </c>
      <c r="J1281" s="265" t="s">
        <v>102</v>
      </c>
      <c r="K1281" s="265" t="s">
        <v>1024</v>
      </c>
      <c r="L1281" s="265" t="s">
        <v>1025</v>
      </c>
      <c r="M1281" s="265" t="s">
        <v>1026</v>
      </c>
      <c r="N1281" s="347">
        <v>0.114</v>
      </c>
      <c r="O1281" s="348">
        <v>5</v>
      </c>
      <c r="P1281" s="348">
        <v>5.61</v>
      </c>
      <c r="Q1281" s="348">
        <v>0.5</v>
      </c>
    </row>
    <row r="1282" spans="1:17" ht="15" hidden="1" customHeight="1">
      <c r="A1282" s="163">
        <v>1276</v>
      </c>
      <c r="B1282" s="53" t="s">
        <v>29</v>
      </c>
      <c r="C1282" s="53" t="s">
        <v>1027</v>
      </c>
      <c r="D1282" s="53">
        <v>100022102</v>
      </c>
      <c r="E1282" s="55" t="s">
        <v>1028</v>
      </c>
      <c r="F1282" s="129">
        <v>50</v>
      </c>
      <c r="G1282" s="129">
        <v>4500</v>
      </c>
      <c r="H1282" s="512">
        <v>11.88</v>
      </c>
      <c r="I1282" s="265" t="s">
        <v>76</v>
      </c>
      <c r="J1282" s="265" t="s">
        <v>102</v>
      </c>
      <c r="K1282" s="265" t="s">
        <v>1029</v>
      </c>
      <c r="L1282" s="265" t="s">
        <v>1030</v>
      </c>
      <c r="M1282" s="265" t="s">
        <v>1031</v>
      </c>
      <c r="N1282" s="347">
        <v>0.11</v>
      </c>
      <c r="O1282" s="348">
        <v>5</v>
      </c>
      <c r="P1282" s="348">
        <v>6.3</v>
      </c>
      <c r="Q1282" s="348">
        <v>0.5</v>
      </c>
    </row>
    <row r="1283" spans="1:17" ht="15" hidden="1" customHeight="1">
      <c r="A1283" s="163">
        <v>1277</v>
      </c>
      <c r="B1283" s="53" t="s">
        <v>29</v>
      </c>
      <c r="C1283" s="53" t="s">
        <v>1034</v>
      </c>
      <c r="D1283" s="53">
        <v>100022104</v>
      </c>
      <c r="E1283" s="55" t="s">
        <v>1035</v>
      </c>
      <c r="F1283" s="129">
        <v>250</v>
      </c>
      <c r="G1283" s="129">
        <v>33000</v>
      </c>
      <c r="H1283" s="512">
        <v>10.74</v>
      </c>
      <c r="I1283" s="265" t="s">
        <v>76</v>
      </c>
      <c r="J1283" s="265" t="s">
        <v>102</v>
      </c>
      <c r="K1283" s="265" t="s">
        <v>1036</v>
      </c>
      <c r="L1283" s="265" t="s">
        <v>1037</v>
      </c>
      <c r="M1283" s="265" t="s">
        <v>1038</v>
      </c>
      <c r="N1283" s="347">
        <v>3.5000000000000003E-2</v>
      </c>
      <c r="O1283" s="348">
        <v>10</v>
      </c>
      <c r="P1283" s="348">
        <v>9.43</v>
      </c>
      <c r="Q1283" s="348">
        <v>0.5</v>
      </c>
    </row>
    <row r="1284" spans="1:17" ht="15" hidden="1" customHeight="1">
      <c r="A1284" s="163">
        <v>1278</v>
      </c>
      <c r="B1284" s="53" t="s">
        <v>29</v>
      </c>
      <c r="C1284" s="53" t="s">
        <v>1039</v>
      </c>
      <c r="D1284" s="53">
        <v>100022106</v>
      </c>
      <c r="E1284" s="55" t="s">
        <v>1040</v>
      </c>
      <c r="F1284" s="129">
        <v>250</v>
      </c>
      <c r="G1284" s="129">
        <v>21000</v>
      </c>
      <c r="H1284" s="512">
        <v>11.67</v>
      </c>
      <c r="I1284" s="265" t="s">
        <v>76</v>
      </c>
      <c r="J1284" s="265" t="s">
        <v>102</v>
      </c>
      <c r="K1284" s="265" t="s">
        <v>1041</v>
      </c>
      <c r="L1284" s="265" t="s">
        <v>1042</v>
      </c>
      <c r="M1284" s="265" t="s">
        <v>1043</v>
      </c>
      <c r="N1284" s="347">
        <v>4.9000000000000002E-2</v>
      </c>
      <c r="O1284" s="348">
        <v>10</v>
      </c>
      <c r="P1284" s="348">
        <v>12.32</v>
      </c>
      <c r="Q1284" s="348">
        <v>0.8</v>
      </c>
    </row>
    <row r="1285" spans="1:17" ht="15" hidden="1" customHeight="1">
      <c r="A1285" s="163">
        <v>1279</v>
      </c>
      <c r="B1285" s="53" t="s">
        <v>29</v>
      </c>
      <c r="C1285" s="53" t="s">
        <v>1044</v>
      </c>
      <c r="D1285" s="53">
        <v>100022108</v>
      </c>
      <c r="E1285" s="55" t="s">
        <v>1045</v>
      </c>
      <c r="F1285" s="129">
        <v>100</v>
      </c>
      <c r="G1285" s="129">
        <v>7500</v>
      </c>
      <c r="H1285" s="512">
        <v>12.98</v>
      </c>
      <c r="I1285" s="265" t="s">
        <v>76</v>
      </c>
      <c r="J1285" s="265" t="s">
        <v>102</v>
      </c>
      <c r="K1285" s="265" t="s">
        <v>1046</v>
      </c>
      <c r="L1285" s="265" t="s">
        <v>1047</v>
      </c>
      <c r="M1285" s="265" t="s">
        <v>1048</v>
      </c>
      <c r="N1285" s="347">
        <v>8.6999999999999994E-2</v>
      </c>
      <c r="O1285" s="348">
        <v>10</v>
      </c>
      <c r="P1285" s="348">
        <v>9.15</v>
      </c>
      <c r="Q1285" s="348">
        <v>0.65</v>
      </c>
    </row>
    <row r="1286" spans="1:17" ht="15" hidden="1" customHeight="1">
      <c r="A1286" s="163">
        <v>1280</v>
      </c>
      <c r="B1286" s="53" t="s">
        <v>29</v>
      </c>
      <c r="C1286" s="53" t="s">
        <v>1049</v>
      </c>
      <c r="D1286" s="53">
        <v>100022109</v>
      </c>
      <c r="E1286" s="55" t="s">
        <v>1050</v>
      </c>
      <c r="F1286" s="129">
        <v>50</v>
      </c>
      <c r="G1286" s="129">
        <v>4500</v>
      </c>
      <c r="H1286" s="512">
        <v>15.9</v>
      </c>
      <c r="I1286" s="265" t="s">
        <v>359</v>
      </c>
      <c r="J1286" s="265" t="s">
        <v>102</v>
      </c>
      <c r="K1286" s="265" t="s">
        <v>1051</v>
      </c>
      <c r="L1286" s="265" t="s">
        <v>1052</v>
      </c>
      <c r="M1286" s="265" t="s">
        <v>1053</v>
      </c>
      <c r="N1286" s="347">
        <v>0.11600000000000001</v>
      </c>
      <c r="O1286" s="348">
        <v>5</v>
      </c>
      <c r="P1286" s="348">
        <v>6.66</v>
      </c>
      <c r="Q1286" s="348">
        <v>0.5</v>
      </c>
    </row>
    <row r="1287" spans="1:17" ht="15" hidden="1" customHeight="1">
      <c r="A1287" s="163">
        <v>1281</v>
      </c>
      <c r="B1287" s="53" t="s">
        <v>29</v>
      </c>
      <c r="C1287" s="53" t="s">
        <v>1054</v>
      </c>
      <c r="D1287" s="53">
        <v>100022110</v>
      </c>
      <c r="E1287" s="55" t="s">
        <v>1055</v>
      </c>
      <c r="F1287" s="129">
        <v>50</v>
      </c>
      <c r="G1287" s="129">
        <v>3750</v>
      </c>
      <c r="H1287" s="512">
        <v>20.21</v>
      </c>
      <c r="I1287" s="265" t="s">
        <v>76</v>
      </c>
      <c r="J1287" s="265" t="s">
        <v>102</v>
      </c>
      <c r="K1287" s="265" t="s">
        <v>1056</v>
      </c>
      <c r="L1287" s="265" t="s">
        <v>1057</v>
      </c>
      <c r="M1287" s="265" t="s">
        <v>1058</v>
      </c>
      <c r="N1287" s="347">
        <v>0.14199999999999999</v>
      </c>
      <c r="O1287" s="348">
        <v>5</v>
      </c>
      <c r="P1287" s="348">
        <v>7.92</v>
      </c>
      <c r="Q1287" s="348">
        <v>0.65</v>
      </c>
    </row>
    <row r="1288" spans="1:17" ht="15" hidden="1" customHeight="1">
      <c r="A1288" s="163">
        <v>1282</v>
      </c>
      <c r="B1288" s="53" t="s">
        <v>29</v>
      </c>
      <c r="C1288" s="53" t="s">
        <v>1059</v>
      </c>
      <c r="D1288" s="53">
        <v>100022111</v>
      </c>
      <c r="E1288" s="55" t="s">
        <v>1060</v>
      </c>
      <c r="F1288" s="129">
        <v>25</v>
      </c>
      <c r="G1288" s="129">
        <v>2250</v>
      </c>
      <c r="H1288" s="512">
        <v>34.130000000000003</v>
      </c>
      <c r="I1288" s="265" t="s">
        <v>76</v>
      </c>
      <c r="J1288" s="265" t="s">
        <v>102</v>
      </c>
      <c r="K1288" s="265" t="s">
        <v>1061</v>
      </c>
      <c r="L1288" s="265" t="s">
        <v>1062</v>
      </c>
      <c r="M1288" s="265" t="s">
        <v>1063</v>
      </c>
      <c r="N1288" s="347">
        <v>0.189</v>
      </c>
      <c r="O1288" s="348">
        <v>5</v>
      </c>
      <c r="P1288" s="348">
        <v>5.39</v>
      </c>
      <c r="Q1288" s="348">
        <v>0.5</v>
      </c>
    </row>
    <row r="1289" spans="1:17" ht="15" hidden="1" customHeight="1">
      <c r="A1289" s="163">
        <v>1283</v>
      </c>
      <c r="B1289" s="53" t="s">
        <v>29</v>
      </c>
      <c r="C1289" s="53" t="s">
        <v>1066</v>
      </c>
      <c r="D1289" s="53">
        <v>100022113</v>
      </c>
      <c r="E1289" s="55" t="s">
        <v>1067</v>
      </c>
      <c r="F1289" s="129">
        <v>250</v>
      </c>
      <c r="G1289" s="129">
        <v>22500</v>
      </c>
      <c r="H1289" s="512">
        <v>2.42</v>
      </c>
      <c r="I1289" s="265" t="s">
        <v>76</v>
      </c>
      <c r="J1289" s="265" t="s">
        <v>102</v>
      </c>
      <c r="K1289" s="265" t="s">
        <v>1068</v>
      </c>
      <c r="L1289" s="265" t="s">
        <v>1069</v>
      </c>
      <c r="M1289" s="265" t="s">
        <v>1070</v>
      </c>
      <c r="N1289" s="347">
        <v>2.4E-2</v>
      </c>
      <c r="O1289" s="348">
        <v>10</v>
      </c>
      <c r="P1289" s="348">
        <v>8.6300000000000008</v>
      </c>
      <c r="Q1289" s="348">
        <v>0.5</v>
      </c>
    </row>
    <row r="1290" spans="1:17" ht="15" hidden="1" customHeight="1">
      <c r="A1290" s="163">
        <v>1284</v>
      </c>
      <c r="B1290" s="53" t="s">
        <v>29</v>
      </c>
      <c r="C1290" s="53" t="s">
        <v>1071</v>
      </c>
      <c r="D1290" s="53">
        <v>100022115</v>
      </c>
      <c r="E1290" s="55" t="s">
        <v>1072</v>
      </c>
      <c r="F1290" s="129">
        <v>200</v>
      </c>
      <c r="G1290" s="129">
        <v>15000</v>
      </c>
      <c r="H1290" s="512">
        <v>2.97</v>
      </c>
      <c r="I1290" s="265" t="s">
        <v>76</v>
      </c>
      <c r="J1290" s="265" t="s">
        <v>102</v>
      </c>
      <c r="K1290" s="265" t="s">
        <v>1073</v>
      </c>
      <c r="L1290" s="265" t="s">
        <v>1074</v>
      </c>
      <c r="M1290" s="265" t="s">
        <v>1075</v>
      </c>
      <c r="N1290" s="347">
        <v>3.3000000000000002E-2</v>
      </c>
      <c r="O1290" s="348">
        <v>10</v>
      </c>
      <c r="P1290" s="348">
        <v>7.74</v>
      </c>
      <c r="Q1290" s="348">
        <v>0.65</v>
      </c>
    </row>
    <row r="1291" spans="1:17" ht="15" hidden="1" customHeight="1">
      <c r="A1291" s="163">
        <v>1285</v>
      </c>
      <c r="B1291" s="53" t="s">
        <v>29</v>
      </c>
      <c r="C1291" s="53" t="s">
        <v>1076</v>
      </c>
      <c r="D1291" s="53">
        <v>100022117</v>
      </c>
      <c r="E1291" s="55" t="s">
        <v>1077</v>
      </c>
      <c r="F1291" s="129">
        <v>100</v>
      </c>
      <c r="G1291" s="129">
        <v>9000</v>
      </c>
      <c r="H1291" s="512">
        <v>3.06</v>
      </c>
      <c r="I1291" s="265" t="s">
        <v>76</v>
      </c>
      <c r="J1291" s="265" t="s">
        <v>102</v>
      </c>
      <c r="K1291" s="265" t="s">
        <v>1078</v>
      </c>
      <c r="L1291" s="265" t="s">
        <v>1079</v>
      </c>
      <c r="M1291" s="265" t="s">
        <v>1080</v>
      </c>
      <c r="N1291" s="347">
        <v>0.05</v>
      </c>
      <c r="O1291" s="348">
        <v>10</v>
      </c>
      <c r="P1291" s="348">
        <v>7.36</v>
      </c>
      <c r="Q1291" s="348">
        <v>0.5</v>
      </c>
    </row>
    <row r="1292" spans="1:17" ht="15" hidden="1" customHeight="1">
      <c r="A1292" s="163">
        <v>1286</v>
      </c>
      <c r="B1292" s="53" t="s">
        <v>29</v>
      </c>
      <c r="C1292" s="53" t="s">
        <v>1081</v>
      </c>
      <c r="D1292" s="53">
        <v>100022119</v>
      </c>
      <c r="E1292" s="55" t="s">
        <v>1082</v>
      </c>
      <c r="F1292" s="129">
        <v>50</v>
      </c>
      <c r="G1292" s="129">
        <v>4500</v>
      </c>
      <c r="H1292" s="512">
        <v>4.8499999999999996</v>
      </c>
      <c r="I1292" s="265" t="s">
        <v>76</v>
      </c>
      <c r="J1292" s="265" t="s">
        <v>102</v>
      </c>
      <c r="K1292" s="265" t="s">
        <v>1083</v>
      </c>
      <c r="L1292" s="265" t="s">
        <v>1084</v>
      </c>
      <c r="M1292" s="265" t="s">
        <v>1085</v>
      </c>
      <c r="N1292" s="347">
        <v>0.09</v>
      </c>
      <c r="O1292" s="348">
        <v>5</v>
      </c>
      <c r="P1292" s="348">
        <v>5.3</v>
      </c>
      <c r="Q1292" s="348">
        <v>0.5</v>
      </c>
    </row>
    <row r="1293" spans="1:17" ht="15" hidden="1" customHeight="1">
      <c r="A1293" s="163">
        <v>1287</v>
      </c>
      <c r="B1293" s="53" t="s">
        <v>29</v>
      </c>
      <c r="C1293" s="53" t="s">
        <v>1086</v>
      </c>
      <c r="D1293" s="53">
        <v>100022121</v>
      </c>
      <c r="E1293" s="55" t="s">
        <v>1087</v>
      </c>
      <c r="F1293" s="129">
        <v>50</v>
      </c>
      <c r="G1293" s="129">
        <v>4500</v>
      </c>
      <c r="H1293" s="512">
        <v>5.41</v>
      </c>
      <c r="I1293" s="265" t="s">
        <v>76</v>
      </c>
      <c r="J1293" s="265" t="s">
        <v>102</v>
      </c>
      <c r="K1293" s="265" t="s">
        <v>1088</v>
      </c>
      <c r="L1293" s="265" t="s">
        <v>1089</v>
      </c>
      <c r="M1293" s="265" t="s">
        <v>1090</v>
      </c>
      <c r="N1293" s="347">
        <v>0.111</v>
      </c>
      <c r="O1293" s="348">
        <v>5</v>
      </c>
      <c r="P1293" s="348">
        <v>6.47</v>
      </c>
      <c r="Q1293" s="348">
        <v>0.5</v>
      </c>
    </row>
    <row r="1294" spans="1:17" ht="15" hidden="1" customHeight="1">
      <c r="A1294" s="163">
        <v>1288</v>
      </c>
      <c r="B1294" s="53" t="s">
        <v>29</v>
      </c>
      <c r="C1294" s="53" t="s">
        <v>1091</v>
      </c>
      <c r="D1294" s="53">
        <v>100022123</v>
      </c>
      <c r="E1294" s="55" t="s">
        <v>1092</v>
      </c>
      <c r="F1294" s="129">
        <v>25</v>
      </c>
      <c r="G1294" s="129">
        <v>2250</v>
      </c>
      <c r="H1294" s="512">
        <v>10.38</v>
      </c>
      <c r="I1294" s="265" t="s">
        <v>76</v>
      </c>
      <c r="J1294" s="265" t="s">
        <v>102</v>
      </c>
      <c r="K1294" s="265" t="s">
        <v>1093</v>
      </c>
      <c r="L1294" s="265" t="s">
        <v>1094</v>
      </c>
      <c r="M1294" s="265" t="s">
        <v>1095</v>
      </c>
      <c r="N1294" s="347">
        <v>0.17599999999999999</v>
      </c>
      <c r="O1294" s="348">
        <v>5</v>
      </c>
      <c r="P1294" s="348">
        <v>5.26</v>
      </c>
      <c r="Q1294" s="348">
        <v>0.5</v>
      </c>
    </row>
    <row r="1295" spans="1:17" ht="15" hidden="1" customHeight="1">
      <c r="A1295" s="163">
        <v>1289</v>
      </c>
      <c r="B1295" s="53" t="s">
        <v>29</v>
      </c>
      <c r="C1295" s="53" t="s">
        <v>1098</v>
      </c>
      <c r="D1295" s="53">
        <v>100022127</v>
      </c>
      <c r="E1295" s="55" t="s">
        <v>1099</v>
      </c>
      <c r="F1295" s="129">
        <v>100</v>
      </c>
      <c r="G1295" s="129">
        <v>15000</v>
      </c>
      <c r="H1295" s="512">
        <v>7.67</v>
      </c>
      <c r="I1295" s="265" t="s">
        <v>76</v>
      </c>
      <c r="J1295" s="265" t="s">
        <v>102</v>
      </c>
      <c r="K1295" s="265" t="s">
        <v>1100</v>
      </c>
      <c r="L1295" s="265" t="s">
        <v>1101</v>
      </c>
      <c r="M1295" s="265" t="s">
        <v>1102</v>
      </c>
      <c r="N1295" s="347">
        <v>4.9000000000000002E-2</v>
      </c>
      <c r="O1295" s="348">
        <v>10</v>
      </c>
      <c r="P1295" s="348">
        <v>5.04</v>
      </c>
      <c r="Q1295" s="348">
        <v>0.31</v>
      </c>
    </row>
    <row r="1296" spans="1:17" ht="15" hidden="1" customHeight="1">
      <c r="A1296" s="163">
        <v>1290</v>
      </c>
      <c r="B1296" s="53" t="s">
        <v>29</v>
      </c>
      <c r="C1296" s="53" t="s">
        <v>1103</v>
      </c>
      <c r="D1296" s="53">
        <v>100022129</v>
      </c>
      <c r="E1296" s="55" t="s">
        <v>1104</v>
      </c>
      <c r="F1296" s="129">
        <v>100</v>
      </c>
      <c r="G1296" s="129">
        <v>9000</v>
      </c>
      <c r="H1296" s="512">
        <v>8</v>
      </c>
      <c r="I1296" s="265" t="s">
        <v>76</v>
      </c>
      <c r="J1296" s="265" t="s">
        <v>102</v>
      </c>
      <c r="K1296" s="265" t="s">
        <v>1105</v>
      </c>
      <c r="L1296" s="265" t="s">
        <v>1106</v>
      </c>
      <c r="M1296" s="265" t="s">
        <v>1107</v>
      </c>
      <c r="N1296" s="347">
        <v>6.7000000000000004E-2</v>
      </c>
      <c r="O1296" s="348">
        <v>10</v>
      </c>
      <c r="P1296" s="348">
        <v>6.62</v>
      </c>
      <c r="Q1296" s="348">
        <v>0.5</v>
      </c>
    </row>
    <row r="1297" spans="1:17" ht="15" hidden="1" customHeight="1">
      <c r="A1297" s="163">
        <v>1291</v>
      </c>
      <c r="B1297" s="53" t="s">
        <v>29</v>
      </c>
      <c r="C1297" s="53" t="s">
        <v>1108</v>
      </c>
      <c r="D1297" s="53">
        <v>100022133</v>
      </c>
      <c r="E1297" s="55" t="s">
        <v>1109</v>
      </c>
      <c r="F1297" s="129">
        <v>100</v>
      </c>
      <c r="G1297" s="129">
        <v>9000</v>
      </c>
      <c r="H1297" s="512">
        <v>8</v>
      </c>
      <c r="I1297" s="265" t="s">
        <v>76</v>
      </c>
      <c r="J1297" s="265" t="s">
        <v>102</v>
      </c>
      <c r="K1297" s="265" t="s">
        <v>1110</v>
      </c>
      <c r="L1297" s="265" t="s">
        <v>1111</v>
      </c>
      <c r="M1297" s="265" t="s">
        <v>1112</v>
      </c>
      <c r="N1297" s="347">
        <v>4.2000000000000003E-2</v>
      </c>
      <c r="O1297" s="348">
        <v>10</v>
      </c>
      <c r="P1297" s="348">
        <v>4.79</v>
      </c>
      <c r="Q1297" s="348">
        <v>0.5</v>
      </c>
    </row>
    <row r="1298" spans="1:17" ht="15" hidden="1" customHeight="1">
      <c r="A1298" s="163">
        <v>1292</v>
      </c>
      <c r="B1298" s="53" t="s">
        <v>29</v>
      </c>
      <c r="C1298" s="53" t="s">
        <v>1113</v>
      </c>
      <c r="D1298" s="53">
        <v>100022139</v>
      </c>
      <c r="E1298" s="55" t="s">
        <v>1114</v>
      </c>
      <c r="F1298" s="129">
        <v>100</v>
      </c>
      <c r="G1298" s="129">
        <v>7500</v>
      </c>
      <c r="H1298" s="512">
        <v>9.65</v>
      </c>
      <c r="I1298" s="265" t="s">
        <v>76</v>
      </c>
      <c r="J1298" s="265" t="s">
        <v>102</v>
      </c>
      <c r="K1298" s="265" t="s">
        <v>1115</v>
      </c>
      <c r="L1298" s="265" t="s">
        <v>1116</v>
      </c>
      <c r="M1298" s="265" t="s">
        <v>1117</v>
      </c>
      <c r="N1298" s="347">
        <v>8.7999999999999995E-2</v>
      </c>
      <c r="O1298" s="348">
        <v>5</v>
      </c>
      <c r="P1298" s="348">
        <v>9.8800000000000008</v>
      </c>
      <c r="Q1298" s="348">
        <v>0.65</v>
      </c>
    </row>
    <row r="1299" spans="1:17" ht="15" hidden="1" customHeight="1">
      <c r="A1299" s="163">
        <v>1293</v>
      </c>
      <c r="B1299" s="53" t="s">
        <v>29</v>
      </c>
      <c r="C1299" s="53" t="s">
        <v>1118</v>
      </c>
      <c r="D1299" s="53">
        <v>100022140</v>
      </c>
      <c r="E1299" s="55" t="s">
        <v>1119</v>
      </c>
      <c r="F1299" s="129">
        <v>50</v>
      </c>
      <c r="G1299" s="129">
        <v>4500</v>
      </c>
      <c r="H1299" s="512">
        <v>14.58</v>
      </c>
      <c r="I1299" s="265" t="s">
        <v>76</v>
      </c>
      <c r="J1299" s="265" t="s">
        <v>102</v>
      </c>
      <c r="K1299" s="265" t="s">
        <v>1120</v>
      </c>
      <c r="L1299" s="265" t="s">
        <v>1121</v>
      </c>
      <c r="M1299" s="265" t="s">
        <v>1122</v>
      </c>
      <c r="N1299" s="347">
        <v>0.11700000000000001</v>
      </c>
      <c r="O1299" s="348">
        <v>5</v>
      </c>
      <c r="P1299" s="348">
        <v>5.98</v>
      </c>
      <c r="Q1299" s="348">
        <v>0.5</v>
      </c>
    </row>
    <row r="1300" spans="1:17" ht="15" hidden="1" customHeight="1">
      <c r="A1300" s="163">
        <v>1294</v>
      </c>
      <c r="B1300" s="53" t="s">
        <v>29</v>
      </c>
      <c r="C1300" s="53" t="s">
        <v>1123</v>
      </c>
      <c r="D1300" s="53">
        <v>100022150</v>
      </c>
      <c r="E1300" s="55" t="s">
        <v>1124</v>
      </c>
      <c r="F1300" s="129">
        <v>50</v>
      </c>
      <c r="G1300" s="129">
        <v>3750</v>
      </c>
      <c r="H1300" s="512">
        <v>18.690000000000001</v>
      </c>
      <c r="I1300" s="265" t="s">
        <v>359</v>
      </c>
      <c r="J1300" s="265" t="s">
        <v>102</v>
      </c>
      <c r="K1300" s="265" t="s">
        <v>1125</v>
      </c>
      <c r="L1300" s="265" t="s">
        <v>1126</v>
      </c>
      <c r="M1300" s="265" t="s">
        <v>1127</v>
      </c>
      <c r="N1300" s="347">
        <v>0.158</v>
      </c>
      <c r="O1300" s="348">
        <v>5</v>
      </c>
      <c r="P1300" s="348">
        <v>8.57</v>
      </c>
      <c r="Q1300" s="348">
        <v>0.65</v>
      </c>
    </row>
    <row r="1301" spans="1:17" ht="15" hidden="1" customHeight="1">
      <c r="A1301" s="163">
        <v>1295</v>
      </c>
      <c r="B1301" s="53" t="s">
        <v>29</v>
      </c>
      <c r="C1301" s="53" t="s">
        <v>1129</v>
      </c>
      <c r="D1301" s="53">
        <v>100022125</v>
      </c>
      <c r="E1301" s="55" t="s">
        <v>1130</v>
      </c>
      <c r="F1301" s="129">
        <v>250</v>
      </c>
      <c r="G1301" s="129">
        <v>22500</v>
      </c>
      <c r="H1301" s="512">
        <v>6.09</v>
      </c>
      <c r="I1301" s="265" t="s">
        <v>76</v>
      </c>
      <c r="J1301" s="265" t="s">
        <v>102</v>
      </c>
      <c r="K1301" s="265" t="s">
        <v>1131</v>
      </c>
      <c r="L1301" s="265" t="s">
        <v>1132</v>
      </c>
      <c r="M1301" s="265" t="s">
        <v>1133</v>
      </c>
      <c r="N1301" s="347">
        <v>1.9E-2</v>
      </c>
      <c r="O1301" s="348">
        <v>10</v>
      </c>
      <c r="P1301" s="348">
        <v>5.44</v>
      </c>
      <c r="Q1301" s="348">
        <v>0.5</v>
      </c>
    </row>
    <row r="1302" spans="1:17" ht="15" hidden="1" customHeight="1">
      <c r="A1302" s="163">
        <v>1296</v>
      </c>
      <c r="B1302" s="53" t="s">
        <v>29</v>
      </c>
      <c r="C1302" s="53" t="s">
        <v>1134</v>
      </c>
      <c r="D1302" s="53">
        <v>100022131</v>
      </c>
      <c r="E1302" s="55" t="s">
        <v>1135</v>
      </c>
      <c r="F1302" s="129">
        <v>250</v>
      </c>
      <c r="G1302" s="129">
        <v>18750</v>
      </c>
      <c r="H1302" s="512">
        <v>6.93</v>
      </c>
      <c r="I1302" s="265" t="s">
        <v>76</v>
      </c>
      <c r="J1302" s="265" t="s">
        <v>102</v>
      </c>
      <c r="K1302" s="265" t="s">
        <v>1136</v>
      </c>
      <c r="L1302" s="265" t="s">
        <v>1137</v>
      </c>
      <c r="M1302" s="265" t="s">
        <v>1138</v>
      </c>
      <c r="N1302" s="347">
        <v>3.7999999999999999E-2</v>
      </c>
      <c r="O1302" s="348">
        <v>10</v>
      </c>
      <c r="P1302" s="348">
        <v>10.4</v>
      </c>
      <c r="Q1302" s="348">
        <v>0.65</v>
      </c>
    </row>
    <row r="1303" spans="1:17" ht="15" hidden="1" customHeight="1">
      <c r="A1303" s="163">
        <v>1297</v>
      </c>
      <c r="B1303" s="53" t="s">
        <v>29</v>
      </c>
      <c r="C1303" s="53" t="s">
        <v>1139</v>
      </c>
      <c r="D1303" s="53">
        <v>100022135</v>
      </c>
      <c r="E1303" s="55" t="s">
        <v>1140</v>
      </c>
      <c r="F1303" s="129">
        <v>100</v>
      </c>
      <c r="G1303" s="129">
        <v>9000</v>
      </c>
      <c r="H1303" s="512">
        <v>9.65</v>
      </c>
      <c r="I1303" s="265" t="s">
        <v>76</v>
      </c>
      <c r="J1303" s="265" t="s">
        <v>102</v>
      </c>
      <c r="K1303" s="265" t="s">
        <v>1141</v>
      </c>
      <c r="L1303" s="265" t="s">
        <v>1142</v>
      </c>
      <c r="M1303" s="265" t="s">
        <v>1143</v>
      </c>
      <c r="N1303" s="347">
        <v>6.0999999999999999E-2</v>
      </c>
      <c r="O1303" s="348">
        <v>10</v>
      </c>
      <c r="P1303" s="348">
        <v>6.16</v>
      </c>
      <c r="Q1303" s="348">
        <v>0.5</v>
      </c>
    </row>
    <row r="1304" spans="1:17" ht="15" hidden="1" customHeight="1">
      <c r="A1304" s="163">
        <v>1298</v>
      </c>
      <c r="B1304" s="53" t="s">
        <v>29</v>
      </c>
      <c r="C1304" s="53" t="s">
        <v>1144</v>
      </c>
      <c r="D1304" s="53">
        <v>100022137</v>
      </c>
      <c r="E1304" s="55" t="s">
        <v>1145</v>
      </c>
      <c r="F1304" s="129">
        <v>100</v>
      </c>
      <c r="G1304" s="129">
        <v>9000</v>
      </c>
      <c r="H1304" s="512">
        <v>7.2</v>
      </c>
      <c r="I1304" s="265" t="s">
        <v>76</v>
      </c>
      <c r="J1304" s="265" t="s">
        <v>102</v>
      </c>
      <c r="K1304" s="265" t="s">
        <v>1146</v>
      </c>
      <c r="L1304" s="265" t="s">
        <v>1147</v>
      </c>
      <c r="M1304" s="265" t="s">
        <v>1148</v>
      </c>
      <c r="N1304" s="347">
        <v>5.1999999999999998E-2</v>
      </c>
      <c r="O1304" s="348">
        <v>10</v>
      </c>
      <c r="P1304" s="348">
        <v>6.34</v>
      </c>
      <c r="Q1304" s="348">
        <v>0.5</v>
      </c>
    </row>
    <row r="1305" spans="1:17" ht="15" hidden="1" customHeight="1">
      <c r="A1305" s="163">
        <v>1299</v>
      </c>
      <c r="B1305" s="53" t="s">
        <v>29</v>
      </c>
      <c r="C1305" s="53" t="s">
        <v>1149</v>
      </c>
      <c r="D1305" s="53">
        <v>100022143</v>
      </c>
      <c r="E1305" s="55" t="s">
        <v>1150</v>
      </c>
      <c r="F1305" s="129">
        <v>100</v>
      </c>
      <c r="G1305" s="129">
        <v>7500</v>
      </c>
      <c r="H1305" s="512">
        <v>9.0500000000000007</v>
      </c>
      <c r="I1305" s="265" t="s">
        <v>359</v>
      </c>
      <c r="J1305" s="265" t="s">
        <v>102</v>
      </c>
      <c r="K1305" s="265" t="s">
        <v>1151</v>
      </c>
      <c r="L1305" s="265" t="s">
        <v>1152</v>
      </c>
      <c r="M1305" s="265" t="s">
        <v>1153</v>
      </c>
      <c r="N1305" s="347">
        <v>9.0999999999999998E-2</v>
      </c>
      <c r="O1305" s="348">
        <v>10</v>
      </c>
      <c r="P1305" s="348">
        <v>9.4</v>
      </c>
      <c r="Q1305" s="348">
        <v>0.65</v>
      </c>
    </row>
    <row r="1306" spans="1:17" ht="15" hidden="1" customHeight="1">
      <c r="A1306" s="163">
        <v>1300</v>
      </c>
      <c r="B1306" s="53" t="s">
        <v>29</v>
      </c>
      <c r="C1306" s="53" t="s">
        <v>1154</v>
      </c>
      <c r="D1306" s="53">
        <v>100022147</v>
      </c>
      <c r="E1306" s="55" t="s">
        <v>1155</v>
      </c>
      <c r="F1306" s="129">
        <v>50</v>
      </c>
      <c r="G1306" s="129">
        <v>4500</v>
      </c>
      <c r="H1306" s="512">
        <v>11.03</v>
      </c>
      <c r="I1306" s="265" t="s">
        <v>76</v>
      </c>
      <c r="J1306" s="265" t="s">
        <v>102</v>
      </c>
      <c r="K1306" s="265" t="s">
        <v>1156</v>
      </c>
      <c r="L1306" s="265" t="s">
        <v>1157</v>
      </c>
      <c r="M1306" s="265" t="s">
        <v>1158</v>
      </c>
      <c r="N1306" s="347">
        <v>0.10199999999999999</v>
      </c>
      <c r="O1306" s="348">
        <v>10</v>
      </c>
      <c r="P1306" s="348">
        <v>5.79</v>
      </c>
      <c r="Q1306" s="348">
        <v>0.5</v>
      </c>
    </row>
    <row r="1307" spans="1:17" ht="15" hidden="1" customHeight="1">
      <c r="A1307" s="163">
        <v>1301</v>
      </c>
      <c r="B1307" s="53" t="s">
        <v>29</v>
      </c>
      <c r="C1307" s="53" t="s">
        <v>1159</v>
      </c>
      <c r="D1307" s="53">
        <v>100022148</v>
      </c>
      <c r="E1307" s="55" t="s">
        <v>1160</v>
      </c>
      <c r="F1307" s="129">
        <v>50</v>
      </c>
      <c r="G1307" s="129">
        <v>4500</v>
      </c>
      <c r="H1307" s="512">
        <v>11.03</v>
      </c>
      <c r="I1307" s="265" t="s">
        <v>76</v>
      </c>
      <c r="J1307" s="265" t="s">
        <v>102</v>
      </c>
      <c r="K1307" s="265" t="s">
        <v>1161</v>
      </c>
      <c r="L1307" s="265" t="s">
        <v>1162</v>
      </c>
      <c r="M1307" s="265" t="s">
        <v>1163</v>
      </c>
      <c r="N1307" s="347">
        <v>0.11</v>
      </c>
      <c r="O1307" s="348">
        <v>10</v>
      </c>
      <c r="P1307" s="348">
        <v>6.12</v>
      </c>
      <c r="Q1307" s="348">
        <v>0.5</v>
      </c>
    </row>
    <row r="1308" spans="1:17" ht="15" hidden="1" customHeight="1">
      <c r="A1308" s="163">
        <v>1302</v>
      </c>
      <c r="B1308" s="53" t="s">
        <v>29</v>
      </c>
      <c r="C1308" s="53" t="s">
        <v>1164</v>
      </c>
      <c r="D1308" s="53">
        <v>100022152</v>
      </c>
      <c r="E1308" s="55" t="s">
        <v>1165</v>
      </c>
      <c r="F1308" s="129">
        <v>25</v>
      </c>
      <c r="G1308" s="129">
        <v>2250</v>
      </c>
      <c r="H1308" s="512">
        <v>18.54</v>
      </c>
      <c r="I1308" s="265" t="s">
        <v>76</v>
      </c>
      <c r="J1308" s="265" t="s">
        <v>102</v>
      </c>
      <c r="K1308" s="265" t="s">
        <v>1166</v>
      </c>
      <c r="L1308" s="265" t="s">
        <v>1167</v>
      </c>
      <c r="M1308" s="265" t="s">
        <v>1168</v>
      </c>
      <c r="N1308" s="347">
        <v>0.20200000000000001</v>
      </c>
      <c r="O1308" s="348">
        <v>5</v>
      </c>
      <c r="P1308" s="348">
        <v>4.95</v>
      </c>
      <c r="Q1308" s="348">
        <v>0.5</v>
      </c>
    </row>
    <row r="1309" spans="1:17" ht="15" hidden="1" customHeight="1">
      <c r="A1309" s="163">
        <v>1303</v>
      </c>
      <c r="B1309" s="53" t="s">
        <v>29</v>
      </c>
      <c r="C1309" s="53" t="s">
        <v>1171</v>
      </c>
      <c r="D1309" s="53">
        <v>100022154</v>
      </c>
      <c r="E1309" s="55" t="s">
        <v>1172</v>
      </c>
      <c r="F1309" s="129">
        <v>500</v>
      </c>
      <c r="G1309" s="129">
        <v>37500</v>
      </c>
      <c r="H1309" s="512">
        <v>4.3899999999999997</v>
      </c>
      <c r="I1309" s="265" t="s">
        <v>76</v>
      </c>
      <c r="J1309" s="265" t="s">
        <v>102</v>
      </c>
      <c r="K1309" s="265" t="s">
        <v>1173</v>
      </c>
      <c r="L1309" s="265" t="s">
        <v>1174</v>
      </c>
      <c r="M1309" s="265" t="s">
        <v>1175</v>
      </c>
      <c r="N1309" s="347">
        <v>1.4E-2</v>
      </c>
      <c r="O1309" s="348">
        <v>10</v>
      </c>
      <c r="P1309" s="348">
        <v>7.82</v>
      </c>
      <c r="Q1309" s="348">
        <v>0.65</v>
      </c>
    </row>
    <row r="1310" spans="1:17" ht="15" hidden="1" customHeight="1">
      <c r="A1310" s="163">
        <v>1304</v>
      </c>
      <c r="B1310" s="53" t="s">
        <v>29</v>
      </c>
      <c r="C1310" s="53" t="s">
        <v>1176</v>
      </c>
      <c r="D1310" s="53">
        <v>100022156</v>
      </c>
      <c r="E1310" s="55" t="s">
        <v>1177</v>
      </c>
      <c r="F1310" s="129">
        <v>500</v>
      </c>
      <c r="G1310" s="129">
        <v>22500</v>
      </c>
      <c r="H1310" s="512">
        <v>4.57</v>
      </c>
      <c r="I1310" s="265" t="s">
        <v>76</v>
      </c>
      <c r="J1310" s="265" t="s">
        <v>102</v>
      </c>
      <c r="K1310" s="265" t="s">
        <v>1178</v>
      </c>
      <c r="L1310" s="265" t="s">
        <v>1179</v>
      </c>
      <c r="M1310" s="265" t="s">
        <v>1180</v>
      </c>
      <c r="N1310" s="347">
        <v>0.02</v>
      </c>
      <c r="O1310" s="348">
        <v>10</v>
      </c>
      <c r="P1310" s="348">
        <v>11.76</v>
      </c>
      <c r="Q1310" s="348">
        <v>0.95</v>
      </c>
    </row>
    <row r="1311" spans="1:17" ht="15" hidden="1" customHeight="1">
      <c r="A1311" s="163">
        <v>1305</v>
      </c>
      <c r="B1311" s="53" t="s">
        <v>29</v>
      </c>
      <c r="C1311" s="53" t="s">
        <v>1181</v>
      </c>
      <c r="D1311" s="53">
        <v>100022158</v>
      </c>
      <c r="E1311" s="55" t="s">
        <v>1182</v>
      </c>
      <c r="F1311" s="129">
        <v>250</v>
      </c>
      <c r="G1311" s="129">
        <v>22500</v>
      </c>
      <c r="H1311" s="512">
        <v>6.18</v>
      </c>
      <c r="I1311" s="265" t="s">
        <v>76</v>
      </c>
      <c r="J1311" s="265" t="s">
        <v>102</v>
      </c>
      <c r="K1311" s="265" t="s">
        <v>1183</v>
      </c>
      <c r="L1311" s="265" t="s">
        <v>1184</v>
      </c>
      <c r="M1311" s="265" t="s">
        <v>1185</v>
      </c>
      <c r="N1311" s="347">
        <v>3.3000000000000002E-2</v>
      </c>
      <c r="O1311" s="348">
        <v>10</v>
      </c>
      <c r="P1311" s="348">
        <v>14.33</v>
      </c>
      <c r="Q1311" s="348">
        <v>0.5</v>
      </c>
    </row>
    <row r="1312" spans="1:17" ht="15" hidden="1" customHeight="1">
      <c r="A1312" s="163">
        <v>1306</v>
      </c>
      <c r="B1312" s="53" t="s">
        <v>29</v>
      </c>
      <c r="C1312" s="53" t="s">
        <v>1186</v>
      </c>
      <c r="D1312" s="53">
        <v>100022159</v>
      </c>
      <c r="E1312" s="55" t="s">
        <v>1187</v>
      </c>
      <c r="F1312" s="129">
        <v>125</v>
      </c>
      <c r="G1312" s="129">
        <v>15000</v>
      </c>
      <c r="H1312" s="512">
        <v>7.82</v>
      </c>
      <c r="I1312" s="265" t="s">
        <v>76</v>
      </c>
      <c r="J1312" s="265" t="s">
        <v>102</v>
      </c>
      <c r="K1312" s="265" t="s">
        <v>1188</v>
      </c>
      <c r="L1312" s="265" t="s">
        <v>1189</v>
      </c>
      <c r="M1312" s="265" t="s">
        <v>1190</v>
      </c>
      <c r="N1312" s="347">
        <v>0.05</v>
      </c>
      <c r="O1312" s="348">
        <v>5</v>
      </c>
      <c r="P1312" s="348">
        <v>7.56</v>
      </c>
      <c r="Q1312" s="348">
        <v>0.65</v>
      </c>
    </row>
    <row r="1313" spans="1:17" ht="15" hidden="1" customHeight="1">
      <c r="A1313" s="163">
        <v>1307</v>
      </c>
      <c r="B1313" s="53" t="s">
        <v>29</v>
      </c>
      <c r="C1313" s="53" t="s">
        <v>1191</v>
      </c>
      <c r="D1313" s="53">
        <v>100022161</v>
      </c>
      <c r="E1313" s="55" t="s">
        <v>1192</v>
      </c>
      <c r="F1313" s="129">
        <v>125</v>
      </c>
      <c r="G1313" s="129">
        <v>11250</v>
      </c>
      <c r="H1313" s="512">
        <v>8.5299999999999994</v>
      </c>
      <c r="I1313" s="265" t="s">
        <v>76</v>
      </c>
      <c r="J1313" s="265" t="s">
        <v>102</v>
      </c>
      <c r="K1313" s="265" t="s">
        <v>1193</v>
      </c>
      <c r="L1313" s="265" t="s">
        <v>1194</v>
      </c>
      <c r="M1313" s="265" t="s">
        <v>1195</v>
      </c>
      <c r="N1313" s="347">
        <v>6.2E-2</v>
      </c>
      <c r="O1313" s="348">
        <v>5</v>
      </c>
      <c r="P1313" s="348">
        <v>9.08</v>
      </c>
      <c r="Q1313" s="348">
        <v>0.8</v>
      </c>
    </row>
    <row r="1314" spans="1:17" ht="15" hidden="1" customHeight="1">
      <c r="A1314" s="163">
        <v>1308</v>
      </c>
      <c r="B1314" s="53" t="s">
        <v>29</v>
      </c>
      <c r="C1314" s="53" t="s">
        <v>1196</v>
      </c>
      <c r="D1314" s="53">
        <v>100022162</v>
      </c>
      <c r="E1314" s="55" t="s">
        <v>1197</v>
      </c>
      <c r="F1314" s="129">
        <v>50</v>
      </c>
      <c r="G1314" s="129">
        <v>7500</v>
      </c>
      <c r="H1314" s="512">
        <v>15.03</v>
      </c>
      <c r="I1314" s="265" t="s">
        <v>76</v>
      </c>
      <c r="J1314" s="265" t="s">
        <v>102</v>
      </c>
      <c r="K1314" s="265" t="s">
        <v>1198</v>
      </c>
      <c r="L1314" s="265" t="s">
        <v>1199</v>
      </c>
      <c r="M1314" s="265" t="s">
        <v>1200</v>
      </c>
      <c r="N1314" s="347">
        <v>0.121</v>
      </c>
      <c r="O1314" s="348">
        <v>5</v>
      </c>
      <c r="P1314" s="348">
        <v>5.99</v>
      </c>
      <c r="Q1314" s="348">
        <v>0.5</v>
      </c>
    </row>
    <row r="1315" spans="1:17" ht="15" hidden="1" customHeight="1">
      <c r="A1315" s="163">
        <v>1309</v>
      </c>
      <c r="B1315" s="53" t="s">
        <v>30</v>
      </c>
      <c r="C1315" s="53" t="s">
        <v>1203</v>
      </c>
      <c r="D1315" s="53">
        <v>100027228</v>
      </c>
      <c r="E1315" s="55" t="s">
        <v>1204</v>
      </c>
      <c r="F1315" s="129">
        <v>100</v>
      </c>
      <c r="G1315" s="129" t="s">
        <v>1205</v>
      </c>
      <c r="H1315" s="512">
        <v>12.16</v>
      </c>
      <c r="I1315" s="265" t="s">
        <v>1206</v>
      </c>
      <c r="J1315" s="265" t="s">
        <v>77</v>
      </c>
      <c r="K1315" s="265" t="s">
        <v>1207</v>
      </c>
      <c r="L1315" s="348" t="s">
        <v>1205</v>
      </c>
      <c r="M1315" s="265" t="s">
        <v>1208</v>
      </c>
      <c r="N1315" s="347">
        <v>0.20799999999999999</v>
      </c>
      <c r="O1315" s="348" t="s">
        <v>1205</v>
      </c>
      <c r="P1315" s="348">
        <v>21.59</v>
      </c>
      <c r="Q1315" s="348">
        <v>1</v>
      </c>
    </row>
    <row r="1316" spans="1:17" ht="15" hidden="1" customHeight="1">
      <c r="A1316" s="163">
        <v>1310</v>
      </c>
      <c r="B1316" s="53" t="s">
        <v>30</v>
      </c>
      <c r="C1316" s="53" t="s">
        <v>1209</v>
      </c>
      <c r="D1316" s="53">
        <v>100027230</v>
      </c>
      <c r="E1316" s="55" t="s">
        <v>1210</v>
      </c>
      <c r="F1316" s="129">
        <v>100</v>
      </c>
      <c r="G1316" s="129" t="s">
        <v>1205</v>
      </c>
      <c r="H1316" s="512">
        <v>14.15</v>
      </c>
      <c r="I1316" s="265" t="s">
        <v>369</v>
      </c>
      <c r="J1316" s="265" t="s">
        <v>77</v>
      </c>
      <c r="K1316" s="265" t="s">
        <v>1211</v>
      </c>
      <c r="L1316" s="348" t="s">
        <v>1205</v>
      </c>
      <c r="M1316" s="265" t="s">
        <v>1212</v>
      </c>
      <c r="N1316" s="347">
        <v>36.909999999999997</v>
      </c>
      <c r="O1316" s="348" t="s">
        <v>1205</v>
      </c>
      <c r="P1316" s="348">
        <v>36.909999999999997</v>
      </c>
      <c r="Q1316" s="348">
        <v>1.7</v>
      </c>
    </row>
    <row r="1317" spans="1:17" ht="15" hidden="1" customHeight="1">
      <c r="A1317" s="163">
        <v>1311</v>
      </c>
      <c r="B1317" s="53" t="s">
        <v>30</v>
      </c>
      <c r="C1317" s="53" t="s">
        <v>1213</v>
      </c>
      <c r="D1317" s="53">
        <v>100027232</v>
      </c>
      <c r="E1317" s="55" t="s">
        <v>1214</v>
      </c>
      <c r="F1317" s="129">
        <v>100</v>
      </c>
      <c r="G1317" s="129" t="s">
        <v>1205</v>
      </c>
      <c r="H1317" s="512">
        <v>20.420000000000002</v>
      </c>
      <c r="I1317" s="265" t="s">
        <v>1206</v>
      </c>
      <c r="J1317" s="265" t="s">
        <v>77</v>
      </c>
      <c r="K1317" s="265" t="s">
        <v>1215</v>
      </c>
      <c r="L1317" s="348" t="s">
        <v>1205</v>
      </c>
      <c r="M1317" s="265" t="s">
        <v>1216</v>
      </c>
      <c r="N1317" s="347">
        <v>56.7</v>
      </c>
      <c r="O1317" s="348" t="s">
        <v>1205</v>
      </c>
      <c r="P1317" s="348">
        <v>56.7</v>
      </c>
      <c r="Q1317" s="348">
        <v>2.6</v>
      </c>
    </row>
    <row r="1318" spans="1:17" ht="15" hidden="1" customHeight="1">
      <c r="A1318" s="163">
        <v>1312</v>
      </c>
      <c r="B1318" s="53" t="s">
        <v>30</v>
      </c>
      <c r="C1318" s="53" t="s">
        <v>1217</v>
      </c>
      <c r="D1318" s="53">
        <v>100027234</v>
      </c>
      <c r="E1318" s="55" t="s">
        <v>1218</v>
      </c>
      <c r="F1318" s="129">
        <v>100</v>
      </c>
      <c r="G1318" s="129" t="s">
        <v>1205</v>
      </c>
      <c r="H1318" s="512">
        <v>24.79</v>
      </c>
      <c r="I1318" s="265" t="s">
        <v>369</v>
      </c>
      <c r="J1318" s="265" t="s">
        <v>77</v>
      </c>
      <c r="K1318" s="265" t="s">
        <v>1219</v>
      </c>
      <c r="L1318" s="348" t="s">
        <v>1205</v>
      </c>
      <c r="M1318" s="265" t="s">
        <v>1220</v>
      </c>
      <c r="N1318" s="347">
        <v>73.41</v>
      </c>
      <c r="O1318" s="348" t="s">
        <v>1205</v>
      </c>
      <c r="P1318" s="348">
        <v>73.41</v>
      </c>
      <c r="Q1318" s="348">
        <v>3.3</v>
      </c>
    </row>
    <row r="1319" spans="1:17" ht="15" hidden="1" customHeight="1">
      <c r="A1319" s="163">
        <v>1313</v>
      </c>
      <c r="B1319" s="53" t="s">
        <v>30</v>
      </c>
      <c r="C1319" s="53" t="s">
        <v>1221</v>
      </c>
      <c r="D1319" s="53">
        <v>100027237</v>
      </c>
      <c r="E1319" s="55" t="s">
        <v>1222</v>
      </c>
      <c r="F1319" s="129">
        <v>48</v>
      </c>
      <c r="G1319" s="129" t="s">
        <v>1205</v>
      </c>
      <c r="H1319" s="512">
        <v>43.94</v>
      </c>
      <c r="I1319" s="265" t="s">
        <v>1206</v>
      </c>
      <c r="J1319" s="265" t="s">
        <v>77</v>
      </c>
      <c r="K1319" s="265" t="s">
        <v>1223</v>
      </c>
      <c r="L1319" s="348" t="s">
        <v>1205</v>
      </c>
      <c r="M1319" s="265" t="s">
        <v>1224</v>
      </c>
      <c r="N1319" s="347">
        <v>50.42</v>
      </c>
      <c r="O1319" s="348" t="s">
        <v>1205</v>
      </c>
      <c r="P1319" s="348">
        <v>50.42</v>
      </c>
      <c r="Q1319" s="348">
        <v>2.4</v>
      </c>
    </row>
    <row r="1320" spans="1:17" ht="15" hidden="1" customHeight="1">
      <c r="A1320" s="163">
        <v>1314</v>
      </c>
      <c r="B1320" s="53" t="s">
        <v>30</v>
      </c>
      <c r="C1320" s="53" t="s">
        <v>1225</v>
      </c>
      <c r="D1320" s="53">
        <v>100027240</v>
      </c>
      <c r="E1320" s="55" t="s">
        <v>1226</v>
      </c>
      <c r="F1320" s="129">
        <v>24</v>
      </c>
      <c r="G1320" s="129" t="s">
        <v>1205</v>
      </c>
      <c r="H1320" s="512">
        <v>56.51</v>
      </c>
      <c r="I1320" s="265" t="s">
        <v>1206</v>
      </c>
      <c r="J1320" s="265" t="s">
        <v>77</v>
      </c>
      <c r="K1320" s="265" t="s">
        <v>1227</v>
      </c>
      <c r="L1320" s="348" t="s">
        <v>1205</v>
      </c>
      <c r="M1320" s="265" t="s">
        <v>1228</v>
      </c>
      <c r="N1320" s="347">
        <v>40.51</v>
      </c>
      <c r="O1320" s="348" t="s">
        <v>1205</v>
      </c>
      <c r="P1320" s="348">
        <v>40.51</v>
      </c>
      <c r="Q1320" s="348">
        <v>1.9</v>
      </c>
    </row>
    <row r="1321" spans="1:17" ht="15" hidden="1" customHeight="1">
      <c r="A1321" s="163">
        <v>1315</v>
      </c>
      <c r="B1321" s="53" t="s">
        <v>30</v>
      </c>
      <c r="C1321" s="53" t="s">
        <v>1229</v>
      </c>
      <c r="D1321" s="53">
        <v>100027242</v>
      </c>
      <c r="E1321" s="55" t="s">
        <v>1230</v>
      </c>
      <c r="F1321" s="129">
        <v>12</v>
      </c>
      <c r="G1321" s="129">
        <v>346</v>
      </c>
      <c r="H1321" s="512">
        <v>238.93</v>
      </c>
      <c r="I1321" s="265" t="s">
        <v>1206</v>
      </c>
      <c r="J1321" s="265" t="s">
        <v>77</v>
      </c>
      <c r="K1321" s="265" t="s">
        <v>1231</v>
      </c>
      <c r="L1321" s="348" t="s">
        <v>1205</v>
      </c>
      <c r="M1321" s="265" t="s">
        <v>1232</v>
      </c>
      <c r="N1321" s="347">
        <v>38.94</v>
      </c>
      <c r="O1321" s="348" t="s">
        <v>1205</v>
      </c>
      <c r="P1321" s="348">
        <v>38.94</v>
      </c>
      <c r="Q1321" s="348">
        <v>2.08</v>
      </c>
    </row>
    <row r="1322" spans="1:17" ht="15" hidden="1" customHeight="1">
      <c r="A1322" s="163">
        <v>1316</v>
      </c>
      <c r="B1322" s="53" t="s">
        <v>30</v>
      </c>
      <c r="C1322" s="53" t="s">
        <v>1233</v>
      </c>
      <c r="D1322" s="53">
        <v>100027244</v>
      </c>
      <c r="E1322" s="55" t="s">
        <v>1234</v>
      </c>
      <c r="F1322" s="129">
        <v>12</v>
      </c>
      <c r="G1322" s="129">
        <v>232</v>
      </c>
      <c r="H1322" s="512">
        <v>314.14</v>
      </c>
      <c r="I1322" s="265" t="s">
        <v>1206</v>
      </c>
      <c r="J1322" s="265" t="s">
        <v>77</v>
      </c>
      <c r="K1322" s="265" t="s">
        <v>1235</v>
      </c>
      <c r="L1322" s="348" t="s">
        <v>1205</v>
      </c>
      <c r="M1322" s="265" t="s">
        <v>1236</v>
      </c>
      <c r="N1322" s="347">
        <v>50.91</v>
      </c>
      <c r="O1322" s="348" t="s">
        <v>1205</v>
      </c>
      <c r="P1322" s="348">
        <v>50.91</v>
      </c>
      <c r="Q1322" s="348">
        <v>3.1</v>
      </c>
    </row>
    <row r="1323" spans="1:17" ht="15" hidden="1" customHeight="1">
      <c r="A1323" s="163">
        <v>1317</v>
      </c>
      <c r="B1323" s="53" t="s">
        <v>30</v>
      </c>
      <c r="C1323" s="53" t="s">
        <v>1237</v>
      </c>
      <c r="D1323" s="53">
        <v>100027246</v>
      </c>
      <c r="E1323" s="55" t="s">
        <v>1238</v>
      </c>
      <c r="F1323" s="129">
        <v>6</v>
      </c>
      <c r="G1323" s="129">
        <v>103</v>
      </c>
      <c r="H1323" s="512">
        <v>598.1</v>
      </c>
      <c r="I1323" s="265" t="s">
        <v>1206</v>
      </c>
      <c r="J1323" s="265" t="s">
        <v>77</v>
      </c>
      <c r="K1323" s="265" t="s">
        <v>1239</v>
      </c>
      <c r="L1323" s="348" t="s">
        <v>1205</v>
      </c>
      <c r="M1323" s="265" t="s">
        <v>1240</v>
      </c>
      <c r="N1323" s="347">
        <v>52.3</v>
      </c>
      <c r="O1323" s="348" t="s">
        <v>1205</v>
      </c>
      <c r="P1323" s="348">
        <v>52.3</v>
      </c>
      <c r="Q1323" s="348">
        <v>3.51</v>
      </c>
    </row>
    <row r="1324" spans="1:17" ht="15" hidden="1" customHeight="1">
      <c r="A1324" s="163">
        <v>1318</v>
      </c>
      <c r="B1324" s="53" t="s">
        <v>30</v>
      </c>
      <c r="C1324" s="53" t="s">
        <v>1241</v>
      </c>
      <c r="D1324" s="53">
        <v>100027227</v>
      </c>
      <c r="E1324" s="55" t="s">
        <v>1242</v>
      </c>
      <c r="F1324" s="129">
        <v>100</v>
      </c>
      <c r="G1324" s="129">
        <v>6000</v>
      </c>
      <c r="H1324" s="512">
        <v>12.16</v>
      </c>
      <c r="I1324" s="265" t="s">
        <v>1206</v>
      </c>
      <c r="J1324" s="265" t="s">
        <v>77</v>
      </c>
      <c r="K1324" s="265" t="s">
        <v>1243</v>
      </c>
      <c r="L1324" s="348" t="s">
        <v>1205</v>
      </c>
      <c r="M1324" s="265" t="s">
        <v>1244</v>
      </c>
      <c r="N1324" s="347">
        <v>21.53</v>
      </c>
      <c r="O1324" s="348" t="s">
        <v>1205</v>
      </c>
      <c r="P1324" s="348">
        <v>21.53</v>
      </c>
      <c r="Q1324" s="348">
        <v>1</v>
      </c>
    </row>
    <row r="1325" spans="1:17" ht="15" hidden="1" customHeight="1">
      <c r="A1325" s="163">
        <v>1319</v>
      </c>
      <c r="B1325" s="53" t="s">
        <v>30</v>
      </c>
      <c r="C1325" s="53" t="s">
        <v>1245</v>
      </c>
      <c r="D1325" s="53">
        <v>100027229</v>
      </c>
      <c r="E1325" s="55" t="s">
        <v>1246</v>
      </c>
      <c r="F1325" s="129">
        <v>100</v>
      </c>
      <c r="G1325" s="129">
        <v>3529</v>
      </c>
      <c r="H1325" s="512">
        <v>14.15</v>
      </c>
      <c r="I1325" s="265" t="s">
        <v>1206</v>
      </c>
      <c r="J1325" s="265" t="s">
        <v>77</v>
      </c>
      <c r="K1325" s="265" t="s">
        <v>1247</v>
      </c>
      <c r="L1325" s="348" t="s">
        <v>1205</v>
      </c>
      <c r="M1325" s="265" t="s">
        <v>1248</v>
      </c>
      <c r="N1325" s="347">
        <v>36.369999999999997</v>
      </c>
      <c r="O1325" s="348" t="s">
        <v>1205</v>
      </c>
      <c r="P1325" s="348">
        <v>36.369999999999997</v>
      </c>
      <c r="Q1325" s="348">
        <v>1.7</v>
      </c>
    </row>
    <row r="1326" spans="1:17" ht="15" hidden="1" customHeight="1">
      <c r="A1326" s="163">
        <v>1320</v>
      </c>
      <c r="B1326" s="53" t="s">
        <v>30</v>
      </c>
      <c r="C1326" s="53" t="s">
        <v>1249</v>
      </c>
      <c r="D1326" s="53">
        <v>100027231</v>
      </c>
      <c r="E1326" s="55" t="s">
        <v>1250</v>
      </c>
      <c r="F1326" s="129">
        <v>100</v>
      </c>
      <c r="G1326" s="129">
        <v>2308</v>
      </c>
      <c r="H1326" s="512">
        <v>20.420000000000002</v>
      </c>
      <c r="I1326" s="265" t="s">
        <v>1206</v>
      </c>
      <c r="J1326" s="265" t="s">
        <v>77</v>
      </c>
      <c r="K1326" s="265" t="s">
        <v>1251</v>
      </c>
      <c r="L1326" s="348" t="s">
        <v>1205</v>
      </c>
      <c r="M1326" s="265" t="s">
        <v>1252</v>
      </c>
      <c r="N1326" s="347">
        <v>56</v>
      </c>
      <c r="O1326" s="348" t="s">
        <v>1205</v>
      </c>
      <c r="P1326" s="348">
        <v>56</v>
      </c>
      <c r="Q1326" s="348">
        <v>2.6</v>
      </c>
    </row>
    <row r="1327" spans="1:17" ht="15" hidden="1" customHeight="1">
      <c r="A1327" s="163">
        <v>1321</v>
      </c>
      <c r="B1327" s="53" t="s">
        <v>30</v>
      </c>
      <c r="C1327" s="53" t="s">
        <v>1253</v>
      </c>
      <c r="D1327" s="53">
        <v>100027233</v>
      </c>
      <c r="E1327" s="55" t="s">
        <v>1254</v>
      </c>
      <c r="F1327" s="129">
        <v>100</v>
      </c>
      <c r="G1327" s="129">
        <v>1818</v>
      </c>
      <c r="H1327" s="512">
        <v>24.79</v>
      </c>
      <c r="I1327" s="265" t="s">
        <v>1206</v>
      </c>
      <c r="J1327" s="265" t="s">
        <v>77</v>
      </c>
      <c r="K1327" s="265" t="s">
        <v>1255</v>
      </c>
      <c r="L1327" s="348" t="s">
        <v>1205</v>
      </c>
      <c r="M1327" s="265" t="s">
        <v>1256</v>
      </c>
      <c r="N1327" s="347">
        <v>73.41</v>
      </c>
      <c r="O1327" s="348" t="s">
        <v>1205</v>
      </c>
      <c r="P1327" s="348">
        <v>73.41</v>
      </c>
      <c r="Q1327" s="348">
        <v>3.3</v>
      </c>
    </row>
    <row r="1328" spans="1:17" ht="15" hidden="1" customHeight="1">
      <c r="A1328" s="163">
        <v>1322</v>
      </c>
      <c r="B1328" s="53" t="s">
        <v>30</v>
      </c>
      <c r="C1328" s="53" t="s">
        <v>1257</v>
      </c>
      <c r="D1328" s="53">
        <v>100027236</v>
      </c>
      <c r="E1328" s="55" t="s">
        <v>1258</v>
      </c>
      <c r="F1328" s="129">
        <v>48</v>
      </c>
      <c r="G1328" s="129">
        <v>1200</v>
      </c>
      <c r="H1328" s="512">
        <v>43.94</v>
      </c>
      <c r="I1328" s="265" t="s">
        <v>1206</v>
      </c>
      <c r="J1328" s="265" t="s">
        <v>77</v>
      </c>
      <c r="K1328" s="265" t="s">
        <v>1259</v>
      </c>
      <c r="L1328" s="348" t="s">
        <v>1205</v>
      </c>
      <c r="M1328" s="265" t="s">
        <v>1260</v>
      </c>
      <c r="N1328" s="347">
        <v>50.57</v>
      </c>
      <c r="O1328" s="348" t="s">
        <v>1205</v>
      </c>
      <c r="P1328" s="348">
        <v>50.57</v>
      </c>
      <c r="Q1328" s="348">
        <v>2.4</v>
      </c>
    </row>
    <row r="1329" spans="1:17" ht="15" hidden="1" customHeight="1">
      <c r="A1329" s="163">
        <v>1323</v>
      </c>
      <c r="B1329" s="53" t="s">
        <v>30</v>
      </c>
      <c r="C1329" s="53" t="s">
        <v>1261</v>
      </c>
      <c r="D1329" s="53">
        <v>100027239</v>
      </c>
      <c r="E1329" s="55" t="s">
        <v>1262</v>
      </c>
      <c r="F1329" s="129">
        <v>24</v>
      </c>
      <c r="G1329" s="129">
        <v>758</v>
      </c>
      <c r="H1329" s="512">
        <v>56.51</v>
      </c>
      <c r="I1329" s="265" t="s">
        <v>1206</v>
      </c>
      <c r="J1329" s="265" t="s">
        <v>77</v>
      </c>
      <c r="K1329" s="265" t="s">
        <v>1263</v>
      </c>
      <c r="L1329" s="348" t="s">
        <v>1205</v>
      </c>
      <c r="M1329" s="265" t="s">
        <v>1264</v>
      </c>
      <c r="N1329" s="347">
        <v>40.130000000000003</v>
      </c>
      <c r="O1329" s="348" t="s">
        <v>1205</v>
      </c>
      <c r="P1329" s="348">
        <v>40.130000000000003</v>
      </c>
      <c r="Q1329" s="348">
        <v>1.9</v>
      </c>
    </row>
    <row r="1330" spans="1:17" ht="15" hidden="1" customHeight="1">
      <c r="A1330" s="163">
        <v>1324</v>
      </c>
      <c r="B1330" s="53" t="s">
        <v>30</v>
      </c>
      <c r="C1330" s="53" t="s">
        <v>1265</v>
      </c>
      <c r="D1330" s="53">
        <v>100027241</v>
      </c>
      <c r="E1330" s="55" t="s">
        <v>1266</v>
      </c>
      <c r="F1330" s="129">
        <v>12</v>
      </c>
      <c r="G1330" s="129">
        <v>379</v>
      </c>
      <c r="H1330" s="512">
        <v>238.93</v>
      </c>
      <c r="I1330" s="265" t="s">
        <v>1206</v>
      </c>
      <c r="J1330" s="265" t="s">
        <v>77</v>
      </c>
      <c r="K1330" s="265" t="s">
        <v>1267</v>
      </c>
      <c r="L1330" s="348" t="s">
        <v>1205</v>
      </c>
      <c r="M1330" s="265" t="s">
        <v>1268</v>
      </c>
      <c r="N1330" s="347">
        <v>37.31</v>
      </c>
      <c r="O1330" s="348" t="s">
        <v>1205</v>
      </c>
      <c r="P1330" s="348">
        <v>37.31</v>
      </c>
      <c r="Q1330" s="348">
        <v>1.9</v>
      </c>
    </row>
    <row r="1331" spans="1:17" ht="15" hidden="1" customHeight="1">
      <c r="A1331" s="163">
        <v>1325</v>
      </c>
      <c r="B1331" s="53" t="s">
        <v>30</v>
      </c>
      <c r="C1331" s="53" t="s">
        <v>1269</v>
      </c>
      <c r="D1331" s="53">
        <v>100027243</v>
      </c>
      <c r="E1331" s="55" t="s">
        <v>1270</v>
      </c>
      <c r="F1331" s="129">
        <v>12</v>
      </c>
      <c r="G1331" s="129">
        <v>232</v>
      </c>
      <c r="H1331" s="512">
        <v>314.14</v>
      </c>
      <c r="I1331" s="265" t="s">
        <v>1206</v>
      </c>
      <c r="J1331" s="265" t="s">
        <v>77</v>
      </c>
      <c r="K1331" s="265" t="s">
        <v>1271</v>
      </c>
      <c r="L1331" s="348" t="s">
        <v>1205</v>
      </c>
      <c r="M1331" s="265" t="s">
        <v>1272</v>
      </c>
      <c r="N1331" s="347">
        <v>54.13</v>
      </c>
      <c r="O1331" s="348" t="s">
        <v>1205</v>
      </c>
      <c r="P1331" s="348">
        <v>54.13</v>
      </c>
      <c r="Q1331" s="348">
        <v>3.1</v>
      </c>
    </row>
    <row r="1332" spans="1:17" ht="15" hidden="1" customHeight="1">
      <c r="A1332" s="163">
        <v>1326</v>
      </c>
      <c r="B1332" s="53" t="s">
        <v>30</v>
      </c>
      <c r="C1332" s="53" t="s">
        <v>1273</v>
      </c>
      <c r="D1332" s="53">
        <v>100027245</v>
      </c>
      <c r="E1332" s="55" t="s">
        <v>1274</v>
      </c>
      <c r="F1332" s="129">
        <v>6</v>
      </c>
      <c r="G1332" s="129">
        <v>103</v>
      </c>
      <c r="H1332" s="512">
        <v>598.1</v>
      </c>
      <c r="I1332" s="265" t="s">
        <v>1206</v>
      </c>
      <c r="J1332" s="265" t="s">
        <v>77</v>
      </c>
      <c r="K1332" s="265" t="s">
        <v>1275</v>
      </c>
      <c r="L1332" s="348" t="s">
        <v>1205</v>
      </c>
      <c r="M1332" s="265" t="s">
        <v>1276</v>
      </c>
      <c r="N1332" s="347">
        <v>51.24</v>
      </c>
      <c r="O1332" s="348" t="s">
        <v>1205</v>
      </c>
      <c r="P1332" s="348">
        <v>51.24</v>
      </c>
      <c r="Q1332" s="348">
        <v>3.51</v>
      </c>
    </row>
    <row r="1333" spans="1:17" ht="15" hidden="1" customHeight="1">
      <c r="A1333" s="163">
        <v>1327</v>
      </c>
      <c r="B1333" s="53" t="s">
        <v>30</v>
      </c>
      <c r="C1333" s="53" t="s">
        <v>1277</v>
      </c>
      <c r="D1333" s="53">
        <v>100027276</v>
      </c>
      <c r="E1333" s="55" t="s">
        <v>1278</v>
      </c>
      <c r="F1333" s="129">
        <v>100</v>
      </c>
      <c r="G1333" s="129" t="s">
        <v>1205</v>
      </c>
      <c r="H1333" s="512">
        <v>12.16</v>
      </c>
      <c r="I1333" s="265" t="s">
        <v>1206</v>
      </c>
      <c r="J1333" s="265" t="s">
        <v>77</v>
      </c>
      <c r="K1333" s="265" t="s">
        <v>1279</v>
      </c>
      <c r="L1333" s="348" t="s">
        <v>1205</v>
      </c>
      <c r="M1333" s="265" t="s">
        <v>1280</v>
      </c>
      <c r="N1333" s="347">
        <v>22.47</v>
      </c>
      <c r="O1333" s="348" t="s">
        <v>1205</v>
      </c>
      <c r="P1333" s="348">
        <v>22.47</v>
      </c>
      <c r="Q1333" s="348">
        <v>1</v>
      </c>
    </row>
    <row r="1334" spans="1:17" ht="15" hidden="1" customHeight="1">
      <c r="A1334" s="163">
        <v>1328</v>
      </c>
      <c r="B1334" s="53" t="s">
        <v>30</v>
      </c>
      <c r="C1334" s="53" t="s">
        <v>1281</v>
      </c>
      <c r="D1334" s="53">
        <v>100027278</v>
      </c>
      <c r="E1334" s="55" t="s">
        <v>1282</v>
      </c>
      <c r="F1334" s="129">
        <v>100</v>
      </c>
      <c r="G1334" s="129" t="s">
        <v>1205</v>
      </c>
      <c r="H1334" s="512">
        <v>14.15</v>
      </c>
      <c r="I1334" s="265" t="s">
        <v>1206</v>
      </c>
      <c r="J1334" s="265" t="s">
        <v>77</v>
      </c>
      <c r="K1334" s="265" t="s">
        <v>1283</v>
      </c>
      <c r="L1334" s="348" t="s">
        <v>1205</v>
      </c>
      <c r="M1334" s="265" t="s">
        <v>1284</v>
      </c>
      <c r="N1334" s="347">
        <v>37.83</v>
      </c>
      <c r="O1334" s="348" t="s">
        <v>1205</v>
      </c>
      <c r="P1334" s="348">
        <v>37.83</v>
      </c>
      <c r="Q1334" s="348">
        <v>1.7</v>
      </c>
    </row>
    <row r="1335" spans="1:17" ht="15" hidden="1" customHeight="1">
      <c r="A1335" s="163">
        <v>1329</v>
      </c>
      <c r="B1335" s="53" t="s">
        <v>30</v>
      </c>
      <c r="C1335" s="53" t="s">
        <v>1285</v>
      </c>
      <c r="D1335" s="53">
        <v>100027280</v>
      </c>
      <c r="E1335" s="55" t="s">
        <v>1286</v>
      </c>
      <c r="F1335" s="129">
        <v>100</v>
      </c>
      <c r="G1335" s="129" t="s">
        <v>1205</v>
      </c>
      <c r="H1335" s="512">
        <v>20.420000000000002</v>
      </c>
      <c r="I1335" s="265" t="s">
        <v>1206</v>
      </c>
      <c r="J1335" s="265" t="s">
        <v>77</v>
      </c>
      <c r="K1335" s="265" t="s">
        <v>1287</v>
      </c>
      <c r="L1335" s="348" t="s">
        <v>1205</v>
      </c>
      <c r="M1335" s="265" t="s">
        <v>1288</v>
      </c>
      <c r="N1335" s="347">
        <v>57.84</v>
      </c>
      <c r="O1335" s="348" t="s">
        <v>1205</v>
      </c>
      <c r="P1335" s="348">
        <v>57.84</v>
      </c>
      <c r="Q1335" s="348">
        <v>2.6</v>
      </c>
    </row>
    <row r="1336" spans="1:17" ht="15" hidden="1" customHeight="1">
      <c r="A1336" s="163">
        <v>1330</v>
      </c>
      <c r="B1336" s="53" t="s">
        <v>30</v>
      </c>
      <c r="C1336" s="53" t="s">
        <v>1289</v>
      </c>
      <c r="D1336" s="53">
        <v>100027282</v>
      </c>
      <c r="E1336" s="55" t="s">
        <v>1290</v>
      </c>
      <c r="F1336" s="129">
        <v>100</v>
      </c>
      <c r="G1336" s="129" t="s">
        <v>1205</v>
      </c>
      <c r="H1336" s="512">
        <v>24.79</v>
      </c>
      <c r="I1336" s="265" t="s">
        <v>1206</v>
      </c>
      <c r="J1336" s="265" t="s">
        <v>77</v>
      </c>
      <c r="K1336" s="265" t="s">
        <v>1291</v>
      </c>
      <c r="L1336" s="348" t="s">
        <v>1205</v>
      </c>
      <c r="M1336" s="265" t="s">
        <v>1292</v>
      </c>
      <c r="N1336" s="347">
        <v>72.150000000000006</v>
      </c>
      <c r="O1336" s="348" t="s">
        <v>1205</v>
      </c>
      <c r="P1336" s="348">
        <v>72.150000000000006</v>
      </c>
      <c r="Q1336" s="348">
        <v>3.3</v>
      </c>
    </row>
    <row r="1337" spans="1:17" ht="15" hidden="1" customHeight="1">
      <c r="A1337" s="163">
        <v>1331</v>
      </c>
      <c r="B1337" s="53" t="s">
        <v>30</v>
      </c>
      <c r="C1337" s="53" t="s">
        <v>1293</v>
      </c>
      <c r="D1337" s="53">
        <v>100027284</v>
      </c>
      <c r="E1337" s="55" t="s">
        <v>1294</v>
      </c>
      <c r="F1337" s="129">
        <v>48</v>
      </c>
      <c r="G1337" s="129" t="s">
        <v>1205</v>
      </c>
      <c r="H1337" s="512">
        <v>43.94</v>
      </c>
      <c r="I1337" s="265" t="s">
        <v>1206</v>
      </c>
      <c r="J1337" s="265" t="s">
        <v>77</v>
      </c>
      <c r="K1337" s="265" t="s">
        <v>1295</v>
      </c>
      <c r="L1337" s="348" t="s">
        <v>1205</v>
      </c>
      <c r="M1337" s="265" t="s">
        <v>1296</v>
      </c>
      <c r="N1337" s="347">
        <v>52.21</v>
      </c>
      <c r="O1337" s="348" t="s">
        <v>1205</v>
      </c>
      <c r="P1337" s="348">
        <v>52.21</v>
      </c>
      <c r="Q1337" s="348">
        <v>2.4</v>
      </c>
    </row>
    <row r="1338" spans="1:17" ht="15" hidden="1" customHeight="1">
      <c r="A1338" s="163">
        <v>1332</v>
      </c>
      <c r="B1338" s="53" t="s">
        <v>30</v>
      </c>
      <c r="C1338" s="53" t="s">
        <v>1297</v>
      </c>
      <c r="D1338" s="53">
        <v>100027286</v>
      </c>
      <c r="E1338" s="55" t="s">
        <v>1298</v>
      </c>
      <c r="F1338" s="129">
        <v>24</v>
      </c>
      <c r="G1338" s="129" t="s">
        <v>1205</v>
      </c>
      <c r="H1338" s="512">
        <v>56.51</v>
      </c>
      <c r="I1338" s="265" t="s">
        <v>1206</v>
      </c>
      <c r="J1338" s="265" t="s">
        <v>77</v>
      </c>
      <c r="K1338" s="265" t="s">
        <v>1299</v>
      </c>
      <c r="L1338" s="348" t="s">
        <v>1205</v>
      </c>
      <c r="M1338" s="265" t="s">
        <v>1300</v>
      </c>
      <c r="N1338" s="347">
        <v>42.67</v>
      </c>
      <c r="O1338" s="348" t="s">
        <v>1205</v>
      </c>
      <c r="P1338" s="348">
        <v>42.67</v>
      </c>
      <c r="Q1338" s="348">
        <v>1.9</v>
      </c>
    </row>
    <row r="1339" spans="1:17" ht="15" hidden="1" customHeight="1">
      <c r="A1339" s="163">
        <v>1333</v>
      </c>
      <c r="B1339" s="53" t="s">
        <v>30</v>
      </c>
      <c r="C1339" s="53" t="s">
        <v>1301</v>
      </c>
      <c r="D1339" s="53">
        <v>100027288</v>
      </c>
      <c r="E1339" s="55" t="s">
        <v>1302</v>
      </c>
      <c r="F1339" s="129">
        <v>12</v>
      </c>
      <c r="G1339" s="129">
        <v>346</v>
      </c>
      <c r="H1339" s="512">
        <v>238.93</v>
      </c>
      <c r="I1339" s="265" t="s">
        <v>1206</v>
      </c>
      <c r="J1339" s="265" t="s">
        <v>77</v>
      </c>
      <c r="K1339" s="265" t="s">
        <v>1303</v>
      </c>
      <c r="L1339" s="348" t="s">
        <v>1205</v>
      </c>
      <c r="M1339" s="265" t="s">
        <v>1304</v>
      </c>
      <c r="N1339" s="347">
        <v>36.799999999999997</v>
      </c>
      <c r="O1339" s="348" t="s">
        <v>1205</v>
      </c>
      <c r="P1339" s="348">
        <v>36.799999999999997</v>
      </c>
      <c r="Q1339" s="348">
        <v>2.08</v>
      </c>
    </row>
    <row r="1340" spans="1:17" ht="15" hidden="1" customHeight="1">
      <c r="A1340" s="163">
        <v>1334</v>
      </c>
      <c r="B1340" s="53" t="s">
        <v>30</v>
      </c>
      <c r="C1340" s="53" t="s">
        <v>1305</v>
      </c>
      <c r="D1340" s="53">
        <v>100027290</v>
      </c>
      <c r="E1340" s="55" t="s">
        <v>1306</v>
      </c>
      <c r="F1340" s="129">
        <v>12</v>
      </c>
      <c r="G1340" s="129">
        <v>232</v>
      </c>
      <c r="H1340" s="512">
        <v>314.14</v>
      </c>
      <c r="I1340" s="265" t="s">
        <v>369</v>
      </c>
      <c r="J1340" s="265" t="s">
        <v>77</v>
      </c>
      <c r="K1340" s="265" t="s">
        <v>1307</v>
      </c>
      <c r="L1340" s="348" t="s">
        <v>1205</v>
      </c>
      <c r="M1340" s="265" t="s">
        <v>1308</v>
      </c>
      <c r="N1340" s="347">
        <v>55.6</v>
      </c>
      <c r="O1340" s="348" t="s">
        <v>1205</v>
      </c>
      <c r="P1340" s="348">
        <v>55.6</v>
      </c>
      <c r="Q1340" s="348">
        <v>3.1</v>
      </c>
    </row>
    <row r="1341" spans="1:17" ht="15" hidden="1" customHeight="1">
      <c r="A1341" s="163">
        <v>1335</v>
      </c>
      <c r="B1341" s="53" t="s">
        <v>30</v>
      </c>
      <c r="C1341" s="53" t="s">
        <v>1309</v>
      </c>
      <c r="D1341" s="53">
        <v>100027292</v>
      </c>
      <c r="E1341" s="55" t="s">
        <v>1310</v>
      </c>
      <c r="F1341" s="129">
        <v>6</v>
      </c>
      <c r="G1341" s="129">
        <v>113</v>
      </c>
      <c r="H1341" s="512">
        <v>598.1</v>
      </c>
      <c r="I1341" s="265" t="s">
        <v>1206</v>
      </c>
      <c r="J1341" s="265" t="s">
        <v>77</v>
      </c>
      <c r="K1341" s="265" t="s">
        <v>1311</v>
      </c>
      <c r="L1341" s="348" t="s">
        <v>1205</v>
      </c>
      <c r="M1341" s="265" t="s">
        <v>1312</v>
      </c>
      <c r="N1341" s="347">
        <v>32.08</v>
      </c>
      <c r="O1341" s="348" t="s">
        <v>1205</v>
      </c>
      <c r="P1341" s="348">
        <v>32.08</v>
      </c>
      <c r="Q1341" s="348">
        <v>3.2</v>
      </c>
    </row>
    <row r="1342" spans="1:17" ht="15" hidden="1" customHeight="1">
      <c r="A1342" s="163">
        <v>1336</v>
      </c>
      <c r="B1342" s="53" t="s">
        <v>30</v>
      </c>
      <c r="C1342" s="53" t="s">
        <v>1313</v>
      </c>
      <c r="D1342" s="53">
        <v>100027275</v>
      </c>
      <c r="E1342" s="55" t="s">
        <v>1314</v>
      </c>
      <c r="F1342" s="129">
        <v>100</v>
      </c>
      <c r="G1342" s="129">
        <v>6000</v>
      </c>
      <c r="H1342" s="512">
        <v>12.15</v>
      </c>
      <c r="I1342" s="265" t="s">
        <v>1206</v>
      </c>
      <c r="J1342" s="265" t="s">
        <v>77</v>
      </c>
      <c r="K1342" s="265" t="s">
        <v>1315</v>
      </c>
      <c r="L1342" s="348" t="s">
        <v>1205</v>
      </c>
      <c r="M1342" s="265" t="s">
        <v>1316</v>
      </c>
      <c r="N1342" s="347">
        <v>22.26</v>
      </c>
      <c r="O1342" s="348" t="s">
        <v>1205</v>
      </c>
      <c r="P1342" s="348">
        <v>22.26</v>
      </c>
      <c r="Q1342" s="348">
        <v>1</v>
      </c>
    </row>
    <row r="1343" spans="1:17" ht="15" hidden="1" customHeight="1">
      <c r="A1343" s="163">
        <v>1337</v>
      </c>
      <c r="B1343" s="53" t="s">
        <v>30</v>
      </c>
      <c r="C1343" s="53" t="s">
        <v>1317</v>
      </c>
      <c r="D1343" s="53">
        <v>100027277</v>
      </c>
      <c r="E1343" s="55" t="s">
        <v>1318</v>
      </c>
      <c r="F1343" s="129">
        <v>100</v>
      </c>
      <c r="G1343" s="129">
        <v>3529</v>
      </c>
      <c r="H1343" s="512">
        <v>14.15</v>
      </c>
      <c r="I1343" s="265" t="s">
        <v>1206</v>
      </c>
      <c r="J1343" s="265" t="s">
        <v>77</v>
      </c>
      <c r="K1343" s="265" t="s">
        <v>1319</v>
      </c>
      <c r="L1343" s="348" t="s">
        <v>1205</v>
      </c>
      <c r="M1343" s="265" t="s">
        <v>1320</v>
      </c>
      <c r="N1343" s="347">
        <v>37.869999999999997</v>
      </c>
      <c r="O1343" s="348" t="s">
        <v>1205</v>
      </c>
      <c r="P1343" s="348">
        <v>37.869999999999997</v>
      </c>
      <c r="Q1343" s="348">
        <v>1.7</v>
      </c>
    </row>
    <row r="1344" spans="1:17" ht="15" hidden="1" customHeight="1">
      <c r="A1344" s="163">
        <v>1338</v>
      </c>
      <c r="B1344" s="53" t="s">
        <v>30</v>
      </c>
      <c r="C1344" s="53" t="s">
        <v>1321</v>
      </c>
      <c r="D1344" s="53">
        <v>100027279</v>
      </c>
      <c r="E1344" s="55" t="s">
        <v>1322</v>
      </c>
      <c r="F1344" s="129">
        <v>100</v>
      </c>
      <c r="G1344" s="129">
        <v>2308</v>
      </c>
      <c r="H1344" s="512">
        <v>20.420000000000002</v>
      </c>
      <c r="I1344" s="265" t="s">
        <v>1206</v>
      </c>
      <c r="J1344" s="265" t="s">
        <v>77</v>
      </c>
      <c r="K1344" s="265" t="s">
        <v>1323</v>
      </c>
      <c r="L1344" s="348" t="s">
        <v>1205</v>
      </c>
      <c r="M1344" s="265" t="s">
        <v>1324</v>
      </c>
      <c r="N1344" s="347">
        <v>58.3</v>
      </c>
      <c r="O1344" s="348" t="s">
        <v>1205</v>
      </c>
      <c r="P1344" s="348">
        <v>58.3</v>
      </c>
      <c r="Q1344" s="348">
        <v>2.6</v>
      </c>
    </row>
    <row r="1345" spans="1:17" ht="15" hidden="1" customHeight="1">
      <c r="A1345" s="163">
        <v>1339</v>
      </c>
      <c r="B1345" s="53" t="s">
        <v>30</v>
      </c>
      <c r="C1345" s="53" t="s">
        <v>1325</v>
      </c>
      <c r="D1345" s="53">
        <v>100027281</v>
      </c>
      <c r="E1345" s="55" t="s">
        <v>1326</v>
      </c>
      <c r="F1345" s="129">
        <v>100</v>
      </c>
      <c r="G1345" s="129">
        <v>1818</v>
      </c>
      <c r="H1345" s="512">
        <v>24.79</v>
      </c>
      <c r="I1345" s="265" t="s">
        <v>1206</v>
      </c>
      <c r="J1345" s="265" t="s">
        <v>77</v>
      </c>
      <c r="K1345" s="265" t="s">
        <v>1327</v>
      </c>
      <c r="L1345" s="348" t="s">
        <v>1205</v>
      </c>
      <c r="M1345" s="265" t="s">
        <v>1328</v>
      </c>
      <c r="N1345" s="347">
        <v>72.150000000000006</v>
      </c>
      <c r="O1345" s="348" t="s">
        <v>1205</v>
      </c>
      <c r="P1345" s="348">
        <v>72.150000000000006</v>
      </c>
      <c r="Q1345" s="348">
        <v>3.3</v>
      </c>
    </row>
    <row r="1346" spans="1:17" ht="15" hidden="1" customHeight="1">
      <c r="A1346" s="163">
        <v>1340</v>
      </c>
      <c r="B1346" s="53" t="s">
        <v>30</v>
      </c>
      <c r="C1346" s="53" t="s">
        <v>1329</v>
      </c>
      <c r="D1346" s="53">
        <v>100027283</v>
      </c>
      <c r="E1346" s="55" t="s">
        <v>1330</v>
      </c>
      <c r="F1346" s="129">
        <v>48</v>
      </c>
      <c r="G1346" s="129">
        <v>1200</v>
      </c>
      <c r="H1346" s="512">
        <v>43.94</v>
      </c>
      <c r="I1346" s="265" t="s">
        <v>1206</v>
      </c>
      <c r="J1346" s="265" t="s">
        <v>77</v>
      </c>
      <c r="K1346" s="265" t="s">
        <v>1331</v>
      </c>
      <c r="L1346" s="348" t="s">
        <v>1205</v>
      </c>
      <c r="M1346" s="265" t="s">
        <v>1332</v>
      </c>
      <c r="N1346" s="347">
        <v>52.55</v>
      </c>
      <c r="O1346" s="348" t="s">
        <v>1205</v>
      </c>
      <c r="P1346" s="348">
        <v>52.55</v>
      </c>
      <c r="Q1346" s="348">
        <v>2.4</v>
      </c>
    </row>
    <row r="1347" spans="1:17" ht="15" hidden="1" customHeight="1">
      <c r="A1347" s="163">
        <v>1341</v>
      </c>
      <c r="B1347" s="53" t="s">
        <v>30</v>
      </c>
      <c r="C1347" s="53" t="s">
        <v>1333</v>
      </c>
      <c r="D1347" s="53">
        <v>100027285</v>
      </c>
      <c r="E1347" s="55" t="s">
        <v>1334</v>
      </c>
      <c r="F1347" s="129">
        <v>24</v>
      </c>
      <c r="G1347" s="129">
        <v>758</v>
      </c>
      <c r="H1347" s="512">
        <v>56.51</v>
      </c>
      <c r="I1347" s="265" t="s">
        <v>1206</v>
      </c>
      <c r="J1347" s="265" t="s">
        <v>77</v>
      </c>
      <c r="K1347" s="265" t="s">
        <v>1335</v>
      </c>
      <c r="L1347" s="348" t="s">
        <v>1205</v>
      </c>
      <c r="M1347" s="265" t="s">
        <v>1336</v>
      </c>
      <c r="N1347" s="347">
        <v>42.04</v>
      </c>
      <c r="O1347" s="348" t="s">
        <v>1205</v>
      </c>
      <c r="P1347" s="348">
        <v>42.04</v>
      </c>
      <c r="Q1347" s="348">
        <v>1.9</v>
      </c>
    </row>
    <row r="1348" spans="1:17" ht="15" hidden="1" customHeight="1">
      <c r="A1348" s="163">
        <v>1342</v>
      </c>
      <c r="B1348" s="53" t="s">
        <v>30</v>
      </c>
      <c r="C1348" s="53" t="s">
        <v>1337</v>
      </c>
      <c r="D1348" s="53">
        <v>100027287</v>
      </c>
      <c r="E1348" s="55" t="s">
        <v>1338</v>
      </c>
      <c r="F1348" s="129">
        <v>12</v>
      </c>
      <c r="G1348" s="129">
        <v>346</v>
      </c>
      <c r="H1348" s="512">
        <v>238.93</v>
      </c>
      <c r="I1348" s="265" t="s">
        <v>369</v>
      </c>
      <c r="J1348" s="265" t="s">
        <v>77</v>
      </c>
      <c r="K1348" s="265" t="s">
        <v>1339</v>
      </c>
      <c r="L1348" s="348" t="s">
        <v>1205</v>
      </c>
      <c r="M1348" s="265" t="s">
        <v>1340</v>
      </c>
      <c r="N1348" s="347">
        <v>36.51</v>
      </c>
      <c r="O1348" s="348" t="s">
        <v>1205</v>
      </c>
      <c r="P1348" s="348">
        <v>36.51</v>
      </c>
      <c r="Q1348" s="348">
        <v>2.08</v>
      </c>
    </row>
    <row r="1349" spans="1:17" ht="15" hidden="1" customHeight="1">
      <c r="A1349" s="163">
        <v>1343</v>
      </c>
      <c r="B1349" s="53" t="s">
        <v>30</v>
      </c>
      <c r="C1349" s="53" t="s">
        <v>1341</v>
      </c>
      <c r="D1349" s="53">
        <v>100027289</v>
      </c>
      <c r="E1349" s="55" t="s">
        <v>1342</v>
      </c>
      <c r="F1349" s="129">
        <v>12</v>
      </c>
      <c r="G1349" s="129">
        <v>232</v>
      </c>
      <c r="H1349" s="512">
        <v>314.14</v>
      </c>
      <c r="I1349" s="265" t="s">
        <v>1206</v>
      </c>
      <c r="J1349" s="265" t="s">
        <v>77</v>
      </c>
      <c r="K1349" s="265" t="s">
        <v>1343</v>
      </c>
      <c r="L1349" s="348" t="s">
        <v>1205</v>
      </c>
      <c r="M1349" s="265" t="s">
        <v>1344</v>
      </c>
      <c r="N1349" s="347">
        <v>56.75</v>
      </c>
      <c r="O1349" s="348" t="s">
        <v>1205</v>
      </c>
      <c r="P1349" s="348">
        <v>56.75</v>
      </c>
      <c r="Q1349" s="348">
        <v>3.1</v>
      </c>
    </row>
    <row r="1350" spans="1:17" ht="15" hidden="1" customHeight="1">
      <c r="A1350" s="163">
        <v>1344</v>
      </c>
      <c r="B1350" s="53" t="s">
        <v>30</v>
      </c>
      <c r="C1350" s="53" t="s">
        <v>1345</v>
      </c>
      <c r="D1350" s="53">
        <v>100027291</v>
      </c>
      <c r="E1350" s="55" t="s">
        <v>1346</v>
      </c>
      <c r="F1350" s="129">
        <v>6</v>
      </c>
      <c r="G1350" s="129">
        <v>113</v>
      </c>
      <c r="H1350" s="512">
        <v>598.1</v>
      </c>
      <c r="I1350" s="265" t="s">
        <v>1206</v>
      </c>
      <c r="J1350" s="265" t="s">
        <v>77</v>
      </c>
      <c r="K1350" s="265" t="s">
        <v>1347</v>
      </c>
      <c r="L1350" s="348" t="s">
        <v>1205</v>
      </c>
      <c r="M1350" s="265" t="s">
        <v>1348</v>
      </c>
      <c r="N1350" s="347">
        <v>55.2</v>
      </c>
      <c r="O1350" s="348" t="s">
        <v>1205</v>
      </c>
      <c r="P1350" s="348">
        <v>55.2</v>
      </c>
      <c r="Q1350" s="348">
        <v>3.2</v>
      </c>
    </row>
    <row r="1351" spans="1:17" ht="15" hidden="1" customHeight="1">
      <c r="A1351" s="163">
        <v>1345</v>
      </c>
      <c r="B1351" s="53" t="s">
        <v>30</v>
      </c>
      <c r="C1351" s="53" t="s">
        <v>1349</v>
      </c>
      <c r="D1351" s="53">
        <v>100027207</v>
      </c>
      <c r="E1351" s="55" t="s">
        <v>1350</v>
      </c>
      <c r="F1351" s="129">
        <v>100</v>
      </c>
      <c r="G1351" s="129" t="s">
        <v>1205</v>
      </c>
      <c r="H1351" s="512">
        <v>32.200000000000003</v>
      </c>
      <c r="I1351" s="265" t="s">
        <v>1351</v>
      </c>
      <c r="J1351" s="265" t="s">
        <v>77</v>
      </c>
      <c r="K1351" s="265" t="s">
        <v>1352</v>
      </c>
      <c r="L1351" s="265">
        <v>0</v>
      </c>
      <c r="M1351" s="265" t="s">
        <v>1353</v>
      </c>
      <c r="N1351" s="347">
        <v>12.54</v>
      </c>
      <c r="O1351" s="348" t="s">
        <v>1205</v>
      </c>
      <c r="P1351" s="348">
        <v>12.54</v>
      </c>
      <c r="Q1351" s="348">
        <v>0.65</v>
      </c>
    </row>
    <row r="1352" spans="1:17" ht="15" hidden="1" customHeight="1">
      <c r="A1352" s="163">
        <v>1346</v>
      </c>
      <c r="B1352" s="53" t="s">
        <v>30</v>
      </c>
      <c r="C1352" s="53" t="s">
        <v>1354</v>
      </c>
      <c r="D1352" s="53">
        <v>100027208</v>
      </c>
      <c r="E1352" s="55" t="s">
        <v>1355</v>
      </c>
      <c r="F1352" s="129">
        <v>100</v>
      </c>
      <c r="G1352" s="129" t="s">
        <v>1205</v>
      </c>
      <c r="H1352" s="512">
        <v>39.520000000000003</v>
      </c>
      <c r="I1352" s="265" t="s">
        <v>1206</v>
      </c>
      <c r="J1352" s="265" t="s">
        <v>77</v>
      </c>
      <c r="K1352" s="265" t="s">
        <v>1356</v>
      </c>
      <c r="L1352" s="265">
        <v>0</v>
      </c>
      <c r="M1352" s="265" t="s">
        <v>1357</v>
      </c>
      <c r="N1352" s="347">
        <v>21.27</v>
      </c>
      <c r="O1352" s="348" t="s">
        <v>1205</v>
      </c>
      <c r="P1352" s="348">
        <v>21.27</v>
      </c>
      <c r="Q1352" s="348">
        <v>0.97</v>
      </c>
    </row>
    <row r="1353" spans="1:17" ht="15" hidden="1" customHeight="1">
      <c r="A1353" s="163">
        <v>1347</v>
      </c>
      <c r="B1353" s="53" t="s">
        <v>30</v>
      </c>
      <c r="C1353" s="53" t="s">
        <v>1358</v>
      </c>
      <c r="D1353" s="53">
        <v>100027209</v>
      </c>
      <c r="E1353" s="55" t="s">
        <v>1359</v>
      </c>
      <c r="F1353" s="129">
        <v>100</v>
      </c>
      <c r="G1353" s="129" t="s">
        <v>1205</v>
      </c>
      <c r="H1353" s="512">
        <v>53.27</v>
      </c>
      <c r="I1353" s="265" t="s">
        <v>369</v>
      </c>
      <c r="J1353" s="265" t="s">
        <v>77</v>
      </c>
      <c r="K1353" s="265" t="s">
        <v>1360</v>
      </c>
      <c r="L1353" s="348" t="s">
        <v>1205</v>
      </c>
      <c r="M1353" s="265" t="s">
        <v>1361</v>
      </c>
      <c r="N1353" s="347">
        <v>57.82</v>
      </c>
      <c r="O1353" s="348" t="s">
        <v>1205</v>
      </c>
      <c r="P1353" s="348">
        <v>57.82</v>
      </c>
      <c r="Q1353" s="348">
        <v>2.9</v>
      </c>
    </row>
    <row r="1354" spans="1:17" ht="15" hidden="1" customHeight="1">
      <c r="A1354" s="163">
        <v>1348</v>
      </c>
      <c r="B1354" s="53" t="s">
        <v>30</v>
      </c>
      <c r="C1354" s="53" t="s">
        <v>1362</v>
      </c>
      <c r="D1354" s="53">
        <v>100027266</v>
      </c>
      <c r="E1354" s="55" t="s">
        <v>1363</v>
      </c>
      <c r="F1354" s="129">
        <v>48</v>
      </c>
      <c r="G1354" s="129">
        <v>2483</v>
      </c>
      <c r="H1354" s="512">
        <v>47.01</v>
      </c>
      <c r="I1354" s="265" t="s">
        <v>369</v>
      </c>
      <c r="J1354" s="265" t="s">
        <v>77</v>
      </c>
      <c r="K1354" s="265" t="s">
        <v>1364</v>
      </c>
      <c r="L1354" s="348" t="s">
        <v>1205</v>
      </c>
      <c r="M1354" s="265" t="s">
        <v>1365</v>
      </c>
      <c r="N1354" s="347">
        <v>25.53</v>
      </c>
      <c r="O1354" s="348" t="s">
        <v>1205</v>
      </c>
      <c r="P1354" s="348">
        <v>25.53</v>
      </c>
      <c r="Q1354" s="348">
        <v>1.1599999999999999</v>
      </c>
    </row>
    <row r="1355" spans="1:17" ht="15" hidden="1" customHeight="1">
      <c r="A1355" s="163">
        <v>1349</v>
      </c>
      <c r="B1355" s="53" t="s">
        <v>30</v>
      </c>
      <c r="C1355" s="53" t="s">
        <v>1366</v>
      </c>
      <c r="D1355" s="53">
        <v>100027267</v>
      </c>
      <c r="E1355" s="55" t="s">
        <v>1367</v>
      </c>
      <c r="F1355" s="129">
        <v>36</v>
      </c>
      <c r="G1355" s="129">
        <v>1577</v>
      </c>
      <c r="H1355" s="512">
        <v>63.05</v>
      </c>
      <c r="I1355" s="265" t="s">
        <v>1206</v>
      </c>
      <c r="J1355" s="265" t="s">
        <v>77</v>
      </c>
      <c r="K1355" s="265" t="s">
        <v>1368</v>
      </c>
      <c r="L1355" s="348" t="s">
        <v>1205</v>
      </c>
      <c r="M1355" s="265" t="s">
        <v>1369</v>
      </c>
      <c r="N1355" s="347">
        <v>27.93</v>
      </c>
      <c r="O1355" s="348" t="s">
        <v>1205</v>
      </c>
      <c r="P1355" s="348">
        <v>27.93</v>
      </c>
      <c r="Q1355" s="348">
        <v>1.37</v>
      </c>
    </row>
    <row r="1356" spans="1:17" ht="15" hidden="1" customHeight="1">
      <c r="A1356" s="163">
        <v>1350</v>
      </c>
      <c r="B1356" s="53" t="s">
        <v>30</v>
      </c>
      <c r="C1356" s="53" t="s">
        <v>1370</v>
      </c>
      <c r="D1356" s="53">
        <v>100027268</v>
      </c>
      <c r="E1356" s="55" t="s">
        <v>1371</v>
      </c>
      <c r="F1356" s="129">
        <v>24</v>
      </c>
      <c r="G1356" s="129">
        <v>1161</v>
      </c>
      <c r="H1356" s="512">
        <v>87.95</v>
      </c>
      <c r="I1356" s="265" t="s">
        <v>1206</v>
      </c>
      <c r="J1356" s="265" t="s">
        <v>77</v>
      </c>
      <c r="K1356" s="265" t="s">
        <v>1372</v>
      </c>
      <c r="L1356" s="348" t="s">
        <v>1205</v>
      </c>
      <c r="M1356" s="265" t="s">
        <v>1373</v>
      </c>
      <c r="N1356" s="347">
        <v>24.7</v>
      </c>
      <c r="O1356" s="348" t="s">
        <v>1205</v>
      </c>
      <c r="P1356" s="348">
        <v>24.7</v>
      </c>
      <c r="Q1356" s="348">
        <v>1.24</v>
      </c>
    </row>
    <row r="1357" spans="1:17" ht="15" hidden="1" customHeight="1">
      <c r="A1357" s="163">
        <v>1351</v>
      </c>
      <c r="B1357" s="53" t="s">
        <v>30</v>
      </c>
      <c r="C1357" s="53" t="s">
        <v>1374</v>
      </c>
      <c r="D1357" s="53">
        <v>100027269</v>
      </c>
      <c r="E1357" s="55" t="s">
        <v>1375</v>
      </c>
      <c r="F1357" s="129">
        <v>24</v>
      </c>
      <c r="G1357" s="129">
        <v>692</v>
      </c>
      <c r="H1357" s="512">
        <v>118.28</v>
      </c>
      <c r="I1357" s="265" t="s">
        <v>1206</v>
      </c>
      <c r="J1357" s="265" t="s">
        <v>77</v>
      </c>
      <c r="K1357" s="265" t="s">
        <v>1376</v>
      </c>
      <c r="L1357" s="348" t="s">
        <v>1205</v>
      </c>
      <c r="M1357" s="265" t="s">
        <v>1377</v>
      </c>
      <c r="N1357" s="347">
        <v>39.93</v>
      </c>
      <c r="O1357" s="348" t="s">
        <v>1205</v>
      </c>
      <c r="P1357" s="348">
        <v>39.93</v>
      </c>
      <c r="Q1357" s="348">
        <v>2.08</v>
      </c>
    </row>
    <row r="1358" spans="1:17" ht="15" hidden="1" customHeight="1">
      <c r="A1358" s="163">
        <v>1352</v>
      </c>
      <c r="B1358" s="53" t="s">
        <v>30</v>
      </c>
      <c r="C1358" s="53" t="s">
        <v>1378</v>
      </c>
      <c r="D1358" s="53">
        <v>100027270</v>
      </c>
      <c r="E1358" s="55" t="s">
        <v>1379</v>
      </c>
      <c r="F1358" s="129">
        <v>24</v>
      </c>
      <c r="G1358" s="129">
        <v>588</v>
      </c>
      <c r="H1358" s="512">
        <v>162.24</v>
      </c>
      <c r="I1358" s="265" t="s">
        <v>1206</v>
      </c>
      <c r="J1358" s="265" t="s">
        <v>77</v>
      </c>
      <c r="K1358" s="265" t="s">
        <v>1380</v>
      </c>
      <c r="L1358" s="348" t="s">
        <v>1205</v>
      </c>
      <c r="M1358" s="265" t="s">
        <v>1381</v>
      </c>
      <c r="N1358" s="347">
        <v>56.24</v>
      </c>
      <c r="O1358" s="348" t="s">
        <v>1205</v>
      </c>
      <c r="P1358" s="348">
        <v>56.24</v>
      </c>
      <c r="Q1358" s="348">
        <v>2.4500000000000002</v>
      </c>
    </row>
    <row r="1359" spans="1:17" ht="15" hidden="1" customHeight="1">
      <c r="A1359" s="163">
        <v>1353</v>
      </c>
      <c r="B1359" s="53" t="s">
        <v>30</v>
      </c>
      <c r="C1359" s="53" t="s">
        <v>1382</v>
      </c>
      <c r="D1359" s="53">
        <v>100027271</v>
      </c>
      <c r="E1359" s="55" t="s">
        <v>1383</v>
      </c>
      <c r="F1359" s="129">
        <v>12</v>
      </c>
      <c r="G1359" s="129">
        <v>294</v>
      </c>
      <c r="H1359" s="512">
        <v>212.22</v>
      </c>
      <c r="I1359" s="265" t="s">
        <v>1206</v>
      </c>
      <c r="J1359" s="265" t="s">
        <v>77</v>
      </c>
      <c r="K1359" s="265" t="s">
        <v>1384</v>
      </c>
      <c r="L1359" s="348" t="s">
        <v>1205</v>
      </c>
      <c r="M1359" s="265" t="s">
        <v>1385</v>
      </c>
      <c r="N1359" s="347">
        <v>50.71</v>
      </c>
      <c r="O1359" s="348" t="s">
        <v>1205</v>
      </c>
      <c r="P1359" s="348">
        <v>50.71</v>
      </c>
      <c r="Q1359" s="348">
        <v>2.4500000000000002</v>
      </c>
    </row>
    <row r="1360" spans="1:17" ht="15" hidden="1" customHeight="1">
      <c r="A1360" s="163">
        <v>1354</v>
      </c>
      <c r="B1360" s="53" t="s">
        <v>30</v>
      </c>
      <c r="C1360" s="53" t="s">
        <v>1386</v>
      </c>
      <c r="D1360" s="53">
        <v>100027272</v>
      </c>
      <c r="E1360" s="55" t="s">
        <v>1387</v>
      </c>
      <c r="F1360" s="129">
        <v>6</v>
      </c>
      <c r="G1360" s="129">
        <v>132</v>
      </c>
      <c r="H1360" s="512">
        <v>362.6</v>
      </c>
      <c r="I1360" s="265" t="s">
        <v>369</v>
      </c>
      <c r="J1360" s="265" t="s">
        <v>77</v>
      </c>
      <c r="K1360" s="265" t="s">
        <v>1388</v>
      </c>
      <c r="L1360" s="348" t="s">
        <v>1205</v>
      </c>
      <c r="M1360" s="265" t="s">
        <v>1389</v>
      </c>
      <c r="N1360" s="347">
        <v>51.23</v>
      </c>
      <c r="O1360" s="348" t="s">
        <v>1205</v>
      </c>
      <c r="P1360" s="348">
        <v>51.23</v>
      </c>
      <c r="Q1360" s="348">
        <v>2.73</v>
      </c>
    </row>
    <row r="1361" spans="1:17" ht="15" hidden="1" customHeight="1">
      <c r="A1361" s="163">
        <v>1355</v>
      </c>
      <c r="B1361" s="53" t="s">
        <v>30</v>
      </c>
      <c r="C1361" s="53" t="s">
        <v>1390</v>
      </c>
      <c r="D1361" s="53">
        <v>100027273</v>
      </c>
      <c r="E1361" s="55" t="s">
        <v>1391</v>
      </c>
      <c r="F1361" s="129">
        <v>6</v>
      </c>
      <c r="G1361" s="129">
        <v>96</v>
      </c>
      <c r="H1361" s="512">
        <v>622.55999999999995</v>
      </c>
      <c r="I1361" s="265" t="s">
        <v>1206</v>
      </c>
      <c r="J1361" s="265" t="s">
        <v>77</v>
      </c>
      <c r="K1361" s="265" t="s">
        <v>1392</v>
      </c>
      <c r="L1361" s="348" t="s">
        <v>1205</v>
      </c>
      <c r="M1361" s="265" t="s">
        <v>1393</v>
      </c>
      <c r="N1361" s="347">
        <v>73.77</v>
      </c>
      <c r="O1361" s="348" t="s">
        <v>1205</v>
      </c>
      <c r="P1361" s="348">
        <v>73.77</v>
      </c>
      <c r="Q1361" s="348">
        <v>3.75</v>
      </c>
    </row>
    <row r="1362" spans="1:17" ht="15" hidden="1" customHeight="1">
      <c r="A1362" s="163">
        <v>1356</v>
      </c>
      <c r="B1362" s="53" t="s">
        <v>30</v>
      </c>
      <c r="C1362" s="53" t="s">
        <v>1394</v>
      </c>
      <c r="D1362" s="53">
        <v>100027274</v>
      </c>
      <c r="E1362" s="55" t="s">
        <v>1395</v>
      </c>
      <c r="F1362" s="129">
        <v>1</v>
      </c>
      <c r="G1362" s="129">
        <v>56</v>
      </c>
      <c r="H1362" s="512">
        <v>1247.24</v>
      </c>
      <c r="I1362" s="265" t="s">
        <v>1206</v>
      </c>
      <c r="J1362" s="265" t="s">
        <v>77</v>
      </c>
      <c r="K1362" s="265" t="s">
        <v>1396</v>
      </c>
      <c r="L1362" s="348" t="s">
        <v>1205</v>
      </c>
      <c r="M1362" s="265" t="s">
        <v>1397</v>
      </c>
      <c r="N1362" s="347">
        <v>23.37</v>
      </c>
      <c r="O1362" s="348" t="s">
        <v>1205</v>
      </c>
      <c r="P1362" s="348">
        <v>23.37</v>
      </c>
      <c r="Q1362" s="348">
        <v>1.07</v>
      </c>
    </row>
    <row r="1363" spans="1:17" ht="15" hidden="1" customHeight="1">
      <c r="A1363" s="163">
        <v>1357</v>
      </c>
      <c r="B1363" s="53" t="s">
        <v>30</v>
      </c>
      <c r="C1363" s="53" t="s">
        <v>1398</v>
      </c>
      <c r="D1363" s="53">
        <v>100027306</v>
      </c>
      <c r="E1363" s="55" t="s">
        <v>1399</v>
      </c>
      <c r="F1363" s="129">
        <v>24</v>
      </c>
      <c r="G1363" s="129">
        <v>1161</v>
      </c>
      <c r="H1363" s="512">
        <v>150.21</v>
      </c>
      <c r="I1363" s="265" t="s">
        <v>369</v>
      </c>
      <c r="J1363" s="265" t="s">
        <v>77</v>
      </c>
      <c r="K1363" s="265" t="s">
        <v>1400</v>
      </c>
      <c r="L1363" s="348" t="s">
        <v>1205</v>
      </c>
      <c r="M1363" s="265" t="s">
        <v>1401</v>
      </c>
      <c r="N1363" s="347">
        <v>24.7</v>
      </c>
      <c r="O1363" s="348" t="s">
        <v>1205</v>
      </c>
      <c r="P1363" s="348">
        <v>24.7</v>
      </c>
      <c r="Q1363" s="348">
        <v>1.24</v>
      </c>
    </row>
    <row r="1364" spans="1:17" ht="15" hidden="1" customHeight="1">
      <c r="A1364" s="163">
        <v>1358</v>
      </c>
      <c r="B1364" s="53" t="s">
        <v>30</v>
      </c>
      <c r="C1364" s="53" t="s">
        <v>1402</v>
      </c>
      <c r="D1364" s="53">
        <v>100027307</v>
      </c>
      <c r="E1364" s="55" t="s">
        <v>1403</v>
      </c>
      <c r="F1364" s="129">
        <v>24</v>
      </c>
      <c r="G1364" s="129">
        <v>692</v>
      </c>
      <c r="H1364" s="512">
        <v>193.84</v>
      </c>
      <c r="I1364" s="265" t="s">
        <v>1351</v>
      </c>
      <c r="J1364" s="265" t="s">
        <v>77</v>
      </c>
      <c r="K1364" s="265" t="s">
        <v>1404</v>
      </c>
      <c r="L1364" s="348" t="s">
        <v>1205</v>
      </c>
      <c r="M1364" s="265" t="s">
        <v>1405</v>
      </c>
      <c r="N1364" s="347">
        <v>39.94</v>
      </c>
      <c r="O1364" s="348" t="s">
        <v>1205</v>
      </c>
      <c r="P1364" s="348">
        <v>39.94</v>
      </c>
      <c r="Q1364" s="348">
        <v>2.08</v>
      </c>
    </row>
    <row r="1365" spans="1:17" ht="15" hidden="1" customHeight="1">
      <c r="A1365" s="163">
        <v>1359</v>
      </c>
      <c r="B1365" s="53" t="s">
        <v>30</v>
      </c>
      <c r="C1365" s="53" t="s">
        <v>1406</v>
      </c>
      <c r="D1365" s="53">
        <v>100027308</v>
      </c>
      <c r="E1365" s="55" t="s">
        <v>1407</v>
      </c>
      <c r="F1365" s="129">
        <v>24</v>
      </c>
      <c r="G1365" s="129">
        <v>548</v>
      </c>
      <c r="H1365" s="512">
        <v>273.47000000000003</v>
      </c>
      <c r="I1365" s="265" t="s">
        <v>1351</v>
      </c>
      <c r="J1365" s="265" t="s">
        <v>77</v>
      </c>
      <c r="K1365" s="265" t="s">
        <v>1408</v>
      </c>
      <c r="L1365" s="348" t="s">
        <v>1205</v>
      </c>
      <c r="M1365" s="265" t="s">
        <v>1409</v>
      </c>
      <c r="N1365" s="347">
        <v>54.43</v>
      </c>
      <c r="O1365" s="348" t="s">
        <v>1205</v>
      </c>
      <c r="P1365" s="348">
        <v>54.43</v>
      </c>
      <c r="Q1365" s="348">
        <v>2.63</v>
      </c>
    </row>
    <row r="1366" spans="1:17" ht="15" hidden="1" customHeight="1">
      <c r="A1366" s="163">
        <v>1360</v>
      </c>
      <c r="B1366" s="53" t="s">
        <v>30</v>
      </c>
      <c r="C1366" s="53" t="s">
        <v>1410</v>
      </c>
      <c r="D1366" s="53">
        <v>100027309</v>
      </c>
      <c r="E1366" s="55" t="s">
        <v>1411</v>
      </c>
      <c r="F1366" s="129">
        <v>12</v>
      </c>
      <c r="G1366" s="129">
        <v>294</v>
      </c>
      <c r="H1366" s="512">
        <v>366.18</v>
      </c>
      <c r="I1366" s="265" t="s">
        <v>1351</v>
      </c>
      <c r="J1366" s="265" t="s">
        <v>77</v>
      </c>
      <c r="K1366" s="265" t="s">
        <v>1412</v>
      </c>
      <c r="L1366" s="348" t="s">
        <v>1205</v>
      </c>
      <c r="M1366" s="265" t="s">
        <v>1413</v>
      </c>
      <c r="N1366" s="347">
        <v>50.71</v>
      </c>
      <c r="O1366" s="348" t="s">
        <v>1205</v>
      </c>
      <c r="P1366" s="348">
        <v>50.71</v>
      </c>
      <c r="Q1366" s="348">
        <v>2.4500000000000002</v>
      </c>
    </row>
    <row r="1367" spans="1:17" ht="15" hidden="1" customHeight="1">
      <c r="A1367" s="163">
        <v>1361</v>
      </c>
      <c r="B1367" s="53" t="s">
        <v>30</v>
      </c>
      <c r="C1367" s="53" t="s">
        <v>1414</v>
      </c>
      <c r="D1367" s="53">
        <v>100027310</v>
      </c>
      <c r="E1367" s="55" t="s">
        <v>1415</v>
      </c>
      <c r="F1367" s="129">
        <v>6</v>
      </c>
      <c r="G1367" s="129">
        <v>132</v>
      </c>
      <c r="H1367" s="512">
        <v>652.52</v>
      </c>
      <c r="I1367" s="265" t="s">
        <v>369</v>
      </c>
      <c r="J1367" s="265" t="s">
        <v>77</v>
      </c>
      <c r="K1367" s="265" t="s">
        <v>1416</v>
      </c>
      <c r="L1367" s="348" t="s">
        <v>1205</v>
      </c>
      <c r="M1367" s="265" t="s">
        <v>1417</v>
      </c>
      <c r="N1367" s="347">
        <v>51.27</v>
      </c>
      <c r="O1367" s="348" t="s">
        <v>1205</v>
      </c>
      <c r="P1367" s="348">
        <v>51.27</v>
      </c>
      <c r="Q1367" s="348">
        <v>2.73</v>
      </c>
    </row>
    <row r="1368" spans="1:17" ht="15" hidden="1" customHeight="1">
      <c r="A1368" s="163">
        <v>1362</v>
      </c>
      <c r="B1368" s="53" t="s">
        <v>30</v>
      </c>
      <c r="C1368" s="53" t="s">
        <v>1418</v>
      </c>
      <c r="D1368" s="53">
        <v>100027311</v>
      </c>
      <c r="E1368" s="55" t="s">
        <v>1419</v>
      </c>
      <c r="F1368" s="129">
        <v>6</v>
      </c>
      <c r="G1368" s="129">
        <v>96</v>
      </c>
      <c r="H1368" s="512">
        <v>941.51</v>
      </c>
      <c r="I1368" s="265" t="s">
        <v>369</v>
      </c>
      <c r="J1368" s="265" t="s">
        <v>77</v>
      </c>
      <c r="K1368" s="265" t="s">
        <v>1420</v>
      </c>
      <c r="L1368" s="348" t="s">
        <v>1205</v>
      </c>
      <c r="M1368" s="265" t="s">
        <v>1421</v>
      </c>
      <c r="N1368" s="347">
        <v>74.260000000000005</v>
      </c>
      <c r="O1368" s="348" t="s">
        <v>1205</v>
      </c>
      <c r="P1368" s="348">
        <v>74.260000000000005</v>
      </c>
      <c r="Q1368" s="348">
        <v>3.75</v>
      </c>
    </row>
    <row r="1369" spans="1:17" ht="15" hidden="1" customHeight="1">
      <c r="A1369" s="163">
        <v>1363</v>
      </c>
      <c r="B1369" s="53" t="s">
        <v>30</v>
      </c>
      <c r="C1369" s="53" t="s">
        <v>1422</v>
      </c>
      <c r="D1369" s="53">
        <v>100027312</v>
      </c>
      <c r="E1369" s="55" t="s">
        <v>1423</v>
      </c>
      <c r="F1369" s="129">
        <v>1</v>
      </c>
      <c r="G1369" s="129">
        <v>56</v>
      </c>
      <c r="H1369" s="512">
        <v>1817.72</v>
      </c>
      <c r="I1369" s="265" t="s">
        <v>1351</v>
      </c>
      <c r="J1369" s="265" t="s">
        <v>77</v>
      </c>
      <c r="K1369" s="265" t="s">
        <v>1424</v>
      </c>
      <c r="L1369" s="348" t="s">
        <v>1205</v>
      </c>
      <c r="M1369" s="265" t="s">
        <v>1425</v>
      </c>
      <c r="N1369" s="347">
        <v>25.06</v>
      </c>
      <c r="O1369" s="348" t="s">
        <v>1205</v>
      </c>
      <c r="P1369" s="348">
        <v>25.06</v>
      </c>
      <c r="Q1369" s="348">
        <v>1.07</v>
      </c>
    </row>
    <row r="1370" spans="1:17" ht="15" hidden="1" customHeight="1">
      <c r="A1370" s="163">
        <v>1364</v>
      </c>
      <c r="B1370" s="53" t="s">
        <v>30</v>
      </c>
      <c r="C1370" s="53" t="s">
        <v>1426</v>
      </c>
      <c r="D1370" s="53">
        <v>100027249</v>
      </c>
      <c r="E1370" s="55" t="s">
        <v>1427</v>
      </c>
      <c r="F1370" s="129">
        <v>120</v>
      </c>
      <c r="G1370" s="129">
        <v>4022</v>
      </c>
      <c r="H1370" s="512">
        <v>24.51</v>
      </c>
      <c r="I1370" s="265" t="s">
        <v>1206</v>
      </c>
      <c r="J1370" s="265" t="s">
        <v>77</v>
      </c>
      <c r="K1370" s="265" t="s">
        <v>1428</v>
      </c>
      <c r="L1370" s="348" t="s">
        <v>1205</v>
      </c>
      <c r="M1370" s="265" t="s">
        <v>1429</v>
      </c>
      <c r="N1370" s="347">
        <v>37.25</v>
      </c>
      <c r="O1370" s="348" t="s">
        <v>1205</v>
      </c>
      <c r="P1370" s="348">
        <v>37.25</v>
      </c>
      <c r="Q1370" s="348">
        <v>1.79</v>
      </c>
    </row>
    <row r="1371" spans="1:17" ht="15" hidden="1" customHeight="1">
      <c r="A1371" s="163">
        <v>1365</v>
      </c>
      <c r="B1371" s="53" t="s">
        <v>30</v>
      </c>
      <c r="C1371" s="53" t="s">
        <v>1430</v>
      </c>
      <c r="D1371" s="53">
        <v>100027250</v>
      </c>
      <c r="E1371" s="55" t="s">
        <v>1431</v>
      </c>
      <c r="F1371" s="129">
        <v>80</v>
      </c>
      <c r="G1371" s="129">
        <v>1912</v>
      </c>
      <c r="H1371" s="512">
        <v>35.700000000000003</v>
      </c>
      <c r="I1371" s="265" t="s">
        <v>1206</v>
      </c>
      <c r="J1371" s="265" t="s">
        <v>77</v>
      </c>
      <c r="K1371" s="265" t="s">
        <v>1432</v>
      </c>
      <c r="L1371" s="348" t="s">
        <v>1205</v>
      </c>
      <c r="M1371" s="265" t="s">
        <v>1433</v>
      </c>
      <c r="N1371" s="347">
        <v>39.909999999999997</v>
      </c>
      <c r="O1371" s="348" t="s">
        <v>1205</v>
      </c>
      <c r="P1371" s="348">
        <v>39.909999999999997</v>
      </c>
      <c r="Q1371" s="348">
        <v>2.5099999999999998</v>
      </c>
    </row>
    <row r="1372" spans="1:17" ht="15" hidden="1" customHeight="1">
      <c r="A1372" s="163">
        <v>1366</v>
      </c>
      <c r="B1372" s="53" t="s">
        <v>30</v>
      </c>
      <c r="C1372" s="53" t="s">
        <v>1434</v>
      </c>
      <c r="D1372" s="53">
        <v>100027251</v>
      </c>
      <c r="E1372" s="55" t="s">
        <v>1435</v>
      </c>
      <c r="F1372" s="129">
        <v>60</v>
      </c>
      <c r="G1372" s="129">
        <v>1071</v>
      </c>
      <c r="H1372" s="512">
        <v>46.3</v>
      </c>
      <c r="I1372" s="265" t="s">
        <v>369</v>
      </c>
      <c r="J1372" s="265" t="s">
        <v>77</v>
      </c>
      <c r="K1372" s="265" t="s">
        <v>1436</v>
      </c>
      <c r="L1372" s="348" t="s">
        <v>1205</v>
      </c>
      <c r="M1372" s="265" t="s">
        <v>1437</v>
      </c>
      <c r="N1372" s="347">
        <v>57.54</v>
      </c>
      <c r="O1372" s="348" t="s">
        <v>1205</v>
      </c>
      <c r="P1372" s="348">
        <v>57.54</v>
      </c>
      <c r="Q1372" s="348">
        <v>3.36</v>
      </c>
    </row>
    <row r="1373" spans="1:17" ht="15" hidden="1" customHeight="1">
      <c r="A1373" s="163">
        <v>1367</v>
      </c>
      <c r="B1373" s="53" t="s">
        <v>30</v>
      </c>
      <c r="C1373" s="53" t="s">
        <v>1438</v>
      </c>
      <c r="D1373" s="53">
        <v>100027252</v>
      </c>
      <c r="E1373" s="55" t="s">
        <v>1439</v>
      </c>
      <c r="F1373" s="129">
        <v>60</v>
      </c>
      <c r="G1373" s="129">
        <v>1071</v>
      </c>
      <c r="H1373" s="512">
        <v>46.3</v>
      </c>
      <c r="I1373" s="265" t="s">
        <v>369</v>
      </c>
      <c r="J1373" s="265" t="s">
        <v>77</v>
      </c>
      <c r="K1373" s="265" t="s">
        <v>1440</v>
      </c>
      <c r="L1373" s="348" t="s">
        <v>1205</v>
      </c>
      <c r="M1373" s="265" t="s">
        <v>1441</v>
      </c>
      <c r="N1373" s="347">
        <v>63.05</v>
      </c>
      <c r="O1373" s="348" t="s">
        <v>1205</v>
      </c>
      <c r="P1373" s="348">
        <v>63.05</v>
      </c>
      <c r="Q1373" s="348">
        <v>3.36</v>
      </c>
    </row>
    <row r="1374" spans="1:17" ht="15" hidden="1" customHeight="1">
      <c r="A1374" s="163">
        <v>1368</v>
      </c>
      <c r="B1374" s="53" t="s">
        <v>30</v>
      </c>
      <c r="C1374" s="53" t="s">
        <v>1442</v>
      </c>
      <c r="D1374" s="53">
        <v>100027253</v>
      </c>
      <c r="E1374" s="55" t="s">
        <v>1443</v>
      </c>
      <c r="F1374" s="129">
        <v>40</v>
      </c>
      <c r="G1374" s="129">
        <v>670</v>
      </c>
      <c r="H1374" s="512">
        <v>57.07</v>
      </c>
      <c r="I1374" s="265" t="s">
        <v>1206</v>
      </c>
      <c r="J1374" s="265" t="s">
        <v>77</v>
      </c>
      <c r="K1374" s="265" t="s">
        <v>1444</v>
      </c>
      <c r="L1374" s="348" t="s">
        <v>1205</v>
      </c>
      <c r="M1374" s="265" t="s">
        <v>1445</v>
      </c>
      <c r="N1374" s="347">
        <v>64.73</v>
      </c>
      <c r="O1374" s="348" t="s">
        <v>1205</v>
      </c>
      <c r="P1374" s="348">
        <v>64.73</v>
      </c>
      <c r="Q1374" s="348">
        <v>3.58</v>
      </c>
    </row>
    <row r="1375" spans="1:17" ht="15" hidden="1" customHeight="1">
      <c r="A1375" s="163">
        <v>1369</v>
      </c>
      <c r="B1375" s="53" t="s">
        <v>30</v>
      </c>
      <c r="C1375" s="53" t="s">
        <v>1446</v>
      </c>
      <c r="D1375" s="53">
        <v>100027254</v>
      </c>
      <c r="E1375" s="55" t="s">
        <v>1447</v>
      </c>
      <c r="F1375" s="129">
        <v>64</v>
      </c>
      <c r="G1375" s="129">
        <v>1600</v>
      </c>
      <c r="H1375" s="512">
        <v>59.57</v>
      </c>
      <c r="I1375" s="265" t="s">
        <v>1351</v>
      </c>
      <c r="J1375" s="265" t="s">
        <v>77</v>
      </c>
      <c r="K1375" s="265" t="s">
        <v>1448</v>
      </c>
      <c r="L1375" s="348" t="s">
        <v>1205</v>
      </c>
      <c r="M1375" s="265" t="s">
        <v>1449</v>
      </c>
      <c r="N1375" s="347">
        <v>29.77</v>
      </c>
      <c r="O1375" s="348" t="s">
        <v>1205</v>
      </c>
      <c r="P1375" s="348">
        <v>29.77</v>
      </c>
      <c r="Q1375" s="348">
        <v>2.4</v>
      </c>
    </row>
    <row r="1376" spans="1:17" ht="15" hidden="1" customHeight="1">
      <c r="A1376" s="163">
        <v>1370</v>
      </c>
      <c r="B1376" s="53" t="s">
        <v>30</v>
      </c>
      <c r="C1376" s="53" t="s">
        <v>1450</v>
      </c>
      <c r="D1376" s="53">
        <v>100027255</v>
      </c>
      <c r="E1376" s="55" t="s">
        <v>1451</v>
      </c>
      <c r="F1376" s="129">
        <v>30</v>
      </c>
      <c r="G1376" s="129">
        <v>625</v>
      </c>
      <c r="H1376" s="512">
        <v>74.03</v>
      </c>
      <c r="I1376" s="265" t="s">
        <v>369</v>
      </c>
      <c r="J1376" s="265" t="s">
        <v>77</v>
      </c>
      <c r="K1376" s="265" t="s">
        <v>1452</v>
      </c>
      <c r="L1376" s="348" t="s">
        <v>1205</v>
      </c>
      <c r="M1376" s="265" t="s">
        <v>1453</v>
      </c>
      <c r="N1376" s="347">
        <v>33.1</v>
      </c>
      <c r="O1376" s="348" t="s">
        <v>1205</v>
      </c>
      <c r="P1376" s="348">
        <v>33.1</v>
      </c>
      <c r="Q1376" s="348">
        <v>2.88</v>
      </c>
    </row>
    <row r="1377" spans="1:17" ht="15" hidden="1" customHeight="1">
      <c r="A1377" s="163">
        <v>1371</v>
      </c>
      <c r="B1377" s="53" t="s">
        <v>30</v>
      </c>
      <c r="C1377" s="53" t="s">
        <v>1454</v>
      </c>
      <c r="D1377" s="53">
        <v>100027256</v>
      </c>
      <c r="E1377" s="55" t="s">
        <v>1455</v>
      </c>
      <c r="F1377" s="129">
        <v>30</v>
      </c>
      <c r="G1377" s="129">
        <v>625</v>
      </c>
      <c r="H1377" s="512">
        <v>91.76</v>
      </c>
      <c r="I1377" s="265" t="s">
        <v>369</v>
      </c>
      <c r="J1377" s="265" t="s">
        <v>77</v>
      </c>
      <c r="K1377" s="265" t="s">
        <v>1456</v>
      </c>
      <c r="L1377" s="348" t="s">
        <v>1205</v>
      </c>
      <c r="M1377" s="265" t="s">
        <v>1457</v>
      </c>
      <c r="N1377" s="347">
        <v>30.89</v>
      </c>
      <c r="O1377" s="348" t="s">
        <v>1205</v>
      </c>
      <c r="P1377" s="348">
        <v>30.89</v>
      </c>
      <c r="Q1377" s="348">
        <v>2.88</v>
      </c>
    </row>
    <row r="1378" spans="1:17" ht="15" hidden="1" customHeight="1">
      <c r="A1378" s="163">
        <v>1372</v>
      </c>
      <c r="B1378" s="53" t="s">
        <v>30</v>
      </c>
      <c r="C1378" s="53" t="s">
        <v>1458</v>
      </c>
      <c r="D1378" s="53">
        <v>100027257</v>
      </c>
      <c r="E1378" s="55" t="s">
        <v>1459</v>
      </c>
      <c r="F1378" s="129">
        <v>24</v>
      </c>
      <c r="G1378" s="129">
        <v>429</v>
      </c>
      <c r="H1378" s="512">
        <v>92.37</v>
      </c>
      <c r="I1378" s="265" t="s">
        <v>369</v>
      </c>
      <c r="J1378" s="265" t="s">
        <v>77</v>
      </c>
      <c r="K1378" s="265" t="s">
        <v>1460</v>
      </c>
      <c r="L1378" s="348" t="s">
        <v>1205</v>
      </c>
      <c r="M1378" s="265" t="s">
        <v>1461</v>
      </c>
      <c r="N1378" s="347">
        <v>39.25</v>
      </c>
      <c r="O1378" s="348" t="s">
        <v>1205</v>
      </c>
      <c r="P1378" s="348">
        <v>39.25</v>
      </c>
      <c r="Q1378" s="348">
        <v>3.36</v>
      </c>
    </row>
    <row r="1379" spans="1:17" ht="15" hidden="1" customHeight="1">
      <c r="A1379" s="163">
        <v>1373</v>
      </c>
      <c r="B1379" s="53" t="s">
        <v>30</v>
      </c>
      <c r="C1379" s="53" t="s">
        <v>1462</v>
      </c>
      <c r="D1379" s="53">
        <v>100027247</v>
      </c>
      <c r="E1379" s="55" t="s">
        <v>1463</v>
      </c>
      <c r="F1379" s="129">
        <v>8</v>
      </c>
      <c r="G1379" s="129">
        <v>150</v>
      </c>
      <c r="H1379" s="512">
        <v>237.85</v>
      </c>
      <c r="I1379" s="265" t="s">
        <v>1206</v>
      </c>
      <c r="J1379" s="265" t="s">
        <v>77</v>
      </c>
      <c r="K1379" s="265" t="s">
        <v>1464</v>
      </c>
      <c r="L1379" s="348" t="s">
        <v>1205</v>
      </c>
      <c r="M1379" s="265" t="s">
        <v>1465</v>
      </c>
      <c r="N1379" s="347">
        <v>36.64</v>
      </c>
      <c r="O1379" s="348" t="s">
        <v>1205</v>
      </c>
      <c r="P1379" s="348">
        <v>36.64</v>
      </c>
      <c r="Q1379" s="348">
        <v>3.2</v>
      </c>
    </row>
    <row r="1380" spans="1:17" ht="15" hidden="1" customHeight="1">
      <c r="A1380" s="163">
        <v>1374</v>
      </c>
      <c r="B1380" s="53" t="s">
        <v>30</v>
      </c>
      <c r="C1380" s="53" t="s">
        <v>1466</v>
      </c>
      <c r="D1380" s="53">
        <v>100027248</v>
      </c>
      <c r="E1380" s="55" t="s">
        <v>1467</v>
      </c>
      <c r="F1380" s="129">
        <v>6</v>
      </c>
      <c r="G1380" s="129">
        <v>106</v>
      </c>
      <c r="H1380" s="512">
        <v>309.87</v>
      </c>
      <c r="I1380" s="265" t="s">
        <v>1206</v>
      </c>
      <c r="J1380" s="265" t="s">
        <v>77</v>
      </c>
      <c r="K1380" s="265" t="s">
        <v>1468</v>
      </c>
      <c r="L1380" s="348" t="s">
        <v>1205</v>
      </c>
      <c r="M1380" s="265" t="s">
        <v>1469</v>
      </c>
      <c r="N1380" s="347">
        <v>36.380000000000003</v>
      </c>
      <c r="O1380" s="348" t="s">
        <v>1205</v>
      </c>
      <c r="P1380" s="348">
        <v>36.380000000000003</v>
      </c>
      <c r="Q1380" s="348">
        <v>3.4</v>
      </c>
    </row>
    <row r="1381" spans="1:17" ht="15" hidden="1" customHeight="1">
      <c r="A1381" s="163">
        <v>1375</v>
      </c>
      <c r="B1381" s="53" t="s">
        <v>30</v>
      </c>
      <c r="C1381" s="53" t="s">
        <v>1470</v>
      </c>
      <c r="D1381" s="53">
        <v>100027293</v>
      </c>
      <c r="E1381" s="55" t="s">
        <v>1471</v>
      </c>
      <c r="F1381" s="129">
        <v>48</v>
      </c>
      <c r="G1381" s="129">
        <v>3789</v>
      </c>
      <c r="H1381" s="512">
        <v>36.6</v>
      </c>
      <c r="I1381" s="265" t="s">
        <v>1206</v>
      </c>
      <c r="J1381" s="265" t="s">
        <v>77</v>
      </c>
      <c r="K1381" s="265" t="s">
        <v>1472</v>
      </c>
      <c r="L1381" s="348" t="s">
        <v>1205</v>
      </c>
      <c r="M1381" s="265" t="s">
        <v>1473</v>
      </c>
      <c r="N1381" s="347">
        <v>15.99</v>
      </c>
      <c r="O1381" s="348" t="s">
        <v>1205</v>
      </c>
      <c r="P1381" s="348">
        <v>15.99</v>
      </c>
      <c r="Q1381" s="348">
        <v>0.76</v>
      </c>
    </row>
    <row r="1382" spans="1:17" ht="15" hidden="1" customHeight="1">
      <c r="A1382" s="163">
        <v>1376</v>
      </c>
      <c r="B1382" s="53" t="s">
        <v>30</v>
      </c>
      <c r="C1382" s="53" t="s">
        <v>1474</v>
      </c>
      <c r="D1382" s="53">
        <v>100027294</v>
      </c>
      <c r="E1382" s="55" t="s">
        <v>1475</v>
      </c>
      <c r="F1382" s="129">
        <v>36</v>
      </c>
      <c r="G1382" s="129">
        <v>2182</v>
      </c>
      <c r="H1382" s="512">
        <v>43.77</v>
      </c>
      <c r="I1382" s="265" t="s">
        <v>1351</v>
      </c>
      <c r="J1382" s="265" t="s">
        <v>77</v>
      </c>
      <c r="K1382" s="265" t="s">
        <v>1476</v>
      </c>
      <c r="L1382" s="348" t="s">
        <v>1205</v>
      </c>
      <c r="M1382" s="265" t="s">
        <v>1477</v>
      </c>
      <c r="N1382" s="347">
        <v>19.61</v>
      </c>
      <c r="O1382" s="348" t="s">
        <v>1205</v>
      </c>
      <c r="P1382" s="348">
        <v>19.61</v>
      </c>
      <c r="Q1382" s="348">
        <v>0.99</v>
      </c>
    </row>
    <row r="1383" spans="1:17" ht="15" hidden="1" customHeight="1">
      <c r="A1383" s="163">
        <v>1377</v>
      </c>
      <c r="B1383" s="53" t="s">
        <v>30</v>
      </c>
      <c r="C1383" s="53" t="s">
        <v>1478</v>
      </c>
      <c r="D1383" s="53">
        <v>100027295</v>
      </c>
      <c r="E1383" s="55" t="s">
        <v>1479</v>
      </c>
      <c r="F1383" s="129">
        <v>24</v>
      </c>
      <c r="G1383" s="129">
        <v>1440</v>
      </c>
      <c r="H1383" s="512">
        <v>62.68</v>
      </c>
      <c r="I1383" s="265" t="s">
        <v>369</v>
      </c>
      <c r="J1383" s="265" t="s">
        <v>77</v>
      </c>
      <c r="K1383" s="265" t="s">
        <v>1480</v>
      </c>
      <c r="L1383" s="348" t="s">
        <v>1205</v>
      </c>
      <c r="M1383" s="265" t="s">
        <v>1481</v>
      </c>
      <c r="N1383" s="347">
        <v>19.55</v>
      </c>
      <c r="O1383" s="348" t="s">
        <v>1205</v>
      </c>
      <c r="P1383" s="348">
        <v>19.55</v>
      </c>
      <c r="Q1383" s="348">
        <v>1</v>
      </c>
    </row>
    <row r="1384" spans="1:17" ht="15" hidden="1" customHeight="1">
      <c r="A1384" s="163">
        <v>1378</v>
      </c>
      <c r="B1384" s="53" t="s">
        <v>30</v>
      </c>
      <c r="C1384" s="53" t="s">
        <v>1482</v>
      </c>
      <c r="D1384" s="53">
        <v>100027296</v>
      </c>
      <c r="E1384" s="55" t="s">
        <v>1483</v>
      </c>
      <c r="F1384" s="129">
        <v>24</v>
      </c>
      <c r="G1384" s="129">
        <v>993</v>
      </c>
      <c r="H1384" s="512">
        <v>89.2</v>
      </c>
      <c r="I1384" s="265" t="s">
        <v>369</v>
      </c>
      <c r="J1384" s="265" t="s">
        <v>77</v>
      </c>
      <c r="K1384" s="265" t="s">
        <v>1484</v>
      </c>
      <c r="L1384" s="348" t="s">
        <v>1205</v>
      </c>
      <c r="M1384" s="265" t="s">
        <v>1485</v>
      </c>
      <c r="N1384" s="347">
        <v>29.98</v>
      </c>
      <c r="O1384" s="348" t="s">
        <v>1205</v>
      </c>
      <c r="P1384" s="348">
        <v>29.98</v>
      </c>
      <c r="Q1384" s="348">
        <v>1.45</v>
      </c>
    </row>
    <row r="1385" spans="1:17" ht="15" hidden="1" customHeight="1">
      <c r="A1385" s="163">
        <v>1379</v>
      </c>
      <c r="B1385" s="53" t="s">
        <v>30</v>
      </c>
      <c r="C1385" s="53" t="s">
        <v>1486</v>
      </c>
      <c r="D1385" s="53">
        <v>100027297</v>
      </c>
      <c r="E1385" s="55" t="s">
        <v>1487</v>
      </c>
      <c r="F1385" s="129">
        <v>24</v>
      </c>
      <c r="G1385" s="129">
        <v>667</v>
      </c>
      <c r="H1385" s="512">
        <v>125.5</v>
      </c>
      <c r="I1385" s="265" t="s">
        <v>369</v>
      </c>
      <c r="J1385" s="265" t="s">
        <v>77</v>
      </c>
      <c r="K1385" s="265" t="s">
        <v>1488</v>
      </c>
      <c r="L1385" s="348" t="s">
        <v>1205</v>
      </c>
      <c r="M1385" s="265" t="s">
        <v>1489</v>
      </c>
      <c r="N1385" s="347">
        <v>44</v>
      </c>
      <c r="O1385" s="348" t="s">
        <v>1205</v>
      </c>
      <c r="P1385" s="348">
        <v>44</v>
      </c>
      <c r="Q1385" s="348">
        <v>2.16</v>
      </c>
    </row>
    <row r="1386" spans="1:17" ht="15" hidden="1" customHeight="1">
      <c r="A1386" s="163">
        <v>1380</v>
      </c>
      <c r="B1386" s="53" t="s">
        <v>30</v>
      </c>
      <c r="C1386" s="53" t="s">
        <v>1490</v>
      </c>
      <c r="D1386" s="53">
        <v>100027298</v>
      </c>
      <c r="E1386" s="55" t="s">
        <v>1491</v>
      </c>
      <c r="F1386" s="129">
        <v>12</v>
      </c>
      <c r="G1386" s="129">
        <v>360</v>
      </c>
      <c r="H1386" s="512">
        <v>167.56</v>
      </c>
      <c r="I1386" s="265" t="s">
        <v>369</v>
      </c>
      <c r="J1386" s="265" t="s">
        <v>77</v>
      </c>
      <c r="K1386" s="265" t="s">
        <v>1492</v>
      </c>
      <c r="L1386" s="348" t="s">
        <v>1205</v>
      </c>
      <c r="M1386" s="265" t="s">
        <v>1493</v>
      </c>
      <c r="N1386" s="347">
        <v>39.93</v>
      </c>
      <c r="O1386" s="348" t="s">
        <v>1205</v>
      </c>
      <c r="P1386" s="348">
        <v>39.93</v>
      </c>
      <c r="Q1386" s="348">
        <v>2</v>
      </c>
    </row>
    <row r="1387" spans="1:17" ht="15" hidden="1" customHeight="1">
      <c r="A1387" s="163">
        <v>1381</v>
      </c>
      <c r="B1387" s="53" t="s">
        <v>30</v>
      </c>
      <c r="C1387" s="53" t="s">
        <v>1494</v>
      </c>
      <c r="D1387" s="53">
        <v>100027258</v>
      </c>
      <c r="E1387" s="55" t="s">
        <v>1495</v>
      </c>
      <c r="F1387" s="129">
        <v>48</v>
      </c>
      <c r="G1387" s="129">
        <v>3789</v>
      </c>
      <c r="H1387" s="512">
        <v>36.6</v>
      </c>
      <c r="I1387" s="265" t="s">
        <v>369</v>
      </c>
      <c r="J1387" s="265" t="s">
        <v>77</v>
      </c>
      <c r="K1387" s="265" t="s">
        <v>1496</v>
      </c>
      <c r="L1387" s="348" t="s">
        <v>1205</v>
      </c>
      <c r="M1387" s="265" t="s">
        <v>1497</v>
      </c>
      <c r="N1387" s="347">
        <v>15.99</v>
      </c>
      <c r="O1387" s="348" t="s">
        <v>1205</v>
      </c>
      <c r="P1387" s="348">
        <v>15.99</v>
      </c>
      <c r="Q1387" s="348">
        <v>0.76</v>
      </c>
    </row>
    <row r="1388" spans="1:17" ht="15" hidden="1" customHeight="1">
      <c r="A1388" s="163">
        <v>1382</v>
      </c>
      <c r="B1388" s="53" t="s">
        <v>30</v>
      </c>
      <c r="C1388" s="53" t="s">
        <v>1498</v>
      </c>
      <c r="D1388" s="53">
        <v>100027259</v>
      </c>
      <c r="E1388" s="55" t="s">
        <v>1499</v>
      </c>
      <c r="F1388" s="129">
        <v>36</v>
      </c>
      <c r="G1388" s="129">
        <v>2182</v>
      </c>
      <c r="H1388" s="512">
        <v>43.77</v>
      </c>
      <c r="I1388" s="265" t="s">
        <v>369</v>
      </c>
      <c r="J1388" s="265" t="s">
        <v>77</v>
      </c>
      <c r="K1388" s="265" t="s">
        <v>1500</v>
      </c>
      <c r="L1388" s="348" t="s">
        <v>1205</v>
      </c>
      <c r="M1388" s="265" t="s">
        <v>1501</v>
      </c>
      <c r="N1388" s="347">
        <v>19.670000000000002</v>
      </c>
      <c r="O1388" s="348" t="s">
        <v>1205</v>
      </c>
      <c r="P1388" s="348">
        <v>19.670000000000002</v>
      </c>
      <c r="Q1388" s="348">
        <v>0.99</v>
      </c>
    </row>
    <row r="1389" spans="1:17" ht="15" hidden="1" customHeight="1">
      <c r="A1389" s="163">
        <v>1383</v>
      </c>
      <c r="B1389" s="53" t="s">
        <v>30</v>
      </c>
      <c r="C1389" s="53" t="s">
        <v>1502</v>
      </c>
      <c r="D1389" s="53">
        <v>100027260</v>
      </c>
      <c r="E1389" s="55" t="s">
        <v>1503</v>
      </c>
      <c r="F1389" s="129">
        <v>24</v>
      </c>
      <c r="G1389" s="129">
        <v>1440</v>
      </c>
      <c r="H1389" s="512">
        <v>62.68</v>
      </c>
      <c r="I1389" s="265" t="s">
        <v>1351</v>
      </c>
      <c r="J1389" s="265" t="s">
        <v>77</v>
      </c>
      <c r="K1389" s="265" t="s">
        <v>1504</v>
      </c>
      <c r="L1389" s="348" t="s">
        <v>1205</v>
      </c>
      <c r="M1389" s="265" t="s">
        <v>1505</v>
      </c>
      <c r="N1389" s="347">
        <v>19.54</v>
      </c>
      <c r="O1389" s="348" t="s">
        <v>1205</v>
      </c>
      <c r="P1389" s="348">
        <v>19.54</v>
      </c>
      <c r="Q1389" s="348">
        <v>1</v>
      </c>
    </row>
    <row r="1390" spans="1:17" ht="15" hidden="1" customHeight="1">
      <c r="A1390" s="163">
        <v>1384</v>
      </c>
      <c r="B1390" s="53" t="s">
        <v>30</v>
      </c>
      <c r="C1390" s="53" t="s">
        <v>1506</v>
      </c>
      <c r="D1390" s="53">
        <v>100027261</v>
      </c>
      <c r="E1390" s="55" t="s">
        <v>1507</v>
      </c>
      <c r="F1390" s="129">
        <v>24</v>
      </c>
      <c r="G1390" s="129">
        <v>993</v>
      </c>
      <c r="H1390" s="512">
        <v>89.2</v>
      </c>
      <c r="I1390" s="265" t="s">
        <v>369</v>
      </c>
      <c r="J1390" s="265" t="s">
        <v>77</v>
      </c>
      <c r="K1390" s="265" t="s">
        <v>1508</v>
      </c>
      <c r="L1390" s="348" t="s">
        <v>1205</v>
      </c>
      <c r="M1390" s="265" t="s">
        <v>1509</v>
      </c>
      <c r="N1390" s="347">
        <v>29.2</v>
      </c>
      <c r="O1390" s="348" t="s">
        <v>1205</v>
      </c>
      <c r="P1390" s="348">
        <v>29.2</v>
      </c>
      <c r="Q1390" s="348">
        <v>1.45</v>
      </c>
    </row>
    <row r="1391" spans="1:17" ht="15" hidden="1" customHeight="1">
      <c r="A1391" s="163">
        <v>1385</v>
      </c>
      <c r="B1391" s="53" t="s">
        <v>30</v>
      </c>
      <c r="C1391" s="53" t="s">
        <v>1510</v>
      </c>
      <c r="D1391" s="53">
        <v>100027262</v>
      </c>
      <c r="E1391" s="55" t="s">
        <v>1511</v>
      </c>
      <c r="F1391" s="129">
        <v>24</v>
      </c>
      <c r="G1391" s="129">
        <v>667</v>
      </c>
      <c r="H1391" s="512">
        <v>125.5</v>
      </c>
      <c r="I1391" s="265" t="s">
        <v>369</v>
      </c>
      <c r="J1391" s="265" t="s">
        <v>77</v>
      </c>
      <c r="K1391" s="265" t="s">
        <v>1512</v>
      </c>
      <c r="L1391" s="348" t="s">
        <v>1205</v>
      </c>
      <c r="M1391" s="265" t="s">
        <v>1513</v>
      </c>
      <c r="N1391" s="347">
        <v>43.52</v>
      </c>
      <c r="O1391" s="348" t="s">
        <v>1205</v>
      </c>
      <c r="P1391" s="348">
        <v>43.52</v>
      </c>
      <c r="Q1391" s="348">
        <v>2.16</v>
      </c>
    </row>
    <row r="1392" spans="1:17" ht="15" hidden="1" customHeight="1">
      <c r="A1392" s="163">
        <v>1386</v>
      </c>
      <c r="B1392" s="53" t="s">
        <v>30</v>
      </c>
      <c r="C1392" s="53" t="s">
        <v>1514</v>
      </c>
      <c r="D1392" s="53">
        <v>100027263</v>
      </c>
      <c r="E1392" s="55" t="s">
        <v>1515</v>
      </c>
      <c r="F1392" s="129">
        <v>12</v>
      </c>
      <c r="G1392" s="129">
        <v>360</v>
      </c>
      <c r="H1392" s="512">
        <v>167.56</v>
      </c>
      <c r="I1392" s="265" t="s">
        <v>369</v>
      </c>
      <c r="J1392" s="265" t="s">
        <v>77</v>
      </c>
      <c r="K1392" s="265" t="s">
        <v>1516</v>
      </c>
      <c r="L1392" s="348" t="s">
        <v>1205</v>
      </c>
      <c r="M1392" s="265" t="s">
        <v>1517</v>
      </c>
      <c r="N1392" s="347">
        <v>38.71</v>
      </c>
      <c r="O1392" s="348" t="s">
        <v>1205</v>
      </c>
      <c r="P1392" s="348">
        <v>38.71</v>
      </c>
      <c r="Q1392" s="348">
        <v>2</v>
      </c>
    </row>
    <row r="1393" spans="1:17" ht="15" hidden="1" customHeight="1">
      <c r="A1393" s="163">
        <v>1387</v>
      </c>
      <c r="B1393" s="53" t="s">
        <v>30</v>
      </c>
      <c r="C1393" s="53" t="s">
        <v>1518</v>
      </c>
      <c r="D1393" s="53">
        <v>100027223</v>
      </c>
      <c r="E1393" s="55" t="s">
        <v>1519</v>
      </c>
      <c r="F1393" s="129">
        <v>48</v>
      </c>
      <c r="G1393" s="129">
        <v>911</v>
      </c>
      <c r="H1393" s="512">
        <v>55.94</v>
      </c>
      <c r="I1393" s="265" t="s">
        <v>1206</v>
      </c>
      <c r="J1393" s="265" t="s">
        <v>77</v>
      </c>
      <c r="K1393" s="265" t="s">
        <v>1520</v>
      </c>
      <c r="L1393" s="348" t="s">
        <v>1205</v>
      </c>
      <c r="M1393" s="265" t="s">
        <v>1521</v>
      </c>
      <c r="N1393" s="347">
        <v>53.79</v>
      </c>
      <c r="O1393" s="348" t="s">
        <v>1205</v>
      </c>
      <c r="P1393" s="348">
        <v>53.79</v>
      </c>
      <c r="Q1393" s="348">
        <v>3.16</v>
      </c>
    </row>
    <row r="1394" spans="1:17" ht="15" hidden="1" customHeight="1">
      <c r="A1394" s="163">
        <v>1388</v>
      </c>
      <c r="B1394" s="53" t="s">
        <v>30</v>
      </c>
      <c r="C1394" s="53" t="s">
        <v>1522</v>
      </c>
      <c r="D1394" s="53">
        <v>100027224</v>
      </c>
      <c r="E1394" s="55" t="s">
        <v>1523</v>
      </c>
      <c r="F1394" s="129">
        <v>24</v>
      </c>
      <c r="G1394" s="129">
        <v>503</v>
      </c>
      <c r="H1394" s="512">
        <v>76.39</v>
      </c>
      <c r="I1394" s="265" t="s">
        <v>1206</v>
      </c>
      <c r="J1394" s="265" t="s">
        <v>77</v>
      </c>
      <c r="K1394" s="265" t="s">
        <v>1524</v>
      </c>
      <c r="L1394" s="348" t="s">
        <v>1205</v>
      </c>
      <c r="M1394" s="265" t="s">
        <v>1525</v>
      </c>
      <c r="N1394" s="347">
        <v>37.659999999999997</v>
      </c>
      <c r="O1394" s="348" t="s">
        <v>1205</v>
      </c>
      <c r="P1394" s="348">
        <v>37.659999999999997</v>
      </c>
      <c r="Q1394" s="348">
        <v>2.86</v>
      </c>
    </row>
    <row r="1395" spans="1:17" ht="15" hidden="1" customHeight="1">
      <c r="A1395" s="163">
        <v>1389</v>
      </c>
      <c r="B1395" s="53" t="s">
        <v>30</v>
      </c>
      <c r="C1395" s="53" t="s">
        <v>1526</v>
      </c>
      <c r="D1395" s="53">
        <v>100027225</v>
      </c>
      <c r="E1395" s="55" t="s">
        <v>1527</v>
      </c>
      <c r="F1395" s="129">
        <v>48</v>
      </c>
      <c r="G1395" s="129">
        <v>911</v>
      </c>
      <c r="H1395" s="512">
        <v>55.94</v>
      </c>
      <c r="I1395" s="265" t="s">
        <v>369</v>
      </c>
      <c r="J1395" s="265" t="s">
        <v>77</v>
      </c>
      <c r="K1395" s="265" t="s">
        <v>1528</v>
      </c>
      <c r="L1395" s="348" t="s">
        <v>1205</v>
      </c>
      <c r="M1395" s="265" t="s">
        <v>1529</v>
      </c>
      <c r="N1395" s="347">
        <v>54.11</v>
      </c>
      <c r="O1395" s="348" t="s">
        <v>1205</v>
      </c>
      <c r="P1395" s="348">
        <v>54.11</v>
      </c>
      <c r="Q1395" s="348">
        <v>3.16</v>
      </c>
    </row>
    <row r="1396" spans="1:17" ht="15" hidden="1" customHeight="1">
      <c r="A1396" s="163">
        <v>1390</v>
      </c>
      <c r="B1396" s="53" t="s">
        <v>30</v>
      </c>
      <c r="C1396" s="53" t="s">
        <v>1530</v>
      </c>
      <c r="D1396" s="53">
        <v>100027226</v>
      </c>
      <c r="E1396" s="55" t="s">
        <v>1531</v>
      </c>
      <c r="F1396" s="129">
        <v>24</v>
      </c>
      <c r="G1396" s="129">
        <v>503</v>
      </c>
      <c r="H1396" s="512">
        <v>76.39</v>
      </c>
      <c r="I1396" s="265" t="s">
        <v>369</v>
      </c>
      <c r="J1396" s="265" t="s">
        <v>77</v>
      </c>
      <c r="K1396" s="265" t="s">
        <v>1532</v>
      </c>
      <c r="L1396" s="348" t="s">
        <v>1205</v>
      </c>
      <c r="M1396" s="265" t="s">
        <v>1533</v>
      </c>
      <c r="N1396" s="347">
        <v>37.659999999999997</v>
      </c>
      <c r="O1396" s="348" t="s">
        <v>1205</v>
      </c>
      <c r="P1396" s="348">
        <v>37.659999999999997</v>
      </c>
      <c r="Q1396" s="348">
        <v>2.86</v>
      </c>
    </row>
    <row r="1397" spans="1:17" ht="15" hidden="1" customHeight="1">
      <c r="A1397" s="163">
        <v>1391</v>
      </c>
      <c r="B1397" s="53" t="s">
        <v>30</v>
      </c>
      <c r="C1397" s="53" t="s">
        <v>1534</v>
      </c>
      <c r="D1397" s="53">
        <v>100027221</v>
      </c>
      <c r="E1397" s="55" t="s">
        <v>1535</v>
      </c>
      <c r="F1397" s="129">
        <v>24</v>
      </c>
      <c r="G1397" s="129">
        <v>474</v>
      </c>
      <c r="H1397" s="512">
        <v>54.49</v>
      </c>
      <c r="I1397" s="265" t="s">
        <v>369</v>
      </c>
      <c r="J1397" s="265" t="s">
        <v>77</v>
      </c>
      <c r="K1397" s="265" t="s">
        <v>1536</v>
      </c>
      <c r="L1397" s="348" t="s">
        <v>1205</v>
      </c>
      <c r="M1397" s="265" t="s">
        <v>1537</v>
      </c>
      <c r="N1397" s="347">
        <v>39.93</v>
      </c>
      <c r="O1397" s="348" t="s">
        <v>1205</v>
      </c>
      <c r="P1397" s="348">
        <v>39.93</v>
      </c>
      <c r="Q1397" s="348">
        <v>3.04</v>
      </c>
    </row>
    <row r="1398" spans="1:17" ht="15" hidden="1" customHeight="1">
      <c r="A1398" s="163">
        <v>1392</v>
      </c>
      <c r="B1398" s="53" t="s">
        <v>30</v>
      </c>
      <c r="C1398" s="53" t="s">
        <v>1538</v>
      </c>
      <c r="D1398" s="53">
        <v>100027222</v>
      </c>
      <c r="E1398" s="55" t="s">
        <v>1539</v>
      </c>
      <c r="F1398" s="129">
        <v>24</v>
      </c>
      <c r="G1398" s="129">
        <v>474</v>
      </c>
      <c r="H1398" s="512">
        <v>54.49</v>
      </c>
      <c r="I1398" s="265" t="s">
        <v>369</v>
      </c>
      <c r="J1398" s="265" t="s">
        <v>77</v>
      </c>
      <c r="K1398" s="265" t="s">
        <v>1540</v>
      </c>
      <c r="L1398" s="348" t="s">
        <v>1205</v>
      </c>
      <c r="M1398" s="265" t="s">
        <v>1541</v>
      </c>
      <c r="N1398" s="347">
        <v>39.93</v>
      </c>
      <c r="O1398" s="348" t="s">
        <v>1205</v>
      </c>
      <c r="P1398" s="348">
        <v>39.93</v>
      </c>
      <c r="Q1398" s="348">
        <v>3.04</v>
      </c>
    </row>
    <row r="1399" spans="1:17" ht="15" hidden="1" customHeight="1">
      <c r="A1399" s="163">
        <v>1393</v>
      </c>
      <c r="B1399" s="53" t="s">
        <v>30</v>
      </c>
      <c r="C1399" s="53" t="s">
        <v>1542</v>
      </c>
      <c r="D1399" s="53">
        <v>100027214</v>
      </c>
      <c r="E1399" s="55" t="s">
        <v>1543</v>
      </c>
      <c r="F1399" s="129">
        <v>10</v>
      </c>
      <c r="G1399" s="129">
        <v>113</v>
      </c>
      <c r="H1399" s="512">
        <v>481.71</v>
      </c>
      <c r="I1399" s="265" t="s">
        <v>1206</v>
      </c>
      <c r="J1399" s="265" t="s">
        <v>77</v>
      </c>
      <c r="K1399" s="265" t="s">
        <v>1544</v>
      </c>
      <c r="L1399" s="348" t="s">
        <v>1205</v>
      </c>
      <c r="M1399" s="265" t="s">
        <v>1545</v>
      </c>
      <c r="N1399" s="347">
        <v>17.850000000000001</v>
      </c>
      <c r="O1399" s="348" t="s">
        <v>1205</v>
      </c>
      <c r="P1399" s="348">
        <v>17.850000000000001</v>
      </c>
      <c r="Q1399" s="348">
        <v>2.12</v>
      </c>
    </row>
    <row r="1400" spans="1:17" ht="15" hidden="1" customHeight="1">
      <c r="A1400" s="163">
        <v>1394</v>
      </c>
      <c r="B1400" s="53" t="s">
        <v>30</v>
      </c>
      <c r="C1400" s="53" t="s">
        <v>1546</v>
      </c>
      <c r="D1400" s="53">
        <v>100027215</v>
      </c>
      <c r="E1400" s="55" t="s">
        <v>1547</v>
      </c>
      <c r="F1400" s="129">
        <v>4</v>
      </c>
      <c r="G1400" s="129">
        <v>99</v>
      </c>
      <c r="H1400" s="512">
        <v>540.87</v>
      </c>
      <c r="I1400" s="265" t="s">
        <v>369</v>
      </c>
      <c r="J1400" s="265" t="s">
        <v>77</v>
      </c>
      <c r="K1400" s="265" t="s">
        <v>1548</v>
      </c>
      <c r="L1400" s="348" t="s">
        <v>1205</v>
      </c>
      <c r="M1400" s="265" t="s">
        <v>1549</v>
      </c>
      <c r="N1400" s="347">
        <v>21.05</v>
      </c>
      <c r="O1400" s="348" t="s">
        <v>1205</v>
      </c>
      <c r="P1400" s="348">
        <v>21.05</v>
      </c>
      <c r="Q1400" s="348">
        <v>2.4300000000000002</v>
      </c>
    </row>
    <row r="1401" spans="1:17" ht="15" hidden="1" customHeight="1">
      <c r="A1401" s="163">
        <v>1395</v>
      </c>
      <c r="B1401" s="53" t="s">
        <v>30</v>
      </c>
      <c r="C1401" s="53" t="s">
        <v>1550</v>
      </c>
      <c r="D1401" s="53">
        <v>100027216</v>
      </c>
      <c r="E1401" s="55" t="s">
        <v>1551</v>
      </c>
      <c r="F1401" s="129">
        <v>4</v>
      </c>
      <c r="G1401" s="129">
        <v>94</v>
      </c>
      <c r="H1401" s="512">
        <v>550.59</v>
      </c>
      <c r="I1401" s="265" t="s">
        <v>1206</v>
      </c>
      <c r="J1401" s="265" t="s">
        <v>77</v>
      </c>
      <c r="K1401" s="265" t="s">
        <v>1552</v>
      </c>
      <c r="L1401" s="348" t="s">
        <v>1205</v>
      </c>
      <c r="M1401" s="265" t="s">
        <v>1553</v>
      </c>
      <c r="N1401" s="347">
        <v>22.16</v>
      </c>
      <c r="O1401" s="348" t="s">
        <v>1205</v>
      </c>
      <c r="P1401" s="348">
        <v>22.16</v>
      </c>
      <c r="Q1401" s="348">
        <v>2.5499999999999998</v>
      </c>
    </row>
    <row r="1402" spans="1:17" ht="15" hidden="1" customHeight="1">
      <c r="A1402" s="163">
        <v>1396</v>
      </c>
      <c r="B1402" s="53" t="s">
        <v>30</v>
      </c>
      <c r="C1402" s="53" t="s">
        <v>1554</v>
      </c>
      <c r="D1402" s="53">
        <v>100027217</v>
      </c>
      <c r="E1402" s="55" t="s">
        <v>1555</v>
      </c>
      <c r="F1402" s="129">
        <v>4</v>
      </c>
      <c r="G1402" s="129">
        <v>68</v>
      </c>
      <c r="H1402" s="512">
        <v>624.37</v>
      </c>
      <c r="I1402" s="265" t="s">
        <v>1206</v>
      </c>
      <c r="J1402" s="265" t="s">
        <v>77</v>
      </c>
      <c r="K1402" s="265" t="s">
        <v>1556</v>
      </c>
      <c r="L1402" s="348" t="s">
        <v>1205</v>
      </c>
      <c r="M1402" s="265" t="s">
        <v>1557</v>
      </c>
      <c r="N1402" s="347">
        <v>31.89</v>
      </c>
      <c r="O1402" s="348" t="s">
        <v>1205</v>
      </c>
      <c r="P1402" s="348">
        <v>31.89</v>
      </c>
      <c r="Q1402" s="348">
        <v>3.52</v>
      </c>
    </row>
    <row r="1403" spans="1:17" ht="15" hidden="1" customHeight="1">
      <c r="A1403" s="163">
        <v>1398</v>
      </c>
      <c r="B1403" s="53" t="s">
        <v>30</v>
      </c>
      <c r="C1403" s="53" t="s">
        <v>1562</v>
      </c>
      <c r="D1403" s="53">
        <v>100027219</v>
      </c>
      <c r="E1403" s="55" t="s">
        <v>1563</v>
      </c>
      <c r="F1403" s="129">
        <v>4</v>
      </c>
      <c r="G1403" s="129">
        <v>45</v>
      </c>
      <c r="H1403" s="512">
        <v>994.24</v>
      </c>
      <c r="I1403" s="265" t="s">
        <v>1351</v>
      </c>
      <c r="J1403" s="265" t="s">
        <v>77</v>
      </c>
      <c r="K1403" s="265" t="s">
        <v>1564</v>
      </c>
      <c r="L1403" s="348" t="s">
        <v>1205</v>
      </c>
      <c r="M1403" s="265" t="s">
        <v>1565</v>
      </c>
      <c r="N1403" s="347">
        <v>60.53</v>
      </c>
      <c r="O1403" s="348" t="s">
        <v>1205</v>
      </c>
      <c r="P1403" s="348">
        <v>60.53</v>
      </c>
      <c r="Q1403" s="348">
        <v>5.39</v>
      </c>
    </row>
    <row r="1404" spans="1:17" ht="15" hidden="1" customHeight="1">
      <c r="A1404" s="163">
        <v>1399</v>
      </c>
      <c r="B1404" s="53" t="s">
        <v>30</v>
      </c>
      <c r="C1404" s="53" t="s">
        <v>1566</v>
      </c>
      <c r="D1404" s="53">
        <v>100027220</v>
      </c>
      <c r="E1404" s="55" t="s">
        <v>1567</v>
      </c>
      <c r="F1404" s="129">
        <v>1</v>
      </c>
      <c r="G1404" s="129">
        <v>39</v>
      </c>
      <c r="H1404" s="512">
        <v>1296.4100000000001</v>
      </c>
      <c r="I1404" s="265" t="s">
        <v>1206</v>
      </c>
      <c r="J1404" s="265" t="s">
        <v>77</v>
      </c>
      <c r="K1404" s="265" t="s">
        <v>1568</v>
      </c>
      <c r="L1404" s="348" t="s">
        <v>1205</v>
      </c>
      <c r="M1404" s="265" t="s">
        <v>1569</v>
      </c>
      <c r="N1404" s="347">
        <v>20.98</v>
      </c>
      <c r="O1404" s="348" t="s">
        <v>1205</v>
      </c>
      <c r="P1404" s="348">
        <v>20.98</v>
      </c>
      <c r="Q1404" s="348">
        <v>1.55</v>
      </c>
    </row>
    <row r="1405" spans="1:17" ht="15" hidden="1" customHeight="1">
      <c r="A1405" s="163">
        <v>1400</v>
      </c>
      <c r="B1405" s="53" t="s">
        <v>30</v>
      </c>
      <c r="C1405" s="53" t="s">
        <v>1570</v>
      </c>
      <c r="D1405" s="53">
        <v>100027302</v>
      </c>
      <c r="E1405" s="55" t="s">
        <v>1571</v>
      </c>
      <c r="F1405" s="129">
        <v>4</v>
      </c>
      <c r="G1405" s="129">
        <v>113</v>
      </c>
      <c r="H1405" s="512">
        <v>754.99</v>
      </c>
      <c r="I1405" s="265" t="s">
        <v>1351</v>
      </c>
      <c r="J1405" s="265" t="s">
        <v>77</v>
      </c>
      <c r="K1405" s="265" t="s">
        <v>1572</v>
      </c>
      <c r="L1405" s="348" t="s">
        <v>1205</v>
      </c>
      <c r="M1405" s="265" t="s">
        <v>1573</v>
      </c>
      <c r="N1405" s="347">
        <v>18.260000000000002</v>
      </c>
      <c r="O1405" s="348" t="s">
        <v>1205</v>
      </c>
      <c r="P1405" s="348">
        <v>18.260000000000002</v>
      </c>
      <c r="Q1405" s="348">
        <v>2.12</v>
      </c>
    </row>
    <row r="1406" spans="1:17" ht="15" hidden="1" customHeight="1">
      <c r="A1406" s="163">
        <v>1401</v>
      </c>
      <c r="B1406" s="53" t="s">
        <v>30</v>
      </c>
      <c r="C1406" s="53" t="s">
        <v>1574</v>
      </c>
      <c r="D1406" s="53">
        <v>100027303</v>
      </c>
      <c r="E1406" s="55" t="s">
        <v>1575</v>
      </c>
      <c r="F1406" s="129">
        <v>4</v>
      </c>
      <c r="G1406" s="129">
        <v>94</v>
      </c>
      <c r="H1406" s="512">
        <v>931.07</v>
      </c>
      <c r="I1406" s="265" t="s">
        <v>369</v>
      </c>
      <c r="J1406" s="265" t="s">
        <v>77</v>
      </c>
      <c r="K1406" s="265" t="s">
        <v>1576</v>
      </c>
      <c r="L1406" s="348" t="s">
        <v>1205</v>
      </c>
      <c r="M1406" s="265" t="s">
        <v>1577</v>
      </c>
      <c r="N1406" s="347">
        <v>23.07</v>
      </c>
      <c r="O1406" s="348" t="s">
        <v>1205</v>
      </c>
      <c r="P1406" s="348">
        <v>23.07</v>
      </c>
      <c r="Q1406" s="348">
        <v>2.5499999999999998</v>
      </c>
    </row>
    <row r="1407" spans="1:17" ht="15" hidden="1" customHeight="1">
      <c r="A1407" s="163">
        <v>1402</v>
      </c>
      <c r="B1407" s="53" t="s">
        <v>30</v>
      </c>
      <c r="C1407" s="53" t="s">
        <v>1578</v>
      </c>
      <c r="D1407" s="53">
        <v>100027304</v>
      </c>
      <c r="E1407" s="55" t="s">
        <v>1579</v>
      </c>
      <c r="F1407" s="129">
        <v>4</v>
      </c>
      <c r="G1407" s="129">
        <v>68</v>
      </c>
      <c r="H1407" s="512">
        <v>1077.67</v>
      </c>
      <c r="I1407" s="265" t="s">
        <v>1351</v>
      </c>
      <c r="J1407" s="265" t="s">
        <v>77</v>
      </c>
      <c r="K1407" s="265" t="s">
        <v>1580</v>
      </c>
      <c r="L1407" s="348" t="s">
        <v>1205</v>
      </c>
      <c r="M1407" s="265" t="s">
        <v>1581</v>
      </c>
      <c r="N1407" s="347">
        <v>33.590000000000003</v>
      </c>
      <c r="O1407" s="348" t="s">
        <v>1205</v>
      </c>
      <c r="P1407" s="348">
        <v>33.590000000000003</v>
      </c>
      <c r="Q1407" s="348">
        <v>3.52</v>
      </c>
    </row>
    <row r="1408" spans="1:17" ht="15" hidden="1" customHeight="1">
      <c r="A1408" s="163">
        <v>1403</v>
      </c>
      <c r="B1408" s="53" t="s">
        <v>30</v>
      </c>
      <c r="C1408" s="53" t="s">
        <v>1582</v>
      </c>
      <c r="D1408" s="53">
        <v>100027305</v>
      </c>
      <c r="E1408" s="55" t="s">
        <v>1583</v>
      </c>
      <c r="F1408" s="129">
        <v>4</v>
      </c>
      <c r="G1408" s="129">
        <v>45</v>
      </c>
      <c r="H1408" s="512">
        <v>1746.87</v>
      </c>
      <c r="I1408" s="265" t="s">
        <v>1351</v>
      </c>
      <c r="J1408" s="265" t="s">
        <v>77</v>
      </c>
      <c r="K1408" s="265" t="s">
        <v>1584</v>
      </c>
      <c r="L1408" s="348" t="s">
        <v>1205</v>
      </c>
      <c r="M1408" s="265" t="s">
        <v>1585</v>
      </c>
      <c r="N1408" s="347">
        <v>63.54</v>
      </c>
      <c r="O1408" s="348" t="s">
        <v>1205</v>
      </c>
      <c r="P1408" s="348">
        <v>63.54</v>
      </c>
      <c r="Q1408" s="348">
        <v>5.39</v>
      </c>
    </row>
    <row r="1409" spans="1:17" ht="15" hidden="1" customHeight="1">
      <c r="A1409" s="163">
        <v>1404</v>
      </c>
      <c r="B1409" s="53" t="s">
        <v>30</v>
      </c>
      <c r="C1409" s="53" t="s">
        <v>1586</v>
      </c>
      <c r="D1409" s="53">
        <v>100027211</v>
      </c>
      <c r="E1409" s="55" t="s">
        <v>1587</v>
      </c>
      <c r="F1409" s="129">
        <v>1</v>
      </c>
      <c r="G1409" s="129">
        <v>26</v>
      </c>
      <c r="H1409" s="512">
        <v>2125.66</v>
      </c>
      <c r="I1409" s="265" t="s">
        <v>1351</v>
      </c>
      <c r="J1409" s="265" t="s">
        <v>77</v>
      </c>
      <c r="K1409" s="265" t="s">
        <v>1588</v>
      </c>
      <c r="L1409" s="348" t="s">
        <v>1205</v>
      </c>
      <c r="M1409" s="265" t="s">
        <v>1589</v>
      </c>
      <c r="N1409" s="347">
        <v>38.49</v>
      </c>
      <c r="O1409" s="348" t="s">
        <v>1205</v>
      </c>
      <c r="P1409" s="348">
        <v>38.49</v>
      </c>
      <c r="Q1409" s="348">
        <v>2.31</v>
      </c>
    </row>
    <row r="1410" spans="1:17" ht="15" hidden="1" customHeight="1">
      <c r="A1410" s="163">
        <v>1405</v>
      </c>
      <c r="B1410" s="53" t="s">
        <v>30</v>
      </c>
      <c r="C1410" s="53" t="s">
        <v>1590</v>
      </c>
      <c r="D1410" s="53">
        <v>100027212</v>
      </c>
      <c r="E1410" s="55" t="s">
        <v>1591</v>
      </c>
      <c r="F1410" s="129">
        <v>1</v>
      </c>
      <c r="G1410" s="129">
        <v>18</v>
      </c>
      <c r="H1410" s="512">
        <v>2531.77</v>
      </c>
      <c r="I1410" s="265" t="s">
        <v>369</v>
      </c>
      <c r="J1410" s="265" t="s">
        <v>77</v>
      </c>
      <c r="K1410" s="265" t="s">
        <v>1592</v>
      </c>
      <c r="L1410" s="348" t="s">
        <v>1205</v>
      </c>
      <c r="M1410" s="265" t="s">
        <v>1593</v>
      </c>
      <c r="N1410" s="347">
        <v>49.37</v>
      </c>
      <c r="O1410" s="348" t="s">
        <v>1205</v>
      </c>
      <c r="P1410" s="348">
        <v>49.37</v>
      </c>
      <c r="Q1410" s="348">
        <v>3.42</v>
      </c>
    </row>
    <row r="1411" spans="1:17" ht="15" hidden="1" customHeight="1">
      <c r="A1411" s="163">
        <v>1406</v>
      </c>
      <c r="B1411" s="53" t="s">
        <v>30</v>
      </c>
      <c r="C1411" s="53" t="s">
        <v>1594</v>
      </c>
      <c r="D1411" s="53">
        <v>100027213</v>
      </c>
      <c r="E1411" s="55" t="s">
        <v>1595</v>
      </c>
      <c r="F1411" s="129">
        <v>1</v>
      </c>
      <c r="G1411" s="129">
        <v>16</v>
      </c>
      <c r="H1411" s="512">
        <v>3510.07</v>
      </c>
      <c r="I1411" s="265" t="s">
        <v>369</v>
      </c>
      <c r="J1411" s="265" t="s">
        <v>77</v>
      </c>
      <c r="K1411" s="265" t="s">
        <v>1596</v>
      </c>
      <c r="L1411" s="348" t="s">
        <v>1205</v>
      </c>
      <c r="M1411" s="265" t="s">
        <v>1597</v>
      </c>
      <c r="N1411" s="347">
        <v>71.89</v>
      </c>
      <c r="O1411" s="348" t="s">
        <v>1205</v>
      </c>
      <c r="P1411" s="348">
        <v>71.89</v>
      </c>
      <c r="Q1411" s="348">
        <v>3.76</v>
      </c>
    </row>
    <row r="1412" spans="1:17" ht="15" hidden="1" customHeight="1">
      <c r="A1412" s="163">
        <v>1407</v>
      </c>
      <c r="B1412" s="53" t="s">
        <v>30</v>
      </c>
      <c r="C1412" s="53" t="s">
        <v>1598</v>
      </c>
      <c r="D1412" s="53">
        <v>100027299</v>
      </c>
      <c r="E1412" s="55" t="s">
        <v>1599</v>
      </c>
      <c r="F1412" s="129">
        <v>1</v>
      </c>
      <c r="G1412" s="129">
        <v>26</v>
      </c>
      <c r="H1412" s="512">
        <v>3065.19</v>
      </c>
      <c r="I1412" s="265" t="s">
        <v>369</v>
      </c>
      <c r="J1412" s="265" t="s">
        <v>77</v>
      </c>
      <c r="K1412" s="265" t="s">
        <v>1600</v>
      </c>
      <c r="L1412" s="348" t="s">
        <v>1205</v>
      </c>
      <c r="M1412" s="265" t="s">
        <v>1601</v>
      </c>
      <c r="N1412" s="347">
        <v>39.64</v>
      </c>
      <c r="O1412" s="348" t="s">
        <v>1205</v>
      </c>
      <c r="P1412" s="348">
        <v>39.64</v>
      </c>
      <c r="Q1412" s="348">
        <v>2.31</v>
      </c>
    </row>
    <row r="1413" spans="1:17" ht="15" hidden="1" customHeight="1">
      <c r="A1413" s="163">
        <v>1408</v>
      </c>
      <c r="B1413" s="53" t="s">
        <v>30</v>
      </c>
      <c r="C1413" s="53" t="s">
        <v>1602</v>
      </c>
      <c r="D1413" s="53">
        <v>100027300</v>
      </c>
      <c r="E1413" s="55" t="s">
        <v>1603</v>
      </c>
      <c r="F1413" s="129">
        <v>1</v>
      </c>
      <c r="G1413" s="129">
        <v>18</v>
      </c>
      <c r="H1413" s="512">
        <v>5467.46</v>
      </c>
      <c r="I1413" s="265" t="s">
        <v>369</v>
      </c>
      <c r="J1413" s="265" t="s">
        <v>77</v>
      </c>
      <c r="K1413" s="265" t="s">
        <v>1604</v>
      </c>
      <c r="L1413" s="348" t="s">
        <v>1205</v>
      </c>
      <c r="M1413" s="265" t="s">
        <v>1605</v>
      </c>
      <c r="N1413" s="347">
        <v>51.42</v>
      </c>
      <c r="O1413" s="348" t="s">
        <v>1205</v>
      </c>
      <c r="P1413" s="348">
        <v>51.42</v>
      </c>
      <c r="Q1413" s="348">
        <v>3.42</v>
      </c>
    </row>
    <row r="1414" spans="1:17" ht="15" hidden="1" customHeight="1">
      <c r="A1414" s="163">
        <v>1409</v>
      </c>
      <c r="B1414" s="53" t="s">
        <v>30</v>
      </c>
      <c r="C1414" s="53" t="s">
        <v>1606</v>
      </c>
      <c r="D1414" s="53">
        <v>100027301</v>
      </c>
      <c r="E1414" s="55" t="s">
        <v>1607</v>
      </c>
      <c r="F1414" s="129">
        <v>1</v>
      </c>
      <c r="G1414" s="129">
        <v>16</v>
      </c>
      <c r="H1414" s="512">
        <v>7433.2</v>
      </c>
      <c r="I1414" s="265" t="s">
        <v>369</v>
      </c>
      <c r="J1414" s="265" t="s">
        <v>77</v>
      </c>
      <c r="K1414" s="265" t="s">
        <v>1608</v>
      </c>
      <c r="L1414" s="348" t="s">
        <v>1205</v>
      </c>
      <c r="M1414" s="265" t="s">
        <v>1609</v>
      </c>
      <c r="N1414" s="347">
        <v>74.099999999999994</v>
      </c>
      <c r="O1414" s="348" t="s">
        <v>1205</v>
      </c>
      <c r="P1414" s="348">
        <v>74.099999999999994</v>
      </c>
      <c r="Q1414" s="348">
        <v>3.76</v>
      </c>
    </row>
    <row r="1415" spans="1:17" ht="15" hidden="1" customHeight="1">
      <c r="A1415" s="163">
        <v>1410</v>
      </c>
      <c r="B1415" s="53" t="s">
        <v>30</v>
      </c>
      <c r="C1415" s="53" t="s">
        <v>1610</v>
      </c>
      <c r="D1415" s="53">
        <v>100028655</v>
      </c>
      <c r="E1415" s="55" t="s">
        <v>1611</v>
      </c>
      <c r="F1415" s="129">
        <v>1</v>
      </c>
      <c r="G1415" s="129">
        <v>0</v>
      </c>
      <c r="H1415" s="512">
        <v>25.05</v>
      </c>
      <c r="I1415" s="265" t="s">
        <v>369</v>
      </c>
      <c r="J1415" s="265" t="s">
        <v>77</v>
      </c>
      <c r="K1415" s="265">
        <v>0</v>
      </c>
      <c r="L1415" s="348" t="s">
        <v>1205</v>
      </c>
      <c r="M1415" s="265">
        <v>0</v>
      </c>
      <c r="N1415" s="347">
        <v>0.04</v>
      </c>
      <c r="O1415" s="348" t="s">
        <v>1205</v>
      </c>
      <c r="P1415" s="348">
        <v>0.04</v>
      </c>
      <c r="Q1415" s="348" t="s">
        <v>1205</v>
      </c>
    </row>
    <row r="1416" spans="1:17" ht="15" hidden="1" customHeight="1">
      <c r="A1416" s="163">
        <v>1411</v>
      </c>
      <c r="B1416" s="53" t="s">
        <v>30</v>
      </c>
      <c r="C1416" s="53" t="s">
        <v>1612</v>
      </c>
      <c r="D1416" s="53">
        <v>100028638</v>
      </c>
      <c r="E1416" s="55" t="s">
        <v>1613</v>
      </c>
      <c r="F1416" s="129">
        <v>1</v>
      </c>
      <c r="G1416" s="129">
        <v>0</v>
      </c>
      <c r="H1416" s="512">
        <v>10.54</v>
      </c>
      <c r="I1416" s="265" t="s">
        <v>1351</v>
      </c>
      <c r="J1416" s="265" t="s">
        <v>77</v>
      </c>
      <c r="K1416" s="265">
        <v>0</v>
      </c>
      <c r="L1416" s="348" t="s">
        <v>1205</v>
      </c>
      <c r="M1416" s="265">
        <v>0</v>
      </c>
      <c r="N1416" s="347">
        <v>0.02</v>
      </c>
      <c r="O1416" s="348" t="s">
        <v>1205</v>
      </c>
      <c r="P1416" s="348">
        <v>0.02</v>
      </c>
      <c r="Q1416" s="348" t="s">
        <v>1205</v>
      </c>
    </row>
    <row r="1417" spans="1:17" ht="15" hidden="1" customHeight="1">
      <c r="A1417" s="163">
        <v>1412</v>
      </c>
      <c r="B1417" s="53" t="s">
        <v>30</v>
      </c>
      <c r="C1417" s="53" t="s">
        <v>1614</v>
      </c>
      <c r="D1417" s="53">
        <v>100028639</v>
      </c>
      <c r="E1417" s="55" t="s">
        <v>1615</v>
      </c>
      <c r="F1417" s="129">
        <v>1</v>
      </c>
      <c r="G1417" s="129">
        <v>0</v>
      </c>
      <c r="H1417" s="512">
        <v>30.53</v>
      </c>
      <c r="I1417" s="265" t="s">
        <v>1351</v>
      </c>
      <c r="J1417" s="265" t="s">
        <v>77</v>
      </c>
      <c r="K1417" s="265">
        <v>0</v>
      </c>
      <c r="L1417" s="348" t="s">
        <v>1205</v>
      </c>
      <c r="M1417" s="265">
        <v>0</v>
      </c>
      <c r="N1417" s="347">
        <v>0.02</v>
      </c>
      <c r="O1417" s="348" t="s">
        <v>1205</v>
      </c>
      <c r="P1417" s="348">
        <v>0.02</v>
      </c>
      <c r="Q1417" s="348" t="s">
        <v>1205</v>
      </c>
    </row>
    <row r="1418" spans="1:17" ht="15" hidden="1" customHeight="1">
      <c r="A1418" s="163">
        <v>1413</v>
      </c>
      <c r="B1418" s="53" t="s">
        <v>30</v>
      </c>
      <c r="C1418" s="53" t="s">
        <v>1616</v>
      </c>
      <c r="D1418" s="53">
        <v>100028641</v>
      </c>
      <c r="E1418" s="55" t="s">
        <v>1617</v>
      </c>
      <c r="F1418" s="129">
        <v>1</v>
      </c>
      <c r="G1418" s="129">
        <v>0</v>
      </c>
      <c r="H1418" s="512">
        <v>35.119999999999997</v>
      </c>
      <c r="I1418" s="265" t="s">
        <v>369</v>
      </c>
      <c r="J1418" s="265" t="s">
        <v>77</v>
      </c>
      <c r="K1418" s="265">
        <v>0</v>
      </c>
      <c r="L1418" s="348" t="s">
        <v>1205</v>
      </c>
      <c r="M1418" s="265">
        <v>0</v>
      </c>
      <c r="N1418" s="347">
        <v>0.03</v>
      </c>
      <c r="O1418" s="348" t="s">
        <v>1205</v>
      </c>
      <c r="P1418" s="348">
        <v>0.03</v>
      </c>
      <c r="Q1418" s="348" t="s">
        <v>1205</v>
      </c>
    </row>
    <row r="1419" spans="1:17" ht="15" hidden="1" customHeight="1">
      <c r="A1419" s="163">
        <v>1414</v>
      </c>
      <c r="B1419" s="53" t="s">
        <v>30</v>
      </c>
      <c r="C1419" s="53" t="s">
        <v>1618</v>
      </c>
      <c r="D1419" s="53">
        <v>100028647</v>
      </c>
      <c r="E1419" s="55" t="s">
        <v>1619</v>
      </c>
      <c r="F1419" s="129">
        <v>1</v>
      </c>
      <c r="G1419" s="129">
        <v>0</v>
      </c>
      <c r="H1419" s="512">
        <v>85.51</v>
      </c>
      <c r="I1419" s="265" t="s">
        <v>369</v>
      </c>
      <c r="J1419" s="265" t="s">
        <v>77</v>
      </c>
      <c r="K1419" s="265">
        <v>0</v>
      </c>
      <c r="L1419" s="348" t="s">
        <v>1205</v>
      </c>
      <c r="M1419" s="265">
        <v>0</v>
      </c>
      <c r="N1419" s="347">
        <v>0.1</v>
      </c>
      <c r="O1419" s="348" t="s">
        <v>1205</v>
      </c>
      <c r="P1419" s="348">
        <v>0.1</v>
      </c>
      <c r="Q1419" s="348" t="s">
        <v>1205</v>
      </c>
    </row>
    <row r="1420" spans="1:17" ht="15" hidden="1" customHeight="1">
      <c r="A1420" s="163">
        <v>1415</v>
      </c>
      <c r="B1420" s="53" t="s">
        <v>30</v>
      </c>
      <c r="C1420" s="53" t="s">
        <v>1620</v>
      </c>
      <c r="D1420" s="53">
        <v>100028649</v>
      </c>
      <c r="E1420" s="55" t="s">
        <v>1621</v>
      </c>
      <c r="F1420" s="129">
        <v>1</v>
      </c>
      <c r="G1420" s="129">
        <v>0</v>
      </c>
      <c r="H1420" s="512">
        <v>128.79</v>
      </c>
      <c r="I1420" s="265" t="s">
        <v>369</v>
      </c>
      <c r="J1420" s="265" t="s">
        <v>77</v>
      </c>
      <c r="K1420" s="265">
        <v>0</v>
      </c>
      <c r="L1420" s="348" t="s">
        <v>1205</v>
      </c>
      <c r="M1420" s="265">
        <v>0</v>
      </c>
      <c r="N1420" s="347">
        <v>0.15</v>
      </c>
      <c r="O1420" s="348" t="s">
        <v>1205</v>
      </c>
      <c r="P1420" s="348">
        <v>0.15</v>
      </c>
      <c r="Q1420" s="348" t="s">
        <v>1205</v>
      </c>
    </row>
    <row r="1421" spans="1:17" ht="15" hidden="1" customHeight="1">
      <c r="A1421" s="163">
        <v>1416</v>
      </c>
      <c r="B1421" s="53" t="s">
        <v>30</v>
      </c>
      <c r="C1421" s="53" t="s">
        <v>1622</v>
      </c>
      <c r="D1421" s="53">
        <v>100028651</v>
      </c>
      <c r="E1421" s="55" t="s">
        <v>1623</v>
      </c>
      <c r="F1421" s="129">
        <v>1</v>
      </c>
      <c r="G1421" s="129">
        <v>0</v>
      </c>
      <c r="H1421" s="512">
        <v>187.6</v>
      </c>
      <c r="I1421" s="265" t="s">
        <v>1351</v>
      </c>
      <c r="J1421" s="265" t="s">
        <v>77</v>
      </c>
      <c r="K1421" s="265">
        <v>0</v>
      </c>
      <c r="L1421" s="348" t="s">
        <v>1205</v>
      </c>
      <c r="M1421" s="265">
        <v>0</v>
      </c>
      <c r="N1421" s="347">
        <v>0.18</v>
      </c>
      <c r="O1421" s="348" t="s">
        <v>1205</v>
      </c>
      <c r="P1421" s="348">
        <v>0.18</v>
      </c>
      <c r="Q1421" s="348" t="s">
        <v>1205</v>
      </c>
    </row>
    <row r="1422" spans="1:17" ht="15" hidden="1" customHeight="1">
      <c r="A1422" s="163">
        <v>1417</v>
      </c>
      <c r="B1422" s="53" t="s">
        <v>30</v>
      </c>
      <c r="C1422" s="53" t="s">
        <v>1624</v>
      </c>
      <c r="D1422" s="53">
        <v>100028626</v>
      </c>
      <c r="E1422" s="55" t="s">
        <v>1625</v>
      </c>
      <c r="F1422" s="129">
        <v>1</v>
      </c>
      <c r="G1422" s="129">
        <v>0</v>
      </c>
      <c r="H1422" s="512">
        <v>7.09</v>
      </c>
      <c r="I1422" s="265" t="s">
        <v>369</v>
      </c>
      <c r="J1422" s="265" t="s">
        <v>77</v>
      </c>
      <c r="K1422" s="265">
        <v>0</v>
      </c>
      <c r="L1422" s="348" t="s">
        <v>1205</v>
      </c>
      <c r="M1422" s="265">
        <v>0</v>
      </c>
      <c r="N1422" s="347">
        <v>0.02</v>
      </c>
      <c r="O1422" s="348" t="s">
        <v>1205</v>
      </c>
      <c r="P1422" s="348">
        <v>0.02</v>
      </c>
      <c r="Q1422" s="348" t="s">
        <v>1205</v>
      </c>
    </row>
    <row r="1423" spans="1:17" ht="15" hidden="1" customHeight="1">
      <c r="A1423" s="163">
        <v>1418</v>
      </c>
      <c r="B1423" s="53" t="s">
        <v>30</v>
      </c>
      <c r="C1423" s="53" t="s">
        <v>1626</v>
      </c>
      <c r="D1423" s="53">
        <v>100028627</v>
      </c>
      <c r="E1423" s="55" t="s">
        <v>1627</v>
      </c>
      <c r="F1423" s="129">
        <v>1</v>
      </c>
      <c r="G1423" s="129">
        <v>0</v>
      </c>
      <c r="H1423" s="512">
        <v>27.21</v>
      </c>
      <c r="I1423" s="265" t="s">
        <v>1351</v>
      </c>
      <c r="J1423" s="265" t="s">
        <v>77</v>
      </c>
      <c r="K1423" s="265">
        <v>0</v>
      </c>
      <c r="L1423" s="348" t="s">
        <v>1205</v>
      </c>
      <c r="M1423" s="265">
        <v>0</v>
      </c>
      <c r="N1423" s="347">
        <v>0.02</v>
      </c>
      <c r="O1423" s="348" t="s">
        <v>1205</v>
      </c>
      <c r="P1423" s="348">
        <v>0.02</v>
      </c>
      <c r="Q1423" s="348" t="s">
        <v>1205</v>
      </c>
    </row>
    <row r="1424" spans="1:17" ht="15" hidden="1" customHeight="1">
      <c r="A1424" s="163">
        <v>1419</v>
      </c>
      <c r="B1424" s="53" t="s">
        <v>30</v>
      </c>
      <c r="C1424" s="53" t="s">
        <v>1628</v>
      </c>
      <c r="D1424" s="53">
        <v>100028574</v>
      </c>
      <c r="E1424" s="55" t="s">
        <v>1629</v>
      </c>
      <c r="F1424" s="129">
        <v>1</v>
      </c>
      <c r="G1424" s="129">
        <v>0</v>
      </c>
      <c r="H1424" s="512">
        <v>2.57</v>
      </c>
      <c r="I1424" s="265" t="s">
        <v>1351</v>
      </c>
      <c r="J1424" s="265" t="s">
        <v>77</v>
      </c>
      <c r="K1424" s="265">
        <v>0</v>
      </c>
      <c r="L1424" s="348" t="s">
        <v>1205</v>
      </c>
      <c r="M1424" s="265">
        <v>0</v>
      </c>
      <c r="N1424" s="347">
        <v>0.02</v>
      </c>
      <c r="O1424" s="348" t="s">
        <v>1205</v>
      </c>
      <c r="P1424" s="348">
        <v>0.02</v>
      </c>
      <c r="Q1424" s="348" t="s">
        <v>1205</v>
      </c>
    </row>
    <row r="1425" spans="1:17" ht="15" hidden="1" customHeight="1">
      <c r="A1425" s="163">
        <v>1420</v>
      </c>
      <c r="B1425" s="53" t="s">
        <v>30</v>
      </c>
      <c r="C1425" s="53" t="s">
        <v>1630</v>
      </c>
      <c r="D1425" s="53">
        <v>100028576</v>
      </c>
      <c r="E1425" s="55" t="s">
        <v>1631</v>
      </c>
      <c r="F1425" s="129">
        <v>1</v>
      </c>
      <c r="G1425" s="129">
        <v>0</v>
      </c>
      <c r="H1425" s="512">
        <v>2.78</v>
      </c>
      <c r="I1425" s="265" t="s">
        <v>369</v>
      </c>
      <c r="J1425" s="265" t="s">
        <v>77</v>
      </c>
      <c r="K1425" s="265">
        <v>0</v>
      </c>
      <c r="L1425" s="348" t="s">
        <v>1205</v>
      </c>
      <c r="M1425" s="265">
        <v>0</v>
      </c>
      <c r="N1425" s="347">
        <v>0</v>
      </c>
      <c r="O1425" s="348" t="s">
        <v>1205</v>
      </c>
      <c r="P1425" s="348" t="s">
        <v>1205</v>
      </c>
      <c r="Q1425" s="348" t="s">
        <v>1205</v>
      </c>
    </row>
    <row r="1426" spans="1:17" ht="15" hidden="1" customHeight="1">
      <c r="A1426" s="163">
        <v>1421</v>
      </c>
      <c r="B1426" s="53" t="s">
        <v>30</v>
      </c>
      <c r="C1426" s="53" t="s">
        <v>1632</v>
      </c>
      <c r="D1426" s="53">
        <v>100028578</v>
      </c>
      <c r="E1426" s="55" t="s">
        <v>1633</v>
      </c>
      <c r="F1426" s="129">
        <v>1</v>
      </c>
      <c r="G1426" s="129">
        <v>0</v>
      </c>
      <c r="H1426" s="512">
        <v>4.51</v>
      </c>
      <c r="I1426" s="265" t="s">
        <v>369</v>
      </c>
      <c r="J1426" s="265" t="s">
        <v>77</v>
      </c>
      <c r="K1426" s="265">
        <v>0</v>
      </c>
      <c r="L1426" s="348" t="s">
        <v>1205</v>
      </c>
      <c r="M1426" s="265">
        <v>0</v>
      </c>
      <c r="N1426" s="347">
        <v>0.06</v>
      </c>
      <c r="O1426" s="348" t="s">
        <v>1205</v>
      </c>
      <c r="P1426" s="348">
        <v>0.06</v>
      </c>
      <c r="Q1426" s="348" t="s">
        <v>1205</v>
      </c>
    </row>
    <row r="1427" spans="1:17" ht="15" hidden="1" customHeight="1">
      <c r="A1427" s="163">
        <v>1422</v>
      </c>
      <c r="B1427" s="53" t="s">
        <v>30</v>
      </c>
      <c r="C1427" s="53" t="s">
        <v>1634</v>
      </c>
      <c r="D1427" s="53">
        <v>100028579</v>
      </c>
      <c r="E1427" s="55" t="s">
        <v>1635</v>
      </c>
      <c r="F1427" s="129">
        <v>1</v>
      </c>
      <c r="G1427" s="129">
        <v>0</v>
      </c>
      <c r="H1427" s="512">
        <v>4.51</v>
      </c>
      <c r="I1427" s="265" t="s">
        <v>369</v>
      </c>
      <c r="J1427" s="265" t="s">
        <v>77</v>
      </c>
      <c r="K1427" s="265">
        <v>0</v>
      </c>
      <c r="L1427" s="348" t="s">
        <v>1205</v>
      </c>
      <c r="M1427" s="265">
        <v>0</v>
      </c>
      <c r="N1427" s="347">
        <v>0.06</v>
      </c>
      <c r="O1427" s="348" t="s">
        <v>1205</v>
      </c>
      <c r="P1427" s="348">
        <v>0.06</v>
      </c>
      <c r="Q1427" s="348" t="s">
        <v>1205</v>
      </c>
    </row>
    <row r="1428" spans="1:17" ht="15" hidden="1" customHeight="1">
      <c r="A1428" s="163">
        <v>1423</v>
      </c>
      <c r="B1428" s="53" t="s">
        <v>30</v>
      </c>
      <c r="C1428" s="53" t="s">
        <v>1636</v>
      </c>
      <c r="D1428" s="53">
        <v>100028580</v>
      </c>
      <c r="E1428" s="55" t="s">
        <v>1637</v>
      </c>
      <c r="F1428" s="129">
        <v>10</v>
      </c>
      <c r="G1428" s="129">
        <v>0</v>
      </c>
      <c r="H1428" s="512">
        <v>5.58</v>
      </c>
      <c r="I1428" s="265" t="s">
        <v>369</v>
      </c>
      <c r="J1428" s="265" t="s">
        <v>77</v>
      </c>
      <c r="K1428" s="265">
        <v>0</v>
      </c>
      <c r="L1428" s="348" t="s">
        <v>1205</v>
      </c>
      <c r="M1428" s="265">
        <v>0</v>
      </c>
      <c r="N1428" s="347">
        <v>0.11</v>
      </c>
      <c r="O1428" s="348" t="s">
        <v>1205</v>
      </c>
      <c r="P1428" s="348">
        <v>0.11</v>
      </c>
      <c r="Q1428" s="348" t="s">
        <v>1205</v>
      </c>
    </row>
    <row r="1429" spans="1:17" ht="15" hidden="1" customHeight="1">
      <c r="A1429" s="163">
        <v>1424</v>
      </c>
      <c r="B1429" s="53" t="s">
        <v>30</v>
      </c>
      <c r="C1429" s="53" t="s">
        <v>1638</v>
      </c>
      <c r="D1429" s="53">
        <v>100028581</v>
      </c>
      <c r="E1429" s="55" t="s">
        <v>1639</v>
      </c>
      <c r="F1429" s="129">
        <v>10</v>
      </c>
      <c r="G1429" s="129">
        <v>0</v>
      </c>
      <c r="H1429" s="512">
        <v>8.0500000000000007</v>
      </c>
      <c r="I1429" s="265" t="s">
        <v>369</v>
      </c>
      <c r="J1429" s="265" t="s">
        <v>77</v>
      </c>
      <c r="K1429" s="265">
        <v>0</v>
      </c>
      <c r="L1429" s="348" t="s">
        <v>1205</v>
      </c>
      <c r="M1429" s="265">
        <v>0</v>
      </c>
      <c r="N1429" s="347">
        <v>0.16</v>
      </c>
      <c r="O1429" s="348" t="s">
        <v>1205</v>
      </c>
      <c r="P1429" s="348">
        <v>0.16</v>
      </c>
      <c r="Q1429" s="348" t="s">
        <v>1205</v>
      </c>
    </row>
    <row r="1430" spans="1:17" ht="15" hidden="1" customHeight="1">
      <c r="A1430" s="163">
        <v>1425</v>
      </c>
      <c r="B1430" s="53" t="s">
        <v>30</v>
      </c>
      <c r="C1430" s="53" t="s">
        <v>1640</v>
      </c>
      <c r="D1430" s="53">
        <v>100028582</v>
      </c>
      <c r="E1430" s="55" t="s">
        <v>1641</v>
      </c>
      <c r="F1430" s="129">
        <v>1</v>
      </c>
      <c r="G1430" s="129">
        <v>0</v>
      </c>
      <c r="H1430" s="512">
        <v>10.199999999999999</v>
      </c>
      <c r="I1430" s="265" t="s">
        <v>1351</v>
      </c>
      <c r="J1430" s="265" t="s">
        <v>77</v>
      </c>
      <c r="K1430" s="265">
        <v>0</v>
      </c>
      <c r="L1430" s="348" t="s">
        <v>1205</v>
      </c>
      <c r="M1430" s="265">
        <v>0</v>
      </c>
      <c r="N1430" s="347">
        <v>0.79</v>
      </c>
      <c r="O1430" s="348" t="s">
        <v>1205</v>
      </c>
      <c r="P1430" s="348">
        <v>0.79</v>
      </c>
      <c r="Q1430" s="348" t="s">
        <v>1205</v>
      </c>
    </row>
    <row r="1431" spans="1:17" ht="15" hidden="1" customHeight="1">
      <c r="A1431" s="163">
        <v>1426</v>
      </c>
      <c r="B1431" s="53" t="s">
        <v>30</v>
      </c>
      <c r="C1431" s="53" t="s">
        <v>1642</v>
      </c>
      <c r="D1431" s="53">
        <v>100028583</v>
      </c>
      <c r="E1431" s="55" t="s">
        <v>1643</v>
      </c>
      <c r="F1431" s="129">
        <v>1</v>
      </c>
      <c r="G1431" s="129">
        <v>0</v>
      </c>
      <c r="H1431" s="512">
        <v>16.850000000000001</v>
      </c>
      <c r="I1431" s="265" t="s">
        <v>369</v>
      </c>
      <c r="J1431" s="265" t="s">
        <v>77</v>
      </c>
      <c r="K1431" s="265">
        <v>0</v>
      </c>
      <c r="L1431" s="348" t="s">
        <v>1205</v>
      </c>
      <c r="M1431" s="265">
        <v>0</v>
      </c>
      <c r="N1431" s="347">
        <v>0.38</v>
      </c>
      <c r="O1431" s="348" t="s">
        <v>1205</v>
      </c>
      <c r="P1431" s="348">
        <v>0.38</v>
      </c>
      <c r="Q1431" s="348" t="s">
        <v>1205</v>
      </c>
    </row>
    <row r="1432" spans="1:17" ht="15" hidden="1" customHeight="1">
      <c r="A1432" s="163">
        <v>1427</v>
      </c>
      <c r="B1432" s="53" t="s">
        <v>30</v>
      </c>
      <c r="C1432" s="53" t="s">
        <v>1644</v>
      </c>
      <c r="D1432" s="53">
        <v>100028584</v>
      </c>
      <c r="E1432" s="55" t="s">
        <v>1645</v>
      </c>
      <c r="F1432" s="129">
        <v>1</v>
      </c>
      <c r="G1432" s="129">
        <v>0</v>
      </c>
      <c r="H1432" s="512">
        <v>30.51</v>
      </c>
      <c r="I1432" s="265" t="s">
        <v>369</v>
      </c>
      <c r="J1432" s="265" t="s">
        <v>77</v>
      </c>
      <c r="K1432" s="265">
        <v>0</v>
      </c>
      <c r="L1432" s="348" t="s">
        <v>1205</v>
      </c>
      <c r="M1432" s="265">
        <v>0</v>
      </c>
      <c r="N1432" s="347">
        <v>0.79</v>
      </c>
      <c r="O1432" s="348" t="s">
        <v>1205</v>
      </c>
      <c r="P1432" s="348">
        <v>0.79</v>
      </c>
      <c r="Q1432" s="348" t="s">
        <v>1205</v>
      </c>
    </row>
    <row r="1433" spans="1:17" ht="15" hidden="1" customHeight="1">
      <c r="A1433" s="163">
        <v>1428</v>
      </c>
      <c r="B1433" s="53" t="s">
        <v>30</v>
      </c>
      <c r="C1433" s="53" t="s">
        <v>1646</v>
      </c>
      <c r="D1433" s="53">
        <v>100028570</v>
      </c>
      <c r="E1433" s="55" t="s">
        <v>1647</v>
      </c>
      <c r="F1433" s="129">
        <v>1</v>
      </c>
      <c r="G1433" s="129">
        <v>0</v>
      </c>
      <c r="H1433" s="512">
        <v>76.56</v>
      </c>
      <c r="I1433" s="265" t="s">
        <v>1351</v>
      </c>
      <c r="J1433" s="265" t="s">
        <v>77</v>
      </c>
      <c r="K1433" s="265">
        <v>0</v>
      </c>
      <c r="L1433" s="348" t="s">
        <v>1205</v>
      </c>
      <c r="M1433" s="265">
        <v>0</v>
      </c>
      <c r="N1433" s="347">
        <v>0.46</v>
      </c>
      <c r="O1433" s="348" t="s">
        <v>1205</v>
      </c>
      <c r="P1433" s="348">
        <v>0.46</v>
      </c>
      <c r="Q1433" s="348" t="s">
        <v>1205</v>
      </c>
    </row>
    <row r="1434" spans="1:17" ht="15" hidden="1" customHeight="1">
      <c r="A1434" s="163">
        <v>1429</v>
      </c>
      <c r="B1434" s="53" t="s">
        <v>30</v>
      </c>
      <c r="C1434" s="53" t="s">
        <v>1648</v>
      </c>
      <c r="D1434" s="53">
        <v>100028571</v>
      </c>
      <c r="E1434" s="55" t="s">
        <v>1649</v>
      </c>
      <c r="F1434" s="129">
        <v>1</v>
      </c>
      <c r="G1434" s="129">
        <v>0</v>
      </c>
      <c r="H1434" s="512">
        <v>76.56</v>
      </c>
      <c r="I1434" s="265" t="s">
        <v>369</v>
      </c>
      <c r="J1434" s="265" t="s">
        <v>77</v>
      </c>
      <c r="K1434" s="265">
        <v>0</v>
      </c>
      <c r="L1434" s="348" t="s">
        <v>1205</v>
      </c>
      <c r="M1434" s="265">
        <v>0</v>
      </c>
      <c r="N1434" s="347">
        <v>0.46</v>
      </c>
      <c r="O1434" s="348" t="s">
        <v>1205</v>
      </c>
      <c r="P1434" s="348">
        <v>0.46</v>
      </c>
      <c r="Q1434" s="348" t="s">
        <v>1205</v>
      </c>
    </row>
    <row r="1435" spans="1:17" ht="15" hidden="1" customHeight="1">
      <c r="A1435" s="163">
        <v>1430</v>
      </c>
      <c r="B1435" s="53" t="s">
        <v>30</v>
      </c>
      <c r="C1435" s="53" t="s">
        <v>1650</v>
      </c>
      <c r="D1435" s="53">
        <v>100028572</v>
      </c>
      <c r="E1435" s="55" t="s">
        <v>1651</v>
      </c>
      <c r="F1435" s="129">
        <v>1</v>
      </c>
      <c r="G1435" s="129">
        <v>0</v>
      </c>
      <c r="H1435" s="512">
        <v>76.56</v>
      </c>
      <c r="I1435" s="265" t="s">
        <v>369</v>
      </c>
      <c r="J1435" s="265" t="s">
        <v>77</v>
      </c>
      <c r="K1435" s="265">
        <v>0</v>
      </c>
      <c r="L1435" s="348" t="s">
        <v>1205</v>
      </c>
      <c r="M1435" s="265">
        <v>0</v>
      </c>
      <c r="N1435" s="347">
        <v>0.46</v>
      </c>
      <c r="O1435" s="348" t="s">
        <v>1205</v>
      </c>
      <c r="P1435" s="348">
        <v>0.46</v>
      </c>
      <c r="Q1435" s="348" t="s">
        <v>1205</v>
      </c>
    </row>
    <row r="1436" spans="1:17" ht="15" hidden="1" customHeight="1">
      <c r="A1436" s="163">
        <v>1431</v>
      </c>
      <c r="B1436" s="53" t="s">
        <v>30</v>
      </c>
      <c r="C1436" s="53" t="s">
        <v>1652</v>
      </c>
      <c r="D1436" s="53">
        <v>100028573</v>
      </c>
      <c r="E1436" s="55" t="s">
        <v>1653</v>
      </c>
      <c r="F1436" s="129">
        <v>1</v>
      </c>
      <c r="G1436" s="129">
        <v>0</v>
      </c>
      <c r="H1436" s="512">
        <v>86.85</v>
      </c>
      <c r="I1436" s="265" t="s">
        <v>1351</v>
      </c>
      <c r="J1436" s="265" t="s">
        <v>77</v>
      </c>
      <c r="K1436" s="265">
        <v>0</v>
      </c>
      <c r="L1436" s="348" t="s">
        <v>1205</v>
      </c>
      <c r="M1436" s="265">
        <v>0</v>
      </c>
      <c r="N1436" s="347">
        <v>0.61</v>
      </c>
      <c r="O1436" s="348" t="s">
        <v>1205</v>
      </c>
      <c r="P1436" s="348">
        <v>0.61</v>
      </c>
      <c r="Q1436" s="348" t="s">
        <v>1205</v>
      </c>
    </row>
    <row r="1437" spans="1:17" ht="15" hidden="1" customHeight="1">
      <c r="A1437" s="163">
        <v>1432</v>
      </c>
      <c r="B1437" s="53" t="s">
        <v>30</v>
      </c>
      <c r="C1437" s="53" t="s">
        <v>1654</v>
      </c>
      <c r="D1437" s="53">
        <v>100028575</v>
      </c>
      <c r="E1437" s="55" t="s">
        <v>1655</v>
      </c>
      <c r="F1437" s="129">
        <v>10</v>
      </c>
      <c r="G1437" s="129">
        <v>0</v>
      </c>
      <c r="H1437" s="512">
        <v>107.17</v>
      </c>
      <c r="I1437" s="265" t="s">
        <v>369</v>
      </c>
      <c r="J1437" s="265" t="s">
        <v>77</v>
      </c>
      <c r="K1437" s="265">
        <v>0</v>
      </c>
      <c r="L1437" s="348" t="s">
        <v>1205</v>
      </c>
      <c r="M1437" s="265">
        <v>0</v>
      </c>
      <c r="N1437" s="347">
        <v>1.01</v>
      </c>
      <c r="O1437" s="348" t="s">
        <v>1205</v>
      </c>
      <c r="P1437" s="348">
        <v>1.01</v>
      </c>
      <c r="Q1437" s="348" t="s">
        <v>1205</v>
      </c>
    </row>
    <row r="1438" spans="1:17" ht="15" hidden="1" customHeight="1">
      <c r="A1438" s="163">
        <v>1433</v>
      </c>
      <c r="B1438" s="53" t="s">
        <v>11320</v>
      </c>
      <c r="C1438" s="53" t="s">
        <v>1659</v>
      </c>
      <c r="D1438" s="53">
        <v>100029248</v>
      </c>
      <c r="E1438" s="55" t="s">
        <v>1660</v>
      </c>
      <c r="F1438" s="129">
        <v>30</v>
      </c>
      <c r="G1438" s="129">
        <v>1890</v>
      </c>
      <c r="H1438" s="512">
        <v>10.65</v>
      </c>
      <c r="I1438" s="265" t="s">
        <v>1351</v>
      </c>
      <c r="J1438" s="265" t="s">
        <v>102</v>
      </c>
      <c r="K1438" s="265" t="s">
        <v>1661</v>
      </c>
      <c r="L1438" s="348" t="s">
        <v>1205</v>
      </c>
      <c r="M1438" s="265" t="s">
        <v>1662</v>
      </c>
      <c r="N1438" s="347">
        <v>0.123</v>
      </c>
      <c r="O1438" s="348" t="s">
        <v>1205</v>
      </c>
      <c r="P1438" s="348">
        <v>4.95</v>
      </c>
      <c r="Q1438" s="348">
        <v>0.66940792428507967</v>
      </c>
    </row>
    <row r="1439" spans="1:17" ht="15" hidden="1" customHeight="1">
      <c r="A1439" s="163">
        <v>1434</v>
      </c>
      <c r="B1439" s="53" t="s">
        <v>11320</v>
      </c>
      <c r="C1439" s="53" t="s">
        <v>1663</v>
      </c>
      <c r="D1439" s="53">
        <v>100029137</v>
      </c>
      <c r="E1439" s="55" t="s">
        <v>1664</v>
      </c>
      <c r="F1439" s="129">
        <v>24</v>
      </c>
      <c r="G1439" s="129">
        <v>1512</v>
      </c>
      <c r="H1439" s="512">
        <v>13.77</v>
      </c>
      <c r="I1439" s="265" t="s">
        <v>76</v>
      </c>
      <c r="J1439" s="265" t="s">
        <v>102</v>
      </c>
      <c r="K1439" s="265" t="s">
        <v>1665</v>
      </c>
      <c r="L1439" s="348" t="s">
        <v>1205</v>
      </c>
      <c r="M1439" s="265" t="s">
        <v>1666</v>
      </c>
      <c r="N1439" s="347">
        <v>0.26400000000000001</v>
      </c>
      <c r="O1439" s="348" t="s">
        <v>1205</v>
      </c>
      <c r="P1439" s="348">
        <v>7.6080000000000005</v>
      </c>
      <c r="Q1439" s="348">
        <v>0.66940792428507967</v>
      </c>
    </row>
    <row r="1440" spans="1:17" ht="15" hidden="1" customHeight="1">
      <c r="A1440" s="163">
        <v>1435</v>
      </c>
      <c r="B1440" s="53" t="s">
        <v>11320</v>
      </c>
      <c r="C1440" s="53" t="s">
        <v>1667</v>
      </c>
      <c r="D1440" s="53">
        <v>100029250</v>
      </c>
      <c r="E1440" s="55" t="s">
        <v>1668</v>
      </c>
      <c r="F1440" s="129">
        <v>24</v>
      </c>
      <c r="G1440" s="129">
        <v>432</v>
      </c>
      <c r="H1440" s="512">
        <v>50.42</v>
      </c>
      <c r="I1440" s="265" t="s">
        <v>76</v>
      </c>
      <c r="J1440" s="265" t="s">
        <v>102</v>
      </c>
      <c r="K1440" s="265" t="s">
        <v>1669</v>
      </c>
      <c r="L1440" s="348" t="s">
        <v>1205</v>
      </c>
      <c r="M1440" s="265" t="s">
        <v>1670</v>
      </c>
      <c r="N1440" s="347">
        <v>0.91600000000000004</v>
      </c>
      <c r="O1440" s="348" t="s">
        <v>1205</v>
      </c>
      <c r="P1440" s="348">
        <v>23.856000000000002</v>
      </c>
      <c r="Q1440" s="348">
        <v>2.361325291407383</v>
      </c>
    </row>
    <row r="1441" spans="1:17" ht="15" hidden="1" customHeight="1">
      <c r="A1441" s="163">
        <v>1436</v>
      </c>
      <c r="B1441" s="53" t="s">
        <v>11320</v>
      </c>
      <c r="C1441" s="53" t="s">
        <v>1671</v>
      </c>
      <c r="D1441" s="53">
        <v>100029249</v>
      </c>
      <c r="E1441" s="55" t="s">
        <v>1672</v>
      </c>
      <c r="F1441" s="129">
        <v>6</v>
      </c>
      <c r="G1441" s="129">
        <v>144</v>
      </c>
      <c r="H1441" s="512">
        <v>165.09</v>
      </c>
      <c r="I1441" s="265" t="s">
        <v>76</v>
      </c>
      <c r="J1441" s="265" t="s">
        <v>102</v>
      </c>
      <c r="K1441" s="265" t="s">
        <v>1673</v>
      </c>
      <c r="L1441" s="348" t="s">
        <v>1205</v>
      </c>
      <c r="M1441" s="265" t="s">
        <v>1674</v>
      </c>
      <c r="N1441" s="347">
        <v>2.2679999999999998</v>
      </c>
      <c r="O1441" s="348" t="s">
        <v>1205</v>
      </c>
      <c r="P1441" s="348">
        <v>15.785999999999998</v>
      </c>
      <c r="Q1441" s="348">
        <v>1.8803145838984718</v>
      </c>
    </row>
    <row r="1442" spans="1:17" ht="15" hidden="1" customHeight="1">
      <c r="A1442" s="163">
        <v>1437</v>
      </c>
      <c r="B1442" s="53" t="s">
        <v>11320</v>
      </c>
      <c r="C1442" s="53" t="s">
        <v>1675</v>
      </c>
      <c r="D1442" s="53">
        <v>100030865</v>
      </c>
      <c r="E1442" s="55" t="s">
        <v>1676</v>
      </c>
      <c r="F1442" s="129">
        <v>30</v>
      </c>
      <c r="G1442" s="129">
        <v>960</v>
      </c>
      <c r="H1442" s="512">
        <v>23.11</v>
      </c>
      <c r="I1442" s="265" t="s">
        <v>359</v>
      </c>
      <c r="J1442" s="265" t="s">
        <v>102</v>
      </c>
      <c r="K1442" s="265" t="s">
        <v>1677</v>
      </c>
      <c r="L1442" s="348" t="s">
        <v>1205</v>
      </c>
      <c r="M1442" s="265" t="s">
        <v>1678</v>
      </c>
      <c r="N1442" s="347">
        <v>0.47599999999999998</v>
      </c>
      <c r="O1442" s="348" t="s">
        <v>1205</v>
      </c>
      <c r="P1442" s="348">
        <v>16.170000000000002</v>
      </c>
      <c r="Q1442" s="348">
        <v>2.7986077527791204</v>
      </c>
    </row>
    <row r="1443" spans="1:17" ht="15" hidden="1" customHeight="1">
      <c r="A1443" s="163">
        <v>1438</v>
      </c>
      <c r="B1443" s="53" t="s">
        <v>11320</v>
      </c>
      <c r="C1443" s="53" t="s">
        <v>1679</v>
      </c>
      <c r="D1443" s="53">
        <v>100029319</v>
      </c>
      <c r="E1443" s="55" t="s">
        <v>1680</v>
      </c>
      <c r="F1443" s="129">
        <v>20</v>
      </c>
      <c r="G1443" s="129">
        <v>240</v>
      </c>
      <c r="H1443" s="512">
        <v>31.29</v>
      </c>
      <c r="I1443" s="265" t="s">
        <v>76</v>
      </c>
      <c r="J1443" s="265" t="s">
        <v>102</v>
      </c>
      <c r="K1443" s="265" t="s">
        <v>1681</v>
      </c>
      <c r="L1443" s="348" t="s">
        <v>1205</v>
      </c>
      <c r="M1443" s="265" t="s">
        <v>1682</v>
      </c>
      <c r="N1443" s="347">
        <v>0.85399999999999998</v>
      </c>
      <c r="O1443" s="348" t="s">
        <v>1205</v>
      </c>
      <c r="P1443" s="348">
        <v>18.98</v>
      </c>
      <c r="Q1443" s="348">
        <v>2.7986077527791204</v>
      </c>
    </row>
    <row r="1444" spans="1:17" ht="15" hidden="1" customHeight="1">
      <c r="A1444" s="163">
        <v>1439</v>
      </c>
      <c r="B1444" s="53" t="s">
        <v>11320</v>
      </c>
      <c r="C1444" s="53" t="s">
        <v>1683</v>
      </c>
      <c r="D1444" s="53">
        <v>100029359</v>
      </c>
      <c r="E1444" s="55" t="s">
        <v>1684</v>
      </c>
      <c r="F1444" s="129">
        <v>4</v>
      </c>
      <c r="G1444" s="129">
        <v>96</v>
      </c>
      <c r="H1444" s="512">
        <v>127.57</v>
      </c>
      <c r="I1444" s="265" t="s">
        <v>76</v>
      </c>
      <c r="J1444" s="265" t="s">
        <v>102</v>
      </c>
      <c r="K1444" s="265" t="s">
        <v>1685</v>
      </c>
      <c r="L1444" s="348" t="s">
        <v>1205</v>
      </c>
      <c r="M1444" s="265" t="s">
        <v>1686</v>
      </c>
      <c r="N1444" s="347">
        <v>2.3039999999999998</v>
      </c>
      <c r="O1444" s="348" t="s">
        <v>1205</v>
      </c>
      <c r="P1444" s="348">
        <v>11.388</v>
      </c>
      <c r="Q1444" s="348">
        <v>1.8803145838984718</v>
      </c>
    </row>
    <row r="1445" spans="1:17" ht="15" hidden="1" customHeight="1">
      <c r="A1445" s="163">
        <v>1440</v>
      </c>
      <c r="B1445" s="53" t="s">
        <v>11320</v>
      </c>
      <c r="C1445" s="53" t="s">
        <v>1687</v>
      </c>
      <c r="D1445" s="53">
        <v>100029321</v>
      </c>
      <c r="E1445" s="55" t="s">
        <v>1688</v>
      </c>
      <c r="F1445" s="129">
        <v>6</v>
      </c>
      <c r="G1445" s="129">
        <v>72</v>
      </c>
      <c r="H1445" s="512">
        <v>130.32</v>
      </c>
      <c r="I1445" s="265" t="s">
        <v>76</v>
      </c>
      <c r="J1445" s="265" t="s">
        <v>102</v>
      </c>
      <c r="K1445" s="265" t="s">
        <v>1689</v>
      </c>
      <c r="L1445" s="348" t="s">
        <v>1205</v>
      </c>
      <c r="M1445" s="265" t="s">
        <v>1690</v>
      </c>
      <c r="N1445" s="347">
        <v>3.0819999999999999</v>
      </c>
      <c r="O1445" s="348" t="s">
        <v>1205</v>
      </c>
      <c r="P1445" s="348">
        <v>21.509999999999998</v>
      </c>
      <c r="Q1445" s="348">
        <v>3.6731726755225957</v>
      </c>
    </row>
    <row r="1446" spans="1:17" ht="15" hidden="1" customHeight="1">
      <c r="A1446" s="163">
        <v>1441</v>
      </c>
      <c r="B1446" s="53" t="s">
        <v>11320</v>
      </c>
      <c r="C1446" s="53" t="s">
        <v>1691</v>
      </c>
      <c r="D1446" s="53">
        <v>300005878</v>
      </c>
      <c r="E1446" s="55" t="s">
        <v>1692</v>
      </c>
      <c r="F1446" s="129">
        <v>4</v>
      </c>
      <c r="G1446" s="129">
        <v>48</v>
      </c>
      <c r="H1446" s="512">
        <v>664.96</v>
      </c>
      <c r="I1446" s="265" t="s">
        <v>1693</v>
      </c>
      <c r="J1446" s="265" t="s">
        <v>77</v>
      </c>
      <c r="K1446" s="265" t="s">
        <v>1694</v>
      </c>
      <c r="L1446" s="348" t="s">
        <v>1205</v>
      </c>
      <c r="M1446" s="265">
        <v>0</v>
      </c>
      <c r="N1446" s="347">
        <v>4.83</v>
      </c>
      <c r="O1446" s="348" t="s">
        <v>1205</v>
      </c>
      <c r="P1446" s="348">
        <v>19.32</v>
      </c>
      <c r="Q1446" s="348" t="s">
        <v>1205</v>
      </c>
    </row>
    <row r="1447" spans="1:17" ht="15" hidden="1" customHeight="1">
      <c r="A1447" s="163">
        <v>1442</v>
      </c>
      <c r="B1447" s="53" t="s">
        <v>11320</v>
      </c>
      <c r="C1447" s="53" t="s">
        <v>1695</v>
      </c>
      <c r="D1447" s="53">
        <v>100029322</v>
      </c>
      <c r="E1447" s="55" t="s">
        <v>1696</v>
      </c>
      <c r="F1447" s="129">
        <v>2</v>
      </c>
      <c r="G1447" s="129">
        <v>24</v>
      </c>
      <c r="H1447" s="512">
        <v>532.15</v>
      </c>
      <c r="I1447" s="265" t="s">
        <v>359</v>
      </c>
      <c r="J1447" s="265" t="s">
        <v>102</v>
      </c>
      <c r="K1447" s="265" t="s">
        <v>1697</v>
      </c>
      <c r="L1447" s="348" t="s">
        <v>1205</v>
      </c>
      <c r="M1447" s="265" t="s">
        <v>1698</v>
      </c>
      <c r="N1447" s="347">
        <v>6.74</v>
      </c>
      <c r="O1447" s="348" t="s">
        <v>1205</v>
      </c>
      <c r="P1447" s="348">
        <v>16.494</v>
      </c>
      <c r="Q1447" s="348">
        <v>3.6731726755225957</v>
      </c>
    </row>
    <row r="1448" spans="1:17" ht="15" hidden="1" customHeight="1">
      <c r="A1448" s="163">
        <v>1443</v>
      </c>
      <c r="B1448" s="53" t="s">
        <v>11320</v>
      </c>
      <c r="C1448" s="53" t="s">
        <v>1699</v>
      </c>
      <c r="D1448" s="53">
        <v>100030866</v>
      </c>
      <c r="E1448" s="55" t="s">
        <v>1700</v>
      </c>
      <c r="F1448" s="129">
        <v>24</v>
      </c>
      <c r="G1448" s="129">
        <v>768</v>
      </c>
      <c r="H1448" s="512">
        <v>49.01</v>
      </c>
      <c r="I1448" s="265" t="s">
        <v>359</v>
      </c>
      <c r="J1448" s="265" t="s">
        <v>102</v>
      </c>
      <c r="K1448" s="265" t="s">
        <v>1701</v>
      </c>
      <c r="L1448" s="348" t="s">
        <v>1205</v>
      </c>
      <c r="M1448" s="265" t="s">
        <v>1702</v>
      </c>
      <c r="N1448" s="347">
        <v>0.58599999999999997</v>
      </c>
      <c r="O1448" s="348" t="s">
        <v>1205</v>
      </c>
      <c r="P1448" s="348">
        <v>15.984000000000002</v>
      </c>
      <c r="Q1448" s="348">
        <v>2.7986077527791204</v>
      </c>
    </row>
    <row r="1449" spans="1:17" ht="15" hidden="1" customHeight="1">
      <c r="A1449" s="163">
        <v>1444</v>
      </c>
      <c r="B1449" s="53" t="s">
        <v>11320</v>
      </c>
      <c r="C1449" s="53" t="s">
        <v>1703</v>
      </c>
      <c r="D1449" s="53">
        <v>100029382</v>
      </c>
      <c r="E1449" s="55" t="s">
        <v>1704</v>
      </c>
      <c r="F1449" s="129">
        <v>18</v>
      </c>
      <c r="G1449" s="129">
        <v>216</v>
      </c>
      <c r="H1449" s="512">
        <v>50.3</v>
      </c>
      <c r="I1449" s="265" t="s">
        <v>76</v>
      </c>
      <c r="J1449" s="265" t="s">
        <v>102</v>
      </c>
      <c r="K1449" s="265" t="s">
        <v>1705</v>
      </c>
      <c r="L1449" s="348" t="s">
        <v>1205</v>
      </c>
      <c r="M1449" s="265" t="s">
        <v>1706</v>
      </c>
      <c r="N1449" s="347">
        <v>1.077</v>
      </c>
      <c r="O1449" s="348" t="s">
        <v>1205</v>
      </c>
      <c r="P1449" s="348">
        <v>22.428000000000001</v>
      </c>
      <c r="Q1449" s="348">
        <v>3.6731726755225957</v>
      </c>
    </row>
    <row r="1450" spans="1:17" ht="15" hidden="1" customHeight="1">
      <c r="A1450" s="163">
        <v>1445</v>
      </c>
      <c r="B1450" s="53" t="s">
        <v>11320</v>
      </c>
      <c r="C1450" s="53" t="s">
        <v>1707</v>
      </c>
      <c r="D1450" s="53">
        <v>300005528</v>
      </c>
      <c r="E1450" s="55" t="s">
        <v>1708</v>
      </c>
      <c r="F1450" s="129">
        <v>5</v>
      </c>
      <c r="G1450" s="129">
        <v>60</v>
      </c>
      <c r="H1450" s="512">
        <v>597.58000000000004</v>
      </c>
      <c r="I1450" s="265" t="s">
        <v>1693</v>
      </c>
      <c r="J1450" s="265" t="s">
        <v>77</v>
      </c>
      <c r="K1450" s="265" t="s">
        <v>1709</v>
      </c>
      <c r="L1450" s="348" t="s">
        <v>1205</v>
      </c>
      <c r="M1450" s="265">
        <v>0</v>
      </c>
      <c r="N1450" s="347">
        <v>3.12</v>
      </c>
      <c r="O1450" s="348" t="s">
        <v>1205</v>
      </c>
      <c r="P1450" s="348">
        <v>15.600000000000001</v>
      </c>
      <c r="Q1450" s="348" t="s">
        <v>1205</v>
      </c>
    </row>
    <row r="1451" spans="1:17" ht="15" hidden="1" customHeight="1">
      <c r="A1451" s="163">
        <v>1446</v>
      </c>
      <c r="B1451" s="53" t="s">
        <v>11320</v>
      </c>
      <c r="C1451" s="53" t="s">
        <v>1710</v>
      </c>
      <c r="D1451" s="53">
        <v>100029389</v>
      </c>
      <c r="E1451" s="55" t="s">
        <v>1711</v>
      </c>
      <c r="F1451" s="129">
        <v>2</v>
      </c>
      <c r="G1451" s="129">
        <v>36</v>
      </c>
      <c r="H1451" s="512">
        <v>344.78</v>
      </c>
      <c r="I1451" s="265" t="s">
        <v>76</v>
      </c>
      <c r="J1451" s="265" t="s">
        <v>102</v>
      </c>
      <c r="K1451" s="265" t="s">
        <v>1712</v>
      </c>
      <c r="L1451" s="348" t="s">
        <v>1205</v>
      </c>
      <c r="M1451" s="265" t="s">
        <v>1713</v>
      </c>
      <c r="N1451" s="347">
        <v>3.6760000000000002</v>
      </c>
      <c r="O1451" s="348" t="s">
        <v>1205</v>
      </c>
      <c r="P1451" s="348">
        <v>9.2040000000000006</v>
      </c>
      <c r="Q1451" s="348">
        <v>2.361325291407383</v>
      </c>
    </row>
    <row r="1452" spans="1:17" ht="15" hidden="1" customHeight="1">
      <c r="A1452" s="163">
        <v>1447</v>
      </c>
      <c r="B1452" s="53" t="s">
        <v>11320</v>
      </c>
      <c r="C1452" s="53" t="s">
        <v>1714</v>
      </c>
      <c r="D1452" s="53">
        <v>300005564</v>
      </c>
      <c r="E1452" s="55" t="s">
        <v>1715</v>
      </c>
      <c r="F1452" s="129">
        <v>4</v>
      </c>
      <c r="G1452" s="129">
        <v>30</v>
      </c>
      <c r="H1452" s="512">
        <v>758.47</v>
      </c>
      <c r="I1452" s="265" t="s">
        <v>1693</v>
      </c>
      <c r="J1452" s="265" t="s">
        <v>77</v>
      </c>
      <c r="K1452" s="265" t="s">
        <v>1716</v>
      </c>
      <c r="L1452" s="348" t="s">
        <v>1205</v>
      </c>
      <c r="M1452" s="265">
        <v>0</v>
      </c>
      <c r="N1452" s="347">
        <v>5.8</v>
      </c>
      <c r="O1452" s="348" t="s">
        <v>1205</v>
      </c>
      <c r="P1452" s="348">
        <v>23.2</v>
      </c>
      <c r="Q1452" s="348" t="s">
        <v>1205</v>
      </c>
    </row>
    <row r="1453" spans="1:17" ht="15" hidden="1" customHeight="1">
      <c r="A1453" s="163">
        <v>1448</v>
      </c>
      <c r="B1453" s="53" t="s">
        <v>11320</v>
      </c>
      <c r="C1453" s="53" t="s">
        <v>1717</v>
      </c>
      <c r="D1453" s="53">
        <v>300005574</v>
      </c>
      <c r="E1453" s="55" t="s">
        <v>1718</v>
      </c>
      <c r="F1453" s="129">
        <v>2</v>
      </c>
      <c r="G1453" s="129" t="s">
        <v>1205</v>
      </c>
      <c r="H1453" s="512">
        <v>778.71</v>
      </c>
      <c r="I1453" s="265" t="s">
        <v>1693</v>
      </c>
      <c r="J1453" s="265" t="s">
        <v>77</v>
      </c>
      <c r="K1453" s="265" t="s">
        <v>1719</v>
      </c>
      <c r="L1453" s="348" t="s">
        <v>1205</v>
      </c>
      <c r="M1453" s="265">
        <v>0</v>
      </c>
      <c r="N1453" s="347">
        <v>7.54</v>
      </c>
      <c r="O1453" s="348" t="s">
        <v>1205</v>
      </c>
      <c r="P1453" s="348">
        <v>15.08</v>
      </c>
      <c r="Q1453" s="348" t="s">
        <v>1205</v>
      </c>
    </row>
    <row r="1454" spans="1:17" ht="15" hidden="1" customHeight="1">
      <c r="A1454" s="163">
        <v>1449</v>
      </c>
      <c r="B1454" s="53" t="s">
        <v>11320</v>
      </c>
      <c r="C1454" s="53" t="s">
        <v>1720</v>
      </c>
      <c r="D1454" s="53">
        <v>300005549</v>
      </c>
      <c r="E1454" s="55" t="s">
        <v>1721</v>
      </c>
      <c r="F1454" s="129">
        <v>2</v>
      </c>
      <c r="G1454" s="129" t="s">
        <v>1205</v>
      </c>
      <c r="H1454" s="512">
        <v>2026.47</v>
      </c>
      <c r="I1454" s="265" t="s">
        <v>1693</v>
      </c>
      <c r="J1454" s="265" t="s">
        <v>77</v>
      </c>
      <c r="K1454" s="265" t="s">
        <v>1722</v>
      </c>
      <c r="L1454" s="348" t="s">
        <v>1205</v>
      </c>
      <c r="M1454" s="265">
        <v>0</v>
      </c>
      <c r="N1454" s="347">
        <v>9.6</v>
      </c>
      <c r="O1454" s="348" t="s">
        <v>1205</v>
      </c>
      <c r="P1454" s="348">
        <v>19.2</v>
      </c>
      <c r="Q1454" s="348" t="s">
        <v>1205</v>
      </c>
    </row>
    <row r="1455" spans="1:17" ht="15" hidden="1" customHeight="1">
      <c r="A1455" s="163">
        <v>1450</v>
      </c>
      <c r="B1455" s="53" t="s">
        <v>11320</v>
      </c>
      <c r="C1455" s="53" t="s">
        <v>1723</v>
      </c>
      <c r="D1455" s="53">
        <v>100029381</v>
      </c>
      <c r="E1455" s="55" t="s">
        <v>1724</v>
      </c>
      <c r="F1455" s="129">
        <v>12</v>
      </c>
      <c r="G1455" s="129">
        <v>216</v>
      </c>
      <c r="H1455" s="512">
        <v>92.12</v>
      </c>
      <c r="I1455" s="265" t="s">
        <v>76</v>
      </c>
      <c r="J1455" s="265" t="s">
        <v>102</v>
      </c>
      <c r="K1455" s="265" t="s">
        <v>1725</v>
      </c>
      <c r="L1455" s="348" t="s">
        <v>1205</v>
      </c>
      <c r="M1455" s="265" t="s">
        <v>1726</v>
      </c>
      <c r="N1455" s="347">
        <v>0.97599999999999998</v>
      </c>
      <c r="O1455" s="348" t="s">
        <v>1205</v>
      </c>
      <c r="P1455" s="348">
        <v>13.559999999999999</v>
      </c>
      <c r="Q1455" s="348">
        <v>2.361325291407383</v>
      </c>
    </row>
    <row r="1456" spans="1:17" ht="15" hidden="1" customHeight="1">
      <c r="A1456" s="163">
        <v>1451</v>
      </c>
      <c r="B1456" s="53" t="s">
        <v>11320</v>
      </c>
      <c r="C1456" s="53" t="s">
        <v>1727</v>
      </c>
      <c r="D1456" s="53">
        <v>100029136</v>
      </c>
      <c r="E1456" s="55" t="s">
        <v>1728</v>
      </c>
      <c r="F1456" s="129">
        <v>16</v>
      </c>
      <c r="G1456" s="129">
        <v>192</v>
      </c>
      <c r="H1456" s="512">
        <v>43.42</v>
      </c>
      <c r="I1456" s="265" t="s">
        <v>76</v>
      </c>
      <c r="J1456" s="265" t="s">
        <v>102</v>
      </c>
      <c r="K1456" s="265" t="s">
        <v>1729</v>
      </c>
      <c r="L1456" s="348" t="s">
        <v>1205</v>
      </c>
      <c r="M1456" s="265" t="s">
        <v>1730</v>
      </c>
      <c r="N1456" s="347">
        <v>1.1879999999999999</v>
      </c>
      <c r="O1456" s="348" t="s">
        <v>1205</v>
      </c>
      <c r="P1456" s="348">
        <v>22.047999999999998</v>
      </c>
      <c r="Q1456" s="348">
        <v>3.6731726755225957</v>
      </c>
    </row>
    <row r="1457" spans="1:17" ht="15" hidden="1" customHeight="1">
      <c r="A1457" s="163">
        <v>1452</v>
      </c>
      <c r="B1457" s="53" t="s">
        <v>11320</v>
      </c>
      <c r="C1457" s="53" t="s">
        <v>1731</v>
      </c>
      <c r="D1457" s="53">
        <v>100029358</v>
      </c>
      <c r="E1457" s="55" t="s">
        <v>1732</v>
      </c>
      <c r="F1457" s="129">
        <v>7</v>
      </c>
      <c r="G1457" s="129">
        <v>84</v>
      </c>
      <c r="H1457" s="512">
        <v>160.61000000000001</v>
      </c>
      <c r="I1457" s="265" t="s">
        <v>76</v>
      </c>
      <c r="J1457" s="265" t="s">
        <v>102</v>
      </c>
      <c r="K1457" s="265" t="s">
        <v>1733</v>
      </c>
      <c r="L1457" s="348" t="s">
        <v>1205</v>
      </c>
      <c r="M1457" s="265" t="s">
        <v>1734</v>
      </c>
      <c r="N1457" s="347">
        <v>3.09</v>
      </c>
      <c r="O1457" s="348" t="s">
        <v>1205</v>
      </c>
      <c r="P1457" s="348">
        <v>24.646999999999998</v>
      </c>
      <c r="Q1457" s="348">
        <v>3.6731726755225957</v>
      </c>
    </row>
    <row r="1458" spans="1:17" ht="15" hidden="1" customHeight="1">
      <c r="A1458" s="163">
        <v>1453</v>
      </c>
      <c r="B1458" s="53" t="s">
        <v>11320</v>
      </c>
      <c r="C1458" s="53" t="s">
        <v>1735</v>
      </c>
      <c r="D1458" s="53">
        <v>100029320</v>
      </c>
      <c r="E1458" s="55" t="s">
        <v>1736</v>
      </c>
      <c r="F1458" s="129">
        <v>4</v>
      </c>
      <c r="G1458" s="129">
        <v>48</v>
      </c>
      <c r="H1458" s="512">
        <v>184.24</v>
      </c>
      <c r="I1458" s="265" t="s">
        <v>76</v>
      </c>
      <c r="J1458" s="265" t="s">
        <v>102</v>
      </c>
      <c r="K1458" s="265" t="s">
        <v>1737</v>
      </c>
      <c r="L1458" s="348" t="s">
        <v>1205</v>
      </c>
      <c r="M1458" s="265" t="s">
        <v>1738</v>
      </c>
      <c r="N1458" s="347">
        <v>4.4420000000000002</v>
      </c>
      <c r="O1458" s="348" t="s">
        <v>1205</v>
      </c>
      <c r="P1458" s="348">
        <v>20.783999999999999</v>
      </c>
      <c r="Q1458" s="348">
        <v>3.6731726755225957</v>
      </c>
    </row>
    <row r="1459" spans="1:17" ht="15" hidden="1" customHeight="1">
      <c r="A1459" s="163">
        <v>1454</v>
      </c>
      <c r="B1459" s="53" t="s">
        <v>11320</v>
      </c>
      <c r="C1459" s="53" t="s">
        <v>1739</v>
      </c>
      <c r="D1459" s="53">
        <v>300005879</v>
      </c>
      <c r="E1459" s="55" t="s">
        <v>1740</v>
      </c>
      <c r="F1459" s="129">
        <v>3</v>
      </c>
      <c r="G1459" s="129">
        <v>36</v>
      </c>
      <c r="H1459" s="512">
        <v>685.31</v>
      </c>
      <c r="I1459" s="265" t="s">
        <v>1693</v>
      </c>
      <c r="J1459" s="265" t="s">
        <v>77</v>
      </c>
      <c r="K1459" s="265" t="s">
        <v>1741</v>
      </c>
      <c r="L1459" s="348" t="s">
        <v>1205</v>
      </c>
      <c r="M1459" s="265">
        <v>0</v>
      </c>
      <c r="N1459" s="347">
        <v>6.3</v>
      </c>
      <c r="O1459" s="348" t="s">
        <v>1205</v>
      </c>
      <c r="P1459" s="348">
        <v>18.899999999999999</v>
      </c>
      <c r="Q1459" s="348" t="s">
        <v>1205</v>
      </c>
    </row>
    <row r="1460" spans="1:17" ht="15" hidden="1" customHeight="1">
      <c r="A1460" s="163">
        <v>1455</v>
      </c>
      <c r="B1460" s="53" t="s">
        <v>11320</v>
      </c>
      <c r="C1460" s="53" t="s">
        <v>1742</v>
      </c>
      <c r="D1460" s="53">
        <v>300005881</v>
      </c>
      <c r="E1460" s="55" t="s">
        <v>1743</v>
      </c>
      <c r="F1460" s="129">
        <v>2</v>
      </c>
      <c r="G1460" s="129">
        <v>24</v>
      </c>
      <c r="H1460" s="512">
        <v>721.46</v>
      </c>
      <c r="I1460" s="265" t="s">
        <v>1693</v>
      </c>
      <c r="J1460" s="265" t="s">
        <v>77</v>
      </c>
      <c r="K1460" s="265" t="s">
        <v>1744</v>
      </c>
      <c r="L1460" s="348" t="s">
        <v>1205</v>
      </c>
      <c r="M1460" s="265">
        <v>0</v>
      </c>
      <c r="N1460" s="347">
        <v>7.04</v>
      </c>
      <c r="O1460" s="348" t="s">
        <v>1205</v>
      </c>
      <c r="P1460" s="348">
        <v>14.08</v>
      </c>
      <c r="Q1460" s="348" t="s">
        <v>1205</v>
      </c>
    </row>
    <row r="1461" spans="1:17" ht="15" hidden="1" customHeight="1">
      <c r="A1461" s="163">
        <v>1456</v>
      </c>
      <c r="B1461" s="53" t="s">
        <v>11320</v>
      </c>
      <c r="C1461" s="53" t="s">
        <v>1745</v>
      </c>
      <c r="D1461" s="53">
        <v>300005552</v>
      </c>
      <c r="E1461" s="55" t="s">
        <v>1746</v>
      </c>
      <c r="F1461" s="129">
        <v>2</v>
      </c>
      <c r="G1461" s="129" t="s">
        <v>1205</v>
      </c>
      <c r="H1461" s="512">
        <v>966.71</v>
      </c>
      <c r="I1461" s="265" t="s">
        <v>1693</v>
      </c>
      <c r="J1461" s="265" t="s">
        <v>77</v>
      </c>
      <c r="K1461" s="265" t="s">
        <v>1747</v>
      </c>
      <c r="L1461" s="348" t="s">
        <v>1205</v>
      </c>
      <c r="M1461" s="265">
        <v>0</v>
      </c>
      <c r="N1461" s="347">
        <v>11.84</v>
      </c>
      <c r="O1461" s="348" t="s">
        <v>1205</v>
      </c>
      <c r="P1461" s="348">
        <v>23.68</v>
      </c>
      <c r="Q1461" s="348" t="s">
        <v>1205</v>
      </c>
    </row>
    <row r="1462" spans="1:17" ht="15" hidden="1" customHeight="1">
      <c r="A1462" s="163">
        <v>1457</v>
      </c>
      <c r="B1462" s="53" t="s">
        <v>11320</v>
      </c>
      <c r="C1462" s="53" t="s">
        <v>1748</v>
      </c>
      <c r="D1462" s="53">
        <v>300005876</v>
      </c>
      <c r="E1462" s="55" t="s">
        <v>1749</v>
      </c>
      <c r="F1462" s="129">
        <v>4</v>
      </c>
      <c r="G1462" s="129">
        <v>48</v>
      </c>
      <c r="H1462" s="512">
        <v>253.86</v>
      </c>
      <c r="I1462" s="265" t="s">
        <v>1693</v>
      </c>
      <c r="J1462" s="265" t="s">
        <v>77</v>
      </c>
      <c r="K1462" s="265" t="s">
        <v>1750</v>
      </c>
      <c r="L1462" s="348" t="s">
        <v>1205</v>
      </c>
      <c r="M1462" s="265">
        <v>0</v>
      </c>
      <c r="N1462" s="347">
        <v>4.4000000000000004</v>
      </c>
      <c r="O1462" s="348" t="s">
        <v>1205</v>
      </c>
      <c r="P1462" s="348">
        <v>17.600000000000001</v>
      </c>
      <c r="Q1462" s="348" t="s">
        <v>1205</v>
      </c>
    </row>
    <row r="1463" spans="1:17" ht="15" hidden="1" customHeight="1">
      <c r="A1463" s="163">
        <v>1458</v>
      </c>
      <c r="B1463" s="53" t="s">
        <v>11320</v>
      </c>
      <c r="C1463" s="53" t="s">
        <v>1751</v>
      </c>
      <c r="D1463" s="53">
        <v>300005777</v>
      </c>
      <c r="E1463" s="55" t="s">
        <v>1752</v>
      </c>
      <c r="F1463" s="129">
        <v>3</v>
      </c>
      <c r="G1463" s="129">
        <v>54</v>
      </c>
      <c r="H1463" s="512">
        <v>881.81</v>
      </c>
      <c r="I1463" s="265" t="s">
        <v>1693</v>
      </c>
      <c r="J1463" s="265" t="s">
        <v>77</v>
      </c>
      <c r="K1463" s="265" t="s">
        <v>1753</v>
      </c>
      <c r="L1463" s="348" t="s">
        <v>1205</v>
      </c>
      <c r="M1463" s="265">
        <v>0</v>
      </c>
      <c r="N1463" s="347">
        <v>3.45</v>
      </c>
      <c r="O1463" s="348" t="s">
        <v>1205</v>
      </c>
      <c r="P1463" s="348">
        <v>10.350000000000001</v>
      </c>
      <c r="Q1463" s="348" t="s">
        <v>1205</v>
      </c>
    </row>
    <row r="1464" spans="1:17" ht="15" hidden="1" customHeight="1">
      <c r="A1464" s="163">
        <v>1459</v>
      </c>
      <c r="B1464" s="53" t="s">
        <v>11320</v>
      </c>
      <c r="C1464" s="53" t="s">
        <v>1754</v>
      </c>
      <c r="D1464" s="53">
        <v>300005779</v>
      </c>
      <c r="E1464" s="55" t="s">
        <v>1755</v>
      </c>
      <c r="F1464" s="129">
        <v>3</v>
      </c>
      <c r="G1464" s="129">
        <v>54</v>
      </c>
      <c r="H1464" s="512">
        <v>438.85</v>
      </c>
      <c r="I1464" s="265" t="s">
        <v>1693</v>
      </c>
      <c r="J1464" s="265" t="s">
        <v>77</v>
      </c>
      <c r="K1464" s="265" t="s">
        <v>1756</v>
      </c>
      <c r="L1464" s="348" t="s">
        <v>1205</v>
      </c>
      <c r="M1464" s="265">
        <v>0</v>
      </c>
      <c r="N1464" s="347">
        <v>2.88</v>
      </c>
      <c r="O1464" s="348" t="s">
        <v>1205</v>
      </c>
      <c r="P1464" s="348">
        <v>8.64</v>
      </c>
      <c r="Q1464" s="348" t="s">
        <v>1205</v>
      </c>
    </row>
    <row r="1465" spans="1:17" ht="15" hidden="1" customHeight="1">
      <c r="A1465" s="163">
        <v>1460</v>
      </c>
      <c r="B1465" s="53" t="s">
        <v>11320</v>
      </c>
      <c r="C1465" s="53" t="s">
        <v>1757</v>
      </c>
      <c r="D1465" s="53">
        <v>100029419</v>
      </c>
      <c r="E1465" s="55" t="s">
        <v>1758</v>
      </c>
      <c r="F1465" s="129">
        <v>10</v>
      </c>
      <c r="G1465" s="129">
        <v>180</v>
      </c>
      <c r="H1465" s="512">
        <v>89.86</v>
      </c>
      <c r="I1465" s="265" t="s">
        <v>76</v>
      </c>
      <c r="J1465" s="265" t="s">
        <v>102</v>
      </c>
      <c r="K1465" s="265" t="s">
        <v>1759</v>
      </c>
      <c r="L1465" s="348" t="s">
        <v>1205</v>
      </c>
      <c r="M1465" s="265" t="s">
        <v>1760</v>
      </c>
      <c r="N1465" s="347">
        <v>1.226</v>
      </c>
      <c r="O1465" s="348" t="s">
        <v>1205</v>
      </c>
      <c r="P1465" s="348">
        <v>14.030000000000001</v>
      </c>
      <c r="Q1465" s="348">
        <v>2.361325291407383</v>
      </c>
    </row>
    <row r="1466" spans="1:17" ht="15" hidden="1" customHeight="1">
      <c r="A1466" s="163">
        <v>1461</v>
      </c>
      <c r="B1466" s="53" t="s">
        <v>11320</v>
      </c>
      <c r="C1466" s="53" t="s">
        <v>1761</v>
      </c>
      <c r="D1466" s="53">
        <v>300005515</v>
      </c>
      <c r="E1466" s="55" t="s">
        <v>1762</v>
      </c>
      <c r="F1466" s="129">
        <v>3</v>
      </c>
      <c r="G1466" s="129" t="s">
        <v>1205</v>
      </c>
      <c r="H1466" s="512">
        <v>1545.9</v>
      </c>
      <c r="I1466" s="265" t="s">
        <v>1693</v>
      </c>
      <c r="J1466" s="265" t="s">
        <v>77</v>
      </c>
      <c r="K1466" s="265">
        <v>0</v>
      </c>
      <c r="L1466" s="348" t="s">
        <v>1205</v>
      </c>
      <c r="M1466" s="265">
        <v>0</v>
      </c>
      <c r="N1466" s="347">
        <v>4.68</v>
      </c>
      <c r="O1466" s="348" t="s">
        <v>1205</v>
      </c>
      <c r="P1466" s="348">
        <v>14.04</v>
      </c>
      <c r="Q1466" s="348" t="s">
        <v>1205</v>
      </c>
    </row>
    <row r="1467" spans="1:17" ht="15" hidden="1" customHeight="1">
      <c r="A1467" s="163">
        <v>1462</v>
      </c>
      <c r="B1467" s="53" t="s">
        <v>11320</v>
      </c>
      <c r="C1467" s="53" t="s">
        <v>1763</v>
      </c>
      <c r="D1467" s="53">
        <v>300005743</v>
      </c>
      <c r="E1467" s="55" t="s">
        <v>1764</v>
      </c>
      <c r="F1467" s="129">
        <v>30</v>
      </c>
      <c r="G1467" s="129">
        <v>480</v>
      </c>
      <c r="H1467" s="512">
        <v>284.31</v>
      </c>
      <c r="I1467" s="265" t="s">
        <v>359</v>
      </c>
      <c r="J1467" s="265" t="s">
        <v>77</v>
      </c>
      <c r="K1467" s="265">
        <v>0</v>
      </c>
      <c r="L1467" s="348" t="s">
        <v>1205</v>
      </c>
      <c r="M1467" s="265">
        <v>0</v>
      </c>
      <c r="N1467" s="347">
        <v>2.54</v>
      </c>
      <c r="O1467" s="348" t="s">
        <v>1205</v>
      </c>
      <c r="P1467" s="348">
        <v>76.2</v>
      </c>
      <c r="Q1467" s="348" t="s">
        <v>1205</v>
      </c>
    </row>
    <row r="1468" spans="1:17" ht="15" hidden="1" customHeight="1">
      <c r="A1468" s="163">
        <v>1463</v>
      </c>
      <c r="B1468" s="53" t="s">
        <v>11320</v>
      </c>
      <c r="C1468" s="53" t="s">
        <v>1765</v>
      </c>
      <c r="D1468" s="53">
        <v>100030934</v>
      </c>
      <c r="E1468" s="55" t="s">
        <v>1766</v>
      </c>
      <c r="F1468" s="129">
        <v>24</v>
      </c>
      <c r="G1468" s="129">
        <v>576</v>
      </c>
      <c r="H1468" s="512">
        <v>79</v>
      </c>
      <c r="I1468" s="265" t="s">
        <v>76</v>
      </c>
      <c r="J1468" s="265" t="s">
        <v>102</v>
      </c>
      <c r="K1468" s="265" t="s">
        <v>1767</v>
      </c>
      <c r="L1468" s="348" t="s">
        <v>1205</v>
      </c>
      <c r="M1468" s="265" t="s">
        <v>1768</v>
      </c>
      <c r="N1468" s="347">
        <v>1</v>
      </c>
      <c r="O1468" s="348" t="s">
        <v>1205</v>
      </c>
      <c r="P1468" s="348">
        <v>26.208000000000002</v>
      </c>
      <c r="Q1468" s="348">
        <v>1.8803145838984718</v>
      </c>
    </row>
    <row r="1469" spans="1:17" ht="15" hidden="1" customHeight="1">
      <c r="A1469" s="163">
        <v>1464</v>
      </c>
      <c r="B1469" s="53" t="s">
        <v>11320</v>
      </c>
      <c r="C1469" s="53" t="s">
        <v>1769</v>
      </c>
      <c r="D1469" s="53">
        <v>100030936</v>
      </c>
      <c r="E1469" s="55" t="s">
        <v>1770</v>
      </c>
      <c r="F1469" s="129">
        <v>16</v>
      </c>
      <c r="G1469" s="129">
        <v>192</v>
      </c>
      <c r="H1469" s="512">
        <v>273.19</v>
      </c>
      <c r="I1469" s="265" t="s">
        <v>76</v>
      </c>
      <c r="J1469" s="265" t="s">
        <v>102</v>
      </c>
      <c r="K1469" s="265" t="s">
        <v>1771</v>
      </c>
      <c r="L1469" s="348" t="s">
        <v>1205</v>
      </c>
      <c r="M1469" s="265" t="s">
        <v>1772</v>
      </c>
      <c r="N1469" s="347">
        <v>2.0539999999999998</v>
      </c>
      <c r="O1469" s="348" t="s">
        <v>1205</v>
      </c>
      <c r="P1469" s="348">
        <v>35.904000000000003</v>
      </c>
      <c r="Q1469" s="348">
        <v>3.6731726755225957</v>
      </c>
    </row>
    <row r="1470" spans="1:17" ht="15" hidden="1" customHeight="1">
      <c r="A1470" s="163">
        <v>1465</v>
      </c>
      <c r="B1470" s="53" t="s">
        <v>11320</v>
      </c>
      <c r="C1470" s="53" t="s">
        <v>1773</v>
      </c>
      <c r="D1470" s="53">
        <v>300005480</v>
      </c>
      <c r="E1470" s="55" t="s">
        <v>1774</v>
      </c>
      <c r="F1470" s="129">
        <v>24</v>
      </c>
      <c r="G1470" s="129" t="s">
        <v>1205</v>
      </c>
      <c r="H1470" s="512">
        <v>160.66999999999999</v>
      </c>
      <c r="I1470" s="265" t="s">
        <v>1693</v>
      </c>
      <c r="J1470" s="265" t="s">
        <v>77</v>
      </c>
      <c r="K1470" s="265" t="s">
        <v>1775</v>
      </c>
      <c r="L1470" s="348" t="s">
        <v>1205</v>
      </c>
      <c r="M1470" s="265">
        <v>0</v>
      </c>
      <c r="N1470" s="347">
        <v>0.34</v>
      </c>
      <c r="O1470" s="348" t="s">
        <v>1205</v>
      </c>
      <c r="P1470" s="348">
        <v>8.16</v>
      </c>
      <c r="Q1470" s="348" t="s">
        <v>1205</v>
      </c>
    </row>
    <row r="1471" spans="1:17" ht="15" hidden="1" customHeight="1">
      <c r="A1471" s="163">
        <v>1466</v>
      </c>
      <c r="B1471" s="53" t="s">
        <v>11320</v>
      </c>
      <c r="C1471" s="53" t="s">
        <v>1776</v>
      </c>
      <c r="D1471" s="53">
        <v>300005752</v>
      </c>
      <c r="E1471" s="55" t="s">
        <v>1777</v>
      </c>
      <c r="F1471" s="129">
        <v>25</v>
      </c>
      <c r="G1471" s="129">
        <v>2400</v>
      </c>
      <c r="H1471" s="512">
        <v>73.34</v>
      </c>
      <c r="I1471" s="265" t="s">
        <v>1693</v>
      </c>
      <c r="J1471" s="265" t="s">
        <v>77</v>
      </c>
      <c r="K1471" s="265" t="s">
        <v>1778</v>
      </c>
      <c r="L1471" s="348" t="s">
        <v>1205</v>
      </c>
      <c r="M1471" s="265" t="s">
        <v>1779</v>
      </c>
      <c r="N1471" s="347">
        <v>0.33</v>
      </c>
      <c r="O1471" s="348" t="s">
        <v>1205</v>
      </c>
      <c r="P1471" s="348">
        <v>8.25</v>
      </c>
      <c r="Q1471" s="348" t="s">
        <v>1205</v>
      </c>
    </row>
    <row r="1472" spans="1:17" ht="15" hidden="1" customHeight="1">
      <c r="A1472" s="163">
        <v>1467</v>
      </c>
      <c r="B1472" s="53" t="s">
        <v>11320</v>
      </c>
      <c r="C1472" s="53" t="s">
        <v>1780</v>
      </c>
      <c r="D1472" s="53">
        <v>100030860</v>
      </c>
      <c r="E1472" s="55" t="s">
        <v>1781</v>
      </c>
      <c r="F1472" s="129">
        <v>25</v>
      </c>
      <c r="G1472" s="129">
        <v>1800</v>
      </c>
      <c r="H1472" s="512">
        <v>29.94</v>
      </c>
      <c r="I1472" s="265" t="s">
        <v>76</v>
      </c>
      <c r="J1472" s="265" t="s">
        <v>102</v>
      </c>
      <c r="K1472" s="265" t="s">
        <v>1782</v>
      </c>
      <c r="L1472" s="348" t="s">
        <v>1205</v>
      </c>
      <c r="M1472" s="265" t="s">
        <v>1783</v>
      </c>
      <c r="N1472" s="347">
        <v>0.216</v>
      </c>
      <c r="O1472" s="348" t="s">
        <v>1205</v>
      </c>
      <c r="P1472" s="348">
        <v>6.6000000000000005</v>
      </c>
      <c r="Q1472" s="348">
        <v>0.98955954024750914</v>
      </c>
    </row>
    <row r="1473" spans="1:17" ht="15" hidden="1" customHeight="1">
      <c r="A1473" s="163">
        <v>1468</v>
      </c>
      <c r="B1473" s="53" t="s">
        <v>11320</v>
      </c>
      <c r="C1473" s="53" t="s">
        <v>1784</v>
      </c>
      <c r="D1473" s="53">
        <v>300005499</v>
      </c>
      <c r="E1473" s="55" t="s">
        <v>1785</v>
      </c>
      <c r="F1473" s="129">
        <v>10</v>
      </c>
      <c r="G1473" s="129">
        <v>400</v>
      </c>
      <c r="H1473" s="512">
        <v>235.85</v>
      </c>
      <c r="I1473" s="265" t="s">
        <v>359</v>
      </c>
      <c r="J1473" s="265" t="s">
        <v>77</v>
      </c>
      <c r="K1473" s="265" t="s">
        <v>1786</v>
      </c>
      <c r="L1473" s="348" t="s">
        <v>1205</v>
      </c>
      <c r="M1473" s="265">
        <v>0</v>
      </c>
      <c r="N1473" s="347">
        <v>1.5920000000000001</v>
      </c>
      <c r="O1473" s="348" t="s">
        <v>1205</v>
      </c>
      <c r="P1473" s="348">
        <v>15.920000000000002</v>
      </c>
      <c r="Q1473" s="348" t="s">
        <v>1205</v>
      </c>
    </row>
    <row r="1474" spans="1:17" ht="15" hidden="1" customHeight="1">
      <c r="A1474" s="163">
        <v>1469</v>
      </c>
      <c r="B1474" s="53" t="s">
        <v>11320</v>
      </c>
      <c r="C1474" s="53" t="s">
        <v>1787</v>
      </c>
      <c r="D1474" s="53">
        <v>100029436</v>
      </c>
      <c r="E1474" s="55" t="s">
        <v>1788</v>
      </c>
      <c r="F1474" s="129">
        <v>24</v>
      </c>
      <c r="G1474" s="129">
        <v>768</v>
      </c>
      <c r="H1474" s="512">
        <v>24.54</v>
      </c>
      <c r="I1474" s="265" t="s">
        <v>76</v>
      </c>
      <c r="J1474" s="265" t="s">
        <v>102</v>
      </c>
      <c r="K1474" s="265" t="s">
        <v>1789</v>
      </c>
      <c r="L1474" s="348" t="s">
        <v>1205</v>
      </c>
      <c r="M1474" s="265" t="s">
        <v>1790</v>
      </c>
      <c r="N1474" s="347">
        <v>0.59399999999999997</v>
      </c>
      <c r="O1474" s="348" t="s">
        <v>1205</v>
      </c>
      <c r="P1474" s="348">
        <v>16.344000000000001</v>
      </c>
      <c r="Q1474" s="348">
        <v>1.3788503419060438</v>
      </c>
    </row>
    <row r="1475" spans="1:17" ht="15" hidden="1" customHeight="1">
      <c r="A1475" s="163">
        <v>1470</v>
      </c>
      <c r="B1475" s="53" t="s">
        <v>11320</v>
      </c>
      <c r="C1475" s="53" t="s">
        <v>1791</v>
      </c>
      <c r="D1475" s="53">
        <v>300005634</v>
      </c>
      <c r="E1475" s="55" t="s">
        <v>1792</v>
      </c>
      <c r="F1475" s="129">
        <v>20</v>
      </c>
      <c r="G1475" s="129">
        <v>360</v>
      </c>
      <c r="H1475" s="512">
        <v>302.61</v>
      </c>
      <c r="I1475" s="265" t="s">
        <v>1693</v>
      </c>
      <c r="J1475" s="265" t="s">
        <v>77</v>
      </c>
      <c r="K1475" s="265" t="s">
        <v>1793</v>
      </c>
      <c r="L1475" s="348" t="s">
        <v>1205</v>
      </c>
      <c r="M1475" s="265" t="s">
        <v>1794</v>
      </c>
      <c r="N1475" s="347">
        <v>1.1850000000000001</v>
      </c>
      <c r="O1475" s="348" t="s">
        <v>1205</v>
      </c>
      <c r="P1475" s="348">
        <v>23.700000000000003</v>
      </c>
      <c r="Q1475" s="348" t="s">
        <v>1205</v>
      </c>
    </row>
    <row r="1476" spans="1:17" ht="15" hidden="1" customHeight="1">
      <c r="A1476" s="163">
        <v>1471</v>
      </c>
      <c r="B1476" s="53" t="s">
        <v>11320</v>
      </c>
      <c r="C1476" s="53" t="s">
        <v>1795</v>
      </c>
      <c r="D1476" s="53">
        <v>300005547</v>
      </c>
      <c r="E1476" s="55" t="s">
        <v>1796</v>
      </c>
      <c r="F1476" s="129">
        <v>8</v>
      </c>
      <c r="G1476" s="129" t="s">
        <v>1205</v>
      </c>
      <c r="H1476" s="512">
        <v>1778.22</v>
      </c>
      <c r="I1476" s="265" t="s">
        <v>1693</v>
      </c>
      <c r="J1476" s="265" t="s">
        <v>77</v>
      </c>
      <c r="K1476" s="265" t="s">
        <v>1797</v>
      </c>
      <c r="L1476" s="348" t="s">
        <v>1205</v>
      </c>
      <c r="M1476" s="265">
        <v>0</v>
      </c>
      <c r="N1476" s="347">
        <v>4.63</v>
      </c>
      <c r="O1476" s="348" t="s">
        <v>1205</v>
      </c>
      <c r="P1476" s="348">
        <v>37.04</v>
      </c>
      <c r="Q1476" s="348" t="s">
        <v>1205</v>
      </c>
    </row>
    <row r="1477" spans="1:17" ht="15" hidden="1" customHeight="1">
      <c r="A1477" s="163">
        <v>1472</v>
      </c>
      <c r="B1477" s="53" t="s">
        <v>11320</v>
      </c>
      <c r="C1477" s="53" t="s">
        <v>1798</v>
      </c>
      <c r="D1477" s="53">
        <v>100029139</v>
      </c>
      <c r="E1477" s="55" t="s">
        <v>1799</v>
      </c>
      <c r="F1477" s="129">
        <v>24</v>
      </c>
      <c r="G1477" s="129">
        <v>768</v>
      </c>
      <c r="H1477" s="512">
        <v>31.29</v>
      </c>
      <c r="I1477" s="265" t="s">
        <v>76</v>
      </c>
      <c r="J1477" s="265" t="s">
        <v>102</v>
      </c>
      <c r="K1477" s="265" t="s">
        <v>1800</v>
      </c>
      <c r="L1477" s="348" t="s">
        <v>1205</v>
      </c>
      <c r="M1477" s="265" t="s">
        <v>1801</v>
      </c>
      <c r="N1477" s="347">
        <v>0.59299999999999997</v>
      </c>
      <c r="O1477" s="348" t="s">
        <v>1205</v>
      </c>
      <c r="P1477" s="348">
        <v>16.295999999999999</v>
      </c>
      <c r="Q1477" s="348">
        <v>1.3788503419060438</v>
      </c>
    </row>
    <row r="1478" spans="1:17" ht="15" hidden="1" customHeight="1">
      <c r="A1478" s="163">
        <v>1473</v>
      </c>
      <c r="B1478" s="53" t="s">
        <v>11320</v>
      </c>
      <c r="C1478" s="53" t="s">
        <v>1802</v>
      </c>
      <c r="D1478" s="53">
        <v>100029418</v>
      </c>
      <c r="E1478" s="55" t="s">
        <v>1803</v>
      </c>
      <c r="F1478" s="129">
        <v>16</v>
      </c>
      <c r="G1478" s="129">
        <v>288</v>
      </c>
      <c r="H1478" s="512">
        <v>147.84</v>
      </c>
      <c r="I1478" s="265" t="s">
        <v>76</v>
      </c>
      <c r="J1478" s="265" t="s">
        <v>102</v>
      </c>
      <c r="K1478" s="265" t="s">
        <v>1804</v>
      </c>
      <c r="L1478" s="348" t="s">
        <v>1205</v>
      </c>
      <c r="M1478" s="265" t="s">
        <v>1805</v>
      </c>
      <c r="N1478" s="347">
        <v>1.2689999999999999</v>
      </c>
      <c r="O1478" s="348" t="s">
        <v>1205</v>
      </c>
      <c r="P1478" s="348">
        <v>21.968</v>
      </c>
      <c r="Q1478" s="348">
        <v>2.361325291407383</v>
      </c>
    </row>
    <row r="1479" spans="1:17" ht="15" hidden="1" customHeight="1">
      <c r="A1479" s="163">
        <v>1474</v>
      </c>
      <c r="B1479" s="53" t="s">
        <v>11320</v>
      </c>
      <c r="C1479" s="53" t="s">
        <v>1806</v>
      </c>
      <c r="D1479" s="53">
        <v>300005546</v>
      </c>
      <c r="E1479" s="55" t="s">
        <v>1807</v>
      </c>
      <c r="F1479" s="129">
        <v>8</v>
      </c>
      <c r="G1479" s="129" t="s">
        <v>1205</v>
      </c>
      <c r="H1479" s="512">
        <v>929.48</v>
      </c>
      <c r="I1479" s="265" t="s">
        <v>1693</v>
      </c>
      <c r="J1479" s="265" t="s">
        <v>77</v>
      </c>
      <c r="K1479" s="265" t="s">
        <v>1808</v>
      </c>
      <c r="L1479" s="348" t="s">
        <v>1205</v>
      </c>
      <c r="M1479" s="265">
        <v>0</v>
      </c>
      <c r="N1479" s="347">
        <v>2.2599999999999998</v>
      </c>
      <c r="O1479" s="348" t="s">
        <v>1205</v>
      </c>
      <c r="P1479" s="348">
        <v>18.079999999999998</v>
      </c>
      <c r="Q1479" s="348" t="s">
        <v>1205</v>
      </c>
    </row>
    <row r="1480" spans="1:17" ht="15" hidden="1" customHeight="1">
      <c r="A1480" s="163">
        <v>1475</v>
      </c>
      <c r="B1480" s="53" t="s">
        <v>11320</v>
      </c>
      <c r="C1480" s="53" t="s">
        <v>1809</v>
      </c>
      <c r="D1480" s="53">
        <v>300005744</v>
      </c>
      <c r="E1480" s="55" t="s">
        <v>1810</v>
      </c>
      <c r="F1480" s="129">
        <v>30</v>
      </c>
      <c r="G1480" s="129" t="s">
        <v>1205</v>
      </c>
      <c r="H1480" s="512">
        <v>168.13</v>
      </c>
      <c r="I1480" s="265" t="s">
        <v>1693</v>
      </c>
      <c r="J1480" s="265" t="s">
        <v>77</v>
      </c>
      <c r="K1480" s="265" t="s">
        <v>1811</v>
      </c>
      <c r="L1480" s="348" t="s">
        <v>1205</v>
      </c>
      <c r="M1480" s="265">
        <v>0</v>
      </c>
      <c r="N1480" s="347">
        <v>0.86</v>
      </c>
      <c r="O1480" s="348" t="s">
        <v>1205</v>
      </c>
      <c r="P1480" s="348">
        <v>25.8</v>
      </c>
      <c r="Q1480" s="348" t="s">
        <v>1205</v>
      </c>
    </row>
    <row r="1481" spans="1:17" ht="15" hidden="1" customHeight="1">
      <c r="A1481" s="163">
        <v>1476</v>
      </c>
      <c r="B1481" s="53" t="s">
        <v>11320</v>
      </c>
      <c r="C1481" s="53" t="s">
        <v>1812</v>
      </c>
      <c r="D1481" s="53">
        <v>300005513</v>
      </c>
      <c r="E1481" s="55" t="s">
        <v>1813</v>
      </c>
      <c r="F1481" s="129">
        <v>3</v>
      </c>
      <c r="G1481" s="129" t="s">
        <v>1205</v>
      </c>
      <c r="H1481" s="512">
        <v>1001.74</v>
      </c>
      <c r="I1481" s="265" t="s">
        <v>1693</v>
      </c>
      <c r="J1481" s="265" t="s">
        <v>77</v>
      </c>
      <c r="K1481" s="265" t="s">
        <v>1814</v>
      </c>
      <c r="L1481" s="348" t="s">
        <v>1205</v>
      </c>
      <c r="M1481" s="265">
        <v>0</v>
      </c>
      <c r="N1481" s="347">
        <v>2.601</v>
      </c>
      <c r="O1481" s="348" t="s">
        <v>1205</v>
      </c>
      <c r="P1481" s="348">
        <v>7.8029999999999999</v>
      </c>
      <c r="Q1481" s="348" t="s">
        <v>1205</v>
      </c>
    </row>
    <row r="1482" spans="1:17" ht="15" hidden="1" customHeight="1">
      <c r="A1482" s="163">
        <v>1477</v>
      </c>
      <c r="B1482" s="53" t="s">
        <v>11320</v>
      </c>
      <c r="C1482" s="53" t="s">
        <v>1815</v>
      </c>
      <c r="D1482" s="53">
        <v>300005746</v>
      </c>
      <c r="E1482" s="55" t="s">
        <v>1816</v>
      </c>
      <c r="F1482" s="129">
        <v>50</v>
      </c>
      <c r="G1482" s="129">
        <v>4800</v>
      </c>
      <c r="H1482" s="512">
        <v>35.79</v>
      </c>
      <c r="I1482" s="265" t="s">
        <v>1693</v>
      </c>
      <c r="J1482" s="265" t="s">
        <v>77</v>
      </c>
      <c r="K1482" s="265">
        <v>0</v>
      </c>
      <c r="L1482" s="348" t="s">
        <v>1205</v>
      </c>
      <c r="M1482" s="265">
        <v>0</v>
      </c>
      <c r="N1482" s="347">
        <v>0.37</v>
      </c>
      <c r="O1482" s="348" t="s">
        <v>1205</v>
      </c>
      <c r="P1482" s="348">
        <v>18.5</v>
      </c>
      <c r="Q1482" s="348" t="s">
        <v>1205</v>
      </c>
    </row>
    <row r="1483" spans="1:17" ht="15" hidden="1" customHeight="1">
      <c r="A1483" s="163">
        <v>1478</v>
      </c>
      <c r="B1483" s="53" t="s">
        <v>11320</v>
      </c>
      <c r="C1483" s="53" t="s">
        <v>1817</v>
      </c>
      <c r="D1483" s="53">
        <v>100030874</v>
      </c>
      <c r="E1483" s="55" t="s">
        <v>1818</v>
      </c>
      <c r="F1483" s="129">
        <v>40</v>
      </c>
      <c r="G1483" s="129">
        <v>2880</v>
      </c>
      <c r="H1483" s="512">
        <v>25.93</v>
      </c>
      <c r="I1483" s="265" t="s">
        <v>359</v>
      </c>
      <c r="J1483" s="265" t="s">
        <v>102</v>
      </c>
      <c r="K1483" s="265" t="s">
        <v>1819</v>
      </c>
      <c r="L1483" s="348" t="s">
        <v>1205</v>
      </c>
      <c r="M1483" s="265" t="s">
        <v>1820</v>
      </c>
      <c r="N1483" s="347">
        <v>0.32</v>
      </c>
      <c r="O1483" s="348" t="s">
        <v>1205</v>
      </c>
      <c r="P1483" s="348">
        <v>14</v>
      </c>
      <c r="Q1483" s="348">
        <v>0.98955954024750914</v>
      </c>
    </row>
    <row r="1484" spans="1:17" ht="15" hidden="1" customHeight="1">
      <c r="A1484" s="163">
        <v>1479</v>
      </c>
      <c r="B1484" s="53" t="s">
        <v>11320</v>
      </c>
      <c r="C1484" s="53" t="s">
        <v>1821</v>
      </c>
      <c r="D1484" s="53">
        <v>300005506</v>
      </c>
      <c r="E1484" s="55" t="s">
        <v>1822</v>
      </c>
      <c r="F1484" s="129">
        <v>30</v>
      </c>
      <c r="G1484" s="129">
        <v>1350</v>
      </c>
      <c r="H1484" s="512">
        <v>251.52</v>
      </c>
      <c r="I1484" s="265" t="s">
        <v>1693</v>
      </c>
      <c r="J1484" s="265" t="s">
        <v>77</v>
      </c>
      <c r="K1484" s="265" t="s">
        <v>1823</v>
      </c>
      <c r="L1484" s="348" t="s">
        <v>1205</v>
      </c>
      <c r="M1484" s="265">
        <v>0</v>
      </c>
      <c r="N1484" s="347">
        <v>1.33</v>
      </c>
      <c r="O1484" s="348" t="s">
        <v>1205</v>
      </c>
      <c r="P1484" s="348">
        <v>39.900000000000006</v>
      </c>
      <c r="Q1484" s="348" t="s">
        <v>1205</v>
      </c>
    </row>
    <row r="1485" spans="1:17" ht="15" hidden="1" customHeight="1">
      <c r="A1485" s="163">
        <v>1480</v>
      </c>
      <c r="B1485" s="53" t="s">
        <v>11320</v>
      </c>
      <c r="C1485" s="53" t="s">
        <v>1824</v>
      </c>
      <c r="D1485" s="53">
        <v>300005749</v>
      </c>
      <c r="E1485" s="55" t="s">
        <v>1825</v>
      </c>
      <c r="F1485" s="129">
        <v>36</v>
      </c>
      <c r="G1485" s="129" t="s">
        <v>1205</v>
      </c>
      <c r="H1485" s="512">
        <v>46.56</v>
      </c>
      <c r="I1485" s="265" t="s">
        <v>1693</v>
      </c>
      <c r="J1485" s="265" t="s">
        <v>77</v>
      </c>
      <c r="K1485" s="265" t="s">
        <v>1826</v>
      </c>
      <c r="L1485" s="348" t="s">
        <v>1205</v>
      </c>
      <c r="M1485" s="265">
        <v>0</v>
      </c>
      <c r="N1485" s="347">
        <v>0.2</v>
      </c>
      <c r="O1485" s="348" t="s">
        <v>1205</v>
      </c>
      <c r="P1485" s="348">
        <v>7.2</v>
      </c>
      <c r="Q1485" s="348" t="s">
        <v>1205</v>
      </c>
    </row>
    <row r="1486" spans="1:17" ht="15" hidden="1" customHeight="1">
      <c r="A1486" s="163">
        <v>1481</v>
      </c>
      <c r="B1486" s="53" t="s">
        <v>11320</v>
      </c>
      <c r="C1486" s="53" t="s">
        <v>1827</v>
      </c>
      <c r="D1486" s="53">
        <v>100029462</v>
      </c>
      <c r="E1486" s="55" t="s">
        <v>1828</v>
      </c>
      <c r="F1486" s="129">
        <v>25</v>
      </c>
      <c r="G1486" s="129">
        <v>1800</v>
      </c>
      <c r="H1486" s="512">
        <v>24.43</v>
      </c>
      <c r="I1486" s="265" t="s">
        <v>76</v>
      </c>
      <c r="J1486" s="265" t="s">
        <v>102</v>
      </c>
      <c r="K1486" s="265" t="s">
        <v>1829</v>
      </c>
      <c r="L1486" s="348" t="s">
        <v>1205</v>
      </c>
      <c r="M1486" s="265" t="s">
        <v>1830</v>
      </c>
      <c r="N1486" s="347">
        <v>0.38600000000000001</v>
      </c>
      <c r="O1486" s="348" t="s">
        <v>1205</v>
      </c>
      <c r="P1486" s="348">
        <v>11.824999999999999</v>
      </c>
      <c r="Q1486" s="348">
        <v>1.8803145838984718</v>
      </c>
    </row>
    <row r="1487" spans="1:17" ht="15" hidden="1" customHeight="1">
      <c r="A1487" s="163">
        <v>1482</v>
      </c>
      <c r="B1487" s="53" t="s">
        <v>11320</v>
      </c>
      <c r="C1487" s="53" t="s">
        <v>1831</v>
      </c>
      <c r="D1487" s="53">
        <v>100029542</v>
      </c>
      <c r="E1487" s="55" t="s">
        <v>1832</v>
      </c>
      <c r="F1487" s="129">
        <v>25</v>
      </c>
      <c r="G1487" s="129">
        <v>1000</v>
      </c>
      <c r="H1487" s="512">
        <v>43.8</v>
      </c>
      <c r="I1487" s="265" t="s">
        <v>76</v>
      </c>
      <c r="J1487" s="265" t="s">
        <v>102</v>
      </c>
      <c r="K1487" s="265" t="s">
        <v>1833</v>
      </c>
      <c r="L1487" s="348" t="s">
        <v>1205</v>
      </c>
      <c r="M1487" s="265" t="s">
        <v>1834</v>
      </c>
      <c r="N1487" s="347">
        <v>0.47399999999999998</v>
      </c>
      <c r="O1487" s="348" t="s">
        <v>1205</v>
      </c>
      <c r="P1487" s="348">
        <v>14.025000000000002</v>
      </c>
      <c r="Q1487" s="348">
        <v>1.8803145838984718</v>
      </c>
    </row>
    <row r="1488" spans="1:17" ht="15" hidden="1" customHeight="1">
      <c r="A1488" s="163">
        <v>1483</v>
      </c>
      <c r="B1488" s="53" t="s">
        <v>11320</v>
      </c>
      <c r="C1488" s="53" t="s">
        <v>1835</v>
      </c>
      <c r="D1488" s="53">
        <v>300005588</v>
      </c>
      <c r="E1488" s="55" t="s">
        <v>1836</v>
      </c>
      <c r="F1488" s="129">
        <v>15</v>
      </c>
      <c r="G1488" s="129">
        <v>675</v>
      </c>
      <c r="H1488" s="512">
        <v>380.95</v>
      </c>
      <c r="I1488" s="265" t="s">
        <v>359</v>
      </c>
      <c r="J1488" s="265" t="s">
        <v>77</v>
      </c>
      <c r="K1488" s="265" t="s">
        <v>1837</v>
      </c>
      <c r="L1488" s="348" t="s">
        <v>1205</v>
      </c>
      <c r="M1488" s="265">
        <v>0</v>
      </c>
      <c r="N1488" s="347">
        <v>1.2</v>
      </c>
      <c r="O1488" s="348" t="s">
        <v>1205</v>
      </c>
      <c r="P1488" s="348">
        <v>18</v>
      </c>
      <c r="Q1488" s="348" t="s">
        <v>1205</v>
      </c>
    </row>
    <row r="1489" spans="1:17" ht="15" hidden="1" customHeight="1">
      <c r="A1489" s="163">
        <v>1484</v>
      </c>
      <c r="B1489" s="53" t="s">
        <v>11320</v>
      </c>
      <c r="C1489" s="53" t="s">
        <v>1838</v>
      </c>
      <c r="D1489" s="53">
        <v>300005748</v>
      </c>
      <c r="E1489" s="55" t="s">
        <v>1839</v>
      </c>
      <c r="F1489" s="129">
        <v>50</v>
      </c>
      <c r="G1489" s="129">
        <v>2000</v>
      </c>
      <c r="H1489" s="512">
        <v>60.17</v>
      </c>
      <c r="I1489" s="265" t="s">
        <v>359</v>
      </c>
      <c r="J1489" s="265" t="s">
        <v>77</v>
      </c>
      <c r="K1489" s="265" t="s">
        <v>1840</v>
      </c>
      <c r="L1489" s="348" t="s">
        <v>1205</v>
      </c>
      <c r="M1489" s="265" t="s">
        <v>1841</v>
      </c>
      <c r="N1489" s="347">
        <v>0.2</v>
      </c>
      <c r="O1489" s="348" t="s">
        <v>1205</v>
      </c>
      <c r="P1489" s="348">
        <v>10</v>
      </c>
      <c r="Q1489" s="348" t="s">
        <v>1205</v>
      </c>
    </row>
    <row r="1490" spans="1:17" ht="15" hidden="1" customHeight="1">
      <c r="A1490" s="163">
        <v>1485</v>
      </c>
      <c r="B1490" s="53" t="s">
        <v>11320</v>
      </c>
      <c r="C1490" s="53" t="s">
        <v>1842</v>
      </c>
      <c r="D1490" s="53">
        <v>100030862</v>
      </c>
      <c r="E1490" s="55" t="s">
        <v>1843</v>
      </c>
      <c r="F1490" s="129">
        <v>50</v>
      </c>
      <c r="G1490" s="129">
        <v>2000</v>
      </c>
      <c r="H1490" s="512">
        <v>32.450000000000003</v>
      </c>
      <c r="I1490" s="265" t="s">
        <v>76</v>
      </c>
      <c r="J1490" s="265" t="s">
        <v>102</v>
      </c>
      <c r="K1490" s="265" t="s">
        <v>1844</v>
      </c>
      <c r="L1490" s="348" t="s">
        <v>1205</v>
      </c>
      <c r="M1490" s="265" t="s">
        <v>1845</v>
      </c>
      <c r="N1490" s="347">
        <v>0.371</v>
      </c>
      <c r="O1490" s="348" t="s">
        <v>1205</v>
      </c>
      <c r="P1490" s="348">
        <v>20.45</v>
      </c>
      <c r="Q1490" s="348">
        <v>2.7986077527791204</v>
      </c>
    </row>
    <row r="1491" spans="1:17" ht="15" hidden="1" customHeight="1">
      <c r="A1491" s="163">
        <v>1486</v>
      </c>
      <c r="B1491" s="53" t="s">
        <v>11320</v>
      </c>
      <c r="C1491" s="53" t="s">
        <v>1846</v>
      </c>
      <c r="D1491" s="53">
        <v>300005478</v>
      </c>
      <c r="E1491" s="55" t="s">
        <v>1847</v>
      </c>
      <c r="F1491" s="129">
        <v>65</v>
      </c>
      <c r="G1491" s="129" t="s">
        <v>1205</v>
      </c>
      <c r="H1491" s="512">
        <v>89.04</v>
      </c>
      <c r="I1491" s="265" t="s">
        <v>1693</v>
      </c>
      <c r="J1491" s="265" t="s">
        <v>77</v>
      </c>
      <c r="K1491" s="265" t="s">
        <v>1848</v>
      </c>
      <c r="L1491" s="348" t="s">
        <v>1205</v>
      </c>
      <c r="M1491" s="265">
        <v>0</v>
      </c>
      <c r="N1491" s="347">
        <v>0.5</v>
      </c>
      <c r="O1491" s="348" t="s">
        <v>1205</v>
      </c>
      <c r="P1491" s="348">
        <v>32.5</v>
      </c>
      <c r="Q1491" s="348" t="s">
        <v>1205</v>
      </c>
    </row>
    <row r="1492" spans="1:17" ht="15" hidden="1" customHeight="1">
      <c r="A1492" s="163">
        <v>1487</v>
      </c>
      <c r="B1492" s="53" t="s">
        <v>11320</v>
      </c>
      <c r="C1492" s="53" t="s">
        <v>1849</v>
      </c>
      <c r="D1492" s="53">
        <v>100029445</v>
      </c>
      <c r="E1492" s="55" t="s">
        <v>1850</v>
      </c>
      <c r="F1492" s="129">
        <v>25</v>
      </c>
      <c r="G1492" s="129">
        <v>1000</v>
      </c>
      <c r="H1492" s="512">
        <v>51.3</v>
      </c>
      <c r="I1492" s="265" t="s">
        <v>76</v>
      </c>
      <c r="J1492" s="265" t="s">
        <v>102</v>
      </c>
      <c r="K1492" s="265" t="s">
        <v>1851</v>
      </c>
      <c r="L1492" s="348" t="s">
        <v>1205</v>
      </c>
      <c r="M1492" s="265" t="s">
        <v>1852</v>
      </c>
      <c r="N1492" s="347">
        <v>0.39</v>
      </c>
      <c r="O1492" s="348" t="s">
        <v>1205</v>
      </c>
      <c r="P1492" s="348">
        <v>11.600000000000001</v>
      </c>
      <c r="Q1492" s="348">
        <v>2.361325291407383</v>
      </c>
    </row>
    <row r="1493" spans="1:17" ht="15" hidden="1" customHeight="1">
      <c r="A1493" s="163">
        <v>1488</v>
      </c>
      <c r="B1493" s="53" t="s">
        <v>11320</v>
      </c>
      <c r="C1493" s="53" t="s">
        <v>1853</v>
      </c>
      <c r="D1493" s="53">
        <v>300005488</v>
      </c>
      <c r="E1493" s="55" t="s">
        <v>1854</v>
      </c>
      <c r="F1493" s="129">
        <v>30</v>
      </c>
      <c r="G1493" s="129">
        <v>1200</v>
      </c>
      <c r="H1493" s="512">
        <v>44.22</v>
      </c>
      <c r="I1493" s="265" t="s">
        <v>1693</v>
      </c>
      <c r="J1493" s="265" t="s">
        <v>77</v>
      </c>
      <c r="K1493" s="265" t="s">
        <v>1855</v>
      </c>
      <c r="L1493" s="348" t="s">
        <v>1205</v>
      </c>
      <c r="M1493" s="265">
        <v>0</v>
      </c>
      <c r="N1493" s="347">
        <v>0.74099999999999999</v>
      </c>
      <c r="O1493" s="348" t="s">
        <v>1205</v>
      </c>
      <c r="P1493" s="348">
        <v>22.23</v>
      </c>
      <c r="Q1493" s="348" t="s">
        <v>1205</v>
      </c>
    </row>
    <row r="1494" spans="1:17" ht="15" hidden="1" customHeight="1">
      <c r="A1494" s="163">
        <v>1489</v>
      </c>
      <c r="B1494" s="53" t="s">
        <v>11320</v>
      </c>
      <c r="C1494" s="53" t="s">
        <v>1856</v>
      </c>
      <c r="D1494" s="53">
        <v>100030932</v>
      </c>
      <c r="E1494" s="55" t="s">
        <v>1857</v>
      </c>
      <c r="F1494" s="129">
        <v>22</v>
      </c>
      <c r="G1494" s="129">
        <v>528</v>
      </c>
      <c r="H1494" s="512">
        <v>32.22</v>
      </c>
      <c r="I1494" s="265" t="s">
        <v>76</v>
      </c>
      <c r="J1494" s="265" t="s">
        <v>102</v>
      </c>
      <c r="K1494" s="265" t="s">
        <v>1858</v>
      </c>
      <c r="L1494" s="348" t="s">
        <v>1205</v>
      </c>
      <c r="M1494" s="265" t="s">
        <v>1859</v>
      </c>
      <c r="N1494" s="347">
        <v>0.41599999999999998</v>
      </c>
      <c r="O1494" s="348" t="s">
        <v>1205</v>
      </c>
      <c r="P1494" s="348">
        <v>11.308</v>
      </c>
      <c r="Q1494" s="348">
        <v>1.8803145838984718</v>
      </c>
    </row>
    <row r="1495" spans="1:17" ht="15" hidden="1" customHeight="1">
      <c r="A1495" s="163">
        <v>1490</v>
      </c>
      <c r="B1495" s="53" t="s">
        <v>11320</v>
      </c>
      <c r="C1495" s="53" t="s">
        <v>1860</v>
      </c>
      <c r="D1495" s="53">
        <v>100029391</v>
      </c>
      <c r="E1495" s="55" t="s">
        <v>1861</v>
      </c>
      <c r="F1495" s="129">
        <v>12</v>
      </c>
      <c r="G1495" s="129">
        <v>144</v>
      </c>
      <c r="H1495" s="512">
        <v>133.43</v>
      </c>
      <c r="I1495" s="265" t="s">
        <v>76</v>
      </c>
      <c r="J1495" s="265" t="s">
        <v>102</v>
      </c>
      <c r="K1495" s="265" t="s">
        <v>1862</v>
      </c>
      <c r="L1495" s="348" t="s">
        <v>1205</v>
      </c>
      <c r="M1495" s="265" t="s">
        <v>1863</v>
      </c>
      <c r="N1495" s="347">
        <v>1.5</v>
      </c>
      <c r="O1495" s="348" t="s">
        <v>1205</v>
      </c>
      <c r="P1495" s="348">
        <v>21</v>
      </c>
      <c r="Q1495" s="348">
        <v>3.6731726755225957</v>
      </c>
    </row>
    <row r="1496" spans="1:17" ht="15" hidden="1" customHeight="1">
      <c r="A1496" s="163">
        <v>1491</v>
      </c>
      <c r="B1496" s="53" t="s">
        <v>11320</v>
      </c>
      <c r="C1496" s="53" t="s">
        <v>1864</v>
      </c>
      <c r="D1496" s="53">
        <v>300005539</v>
      </c>
      <c r="E1496" s="55" t="s">
        <v>1865</v>
      </c>
      <c r="F1496" s="129">
        <v>4</v>
      </c>
      <c r="G1496" s="129" t="s">
        <v>1205</v>
      </c>
      <c r="H1496" s="512">
        <v>339.56</v>
      </c>
      <c r="I1496" s="265" t="s">
        <v>1693</v>
      </c>
      <c r="J1496" s="265" t="s">
        <v>77</v>
      </c>
      <c r="K1496" s="265" t="s">
        <v>1866</v>
      </c>
      <c r="L1496" s="348" t="s">
        <v>1205</v>
      </c>
      <c r="M1496" s="265">
        <v>0</v>
      </c>
      <c r="N1496" s="347">
        <v>7.8019999999999996</v>
      </c>
      <c r="O1496" s="348" t="s">
        <v>1205</v>
      </c>
      <c r="P1496" s="348">
        <v>31.207999999999998</v>
      </c>
      <c r="Q1496" s="348" t="s">
        <v>1205</v>
      </c>
    </row>
    <row r="1497" spans="1:17" ht="15" hidden="1" customHeight="1">
      <c r="A1497" s="163">
        <v>1492</v>
      </c>
      <c r="B1497" s="53" t="s">
        <v>11320</v>
      </c>
      <c r="C1497" s="53" t="s">
        <v>1867</v>
      </c>
      <c r="D1497" s="53">
        <v>300005745</v>
      </c>
      <c r="E1497" s="55" t="s">
        <v>1868</v>
      </c>
      <c r="F1497" s="129">
        <v>25</v>
      </c>
      <c r="G1497" s="129">
        <v>1800</v>
      </c>
      <c r="H1497" s="512">
        <v>69.569999999999993</v>
      </c>
      <c r="I1497" s="265" t="s">
        <v>359</v>
      </c>
      <c r="J1497" s="265" t="s">
        <v>77</v>
      </c>
      <c r="K1497" s="265">
        <v>0</v>
      </c>
      <c r="L1497" s="348" t="s">
        <v>1205</v>
      </c>
      <c r="M1497" s="265">
        <v>0</v>
      </c>
      <c r="N1497" s="347">
        <v>1</v>
      </c>
      <c r="O1497" s="348" t="s">
        <v>1205</v>
      </c>
      <c r="P1497" s="348">
        <v>25</v>
      </c>
      <c r="Q1497" s="348" t="s">
        <v>1205</v>
      </c>
    </row>
    <row r="1498" spans="1:17" ht="15" hidden="1" customHeight="1">
      <c r="A1498" s="163">
        <v>1493</v>
      </c>
      <c r="B1498" s="53" t="s">
        <v>11320</v>
      </c>
      <c r="C1498" s="53" t="s">
        <v>1869</v>
      </c>
      <c r="D1498" s="53">
        <v>100030873</v>
      </c>
      <c r="E1498" s="55" t="s">
        <v>1870</v>
      </c>
      <c r="F1498" s="129">
        <v>48</v>
      </c>
      <c r="G1498" s="129">
        <v>576</v>
      </c>
      <c r="H1498" s="512">
        <v>26.13</v>
      </c>
      <c r="I1498" s="265" t="s">
        <v>76</v>
      </c>
      <c r="J1498" s="265" t="s">
        <v>102</v>
      </c>
      <c r="K1498" s="265" t="s">
        <v>1871</v>
      </c>
      <c r="L1498" s="348" t="s">
        <v>1205</v>
      </c>
      <c r="M1498" s="265" t="s">
        <v>1872</v>
      </c>
      <c r="N1498" s="347">
        <v>0.41199999999999998</v>
      </c>
      <c r="O1498" s="348" t="s">
        <v>1205</v>
      </c>
      <c r="P1498" s="348">
        <v>22.799999999999997</v>
      </c>
      <c r="Q1498" s="348">
        <v>3.6731726755225957</v>
      </c>
    </row>
    <row r="1499" spans="1:17" ht="15" hidden="1" customHeight="1">
      <c r="A1499" s="163">
        <v>1494</v>
      </c>
      <c r="B1499" s="53" t="s">
        <v>11320</v>
      </c>
      <c r="C1499" s="53" t="s">
        <v>1873</v>
      </c>
      <c r="D1499" s="53">
        <v>100029390</v>
      </c>
      <c r="E1499" s="55" t="s">
        <v>1874</v>
      </c>
      <c r="F1499" s="129">
        <v>10</v>
      </c>
      <c r="G1499" s="129">
        <v>180</v>
      </c>
      <c r="H1499" s="512">
        <v>114.37</v>
      </c>
      <c r="I1499" s="265" t="s">
        <v>76</v>
      </c>
      <c r="J1499" s="265" t="s">
        <v>102</v>
      </c>
      <c r="K1499" s="265" t="s">
        <v>1875</v>
      </c>
      <c r="L1499" s="348" t="s">
        <v>1205</v>
      </c>
      <c r="M1499" s="265" t="s">
        <v>1876</v>
      </c>
      <c r="N1499" s="347">
        <v>1.5880000000000001</v>
      </c>
      <c r="O1499" s="348" t="s">
        <v>1205</v>
      </c>
      <c r="P1499" s="348">
        <v>17.73</v>
      </c>
      <c r="Q1499" s="348">
        <v>2.361325291407383</v>
      </c>
    </row>
    <row r="1500" spans="1:17" ht="15" hidden="1" customHeight="1">
      <c r="A1500" s="163">
        <v>1495</v>
      </c>
      <c r="B1500" s="53" t="s">
        <v>11320</v>
      </c>
      <c r="C1500" s="53" t="s">
        <v>1877</v>
      </c>
      <c r="D1500" s="53">
        <v>300005538</v>
      </c>
      <c r="E1500" s="55" t="s">
        <v>1878</v>
      </c>
      <c r="F1500" s="129">
        <v>4</v>
      </c>
      <c r="G1500" s="129" t="s">
        <v>1205</v>
      </c>
      <c r="H1500" s="512">
        <v>520.42999999999995</v>
      </c>
      <c r="I1500" s="265" t="s">
        <v>1693</v>
      </c>
      <c r="J1500" s="265" t="s">
        <v>77</v>
      </c>
      <c r="K1500" s="265" t="s">
        <v>1879</v>
      </c>
      <c r="L1500" s="348" t="s">
        <v>1205</v>
      </c>
      <c r="M1500" s="265">
        <v>0</v>
      </c>
      <c r="N1500" s="347">
        <v>3.56</v>
      </c>
      <c r="O1500" s="348" t="s">
        <v>1205</v>
      </c>
      <c r="P1500" s="348">
        <v>14.24</v>
      </c>
      <c r="Q1500" s="348" t="s">
        <v>1205</v>
      </c>
    </row>
    <row r="1501" spans="1:17" ht="15" hidden="1" customHeight="1">
      <c r="A1501" s="163">
        <v>1496</v>
      </c>
      <c r="B1501" s="53" t="s">
        <v>11320</v>
      </c>
      <c r="C1501" s="53" t="s">
        <v>1880</v>
      </c>
      <c r="D1501" s="53">
        <v>100029135</v>
      </c>
      <c r="E1501" s="55" t="s">
        <v>1881</v>
      </c>
      <c r="F1501" s="129">
        <v>30</v>
      </c>
      <c r="G1501" s="129">
        <v>360</v>
      </c>
      <c r="H1501" s="512">
        <v>23.78</v>
      </c>
      <c r="I1501" s="265" t="s">
        <v>76</v>
      </c>
      <c r="J1501" s="265" t="s">
        <v>102</v>
      </c>
      <c r="K1501" s="265" t="s">
        <v>1882</v>
      </c>
      <c r="L1501" s="348" t="s">
        <v>1205</v>
      </c>
      <c r="M1501" s="265" t="s">
        <v>1883</v>
      </c>
      <c r="N1501" s="347">
        <v>0.52200000000000002</v>
      </c>
      <c r="O1501" s="348" t="s">
        <v>1205</v>
      </c>
      <c r="P1501" s="348">
        <v>17.549999999999997</v>
      </c>
      <c r="Q1501" s="348">
        <v>2.7986077527791204</v>
      </c>
    </row>
    <row r="1502" spans="1:17" ht="15" hidden="1" customHeight="1">
      <c r="A1502" s="163">
        <v>1497</v>
      </c>
      <c r="B1502" s="53" t="s">
        <v>11320</v>
      </c>
      <c r="C1502" s="53" t="s">
        <v>1884</v>
      </c>
      <c r="D1502" s="53">
        <v>100029370</v>
      </c>
      <c r="E1502" s="55" t="s">
        <v>1885</v>
      </c>
      <c r="F1502" s="129">
        <v>12</v>
      </c>
      <c r="G1502" s="129">
        <v>144</v>
      </c>
      <c r="H1502" s="512">
        <v>93.84</v>
      </c>
      <c r="I1502" s="265" t="s">
        <v>76</v>
      </c>
      <c r="J1502" s="265" t="s">
        <v>102</v>
      </c>
      <c r="K1502" s="265" t="s">
        <v>1886</v>
      </c>
      <c r="L1502" s="348" t="s">
        <v>1205</v>
      </c>
      <c r="M1502" s="265" t="s">
        <v>1887</v>
      </c>
      <c r="N1502" s="347">
        <v>1.9179999999999999</v>
      </c>
      <c r="O1502" s="348" t="s">
        <v>1205</v>
      </c>
      <c r="P1502" s="348">
        <v>26.016000000000002</v>
      </c>
      <c r="Q1502" s="348">
        <v>3.6731726755225957</v>
      </c>
    </row>
    <row r="1503" spans="1:17" ht="15" hidden="1" customHeight="1">
      <c r="A1503" s="163">
        <v>1498</v>
      </c>
      <c r="B1503" s="53" t="s">
        <v>11320</v>
      </c>
      <c r="C1503" s="53" t="s">
        <v>1888</v>
      </c>
      <c r="D1503" s="53">
        <v>300005542</v>
      </c>
      <c r="E1503" s="55" t="s">
        <v>1889</v>
      </c>
      <c r="F1503" s="129">
        <v>4</v>
      </c>
      <c r="G1503" s="129" t="s">
        <v>1205</v>
      </c>
      <c r="H1503" s="512">
        <v>699.73</v>
      </c>
      <c r="I1503" s="265" t="s">
        <v>1693</v>
      </c>
      <c r="J1503" s="265" t="s">
        <v>77</v>
      </c>
      <c r="K1503" s="265" t="s">
        <v>1890</v>
      </c>
      <c r="L1503" s="348" t="s">
        <v>1205</v>
      </c>
      <c r="M1503" s="265">
        <v>0</v>
      </c>
      <c r="N1503" s="347">
        <v>4.0999999999999996</v>
      </c>
      <c r="O1503" s="348" t="s">
        <v>1205</v>
      </c>
      <c r="P1503" s="348">
        <v>16.399999999999999</v>
      </c>
      <c r="Q1503" s="348" t="s">
        <v>1205</v>
      </c>
    </row>
    <row r="1504" spans="1:17" ht="15" hidden="1" customHeight="1">
      <c r="A1504" s="163">
        <v>1499</v>
      </c>
      <c r="B1504" s="53" t="s">
        <v>11320</v>
      </c>
      <c r="C1504" s="53" t="s">
        <v>1891</v>
      </c>
      <c r="D1504" s="53">
        <v>300005195</v>
      </c>
      <c r="E1504" s="55" t="s">
        <v>1892</v>
      </c>
      <c r="F1504" s="129">
        <v>30</v>
      </c>
      <c r="G1504" s="129">
        <v>1200</v>
      </c>
      <c r="H1504" s="512">
        <v>56.99</v>
      </c>
      <c r="I1504" s="265" t="s">
        <v>1693</v>
      </c>
      <c r="J1504" s="265" t="s">
        <v>77</v>
      </c>
      <c r="K1504" s="265" t="s">
        <v>1893</v>
      </c>
      <c r="L1504" s="348" t="s">
        <v>1205</v>
      </c>
      <c r="M1504" s="265" t="s">
        <v>1894</v>
      </c>
      <c r="N1504" s="347">
        <v>1</v>
      </c>
      <c r="O1504" s="348" t="s">
        <v>1205</v>
      </c>
      <c r="P1504" s="348">
        <v>30</v>
      </c>
      <c r="Q1504" s="348" t="s">
        <v>1205</v>
      </c>
    </row>
    <row r="1505" spans="1:17" ht="15" hidden="1" customHeight="1">
      <c r="A1505" s="163">
        <v>1500</v>
      </c>
      <c r="B1505" s="53" t="s">
        <v>11320</v>
      </c>
      <c r="C1505" s="53" t="s">
        <v>1895</v>
      </c>
      <c r="D1505" s="53">
        <v>100030933</v>
      </c>
      <c r="E1505" s="55" t="s">
        <v>1896</v>
      </c>
      <c r="F1505" s="129">
        <v>30</v>
      </c>
      <c r="G1505" s="129">
        <v>360</v>
      </c>
      <c r="H1505" s="512">
        <v>32.22</v>
      </c>
      <c r="I1505" s="265" t="s">
        <v>76</v>
      </c>
      <c r="J1505" s="265" t="s">
        <v>102</v>
      </c>
      <c r="K1505" s="265" t="s">
        <v>1897</v>
      </c>
      <c r="L1505" s="348" t="s">
        <v>1205</v>
      </c>
      <c r="M1505" s="265" t="s">
        <v>1898</v>
      </c>
      <c r="N1505" s="347">
        <v>0.48</v>
      </c>
      <c r="O1505" s="348" t="s">
        <v>1205</v>
      </c>
      <c r="P1505" s="348">
        <v>16.290000000000003</v>
      </c>
      <c r="Q1505" s="348">
        <v>2.7986077527791204</v>
      </c>
    </row>
    <row r="1506" spans="1:17" ht="15" hidden="1" customHeight="1">
      <c r="A1506" s="163">
        <v>1501</v>
      </c>
      <c r="B1506" s="53" t="s">
        <v>11320</v>
      </c>
      <c r="C1506" s="53" t="s">
        <v>1899</v>
      </c>
      <c r="D1506" s="53">
        <v>100029371</v>
      </c>
      <c r="E1506" s="55" t="s">
        <v>1900</v>
      </c>
      <c r="F1506" s="129">
        <v>12</v>
      </c>
      <c r="G1506" s="129">
        <v>144</v>
      </c>
      <c r="H1506" s="512">
        <v>119.79</v>
      </c>
      <c r="I1506" s="265" t="s">
        <v>359</v>
      </c>
      <c r="J1506" s="265" t="s">
        <v>102</v>
      </c>
      <c r="K1506" s="265" t="s">
        <v>1901</v>
      </c>
      <c r="L1506" s="348" t="s">
        <v>1205</v>
      </c>
      <c r="M1506" s="265" t="s">
        <v>1902</v>
      </c>
      <c r="N1506" s="347">
        <v>2.1</v>
      </c>
      <c r="O1506" s="348" t="s">
        <v>1205</v>
      </c>
      <c r="P1506" s="348">
        <v>28.200000000000003</v>
      </c>
      <c r="Q1506" s="348">
        <v>3.6731726755225957</v>
      </c>
    </row>
    <row r="1507" spans="1:17" ht="15" hidden="1" customHeight="1">
      <c r="A1507" s="163">
        <v>1502</v>
      </c>
      <c r="B1507" s="53" t="s">
        <v>11320</v>
      </c>
      <c r="C1507" s="53" t="s">
        <v>1903</v>
      </c>
      <c r="D1507" s="53">
        <v>300005543</v>
      </c>
      <c r="E1507" s="55" t="s">
        <v>1904</v>
      </c>
      <c r="F1507" s="129">
        <v>4</v>
      </c>
      <c r="G1507" s="129" t="s">
        <v>1205</v>
      </c>
      <c r="H1507" s="512">
        <v>550.96</v>
      </c>
      <c r="I1507" s="265" t="s">
        <v>1693</v>
      </c>
      <c r="J1507" s="265" t="s">
        <v>77</v>
      </c>
      <c r="K1507" s="265" t="s">
        <v>1905</v>
      </c>
      <c r="L1507" s="348" t="s">
        <v>1205</v>
      </c>
      <c r="M1507" s="265">
        <v>0</v>
      </c>
      <c r="N1507" s="347">
        <v>6.2759999999999998</v>
      </c>
      <c r="O1507" s="348" t="s">
        <v>1205</v>
      </c>
      <c r="P1507" s="348">
        <v>25.103999999999999</v>
      </c>
      <c r="Q1507" s="348" t="s">
        <v>1205</v>
      </c>
    </row>
    <row r="1508" spans="1:17" ht="15" hidden="1" customHeight="1">
      <c r="A1508" s="163">
        <v>1503</v>
      </c>
      <c r="B1508" s="53" t="s">
        <v>11320</v>
      </c>
      <c r="C1508" s="53" t="s">
        <v>1906</v>
      </c>
      <c r="D1508" s="53">
        <v>100030764</v>
      </c>
      <c r="E1508" s="55" t="s">
        <v>1907</v>
      </c>
      <c r="F1508" s="129">
        <v>25</v>
      </c>
      <c r="G1508" s="129">
        <v>480</v>
      </c>
      <c r="H1508" s="512">
        <v>25.1</v>
      </c>
      <c r="I1508" s="265" t="s">
        <v>359</v>
      </c>
      <c r="J1508" s="265" t="s">
        <v>102</v>
      </c>
      <c r="K1508" s="265" t="s">
        <v>1908</v>
      </c>
      <c r="L1508" s="348" t="s">
        <v>1205</v>
      </c>
      <c r="M1508" s="265" t="s">
        <v>1909</v>
      </c>
      <c r="N1508" s="347">
        <v>0.49099999999999999</v>
      </c>
      <c r="O1508" s="348" t="s">
        <v>1205</v>
      </c>
      <c r="P1508" s="348">
        <v>14.45</v>
      </c>
      <c r="Q1508" s="348">
        <v>1.8803145838984718</v>
      </c>
    </row>
    <row r="1509" spans="1:17" ht="15" hidden="1" customHeight="1">
      <c r="A1509" s="163">
        <v>1504</v>
      </c>
      <c r="B1509" s="53" t="s">
        <v>11320</v>
      </c>
      <c r="C1509" s="53" t="s">
        <v>1910</v>
      </c>
      <c r="D1509" s="53">
        <v>100029426</v>
      </c>
      <c r="E1509" s="55" t="s">
        <v>1911</v>
      </c>
      <c r="F1509" s="129">
        <v>16</v>
      </c>
      <c r="G1509" s="129">
        <v>288</v>
      </c>
      <c r="H1509" s="512">
        <v>32.68</v>
      </c>
      <c r="I1509" s="265" t="s">
        <v>76</v>
      </c>
      <c r="J1509" s="265" t="s">
        <v>102</v>
      </c>
      <c r="K1509" s="265" t="s">
        <v>1912</v>
      </c>
      <c r="L1509" s="348" t="s">
        <v>1205</v>
      </c>
      <c r="M1509" s="265" t="s">
        <v>1913</v>
      </c>
      <c r="N1509" s="347">
        <v>0.75700000000000001</v>
      </c>
      <c r="O1509" s="348" t="s">
        <v>1205</v>
      </c>
      <c r="P1509" s="348">
        <v>13.984</v>
      </c>
      <c r="Q1509" s="348">
        <v>2.361325291407383</v>
      </c>
    </row>
    <row r="1510" spans="1:17" ht="15" hidden="1" customHeight="1">
      <c r="A1510" s="163">
        <v>1505</v>
      </c>
      <c r="B1510" s="53" t="s">
        <v>11320</v>
      </c>
      <c r="C1510" s="53" t="s">
        <v>1914</v>
      </c>
      <c r="D1510" s="53">
        <v>300005511</v>
      </c>
      <c r="E1510" s="55" t="s">
        <v>1915</v>
      </c>
      <c r="F1510" s="129">
        <v>8</v>
      </c>
      <c r="G1510" s="129">
        <v>128</v>
      </c>
      <c r="H1510" s="512">
        <v>439.04</v>
      </c>
      <c r="I1510" s="265" t="s">
        <v>1693</v>
      </c>
      <c r="J1510" s="265" t="s">
        <v>77</v>
      </c>
      <c r="K1510" s="265" t="s">
        <v>1916</v>
      </c>
      <c r="L1510" s="348" t="s">
        <v>1205</v>
      </c>
      <c r="M1510" s="265" t="s">
        <v>1917</v>
      </c>
      <c r="N1510" s="347">
        <v>3</v>
      </c>
      <c r="O1510" s="348" t="s">
        <v>1205</v>
      </c>
      <c r="P1510" s="348">
        <v>24</v>
      </c>
      <c r="Q1510" s="348" t="s">
        <v>1205</v>
      </c>
    </row>
    <row r="1511" spans="1:17" ht="15" hidden="1" customHeight="1">
      <c r="A1511" s="163">
        <v>1506</v>
      </c>
      <c r="B1511" s="53" t="s">
        <v>11320</v>
      </c>
      <c r="C1511" s="53" t="s">
        <v>1918</v>
      </c>
      <c r="D1511" s="53">
        <v>300005544</v>
      </c>
      <c r="E1511" s="55" t="s">
        <v>1919</v>
      </c>
      <c r="F1511" s="129">
        <v>2</v>
      </c>
      <c r="G1511" s="129" t="s">
        <v>1205</v>
      </c>
      <c r="H1511" s="512">
        <v>720.32</v>
      </c>
      <c r="I1511" s="265" t="s">
        <v>1693</v>
      </c>
      <c r="J1511" s="265" t="s">
        <v>77</v>
      </c>
      <c r="K1511" s="265" t="s">
        <v>1920</v>
      </c>
      <c r="L1511" s="348" t="s">
        <v>1205</v>
      </c>
      <c r="M1511" s="265">
        <v>0</v>
      </c>
      <c r="N1511" s="347">
        <v>6.6</v>
      </c>
      <c r="O1511" s="348" t="s">
        <v>1205</v>
      </c>
      <c r="P1511" s="348">
        <v>13.2</v>
      </c>
      <c r="Q1511" s="348" t="s">
        <v>1205</v>
      </c>
    </row>
    <row r="1512" spans="1:17" ht="15" hidden="1" customHeight="1">
      <c r="A1512" s="163">
        <v>1507</v>
      </c>
      <c r="B1512" s="53" t="s">
        <v>11320</v>
      </c>
      <c r="C1512" s="53" t="s">
        <v>1921</v>
      </c>
      <c r="D1512" s="53">
        <v>100029427</v>
      </c>
      <c r="E1512" s="55" t="s">
        <v>1922</v>
      </c>
      <c r="F1512" s="129">
        <v>16</v>
      </c>
      <c r="G1512" s="129">
        <v>288</v>
      </c>
      <c r="H1512" s="512">
        <v>38.25</v>
      </c>
      <c r="I1512" s="265" t="s">
        <v>76</v>
      </c>
      <c r="J1512" s="265" t="s">
        <v>102</v>
      </c>
      <c r="K1512" s="265" t="s">
        <v>1923</v>
      </c>
      <c r="L1512" s="348" t="s">
        <v>1205</v>
      </c>
      <c r="M1512" s="265" t="s">
        <v>1924</v>
      </c>
      <c r="N1512" s="347">
        <v>0.78400000000000003</v>
      </c>
      <c r="O1512" s="348" t="s">
        <v>1205</v>
      </c>
      <c r="P1512" s="348">
        <v>14.416</v>
      </c>
      <c r="Q1512" s="348">
        <v>2.361325291407383</v>
      </c>
    </row>
    <row r="1513" spans="1:17" ht="15" hidden="1" customHeight="1">
      <c r="A1513" s="163">
        <v>1508</v>
      </c>
      <c r="B1513" s="53" t="s">
        <v>11320</v>
      </c>
      <c r="C1513" s="53" t="s">
        <v>1925</v>
      </c>
      <c r="D1513" s="53">
        <v>300005512</v>
      </c>
      <c r="E1513" s="55" t="s">
        <v>1926</v>
      </c>
      <c r="F1513" s="129">
        <v>8</v>
      </c>
      <c r="G1513" s="129">
        <v>128</v>
      </c>
      <c r="H1513" s="512">
        <v>920.35</v>
      </c>
      <c r="I1513" s="265" t="s">
        <v>1693</v>
      </c>
      <c r="J1513" s="265" t="s">
        <v>77</v>
      </c>
      <c r="K1513" s="265" t="s">
        <v>1927</v>
      </c>
      <c r="L1513" s="348" t="s">
        <v>1205</v>
      </c>
      <c r="M1513" s="265" t="s">
        <v>1928</v>
      </c>
      <c r="N1513" s="347">
        <v>3</v>
      </c>
      <c r="O1513" s="348" t="s">
        <v>1205</v>
      </c>
      <c r="P1513" s="348">
        <v>24</v>
      </c>
      <c r="Q1513" s="348" t="s">
        <v>1205</v>
      </c>
    </row>
    <row r="1514" spans="1:17" ht="15" hidden="1" customHeight="1">
      <c r="A1514" s="163">
        <v>1509</v>
      </c>
      <c r="B1514" s="53" t="s">
        <v>11320</v>
      </c>
      <c r="C1514" s="53" t="s">
        <v>1929</v>
      </c>
      <c r="D1514" s="53">
        <v>100029530</v>
      </c>
      <c r="E1514" s="55" t="s">
        <v>1930</v>
      </c>
      <c r="F1514" s="129">
        <v>24</v>
      </c>
      <c r="G1514" s="129">
        <v>288</v>
      </c>
      <c r="H1514" s="512">
        <v>27.67</v>
      </c>
      <c r="I1514" s="265" t="s">
        <v>76</v>
      </c>
      <c r="J1514" s="265" t="s">
        <v>102</v>
      </c>
      <c r="K1514" s="265" t="s">
        <v>1931</v>
      </c>
      <c r="L1514" s="348" t="s">
        <v>1205</v>
      </c>
      <c r="M1514" s="265" t="s">
        <v>1932</v>
      </c>
      <c r="N1514" s="347">
        <v>0.70799999999999996</v>
      </c>
      <c r="O1514" s="348" t="s">
        <v>1205</v>
      </c>
      <c r="P1514" s="348">
        <v>18.911999999999999</v>
      </c>
      <c r="Q1514" s="348">
        <v>2.7986077527791204</v>
      </c>
    </row>
    <row r="1515" spans="1:17" ht="15" hidden="1" customHeight="1">
      <c r="A1515" s="163">
        <v>1510</v>
      </c>
      <c r="B1515" s="53" t="s">
        <v>11320</v>
      </c>
      <c r="C1515" s="53" t="s">
        <v>1933</v>
      </c>
      <c r="D1515" s="53">
        <v>100029369</v>
      </c>
      <c r="E1515" s="55" t="s">
        <v>1934</v>
      </c>
      <c r="F1515" s="129">
        <v>8</v>
      </c>
      <c r="G1515" s="129">
        <v>96</v>
      </c>
      <c r="H1515" s="512">
        <v>87.01</v>
      </c>
      <c r="I1515" s="265" t="s">
        <v>76</v>
      </c>
      <c r="J1515" s="265" t="s">
        <v>102</v>
      </c>
      <c r="K1515" s="265" t="s">
        <v>1935</v>
      </c>
      <c r="L1515" s="348" t="s">
        <v>1205</v>
      </c>
      <c r="M1515" s="265" t="s">
        <v>1936</v>
      </c>
      <c r="N1515" s="347">
        <v>2.3359999999999999</v>
      </c>
      <c r="O1515" s="348" t="s">
        <v>1205</v>
      </c>
      <c r="P1515" s="348">
        <v>20.584</v>
      </c>
      <c r="Q1515" s="348">
        <v>2.7986077527791204</v>
      </c>
    </row>
    <row r="1516" spans="1:17" ht="15" hidden="1" customHeight="1">
      <c r="A1516" s="163">
        <v>1511</v>
      </c>
      <c r="B1516" s="53" t="s">
        <v>11320</v>
      </c>
      <c r="C1516" s="53" t="s">
        <v>1937</v>
      </c>
      <c r="D1516" s="53">
        <v>100029368</v>
      </c>
      <c r="E1516" s="55" t="s">
        <v>1938</v>
      </c>
      <c r="F1516" s="129">
        <v>4</v>
      </c>
      <c r="G1516" s="129">
        <v>48</v>
      </c>
      <c r="H1516" s="512">
        <v>360.96</v>
      </c>
      <c r="I1516" s="265" t="s">
        <v>76</v>
      </c>
      <c r="J1516" s="265" t="s">
        <v>102</v>
      </c>
      <c r="K1516" s="265" t="s">
        <v>1939</v>
      </c>
      <c r="L1516" s="348" t="s">
        <v>1205</v>
      </c>
      <c r="M1516" s="265" t="s">
        <v>1940</v>
      </c>
      <c r="N1516" s="347">
        <v>5.2359999999999998</v>
      </c>
      <c r="O1516" s="348" t="s">
        <v>1205</v>
      </c>
      <c r="P1516" s="348">
        <v>23.96</v>
      </c>
      <c r="Q1516" s="348">
        <v>3.6731726755225957</v>
      </c>
    </row>
    <row r="1517" spans="1:17" ht="15" hidden="1" customHeight="1">
      <c r="A1517" s="163">
        <v>1512</v>
      </c>
      <c r="B1517" s="53" t="s">
        <v>11320</v>
      </c>
      <c r="C1517" s="53" t="s">
        <v>1941</v>
      </c>
      <c r="D1517" s="53">
        <v>300005196</v>
      </c>
      <c r="E1517" s="55" t="s">
        <v>1942</v>
      </c>
      <c r="F1517" s="129">
        <v>25</v>
      </c>
      <c r="G1517" s="129">
        <v>630</v>
      </c>
      <c r="H1517" s="512">
        <v>111.65</v>
      </c>
      <c r="I1517" s="265" t="s">
        <v>1693</v>
      </c>
      <c r="J1517" s="265" t="s">
        <v>77</v>
      </c>
      <c r="K1517" s="265" t="s">
        <v>1943</v>
      </c>
      <c r="L1517" s="348" t="s">
        <v>1205</v>
      </c>
      <c r="M1517" s="265" t="s">
        <v>1944</v>
      </c>
      <c r="N1517" s="347">
        <v>1.02</v>
      </c>
      <c r="O1517" s="348" t="s">
        <v>1205</v>
      </c>
      <c r="P1517" s="348">
        <v>25.5</v>
      </c>
      <c r="Q1517" s="348" t="s">
        <v>1205</v>
      </c>
    </row>
    <row r="1518" spans="1:17" ht="15" hidden="1" customHeight="1">
      <c r="A1518" s="163">
        <v>1513</v>
      </c>
      <c r="B1518" s="53" t="s">
        <v>11320</v>
      </c>
      <c r="C1518" s="53" t="s">
        <v>1945</v>
      </c>
      <c r="D1518" s="53">
        <v>300005487</v>
      </c>
      <c r="E1518" s="55" t="s">
        <v>1946</v>
      </c>
      <c r="F1518" s="129">
        <v>25</v>
      </c>
      <c r="G1518" s="129">
        <v>320</v>
      </c>
      <c r="H1518" s="512">
        <v>91.32</v>
      </c>
      <c r="I1518" s="265" t="s">
        <v>1693</v>
      </c>
      <c r="J1518" s="265" t="s">
        <v>77</v>
      </c>
      <c r="K1518" s="265" t="s">
        <v>1947</v>
      </c>
      <c r="L1518" s="348" t="s">
        <v>1205</v>
      </c>
      <c r="M1518" s="265" t="s">
        <v>1948</v>
      </c>
      <c r="N1518" s="347">
        <v>1.53</v>
      </c>
      <c r="O1518" s="348" t="s">
        <v>1205</v>
      </c>
      <c r="P1518" s="348">
        <v>38.25</v>
      </c>
      <c r="Q1518" s="348" t="s">
        <v>1205</v>
      </c>
    </row>
    <row r="1519" spans="1:17" ht="15" hidden="1" customHeight="1">
      <c r="A1519" s="163">
        <v>1514</v>
      </c>
      <c r="B1519" s="53" t="s">
        <v>11320</v>
      </c>
      <c r="C1519" s="53" t="s">
        <v>1949</v>
      </c>
      <c r="D1519" s="53">
        <v>300005778</v>
      </c>
      <c r="E1519" s="55" t="s">
        <v>1950</v>
      </c>
      <c r="F1519" s="129">
        <v>8</v>
      </c>
      <c r="G1519" s="129">
        <v>96</v>
      </c>
      <c r="H1519" s="512">
        <v>351.69</v>
      </c>
      <c r="I1519" s="265" t="s">
        <v>359</v>
      </c>
      <c r="J1519" s="265" t="s">
        <v>77</v>
      </c>
      <c r="K1519" s="265" t="s">
        <v>1951</v>
      </c>
      <c r="L1519" s="348" t="s">
        <v>1205</v>
      </c>
      <c r="M1519" s="265">
        <v>0</v>
      </c>
      <c r="N1519" s="347">
        <v>2.282</v>
      </c>
      <c r="O1519" s="348" t="s">
        <v>1205</v>
      </c>
      <c r="P1519" s="348">
        <v>18.256</v>
      </c>
      <c r="Q1519" s="348" t="s">
        <v>1205</v>
      </c>
    </row>
    <row r="1520" spans="1:17" ht="15" hidden="1" customHeight="1">
      <c r="A1520" s="163">
        <v>1515</v>
      </c>
      <c r="B1520" s="53" t="s">
        <v>11320</v>
      </c>
      <c r="C1520" s="53" t="s">
        <v>1952</v>
      </c>
      <c r="D1520" s="53">
        <v>300005780</v>
      </c>
      <c r="E1520" s="55" t="s">
        <v>1953</v>
      </c>
      <c r="F1520" s="129">
        <v>4</v>
      </c>
      <c r="G1520" s="129">
        <v>48</v>
      </c>
      <c r="H1520" s="512">
        <v>1199.6300000000001</v>
      </c>
      <c r="I1520" s="265" t="s">
        <v>1693</v>
      </c>
      <c r="J1520" s="265" t="s">
        <v>77</v>
      </c>
      <c r="K1520" s="265" t="s">
        <v>1954</v>
      </c>
      <c r="L1520" s="348" t="s">
        <v>1205</v>
      </c>
      <c r="M1520" s="265">
        <v>0</v>
      </c>
      <c r="N1520" s="347">
        <v>5.36</v>
      </c>
      <c r="O1520" s="348" t="s">
        <v>1205</v>
      </c>
      <c r="P1520" s="348">
        <v>21.44</v>
      </c>
      <c r="Q1520" s="348" t="s">
        <v>1205</v>
      </c>
    </row>
    <row r="1521" spans="1:17" ht="15" hidden="1" customHeight="1">
      <c r="A1521" s="163">
        <v>1516</v>
      </c>
      <c r="B1521" s="53" t="s">
        <v>11320</v>
      </c>
      <c r="C1521" s="53" t="s">
        <v>1955</v>
      </c>
      <c r="D1521" s="53">
        <v>100029140</v>
      </c>
      <c r="E1521" s="55" t="s">
        <v>1956</v>
      </c>
      <c r="F1521" s="129">
        <v>20</v>
      </c>
      <c r="G1521" s="129">
        <v>900</v>
      </c>
      <c r="H1521" s="512">
        <v>15.78</v>
      </c>
      <c r="I1521" s="265" t="s">
        <v>76</v>
      </c>
      <c r="J1521" s="265" t="s">
        <v>102</v>
      </c>
      <c r="K1521" s="265" t="s">
        <v>1957</v>
      </c>
      <c r="L1521" s="348" t="s">
        <v>1205</v>
      </c>
      <c r="M1521" s="265" t="s">
        <v>1958</v>
      </c>
      <c r="N1521" s="347">
        <v>0.36199999999999999</v>
      </c>
      <c r="O1521" s="348" t="s">
        <v>1205</v>
      </c>
      <c r="P1521" s="348">
        <v>8.44</v>
      </c>
      <c r="Q1521" s="348">
        <v>0.98955954024750914</v>
      </c>
    </row>
    <row r="1522" spans="1:17" ht="15" hidden="1" customHeight="1">
      <c r="A1522" s="163">
        <v>1517</v>
      </c>
      <c r="B1522" s="53" t="s">
        <v>11320</v>
      </c>
      <c r="C1522" s="53" t="s">
        <v>1959</v>
      </c>
      <c r="D1522" s="53">
        <v>100029406</v>
      </c>
      <c r="E1522" s="55" t="s">
        <v>1960</v>
      </c>
      <c r="F1522" s="129">
        <v>12</v>
      </c>
      <c r="G1522" s="129">
        <v>216</v>
      </c>
      <c r="H1522" s="512">
        <v>57.61</v>
      </c>
      <c r="I1522" s="265" t="s">
        <v>76</v>
      </c>
      <c r="J1522" s="265" t="s">
        <v>102</v>
      </c>
      <c r="K1522" s="265" t="s">
        <v>1961</v>
      </c>
      <c r="L1522" s="348" t="s">
        <v>1205</v>
      </c>
      <c r="M1522" s="265" t="s">
        <v>1962</v>
      </c>
      <c r="N1522" s="347">
        <v>1.37</v>
      </c>
      <c r="O1522" s="348" t="s">
        <v>1205</v>
      </c>
      <c r="P1522" s="348">
        <v>18.288</v>
      </c>
      <c r="Q1522" s="348">
        <v>2.361325291407383</v>
      </c>
    </row>
    <row r="1523" spans="1:17" ht="15" hidden="1" customHeight="1">
      <c r="A1523" s="163">
        <v>1518</v>
      </c>
      <c r="B1523" s="53" t="s">
        <v>11320</v>
      </c>
      <c r="C1523" s="53" t="s">
        <v>1963</v>
      </c>
      <c r="D1523" s="53">
        <v>100029405</v>
      </c>
      <c r="E1523" s="55" t="s">
        <v>1964</v>
      </c>
      <c r="F1523" s="129">
        <v>6</v>
      </c>
      <c r="G1523" s="129">
        <v>72</v>
      </c>
      <c r="H1523" s="512">
        <v>179.09</v>
      </c>
      <c r="I1523" s="265" t="s">
        <v>359</v>
      </c>
      <c r="J1523" s="265" t="s">
        <v>102</v>
      </c>
      <c r="K1523" s="265" t="s">
        <v>1965</v>
      </c>
      <c r="L1523" s="348" t="s">
        <v>1205</v>
      </c>
      <c r="M1523" s="265" t="s">
        <v>1966</v>
      </c>
      <c r="N1523" s="347">
        <v>3.13</v>
      </c>
      <c r="O1523" s="348" t="s">
        <v>1205</v>
      </c>
      <c r="P1523" s="348">
        <v>21.798000000000002</v>
      </c>
      <c r="Q1523" s="348">
        <v>3.6731726755225957</v>
      </c>
    </row>
    <row r="1524" spans="1:17" ht="15" hidden="1" customHeight="1">
      <c r="A1524" s="163">
        <v>1519</v>
      </c>
      <c r="B1524" s="53" t="s">
        <v>11320</v>
      </c>
      <c r="C1524" s="53" t="s">
        <v>1967</v>
      </c>
      <c r="D1524" s="53">
        <v>300005755</v>
      </c>
      <c r="E1524" s="55" t="s">
        <v>1968</v>
      </c>
      <c r="F1524" s="129">
        <v>50</v>
      </c>
      <c r="G1524" s="129">
        <v>4800</v>
      </c>
      <c r="H1524" s="512">
        <v>123.66</v>
      </c>
      <c r="I1524" s="265" t="s">
        <v>1693</v>
      </c>
      <c r="J1524" s="265" t="s">
        <v>77</v>
      </c>
      <c r="K1524" s="265" t="s">
        <v>1969</v>
      </c>
      <c r="L1524" s="348" t="s">
        <v>1205</v>
      </c>
      <c r="M1524" s="265" t="s">
        <v>1970</v>
      </c>
      <c r="N1524" s="347">
        <v>1</v>
      </c>
      <c r="O1524" s="348" t="s">
        <v>1205</v>
      </c>
      <c r="P1524" s="348">
        <v>50</v>
      </c>
      <c r="Q1524" s="348" t="s">
        <v>1205</v>
      </c>
    </row>
    <row r="1525" spans="1:17" ht="15" hidden="1" customHeight="1">
      <c r="A1525" s="163">
        <v>1520</v>
      </c>
      <c r="B1525" s="53" t="s">
        <v>11320</v>
      </c>
      <c r="C1525" s="53" t="s">
        <v>1971</v>
      </c>
      <c r="D1525" s="53">
        <v>100029428</v>
      </c>
      <c r="E1525" s="55" t="s">
        <v>1972</v>
      </c>
      <c r="F1525" s="129">
        <v>40</v>
      </c>
      <c r="G1525" s="129">
        <v>1800</v>
      </c>
      <c r="H1525" s="512">
        <v>18.95</v>
      </c>
      <c r="I1525" s="265" t="s">
        <v>76</v>
      </c>
      <c r="J1525" s="265" t="s">
        <v>102</v>
      </c>
      <c r="K1525" s="265" t="s">
        <v>1973</v>
      </c>
      <c r="L1525" s="348" t="s">
        <v>1205</v>
      </c>
      <c r="M1525" s="265" t="s">
        <v>1974</v>
      </c>
      <c r="N1525" s="347">
        <v>0.42299999999999999</v>
      </c>
      <c r="O1525" s="348" t="s">
        <v>1205</v>
      </c>
      <c r="P1525" s="348">
        <v>18.12</v>
      </c>
      <c r="Q1525" s="348">
        <v>0.98955954024750914</v>
      </c>
    </row>
    <row r="1526" spans="1:17" ht="15" hidden="1" customHeight="1">
      <c r="A1526" s="163">
        <v>1521</v>
      </c>
      <c r="B1526" s="53" t="s">
        <v>11320</v>
      </c>
      <c r="C1526" s="53" t="s">
        <v>1975</v>
      </c>
      <c r="D1526" s="53">
        <v>100029429</v>
      </c>
      <c r="E1526" s="55" t="s">
        <v>1976</v>
      </c>
      <c r="F1526" s="129">
        <v>35</v>
      </c>
      <c r="G1526" s="129">
        <v>1120</v>
      </c>
      <c r="H1526" s="512">
        <v>95.56</v>
      </c>
      <c r="I1526" s="265" t="s">
        <v>76</v>
      </c>
      <c r="J1526" s="265" t="s">
        <v>102</v>
      </c>
      <c r="K1526" s="265" t="s">
        <v>1977</v>
      </c>
      <c r="L1526" s="348" t="s">
        <v>1205</v>
      </c>
      <c r="M1526" s="265" t="s">
        <v>1978</v>
      </c>
      <c r="N1526" s="347">
        <v>0.79800000000000004</v>
      </c>
      <c r="O1526" s="348" t="s">
        <v>1205</v>
      </c>
      <c r="P1526" s="348">
        <v>29.995000000000001</v>
      </c>
      <c r="Q1526" s="348">
        <v>1.3788503419060438</v>
      </c>
    </row>
    <row r="1527" spans="1:17" ht="15" hidden="1" customHeight="1">
      <c r="A1527" s="163">
        <v>1522</v>
      </c>
      <c r="B1527" s="53" t="s">
        <v>11320</v>
      </c>
      <c r="C1527" s="53" t="s">
        <v>1979</v>
      </c>
      <c r="D1527" s="53">
        <v>300005532</v>
      </c>
      <c r="E1527" s="55" t="s">
        <v>1980</v>
      </c>
      <c r="F1527" s="129">
        <v>8</v>
      </c>
      <c r="G1527" s="129" t="s">
        <v>1205</v>
      </c>
      <c r="H1527" s="512">
        <v>625.33000000000004</v>
      </c>
      <c r="I1527" s="265" t="s">
        <v>1693</v>
      </c>
      <c r="J1527" s="265" t="s">
        <v>77</v>
      </c>
      <c r="K1527" s="265" t="s">
        <v>1981</v>
      </c>
      <c r="L1527" s="348" t="s">
        <v>1205</v>
      </c>
      <c r="M1527" s="265">
        <v>0</v>
      </c>
      <c r="N1527" s="347">
        <v>1.18</v>
      </c>
      <c r="O1527" s="348" t="s">
        <v>1205</v>
      </c>
      <c r="P1527" s="348">
        <v>9.44</v>
      </c>
      <c r="Q1527" s="348" t="s">
        <v>1205</v>
      </c>
    </row>
    <row r="1528" spans="1:17" ht="15" hidden="1" customHeight="1">
      <c r="A1528" s="163">
        <v>1523</v>
      </c>
      <c r="B1528" s="53" t="s">
        <v>11320</v>
      </c>
      <c r="C1528" s="53" t="s">
        <v>1982</v>
      </c>
      <c r="D1528" s="53">
        <v>100029433</v>
      </c>
      <c r="E1528" s="55" t="s">
        <v>1983</v>
      </c>
      <c r="F1528" s="129">
        <v>36</v>
      </c>
      <c r="G1528" s="129">
        <v>1620</v>
      </c>
      <c r="H1528" s="512">
        <v>112.96</v>
      </c>
      <c r="I1528" s="265" t="s">
        <v>76</v>
      </c>
      <c r="J1528" s="265" t="s">
        <v>102</v>
      </c>
      <c r="K1528" s="265" t="s">
        <v>1984</v>
      </c>
      <c r="L1528" s="348" t="s">
        <v>1205</v>
      </c>
      <c r="M1528" s="265" t="s">
        <v>1985</v>
      </c>
      <c r="N1528" s="347">
        <v>0.56000000000000005</v>
      </c>
      <c r="O1528" s="348" t="s">
        <v>1205</v>
      </c>
      <c r="P1528" s="348">
        <v>22.032</v>
      </c>
      <c r="Q1528" s="348">
        <v>0.98955954024750914</v>
      </c>
    </row>
    <row r="1529" spans="1:17" ht="15" hidden="1" customHeight="1">
      <c r="A1529" s="163">
        <v>1524</v>
      </c>
      <c r="B1529" s="53" t="s">
        <v>11320</v>
      </c>
      <c r="C1529" s="53" t="s">
        <v>1986</v>
      </c>
      <c r="D1529" s="53">
        <v>300005585</v>
      </c>
      <c r="E1529" s="55" t="s">
        <v>1987</v>
      </c>
      <c r="F1529" s="129">
        <v>4</v>
      </c>
      <c r="G1529" s="129" t="s">
        <v>1205</v>
      </c>
      <c r="H1529" s="512">
        <v>893.79</v>
      </c>
      <c r="I1529" s="265" t="s">
        <v>1693</v>
      </c>
      <c r="J1529" s="265" t="s">
        <v>77</v>
      </c>
      <c r="K1529" s="265">
        <v>0</v>
      </c>
      <c r="L1529" s="348" t="s">
        <v>1205</v>
      </c>
      <c r="M1529" s="265">
        <v>0</v>
      </c>
      <c r="N1529" s="347">
        <v>1</v>
      </c>
      <c r="O1529" s="348" t="s">
        <v>1205</v>
      </c>
      <c r="P1529" s="348">
        <v>4</v>
      </c>
      <c r="Q1529" s="348" t="s">
        <v>1205</v>
      </c>
    </row>
    <row r="1530" spans="1:17" ht="15" hidden="1" customHeight="1">
      <c r="A1530" s="163">
        <v>1525</v>
      </c>
      <c r="B1530" s="53" t="s">
        <v>11320</v>
      </c>
      <c r="C1530" s="53" t="s">
        <v>1988</v>
      </c>
      <c r="D1530" s="53">
        <v>100029430</v>
      </c>
      <c r="E1530" s="55" t="s">
        <v>1989</v>
      </c>
      <c r="F1530" s="129">
        <v>40</v>
      </c>
      <c r="G1530" s="129">
        <v>1600</v>
      </c>
      <c r="H1530" s="512">
        <v>29.67</v>
      </c>
      <c r="I1530" s="265" t="s">
        <v>76</v>
      </c>
      <c r="J1530" s="265" t="s">
        <v>102</v>
      </c>
      <c r="K1530" s="265" t="s">
        <v>1990</v>
      </c>
      <c r="L1530" s="348" t="s">
        <v>1205</v>
      </c>
      <c r="M1530" s="265" t="s">
        <v>1991</v>
      </c>
      <c r="N1530" s="347">
        <v>0.315</v>
      </c>
      <c r="O1530" s="348" t="s">
        <v>1205</v>
      </c>
      <c r="P1530" s="348">
        <v>14.44</v>
      </c>
      <c r="Q1530" s="348">
        <v>2.361325291407383</v>
      </c>
    </row>
    <row r="1531" spans="1:17" ht="15" hidden="1" customHeight="1">
      <c r="A1531" s="163">
        <v>1526</v>
      </c>
      <c r="B1531" s="53" t="s">
        <v>11320</v>
      </c>
      <c r="C1531" s="53" t="s">
        <v>1992</v>
      </c>
      <c r="D1531" s="53">
        <v>100031312</v>
      </c>
      <c r="E1531" s="55" t="s">
        <v>1993</v>
      </c>
      <c r="F1531" s="129">
        <v>24</v>
      </c>
      <c r="G1531" s="129">
        <v>1080</v>
      </c>
      <c r="H1531" s="512">
        <v>76.56</v>
      </c>
      <c r="I1531" s="265" t="s">
        <v>76</v>
      </c>
      <c r="J1531" s="265" t="s">
        <v>102</v>
      </c>
      <c r="K1531" s="265" t="s">
        <v>1994</v>
      </c>
      <c r="L1531" s="348" t="s">
        <v>1205</v>
      </c>
      <c r="M1531" s="265" t="s">
        <v>1995</v>
      </c>
      <c r="N1531" s="347">
        <v>1.083</v>
      </c>
      <c r="O1531" s="348" t="s">
        <v>1205</v>
      </c>
      <c r="P1531" s="348">
        <v>29.04</v>
      </c>
      <c r="Q1531" s="348">
        <v>3.6731726755225957</v>
      </c>
    </row>
    <row r="1532" spans="1:17" ht="15" hidden="1" customHeight="1">
      <c r="A1532" s="163">
        <v>1527</v>
      </c>
      <c r="B1532" s="53" t="s">
        <v>11320</v>
      </c>
      <c r="C1532" s="53" t="s">
        <v>1996</v>
      </c>
      <c r="D1532" s="53">
        <v>300005498</v>
      </c>
      <c r="E1532" s="55" t="s">
        <v>1997</v>
      </c>
      <c r="F1532" s="129">
        <v>8</v>
      </c>
      <c r="G1532" s="129">
        <v>84</v>
      </c>
      <c r="H1532" s="512">
        <v>599.1</v>
      </c>
      <c r="I1532" s="265" t="s">
        <v>1693</v>
      </c>
      <c r="J1532" s="265" t="s">
        <v>77</v>
      </c>
      <c r="K1532" s="265" t="s">
        <v>1998</v>
      </c>
      <c r="L1532" s="348" t="s">
        <v>1205</v>
      </c>
      <c r="M1532" s="265">
        <v>0</v>
      </c>
      <c r="N1532" s="347">
        <v>2.8</v>
      </c>
      <c r="O1532" s="348" t="s">
        <v>1205</v>
      </c>
      <c r="P1532" s="348">
        <v>22.4</v>
      </c>
      <c r="Q1532" s="348" t="s">
        <v>1205</v>
      </c>
    </row>
    <row r="1533" spans="1:17" ht="15" hidden="1" customHeight="1">
      <c r="A1533" s="163">
        <v>1528</v>
      </c>
      <c r="B1533" s="53" t="s">
        <v>11320</v>
      </c>
      <c r="C1533" s="53" t="s">
        <v>1999</v>
      </c>
      <c r="D1533" s="53">
        <v>300005529</v>
      </c>
      <c r="E1533" s="55" t="s">
        <v>2000</v>
      </c>
      <c r="F1533" s="129">
        <v>10</v>
      </c>
      <c r="G1533" s="129" t="s">
        <v>1205</v>
      </c>
      <c r="H1533" s="512">
        <v>806.78</v>
      </c>
      <c r="I1533" s="265" t="s">
        <v>1693</v>
      </c>
      <c r="J1533" s="265" t="s">
        <v>77</v>
      </c>
      <c r="K1533" s="265" t="s">
        <v>2001</v>
      </c>
      <c r="L1533" s="348" t="s">
        <v>1205</v>
      </c>
      <c r="M1533" s="265">
        <v>0</v>
      </c>
      <c r="N1533" s="347">
        <v>2.48</v>
      </c>
      <c r="O1533" s="348" t="s">
        <v>1205</v>
      </c>
      <c r="P1533" s="348">
        <v>24.8</v>
      </c>
      <c r="Q1533" s="348" t="s">
        <v>1205</v>
      </c>
    </row>
    <row r="1534" spans="1:17" ht="15" hidden="1" customHeight="1">
      <c r="A1534" s="163">
        <v>1529</v>
      </c>
      <c r="B1534" s="53" t="s">
        <v>11320</v>
      </c>
      <c r="C1534" s="53" t="s">
        <v>2002</v>
      </c>
      <c r="D1534" s="53">
        <v>100029407</v>
      </c>
      <c r="E1534" s="55" t="s">
        <v>2003</v>
      </c>
      <c r="F1534" s="129">
        <v>36</v>
      </c>
      <c r="G1534" s="129">
        <v>864</v>
      </c>
      <c r="H1534" s="512">
        <v>76.3</v>
      </c>
      <c r="I1534" s="265" t="s">
        <v>76</v>
      </c>
      <c r="J1534" s="265" t="s">
        <v>102</v>
      </c>
      <c r="K1534" s="265" t="s">
        <v>2004</v>
      </c>
      <c r="L1534" s="348" t="s">
        <v>1205</v>
      </c>
      <c r="M1534" s="265" t="s">
        <v>2005</v>
      </c>
      <c r="N1534" s="347">
        <v>0.60899999999999999</v>
      </c>
      <c r="O1534" s="348" t="s">
        <v>1205</v>
      </c>
      <c r="P1534" s="348">
        <v>24.12</v>
      </c>
      <c r="Q1534" s="348">
        <v>1.8803145838984718</v>
      </c>
    </row>
    <row r="1535" spans="1:17" ht="15" hidden="1" customHeight="1">
      <c r="A1535" s="163">
        <v>1530</v>
      </c>
      <c r="B1535" s="53" t="s">
        <v>11320</v>
      </c>
      <c r="C1535" s="53" t="s">
        <v>2006</v>
      </c>
      <c r="D1535" s="53">
        <v>100031010</v>
      </c>
      <c r="E1535" s="55" t="s">
        <v>2007</v>
      </c>
      <c r="F1535" s="129">
        <v>25</v>
      </c>
      <c r="G1535" s="129">
        <v>300</v>
      </c>
      <c r="H1535" s="512">
        <v>174.26</v>
      </c>
      <c r="I1535" s="265" t="s">
        <v>76</v>
      </c>
      <c r="J1535" s="265" t="s">
        <v>102</v>
      </c>
      <c r="K1535" s="265" t="s">
        <v>2008</v>
      </c>
      <c r="L1535" s="348" t="s">
        <v>1205</v>
      </c>
      <c r="M1535" s="265" t="s">
        <v>2009</v>
      </c>
      <c r="N1535" s="347">
        <v>1.78</v>
      </c>
      <c r="O1535" s="348" t="s">
        <v>1205</v>
      </c>
      <c r="P1535" s="348">
        <v>47.55</v>
      </c>
      <c r="Q1535" s="348">
        <v>3.6731726755225957</v>
      </c>
    </row>
    <row r="1536" spans="1:17" ht="15" hidden="1" customHeight="1">
      <c r="A1536" s="163">
        <v>1531</v>
      </c>
      <c r="B1536" s="53" t="s">
        <v>11320</v>
      </c>
      <c r="C1536" s="53" t="s">
        <v>2010</v>
      </c>
      <c r="D1536" s="53">
        <v>300005491</v>
      </c>
      <c r="E1536" s="55" t="s">
        <v>2011</v>
      </c>
      <c r="F1536" s="129">
        <v>25</v>
      </c>
      <c r="G1536" s="129">
        <v>1800</v>
      </c>
      <c r="H1536" s="512">
        <v>137.5</v>
      </c>
      <c r="I1536" s="265" t="s">
        <v>1693</v>
      </c>
      <c r="J1536" s="265" t="s">
        <v>77</v>
      </c>
      <c r="K1536" s="265" t="s">
        <v>2012</v>
      </c>
      <c r="L1536" s="348" t="s">
        <v>1205</v>
      </c>
      <c r="M1536" s="265" t="s">
        <v>2013</v>
      </c>
      <c r="N1536" s="347">
        <v>0.4</v>
      </c>
      <c r="O1536" s="348" t="s">
        <v>1205</v>
      </c>
      <c r="P1536" s="348">
        <v>10</v>
      </c>
      <c r="Q1536" s="348" t="s">
        <v>1205</v>
      </c>
    </row>
    <row r="1537" spans="1:17" ht="15" hidden="1" customHeight="1">
      <c r="A1537" s="163">
        <v>1532</v>
      </c>
      <c r="B1537" s="53" t="s">
        <v>11320</v>
      </c>
      <c r="C1537" s="53" t="s">
        <v>2014</v>
      </c>
      <c r="D1537" s="53">
        <v>300005756</v>
      </c>
      <c r="E1537" s="55" t="s">
        <v>2015</v>
      </c>
      <c r="F1537" s="129">
        <v>25</v>
      </c>
      <c r="G1537" s="129">
        <v>1800</v>
      </c>
      <c r="H1537" s="512">
        <v>120.4</v>
      </c>
      <c r="I1537" s="265" t="s">
        <v>359</v>
      </c>
      <c r="J1537" s="265" t="s">
        <v>77</v>
      </c>
      <c r="K1537" s="265" t="s">
        <v>2016</v>
      </c>
      <c r="L1537" s="348" t="s">
        <v>1205</v>
      </c>
      <c r="M1537" s="265">
        <v>0</v>
      </c>
      <c r="N1537" s="347">
        <v>0.4</v>
      </c>
      <c r="O1537" s="348" t="s">
        <v>1205</v>
      </c>
      <c r="P1537" s="348">
        <v>10</v>
      </c>
      <c r="Q1537" s="348" t="s">
        <v>1205</v>
      </c>
    </row>
    <row r="1538" spans="1:17" ht="15" hidden="1" customHeight="1">
      <c r="A1538" s="163">
        <v>1533</v>
      </c>
      <c r="B1538" s="53" t="s">
        <v>11320</v>
      </c>
      <c r="C1538" s="53" t="s">
        <v>2017</v>
      </c>
      <c r="D1538" s="53">
        <v>300005495</v>
      </c>
      <c r="E1538" s="55" t="s">
        <v>2018</v>
      </c>
      <c r="F1538" s="129">
        <v>15</v>
      </c>
      <c r="G1538" s="129" t="s">
        <v>1205</v>
      </c>
      <c r="H1538" s="512">
        <v>226.4</v>
      </c>
      <c r="I1538" s="265" t="s">
        <v>1693</v>
      </c>
      <c r="J1538" s="265" t="s">
        <v>77</v>
      </c>
      <c r="K1538" s="265" t="s">
        <v>2019</v>
      </c>
      <c r="L1538" s="348" t="s">
        <v>1205</v>
      </c>
      <c r="M1538" s="265">
        <v>0</v>
      </c>
      <c r="N1538" s="347">
        <v>0.4</v>
      </c>
      <c r="O1538" s="348" t="s">
        <v>1205</v>
      </c>
      <c r="P1538" s="348">
        <v>6</v>
      </c>
      <c r="Q1538" s="348" t="s">
        <v>1205</v>
      </c>
    </row>
    <row r="1539" spans="1:17" ht="15" hidden="1" customHeight="1">
      <c r="A1539" s="163">
        <v>1534</v>
      </c>
      <c r="B1539" s="53" t="s">
        <v>11320</v>
      </c>
      <c r="C1539" s="53" t="s">
        <v>2020</v>
      </c>
      <c r="D1539" s="53">
        <v>100031313</v>
      </c>
      <c r="E1539" s="55" t="s">
        <v>2021</v>
      </c>
      <c r="F1539" s="129">
        <v>12</v>
      </c>
      <c r="G1539" s="129">
        <v>480</v>
      </c>
      <c r="H1539" s="512">
        <v>131.69</v>
      </c>
      <c r="I1539" s="265" t="s">
        <v>76</v>
      </c>
      <c r="J1539" s="265" t="s">
        <v>102</v>
      </c>
      <c r="K1539" s="265" t="s">
        <v>2022</v>
      </c>
      <c r="L1539" s="348" t="s">
        <v>1205</v>
      </c>
      <c r="M1539" s="265" t="s">
        <v>2023</v>
      </c>
      <c r="N1539" s="347">
        <v>1.234</v>
      </c>
      <c r="O1539" s="348" t="s">
        <v>1205</v>
      </c>
      <c r="P1539" s="348">
        <v>16.968</v>
      </c>
      <c r="Q1539" s="348">
        <v>1.8803145838984718</v>
      </c>
    </row>
    <row r="1540" spans="1:17" ht="15" hidden="1" customHeight="1">
      <c r="A1540" s="163">
        <v>1535</v>
      </c>
      <c r="B1540" s="53" t="s">
        <v>11320</v>
      </c>
      <c r="C1540" s="53" t="s">
        <v>2024</v>
      </c>
      <c r="D1540" s="53">
        <v>100029414</v>
      </c>
      <c r="E1540" s="55" t="s">
        <v>2025</v>
      </c>
      <c r="F1540" s="129">
        <v>19</v>
      </c>
      <c r="G1540" s="129">
        <v>855</v>
      </c>
      <c r="H1540" s="512">
        <v>39.94</v>
      </c>
      <c r="I1540" s="265" t="s">
        <v>76</v>
      </c>
      <c r="J1540" s="265" t="s">
        <v>102</v>
      </c>
      <c r="K1540" s="265" t="s">
        <v>2026</v>
      </c>
      <c r="L1540" s="348" t="s">
        <v>1205</v>
      </c>
      <c r="M1540" s="265" t="s">
        <v>2027</v>
      </c>
      <c r="N1540" s="347">
        <v>0.41199999999999998</v>
      </c>
      <c r="O1540" s="348" t="s">
        <v>1205</v>
      </c>
      <c r="P1540" s="348">
        <v>9.8990000000000009</v>
      </c>
      <c r="Q1540" s="348">
        <v>1.3788503419060438</v>
      </c>
    </row>
    <row r="1541" spans="1:17" ht="15" hidden="1" customHeight="1">
      <c r="A1541" s="163">
        <v>1536</v>
      </c>
      <c r="B1541" s="53" t="s">
        <v>11320</v>
      </c>
      <c r="C1541" s="53" t="s">
        <v>2028</v>
      </c>
      <c r="D1541" s="53">
        <v>300005502</v>
      </c>
      <c r="E1541" s="55" t="s">
        <v>2029</v>
      </c>
      <c r="F1541" s="129">
        <v>12</v>
      </c>
      <c r="G1541" s="129">
        <v>540</v>
      </c>
      <c r="H1541" s="512">
        <v>334.09</v>
      </c>
      <c r="I1541" s="265" t="s">
        <v>359</v>
      </c>
      <c r="J1541" s="265" t="s">
        <v>77</v>
      </c>
      <c r="K1541" s="265" t="s">
        <v>2030</v>
      </c>
      <c r="L1541" s="348" t="s">
        <v>1205</v>
      </c>
      <c r="M1541" s="265" t="s">
        <v>2031</v>
      </c>
      <c r="N1541" s="347">
        <v>1.2789999999999999</v>
      </c>
      <c r="O1541" s="348" t="s">
        <v>1205</v>
      </c>
      <c r="P1541" s="348">
        <v>15.347999999999999</v>
      </c>
      <c r="Q1541" s="348" t="s">
        <v>1205</v>
      </c>
    </row>
    <row r="1542" spans="1:17" ht="15" hidden="1" customHeight="1">
      <c r="A1542" s="163">
        <v>1537</v>
      </c>
      <c r="B1542" s="53" t="s">
        <v>11320</v>
      </c>
      <c r="C1542" s="53" t="s">
        <v>2032</v>
      </c>
      <c r="D1542" s="53">
        <v>100029431</v>
      </c>
      <c r="E1542" s="55" t="s">
        <v>2033</v>
      </c>
      <c r="F1542" s="129">
        <v>48</v>
      </c>
      <c r="G1542" s="129">
        <v>1152</v>
      </c>
      <c r="H1542" s="512">
        <v>28.33</v>
      </c>
      <c r="I1542" s="265" t="s">
        <v>76</v>
      </c>
      <c r="J1542" s="265" t="s">
        <v>102</v>
      </c>
      <c r="K1542" s="265" t="s">
        <v>2034</v>
      </c>
      <c r="L1542" s="348" t="s">
        <v>1205</v>
      </c>
      <c r="M1542" s="265" t="s">
        <v>2035</v>
      </c>
      <c r="N1542" s="347">
        <v>0.39</v>
      </c>
      <c r="O1542" s="348" t="s">
        <v>1205</v>
      </c>
      <c r="P1542" s="348">
        <v>20.928000000000001</v>
      </c>
      <c r="Q1542" s="348">
        <v>1.8803145838984718</v>
      </c>
    </row>
    <row r="1543" spans="1:17" ht="15" hidden="1" customHeight="1">
      <c r="A1543" s="163">
        <v>1538</v>
      </c>
      <c r="B1543" s="53" t="s">
        <v>11320</v>
      </c>
      <c r="C1543" s="53" t="s">
        <v>2036</v>
      </c>
      <c r="D1543" s="53">
        <v>100031314</v>
      </c>
      <c r="E1543" s="55" t="s">
        <v>2037</v>
      </c>
      <c r="F1543" s="129">
        <v>24</v>
      </c>
      <c r="G1543" s="129">
        <v>1080</v>
      </c>
      <c r="H1543" s="512">
        <v>109.99</v>
      </c>
      <c r="I1543" s="265" t="s">
        <v>76</v>
      </c>
      <c r="J1543" s="265" t="s">
        <v>102</v>
      </c>
      <c r="K1543" s="265" t="s">
        <v>2038</v>
      </c>
      <c r="L1543" s="348" t="s">
        <v>1205</v>
      </c>
      <c r="M1543" s="265" t="s">
        <v>2039</v>
      </c>
      <c r="N1543" s="347">
        <v>1.234</v>
      </c>
      <c r="O1543" s="348" t="s">
        <v>1205</v>
      </c>
      <c r="P1543" s="348">
        <v>31.536000000000001</v>
      </c>
      <c r="Q1543" s="348">
        <v>2.7986077527791204</v>
      </c>
    </row>
    <row r="1544" spans="1:17" ht="15" hidden="1" customHeight="1">
      <c r="A1544" s="163">
        <v>1539</v>
      </c>
      <c r="B1544" s="53" t="s">
        <v>11320</v>
      </c>
      <c r="C1544" s="53" t="s">
        <v>2040</v>
      </c>
      <c r="D1544" s="53">
        <v>300005754</v>
      </c>
      <c r="E1544" s="55" t="s">
        <v>2041</v>
      </c>
      <c r="F1544" s="129">
        <v>25</v>
      </c>
      <c r="G1544" s="129">
        <v>1800</v>
      </c>
      <c r="H1544" s="512">
        <v>105.75</v>
      </c>
      <c r="I1544" s="265" t="s">
        <v>359</v>
      </c>
      <c r="J1544" s="265" t="s">
        <v>77</v>
      </c>
      <c r="K1544" s="265" t="s">
        <v>2042</v>
      </c>
      <c r="L1544" s="348" t="s">
        <v>1205</v>
      </c>
      <c r="M1544" s="265">
        <v>0</v>
      </c>
      <c r="N1544" s="347">
        <v>1.2</v>
      </c>
      <c r="O1544" s="348" t="s">
        <v>1205</v>
      </c>
      <c r="P1544" s="348">
        <v>30</v>
      </c>
      <c r="Q1544" s="348" t="s">
        <v>1205</v>
      </c>
    </row>
    <row r="1545" spans="1:17" ht="15" hidden="1" customHeight="1">
      <c r="A1545" s="163">
        <v>1540</v>
      </c>
      <c r="B1545" s="53" t="s">
        <v>11320</v>
      </c>
      <c r="C1545" s="53" t="s">
        <v>2043</v>
      </c>
      <c r="D1545" s="53">
        <v>100031315</v>
      </c>
      <c r="E1545" s="55" t="s">
        <v>2044</v>
      </c>
      <c r="F1545" s="129">
        <v>24</v>
      </c>
      <c r="G1545" s="129">
        <v>288</v>
      </c>
      <c r="H1545" s="512">
        <v>74.819999999999993</v>
      </c>
      <c r="I1545" s="265" t="s">
        <v>76</v>
      </c>
      <c r="J1545" s="265" t="s">
        <v>102</v>
      </c>
      <c r="K1545" s="265" t="s">
        <v>2045</v>
      </c>
      <c r="L1545" s="348" t="s">
        <v>1205</v>
      </c>
      <c r="M1545" s="265" t="s">
        <v>2046</v>
      </c>
      <c r="N1545" s="347">
        <v>1.044</v>
      </c>
      <c r="O1545" s="348" t="s">
        <v>1205</v>
      </c>
      <c r="P1545" s="348">
        <v>28.103999999999999</v>
      </c>
      <c r="Q1545" s="348">
        <v>3.6731726755225957</v>
      </c>
    </row>
    <row r="1546" spans="1:17" ht="15" hidden="1" customHeight="1">
      <c r="A1546" s="163">
        <v>1541</v>
      </c>
      <c r="B1546" s="53" t="s">
        <v>11320</v>
      </c>
      <c r="C1546" s="53" t="s">
        <v>2047</v>
      </c>
      <c r="D1546" s="53">
        <v>300005560</v>
      </c>
      <c r="E1546" s="55" t="s">
        <v>2048</v>
      </c>
      <c r="F1546" s="129">
        <v>8</v>
      </c>
      <c r="G1546" s="129" t="s">
        <v>1205</v>
      </c>
      <c r="H1546" s="512">
        <v>363</v>
      </c>
      <c r="I1546" s="265" t="s">
        <v>1693</v>
      </c>
      <c r="J1546" s="265" t="s">
        <v>77</v>
      </c>
      <c r="K1546" s="265" t="s">
        <v>2049</v>
      </c>
      <c r="L1546" s="348" t="s">
        <v>1205</v>
      </c>
      <c r="M1546" s="265">
        <v>0</v>
      </c>
      <c r="N1546" s="347">
        <v>2.8</v>
      </c>
      <c r="O1546" s="348" t="s">
        <v>1205</v>
      </c>
      <c r="P1546" s="348">
        <v>22.4</v>
      </c>
      <c r="Q1546" s="348" t="s">
        <v>1205</v>
      </c>
    </row>
    <row r="1547" spans="1:17" ht="15" hidden="1" customHeight="1">
      <c r="A1547" s="163">
        <v>1542</v>
      </c>
      <c r="B1547" s="53" t="s">
        <v>11320</v>
      </c>
      <c r="C1547" s="53" t="s">
        <v>2050</v>
      </c>
      <c r="D1547" s="53">
        <v>300005570</v>
      </c>
      <c r="E1547" s="55" t="s">
        <v>2051</v>
      </c>
      <c r="F1547" s="129">
        <v>9</v>
      </c>
      <c r="G1547" s="129" t="s">
        <v>1205</v>
      </c>
      <c r="H1547" s="512">
        <v>231.66</v>
      </c>
      <c r="I1547" s="265" t="s">
        <v>1693</v>
      </c>
      <c r="J1547" s="265" t="s">
        <v>77</v>
      </c>
      <c r="K1547" s="265" t="s">
        <v>2052</v>
      </c>
      <c r="L1547" s="348" t="s">
        <v>1205</v>
      </c>
      <c r="M1547" s="265">
        <v>0</v>
      </c>
      <c r="N1547" s="347">
        <v>2.48</v>
      </c>
      <c r="O1547" s="348" t="s">
        <v>1205</v>
      </c>
      <c r="P1547" s="348">
        <v>22.32</v>
      </c>
      <c r="Q1547" s="348" t="s">
        <v>1205</v>
      </c>
    </row>
    <row r="1548" spans="1:17" ht="15" hidden="1" customHeight="1">
      <c r="A1548" s="163">
        <v>1543</v>
      </c>
      <c r="B1548" s="53" t="s">
        <v>11320</v>
      </c>
      <c r="C1548" s="53" t="s">
        <v>2053</v>
      </c>
      <c r="D1548" s="53">
        <v>300005835</v>
      </c>
      <c r="E1548" s="55" t="s">
        <v>2054</v>
      </c>
      <c r="F1548" s="129">
        <v>20</v>
      </c>
      <c r="G1548" s="129">
        <v>360</v>
      </c>
      <c r="H1548" s="512">
        <v>272.55</v>
      </c>
      <c r="I1548" s="265" t="s">
        <v>359</v>
      </c>
      <c r="J1548" s="265" t="s">
        <v>77</v>
      </c>
      <c r="K1548" s="265" t="s">
        <v>2055</v>
      </c>
      <c r="L1548" s="348" t="s">
        <v>1205</v>
      </c>
      <c r="M1548" s="265">
        <v>0</v>
      </c>
      <c r="N1548" s="347">
        <v>1.19</v>
      </c>
      <c r="O1548" s="348" t="s">
        <v>1205</v>
      </c>
      <c r="P1548" s="348">
        <v>23.799999999999997</v>
      </c>
      <c r="Q1548" s="348" t="s">
        <v>1205</v>
      </c>
    </row>
    <row r="1549" spans="1:17" ht="15" hidden="1" customHeight="1">
      <c r="A1549" s="163">
        <v>1544</v>
      </c>
      <c r="B1549" s="53" t="s">
        <v>11320</v>
      </c>
      <c r="C1549" s="53" t="s">
        <v>2056</v>
      </c>
      <c r="D1549" s="53">
        <v>300005877</v>
      </c>
      <c r="E1549" s="55" t="s">
        <v>2057</v>
      </c>
      <c r="F1549" s="129">
        <v>8</v>
      </c>
      <c r="G1549" s="129">
        <v>96</v>
      </c>
      <c r="H1549" s="512">
        <v>963.2</v>
      </c>
      <c r="I1549" s="265" t="s">
        <v>1693</v>
      </c>
      <c r="J1549" s="265" t="s">
        <v>77</v>
      </c>
      <c r="K1549" s="265" t="s">
        <v>2058</v>
      </c>
      <c r="L1549" s="348" t="s">
        <v>1205</v>
      </c>
      <c r="M1549" s="265">
        <v>0</v>
      </c>
      <c r="N1549" s="347">
        <v>2.75</v>
      </c>
      <c r="O1549" s="348" t="s">
        <v>1205</v>
      </c>
      <c r="P1549" s="348">
        <v>22</v>
      </c>
      <c r="Q1549" s="348" t="s">
        <v>1205</v>
      </c>
    </row>
    <row r="1550" spans="1:17" ht="15" hidden="1" customHeight="1">
      <c r="A1550" s="163">
        <v>1545</v>
      </c>
      <c r="B1550" s="53" t="s">
        <v>11320</v>
      </c>
      <c r="C1550" s="53" t="s">
        <v>2059</v>
      </c>
      <c r="D1550" s="53">
        <v>300005880</v>
      </c>
      <c r="E1550" s="55" t="s">
        <v>2060</v>
      </c>
      <c r="F1550" s="129">
        <v>8</v>
      </c>
      <c r="G1550" s="129">
        <v>96</v>
      </c>
      <c r="H1550" s="512">
        <v>231.69</v>
      </c>
      <c r="I1550" s="265" t="s">
        <v>1693</v>
      </c>
      <c r="J1550" s="265" t="s">
        <v>77</v>
      </c>
      <c r="K1550" s="265" t="s">
        <v>2061</v>
      </c>
      <c r="L1550" s="348" t="s">
        <v>1205</v>
      </c>
      <c r="M1550" s="265">
        <v>0</v>
      </c>
      <c r="N1550" s="347">
        <v>2.93</v>
      </c>
      <c r="O1550" s="348" t="s">
        <v>1205</v>
      </c>
      <c r="P1550" s="348">
        <v>23.44</v>
      </c>
      <c r="Q1550" s="348" t="s">
        <v>1205</v>
      </c>
    </row>
    <row r="1551" spans="1:17" ht="15" hidden="1" customHeight="1">
      <c r="A1551" s="163">
        <v>1546</v>
      </c>
      <c r="B1551" s="53" t="s">
        <v>11320</v>
      </c>
      <c r="C1551" s="53" t="s">
        <v>2062</v>
      </c>
      <c r="D1551" s="53">
        <v>300005561</v>
      </c>
      <c r="E1551" s="55" t="s">
        <v>2063</v>
      </c>
      <c r="F1551" s="129">
        <v>6</v>
      </c>
      <c r="G1551" s="129" t="s">
        <v>1205</v>
      </c>
      <c r="H1551" s="512">
        <v>290.87</v>
      </c>
      <c r="I1551" s="265" t="s">
        <v>359</v>
      </c>
      <c r="J1551" s="265" t="s">
        <v>77</v>
      </c>
      <c r="K1551" s="265" t="s">
        <v>2064</v>
      </c>
      <c r="L1551" s="348" t="s">
        <v>1205</v>
      </c>
      <c r="M1551" s="265">
        <v>0</v>
      </c>
      <c r="N1551" s="347">
        <v>5.2910000000000004</v>
      </c>
      <c r="O1551" s="348" t="s">
        <v>1205</v>
      </c>
      <c r="P1551" s="348">
        <v>31.746000000000002</v>
      </c>
      <c r="Q1551" s="348" t="s">
        <v>1205</v>
      </c>
    </row>
    <row r="1552" spans="1:17" ht="15" hidden="1" customHeight="1">
      <c r="A1552" s="163">
        <v>1547</v>
      </c>
      <c r="B1552" s="53" t="s">
        <v>11320</v>
      </c>
      <c r="C1552" s="53" t="s">
        <v>2065</v>
      </c>
      <c r="D1552" s="53">
        <v>300005526</v>
      </c>
      <c r="E1552" s="55" t="s">
        <v>2066</v>
      </c>
      <c r="F1552" s="129">
        <v>6</v>
      </c>
      <c r="G1552" s="129" t="s">
        <v>1205</v>
      </c>
      <c r="H1552" s="512">
        <v>285.27</v>
      </c>
      <c r="I1552" s="265" t="s">
        <v>1693</v>
      </c>
      <c r="J1552" s="265" t="s">
        <v>77</v>
      </c>
      <c r="K1552" s="265" t="s">
        <v>2067</v>
      </c>
      <c r="L1552" s="348" t="s">
        <v>1205</v>
      </c>
      <c r="M1552" s="265">
        <v>0</v>
      </c>
      <c r="N1552" s="347">
        <v>1.5</v>
      </c>
      <c r="O1552" s="348" t="s">
        <v>1205</v>
      </c>
      <c r="P1552" s="348">
        <v>9</v>
      </c>
      <c r="Q1552" s="348" t="s">
        <v>1205</v>
      </c>
    </row>
    <row r="1553" spans="1:17" ht="15" hidden="1" customHeight="1">
      <c r="A1553" s="163">
        <v>1548</v>
      </c>
      <c r="B1553" s="53" t="s">
        <v>11320</v>
      </c>
      <c r="C1553" s="53" t="s">
        <v>2068</v>
      </c>
      <c r="D1553" s="53">
        <v>300005562</v>
      </c>
      <c r="E1553" s="55" t="s">
        <v>2069</v>
      </c>
      <c r="F1553" s="129">
        <v>6</v>
      </c>
      <c r="G1553" s="129" t="s">
        <v>1205</v>
      </c>
      <c r="H1553" s="512">
        <v>300.35000000000002</v>
      </c>
      <c r="I1553" s="265" t="s">
        <v>1693</v>
      </c>
      <c r="J1553" s="265" t="s">
        <v>77</v>
      </c>
      <c r="K1553" s="265" t="s">
        <v>2070</v>
      </c>
      <c r="L1553" s="348" t="s">
        <v>1205</v>
      </c>
      <c r="M1553" s="265">
        <v>0</v>
      </c>
      <c r="N1553" s="347">
        <v>3</v>
      </c>
      <c r="O1553" s="348" t="s">
        <v>1205</v>
      </c>
      <c r="P1553" s="348">
        <v>18</v>
      </c>
      <c r="Q1553" s="348" t="s">
        <v>1205</v>
      </c>
    </row>
    <row r="1554" spans="1:17" ht="15" hidden="1" customHeight="1">
      <c r="A1554" s="163">
        <v>1549</v>
      </c>
      <c r="B1554" s="53" t="s">
        <v>11321</v>
      </c>
      <c r="C1554" s="53" t="s">
        <v>2075</v>
      </c>
      <c r="D1554" s="53">
        <v>300004428</v>
      </c>
      <c r="E1554" s="55" t="s">
        <v>2076</v>
      </c>
      <c r="F1554" s="129">
        <v>6</v>
      </c>
      <c r="G1554" s="129" t="s">
        <v>1205</v>
      </c>
      <c r="H1554" s="512">
        <v>377.35</v>
      </c>
      <c r="I1554" s="265" t="s">
        <v>1693</v>
      </c>
      <c r="J1554" s="265" t="s">
        <v>77</v>
      </c>
      <c r="K1554" s="265" t="s">
        <v>2077</v>
      </c>
      <c r="L1554" s="348" t="s">
        <v>1205</v>
      </c>
      <c r="M1554" s="265">
        <v>0</v>
      </c>
      <c r="N1554" s="347">
        <v>0.4</v>
      </c>
      <c r="O1554" s="348" t="s">
        <v>1205</v>
      </c>
      <c r="P1554" s="348">
        <v>2.4000000000000004</v>
      </c>
      <c r="Q1554" s="348" t="s">
        <v>1205</v>
      </c>
    </row>
    <row r="1555" spans="1:17" ht="15" hidden="1" customHeight="1">
      <c r="A1555" s="163">
        <v>1550</v>
      </c>
      <c r="B1555" s="53" t="s">
        <v>11321</v>
      </c>
      <c r="C1555" s="53" t="s">
        <v>2078</v>
      </c>
      <c r="D1555" s="53">
        <v>300004426</v>
      </c>
      <c r="E1555" s="55" t="s">
        <v>2079</v>
      </c>
      <c r="F1555" s="129">
        <v>6</v>
      </c>
      <c r="G1555" s="129" t="s">
        <v>1205</v>
      </c>
      <c r="H1555" s="512">
        <v>507.66</v>
      </c>
      <c r="I1555" s="265" t="s">
        <v>1693</v>
      </c>
      <c r="J1555" s="265" t="s">
        <v>77</v>
      </c>
      <c r="K1555" s="265" t="s">
        <v>2080</v>
      </c>
      <c r="L1555" s="348" t="s">
        <v>1205</v>
      </c>
      <c r="M1555" s="265">
        <v>0</v>
      </c>
      <c r="N1555" s="347">
        <v>0.4</v>
      </c>
      <c r="O1555" s="348" t="s">
        <v>1205</v>
      </c>
      <c r="P1555" s="348">
        <v>2.4000000000000004</v>
      </c>
      <c r="Q1555" s="348" t="s">
        <v>1205</v>
      </c>
    </row>
    <row r="1556" spans="1:17" ht="15" hidden="1" customHeight="1">
      <c r="A1556" s="163">
        <v>1551</v>
      </c>
      <c r="B1556" s="53" t="s">
        <v>11321</v>
      </c>
      <c r="C1556" s="53" t="s">
        <v>2081</v>
      </c>
      <c r="D1556" s="53">
        <v>300004444</v>
      </c>
      <c r="E1556" s="55" t="s">
        <v>2082</v>
      </c>
      <c r="F1556" s="129">
        <v>4</v>
      </c>
      <c r="G1556" s="129" t="s">
        <v>1205</v>
      </c>
      <c r="H1556" s="512">
        <v>589.88</v>
      </c>
      <c r="I1556" s="265" t="s">
        <v>1693</v>
      </c>
      <c r="J1556" s="265" t="s">
        <v>77</v>
      </c>
      <c r="K1556" s="265" t="s">
        <v>2083</v>
      </c>
      <c r="L1556" s="348" t="s">
        <v>1205</v>
      </c>
      <c r="M1556" s="265">
        <v>0</v>
      </c>
      <c r="N1556" s="347">
        <v>1</v>
      </c>
      <c r="O1556" s="348" t="s">
        <v>1205</v>
      </c>
      <c r="P1556" s="348">
        <v>4</v>
      </c>
      <c r="Q1556" s="348" t="s">
        <v>1205</v>
      </c>
    </row>
    <row r="1557" spans="1:17" ht="15" hidden="1" customHeight="1">
      <c r="A1557" s="163">
        <v>1552</v>
      </c>
      <c r="B1557" s="53" t="s">
        <v>11321</v>
      </c>
      <c r="C1557" s="53" t="s">
        <v>2084</v>
      </c>
      <c r="D1557" s="53">
        <v>100029268</v>
      </c>
      <c r="E1557" s="55" t="s">
        <v>2085</v>
      </c>
      <c r="F1557" s="129">
        <v>10</v>
      </c>
      <c r="G1557" s="129">
        <v>120</v>
      </c>
      <c r="H1557" s="512">
        <v>112.49</v>
      </c>
      <c r="I1557" s="265" t="s">
        <v>76</v>
      </c>
      <c r="J1557" s="265" t="s">
        <v>102</v>
      </c>
      <c r="K1557" s="265" t="s">
        <v>2086</v>
      </c>
      <c r="L1557" s="348" t="s">
        <v>1205</v>
      </c>
      <c r="M1557" s="265" t="s">
        <v>2087</v>
      </c>
      <c r="N1557" s="347">
        <v>2.3439999999999999</v>
      </c>
      <c r="O1557" s="348" t="s">
        <v>1205</v>
      </c>
      <c r="P1557" s="348">
        <v>25.339999999999996</v>
      </c>
      <c r="Q1557" s="348">
        <v>2.7986077527791204</v>
      </c>
    </row>
    <row r="1558" spans="1:17" ht="15" hidden="1" customHeight="1">
      <c r="A1558" s="163">
        <v>1553</v>
      </c>
      <c r="B1558" s="53" t="s">
        <v>11321</v>
      </c>
      <c r="C1558" s="53" t="s">
        <v>2088</v>
      </c>
      <c r="D1558" s="53">
        <v>100029285</v>
      </c>
      <c r="E1558" s="55" t="s">
        <v>2089</v>
      </c>
      <c r="F1558" s="129">
        <v>1</v>
      </c>
      <c r="G1558" s="129">
        <v>75</v>
      </c>
      <c r="H1558" s="512">
        <v>228.11</v>
      </c>
      <c r="I1558" s="265" t="s">
        <v>76</v>
      </c>
      <c r="J1558" s="265" t="s">
        <v>102</v>
      </c>
      <c r="K1558" s="265" t="s">
        <v>2090</v>
      </c>
      <c r="L1558" s="348" t="s">
        <v>1205</v>
      </c>
      <c r="M1558" s="265" t="s">
        <v>2091</v>
      </c>
      <c r="N1558" s="347">
        <v>4.4480000000000004</v>
      </c>
      <c r="O1558" s="348" t="s">
        <v>1205</v>
      </c>
      <c r="P1558" s="348">
        <v>444.375</v>
      </c>
      <c r="Q1558" s="348">
        <v>53.333269333358928</v>
      </c>
    </row>
    <row r="1559" spans="1:17" ht="15" hidden="1" customHeight="1">
      <c r="A1559" s="163">
        <v>1554</v>
      </c>
      <c r="B1559" s="53" t="s">
        <v>11321</v>
      </c>
      <c r="C1559" s="53" t="s">
        <v>2092</v>
      </c>
      <c r="D1559" s="53">
        <v>100031306</v>
      </c>
      <c r="E1559" s="55" t="s">
        <v>2093</v>
      </c>
      <c r="F1559" s="129">
        <v>1</v>
      </c>
      <c r="G1559" s="129">
        <v>50</v>
      </c>
      <c r="H1559" s="512">
        <v>258.25</v>
      </c>
      <c r="I1559" s="265" t="s">
        <v>76</v>
      </c>
      <c r="J1559" s="265" t="s">
        <v>102</v>
      </c>
      <c r="K1559" s="265" t="s">
        <v>2094</v>
      </c>
      <c r="L1559" s="348" t="s">
        <v>1205</v>
      </c>
      <c r="M1559" s="265" t="s">
        <v>2095</v>
      </c>
      <c r="N1559" s="347">
        <v>6.33</v>
      </c>
      <c r="O1559" s="348" t="s">
        <v>1205</v>
      </c>
      <c r="P1559" s="348">
        <v>319.20000000000005</v>
      </c>
      <c r="Q1559" s="348">
        <v>53.333269333358928</v>
      </c>
    </row>
    <row r="1560" spans="1:17" ht="15" hidden="1" customHeight="1">
      <c r="A1560" s="163">
        <v>1555</v>
      </c>
      <c r="B1560" s="53" t="s">
        <v>11321</v>
      </c>
      <c r="C1560" s="53" t="s">
        <v>2096</v>
      </c>
      <c r="D1560" s="53">
        <v>100031307</v>
      </c>
      <c r="E1560" s="55" t="s">
        <v>2097</v>
      </c>
      <c r="F1560" s="129">
        <v>1</v>
      </c>
      <c r="G1560" s="129">
        <v>45</v>
      </c>
      <c r="H1560" s="512">
        <v>340.33</v>
      </c>
      <c r="I1560" s="265" t="s">
        <v>76</v>
      </c>
      <c r="J1560" s="265" t="s">
        <v>102</v>
      </c>
      <c r="K1560" s="265" t="s">
        <v>2098</v>
      </c>
      <c r="L1560" s="348" t="s">
        <v>1205</v>
      </c>
      <c r="M1560" s="265" t="s">
        <v>2099</v>
      </c>
      <c r="N1560" s="347">
        <v>8.3659999999999997</v>
      </c>
      <c r="O1560" s="348" t="s">
        <v>1205</v>
      </c>
      <c r="P1560" s="348">
        <v>488.88000000000005</v>
      </c>
      <c r="Q1560" s="348">
        <v>53.333269333358928</v>
      </c>
    </row>
    <row r="1561" spans="1:17" ht="15" hidden="1" customHeight="1">
      <c r="A1561" s="163">
        <v>1556</v>
      </c>
      <c r="B1561" s="53" t="s">
        <v>11321</v>
      </c>
      <c r="C1561" s="53" t="s">
        <v>2100</v>
      </c>
      <c r="D1561" s="53">
        <v>100029288</v>
      </c>
      <c r="E1561" s="55" t="s">
        <v>2101</v>
      </c>
      <c r="F1561" s="129">
        <v>1</v>
      </c>
      <c r="G1561" s="129">
        <v>34</v>
      </c>
      <c r="H1561" s="512">
        <v>405.82</v>
      </c>
      <c r="I1561" s="265" t="s">
        <v>76</v>
      </c>
      <c r="J1561" s="265" t="s">
        <v>102</v>
      </c>
      <c r="K1561" s="265" t="s">
        <v>2102</v>
      </c>
      <c r="L1561" s="348" t="s">
        <v>1205</v>
      </c>
      <c r="M1561" s="265" t="s">
        <v>2103</v>
      </c>
      <c r="N1561" s="347">
        <v>10.571999999999999</v>
      </c>
      <c r="O1561" s="348" t="s">
        <v>1205</v>
      </c>
      <c r="P1561" s="348">
        <v>364.548</v>
      </c>
      <c r="Q1561" s="348">
        <v>53.333269333358928</v>
      </c>
    </row>
    <row r="1562" spans="1:17" ht="15" hidden="1" customHeight="1">
      <c r="A1562" s="163">
        <v>1557</v>
      </c>
      <c r="B1562" s="53" t="s">
        <v>11321</v>
      </c>
      <c r="C1562" s="53" t="s">
        <v>2104</v>
      </c>
      <c r="D1562" s="53">
        <v>100029266</v>
      </c>
      <c r="E1562" s="55" t="s">
        <v>2105</v>
      </c>
      <c r="F1562" s="129">
        <v>1</v>
      </c>
      <c r="G1562" s="129">
        <v>24</v>
      </c>
      <c r="H1562" s="512">
        <v>707.59</v>
      </c>
      <c r="I1562" s="265" t="s">
        <v>76</v>
      </c>
      <c r="J1562" s="265" t="s">
        <v>102</v>
      </c>
      <c r="K1562" s="265" t="s">
        <v>2106</v>
      </c>
      <c r="L1562" s="348" t="s">
        <v>1205</v>
      </c>
      <c r="M1562" s="265" t="s">
        <v>2107</v>
      </c>
      <c r="N1562" s="347">
        <v>10.256</v>
      </c>
      <c r="O1562" s="348" t="s">
        <v>1205</v>
      </c>
      <c r="P1562" s="348">
        <v>246.14400000000001</v>
      </c>
      <c r="Q1562" s="348">
        <v>53.333269333358928</v>
      </c>
    </row>
    <row r="1563" spans="1:17" ht="15" hidden="1" customHeight="1">
      <c r="A1563" s="163">
        <v>1558</v>
      </c>
      <c r="B1563" s="53" t="s">
        <v>11321</v>
      </c>
      <c r="C1563" s="53" t="s">
        <v>2108</v>
      </c>
      <c r="D1563" s="53">
        <v>100029318</v>
      </c>
      <c r="E1563" s="55" t="s">
        <v>2109</v>
      </c>
      <c r="F1563" s="129">
        <v>1</v>
      </c>
      <c r="G1563" s="129">
        <v>33</v>
      </c>
      <c r="H1563" s="512">
        <v>1035.2</v>
      </c>
      <c r="I1563" s="265" t="s">
        <v>359</v>
      </c>
      <c r="J1563" s="265" t="s">
        <v>102</v>
      </c>
      <c r="K1563" s="265" t="s">
        <v>2110</v>
      </c>
      <c r="L1563" s="348" t="s">
        <v>1205</v>
      </c>
      <c r="M1563" s="265" t="s">
        <v>2111</v>
      </c>
      <c r="N1563" s="347">
        <v>11.08</v>
      </c>
      <c r="O1563" s="348" t="s">
        <v>1205</v>
      </c>
      <c r="P1563" s="348">
        <v>365.64</v>
      </c>
      <c r="Q1563" s="348">
        <v>53.333269333358928</v>
      </c>
    </row>
    <row r="1564" spans="1:17" ht="15" hidden="1" customHeight="1">
      <c r="A1564" s="163">
        <v>1559</v>
      </c>
      <c r="B1564" s="53" t="s">
        <v>11321</v>
      </c>
      <c r="C1564" s="53" t="s">
        <v>2112</v>
      </c>
      <c r="D1564" s="53">
        <v>100029307</v>
      </c>
      <c r="E1564" s="55" t="s">
        <v>2113</v>
      </c>
      <c r="F1564" s="129">
        <v>1</v>
      </c>
      <c r="G1564" s="129">
        <v>22</v>
      </c>
      <c r="H1564" s="512">
        <v>1052.3399999999999</v>
      </c>
      <c r="I1564" s="265" t="s">
        <v>76</v>
      </c>
      <c r="J1564" s="265" t="s">
        <v>102</v>
      </c>
      <c r="K1564" s="265" t="s">
        <v>2114</v>
      </c>
      <c r="L1564" s="348" t="s">
        <v>1205</v>
      </c>
      <c r="M1564" s="265" t="s">
        <v>2115</v>
      </c>
      <c r="N1564" s="347">
        <v>16.096</v>
      </c>
      <c r="O1564" s="348" t="s">
        <v>1205</v>
      </c>
      <c r="P1564" s="348">
        <v>466.51</v>
      </c>
      <c r="Q1564" s="348">
        <v>53.333269333358928</v>
      </c>
    </row>
    <row r="1565" spans="1:17" ht="15" hidden="1" customHeight="1">
      <c r="A1565" s="163">
        <v>1560</v>
      </c>
      <c r="B1565" s="53" t="s">
        <v>11321</v>
      </c>
      <c r="C1565" s="53" t="s">
        <v>2116</v>
      </c>
      <c r="D1565" s="53">
        <v>300003477</v>
      </c>
      <c r="E1565" s="55" t="s">
        <v>2117</v>
      </c>
      <c r="F1565" s="129">
        <v>1</v>
      </c>
      <c r="G1565" s="129">
        <v>10</v>
      </c>
      <c r="H1565" s="512">
        <v>5949.65</v>
      </c>
      <c r="I1565" s="265" t="s">
        <v>1693</v>
      </c>
      <c r="J1565" s="265" t="s">
        <v>77</v>
      </c>
      <c r="K1565" s="265" t="s">
        <v>2118</v>
      </c>
      <c r="L1565" s="348" t="s">
        <v>1205</v>
      </c>
      <c r="M1565" s="265">
        <v>0</v>
      </c>
      <c r="N1565" s="347">
        <v>20.48</v>
      </c>
      <c r="O1565" s="348" t="s">
        <v>1205</v>
      </c>
      <c r="P1565" s="348">
        <v>20.48</v>
      </c>
      <c r="Q1565" s="348" t="s">
        <v>1205</v>
      </c>
    </row>
    <row r="1566" spans="1:17" ht="15" hidden="1" customHeight="1">
      <c r="A1566" s="163">
        <v>1561</v>
      </c>
      <c r="B1566" s="53" t="s">
        <v>11321</v>
      </c>
      <c r="C1566" s="53" t="s">
        <v>2119</v>
      </c>
      <c r="D1566" s="53">
        <v>300005853</v>
      </c>
      <c r="E1566" s="55" t="s">
        <v>2120</v>
      </c>
      <c r="F1566" s="129">
        <v>1</v>
      </c>
      <c r="G1566" s="129">
        <v>16</v>
      </c>
      <c r="H1566" s="512">
        <v>3018.57</v>
      </c>
      <c r="I1566" s="265" t="s">
        <v>1693</v>
      </c>
      <c r="J1566" s="265" t="s">
        <v>77</v>
      </c>
      <c r="K1566" s="265" t="s">
        <v>2121</v>
      </c>
      <c r="L1566" s="348" t="s">
        <v>1205</v>
      </c>
      <c r="M1566" s="265">
        <v>0</v>
      </c>
      <c r="N1566" s="347">
        <v>19.100000000000001</v>
      </c>
      <c r="O1566" s="348" t="s">
        <v>1205</v>
      </c>
      <c r="P1566" s="348">
        <v>19.100000000000001</v>
      </c>
      <c r="Q1566" s="348" t="s">
        <v>1205</v>
      </c>
    </row>
    <row r="1567" spans="1:17" ht="15" hidden="1" customHeight="1">
      <c r="A1567" s="163">
        <v>1562</v>
      </c>
      <c r="B1567" s="53" t="s">
        <v>11321</v>
      </c>
      <c r="C1567" s="53" t="s">
        <v>2122</v>
      </c>
      <c r="D1567" s="53">
        <v>100029308</v>
      </c>
      <c r="E1567" s="55" t="s">
        <v>2123</v>
      </c>
      <c r="F1567" s="129">
        <v>1</v>
      </c>
      <c r="G1567" s="129">
        <v>16</v>
      </c>
      <c r="H1567" s="512">
        <v>1537.03</v>
      </c>
      <c r="I1567" s="265" t="s">
        <v>76</v>
      </c>
      <c r="J1567" s="265" t="s">
        <v>102</v>
      </c>
      <c r="K1567" s="265" t="s">
        <v>2124</v>
      </c>
      <c r="L1567" s="348" t="s">
        <v>1205</v>
      </c>
      <c r="M1567" s="265" t="s">
        <v>2125</v>
      </c>
      <c r="N1567" s="347">
        <v>26.521999999999998</v>
      </c>
      <c r="O1567" s="348" t="s">
        <v>1205</v>
      </c>
      <c r="P1567" s="348">
        <v>424.35199999999998</v>
      </c>
      <c r="Q1567" s="348">
        <v>53.333269333358928</v>
      </c>
    </row>
    <row r="1568" spans="1:17" ht="15" hidden="1" customHeight="1">
      <c r="A1568" s="163">
        <v>1563</v>
      </c>
      <c r="B1568" s="53" t="s">
        <v>11321</v>
      </c>
      <c r="C1568" s="53" t="s">
        <v>2126</v>
      </c>
      <c r="D1568" s="53">
        <v>300003535</v>
      </c>
      <c r="E1568" s="55" t="s">
        <v>2127</v>
      </c>
      <c r="F1568" s="129">
        <v>1</v>
      </c>
      <c r="G1568" s="129">
        <v>6</v>
      </c>
      <c r="H1568" s="512">
        <v>6360.05</v>
      </c>
      <c r="I1568" s="265" t="s">
        <v>1693</v>
      </c>
      <c r="J1568" s="265" t="s">
        <v>77</v>
      </c>
      <c r="K1568" s="265" t="s">
        <v>2128</v>
      </c>
      <c r="L1568" s="348" t="s">
        <v>1205</v>
      </c>
      <c r="M1568" s="265">
        <v>0</v>
      </c>
      <c r="N1568" s="347">
        <v>37.619999999999997</v>
      </c>
      <c r="O1568" s="348" t="s">
        <v>1205</v>
      </c>
      <c r="P1568" s="348">
        <v>37.619999999999997</v>
      </c>
      <c r="Q1568" s="348" t="s">
        <v>1205</v>
      </c>
    </row>
    <row r="1569" spans="1:17" ht="15" hidden="1" customHeight="1">
      <c r="A1569" s="163">
        <v>1564</v>
      </c>
      <c r="B1569" s="53" t="s">
        <v>11321</v>
      </c>
      <c r="C1569" s="53" t="s">
        <v>2129</v>
      </c>
      <c r="D1569" s="53">
        <v>300005769</v>
      </c>
      <c r="E1569" s="55" t="s">
        <v>2130</v>
      </c>
      <c r="F1569" s="129">
        <v>10</v>
      </c>
      <c r="G1569" s="129">
        <v>120</v>
      </c>
      <c r="H1569" s="512">
        <v>213.9</v>
      </c>
      <c r="I1569" s="265" t="s">
        <v>359</v>
      </c>
      <c r="J1569" s="265" t="s">
        <v>77</v>
      </c>
      <c r="K1569" s="265" t="s">
        <v>2131</v>
      </c>
      <c r="L1569" s="348" t="s">
        <v>1205</v>
      </c>
      <c r="M1569" s="265">
        <v>0</v>
      </c>
      <c r="N1569" s="347">
        <v>1.466</v>
      </c>
      <c r="O1569" s="348" t="s">
        <v>1205</v>
      </c>
      <c r="P1569" s="348">
        <v>14.66</v>
      </c>
      <c r="Q1569" s="348" t="s">
        <v>1205</v>
      </c>
    </row>
    <row r="1570" spans="1:17" ht="15" hidden="1" customHeight="1">
      <c r="A1570" s="163">
        <v>1565</v>
      </c>
      <c r="B1570" s="53" t="s">
        <v>11321</v>
      </c>
      <c r="C1570" s="53" t="s">
        <v>2132</v>
      </c>
      <c r="D1570" s="53">
        <v>300005868</v>
      </c>
      <c r="E1570" s="55" t="s">
        <v>2133</v>
      </c>
      <c r="F1570" s="129">
        <v>1</v>
      </c>
      <c r="G1570" s="129">
        <v>75</v>
      </c>
      <c r="H1570" s="512">
        <v>453.61</v>
      </c>
      <c r="I1570" s="265" t="s">
        <v>1693</v>
      </c>
      <c r="J1570" s="265" t="s">
        <v>77</v>
      </c>
      <c r="K1570" s="265" t="s">
        <v>2134</v>
      </c>
      <c r="L1570" s="348" t="s">
        <v>1205</v>
      </c>
      <c r="M1570" s="265">
        <v>0</v>
      </c>
      <c r="N1570" s="347">
        <v>3.355</v>
      </c>
      <c r="O1570" s="348" t="s">
        <v>1205</v>
      </c>
      <c r="P1570" s="348">
        <v>3.355</v>
      </c>
      <c r="Q1570" s="348" t="s">
        <v>1205</v>
      </c>
    </row>
    <row r="1571" spans="1:17" ht="15" hidden="1" customHeight="1">
      <c r="A1571" s="163">
        <v>1566</v>
      </c>
      <c r="B1571" s="53" t="s">
        <v>11321</v>
      </c>
      <c r="C1571" s="53" t="s">
        <v>2135</v>
      </c>
      <c r="D1571" s="53">
        <v>300005771</v>
      </c>
      <c r="E1571" s="55" t="s">
        <v>2136</v>
      </c>
      <c r="F1571" s="129">
        <v>1</v>
      </c>
      <c r="G1571" s="129">
        <v>50</v>
      </c>
      <c r="H1571" s="512">
        <v>560.38</v>
      </c>
      <c r="I1571" s="265" t="s">
        <v>1693</v>
      </c>
      <c r="J1571" s="265" t="s">
        <v>77</v>
      </c>
      <c r="K1571" s="265" t="s">
        <v>2137</v>
      </c>
      <c r="L1571" s="348" t="s">
        <v>1205</v>
      </c>
      <c r="M1571" s="265">
        <v>0</v>
      </c>
      <c r="N1571" s="347">
        <v>4.5460000000000003</v>
      </c>
      <c r="O1571" s="348" t="s">
        <v>1205</v>
      </c>
      <c r="P1571" s="348">
        <v>4.5460000000000003</v>
      </c>
      <c r="Q1571" s="348" t="s">
        <v>1205</v>
      </c>
    </row>
    <row r="1572" spans="1:17" ht="15" hidden="1" customHeight="1">
      <c r="A1572" s="163">
        <v>1567</v>
      </c>
      <c r="B1572" s="53" t="s">
        <v>11321</v>
      </c>
      <c r="C1572" s="53" t="s">
        <v>2138</v>
      </c>
      <c r="D1572" s="53">
        <v>300005773</v>
      </c>
      <c r="E1572" s="55" t="s">
        <v>2139</v>
      </c>
      <c r="F1572" s="129">
        <v>1</v>
      </c>
      <c r="G1572" s="129">
        <v>45</v>
      </c>
      <c r="H1572" s="512">
        <v>834.67</v>
      </c>
      <c r="I1572" s="265" t="s">
        <v>1693</v>
      </c>
      <c r="J1572" s="265" t="s">
        <v>77</v>
      </c>
      <c r="K1572" s="265" t="s">
        <v>2140</v>
      </c>
      <c r="L1572" s="348" t="s">
        <v>1205</v>
      </c>
      <c r="M1572" s="265">
        <v>0</v>
      </c>
      <c r="N1572" s="347">
        <v>6.21</v>
      </c>
      <c r="O1572" s="348" t="s">
        <v>1205</v>
      </c>
      <c r="P1572" s="348">
        <v>6.21</v>
      </c>
      <c r="Q1572" s="348" t="s">
        <v>1205</v>
      </c>
    </row>
    <row r="1573" spans="1:17" ht="15" hidden="1" customHeight="1">
      <c r="A1573" s="163">
        <v>1568</v>
      </c>
      <c r="B1573" s="53" t="s">
        <v>11321</v>
      </c>
      <c r="C1573" s="53" t="s">
        <v>2141</v>
      </c>
      <c r="D1573" s="53">
        <v>300005776</v>
      </c>
      <c r="E1573" s="55" t="s">
        <v>2142</v>
      </c>
      <c r="F1573" s="129">
        <v>1</v>
      </c>
      <c r="G1573" s="129">
        <v>34</v>
      </c>
      <c r="H1573" s="512">
        <v>809.48</v>
      </c>
      <c r="I1573" s="265" t="s">
        <v>1693</v>
      </c>
      <c r="J1573" s="265" t="s">
        <v>77</v>
      </c>
      <c r="K1573" s="265" t="s">
        <v>2143</v>
      </c>
      <c r="L1573" s="348" t="s">
        <v>1205</v>
      </c>
      <c r="M1573" s="265">
        <v>0</v>
      </c>
      <c r="N1573" s="347">
        <v>8.5839999999999996</v>
      </c>
      <c r="O1573" s="348" t="s">
        <v>1205</v>
      </c>
      <c r="P1573" s="348">
        <v>8.5839999999999996</v>
      </c>
      <c r="Q1573" s="348" t="s">
        <v>1205</v>
      </c>
    </row>
    <row r="1574" spans="1:17" ht="15" hidden="1" customHeight="1">
      <c r="A1574" s="163">
        <v>1569</v>
      </c>
      <c r="B1574" s="53" t="s">
        <v>11321</v>
      </c>
      <c r="C1574" s="53" t="s">
        <v>2144</v>
      </c>
      <c r="D1574" s="53">
        <v>100029403</v>
      </c>
      <c r="E1574" s="55" t="s">
        <v>2145</v>
      </c>
      <c r="F1574" s="129">
        <v>1</v>
      </c>
      <c r="G1574" s="129">
        <v>60</v>
      </c>
      <c r="H1574" s="512">
        <v>317.74</v>
      </c>
      <c r="I1574" s="265" t="s">
        <v>76</v>
      </c>
      <c r="J1574" s="265" t="s">
        <v>102</v>
      </c>
      <c r="K1574" s="265" t="s">
        <v>2146</v>
      </c>
      <c r="L1574" s="348" t="s">
        <v>1205</v>
      </c>
      <c r="M1574" s="265" t="s">
        <v>2147</v>
      </c>
      <c r="N1574" s="347">
        <v>4.1639999999999997</v>
      </c>
      <c r="O1574" s="348" t="s">
        <v>1205</v>
      </c>
      <c r="P1574" s="348">
        <v>249.83999999999997</v>
      </c>
      <c r="Q1574" s="348">
        <v>53.333269333358928</v>
      </c>
    </row>
    <row r="1575" spans="1:17" ht="15" hidden="1" customHeight="1">
      <c r="A1575" s="163">
        <v>1570</v>
      </c>
      <c r="B1575" s="53" t="s">
        <v>11321</v>
      </c>
      <c r="C1575" s="53" t="s">
        <v>2148</v>
      </c>
      <c r="D1575" s="53">
        <v>300005866</v>
      </c>
      <c r="E1575" s="55" t="s">
        <v>2149</v>
      </c>
      <c r="F1575" s="129">
        <v>1</v>
      </c>
      <c r="G1575" s="129">
        <v>34</v>
      </c>
      <c r="H1575" s="512">
        <v>2070.2600000000002</v>
      </c>
      <c r="I1575" s="265" t="s">
        <v>1693</v>
      </c>
      <c r="J1575" s="265" t="s">
        <v>77</v>
      </c>
      <c r="K1575" s="265" t="s">
        <v>2150</v>
      </c>
      <c r="L1575" s="348" t="s">
        <v>1205</v>
      </c>
      <c r="M1575" s="265">
        <v>0</v>
      </c>
      <c r="N1575" s="347">
        <v>5.92</v>
      </c>
      <c r="O1575" s="348" t="s">
        <v>1205</v>
      </c>
      <c r="P1575" s="348">
        <v>5.92</v>
      </c>
      <c r="Q1575" s="348" t="s">
        <v>1205</v>
      </c>
    </row>
    <row r="1576" spans="1:17" ht="15" hidden="1" customHeight="1">
      <c r="A1576" s="163">
        <v>1571</v>
      </c>
      <c r="B1576" s="53" t="s">
        <v>11321</v>
      </c>
      <c r="C1576" s="53" t="s">
        <v>2151</v>
      </c>
      <c r="D1576" s="53">
        <v>300005874</v>
      </c>
      <c r="E1576" s="55" t="s">
        <v>2152</v>
      </c>
      <c r="F1576" s="129">
        <v>1</v>
      </c>
      <c r="G1576" s="129">
        <v>26</v>
      </c>
      <c r="H1576" s="512">
        <v>1918.03</v>
      </c>
      <c r="I1576" s="265" t="s">
        <v>1693</v>
      </c>
      <c r="J1576" s="265" t="s">
        <v>77</v>
      </c>
      <c r="K1576" s="265" t="s">
        <v>2153</v>
      </c>
      <c r="L1576" s="348" t="s">
        <v>1205</v>
      </c>
      <c r="M1576" s="265">
        <v>0</v>
      </c>
      <c r="N1576" s="347">
        <v>7.65</v>
      </c>
      <c r="O1576" s="348" t="s">
        <v>1205</v>
      </c>
      <c r="P1576" s="348">
        <v>7.65</v>
      </c>
      <c r="Q1576" s="348" t="s">
        <v>1205</v>
      </c>
    </row>
    <row r="1577" spans="1:17" ht="15" hidden="1" customHeight="1">
      <c r="A1577" s="163">
        <v>1572</v>
      </c>
      <c r="B1577" s="53" t="s">
        <v>11321</v>
      </c>
      <c r="C1577" s="53" t="s">
        <v>2154</v>
      </c>
      <c r="D1577" s="53">
        <v>100029270</v>
      </c>
      <c r="E1577" s="55" t="s">
        <v>2155</v>
      </c>
      <c r="F1577" s="129">
        <v>10</v>
      </c>
      <c r="G1577" s="129">
        <v>180</v>
      </c>
      <c r="H1577" s="512">
        <v>105.73</v>
      </c>
      <c r="I1577" s="265" t="s">
        <v>76</v>
      </c>
      <c r="J1577" s="265" t="s">
        <v>102</v>
      </c>
      <c r="K1577" s="265" t="s">
        <v>2156</v>
      </c>
      <c r="L1577" s="348" t="s">
        <v>1205</v>
      </c>
      <c r="M1577" s="265" t="s">
        <v>2157</v>
      </c>
      <c r="N1577" s="347">
        <v>1.8260000000000001</v>
      </c>
      <c r="O1577" s="348" t="s">
        <v>1205</v>
      </c>
      <c r="P1577" s="348">
        <v>20.11</v>
      </c>
      <c r="Q1577" s="348">
        <v>2.361325291407383</v>
      </c>
    </row>
    <row r="1578" spans="1:17" ht="15" hidden="1" customHeight="1">
      <c r="A1578" s="163">
        <v>1573</v>
      </c>
      <c r="B1578" s="53" t="s">
        <v>11321</v>
      </c>
      <c r="C1578" s="53" t="s">
        <v>2158</v>
      </c>
      <c r="D1578" s="53">
        <v>100029286</v>
      </c>
      <c r="E1578" s="55" t="s">
        <v>2159</v>
      </c>
      <c r="F1578" s="129">
        <v>1</v>
      </c>
      <c r="G1578" s="129">
        <v>100</v>
      </c>
      <c r="H1578" s="512">
        <v>221.5</v>
      </c>
      <c r="I1578" s="265" t="s">
        <v>359</v>
      </c>
      <c r="J1578" s="265" t="s">
        <v>102</v>
      </c>
      <c r="K1578" s="265" t="s">
        <v>2160</v>
      </c>
      <c r="L1578" s="348" t="s">
        <v>1205</v>
      </c>
      <c r="M1578" s="265" t="s">
        <v>2161</v>
      </c>
      <c r="N1578" s="347">
        <v>2.8620000000000001</v>
      </c>
      <c r="O1578" s="348" t="s">
        <v>1205</v>
      </c>
      <c r="P1578" s="348">
        <v>286.2</v>
      </c>
      <c r="Q1578" s="348">
        <v>53.333269333358928</v>
      </c>
    </row>
    <row r="1579" spans="1:17" ht="15" hidden="1" customHeight="1">
      <c r="A1579" s="163">
        <v>1574</v>
      </c>
      <c r="B1579" s="53" t="s">
        <v>11321</v>
      </c>
      <c r="C1579" s="53" t="s">
        <v>2162</v>
      </c>
      <c r="D1579" s="53">
        <v>100029267</v>
      </c>
      <c r="E1579" s="55" t="s">
        <v>2163</v>
      </c>
      <c r="F1579" s="129">
        <v>1</v>
      </c>
      <c r="G1579" s="129">
        <v>75</v>
      </c>
      <c r="H1579" s="512">
        <v>226.43</v>
      </c>
      <c r="I1579" s="265" t="s">
        <v>76</v>
      </c>
      <c r="J1579" s="265" t="s">
        <v>102</v>
      </c>
      <c r="K1579" s="265" t="s">
        <v>2164</v>
      </c>
      <c r="L1579" s="348" t="s">
        <v>1205</v>
      </c>
      <c r="M1579" s="265" t="s">
        <v>2165</v>
      </c>
      <c r="N1579" s="347">
        <v>4.8140000000000001</v>
      </c>
      <c r="O1579" s="348" t="s">
        <v>1205</v>
      </c>
      <c r="P1579" s="348">
        <v>471.82500000000005</v>
      </c>
      <c r="Q1579" s="348">
        <v>53.333269333358928</v>
      </c>
    </row>
    <row r="1580" spans="1:17" ht="15" hidden="1" customHeight="1">
      <c r="A1580" s="163">
        <v>1575</v>
      </c>
      <c r="B1580" s="53" t="s">
        <v>11321</v>
      </c>
      <c r="C1580" s="53" t="s">
        <v>2166</v>
      </c>
      <c r="D1580" s="53">
        <v>100029282</v>
      </c>
      <c r="E1580" s="55" t="s">
        <v>2167</v>
      </c>
      <c r="F1580" s="129">
        <v>1</v>
      </c>
      <c r="G1580" s="129">
        <v>60</v>
      </c>
      <c r="H1580" s="512">
        <v>342.18</v>
      </c>
      <c r="I1580" s="265" t="s">
        <v>76</v>
      </c>
      <c r="J1580" s="265" t="s">
        <v>102</v>
      </c>
      <c r="K1580" s="265" t="s">
        <v>2168</v>
      </c>
      <c r="L1580" s="348" t="s">
        <v>1205</v>
      </c>
      <c r="M1580" s="265" t="s">
        <v>2169</v>
      </c>
      <c r="N1580" s="347">
        <v>7.55</v>
      </c>
      <c r="O1580" s="348" t="s">
        <v>1205</v>
      </c>
      <c r="P1580" s="348">
        <v>314.06</v>
      </c>
      <c r="Q1580" s="348">
        <v>53.333269333358928</v>
      </c>
    </row>
    <row r="1581" spans="1:17" ht="15" hidden="1" customHeight="1">
      <c r="A1581" s="163">
        <v>1576</v>
      </c>
      <c r="B1581" s="53" t="s">
        <v>11321</v>
      </c>
      <c r="C1581" s="53" t="s">
        <v>2170</v>
      </c>
      <c r="D1581" s="53">
        <v>100029283</v>
      </c>
      <c r="E1581" s="55" t="s">
        <v>2171</v>
      </c>
      <c r="F1581" s="129">
        <v>1</v>
      </c>
      <c r="G1581" s="129">
        <v>48</v>
      </c>
      <c r="H1581" s="512">
        <v>354.04</v>
      </c>
      <c r="I1581" s="265" t="s">
        <v>76</v>
      </c>
      <c r="J1581" s="265" t="s">
        <v>102</v>
      </c>
      <c r="K1581" s="265" t="s">
        <v>2172</v>
      </c>
      <c r="L1581" s="348" t="s">
        <v>1205</v>
      </c>
      <c r="M1581" s="265" t="s">
        <v>2173</v>
      </c>
      <c r="N1581" s="347">
        <v>9.02</v>
      </c>
      <c r="O1581" s="348" t="s">
        <v>1205</v>
      </c>
      <c r="P1581" s="348">
        <v>481.54499999999996</v>
      </c>
      <c r="Q1581" s="348">
        <v>53.333269333358928</v>
      </c>
    </row>
    <row r="1582" spans="1:17" ht="15" hidden="1" customHeight="1">
      <c r="A1582" s="163">
        <v>1577</v>
      </c>
      <c r="B1582" s="53" t="s">
        <v>11321</v>
      </c>
      <c r="C1582" s="53" t="s">
        <v>2174</v>
      </c>
      <c r="D1582" s="53">
        <v>100031304</v>
      </c>
      <c r="E1582" s="55" t="s">
        <v>2175</v>
      </c>
      <c r="F1582" s="129">
        <v>1</v>
      </c>
      <c r="G1582" s="129">
        <v>38</v>
      </c>
      <c r="H1582" s="512">
        <v>502.42</v>
      </c>
      <c r="I1582" s="265" t="s">
        <v>76</v>
      </c>
      <c r="J1582" s="265" t="s">
        <v>102</v>
      </c>
      <c r="K1582" s="265" t="s">
        <v>2176</v>
      </c>
      <c r="L1582" s="348" t="s">
        <v>1205</v>
      </c>
      <c r="M1582" s="265" t="s">
        <v>2177</v>
      </c>
      <c r="N1582" s="347">
        <v>7.3659999999999997</v>
      </c>
      <c r="O1582" s="348" t="s">
        <v>1205</v>
      </c>
      <c r="P1582" s="348">
        <v>279.90800000000002</v>
      </c>
      <c r="Q1582" s="348">
        <v>53.333269333358928</v>
      </c>
    </row>
    <row r="1583" spans="1:17" ht="15" hidden="1" customHeight="1">
      <c r="A1583" s="163">
        <v>1578</v>
      </c>
      <c r="B1583" s="53" t="s">
        <v>11321</v>
      </c>
      <c r="C1583" s="53" t="s">
        <v>2178</v>
      </c>
      <c r="D1583" s="53">
        <v>300003479</v>
      </c>
      <c r="E1583" s="55" t="s">
        <v>2179</v>
      </c>
      <c r="F1583" s="129">
        <v>2</v>
      </c>
      <c r="G1583" s="129">
        <v>12</v>
      </c>
      <c r="H1583" s="512">
        <v>2049.6799999999998</v>
      </c>
      <c r="I1583" s="265" t="s">
        <v>1693</v>
      </c>
      <c r="J1583" s="265" t="s">
        <v>77</v>
      </c>
      <c r="K1583" s="265" t="s">
        <v>2180</v>
      </c>
      <c r="L1583" s="348" t="s">
        <v>1205</v>
      </c>
      <c r="M1583" s="265">
        <v>0</v>
      </c>
      <c r="N1583" s="347">
        <v>12.579000000000001</v>
      </c>
      <c r="O1583" s="348" t="s">
        <v>1205</v>
      </c>
      <c r="P1583" s="348">
        <v>25.158000000000001</v>
      </c>
      <c r="Q1583" s="348" t="s">
        <v>1205</v>
      </c>
    </row>
    <row r="1584" spans="1:17" ht="15" hidden="1" customHeight="1">
      <c r="A1584" s="163">
        <v>1579</v>
      </c>
      <c r="B1584" s="53" t="s">
        <v>11321</v>
      </c>
      <c r="C1584" s="53" t="s">
        <v>2181</v>
      </c>
      <c r="D1584" s="53">
        <v>300005848</v>
      </c>
      <c r="E1584" s="55" t="s">
        <v>2182</v>
      </c>
      <c r="F1584" s="129">
        <v>1</v>
      </c>
      <c r="G1584" s="129">
        <v>31</v>
      </c>
      <c r="H1584" s="512">
        <v>2419.6</v>
      </c>
      <c r="I1584" s="265" t="s">
        <v>1693</v>
      </c>
      <c r="J1584" s="265" t="s">
        <v>77</v>
      </c>
      <c r="K1584" s="265" t="s">
        <v>2183</v>
      </c>
      <c r="L1584" s="348" t="s">
        <v>1205</v>
      </c>
      <c r="M1584" s="265">
        <v>0</v>
      </c>
      <c r="N1584" s="347">
        <v>13.54</v>
      </c>
      <c r="O1584" s="348" t="s">
        <v>1205</v>
      </c>
      <c r="P1584" s="348">
        <v>13.54</v>
      </c>
      <c r="Q1584" s="348" t="s">
        <v>1205</v>
      </c>
    </row>
    <row r="1585" spans="1:17" ht="15" hidden="1" customHeight="1">
      <c r="A1585" s="163">
        <v>1580</v>
      </c>
      <c r="B1585" s="53" t="s">
        <v>11321</v>
      </c>
      <c r="C1585" s="53" t="s">
        <v>2184</v>
      </c>
      <c r="D1585" s="53">
        <v>300003472</v>
      </c>
      <c r="E1585" s="55" t="s">
        <v>2185</v>
      </c>
      <c r="F1585" s="129">
        <v>1</v>
      </c>
      <c r="G1585" s="129">
        <v>14</v>
      </c>
      <c r="H1585" s="512">
        <v>4946.12</v>
      </c>
      <c r="I1585" s="265" t="s">
        <v>1693</v>
      </c>
      <c r="J1585" s="265" t="s">
        <v>77</v>
      </c>
      <c r="K1585" s="265" t="s">
        <v>2186</v>
      </c>
      <c r="L1585" s="348" t="s">
        <v>1205</v>
      </c>
      <c r="M1585" s="265">
        <v>0</v>
      </c>
      <c r="N1585" s="347">
        <v>16.920000000000002</v>
      </c>
      <c r="O1585" s="348" t="s">
        <v>1205</v>
      </c>
      <c r="P1585" s="348">
        <v>16.920000000000002</v>
      </c>
      <c r="Q1585" s="348" t="s">
        <v>1205</v>
      </c>
    </row>
    <row r="1586" spans="1:17" ht="15" hidden="1" customHeight="1">
      <c r="A1586" s="163">
        <v>1581</v>
      </c>
      <c r="B1586" s="53" t="s">
        <v>11321</v>
      </c>
      <c r="C1586" s="53" t="s">
        <v>2187</v>
      </c>
      <c r="D1586" s="53">
        <v>300003537</v>
      </c>
      <c r="E1586" s="55" t="s">
        <v>2188</v>
      </c>
      <c r="F1586" s="129">
        <v>1</v>
      </c>
      <c r="G1586" s="129">
        <v>8</v>
      </c>
      <c r="H1586" s="512">
        <v>3346.08</v>
      </c>
      <c r="I1586" s="265" t="s">
        <v>1693</v>
      </c>
      <c r="J1586" s="265" t="s">
        <v>77</v>
      </c>
      <c r="K1586" s="265" t="s">
        <v>2189</v>
      </c>
      <c r="L1586" s="348" t="s">
        <v>1205</v>
      </c>
      <c r="M1586" s="265">
        <v>0</v>
      </c>
      <c r="N1586" s="347">
        <v>20.530999999999999</v>
      </c>
      <c r="O1586" s="348" t="s">
        <v>1205</v>
      </c>
      <c r="P1586" s="348">
        <v>20.530999999999999</v>
      </c>
      <c r="Q1586" s="348" t="s">
        <v>1205</v>
      </c>
    </row>
    <row r="1587" spans="1:17" ht="15" hidden="1" customHeight="1">
      <c r="A1587" s="163">
        <v>1582</v>
      </c>
      <c r="B1587" s="53" t="s">
        <v>11321</v>
      </c>
      <c r="C1587" s="53" t="s">
        <v>2190</v>
      </c>
      <c r="D1587" s="53">
        <v>300005855</v>
      </c>
      <c r="E1587" s="55" t="s">
        <v>2191</v>
      </c>
      <c r="F1587" s="129">
        <v>1</v>
      </c>
      <c r="G1587" s="129">
        <v>16</v>
      </c>
      <c r="H1587" s="512">
        <v>1345.57</v>
      </c>
      <c r="I1587" s="265" t="s">
        <v>1693</v>
      </c>
      <c r="J1587" s="265" t="s">
        <v>77</v>
      </c>
      <c r="K1587" s="265" t="s">
        <v>2192</v>
      </c>
      <c r="L1587" s="348" t="s">
        <v>1205</v>
      </c>
      <c r="M1587" s="265">
        <v>0</v>
      </c>
      <c r="N1587" s="347">
        <v>21.12</v>
      </c>
      <c r="O1587" s="348" t="s">
        <v>1205</v>
      </c>
      <c r="P1587" s="348">
        <v>21.12</v>
      </c>
      <c r="Q1587" s="348" t="s">
        <v>1205</v>
      </c>
    </row>
    <row r="1588" spans="1:17" ht="15" hidden="1" customHeight="1">
      <c r="A1588" s="163">
        <v>1583</v>
      </c>
      <c r="B1588" s="53" t="s">
        <v>11321</v>
      </c>
      <c r="C1588" s="53" t="s">
        <v>2193</v>
      </c>
      <c r="D1588" s="53">
        <v>300003530</v>
      </c>
      <c r="E1588" s="55" t="s">
        <v>2194</v>
      </c>
      <c r="F1588" s="129">
        <v>1</v>
      </c>
      <c r="G1588" s="129">
        <v>6</v>
      </c>
      <c r="H1588" s="512">
        <v>4164.87</v>
      </c>
      <c r="I1588" s="265" t="s">
        <v>1693</v>
      </c>
      <c r="J1588" s="265" t="s">
        <v>77</v>
      </c>
      <c r="K1588" s="265" t="s">
        <v>2195</v>
      </c>
      <c r="L1588" s="348" t="s">
        <v>1205</v>
      </c>
      <c r="M1588" s="265">
        <v>0</v>
      </c>
      <c r="N1588" s="347">
        <v>29.6</v>
      </c>
      <c r="O1588" s="348" t="s">
        <v>1205</v>
      </c>
      <c r="P1588" s="348">
        <v>29.6</v>
      </c>
      <c r="Q1588" s="348" t="s">
        <v>1205</v>
      </c>
    </row>
    <row r="1589" spans="1:17" ht="15" hidden="1" customHeight="1">
      <c r="A1589" s="163">
        <v>1584</v>
      </c>
      <c r="B1589" s="53" t="s">
        <v>11321</v>
      </c>
      <c r="C1589" s="53" t="s">
        <v>2196</v>
      </c>
      <c r="D1589" s="53">
        <v>100029386</v>
      </c>
      <c r="E1589" s="55" t="s">
        <v>2197</v>
      </c>
      <c r="F1589" s="129">
        <v>20</v>
      </c>
      <c r="G1589" s="129">
        <v>480</v>
      </c>
      <c r="H1589" s="512">
        <v>80.62</v>
      </c>
      <c r="I1589" s="265" t="s">
        <v>76</v>
      </c>
      <c r="J1589" s="265" t="s">
        <v>102</v>
      </c>
      <c r="K1589" s="265" t="s">
        <v>2198</v>
      </c>
      <c r="L1589" s="348" t="s">
        <v>1205</v>
      </c>
      <c r="M1589" s="265" t="s">
        <v>2199</v>
      </c>
      <c r="N1589" s="347">
        <v>1.1519999999999999</v>
      </c>
      <c r="O1589" s="348" t="s">
        <v>1205</v>
      </c>
      <c r="P1589" s="348">
        <v>25.22</v>
      </c>
      <c r="Q1589" s="348">
        <v>1.8803145838984718</v>
      </c>
    </row>
    <row r="1590" spans="1:17" ht="15" hidden="1" customHeight="1">
      <c r="A1590" s="163">
        <v>1585</v>
      </c>
      <c r="B1590" s="53" t="s">
        <v>11321</v>
      </c>
      <c r="C1590" s="53" t="s">
        <v>2200</v>
      </c>
      <c r="D1590" s="53">
        <v>100029387</v>
      </c>
      <c r="E1590" s="55" t="s">
        <v>2201</v>
      </c>
      <c r="F1590" s="129">
        <v>1</v>
      </c>
      <c r="G1590" s="129">
        <v>150</v>
      </c>
      <c r="H1590" s="512">
        <v>160.93</v>
      </c>
      <c r="I1590" s="265" t="s">
        <v>359</v>
      </c>
      <c r="J1590" s="265" t="s">
        <v>102</v>
      </c>
      <c r="K1590" s="265" t="s">
        <v>2202</v>
      </c>
      <c r="L1590" s="348" t="s">
        <v>1205</v>
      </c>
      <c r="M1590" s="265" t="s">
        <v>2203</v>
      </c>
      <c r="N1590" s="347">
        <v>2.6680000000000001</v>
      </c>
      <c r="O1590" s="348" t="s">
        <v>1205</v>
      </c>
      <c r="P1590" s="348">
        <v>400.20000000000005</v>
      </c>
      <c r="Q1590" s="348">
        <v>53.333269333358928</v>
      </c>
    </row>
    <row r="1591" spans="1:17" ht="15" hidden="1" customHeight="1">
      <c r="A1591" s="163">
        <v>1586</v>
      </c>
      <c r="B1591" s="53" t="s">
        <v>11321</v>
      </c>
      <c r="C1591" s="53" t="s">
        <v>2204</v>
      </c>
      <c r="D1591" s="53">
        <v>100029388</v>
      </c>
      <c r="E1591" s="55" t="s">
        <v>2205</v>
      </c>
      <c r="F1591" s="129">
        <v>1</v>
      </c>
      <c r="G1591" s="129">
        <v>80</v>
      </c>
      <c r="H1591" s="512">
        <v>273.38</v>
      </c>
      <c r="I1591" s="265" t="s">
        <v>359</v>
      </c>
      <c r="J1591" s="265" t="s">
        <v>102</v>
      </c>
      <c r="K1591" s="265" t="s">
        <v>2206</v>
      </c>
      <c r="L1591" s="348" t="s">
        <v>1205</v>
      </c>
      <c r="M1591" s="265" t="s">
        <v>2207</v>
      </c>
      <c r="N1591" s="347">
        <v>4.3499999999999996</v>
      </c>
      <c r="O1591" s="348" t="s">
        <v>1205</v>
      </c>
      <c r="P1591" s="348">
        <v>348</v>
      </c>
      <c r="Q1591" s="348">
        <v>53.333269333358928</v>
      </c>
    </row>
    <row r="1592" spans="1:17" ht="15" hidden="1" customHeight="1">
      <c r="A1592" s="163">
        <v>1587</v>
      </c>
      <c r="B1592" s="53" t="s">
        <v>11321</v>
      </c>
      <c r="C1592" s="53" t="s">
        <v>2208</v>
      </c>
      <c r="D1592" s="53">
        <v>300005845</v>
      </c>
      <c r="E1592" s="55" t="s">
        <v>2209</v>
      </c>
      <c r="F1592" s="129">
        <v>1</v>
      </c>
      <c r="G1592" s="129">
        <v>36</v>
      </c>
      <c r="H1592" s="512">
        <v>986.86</v>
      </c>
      <c r="I1592" s="265" t="s">
        <v>1693</v>
      </c>
      <c r="J1592" s="265" t="s">
        <v>77</v>
      </c>
      <c r="K1592" s="265" t="s">
        <v>2210</v>
      </c>
      <c r="L1592" s="348" t="s">
        <v>1205</v>
      </c>
      <c r="M1592" s="265">
        <v>0</v>
      </c>
      <c r="N1592" s="347">
        <v>6.64</v>
      </c>
      <c r="O1592" s="348" t="s">
        <v>1205</v>
      </c>
      <c r="P1592" s="348">
        <v>6.64</v>
      </c>
      <c r="Q1592" s="348" t="s">
        <v>1205</v>
      </c>
    </row>
    <row r="1593" spans="1:17" ht="15" hidden="1" customHeight="1">
      <c r="A1593" s="163">
        <v>1588</v>
      </c>
      <c r="B1593" s="53" t="s">
        <v>11321</v>
      </c>
      <c r="C1593" s="53" t="s">
        <v>2211</v>
      </c>
      <c r="D1593" s="53">
        <v>300005851</v>
      </c>
      <c r="E1593" s="55" t="s">
        <v>2212</v>
      </c>
      <c r="F1593" s="129">
        <v>1</v>
      </c>
      <c r="G1593" s="129">
        <v>18</v>
      </c>
      <c r="H1593" s="512">
        <v>1770.14</v>
      </c>
      <c r="I1593" s="265" t="s">
        <v>1693</v>
      </c>
      <c r="J1593" s="265" t="s">
        <v>77</v>
      </c>
      <c r="K1593" s="265" t="s">
        <v>2213</v>
      </c>
      <c r="L1593" s="348" t="s">
        <v>1205</v>
      </c>
      <c r="M1593" s="265">
        <v>0</v>
      </c>
      <c r="N1593" s="347">
        <v>12.316000000000001</v>
      </c>
      <c r="O1593" s="348" t="s">
        <v>1205</v>
      </c>
      <c r="P1593" s="348">
        <v>12.316000000000001</v>
      </c>
      <c r="Q1593" s="348" t="s">
        <v>1205</v>
      </c>
    </row>
    <row r="1594" spans="1:17" ht="15" hidden="1" customHeight="1">
      <c r="A1594" s="163">
        <v>1589</v>
      </c>
      <c r="B1594" s="53" t="s">
        <v>11321</v>
      </c>
      <c r="C1594" s="53" t="s">
        <v>2214</v>
      </c>
      <c r="D1594" s="53">
        <v>100029395</v>
      </c>
      <c r="E1594" s="55" t="s">
        <v>2215</v>
      </c>
      <c r="F1594" s="129">
        <v>20</v>
      </c>
      <c r="G1594" s="129">
        <v>480</v>
      </c>
      <c r="H1594" s="512">
        <v>80.62</v>
      </c>
      <c r="I1594" s="265" t="s">
        <v>76</v>
      </c>
      <c r="J1594" s="265" t="s">
        <v>102</v>
      </c>
      <c r="K1594" s="265" t="s">
        <v>2216</v>
      </c>
      <c r="L1594" s="348" t="s">
        <v>1205</v>
      </c>
      <c r="M1594" s="265" t="s">
        <v>2217</v>
      </c>
      <c r="N1594" s="347">
        <v>1.1299999999999999</v>
      </c>
      <c r="O1594" s="348" t="s">
        <v>1205</v>
      </c>
      <c r="P1594" s="348">
        <v>24.78</v>
      </c>
      <c r="Q1594" s="348">
        <v>1.8803145838984718</v>
      </c>
    </row>
    <row r="1595" spans="1:17" ht="15" hidden="1" customHeight="1">
      <c r="A1595" s="163">
        <v>1590</v>
      </c>
      <c r="B1595" s="53" t="s">
        <v>11321</v>
      </c>
      <c r="C1595" s="53" t="s">
        <v>2218</v>
      </c>
      <c r="D1595" s="53">
        <v>100029396</v>
      </c>
      <c r="E1595" s="55" t="s">
        <v>2219</v>
      </c>
      <c r="F1595" s="129">
        <v>1</v>
      </c>
      <c r="G1595" s="129">
        <v>150</v>
      </c>
      <c r="H1595" s="512">
        <v>160.93</v>
      </c>
      <c r="I1595" s="265" t="s">
        <v>76</v>
      </c>
      <c r="J1595" s="265" t="s">
        <v>102</v>
      </c>
      <c r="K1595" s="265" t="s">
        <v>2220</v>
      </c>
      <c r="L1595" s="348" t="s">
        <v>1205</v>
      </c>
      <c r="M1595" s="265" t="s">
        <v>2221</v>
      </c>
      <c r="N1595" s="347">
        <v>2.5979999999999999</v>
      </c>
      <c r="O1595" s="348" t="s">
        <v>1205</v>
      </c>
      <c r="P1595" s="348">
        <v>510.74999999999994</v>
      </c>
      <c r="Q1595" s="348">
        <v>53.333269333358928</v>
      </c>
    </row>
    <row r="1596" spans="1:17" ht="15" hidden="1" customHeight="1">
      <c r="A1596" s="163">
        <v>1591</v>
      </c>
      <c r="B1596" s="53" t="s">
        <v>11321</v>
      </c>
      <c r="C1596" s="53" t="s">
        <v>2222</v>
      </c>
      <c r="D1596" s="53">
        <v>100029397</v>
      </c>
      <c r="E1596" s="55" t="s">
        <v>2223</v>
      </c>
      <c r="F1596" s="129">
        <v>1</v>
      </c>
      <c r="G1596" s="129">
        <v>80</v>
      </c>
      <c r="H1596" s="512">
        <v>273.38</v>
      </c>
      <c r="I1596" s="265" t="s">
        <v>76</v>
      </c>
      <c r="J1596" s="265" t="s">
        <v>102</v>
      </c>
      <c r="K1596" s="265" t="s">
        <v>2224</v>
      </c>
      <c r="L1596" s="348" t="s">
        <v>1205</v>
      </c>
      <c r="M1596" s="265" t="s">
        <v>2225</v>
      </c>
      <c r="N1596" s="347">
        <v>4.1859999999999999</v>
      </c>
      <c r="O1596" s="348" t="s">
        <v>1205</v>
      </c>
      <c r="P1596" s="348">
        <v>453.84000000000003</v>
      </c>
      <c r="Q1596" s="348">
        <v>53.333269333358928</v>
      </c>
    </row>
    <row r="1597" spans="1:17" ht="15" hidden="1" customHeight="1">
      <c r="A1597" s="163">
        <v>1592</v>
      </c>
      <c r="B1597" s="53" t="s">
        <v>11321</v>
      </c>
      <c r="C1597" s="53" t="s">
        <v>2226</v>
      </c>
      <c r="D1597" s="53">
        <v>100029404</v>
      </c>
      <c r="E1597" s="55" t="s">
        <v>2227</v>
      </c>
      <c r="F1597" s="129">
        <v>1</v>
      </c>
      <c r="G1597" s="129">
        <v>36</v>
      </c>
      <c r="H1597" s="512">
        <v>606.71</v>
      </c>
      <c r="I1597" s="265" t="s">
        <v>76</v>
      </c>
      <c r="J1597" s="265" t="s">
        <v>102</v>
      </c>
      <c r="K1597" s="265" t="s">
        <v>2228</v>
      </c>
      <c r="L1597" s="348" t="s">
        <v>1205</v>
      </c>
      <c r="M1597" s="265" t="s">
        <v>2229</v>
      </c>
      <c r="N1597" s="347">
        <v>7.6520000000000001</v>
      </c>
      <c r="O1597" s="348" t="s">
        <v>1205</v>
      </c>
      <c r="P1597" s="348">
        <v>389.84400000000005</v>
      </c>
      <c r="Q1597" s="348">
        <v>53.333269333358928</v>
      </c>
    </row>
    <row r="1598" spans="1:17" ht="15" hidden="1" customHeight="1">
      <c r="A1598" s="163">
        <v>1593</v>
      </c>
      <c r="B1598" s="53" t="s">
        <v>11321</v>
      </c>
      <c r="C1598" s="53" t="s">
        <v>2230</v>
      </c>
      <c r="D1598" s="53">
        <v>300005850</v>
      </c>
      <c r="E1598" s="55" t="s">
        <v>2231</v>
      </c>
      <c r="F1598" s="129">
        <v>1</v>
      </c>
      <c r="G1598" s="129">
        <v>18</v>
      </c>
      <c r="H1598" s="512">
        <v>2120.9499999999998</v>
      </c>
      <c r="I1598" s="265" t="s">
        <v>1693</v>
      </c>
      <c r="J1598" s="265" t="s">
        <v>77</v>
      </c>
      <c r="K1598" s="265" t="s">
        <v>2232</v>
      </c>
      <c r="L1598" s="348" t="s">
        <v>1205</v>
      </c>
      <c r="M1598" s="265">
        <v>0</v>
      </c>
      <c r="N1598" s="347">
        <v>11.98</v>
      </c>
      <c r="O1598" s="348" t="s">
        <v>1205</v>
      </c>
      <c r="P1598" s="348">
        <v>11.98</v>
      </c>
      <c r="Q1598" s="348" t="s">
        <v>1205</v>
      </c>
    </row>
    <row r="1599" spans="1:17" ht="15" hidden="1" customHeight="1">
      <c r="A1599" s="163">
        <v>1594</v>
      </c>
      <c r="B1599" s="53" t="s">
        <v>11321</v>
      </c>
      <c r="C1599" s="53" t="s">
        <v>2233</v>
      </c>
      <c r="D1599" s="53">
        <v>300004436</v>
      </c>
      <c r="E1599" s="55" t="s">
        <v>2234</v>
      </c>
      <c r="F1599" s="129">
        <v>6</v>
      </c>
      <c r="G1599" s="129">
        <v>192</v>
      </c>
      <c r="H1599" s="512">
        <v>154.01</v>
      </c>
      <c r="I1599" s="265" t="s">
        <v>1693</v>
      </c>
      <c r="J1599" s="265" t="s">
        <v>77</v>
      </c>
      <c r="K1599" s="265" t="s">
        <v>2235</v>
      </c>
      <c r="L1599" s="348" t="s">
        <v>1205</v>
      </c>
      <c r="M1599" s="265">
        <v>0</v>
      </c>
      <c r="N1599" s="347">
        <v>1.38</v>
      </c>
      <c r="O1599" s="348" t="s">
        <v>1205</v>
      </c>
      <c r="P1599" s="348">
        <v>8.2799999999999994</v>
      </c>
      <c r="Q1599" s="348" t="s">
        <v>1205</v>
      </c>
    </row>
    <row r="1600" spans="1:17" ht="15" hidden="1" customHeight="1">
      <c r="A1600" s="163">
        <v>1595</v>
      </c>
      <c r="B1600" s="53" t="s">
        <v>11321</v>
      </c>
      <c r="C1600" s="53" t="s">
        <v>2236</v>
      </c>
      <c r="D1600" s="53">
        <v>300004454</v>
      </c>
      <c r="E1600" s="55" t="s">
        <v>2237</v>
      </c>
      <c r="F1600" s="129">
        <v>4</v>
      </c>
      <c r="G1600" s="129">
        <v>24</v>
      </c>
      <c r="H1600" s="512">
        <v>644.39</v>
      </c>
      <c r="I1600" s="265" t="s">
        <v>1693</v>
      </c>
      <c r="J1600" s="265" t="s">
        <v>77</v>
      </c>
      <c r="K1600" s="265" t="s">
        <v>2238</v>
      </c>
      <c r="L1600" s="348" t="s">
        <v>1205</v>
      </c>
      <c r="M1600" s="265">
        <v>0</v>
      </c>
      <c r="N1600" s="347">
        <v>1</v>
      </c>
      <c r="O1600" s="348" t="s">
        <v>1205</v>
      </c>
      <c r="P1600" s="348">
        <v>4</v>
      </c>
      <c r="Q1600" s="348" t="s">
        <v>1205</v>
      </c>
    </row>
    <row r="1601" spans="1:17" ht="15" hidden="1" customHeight="1">
      <c r="A1601" s="163">
        <v>1596</v>
      </c>
      <c r="B1601" s="53" t="s">
        <v>11321</v>
      </c>
      <c r="C1601" s="53" t="s">
        <v>2239</v>
      </c>
      <c r="D1601" s="53">
        <v>300004479</v>
      </c>
      <c r="E1601" s="55" t="s">
        <v>2240</v>
      </c>
      <c r="F1601" s="129">
        <v>2</v>
      </c>
      <c r="G1601" s="129">
        <v>12</v>
      </c>
      <c r="H1601" s="512">
        <v>1300.81</v>
      </c>
      <c r="I1601" s="265" t="s">
        <v>1693</v>
      </c>
      <c r="J1601" s="265" t="s">
        <v>77</v>
      </c>
      <c r="K1601" s="265" t="s">
        <v>2241</v>
      </c>
      <c r="L1601" s="348" t="s">
        <v>1205</v>
      </c>
      <c r="M1601" s="265">
        <v>0</v>
      </c>
      <c r="N1601" s="347">
        <v>1</v>
      </c>
      <c r="O1601" s="348" t="s">
        <v>1205</v>
      </c>
      <c r="P1601" s="348">
        <v>2</v>
      </c>
      <c r="Q1601" s="348" t="s">
        <v>1205</v>
      </c>
    </row>
    <row r="1602" spans="1:17" ht="15" hidden="1" customHeight="1">
      <c r="A1602" s="163">
        <v>1597</v>
      </c>
      <c r="B1602" s="53" t="s">
        <v>11321</v>
      </c>
      <c r="C1602" s="53" t="s">
        <v>2242</v>
      </c>
      <c r="D1602" s="53">
        <v>300004437</v>
      </c>
      <c r="E1602" s="55" t="s">
        <v>2243</v>
      </c>
      <c r="F1602" s="129">
        <v>6</v>
      </c>
      <c r="G1602" s="129">
        <v>192</v>
      </c>
      <c r="H1602" s="512">
        <v>136.57</v>
      </c>
      <c r="I1602" s="265" t="s">
        <v>1693</v>
      </c>
      <c r="J1602" s="265" t="s">
        <v>77</v>
      </c>
      <c r="K1602" s="265" t="s">
        <v>2244</v>
      </c>
      <c r="L1602" s="348" t="s">
        <v>1205</v>
      </c>
      <c r="M1602" s="265">
        <v>0</v>
      </c>
      <c r="N1602" s="347">
        <v>1.274</v>
      </c>
      <c r="O1602" s="348" t="s">
        <v>1205</v>
      </c>
      <c r="P1602" s="348">
        <v>7.6440000000000001</v>
      </c>
      <c r="Q1602" s="348" t="s">
        <v>1205</v>
      </c>
    </row>
    <row r="1603" spans="1:17" ht="15" hidden="1" customHeight="1">
      <c r="A1603" s="163">
        <v>1598</v>
      </c>
      <c r="B1603" s="53" t="s">
        <v>11321</v>
      </c>
      <c r="C1603" s="53" t="s">
        <v>2245</v>
      </c>
      <c r="D1603" s="53">
        <v>300004455</v>
      </c>
      <c r="E1603" s="55" t="s">
        <v>2246</v>
      </c>
      <c r="F1603" s="129">
        <v>4</v>
      </c>
      <c r="G1603" s="129">
        <v>24</v>
      </c>
      <c r="H1603" s="512">
        <v>844.6</v>
      </c>
      <c r="I1603" s="265" t="s">
        <v>1693</v>
      </c>
      <c r="J1603" s="265" t="s">
        <v>77</v>
      </c>
      <c r="K1603" s="265" t="s">
        <v>2247</v>
      </c>
      <c r="L1603" s="348" t="s">
        <v>1205</v>
      </c>
      <c r="M1603" s="265">
        <v>0</v>
      </c>
      <c r="N1603" s="347">
        <v>1</v>
      </c>
      <c r="O1603" s="348" t="s">
        <v>1205</v>
      </c>
      <c r="P1603" s="348">
        <v>4</v>
      </c>
      <c r="Q1603" s="348" t="s">
        <v>1205</v>
      </c>
    </row>
    <row r="1604" spans="1:17" ht="15" hidden="1" customHeight="1">
      <c r="A1604" s="163">
        <v>1599</v>
      </c>
      <c r="B1604" s="53" t="s">
        <v>11321</v>
      </c>
      <c r="C1604" s="53" t="s">
        <v>2248</v>
      </c>
      <c r="D1604" s="53">
        <v>100029305</v>
      </c>
      <c r="E1604" s="55" t="s">
        <v>2249</v>
      </c>
      <c r="F1604" s="129">
        <v>10</v>
      </c>
      <c r="G1604" s="129">
        <v>240</v>
      </c>
      <c r="H1604" s="512">
        <v>82.07</v>
      </c>
      <c r="I1604" s="265" t="s">
        <v>76</v>
      </c>
      <c r="J1604" s="265" t="s">
        <v>102</v>
      </c>
      <c r="K1604" s="265" t="s">
        <v>2250</v>
      </c>
      <c r="L1604" s="348" t="s">
        <v>1205</v>
      </c>
      <c r="M1604" s="265" t="s">
        <v>2251</v>
      </c>
      <c r="N1604" s="347">
        <v>1.4319999999999999</v>
      </c>
      <c r="O1604" s="348" t="s">
        <v>1205</v>
      </c>
      <c r="P1604" s="348">
        <v>16.490000000000002</v>
      </c>
      <c r="Q1604" s="348">
        <v>1.8803145838984718</v>
      </c>
    </row>
    <row r="1605" spans="1:17" ht="15" hidden="1" customHeight="1">
      <c r="A1605" s="163">
        <v>1600</v>
      </c>
      <c r="B1605" s="53" t="s">
        <v>11321</v>
      </c>
      <c r="C1605" s="53" t="s">
        <v>2252</v>
      </c>
      <c r="D1605" s="53">
        <v>100029317</v>
      </c>
      <c r="E1605" s="55" t="s">
        <v>2253</v>
      </c>
      <c r="F1605" s="129">
        <v>1</v>
      </c>
      <c r="G1605" s="129">
        <v>100</v>
      </c>
      <c r="H1605" s="512">
        <v>151.02000000000001</v>
      </c>
      <c r="I1605" s="265" t="s">
        <v>76</v>
      </c>
      <c r="J1605" s="265" t="s">
        <v>102</v>
      </c>
      <c r="K1605" s="265" t="s">
        <v>2254</v>
      </c>
      <c r="L1605" s="348" t="s">
        <v>1205</v>
      </c>
      <c r="M1605" s="265" t="s">
        <v>2255</v>
      </c>
      <c r="N1605" s="347">
        <v>3.7480000000000002</v>
      </c>
      <c r="O1605" s="348" t="s">
        <v>1205</v>
      </c>
      <c r="P1605" s="348">
        <v>489.29999999999995</v>
      </c>
      <c r="Q1605" s="348">
        <v>53.333269333358928</v>
      </c>
    </row>
    <row r="1606" spans="1:17" ht="15" hidden="1" customHeight="1">
      <c r="A1606" s="163">
        <v>1601</v>
      </c>
      <c r="B1606" s="53" t="s">
        <v>11321</v>
      </c>
      <c r="C1606" s="53" t="s">
        <v>2256</v>
      </c>
      <c r="D1606" s="53">
        <v>100029306</v>
      </c>
      <c r="E1606" s="55" t="s">
        <v>2257</v>
      </c>
      <c r="F1606" s="129">
        <v>1</v>
      </c>
      <c r="G1606" s="129">
        <v>54</v>
      </c>
      <c r="H1606" s="512">
        <v>417.67</v>
      </c>
      <c r="I1606" s="265" t="s">
        <v>76</v>
      </c>
      <c r="J1606" s="265" t="s">
        <v>102</v>
      </c>
      <c r="K1606" s="265" t="s">
        <v>2258</v>
      </c>
      <c r="L1606" s="348" t="s">
        <v>1205</v>
      </c>
      <c r="M1606" s="265" t="s">
        <v>2259</v>
      </c>
      <c r="N1606" s="347">
        <v>5.3259999999999996</v>
      </c>
      <c r="O1606" s="348" t="s">
        <v>1205</v>
      </c>
      <c r="P1606" s="348">
        <v>404.02800000000002</v>
      </c>
      <c r="Q1606" s="348">
        <v>53.333269333358928</v>
      </c>
    </row>
    <row r="1607" spans="1:17" ht="15" hidden="1" customHeight="1">
      <c r="A1607" s="163">
        <v>1602</v>
      </c>
      <c r="B1607" s="53" t="s">
        <v>11321</v>
      </c>
      <c r="C1607" s="53" t="s">
        <v>2260</v>
      </c>
      <c r="D1607" s="53">
        <v>100029329</v>
      </c>
      <c r="E1607" s="55" t="s">
        <v>2261</v>
      </c>
      <c r="F1607" s="129">
        <v>1</v>
      </c>
      <c r="G1607" s="129">
        <v>24</v>
      </c>
      <c r="H1607" s="512">
        <v>1404.71</v>
      </c>
      <c r="I1607" s="265" t="s">
        <v>76</v>
      </c>
      <c r="J1607" s="265" t="s">
        <v>102</v>
      </c>
      <c r="K1607" s="265" t="s">
        <v>2262</v>
      </c>
      <c r="L1607" s="348" t="s">
        <v>1205</v>
      </c>
      <c r="M1607" s="265" t="s">
        <v>2263</v>
      </c>
      <c r="N1607" s="347">
        <v>11.148</v>
      </c>
      <c r="O1607" s="348" t="s">
        <v>1205</v>
      </c>
      <c r="P1607" s="348">
        <v>267.55200000000002</v>
      </c>
      <c r="Q1607" s="348">
        <v>53.333269333358928</v>
      </c>
    </row>
    <row r="1608" spans="1:17" ht="15" hidden="1" customHeight="1">
      <c r="A1608" s="163">
        <v>1603</v>
      </c>
      <c r="B1608" s="53" t="s">
        <v>11321</v>
      </c>
      <c r="C1608" s="53" t="s">
        <v>2264</v>
      </c>
      <c r="D1608" s="53">
        <v>100029330</v>
      </c>
      <c r="E1608" s="55" t="s">
        <v>2265</v>
      </c>
      <c r="F1608" s="129">
        <v>1</v>
      </c>
      <c r="G1608" s="129">
        <v>18</v>
      </c>
      <c r="H1608" s="512">
        <v>1817.73</v>
      </c>
      <c r="I1608" s="265" t="s">
        <v>76</v>
      </c>
      <c r="J1608" s="265" t="s">
        <v>102</v>
      </c>
      <c r="K1608" s="265" t="s">
        <v>2266</v>
      </c>
      <c r="L1608" s="348" t="s">
        <v>1205</v>
      </c>
      <c r="M1608" s="265" t="s">
        <v>2267</v>
      </c>
      <c r="N1608" s="347">
        <v>18.068000000000001</v>
      </c>
      <c r="O1608" s="348" t="s">
        <v>1205</v>
      </c>
      <c r="P1608" s="348">
        <v>325.22400000000005</v>
      </c>
      <c r="Q1608" s="348">
        <v>53.333269333358928</v>
      </c>
    </row>
    <row r="1609" spans="1:17" ht="15" hidden="1" customHeight="1">
      <c r="A1609" s="163">
        <v>1604</v>
      </c>
      <c r="B1609" s="53" t="s">
        <v>11321</v>
      </c>
      <c r="C1609" s="53" t="s">
        <v>2268</v>
      </c>
      <c r="D1609" s="53">
        <v>100029303</v>
      </c>
      <c r="E1609" s="55" t="s">
        <v>2269</v>
      </c>
      <c r="F1609" s="129">
        <v>10</v>
      </c>
      <c r="G1609" s="129">
        <v>240</v>
      </c>
      <c r="H1609" s="512">
        <v>75.47</v>
      </c>
      <c r="I1609" s="265" t="s">
        <v>76</v>
      </c>
      <c r="J1609" s="265" t="s">
        <v>102</v>
      </c>
      <c r="K1609" s="265" t="s">
        <v>2270</v>
      </c>
      <c r="L1609" s="348" t="s">
        <v>1205</v>
      </c>
      <c r="M1609" s="265" t="s">
        <v>2271</v>
      </c>
      <c r="N1609" s="347">
        <v>1.276</v>
      </c>
      <c r="O1609" s="348" t="s">
        <v>1205</v>
      </c>
      <c r="P1609" s="348">
        <v>14.930000000000001</v>
      </c>
      <c r="Q1609" s="348">
        <v>1.8803145838984718</v>
      </c>
    </row>
    <row r="1610" spans="1:17" ht="15" hidden="1" customHeight="1">
      <c r="A1610" s="163">
        <v>1605</v>
      </c>
      <c r="B1610" s="53" t="s">
        <v>11321</v>
      </c>
      <c r="C1610" s="53" t="s">
        <v>2272</v>
      </c>
      <c r="D1610" s="53">
        <v>100029313</v>
      </c>
      <c r="E1610" s="55" t="s">
        <v>2273</v>
      </c>
      <c r="F1610" s="129">
        <v>1</v>
      </c>
      <c r="G1610" s="129">
        <v>100</v>
      </c>
      <c r="H1610" s="512">
        <v>159.61000000000001</v>
      </c>
      <c r="I1610" s="265" t="s">
        <v>359</v>
      </c>
      <c r="J1610" s="265" t="s">
        <v>102</v>
      </c>
      <c r="K1610" s="265" t="s">
        <v>2274</v>
      </c>
      <c r="L1610" s="348" t="s">
        <v>1205</v>
      </c>
      <c r="M1610" s="265" t="s">
        <v>2275</v>
      </c>
      <c r="N1610" s="347">
        <v>3.4780000000000002</v>
      </c>
      <c r="O1610" s="348" t="s">
        <v>1205</v>
      </c>
      <c r="P1610" s="348">
        <v>347.8</v>
      </c>
      <c r="Q1610" s="348">
        <v>53.333269333358928</v>
      </c>
    </row>
    <row r="1611" spans="1:17" ht="15" hidden="1" customHeight="1">
      <c r="A1611" s="163">
        <v>1606</v>
      </c>
      <c r="B1611" s="53" t="s">
        <v>11321</v>
      </c>
      <c r="C1611" s="53" t="s">
        <v>2276</v>
      </c>
      <c r="D1611" s="53">
        <v>100029304</v>
      </c>
      <c r="E1611" s="55" t="s">
        <v>2277</v>
      </c>
      <c r="F1611" s="129">
        <v>1</v>
      </c>
      <c r="G1611" s="129">
        <v>54</v>
      </c>
      <c r="H1611" s="512">
        <v>431.02</v>
      </c>
      <c r="I1611" s="265" t="s">
        <v>359</v>
      </c>
      <c r="J1611" s="265" t="s">
        <v>102</v>
      </c>
      <c r="K1611" s="265" t="s">
        <v>2278</v>
      </c>
      <c r="L1611" s="348" t="s">
        <v>1205</v>
      </c>
      <c r="M1611" s="265" t="s">
        <v>2279</v>
      </c>
      <c r="N1611" s="347">
        <v>5.298</v>
      </c>
      <c r="O1611" s="348" t="s">
        <v>1205</v>
      </c>
      <c r="P1611" s="348">
        <v>402.51599999999996</v>
      </c>
      <c r="Q1611" s="348">
        <v>53.333269333358928</v>
      </c>
    </row>
    <row r="1612" spans="1:17" ht="15" hidden="1" customHeight="1">
      <c r="A1612" s="163">
        <v>1607</v>
      </c>
      <c r="B1612" s="53" t="s">
        <v>11321</v>
      </c>
      <c r="C1612" s="53" t="s">
        <v>2280</v>
      </c>
      <c r="D1612" s="53">
        <v>100029314</v>
      </c>
      <c r="E1612" s="55" t="s">
        <v>2281</v>
      </c>
      <c r="F1612" s="129">
        <v>16</v>
      </c>
      <c r="G1612" s="129">
        <v>384</v>
      </c>
      <c r="H1612" s="512">
        <v>65.22</v>
      </c>
      <c r="I1612" s="265" t="s">
        <v>76</v>
      </c>
      <c r="J1612" s="265" t="s">
        <v>102</v>
      </c>
      <c r="K1612" s="265" t="s">
        <v>2282</v>
      </c>
      <c r="L1612" s="348" t="s">
        <v>1205</v>
      </c>
      <c r="M1612" s="265" t="s">
        <v>2282</v>
      </c>
      <c r="N1612" s="347">
        <v>1.1200000000000001</v>
      </c>
      <c r="O1612" s="348" t="s">
        <v>1205</v>
      </c>
      <c r="P1612" s="348">
        <v>20.111999999999998</v>
      </c>
      <c r="Q1612" s="348">
        <v>1.8803145838984718</v>
      </c>
    </row>
    <row r="1613" spans="1:17" ht="15" hidden="1" customHeight="1">
      <c r="A1613" s="163">
        <v>1608</v>
      </c>
      <c r="B1613" s="53" t="s">
        <v>11321</v>
      </c>
      <c r="C1613" s="53" t="s">
        <v>2283</v>
      </c>
      <c r="D1613" s="53">
        <v>100030903</v>
      </c>
      <c r="E1613" s="55" t="s">
        <v>2284</v>
      </c>
      <c r="F1613" s="129">
        <v>1</v>
      </c>
      <c r="G1613" s="129">
        <v>136</v>
      </c>
      <c r="H1613" s="512">
        <v>137.78</v>
      </c>
      <c r="I1613" s="265" t="s">
        <v>359</v>
      </c>
      <c r="J1613" s="265" t="s">
        <v>102</v>
      </c>
      <c r="K1613" s="265" t="s">
        <v>2285</v>
      </c>
      <c r="L1613" s="348" t="s">
        <v>1205</v>
      </c>
      <c r="M1613" s="265" t="s">
        <v>2286</v>
      </c>
      <c r="N1613" s="347">
        <v>2.5840000000000001</v>
      </c>
      <c r="O1613" s="348" t="s">
        <v>1205</v>
      </c>
      <c r="P1613" s="348">
        <v>351.42400000000004</v>
      </c>
      <c r="Q1613" s="348">
        <v>53.333269333358928</v>
      </c>
    </row>
    <row r="1614" spans="1:17" ht="15" hidden="1" customHeight="1">
      <c r="A1614" s="163">
        <v>1609</v>
      </c>
      <c r="B1614" s="53" t="s">
        <v>11321</v>
      </c>
      <c r="C1614" s="53" t="s">
        <v>2287</v>
      </c>
      <c r="D1614" s="53">
        <v>100031305</v>
      </c>
      <c r="E1614" s="55" t="s">
        <v>2288</v>
      </c>
      <c r="F1614" s="129">
        <v>1</v>
      </c>
      <c r="G1614" s="129">
        <v>110</v>
      </c>
      <c r="H1614" s="512">
        <v>132.38999999999999</v>
      </c>
      <c r="I1614" s="265" t="s">
        <v>76</v>
      </c>
      <c r="J1614" s="265" t="s">
        <v>102</v>
      </c>
      <c r="K1614" s="265" t="s">
        <v>2289</v>
      </c>
      <c r="L1614" s="348" t="s">
        <v>1205</v>
      </c>
      <c r="M1614" s="265" t="s">
        <v>2290</v>
      </c>
      <c r="N1614" s="347">
        <v>3.1360000000000001</v>
      </c>
      <c r="O1614" s="348" t="s">
        <v>1205</v>
      </c>
      <c r="P1614" s="348">
        <v>344.96000000000004</v>
      </c>
      <c r="Q1614" s="348">
        <v>53.333269333358928</v>
      </c>
    </row>
    <row r="1615" spans="1:17" ht="15" hidden="1" customHeight="1">
      <c r="A1615" s="163">
        <v>1610</v>
      </c>
      <c r="B1615" s="53" t="s">
        <v>11321</v>
      </c>
      <c r="C1615" s="53" t="s">
        <v>2291</v>
      </c>
      <c r="D1615" s="53">
        <v>100029316</v>
      </c>
      <c r="E1615" s="55" t="s">
        <v>2292</v>
      </c>
      <c r="F1615" s="129">
        <v>1</v>
      </c>
      <c r="G1615" s="129">
        <v>50</v>
      </c>
      <c r="H1615" s="512">
        <v>370.61</v>
      </c>
      <c r="I1615" s="265" t="s">
        <v>76</v>
      </c>
      <c r="J1615" s="265" t="s">
        <v>102</v>
      </c>
      <c r="K1615" s="265" t="s">
        <v>2293</v>
      </c>
      <c r="L1615" s="348" t="s">
        <v>1205</v>
      </c>
      <c r="M1615" s="265" t="s">
        <v>2294</v>
      </c>
      <c r="N1615" s="347">
        <v>6.766</v>
      </c>
      <c r="O1615" s="348" t="s">
        <v>1205</v>
      </c>
      <c r="P1615" s="348">
        <v>338.3</v>
      </c>
      <c r="Q1615" s="348">
        <v>53.333269333358928</v>
      </c>
    </row>
    <row r="1616" spans="1:17" ht="15" hidden="1" customHeight="1">
      <c r="A1616" s="163">
        <v>1611</v>
      </c>
      <c r="B1616" s="53" t="s">
        <v>11321</v>
      </c>
      <c r="C1616" s="53" t="s">
        <v>2295</v>
      </c>
      <c r="D1616" s="53">
        <v>100029333</v>
      </c>
      <c r="E1616" s="55" t="s">
        <v>2296</v>
      </c>
      <c r="F1616" s="129">
        <v>1</v>
      </c>
      <c r="G1616" s="129">
        <v>35</v>
      </c>
      <c r="H1616" s="512">
        <v>961.49</v>
      </c>
      <c r="I1616" s="265" t="s">
        <v>76</v>
      </c>
      <c r="J1616" s="265" t="s">
        <v>102</v>
      </c>
      <c r="K1616" s="265" t="s">
        <v>2297</v>
      </c>
      <c r="L1616" s="348" t="s">
        <v>1205</v>
      </c>
      <c r="M1616" s="265" t="s">
        <v>2298</v>
      </c>
      <c r="N1616" s="347">
        <v>7.798</v>
      </c>
      <c r="O1616" s="348" t="s">
        <v>1205</v>
      </c>
      <c r="P1616" s="348">
        <v>283.64</v>
      </c>
      <c r="Q1616" s="348">
        <v>53.333269333358928</v>
      </c>
    </row>
    <row r="1617" spans="1:17" ht="15" hidden="1" customHeight="1">
      <c r="A1617" s="163">
        <v>1612</v>
      </c>
      <c r="B1617" s="53" t="s">
        <v>11321</v>
      </c>
      <c r="C1617" s="53" t="s">
        <v>2299</v>
      </c>
      <c r="D1617" s="53">
        <v>100029332</v>
      </c>
      <c r="E1617" s="55" t="s">
        <v>2300</v>
      </c>
      <c r="F1617" s="129">
        <v>1</v>
      </c>
      <c r="G1617" s="129">
        <v>18</v>
      </c>
      <c r="H1617" s="512">
        <v>1396.56</v>
      </c>
      <c r="I1617" s="265" t="s">
        <v>76</v>
      </c>
      <c r="J1617" s="265" t="s">
        <v>102</v>
      </c>
      <c r="K1617" s="265" t="s">
        <v>2301</v>
      </c>
      <c r="L1617" s="348" t="s">
        <v>1205</v>
      </c>
      <c r="M1617" s="265" t="s">
        <v>2302</v>
      </c>
      <c r="N1617" s="347">
        <v>14.096</v>
      </c>
      <c r="O1617" s="348" t="s">
        <v>1205</v>
      </c>
      <c r="P1617" s="348">
        <v>253.72800000000001</v>
      </c>
      <c r="Q1617" s="348">
        <v>53.333269333358928</v>
      </c>
    </row>
    <row r="1618" spans="1:17" ht="15" hidden="1" customHeight="1">
      <c r="A1618" s="163">
        <v>1613</v>
      </c>
      <c r="B1618" s="53" t="s">
        <v>11321</v>
      </c>
      <c r="C1618" s="53" t="s">
        <v>2303</v>
      </c>
      <c r="D1618" s="53">
        <v>100029310</v>
      </c>
      <c r="E1618" s="55" t="s">
        <v>2304</v>
      </c>
      <c r="F1618" s="129">
        <v>16</v>
      </c>
      <c r="G1618" s="129">
        <v>384</v>
      </c>
      <c r="H1618" s="512">
        <v>58.7</v>
      </c>
      <c r="I1618" s="265" t="s">
        <v>76</v>
      </c>
      <c r="J1618" s="265" t="s">
        <v>102</v>
      </c>
      <c r="K1618" s="265" t="s">
        <v>2305</v>
      </c>
      <c r="L1618" s="348" t="s">
        <v>1205</v>
      </c>
      <c r="M1618" s="265" t="s">
        <v>2305</v>
      </c>
      <c r="N1618" s="347">
        <v>0.98199999999999998</v>
      </c>
      <c r="O1618" s="348" t="s">
        <v>1205</v>
      </c>
      <c r="P1618" s="348">
        <v>17.904</v>
      </c>
      <c r="Q1618" s="348">
        <v>1.8803145838984718</v>
      </c>
    </row>
    <row r="1619" spans="1:17" ht="15" hidden="1" customHeight="1">
      <c r="A1619" s="163">
        <v>1614</v>
      </c>
      <c r="B1619" s="53" t="s">
        <v>11321</v>
      </c>
      <c r="C1619" s="53" t="s">
        <v>2306</v>
      </c>
      <c r="D1619" s="53">
        <v>100030904</v>
      </c>
      <c r="E1619" s="55" t="s">
        <v>2307</v>
      </c>
      <c r="F1619" s="129">
        <v>6</v>
      </c>
      <c r="G1619" s="129">
        <v>136</v>
      </c>
      <c r="H1619" s="512">
        <v>121.11</v>
      </c>
      <c r="I1619" s="265" t="s">
        <v>76</v>
      </c>
      <c r="J1619" s="265" t="s">
        <v>102</v>
      </c>
      <c r="K1619" s="265" t="s">
        <v>2308</v>
      </c>
      <c r="L1619" s="348" t="s">
        <v>1205</v>
      </c>
      <c r="M1619" s="265" t="s">
        <v>2309</v>
      </c>
      <c r="N1619" s="347">
        <v>2.1379999999999999</v>
      </c>
      <c r="O1619" s="348" t="s">
        <v>1205</v>
      </c>
      <c r="P1619" s="348">
        <v>290.76799999999997</v>
      </c>
      <c r="Q1619" s="348">
        <v>53.333269333358928</v>
      </c>
    </row>
    <row r="1620" spans="1:17" ht="15" hidden="1" customHeight="1">
      <c r="A1620" s="163">
        <v>1615</v>
      </c>
      <c r="B1620" s="53" t="s">
        <v>11321</v>
      </c>
      <c r="C1620" s="53" t="s">
        <v>2310</v>
      </c>
      <c r="D1620" s="53">
        <v>100029311</v>
      </c>
      <c r="E1620" s="55" t="s">
        <v>2311</v>
      </c>
      <c r="F1620" s="129">
        <v>1</v>
      </c>
      <c r="G1620" s="129">
        <v>120</v>
      </c>
      <c r="H1620" s="512">
        <v>117.32</v>
      </c>
      <c r="I1620" s="265" t="s">
        <v>76</v>
      </c>
      <c r="J1620" s="265" t="s">
        <v>102</v>
      </c>
      <c r="K1620" s="265" t="s">
        <v>2312</v>
      </c>
      <c r="L1620" s="348" t="s">
        <v>1205</v>
      </c>
      <c r="M1620" s="265" t="s">
        <v>2313</v>
      </c>
      <c r="N1620" s="347">
        <v>2.85</v>
      </c>
      <c r="O1620" s="348" t="s">
        <v>1205</v>
      </c>
      <c r="P1620" s="348">
        <v>452.03999999999996</v>
      </c>
      <c r="Q1620" s="348">
        <v>53.333269333358928</v>
      </c>
    </row>
    <row r="1621" spans="1:17" ht="15" hidden="1" customHeight="1">
      <c r="A1621" s="163">
        <v>1616</v>
      </c>
      <c r="B1621" s="53" t="s">
        <v>11321</v>
      </c>
      <c r="C1621" s="53" t="s">
        <v>2314</v>
      </c>
      <c r="D1621" s="53">
        <v>100029312</v>
      </c>
      <c r="E1621" s="55" t="s">
        <v>2315</v>
      </c>
      <c r="F1621" s="129">
        <v>1</v>
      </c>
      <c r="G1621" s="129">
        <v>50</v>
      </c>
      <c r="H1621" s="512">
        <v>354.04</v>
      </c>
      <c r="I1621" s="265" t="s">
        <v>76</v>
      </c>
      <c r="J1621" s="265" t="s">
        <v>102</v>
      </c>
      <c r="K1621" s="265" t="s">
        <v>2316</v>
      </c>
      <c r="L1621" s="348" t="s">
        <v>1205</v>
      </c>
      <c r="M1621" s="265" t="s">
        <v>2317</v>
      </c>
      <c r="N1621" s="347">
        <v>6.056</v>
      </c>
      <c r="O1621" s="348" t="s">
        <v>1205</v>
      </c>
      <c r="P1621" s="348">
        <v>416.3</v>
      </c>
      <c r="Q1621" s="348">
        <v>53.333269333358928</v>
      </c>
    </row>
    <row r="1622" spans="1:17" ht="15" hidden="1" customHeight="1">
      <c r="A1622" s="163">
        <v>1617</v>
      </c>
      <c r="B1622" s="53" t="s">
        <v>11321</v>
      </c>
      <c r="C1622" s="53" t="s">
        <v>2318</v>
      </c>
      <c r="D1622" s="53">
        <v>300005767</v>
      </c>
      <c r="E1622" s="55" t="s">
        <v>2319</v>
      </c>
      <c r="F1622" s="129">
        <v>1</v>
      </c>
      <c r="G1622" s="129">
        <v>27</v>
      </c>
      <c r="H1622" s="512">
        <v>2244.11</v>
      </c>
      <c r="I1622" s="265" t="s">
        <v>1693</v>
      </c>
      <c r="J1622" s="265" t="s">
        <v>77</v>
      </c>
      <c r="K1622" s="265" t="s">
        <v>2320</v>
      </c>
      <c r="L1622" s="348" t="s">
        <v>1205</v>
      </c>
      <c r="M1622" s="265">
        <v>0</v>
      </c>
      <c r="N1622" s="347">
        <v>15.58</v>
      </c>
      <c r="O1622" s="348" t="s">
        <v>1205</v>
      </c>
      <c r="P1622" s="348">
        <v>15.58</v>
      </c>
      <c r="Q1622" s="348" t="s">
        <v>1205</v>
      </c>
    </row>
    <row r="1623" spans="1:17" ht="15" hidden="1" customHeight="1">
      <c r="A1623" s="163">
        <v>1618</v>
      </c>
      <c r="B1623" s="53" t="s">
        <v>11321</v>
      </c>
      <c r="C1623" s="53" t="s">
        <v>2321</v>
      </c>
      <c r="D1623" s="53">
        <v>100029357</v>
      </c>
      <c r="E1623" s="55" t="s">
        <v>2322</v>
      </c>
      <c r="F1623" s="129">
        <v>18</v>
      </c>
      <c r="G1623" s="129">
        <v>432</v>
      </c>
      <c r="H1623" s="512">
        <v>65.17</v>
      </c>
      <c r="I1623" s="265" t="s">
        <v>76</v>
      </c>
      <c r="J1623" s="265" t="s">
        <v>102</v>
      </c>
      <c r="K1623" s="265" t="s">
        <v>2323</v>
      </c>
      <c r="L1623" s="348" t="s">
        <v>1205</v>
      </c>
      <c r="M1623" s="265" t="s">
        <v>2323</v>
      </c>
      <c r="N1623" s="347">
        <v>1.042</v>
      </c>
      <c r="O1623" s="348" t="s">
        <v>1205</v>
      </c>
      <c r="P1623" s="348">
        <v>20.951999999999998</v>
      </c>
      <c r="Q1623" s="348">
        <v>1.8803145838984718</v>
      </c>
    </row>
    <row r="1624" spans="1:17" ht="15" hidden="1" customHeight="1">
      <c r="A1624" s="163">
        <v>1619</v>
      </c>
      <c r="B1624" s="53" t="s">
        <v>11321</v>
      </c>
      <c r="C1624" s="53" t="s">
        <v>2324</v>
      </c>
      <c r="D1624" s="53">
        <v>100030901</v>
      </c>
      <c r="E1624" s="55" t="s">
        <v>2325</v>
      </c>
      <c r="F1624" s="129">
        <v>1</v>
      </c>
      <c r="G1624" s="129">
        <v>160</v>
      </c>
      <c r="H1624" s="512">
        <v>136.25</v>
      </c>
      <c r="I1624" s="265" t="s">
        <v>359</v>
      </c>
      <c r="J1624" s="265" t="s">
        <v>102</v>
      </c>
      <c r="K1624" s="265" t="s">
        <v>2326</v>
      </c>
      <c r="L1624" s="348" t="s">
        <v>1205</v>
      </c>
      <c r="M1624" s="265" t="s">
        <v>2327</v>
      </c>
      <c r="N1624" s="347">
        <v>2.34</v>
      </c>
      <c r="O1624" s="348" t="s">
        <v>1205</v>
      </c>
      <c r="P1624" s="348">
        <v>374.4</v>
      </c>
      <c r="Q1624" s="348">
        <v>53.333269333358928</v>
      </c>
    </row>
    <row r="1625" spans="1:17" ht="15" hidden="1" customHeight="1">
      <c r="A1625" s="163">
        <v>1620</v>
      </c>
      <c r="B1625" s="53" t="s">
        <v>11321</v>
      </c>
      <c r="C1625" s="53" t="s">
        <v>2328</v>
      </c>
      <c r="D1625" s="53">
        <v>100029356</v>
      </c>
      <c r="E1625" s="55" t="s">
        <v>2329</v>
      </c>
      <c r="F1625" s="129">
        <v>1</v>
      </c>
      <c r="G1625" s="129">
        <v>140</v>
      </c>
      <c r="H1625" s="512">
        <v>128.33000000000001</v>
      </c>
      <c r="I1625" s="265" t="s">
        <v>76</v>
      </c>
      <c r="J1625" s="265" t="s">
        <v>102</v>
      </c>
      <c r="K1625" s="265" t="s">
        <v>2330</v>
      </c>
      <c r="L1625" s="348" t="s">
        <v>1205</v>
      </c>
      <c r="M1625" s="265" t="s">
        <v>2331</v>
      </c>
      <c r="N1625" s="347">
        <v>2.8559999999999999</v>
      </c>
      <c r="O1625" s="348" t="s">
        <v>1205</v>
      </c>
      <c r="P1625" s="348">
        <v>401.52</v>
      </c>
      <c r="Q1625" s="348">
        <v>53.333269333358928</v>
      </c>
    </row>
    <row r="1626" spans="1:17" ht="15" hidden="1" customHeight="1">
      <c r="A1626" s="163">
        <v>1621</v>
      </c>
      <c r="B1626" s="53" t="s">
        <v>11321</v>
      </c>
      <c r="C1626" s="53" t="s">
        <v>2332</v>
      </c>
      <c r="D1626" s="53">
        <v>100029351</v>
      </c>
      <c r="E1626" s="55" t="s">
        <v>2333</v>
      </c>
      <c r="F1626" s="129">
        <v>1</v>
      </c>
      <c r="G1626" s="129">
        <v>80</v>
      </c>
      <c r="H1626" s="512">
        <v>373.88</v>
      </c>
      <c r="I1626" s="265" t="s">
        <v>76</v>
      </c>
      <c r="J1626" s="265" t="s">
        <v>102</v>
      </c>
      <c r="K1626" s="265" t="s">
        <v>2334</v>
      </c>
      <c r="L1626" s="348" t="s">
        <v>1205</v>
      </c>
      <c r="M1626" s="265" t="s">
        <v>2335</v>
      </c>
      <c r="N1626" s="347">
        <v>3.8639999999999999</v>
      </c>
      <c r="O1626" s="348" t="s">
        <v>1205</v>
      </c>
      <c r="P1626" s="348">
        <v>309.12</v>
      </c>
      <c r="Q1626" s="348">
        <v>53.333269333358928</v>
      </c>
    </row>
    <row r="1627" spans="1:17" ht="15" hidden="1" customHeight="1">
      <c r="A1627" s="163">
        <v>1622</v>
      </c>
      <c r="B1627" s="53" t="s">
        <v>11321</v>
      </c>
      <c r="C1627" s="53" t="s">
        <v>2336</v>
      </c>
      <c r="D1627" s="53">
        <v>300003467</v>
      </c>
      <c r="E1627" s="55" t="s">
        <v>2337</v>
      </c>
      <c r="F1627" s="129">
        <v>1</v>
      </c>
      <c r="G1627" s="129">
        <v>36</v>
      </c>
      <c r="H1627" s="512">
        <v>2200.87</v>
      </c>
      <c r="I1627" s="265" t="s">
        <v>1693</v>
      </c>
      <c r="J1627" s="265" t="s">
        <v>77</v>
      </c>
      <c r="K1627" s="265" t="s">
        <v>2338</v>
      </c>
      <c r="L1627" s="348" t="s">
        <v>1205</v>
      </c>
      <c r="M1627" s="265">
        <v>0</v>
      </c>
      <c r="N1627" s="347">
        <v>8.86</v>
      </c>
      <c r="O1627" s="348" t="s">
        <v>1205</v>
      </c>
      <c r="P1627" s="348">
        <v>8.86</v>
      </c>
      <c r="Q1627" s="348" t="s">
        <v>1205</v>
      </c>
    </row>
    <row r="1628" spans="1:17" ht="15" hidden="1" customHeight="1">
      <c r="A1628" s="163">
        <v>1623</v>
      </c>
      <c r="B1628" s="53" t="s">
        <v>11321</v>
      </c>
      <c r="C1628" s="53" t="s">
        <v>2339</v>
      </c>
      <c r="D1628" s="53">
        <v>300003525</v>
      </c>
      <c r="E1628" s="55" t="s">
        <v>2340</v>
      </c>
      <c r="F1628" s="129">
        <v>1</v>
      </c>
      <c r="G1628" s="129">
        <v>16</v>
      </c>
      <c r="H1628" s="512">
        <v>3742.78</v>
      </c>
      <c r="I1628" s="265" t="s">
        <v>1693</v>
      </c>
      <c r="J1628" s="265" t="s">
        <v>77</v>
      </c>
      <c r="K1628" s="265" t="s">
        <v>2341</v>
      </c>
      <c r="L1628" s="348" t="s">
        <v>1205</v>
      </c>
      <c r="M1628" s="265">
        <v>0</v>
      </c>
      <c r="N1628" s="347">
        <v>15.86</v>
      </c>
      <c r="O1628" s="348" t="s">
        <v>1205</v>
      </c>
      <c r="P1628" s="348">
        <v>15.86</v>
      </c>
      <c r="Q1628" s="348" t="s">
        <v>1205</v>
      </c>
    </row>
    <row r="1629" spans="1:17" ht="15" hidden="1" customHeight="1">
      <c r="A1629" s="163">
        <v>1624</v>
      </c>
      <c r="B1629" s="53" t="s">
        <v>11321</v>
      </c>
      <c r="C1629" s="53" t="s">
        <v>2342</v>
      </c>
      <c r="D1629" s="53">
        <v>100029349</v>
      </c>
      <c r="E1629" s="55" t="s">
        <v>2343</v>
      </c>
      <c r="F1629" s="129">
        <v>18</v>
      </c>
      <c r="G1629" s="129">
        <v>432</v>
      </c>
      <c r="H1629" s="512">
        <v>61.95</v>
      </c>
      <c r="I1629" s="265" t="s">
        <v>76</v>
      </c>
      <c r="J1629" s="265" t="s">
        <v>102</v>
      </c>
      <c r="K1629" s="265" t="s">
        <v>2344</v>
      </c>
      <c r="L1629" s="348" t="s">
        <v>1205</v>
      </c>
      <c r="M1629" s="265" t="s">
        <v>2344</v>
      </c>
      <c r="N1629" s="347">
        <v>0.86199999999999999</v>
      </c>
      <c r="O1629" s="348" t="s">
        <v>1205</v>
      </c>
      <c r="P1629" s="348">
        <v>17.712</v>
      </c>
      <c r="Q1629" s="348">
        <v>1.8803145838984718</v>
      </c>
    </row>
    <row r="1630" spans="1:17" ht="15" hidden="1" customHeight="1">
      <c r="A1630" s="163">
        <v>1625</v>
      </c>
      <c r="B1630" s="53" t="s">
        <v>11321</v>
      </c>
      <c r="C1630" s="53" t="s">
        <v>2345</v>
      </c>
      <c r="D1630" s="53">
        <v>100029352</v>
      </c>
      <c r="E1630" s="55" t="s">
        <v>2346</v>
      </c>
      <c r="F1630" s="129">
        <v>1</v>
      </c>
      <c r="G1630" s="129">
        <v>140</v>
      </c>
      <c r="H1630" s="512">
        <v>121.83</v>
      </c>
      <c r="I1630" s="265" t="s">
        <v>76</v>
      </c>
      <c r="J1630" s="265" t="s">
        <v>102</v>
      </c>
      <c r="K1630" s="265" t="s">
        <v>2347</v>
      </c>
      <c r="L1630" s="348" t="s">
        <v>1205</v>
      </c>
      <c r="M1630" s="265" t="s">
        <v>2348</v>
      </c>
      <c r="N1630" s="347">
        <v>2.536</v>
      </c>
      <c r="O1630" s="348" t="s">
        <v>1205</v>
      </c>
      <c r="P1630" s="348">
        <v>355.32</v>
      </c>
      <c r="Q1630" s="348">
        <v>53.333269333358928</v>
      </c>
    </row>
    <row r="1631" spans="1:17" ht="15" hidden="1" customHeight="1">
      <c r="A1631" s="163">
        <v>1626</v>
      </c>
      <c r="B1631" s="53" t="s">
        <v>11321</v>
      </c>
      <c r="C1631" s="53" t="s">
        <v>2349</v>
      </c>
      <c r="D1631" s="53">
        <v>100029350</v>
      </c>
      <c r="E1631" s="55" t="s">
        <v>2350</v>
      </c>
      <c r="F1631" s="129">
        <v>1</v>
      </c>
      <c r="G1631" s="129">
        <v>80</v>
      </c>
      <c r="H1631" s="512">
        <v>390.72</v>
      </c>
      <c r="I1631" s="265" t="s">
        <v>359</v>
      </c>
      <c r="J1631" s="265" t="s">
        <v>102</v>
      </c>
      <c r="K1631" s="265" t="s">
        <v>2351</v>
      </c>
      <c r="L1631" s="348" t="s">
        <v>1205</v>
      </c>
      <c r="M1631" s="265" t="s">
        <v>2352</v>
      </c>
      <c r="N1631" s="347">
        <v>3.3820000000000001</v>
      </c>
      <c r="O1631" s="348" t="s">
        <v>1205</v>
      </c>
      <c r="P1631" s="348">
        <v>270.56</v>
      </c>
      <c r="Q1631" s="348">
        <v>53.333269333358928</v>
      </c>
    </row>
    <row r="1632" spans="1:17" ht="15" hidden="1" customHeight="1">
      <c r="A1632" s="163">
        <v>1627</v>
      </c>
      <c r="B1632" s="53" t="s">
        <v>11321</v>
      </c>
      <c r="C1632" s="53" t="s">
        <v>2353</v>
      </c>
      <c r="D1632" s="53">
        <v>300005897</v>
      </c>
      <c r="E1632" s="55" t="s">
        <v>2354</v>
      </c>
      <c r="F1632" s="129">
        <v>1</v>
      </c>
      <c r="G1632" s="129">
        <v>180</v>
      </c>
      <c r="H1632" s="512">
        <v>422.7</v>
      </c>
      <c r="I1632" s="265" t="s">
        <v>1693</v>
      </c>
      <c r="J1632" s="265" t="s">
        <v>77</v>
      </c>
      <c r="K1632" s="265" t="s">
        <v>2355</v>
      </c>
      <c r="L1632" s="348" t="s">
        <v>1205</v>
      </c>
      <c r="M1632" s="265">
        <v>0</v>
      </c>
      <c r="N1632" s="347">
        <v>2.2000000000000002</v>
      </c>
      <c r="O1632" s="348" t="s">
        <v>1205</v>
      </c>
      <c r="P1632" s="348">
        <v>2.2000000000000002</v>
      </c>
      <c r="Q1632" s="348" t="s">
        <v>1205</v>
      </c>
    </row>
    <row r="1633" spans="1:17" ht="15" hidden="1" customHeight="1">
      <c r="A1633" s="163">
        <v>1628</v>
      </c>
      <c r="B1633" s="53" t="s">
        <v>11321</v>
      </c>
      <c r="C1633" s="53" t="s">
        <v>2356</v>
      </c>
      <c r="D1633" s="53">
        <v>300005898</v>
      </c>
      <c r="E1633" s="55" t="s">
        <v>2357</v>
      </c>
      <c r="F1633" s="129">
        <v>1</v>
      </c>
      <c r="G1633" s="129">
        <v>120</v>
      </c>
      <c r="H1633" s="512">
        <v>938</v>
      </c>
      <c r="I1633" s="265" t="s">
        <v>1693</v>
      </c>
      <c r="J1633" s="265" t="s">
        <v>77</v>
      </c>
      <c r="K1633" s="265" t="s">
        <v>2358</v>
      </c>
      <c r="L1633" s="348" t="s">
        <v>1205</v>
      </c>
      <c r="M1633" s="265">
        <v>0</v>
      </c>
      <c r="N1633" s="347">
        <v>112.83</v>
      </c>
      <c r="O1633" s="348" t="s">
        <v>1205</v>
      </c>
      <c r="P1633" s="348">
        <v>112.83</v>
      </c>
      <c r="Q1633" s="348" t="s">
        <v>1205</v>
      </c>
    </row>
    <row r="1634" spans="1:17" ht="15" hidden="1" customHeight="1">
      <c r="A1634" s="163">
        <v>1629</v>
      </c>
      <c r="B1634" s="53" t="s">
        <v>11321</v>
      </c>
      <c r="C1634" s="53" t="s">
        <v>2359</v>
      </c>
      <c r="D1634" s="53">
        <v>300005899</v>
      </c>
      <c r="E1634" s="55" t="s">
        <v>2360</v>
      </c>
      <c r="F1634" s="129">
        <v>1</v>
      </c>
      <c r="G1634" s="129">
        <v>60</v>
      </c>
      <c r="H1634" s="512">
        <v>1099.5</v>
      </c>
      <c r="I1634" s="265" t="s">
        <v>1693</v>
      </c>
      <c r="J1634" s="265" t="s">
        <v>77</v>
      </c>
      <c r="K1634" s="265" t="s">
        <v>2361</v>
      </c>
      <c r="L1634" s="348" t="s">
        <v>1205</v>
      </c>
      <c r="M1634" s="265">
        <v>0</v>
      </c>
      <c r="N1634" s="347">
        <v>115.12</v>
      </c>
      <c r="O1634" s="348" t="s">
        <v>1205</v>
      </c>
      <c r="P1634" s="348">
        <v>115.12</v>
      </c>
      <c r="Q1634" s="348" t="s">
        <v>1205</v>
      </c>
    </row>
    <row r="1635" spans="1:17" ht="15" hidden="1" customHeight="1">
      <c r="A1635" s="163">
        <v>1630</v>
      </c>
      <c r="B1635" s="53" t="s">
        <v>11321</v>
      </c>
      <c r="C1635" s="53" t="s">
        <v>2362</v>
      </c>
      <c r="D1635" s="53">
        <v>300005900</v>
      </c>
      <c r="E1635" s="55" t="s">
        <v>2363</v>
      </c>
      <c r="F1635" s="129">
        <v>1</v>
      </c>
      <c r="G1635" s="129">
        <v>36</v>
      </c>
      <c r="H1635" s="512">
        <v>1274.72</v>
      </c>
      <c r="I1635" s="265" t="s">
        <v>1693</v>
      </c>
      <c r="J1635" s="265" t="s">
        <v>77</v>
      </c>
      <c r="K1635" s="265" t="s">
        <v>2364</v>
      </c>
      <c r="L1635" s="348" t="s">
        <v>1205</v>
      </c>
      <c r="M1635" s="265">
        <v>0</v>
      </c>
      <c r="N1635" s="347">
        <v>7.5</v>
      </c>
      <c r="O1635" s="348" t="s">
        <v>1205</v>
      </c>
      <c r="P1635" s="348">
        <v>7.5</v>
      </c>
      <c r="Q1635" s="348" t="s">
        <v>1205</v>
      </c>
    </row>
    <row r="1636" spans="1:17" ht="15" hidden="1" customHeight="1">
      <c r="A1636" s="163">
        <v>1631</v>
      </c>
      <c r="B1636" s="53" t="s">
        <v>11321</v>
      </c>
      <c r="C1636" s="53" t="s">
        <v>2365</v>
      </c>
      <c r="D1636" s="53">
        <v>300004438</v>
      </c>
      <c r="E1636" s="55" t="s">
        <v>2366</v>
      </c>
      <c r="F1636" s="129">
        <v>36</v>
      </c>
      <c r="G1636" s="129">
        <v>2250</v>
      </c>
      <c r="H1636" s="512">
        <v>49.44</v>
      </c>
      <c r="I1636" s="265" t="s">
        <v>1693</v>
      </c>
      <c r="J1636" s="265" t="s">
        <v>77</v>
      </c>
      <c r="K1636" s="265" t="s">
        <v>2367</v>
      </c>
      <c r="L1636" s="348" t="s">
        <v>1205</v>
      </c>
      <c r="M1636" s="265">
        <v>0</v>
      </c>
      <c r="N1636" s="347">
        <v>0.15</v>
      </c>
      <c r="O1636" s="348" t="s">
        <v>1205</v>
      </c>
      <c r="P1636" s="348">
        <v>5.3999999999999995</v>
      </c>
      <c r="Q1636" s="348" t="s">
        <v>1205</v>
      </c>
    </row>
    <row r="1637" spans="1:17" ht="15" hidden="1" customHeight="1">
      <c r="A1637" s="163">
        <v>1632</v>
      </c>
      <c r="B1637" s="53" t="s">
        <v>11321</v>
      </c>
      <c r="C1637" s="53" t="s">
        <v>2368</v>
      </c>
      <c r="D1637" s="53">
        <v>100029353</v>
      </c>
      <c r="E1637" s="55" t="s">
        <v>2369</v>
      </c>
      <c r="F1637" s="129">
        <v>24</v>
      </c>
      <c r="G1637" s="129">
        <v>1080</v>
      </c>
      <c r="H1637" s="512">
        <v>31.82</v>
      </c>
      <c r="I1637" s="265" t="s">
        <v>76</v>
      </c>
      <c r="J1637" s="265" t="s">
        <v>102</v>
      </c>
      <c r="K1637" s="265" t="s">
        <v>2370</v>
      </c>
      <c r="L1637" s="348" t="s">
        <v>1205</v>
      </c>
      <c r="M1637" s="265" t="s">
        <v>2371</v>
      </c>
      <c r="N1637" s="347">
        <v>0.36099999999999999</v>
      </c>
      <c r="O1637" s="348" t="s">
        <v>1205</v>
      </c>
      <c r="P1637" s="348">
        <v>9.863999999999999</v>
      </c>
      <c r="Q1637" s="348">
        <v>0.98955954024750914</v>
      </c>
    </row>
    <row r="1638" spans="1:17" ht="15" hidden="1" customHeight="1">
      <c r="A1638" s="163">
        <v>1633</v>
      </c>
      <c r="B1638" s="53" t="s">
        <v>11321</v>
      </c>
      <c r="C1638" s="53" t="s">
        <v>2372</v>
      </c>
      <c r="D1638" s="53">
        <v>100029354</v>
      </c>
      <c r="E1638" s="55" t="s">
        <v>2373</v>
      </c>
      <c r="F1638" s="129">
        <v>18</v>
      </c>
      <c r="G1638" s="129">
        <v>432</v>
      </c>
      <c r="H1638" s="512">
        <v>48.77</v>
      </c>
      <c r="I1638" s="265" t="s">
        <v>76</v>
      </c>
      <c r="J1638" s="265" t="s">
        <v>102</v>
      </c>
      <c r="K1638" s="265" t="s">
        <v>2374</v>
      </c>
      <c r="L1638" s="348" t="s">
        <v>1205</v>
      </c>
      <c r="M1638" s="265" t="s">
        <v>2375</v>
      </c>
      <c r="N1638" s="347">
        <v>1.0469999999999999</v>
      </c>
      <c r="O1638" s="348" t="s">
        <v>1205</v>
      </c>
      <c r="P1638" s="348">
        <v>21.042000000000002</v>
      </c>
      <c r="Q1638" s="348">
        <v>1.8803145838984718</v>
      </c>
    </row>
    <row r="1639" spans="1:17" ht="15" hidden="1" customHeight="1">
      <c r="A1639" s="163">
        <v>1634</v>
      </c>
      <c r="B1639" s="53" t="s">
        <v>11321</v>
      </c>
      <c r="C1639" s="53" t="s">
        <v>2376</v>
      </c>
      <c r="D1639" s="53">
        <v>100029355</v>
      </c>
      <c r="E1639" s="55" t="s">
        <v>2377</v>
      </c>
      <c r="F1639" s="129">
        <v>9</v>
      </c>
      <c r="G1639" s="129">
        <v>162</v>
      </c>
      <c r="H1639" s="512">
        <v>172.85</v>
      </c>
      <c r="I1639" s="265" t="s">
        <v>359</v>
      </c>
      <c r="J1639" s="265" t="s">
        <v>102</v>
      </c>
      <c r="K1639" s="265" t="s">
        <v>2378</v>
      </c>
      <c r="L1639" s="348" t="s">
        <v>1205</v>
      </c>
      <c r="M1639" s="265" t="s">
        <v>2379</v>
      </c>
      <c r="N1639" s="347">
        <v>2.17</v>
      </c>
      <c r="O1639" s="348" t="s">
        <v>1205</v>
      </c>
      <c r="P1639" s="348">
        <v>21.384</v>
      </c>
      <c r="Q1639" s="348">
        <v>2.361325291407383</v>
      </c>
    </row>
    <row r="1640" spans="1:17" ht="15" hidden="1" customHeight="1">
      <c r="A1640" s="163">
        <v>1635</v>
      </c>
      <c r="B1640" s="53" t="s">
        <v>11321</v>
      </c>
      <c r="C1640" s="53" t="s">
        <v>2380</v>
      </c>
      <c r="D1640" s="53">
        <v>300005844</v>
      </c>
      <c r="E1640" s="55" t="s">
        <v>2381</v>
      </c>
      <c r="F1640" s="129">
        <v>1</v>
      </c>
      <c r="G1640" s="129">
        <v>72</v>
      </c>
      <c r="H1640" s="512">
        <v>1031.68</v>
      </c>
      <c r="I1640" s="265" t="s">
        <v>1693</v>
      </c>
      <c r="J1640" s="265" t="s">
        <v>77</v>
      </c>
      <c r="K1640" s="265" t="s">
        <v>2382</v>
      </c>
      <c r="L1640" s="348" t="s">
        <v>1205</v>
      </c>
      <c r="M1640" s="265">
        <v>0</v>
      </c>
      <c r="N1640" s="347">
        <v>4.4000000000000004</v>
      </c>
      <c r="O1640" s="348" t="s">
        <v>1205</v>
      </c>
      <c r="P1640" s="348">
        <v>4.4000000000000004</v>
      </c>
      <c r="Q1640" s="348" t="s">
        <v>1205</v>
      </c>
    </row>
    <row r="1641" spans="1:17" ht="15" hidden="1" customHeight="1">
      <c r="A1641" s="163">
        <v>1636</v>
      </c>
      <c r="B1641" s="53" t="s">
        <v>11321</v>
      </c>
      <c r="C1641" s="53" t="s">
        <v>2383</v>
      </c>
      <c r="D1641" s="53">
        <v>300005849</v>
      </c>
      <c r="E1641" s="55" t="s">
        <v>2384</v>
      </c>
      <c r="F1641" s="129">
        <v>2</v>
      </c>
      <c r="G1641" s="129">
        <v>36</v>
      </c>
      <c r="H1641" s="512">
        <v>1535.05</v>
      </c>
      <c r="I1641" s="265" t="s">
        <v>1693</v>
      </c>
      <c r="J1641" s="265" t="s">
        <v>77</v>
      </c>
      <c r="K1641" s="265" t="s">
        <v>2385</v>
      </c>
      <c r="L1641" s="348" t="s">
        <v>1205</v>
      </c>
      <c r="M1641" s="265">
        <v>0</v>
      </c>
      <c r="N1641" s="347">
        <v>8.57</v>
      </c>
      <c r="O1641" s="348" t="s">
        <v>1205</v>
      </c>
      <c r="P1641" s="348">
        <v>17.14</v>
      </c>
      <c r="Q1641" s="348" t="s">
        <v>1205</v>
      </c>
    </row>
    <row r="1642" spans="1:17" ht="15" hidden="1" customHeight="1">
      <c r="A1642" s="163">
        <v>1637</v>
      </c>
      <c r="B1642" s="53" t="s">
        <v>11321</v>
      </c>
      <c r="C1642" s="53" t="s">
        <v>2386</v>
      </c>
      <c r="D1642" s="53">
        <v>100029246</v>
      </c>
      <c r="E1642" s="55" t="s">
        <v>2387</v>
      </c>
      <c r="F1642" s="129">
        <v>25</v>
      </c>
      <c r="G1642" s="129">
        <v>1125</v>
      </c>
      <c r="H1642" s="512">
        <v>42.08</v>
      </c>
      <c r="I1642" s="265" t="s">
        <v>76</v>
      </c>
      <c r="J1642" s="265" t="s">
        <v>102</v>
      </c>
      <c r="K1642" s="265" t="s">
        <v>2388</v>
      </c>
      <c r="L1642" s="348" t="s">
        <v>1205</v>
      </c>
      <c r="M1642" s="265" t="s">
        <v>2389</v>
      </c>
      <c r="N1642" s="347">
        <v>0.46300000000000002</v>
      </c>
      <c r="O1642" s="348" t="s">
        <v>1205</v>
      </c>
      <c r="P1642" s="348">
        <v>12.775</v>
      </c>
      <c r="Q1642" s="348">
        <v>0.98955954024750914</v>
      </c>
    </row>
    <row r="1643" spans="1:17" ht="15" hidden="1" customHeight="1">
      <c r="A1643" s="163">
        <v>1638</v>
      </c>
      <c r="B1643" s="53" t="s">
        <v>11321</v>
      </c>
      <c r="C1643" s="53" t="s">
        <v>2390</v>
      </c>
      <c r="D1643" s="53">
        <v>100029247</v>
      </c>
      <c r="E1643" s="55" t="s">
        <v>2391</v>
      </c>
      <c r="F1643" s="129">
        <v>15</v>
      </c>
      <c r="G1643" s="129">
        <v>360</v>
      </c>
      <c r="H1643" s="512">
        <v>78.959999999999994</v>
      </c>
      <c r="I1643" s="265" t="s">
        <v>76</v>
      </c>
      <c r="J1643" s="265" t="s">
        <v>102</v>
      </c>
      <c r="K1643" s="265" t="s">
        <v>2392</v>
      </c>
      <c r="L1643" s="348" t="s">
        <v>1205</v>
      </c>
      <c r="M1643" s="265" t="s">
        <v>2393</v>
      </c>
      <c r="N1643" s="347">
        <v>1.202</v>
      </c>
      <c r="O1643" s="348" t="s">
        <v>1205</v>
      </c>
      <c r="P1643" s="348">
        <v>20.220000000000002</v>
      </c>
      <c r="Q1643" s="348">
        <v>1.8803145838984718</v>
      </c>
    </row>
    <row r="1644" spans="1:17" ht="15" hidden="1" customHeight="1">
      <c r="A1644" s="163">
        <v>1639</v>
      </c>
      <c r="B1644" s="53" t="s">
        <v>11321</v>
      </c>
      <c r="C1644" s="53" t="s">
        <v>2394</v>
      </c>
      <c r="D1644" s="53">
        <v>100029245</v>
      </c>
      <c r="E1644" s="55" t="s">
        <v>2395</v>
      </c>
      <c r="F1644" s="129">
        <v>8</v>
      </c>
      <c r="G1644" s="129">
        <v>192</v>
      </c>
      <c r="H1644" s="512">
        <v>213.04</v>
      </c>
      <c r="I1644" s="265" t="s">
        <v>76</v>
      </c>
      <c r="J1644" s="265" t="s">
        <v>102</v>
      </c>
      <c r="K1644" s="265" t="s">
        <v>2396</v>
      </c>
      <c r="L1644" s="348" t="s">
        <v>1205</v>
      </c>
      <c r="M1644" s="265" t="s">
        <v>2397</v>
      </c>
      <c r="N1644" s="347">
        <v>2.2959999999999998</v>
      </c>
      <c r="O1644" s="348" t="s">
        <v>1205</v>
      </c>
      <c r="P1644" s="348">
        <v>20.544</v>
      </c>
      <c r="Q1644" s="348">
        <v>1.8803145838984718</v>
      </c>
    </row>
    <row r="1645" spans="1:17" ht="15" hidden="1" customHeight="1">
      <c r="A1645" s="163">
        <v>1640</v>
      </c>
      <c r="B1645" s="53" t="s">
        <v>11321</v>
      </c>
      <c r="C1645" s="53" t="s">
        <v>2398</v>
      </c>
      <c r="D1645" s="53">
        <v>300003461</v>
      </c>
      <c r="E1645" s="55" t="s">
        <v>2399</v>
      </c>
      <c r="F1645" s="129">
        <v>1</v>
      </c>
      <c r="G1645" s="129">
        <v>72</v>
      </c>
      <c r="H1645" s="512">
        <v>1200.3499999999999</v>
      </c>
      <c r="I1645" s="265" t="s">
        <v>1693</v>
      </c>
      <c r="J1645" s="265" t="s">
        <v>77</v>
      </c>
      <c r="K1645" s="265" t="s">
        <v>2400</v>
      </c>
      <c r="L1645" s="348" t="s">
        <v>1205</v>
      </c>
      <c r="M1645" s="265">
        <v>0</v>
      </c>
      <c r="N1645" s="347">
        <v>4.72</v>
      </c>
      <c r="O1645" s="348" t="s">
        <v>1205</v>
      </c>
      <c r="P1645" s="348">
        <v>4.72</v>
      </c>
      <c r="Q1645" s="348" t="s">
        <v>1205</v>
      </c>
    </row>
    <row r="1646" spans="1:17" ht="15" hidden="1" customHeight="1">
      <c r="A1646" s="163">
        <v>1641</v>
      </c>
      <c r="B1646" s="53" t="s">
        <v>11321</v>
      </c>
      <c r="C1646" s="53" t="s">
        <v>2401</v>
      </c>
      <c r="D1646" s="53">
        <v>300003519</v>
      </c>
      <c r="E1646" s="55" t="s">
        <v>2402</v>
      </c>
      <c r="F1646" s="129">
        <v>1</v>
      </c>
      <c r="G1646" s="129">
        <v>40</v>
      </c>
      <c r="H1646" s="512">
        <v>2160.56</v>
      </c>
      <c r="I1646" s="265" t="s">
        <v>1693</v>
      </c>
      <c r="J1646" s="265" t="s">
        <v>77</v>
      </c>
      <c r="K1646" s="265" t="s">
        <v>2403</v>
      </c>
      <c r="L1646" s="348" t="s">
        <v>1205</v>
      </c>
      <c r="M1646" s="265">
        <v>0</v>
      </c>
      <c r="N1646" s="347">
        <v>8.3000000000000007</v>
      </c>
      <c r="O1646" s="348" t="s">
        <v>1205</v>
      </c>
      <c r="P1646" s="348">
        <v>8.3000000000000007</v>
      </c>
      <c r="Q1646" s="348" t="s">
        <v>1205</v>
      </c>
    </row>
    <row r="1647" spans="1:17" ht="15" hidden="1" customHeight="1">
      <c r="A1647" s="163">
        <v>1642</v>
      </c>
      <c r="B1647" s="53" t="s">
        <v>11321</v>
      </c>
      <c r="C1647" s="53" t="s">
        <v>2404</v>
      </c>
      <c r="D1647" s="53">
        <v>300005772</v>
      </c>
      <c r="E1647" s="55" t="s">
        <v>2405</v>
      </c>
      <c r="F1647" s="129">
        <v>16</v>
      </c>
      <c r="G1647" s="129">
        <v>192</v>
      </c>
      <c r="H1647" s="512">
        <v>456.6</v>
      </c>
      <c r="I1647" s="265" t="s">
        <v>1693</v>
      </c>
      <c r="J1647" s="265" t="s">
        <v>77</v>
      </c>
      <c r="K1647" s="265" t="s">
        <v>2406</v>
      </c>
      <c r="L1647" s="348" t="s">
        <v>1205</v>
      </c>
      <c r="M1647" s="265">
        <v>0</v>
      </c>
      <c r="N1647" s="347">
        <v>1.64</v>
      </c>
      <c r="O1647" s="348" t="s">
        <v>1205</v>
      </c>
      <c r="P1647" s="348">
        <v>26.24</v>
      </c>
      <c r="Q1647" s="348" t="s">
        <v>1205</v>
      </c>
    </row>
    <row r="1648" spans="1:17" ht="15" hidden="1" customHeight="1">
      <c r="A1648" s="163">
        <v>1643</v>
      </c>
      <c r="B1648" s="53" t="s">
        <v>11321</v>
      </c>
      <c r="C1648" s="53" t="s">
        <v>2407</v>
      </c>
      <c r="D1648" s="53">
        <v>100029425</v>
      </c>
      <c r="E1648" s="55" t="s">
        <v>2408</v>
      </c>
      <c r="F1648" s="129">
        <v>16</v>
      </c>
      <c r="G1648" s="129">
        <v>288</v>
      </c>
      <c r="H1648" s="512">
        <v>123.3</v>
      </c>
      <c r="I1648" s="265" t="s">
        <v>76</v>
      </c>
      <c r="J1648" s="265" t="s">
        <v>102</v>
      </c>
      <c r="K1648" s="265" t="s">
        <v>2409</v>
      </c>
      <c r="L1648" s="348" t="s">
        <v>1205</v>
      </c>
      <c r="M1648" s="265" t="s">
        <v>2410</v>
      </c>
      <c r="N1648" s="347">
        <v>1.65</v>
      </c>
      <c r="O1648" s="348" t="s">
        <v>1205</v>
      </c>
      <c r="P1648" s="348">
        <v>28.271999999999998</v>
      </c>
      <c r="Q1648" s="348">
        <v>2.361325291407383</v>
      </c>
    </row>
    <row r="1649" spans="1:17" ht="15" hidden="1" customHeight="1">
      <c r="A1649" s="163">
        <v>1644</v>
      </c>
      <c r="B1649" s="53" t="s">
        <v>11321</v>
      </c>
      <c r="C1649" s="53" t="s">
        <v>2411</v>
      </c>
      <c r="D1649" s="53">
        <v>300005873</v>
      </c>
      <c r="E1649" s="55" t="s">
        <v>2412</v>
      </c>
      <c r="F1649" s="129">
        <v>5</v>
      </c>
      <c r="G1649" s="129">
        <v>120</v>
      </c>
      <c r="H1649" s="512">
        <v>712.06</v>
      </c>
      <c r="I1649" s="265" t="s">
        <v>1693</v>
      </c>
      <c r="J1649" s="265" t="s">
        <v>77</v>
      </c>
      <c r="K1649" s="265" t="s">
        <v>2413</v>
      </c>
      <c r="L1649" s="348" t="s">
        <v>1205</v>
      </c>
      <c r="M1649" s="265">
        <v>0</v>
      </c>
      <c r="N1649" s="347">
        <v>2.9289999999999998</v>
      </c>
      <c r="O1649" s="348" t="s">
        <v>1205</v>
      </c>
      <c r="P1649" s="348">
        <v>14.645</v>
      </c>
      <c r="Q1649" s="348" t="s">
        <v>1205</v>
      </c>
    </row>
    <row r="1650" spans="1:17" ht="15" hidden="1" customHeight="1">
      <c r="A1650" s="163">
        <v>1645</v>
      </c>
      <c r="B1650" s="53" t="s">
        <v>11321</v>
      </c>
      <c r="C1650" s="53" t="s">
        <v>2414</v>
      </c>
      <c r="D1650" s="53">
        <v>100029424</v>
      </c>
      <c r="E1650" s="55" t="s">
        <v>2415</v>
      </c>
      <c r="F1650" s="129">
        <v>4</v>
      </c>
      <c r="G1650" s="129">
        <v>96</v>
      </c>
      <c r="H1650" s="512">
        <v>351.61</v>
      </c>
      <c r="I1650" s="265" t="s">
        <v>359</v>
      </c>
      <c r="J1650" s="265" t="s">
        <v>102</v>
      </c>
      <c r="K1650" s="265" t="s">
        <v>2416</v>
      </c>
      <c r="L1650" s="348" t="s">
        <v>1205</v>
      </c>
      <c r="M1650" s="265" t="s">
        <v>2417</v>
      </c>
      <c r="N1650" s="347">
        <v>3.0960000000000001</v>
      </c>
      <c r="O1650" s="348" t="s">
        <v>1205</v>
      </c>
      <c r="P1650" s="348">
        <v>18.556000000000001</v>
      </c>
      <c r="Q1650" s="348">
        <v>1.8803145838984718</v>
      </c>
    </row>
    <row r="1651" spans="1:17" ht="15" hidden="1" customHeight="1">
      <c r="A1651" s="163">
        <v>1646</v>
      </c>
      <c r="B1651" s="53" t="s">
        <v>11321</v>
      </c>
      <c r="C1651" s="53" t="s">
        <v>2418</v>
      </c>
      <c r="D1651" s="53">
        <v>300004468</v>
      </c>
      <c r="E1651" s="55" t="s">
        <v>2419</v>
      </c>
      <c r="F1651" s="129">
        <v>10</v>
      </c>
      <c r="G1651" s="129" t="s">
        <v>1205</v>
      </c>
      <c r="H1651" s="512">
        <v>260.58</v>
      </c>
      <c r="I1651" s="265" t="s">
        <v>1693</v>
      </c>
      <c r="J1651" s="265" t="s">
        <v>77</v>
      </c>
      <c r="K1651" s="265" t="s">
        <v>2420</v>
      </c>
      <c r="L1651" s="348" t="s">
        <v>1205</v>
      </c>
      <c r="M1651" s="265">
        <v>0</v>
      </c>
      <c r="N1651" s="347">
        <v>1.3</v>
      </c>
      <c r="O1651" s="348" t="s">
        <v>1205</v>
      </c>
      <c r="P1651" s="348">
        <v>13</v>
      </c>
      <c r="Q1651" s="348" t="s">
        <v>1205</v>
      </c>
    </row>
    <row r="1652" spans="1:17" ht="15" hidden="1" customHeight="1">
      <c r="A1652" s="163">
        <v>1647</v>
      </c>
      <c r="B1652" s="53" t="s">
        <v>11321</v>
      </c>
      <c r="C1652" s="53" t="s">
        <v>2421</v>
      </c>
      <c r="D1652" s="53">
        <v>300004490</v>
      </c>
      <c r="E1652" s="55" t="s">
        <v>2422</v>
      </c>
      <c r="F1652" s="129">
        <v>5</v>
      </c>
      <c r="G1652" s="129" t="s">
        <v>1205</v>
      </c>
      <c r="H1652" s="512">
        <v>620.45000000000005</v>
      </c>
      <c r="I1652" s="265" t="s">
        <v>1693</v>
      </c>
      <c r="J1652" s="265" t="s">
        <v>77</v>
      </c>
      <c r="K1652" s="265" t="s">
        <v>2423</v>
      </c>
      <c r="L1652" s="348" t="s">
        <v>1205</v>
      </c>
      <c r="M1652" s="265">
        <v>0</v>
      </c>
      <c r="N1652" s="347">
        <v>3.5</v>
      </c>
      <c r="O1652" s="348" t="s">
        <v>1205</v>
      </c>
      <c r="P1652" s="348">
        <v>17.5</v>
      </c>
      <c r="Q1652" s="348" t="s">
        <v>1205</v>
      </c>
    </row>
    <row r="1653" spans="1:17" ht="15" hidden="1" customHeight="1">
      <c r="A1653" s="163">
        <v>1648</v>
      </c>
      <c r="B1653" s="53" t="s">
        <v>11321</v>
      </c>
      <c r="C1653" s="53" t="s">
        <v>2424</v>
      </c>
      <c r="D1653" s="53">
        <v>300004500</v>
      </c>
      <c r="E1653" s="55" t="s">
        <v>2425</v>
      </c>
      <c r="F1653" s="129">
        <v>5</v>
      </c>
      <c r="G1653" s="129" t="s">
        <v>1205</v>
      </c>
      <c r="H1653" s="512">
        <v>906.37</v>
      </c>
      <c r="I1653" s="265" t="s">
        <v>1693</v>
      </c>
      <c r="J1653" s="265" t="s">
        <v>77</v>
      </c>
      <c r="K1653" s="265" t="s">
        <v>2426</v>
      </c>
      <c r="L1653" s="348" t="s">
        <v>1205</v>
      </c>
      <c r="M1653" s="265">
        <v>0</v>
      </c>
      <c r="N1653" s="347">
        <v>2.66</v>
      </c>
      <c r="O1653" s="348" t="s">
        <v>1205</v>
      </c>
      <c r="P1653" s="348">
        <v>13.3</v>
      </c>
      <c r="Q1653" s="348" t="s">
        <v>1205</v>
      </c>
    </row>
    <row r="1654" spans="1:17" ht="15" hidden="1" customHeight="1">
      <c r="A1654" s="163">
        <v>1649</v>
      </c>
      <c r="B1654" s="53" t="s">
        <v>11321</v>
      </c>
      <c r="C1654" s="53" t="s">
        <v>2427</v>
      </c>
      <c r="D1654" s="53">
        <v>300003485</v>
      </c>
      <c r="E1654" s="55" t="s">
        <v>2428</v>
      </c>
      <c r="F1654" s="129">
        <v>2</v>
      </c>
      <c r="G1654" s="129">
        <v>36</v>
      </c>
      <c r="H1654" s="512">
        <v>1657.58</v>
      </c>
      <c r="I1654" s="265" t="s">
        <v>1693</v>
      </c>
      <c r="J1654" s="265" t="s">
        <v>77</v>
      </c>
      <c r="K1654" s="265" t="s">
        <v>2429</v>
      </c>
      <c r="L1654" s="348" t="s">
        <v>1205</v>
      </c>
      <c r="M1654" s="265">
        <v>0</v>
      </c>
      <c r="N1654" s="347">
        <v>4.55</v>
      </c>
      <c r="O1654" s="348" t="s">
        <v>1205</v>
      </c>
      <c r="P1654" s="348">
        <v>9.1</v>
      </c>
      <c r="Q1654" s="348" t="s">
        <v>1205</v>
      </c>
    </row>
    <row r="1655" spans="1:17" ht="15" hidden="1" customHeight="1">
      <c r="A1655" s="163">
        <v>1650</v>
      </c>
      <c r="B1655" s="53" t="s">
        <v>11321</v>
      </c>
      <c r="C1655" s="53" t="s">
        <v>2430</v>
      </c>
      <c r="D1655" s="53">
        <v>300004467</v>
      </c>
      <c r="E1655" s="55" t="s">
        <v>2431</v>
      </c>
      <c r="F1655" s="129">
        <v>8</v>
      </c>
      <c r="G1655" s="129" t="s">
        <v>1205</v>
      </c>
      <c r="H1655" s="512">
        <v>510.12</v>
      </c>
      <c r="I1655" s="265" t="s">
        <v>1693</v>
      </c>
      <c r="J1655" s="265" t="s">
        <v>77</v>
      </c>
      <c r="K1655" s="265" t="s">
        <v>2432</v>
      </c>
      <c r="L1655" s="348" t="s">
        <v>1205</v>
      </c>
      <c r="M1655" s="265">
        <v>0</v>
      </c>
      <c r="N1655" s="347">
        <v>1.54</v>
      </c>
      <c r="O1655" s="348" t="s">
        <v>1205</v>
      </c>
      <c r="P1655" s="348">
        <v>12.32</v>
      </c>
      <c r="Q1655" s="348" t="s">
        <v>1205</v>
      </c>
    </row>
    <row r="1656" spans="1:17" ht="15" hidden="1" customHeight="1">
      <c r="A1656" s="163">
        <v>1651</v>
      </c>
      <c r="B1656" s="53" t="s">
        <v>11321</v>
      </c>
      <c r="C1656" s="53" t="s">
        <v>2433</v>
      </c>
      <c r="D1656" s="53">
        <v>300004488</v>
      </c>
      <c r="E1656" s="55" t="s">
        <v>2434</v>
      </c>
      <c r="F1656" s="129">
        <v>8</v>
      </c>
      <c r="G1656" s="129" t="s">
        <v>1205</v>
      </c>
      <c r="H1656" s="512">
        <v>1020.6</v>
      </c>
      <c r="I1656" s="265" t="s">
        <v>1693</v>
      </c>
      <c r="J1656" s="265" t="s">
        <v>77</v>
      </c>
      <c r="K1656" s="265">
        <v>0</v>
      </c>
      <c r="L1656" s="348" t="s">
        <v>1205</v>
      </c>
      <c r="M1656" s="265">
        <v>0</v>
      </c>
      <c r="N1656" s="347">
        <v>3.5</v>
      </c>
      <c r="O1656" s="348" t="s">
        <v>1205</v>
      </c>
      <c r="P1656" s="348">
        <v>28</v>
      </c>
      <c r="Q1656" s="348" t="s">
        <v>1205</v>
      </c>
    </row>
    <row r="1657" spans="1:17" ht="15" hidden="1" customHeight="1">
      <c r="A1657" s="163">
        <v>1652</v>
      </c>
      <c r="B1657" s="53" t="s">
        <v>11321</v>
      </c>
      <c r="C1657" s="53" t="s">
        <v>2435</v>
      </c>
      <c r="D1657" s="53">
        <v>300004498</v>
      </c>
      <c r="E1657" s="55" t="s">
        <v>2436</v>
      </c>
      <c r="F1657" s="129">
        <v>4</v>
      </c>
      <c r="G1657" s="129" t="s">
        <v>1205</v>
      </c>
      <c r="H1657" s="512">
        <v>362.25</v>
      </c>
      <c r="I1657" s="265" t="s">
        <v>1693</v>
      </c>
      <c r="J1657" s="265" t="s">
        <v>77</v>
      </c>
      <c r="K1657" s="265">
        <v>0</v>
      </c>
      <c r="L1657" s="348" t="s">
        <v>1205</v>
      </c>
      <c r="M1657" s="265">
        <v>0</v>
      </c>
      <c r="N1657" s="347">
        <v>7.3</v>
      </c>
      <c r="O1657" s="348" t="s">
        <v>1205</v>
      </c>
      <c r="P1657" s="348">
        <v>29.2</v>
      </c>
      <c r="Q1657" s="348" t="s">
        <v>1205</v>
      </c>
    </row>
    <row r="1658" spans="1:17" ht="15" hidden="1" customHeight="1">
      <c r="A1658" s="163">
        <v>1653</v>
      </c>
      <c r="B1658" s="53" t="s">
        <v>11321</v>
      </c>
      <c r="C1658" s="53" t="s">
        <v>2437</v>
      </c>
      <c r="D1658" s="53">
        <v>300004421</v>
      </c>
      <c r="E1658" s="55" t="s">
        <v>2438</v>
      </c>
      <c r="F1658" s="129">
        <v>6</v>
      </c>
      <c r="G1658" s="129" t="s">
        <v>1205</v>
      </c>
      <c r="H1658" s="512">
        <v>575.41999999999996</v>
      </c>
      <c r="I1658" s="265" t="s">
        <v>1693</v>
      </c>
      <c r="J1658" s="265" t="s">
        <v>77</v>
      </c>
      <c r="K1658" s="265" t="s">
        <v>2439</v>
      </c>
      <c r="L1658" s="348" t="s">
        <v>1205</v>
      </c>
      <c r="M1658" s="265">
        <v>0</v>
      </c>
      <c r="N1658" s="347">
        <v>2.2400000000000002</v>
      </c>
      <c r="O1658" s="348" t="s">
        <v>1205</v>
      </c>
      <c r="P1658" s="348">
        <v>13.440000000000001</v>
      </c>
      <c r="Q1658" s="348" t="s">
        <v>1205</v>
      </c>
    </row>
    <row r="1659" spans="1:17" ht="15" hidden="1" customHeight="1">
      <c r="A1659" s="163">
        <v>1654</v>
      </c>
      <c r="B1659" s="53" t="s">
        <v>11321</v>
      </c>
      <c r="C1659" s="53" t="s">
        <v>2440</v>
      </c>
      <c r="D1659" s="53">
        <v>100029398</v>
      </c>
      <c r="E1659" s="55" t="s">
        <v>2441</v>
      </c>
      <c r="F1659" s="129">
        <v>3</v>
      </c>
      <c r="G1659" s="129">
        <v>21</v>
      </c>
      <c r="H1659" s="512">
        <v>1502.29</v>
      </c>
      <c r="I1659" s="265" t="s">
        <v>76</v>
      </c>
      <c r="J1659" s="265" t="s">
        <v>102</v>
      </c>
      <c r="K1659" s="265" t="s">
        <v>2442</v>
      </c>
      <c r="L1659" s="348" t="s">
        <v>1205</v>
      </c>
      <c r="M1659" s="265" t="s">
        <v>2443</v>
      </c>
      <c r="N1659" s="347">
        <v>6.96</v>
      </c>
      <c r="O1659" s="348" t="s">
        <v>1205</v>
      </c>
      <c r="P1659" s="348">
        <v>278.39999999999998</v>
      </c>
      <c r="Q1659" s="348">
        <v>53.333269333358928</v>
      </c>
    </row>
    <row r="1660" spans="1:17" ht="15" hidden="1" customHeight="1">
      <c r="A1660" s="163">
        <v>1655</v>
      </c>
      <c r="B1660" s="53" t="s">
        <v>11321</v>
      </c>
      <c r="C1660" s="53" t="s">
        <v>2444</v>
      </c>
      <c r="D1660" s="53">
        <v>300004419</v>
      </c>
      <c r="E1660" s="55" t="s">
        <v>2445</v>
      </c>
      <c r="F1660" s="129">
        <v>1</v>
      </c>
      <c r="G1660" s="129" t="s">
        <v>1205</v>
      </c>
      <c r="H1660" s="512">
        <v>2245.58</v>
      </c>
      <c r="I1660" s="265" t="s">
        <v>1693</v>
      </c>
      <c r="J1660" s="265" t="s">
        <v>77</v>
      </c>
      <c r="K1660" s="265" t="s">
        <v>2446</v>
      </c>
      <c r="L1660" s="348" t="s">
        <v>1205</v>
      </c>
      <c r="M1660" s="265">
        <v>0</v>
      </c>
      <c r="N1660" s="347">
        <v>1</v>
      </c>
      <c r="O1660" s="348" t="s">
        <v>1205</v>
      </c>
      <c r="P1660" s="348">
        <v>1</v>
      </c>
      <c r="Q1660" s="348" t="s">
        <v>1205</v>
      </c>
    </row>
    <row r="1661" spans="1:17" ht="15" hidden="1" customHeight="1">
      <c r="A1661" s="163">
        <v>1656</v>
      </c>
      <c r="B1661" s="53" t="s">
        <v>11321</v>
      </c>
      <c r="C1661" s="53" t="s">
        <v>2447</v>
      </c>
      <c r="D1661" s="53">
        <v>300005859</v>
      </c>
      <c r="E1661" s="55" t="s">
        <v>2448</v>
      </c>
      <c r="F1661" s="129">
        <v>22</v>
      </c>
      <c r="G1661" s="129">
        <v>528</v>
      </c>
      <c r="H1661" s="512">
        <v>412.1</v>
      </c>
      <c r="I1661" s="265" t="s">
        <v>1693</v>
      </c>
      <c r="J1661" s="265" t="s">
        <v>77</v>
      </c>
      <c r="K1661" s="265" t="s">
        <v>2449</v>
      </c>
      <c r="L1661" s="348" t="s">
        <v>1205</v>
      </c>
      <c r="M1661" s="265">
        <v>0</v>
      </c>
      <c r="N1661" s="347">
        <v>0.58499999999999996</v>
      </c>
      <c r="O1661" s="348" t="s">
        <v>1205</v>
      </c>
      <c r="P1661" s="348">
        <v>12.87</v>
      </c>
      <c r="Q1661" s="348" t="s">
        <v>1205</v>
      </c>
    </row>
    <row r="1662" spans="1:17" ht="15" hidden="1" customHeight="1">
      <c r="A1662" s="163">
        <v>1657</v>
      </c>
      <c r="B1662" s="53" t="s">
        <v>11321</v>
      </c>
      <c r="C1662" s="53" t="s">
        <v>2450</v>
      </c>
      <c r="D1662" s="53">
        <v>300004440</v>
      </c>
      <c r="E1662" s="55" t="s">
        <v>2451</v>
      </c>
      <c r="F1662" s="129">
        <v>8</v>
      </c>
      <c r="G1662" s="129" t="s">
        <v>1205</v>
      </c>
      <c r="H1662" s="512">
        <v>275.42</v>
      </c>
      <c r="I1662" s="265" t="s">
        <v>1693</v>
      </c>
      <c r="J1662" s="265" t="s">
        <v>77</v>
      </c>
      <c r="K1662" s="265" t="s">
        <v>2452</v>
      </c>
      <c r="L1662" s="348" t="s">
        <v>1205</v>
      </c>
      <c r="M1662" s="265">
        <v>0</v>
      </c>
      <c r="N1662" s="347">
        <v>1</v>
      </c>
      <c r="O1662" s="348" t="s">
        <v>1205</v>
      </c>
      <c r="P1662" s="348">
        <v>8</v>
      </c>
      <c r="Q1662" s="348" t="s">
        <v>1205</v>
      </c>
    </row>
    <row r="1663" spans="1:17" ht="15" hidden="1" customHeight="1">
      <c r="A1663" s="163">
        <v>1658</v>
      </c>
      <c r="B1663" s="53" t="s">
        <v>11321</v>
      </c>
      <c r="C1663" s="53" t="s">
        <v>2453</v>
      </c>
      <c r="D1663" s="53">
        <v>300004495</v>
      </c>
      <c r="E1663" s="55" t="s">
        <v>2454</v>
      </c>
      <c r="F1663" s="129">
        <v>2</v>
      </c>
      <c r="G1663" s="129">
        <v>14</v>
      </c>
      <c r="H1663" s="512">
        <v>506.22</v>
      </c>
      <c r="I1663" s="265" t="s">
        <v>1693</v>
      </c>
      <c r="J1663" s="265" t="s">
        <v>77</v>
      </c>
      <c r="K1663" s="265">
        <v>0</v>
      </c>
      <c r="L1663" s="348" t="s">
        <v>1205</v>
      </c>
      <c r="M1663" s="265">
        <v>0</v>
      </c>
      <c r="N1663" s="347">
        <v>25.251999999999999</v>
      </c>
      <c r="O1663" s="348" t="s">
        <v>1205</v>
      </c>
      <c r="P1663" s="348">
        <v>50.503999999999998</v>
      </c>
      <c r="Q1663" s="348" t="s">
        <v>1205</v>
      </c>
    </row>
    <row r="1664" spans="1:17" ht="15" hidden="1" customHeight="1">
      <c r="A1664" s="163">
        <v>1659</v>
      </c>
      <c r="B1664" s="53" t="s">
        <v>11321</v>
      </c>
      <c r="C1664" s="53" t="s">
        <v>2455</v>
      </c>
      <c r="D1664" s="53">
        <v>100029331</v>
      </c>
      <c r="E1664" s="55" t="s">
        <v>2456</v>
      </c>
      <c r="F1664" s="129">
        <v>10</v>
      </c>
      <c r="G1664" s="129">
        <v>180</v>
      </c>
      <c r="H1664" s="512">
        <v>125.56</v>
      </c>
      <c r="I1664" s="265" t="s">
        <v>76</v>
      </c>
      <c r="J1664" s="265" t="s">
        <v>102</v>
      </c>
      <c r="K1664" s="265" t="s">
        <v>2457</v>
      </c>
      <c r="L1664" s="348" t="s">
        <v>1205</v>
      </c>
      <c r="M1664" s="265" t="s">
        <v>2458</v>
      </c>
      <c r="N1664" s="347">
        <v>1.8280000000000001</v>
      </c>
      <c r="O1664" s="348" t="s">
        <v>1205</v>
      </c>
      <c r="P1664" s="348">
        <v>20.13</v>
      </c>
      <c r="Q1664" s="348">
        <v>2.361325291407383</v>
      </c>
    </row>
    <row r="1665" spans="1:17" ht="15" hidden="1" customHeight="1">
      <c r="A1665" s="163">
        <v>1660</v>
      </c>
      <c r="B1665" s="53" t="s">
        <v>11321</v>
      </c>
      <c r="C1665" s="53" t="s">
        <v>2459</v>
      </c>
      <c r="D1665" s="53">
        <v>100029365</v>
      </c>
      <c r="E1665" s="55" t="s">
        <v>2460</v>
      </c>
      <c r="F1665" s="129">
        <v>1</v>
      </c>
      <c r="G1665" s="129">
        <v>110</v>
      </c>
      <c r="H1665" s="512">
        <v>271.76</v>
      </c>
      <c r="I1665" s="265" t="s">
        <v>76</v>
      </c>
      <c r="J1665" s="265" t="s">
        <v>102</v>
      </c>
      <c r="K1665" s="265" t="s">
        <v>2461</v>
      </c>
      <c r="L1665" s="348" t="s">
        <v>1205</v>
      </c>
      <c r="M1665" s="265" t="s">
        <v>2462</v>
      </c>
      <c r="N1665" s="347">
        <v>3.1619999999999999</v>
      </c>
      <c r="O1665" s="348" t="s">
        <v>1205</v>
      </c>
      <c r="P1665" s="348">
        <v>347.82</v>
      </c>
      <c r="Q1665" s="348">
        <v>53.333269333358928</v>
      </c>
    </row>
    <row r="1666" spans="1:17" ht="15" hidden="1" customHeight="1">
      <c r="A1666" s="163">
        <v>1661</v>
      </c>
      <c r="B1666" s="53" t="s">
        <v>11321</v>
      </c>
      <c r="C1666" s="53" t="s">
        <v>2463</v>
      </c>
      <c r="D1666" s="53">
        <v>100029335</v>
      </c>
      <c r="E1666" s="55" t="s">
        <v>2464</v>
      </c>
      <c r="F1666" s="129">
        <v>1</v>
      </c>
      <c r="G1666" s="129">
        <v>48</v>
      </c>
      <c r="H1666" s="512">
        <v>316.83999999999997</v>
      </c>
      <c r="I1666" s="265" t="s">
        <v>76</v>
      </c>
      <c r="J1666" s="265" t="s">
        <v>102</v>
      </c>
      <c r="K1666" s="265" t="s">
        <v>2465</v>
      </c>
      <c r="L1666" s="348" t="s">
        <v>1205</v>
      </c>
      <c r="M1666" s="265" t="s">
        <v>2466</v>
      </c>
      <c r="N1666" s="347">
        <v>6.1360000000000001</v>
      </c>
      <c r="O1666" s="348" t="s">
        <v>1205</v>
      </c>
      <c r="P1666" s="348">
        <v>408.96</v>
      </c>
      <c r="Q1666" s="348">
        <v>53.333269333358928</v>
      </c>
    </row>
    <row r="1667" spans="1:17" ht="15" hidden="1" customHeight="1">
      <c r="A1667" s="163">
        <v>1662</v>
      </c>
      <c r="B1667" s="53" t="s">
        <v>11321</v>
      </c>
      <c r="C1667" s="53" t="s">
        <v>2467</v>
      </c>
      <c r="D1667" s="53">
        <v>100029366</v>
      </c>
      <c r="E1667" s="55" t="s">
        <v>2468</v>
      </c>
      <c r="F1667" s="129">
        <v>1</v>
      </c>
      <c r="G1667" s="129">
        <v>41</v>
      </c>
      <c r="H1667" s="512">
        <v>344.14</v>
      </c>
      <c r="I1667" s="265" t="s">
        <v>76</v>
      </c>
      <c r="J1667" s="265" t="s">
        <v>102</v>
      </c>
      <c r="K1667" s="265" t="s">
        <v>2469</v>
      </c>
      <c r="L1667" s="348" t="s">
        <v>1205</v>
      </c>
      <c r="M1667" s="265" t="s">
        <v>2469</v>
      </c>
      <c r="N1667" s="347">
        <v>8.3759999999999994</v>
      </c>
      <c r="O1667" s="348" t="s">
        <v>1205</v>
      </c>
      <c r="P1667" s="348">
        <v>455.14100000000002</v>
      </c>
      <c r="Q1667" s="348">
        <v>53.333269333358928</v>
      </c>
    </row>
    <row r="1668" spans="1:17" ht="15" hidden="1" customHeight="1">
      <c r="A1668" s="163">
        <v>1663</v>
      </c>
      <c r="B1668" s="53" t="s">
        <v>11321</v>
      </c>
      <c r="C1668" s="53" t="s">
        <v>2470</v>
      </c>
      <c r="D1668" s="53">
        <v>100029367</v>
      </c>
      <c r="E1668" s="55" t="s">
        <v>2471</v>
      </c>
      <c r="F1668" s="129">
        <v>1</v>
      </c>
      <c r="G1668" s="129">
        <v>40</v>
      </c>
      <c r="H1668" s="512">
        <v>395.83</v>
      </c>
      <c r="I1668" s="265" t="s">
        <v>76</v>
      </c>
      <c r="J1668" s="265" t="s">
        <v>102</v>
      </c>
      <c r="K1668" s="265" t="s">
        <v>2472</v>
      </c>
      <c r="L1668" s="348" t="s">
        <v>1205</v>
      </c>
      <c r="M1668" s="265" t="s">
        <v>2473</v>
      </c>
      <c r="N1668" s="347">
        <v>9.6240000000000006</v>
      </c>
      <c r="O1668" s="348" t="s">
        <v>1205</v>
      </c>
      <c r="P1668" s="348">
        <v>498.48</v>
      </c>
      <c r="Q1668" s="348">
        <v>53.333269333358928</v>
      </c>
    </row>
    <row r="1669" spans="1:17" ht="15" hidden="1" customHeight="1">
      <c r="A1669" s="163">
        <v>1664</v>
      </c>
      <c r="B1669" s="53" t="s">
        <v>11321</v>
      </c>
      <c r="C1669" s="53" t="s">
        <v>2474</v>
      </c>
      <c r="D1669" s="53">
        <v>100029336</v>
      </c>
      <c r="E1669" s="55" t="s">
        <v>2475</v>
      </c>
      <c r="F1669" s="129">
        <v>1</v>
      </c>
      <c r="G1669" s="129">
        <v>24</v>
      </c>
      <c r="H1669" s="512">
        <v>974.26</v>
      </c>
      <c r="I1669" s="265" t="s">
        <v>76</v>
      </c>
      <c r="J1669" s="265" t="s">
        <v>102</v>
      </c>
      <c r="K1669" s="265" t="s">
        <v>2476</v>
      </c>
      <c r="L1669" s="348" t="s">
        <v>1205</v>
      </c>
      <c r="M1669" s="265" t="s">
        <v>2477</v>
      </c>
      <c r="N1669" s="347">
        <v>10.304</v>
      </c>
      <c r="O1669" s="348" t="s">
        <v>1205</v>
      </c>
      <c r="P1669" s="348">
        <v>247.29599999999999</v>
      </c>
      <c r="Q1669" s="348">
        <v>53.333269333358928</v>
      </c>
    </row>
    <row r="1670" spans="1:17" ht="15" hidden="1" customHeight="1">
      <c r="A1670" s="163">
        <v>1665</v>
      </c>
      <c r="B1670" s="53" t="s">
        <v>11321</v>
      </c>
      <c r="C1670" s="53" t="s">
        <v>2478</v>
      </c>
      <c r="D1670" s="53">
        <v>100029380</v>
      </c>
      <c r="E1670" s="55" t="s">
        <v>2479</v>
      </c>
      <c r="F1670" s="129">
        <v>1</v>
      </c>
      <c r="G1670" s="129">
        <v>22</v>
      </c>
      <c r="H1670" s="512">
        <v>1484.31</v>
      </c>
      <c r="I1670" s="265" t="s">
        <v>76</v>
      </c>
      <c r="J1670" s="265" t="s">
        <v>102</v>
      </c>
      <c r="K1670" s="265" t="s">
        <v>2480</v>
      </c>
      <c r="L1670" s="348" t="s">
        <v>1205</v>
      </c>
      <c r="M1670" s="265" t="s">
        <v>2481</v>
      </c>
      <c r="N1670" s="347">
        <v>11.388</v>
      </c>
      <c r="O1670" s="348" t="s">
        <v>1205</v>
      </c>
      <c r="P1670" s="348">
        <v>250.536</v>
      </c>
      <c r="Q1670" s="348">
        <v>53.333269333358928</v>
      </c>
    </row>
    <row r="1671" spans="1:17" ht="15" hidden="1" customHeight="1">
      <c r="A1671" s="163">
        <v>1666</v>
      </c>
      <c r="B1671" s="53" t="s">
        <v>11321</v>
      </c>
      <c r="C1671" s="53" t="s">
        <v>2482</v>
      </c>
      <c r="D1671" s="53">
        <v>300005770</v>
      </c>
      <c r="E1671" s="55" t="s">
        <v>2483</v>
      </c>
      <c r="F1671" s="129">
        <v>1</v>
      </c>
      <c r="G1671" s="129">
        <v>48</v>
      </c>
      <c r="H1671" s="512">
        <v>674.77</v>
      </c>
      <c r="I1671" s="265" t="s">
        <v>1693</v>
      </c>
      <c r="J1671" s="265" t="s">
        <v>77</v>
      </c>
      <c r="K1671" s="265" t="s">
        <v>2484</v>
      </c>
      <c r="L1671" s="348" t="s">
        <v>1205</v>
      </c>
      <c r="M1671" s="265">
        <v>0</v>
      </c>
      <c r="N1671" s="347">
        <v>4.4720000000000004</v>
      </c>
      <c r="O1671" s="348" t="s">
        <v>1205</v>
      </c>
      <c r="P1671" s="348">
        <v>4.4720000000000004</v>
      </c>
      <c r="Q1671" s="348" t="s">
        <v>1205</v>
      </c>
    </row>
    <row r="1672" spans="1:17" ht="15" hidden="1" customHeight="1">
      <c r="A1672" s="163">
        <v>1667</v>
      </c>
      <c r="B1672" s="53" t="s">
        <v>11321</v>
      </c>
      <c r="C1672" s="53" t="s">
        <v>2485</v>
      </c>
      <c r="D1672" s="53">
        <v>300005775</v>
      </c>
      <c r="E1672" s="55" t="s">
        <v>2486</v>
      </c>
      <c r="F1672" s="129">
        <v>1</v>
      </c>
      <c r="G1672" s="129">
        <v>40</v>
      </c>
      <c r="H1672" s="512">
        <v>632.75</v>
      </c>
      <c r="I1672" s="265" t="s">
        <v>1693</v>
      </c>
      <c r="J1672" s="265" t="s">
        <v>77</v>
      </c>
      <c r="K1672" s="265" t="s">
        <v>2487</v>
      </c>
      <c r="L1672" s="348" t="s">
        <v>1205</v>
      </c>
      <c r="M1672" s="265">
        <v>0</v>
      </c>
      <c r="N1672" s="347">
        <v>6.9850000000000003</v>
      </c>
      <c r="O1672" s="348" t="s">
        <v>1205</v>
      </c>
      <c r="P1672" s="348">
        <v>6.9850000000000003</v>
      </c>
      <c r="Q1672" s="348" t="s">
        <v>1205</v>
      </c>
    </row>
    <row r="1673" spans="1:17" ht="15" hidden="1" customHeight="1">
      <c r="A1673" s="163">
        <v>1668</v>
      </c>
      <c r="B1673" s="53" t="s">
        <v>11321</v>
      </c>
      <c r="C1673" s="53" t="s">
        <v>2488</v>
      </c>
      <c r="D1673" s="53">
        <v>100030996</v>
      </c>
      <c r="E1673" s="55" t="s">
        <v>2489</v>
      </c>
      <c r="F1673" s="129">
        <v>12</v>
      </c>
      <c r="G1673" s="129">
        <v>384</v>
      </c>
      <c r="H1673" s="512">
        <v>185.56</v>
      </c>
      <c r="I1673" s="265" t="s">
        <v>359</v>
      </c>
      <c r="J1673" s="265" t="s">
        <v>102</v>
      </c>
      <c r="K1673" s="265" t="s">
        <v>2490</v>
      </c>
      <c r="L1673" s="348" t="s">
        <v>1205</v>
      </c>
      <c r="M1673" s="265" t="s">
        <v>2491</v>
      </c>
      <c r="N1673" s="347">
        <v>0.97799999999999998</v>
      </c>
      <c r="O1673" s="348" t="s">
        <v>1205</v>
      </c>
      <c r="P1673" s="348">
        <v>13.776</v>
      </c>
      <c r="Q1673" s="348">
        <v>1.3788503419060438</v>
      </c>
    </row>
    <row r="1674" spans="1:17" ht="15" hidden="1" customHeight="1">
      <c r="A1674" s="163">
        <v>1669</v>
      </c>
      <c r="B1674" s="53" t="s">
        <v>11321</v>
      </c>
      <c r="C1674" s="53" t="s">
        <v>2492</v>
      </c>
      <c r="D1674" s="53">
        <v>100029309</v>
      </c>
      <c r="E1674" s="55" t="s">
        <v>2493</v>
      </c>
      <c r="F1674" s="129">
        <v>10</v>
      </c>
      <c r="G1674" s="129">
        <v>320</v>
      </c>
      <c r="H1674" s="512">
        <v>233.11</v>
      </c>
      <c r="I1674" s="265" t="s">
        <v>76</v>
      </c>
      <c r="J1674" s="265" t="s">
        <v>102</v>
      </c>
      <c r="K1674" s="265" t="s">
        <v>2494</v>
      </c>
      <c r="L1674" s="348" t="s">
        <v>1205</v>
      </c>
      <c r="M1674" s="265" t="s">
        <v>2494</v>
      </c>
      <c r="N1674" s="347">
        <v>1.1319999999999999</v>
      </c>
      <c r="O1674" s="348" t="s">
        <v>1205</v>
      </c>
      <c r="P1674" s="348">
        <v>13.37</v>
      </c>
      <c r="Q1674" s="348">
        <v>1.3788503419060438</v>
      </c>
    </row>
    <row r="1675" spans="1:17" ht="15" hidden="1" customHeight="1">
      <c r="A1675" s="163">
        <v>1670</v>
      </c>
      <c r="B1675" s="53" t="s">
        <v>11321</v>
      </c>
      <c r="C1675" s="53" t="s">
        <v>2495</v>
      </c>
      <c r="D1675" s="53">
        <v>100030926</v>
      </c>
      <c r="E1675" s="55" t="s">
        <v>2496</v>
      </c>
      <c r="F1675" s="129">
        <v>4</v>
      </c>
      <c r="G1675" s="129">
        <v>96</v>
      </c>
      <c r="H1675" s="512">
        <v>267.01</v>
      </c>
      <c r="I1675" s="265" t="s">
        <v>76</v>
      </c>
      <c r="J1675" s="265" t="s">
        <v>102</v>
      </c>
      <c r="K1675" s="265" t="s">
        <v>2497</v>
      </c>
      <c r="L1675" s="348" t="s">
        <v>1205</v>
      </c>
      <c r="M1675" s="265" t="s">
        <v>2498</v>
      </c>
      <c r="N1675" s="347">
        <v>2.637</v>
      </c>
      <c r="O1675" s="348" t="s">
        <v>1205</v>
      </c>
      <c r="P1675" s="348">
        <v>12.72</v>
      </c>
      <c r="Q1675" s="348">
        <v>1.8803145838984718</v>
      </c>
    </row>
    <row r="1676" spans="1:17" ht="15" hidden="1" customHeight="1">
      <c r="A1676" s="163">
        <v>1671</v>
      </c>
      <c r="B1676" s="53" t="s">
        <v>11321</v>
      </c>
      <c r="C1676" s="53" t="s">
        <v>2499</v>
      </c>
      <c r="D1676" s="53">
        <v>100029334</v>
      </c>
      <c r="E1676" s="55" t="s">
        <v>2500</v>
      </c>
      <c r="F1676" s="129">
        <v>6</v>
      </c>
      <c r="G1676" s="129">
        <v>192</v>
      </c>
      <c r="H1676" s="512">
        <v>412.09</v>
      </c>
      <c r="I1676" s="265" t="s">
        <v>359</v>
      </c>
      <c r="J1676" s="265" t="s">
        <v>102</v>
      </c>
      <c r="K1676" s="265" t="s">
        <v>2501</v>
      </c>
      <c r="L1676" s="348" t="s">
        <v>1205</v>
      </c>
      <c r="M1676" s="265" t="s">
        <v>2502</v>
      </c>
      <c r="N1676" s="347">
        <v>1.6359999999999999</v>
      </c>
      <c r="O1676" s="348" t="s">
        <v>1205</v>
      </c>
      <c r="P1676" s="348">
        <v>11.868</v>
      </c>
      <c r="Q1676" s="348">
        <v>1.3788503419060438</v>
      </c>
    </row>
    <row r="1677" spans="1:17" ht="15" hidden="1" customHeight="1">
      <c r="A1677" s="163">
        <v>1672</v>
      </c>
      <c r="B1677" s="53" t="s">
        <v>11321</v>
      </c>
      <c r="C1677" s="53" t="s">
        <v>2503</v>
      </c>
      <c r="D1677" s="53">
        <v>300003499</v>
      </c>
      <c r="E1677" s="55" t="s">
        <v>2504</v>
      </c>
      <c r="F1677" s="129">
        <v>4</v>
      </c>
      <c r="G1677" s="129">
        <v>96</v>
      </c>
      <c r="H1677" s="512">
        <v>1092.72</v>
      </c>
      <c r="I1677" s="265" t="s">
        <v>1693</v>
      </c>
      <c r="J1677" s="265" t="s">
        <v>77</v>
      </c>
      <c r="K1677" s="265" t="s">
        <v>2505</v>
      </c>
      <c r="L1677" s="348" t="s">
        <v>1205</v>
      </c>
      <c r="M1677" s="265">
        <v>0</v>
      </c>
      <c r="N1677" s="347">
        <v>3.3330000000000002</v>
      </c>
      <c r="O1677" s="348" t="s">
        <v>1205</v>
      </c>
      <c r="P1677" s="348">
        <v>13.332000000000001</v>
      </c>
      <c r="Q1677" s="348" t="s">
        <v>1205</v>
      </c>
    </row>
    <row r="1678" spans="1:17" ht="15" hidden="1" customHeight="1">
      <c r="A1678" s="163">
        <v>1673</v>
      </c>
      <c r="B1678" s="53" t="s">
        <v>11321</v>
      </c>
      <c r="C1678" s="53" t="s">
        <v>2506</v>
      </c>
      <c r="D1678" s="53">
        <v>300003556</v>
      </c>
      <c r="E1678" s="55" t="s">
        <v>2507</v>
      </c>
      <c r="F1678" s="129">
        <v>6</v>
      </c>
      <c r="G1678" s="129">
        <v>192</v>
      </c>
      <c r="H1678" s="512">
        <v>1105.1500000000001</v>
      </c>
      <c r="I1678" s="265" t="s">
        <v>1693</v>
      </c>
      <c r="J1678" s="265" t="s">
        <v>77</v>
      </c>
      <c r="K1678" s="265" t="s">
        <v>2508</v>
      </c>
      <c r="L1678" s="348" t="s">
        <v>1205</v>
      </c>
      <c r="M1678" s="265">
        <v>0</v>
      </c>
      <c r="N1678" s="347">
        <v>1.1399999999999999</v>
      </c>
      <c r="O1678" s="348" t="s">
        <v>1205</v>
      </c>
      <c r="P1678" s="348">
        <v>6.84</v>
      </c>
      <c r="Q1678" s="348" t="s">
        <v>1205</v>
      </c>
    </row>
    <row r="1679" spans="1:17" ht="15" hidden="1" customHeight="1">
      <c r="A1679" s="163">
        <v>1674</v>
      </c>
      <c r="B1679" s="53" t="s">
        <v>11321</v>
      </c>
      <c r="C1679" s="53" t="s">
        <v>2509</v>
      </c>
      <c r="D1679" s="53">
        <v>300003570</v>
      </c>
      <c r="E1679" s="55" t="s">
        <v>2510</v>
      </c>
      <c r="F1679" s="129">
        <v>4</v>
      </c>
      <c r="G1679" s="129">
        <v>96</v>
      </c>
      <c r="H1679" s="512">
        <v>1157.33</v>
      </c>
      <c r="I1679" s="265" t="s">
        <v>1693</v>
      </c>
      <c r="J1679" s="265" t="s">
        <v>77</v>
      </c>
      <c r="K1679" s="265" t="s">
        <v>2511</v>
      </c>
      <c r="L1679" s="348" t="s">
        <v>1205</v>
      </c>
      <c r="M1679" s="265">
        <v>0</v>
      </c>
      <c r="N1679" s="347">
        <v>2.15</v>
      </c>
      <c r="O1679" s="348" t="s">
        <v>1205</v>
      </c>
      <c r="P1679" s="348">
        <v>8.6</v>
      </c>
      <c r="Q1679" s="348" t="s">
        <v>1205</v>
      </c>
    </row>
    <row r="1680" spans="1:17" ht="15" hidden="1" customHeight="1">
      <c r="A1680" s="163">
        <v>1675</v>
      </c>
      <c r="B1680" s="53" t="s">
        <v>11321</v>
      </c>
      <c r="C1680" s="53" t="s">
        <v>2512</v>
      </c>
      <c r="D1680" s="53">
        <v>300003659</v>
      </c>
      <c r="E1680" s="55" t="s">
        <v>2513</v>
      </c>
      <c r="F1680" s="129">
        <v>4</v>
      </c>
      <c r="G1680" s="129">
        <v>96</v>
      </c>
      <c r="H1680" s="512">
        <v>534.12</v>
      </c>
      <c r="I1680" s="265" t="s">
        <v>1693</v>
      </c>
      <c r="J1680" s="265" t="s">
        <v>77</v>
      </c>
      <c r="K1680" s="265" t="s">
        <v>2514</v>
      </c>
      <c r="L1680" s="348" t="s">
        <v>1205</v>
      </c>
      <c r="M1680" s="265">
        <v>0</v>
      </c>
      <c r="N1680" s="347">
        <v>2.15</v>
      </c>
      <c r="O1680" s="348" t="s">
        <v>1205</v>
      </c>
      <c r="P1680" s="348">
        <v>8.6</v>
      </c>
      <c r="Q1680" s="348" t="s">
        <v>1205</v>
      </c>
    </row>
    <row r="1681" spans="1:17" ht="15" hidden="1" customHeight="1">
      <c r="A1681" s="163">
        <v>1676</v>
      </c>
      <c r="B1681" s="53" t="s">
        <v>11321</v>
      </c>
      <c r="C1681" s="53" t="s">
        <v>2515</v>
      </c>
      <c r="D1681" s="53">
        <v>300005633</v>
      </c>
      <c r="E1681" s="55" t="s">
        <v>2516</v>
      </c>
      <c r="F1681" s="129">
        <v>6</v>
      </c>
      <c r="G1681" s="129">
        <v>270</v>
      </c>
      <c r="H1681" s="512">
        <v>8342.35</v>
      </c>
      <c r="I1681" s="265" t="s">
        <v>1693</v>
      </c>
      <c r="J1681" s="265" t="s">
        <v>77</v>
      </c>
      <c r="K1681" s="265" t="s">
        <v>2517</v>
      </c>
      <c r="L1681" s="348" t="s">
        <v>1205</v>
      </c>
      <c r="M1681" s="265">
        <v>0</v>
      </c>
      <c r="N1681" s="347">
        <v>1.62</v>
      </c>
      <c r="O1681" s="348" t="s">
        <v>1205</v>
      </c>
      <c r="P1681" s="348">
        <v>9.7200000000000006</v>
      </c>
      <c r="Q1681" s="348" t="s">
        <v>1205</v>
      </c>
    </row>
    <row r="1682" spans="1:17" ht="15" hidden="1" customHeight="1">
      <c r="A1682" s="163">
        <v>1677</v>
      </c>
      <c r="B1682" s="53" t="s">
        <v>11321</v>
      </c>
      <c r="C1682" s="53" t="s">
        <v>2518</v>
      </c>
      <c r="D1682" s="53">
        <v>300005832</v>
      </c>
      <c r="E1682" s="55" t="s">
        <v>2519</v>
      </c>
      <c r="F1682" s="129">
        <v>6</v>
      </c>
      <c r="G1682" s="129">
        <v>270</v>
      </c>
      <c r="H1682" s="512">
        <v>779.57</v>
      </c>
      <c r="I1682" s="265" t="s">
        <v>1693</v>
      </c>
      <c r="J1682" s="265" t="s">
        <v>77</v>
      </c>
      <c r="K1682" s="265" t="s">
        <v>2520</v>
      </c>
      <c r="L1682" s="348" t="s">
        <v>1205</v>
      </c>
      <c r="M1682" s="265">
        <v>0</v>
      </c>
      <c r="N1682" s="347">
        <v>1.62</v>
      </c>
      <c r="O1682" s="348" t="s">
        <v>1205</v>
      </c>
      <c r="P1682" s="348">
        <v>9.7200000000000006</v>
      </c>
      <c r="Q1682" s="348" t="s">
        <v>1205</v>
      </c>
    </row>
    <row r="1683" spans="1:17" ht="15" hidden="1" customHeight="1">
      <c r="A1683" s="163">
        <v>1678</v>
      </c>
      <c r="B1683" s="53" t="s">
        <v>11321</v>
      </c>
      <c r="C1683" s="53" t="s">
        <v>2521</v>
      </c>
      <c r="D1683" s="53">
        <v>300005774</v>
      </c>
      <c r="E1683" s="55" t="s">
        <v>2522</v>
      </c>
      <c r="F1683" s="129">
        <v>4</v>
      </c>
      <c r="G1683" s="129">
        <v>72</v>
      </c>
      <c r="H1683" s="512">
        <v>300.87</v>
      </c>
      <c r="I1683" s="265" t="s">
        <v>1693</v>
      </c>
      <c r="J1683" s="265" t="s">
        <v>77</v>
      </c>
      <c r="K1683" s="265" t="s">
        <v>2523</v>
      </c>
      <c r="L1683" s="348" t="s">
        <v>1205</v>
      </c>
      <c r="M1683" s="265">
        <v>0</v>
      </c>
      <c r="N1683" s="347">
        <v>2.6720000000000002</v>
      </c>
      <c r="O1683" s="348" t="s">
        <v>1205</v>
      </c>
      <c r="P1683" s="348">
        <v>10.688000000000001</v>
      </c>
      <c r="Q1683" s="348" t="s">
        <v>1205</v>
      </c>
    </row>
    <row r="1684" spans="1:17" ht="15" hidden="1" customHeight="1">
      <c r="A1684" s="163">
        <v>1679</v>
      </c>
      <c r="B1684" s="53" t="s">
        <v>11321</v>
      </c>
      <c r="C1684" s="53" t="s">
        <v>2524</v>
      </c>
      <c r="D1684" s="53">
        <v>300005846</v>
      </c>
      <c r="E1684" s="55" t="s">
        <v>2525</v>
      </c>
      <c r="F1684" s="129">
        <v>6</v>
      </c>
      <c r="G1684" s="129">
        <v>192</v>
      </c>
      <c r="H1684" s="512">
        <v>1378.63</v>
      </c>
      <c r="I1684" s="265" t="s">
        <v>1693</v>
      </c>
      <c r="J1684" s="265" t="s">
        <v>77</v>
      </c>
      <c r="K1684" s="265" t="s">
        <v>2526</v>
      </c>
      <c r="L1684" s="348" t="s">
        <v>1205</v>
      </c>
      <c r="M1684" s="265">
        <v>0</v>
      </c>
      <c r="N1684" s="347">
        <v>1.04</v>
      </c>
      <c r="O1684" s="348" t="s">
        <v>1205</v>
      </c>
      <c r="P1684" s="348">
        <v>6.24</v>
      </c>
      <c r="Q1684" s="348" t="s">
        <v>1205</v>
      </c>
    </row>
    <row r="1685" spans="1:17" ht="15" hidden="1" customHeight="1">
      <c r="A1685" s="163">
        <v>1680</v>
      </c>
      <c r="B1685" s="53" t="s">
        <v>11321</v>
      </c>
      <c r="C1685" s="53" t="s">
        <v>2527</v>
      </c>
      <c r="D1685" s="53">
        <v>300005847</v>
      </c>
      <c r="E1685" s="55" t="s">
        <v>2528</v>
      </c>
      <c r="F1685" s="129">
        <v>4</v>
      </c>
      <c r="G1685" s="129">
        <v>72</v>
      </c>
      <c r="H1685" s="512">
        <v>2592.67</v>
      </c>
      <c r="I1685" s="265" t="s">
        <v>1693</v>
      </c>
      <c r="J1685" s="265" t="s">
        <v>77</v>
      </c>
      <c r="K1685" s="265" t="s">
        <v>2529</v>
      </c>
      <c r="L1685" s="348" t="s">
        <v>1205</v>
      </c>
      <c r="M1685" s="265">
        <v>0</v>
      </c>
      <c r="N1685" s="347">
        <v>3.4</v>
      </c>
      <c r="O1685" s="348" t="s">
        <v>1205</v>
      </c>
      <c r="P1685" s="348">
        <v>13.6</v>
      </c>
      <c r="Q1685" s="348" t="s">
        <v>1205</v>
      </c>
    </row>
    <row r="1686" spans="1:17" ht="15" hidden="1" customHeight="1">
      <c r="A1686" s="163">
        <v>1681</v>
      </c>
      <c r="B1686" s="53" t="s">
        <v>11321</v>
      </c>
      <c r="C1686" s="53" t="s">
        <v>2530</v>
      </c>
      <c r="D1686" s="53">
        <v>300005852</v>
      </c>
      <c r="E1686" s="55" t="s">
        <v>2531</v>
      </c>
      <c r="F1686" s="129">
        <v>6</v>
      </c>
      <c r="G1686" s="129">
        <v>192</v>
      </c>
      <c r="H1686" s="512">
        <v>1909.48</v>
      </c>
      <c r="I1686" s="265" t="s">
        <v>1693</v>
      </c>
      <c r="J1686" s="265" t="s">
        <v>77</v>
      </c>
      <c r="K1686" s="265" t="s">
        <v>2532</v>
      </c>
      <c r="L1686" s="348" t="s">
        <v>1205</v>
      </c>
      <c r="M1686" s="265">
        <v>0</v>
      </c>
      <c r="N1686" s="347">
        <v>1.64</v>
      </c>
      <c r="O1686" s="348" t="s">
        <v>1205</v>
      </c>
      <c r="P1686" s="348">
        <v>9.84</v>
      </c>
      <c r="Q1686" s="348" t="s">
        <v>1205</v>
      </c>
    </row>
    <row r="1687" spans="1:17" ht="15" hidden="1" customHeight="1">
      <c r="A1687" s="163">
        <v>1682</v>
      </c>
      <c r="B1687" s="53" t="s">
        <v>11321</v>
      </c>
      <c r="C1687" s="53" t="s">
        <v>2533</v>
      </c>
      <c r="D1687" s="53">
        <v>300005854</v>
      </c>
      <c r="E1687" s="55" t="s">
        <v>2534</v>
      </c>
      <c r="F1687" s="129">
        <v>4</v>
      </c>
      <c r="G1687" s="129">
        <v>72</v>
      </c>
      <c r="H1687" s="512">
        <v>3228.67</v>
      </c>
      <c r="I1687" s="265" t="s">
        <v>1693</v>
      </c>
      <c r="J1687" s="265" t="s">
        <v>77</v>
      </c>
      <c r="K1687" s="265" t="s">
        <v>2535</v>
      </c>
      <c r="L1687" s="348" t="s">
        <v>1205</v>
      </c>
      <c r="M1687" s="265">
        <v>0</v>
      </c>
      <c r="N1687" s="347">
        <v>3.34</v>
      </c>
      <c r="O1687" s="348" t="s">
        <v>1205</v>
      </c>
      <c r="P1687" s="348">
        <v>13.36</v>
      </c>
      <c r="Q1687" s="348" t="s">
        <v>1205</v>
      </c>
    </row>
    <row r="1688" spans="1:17" ht="15" hidden="1" customHeight="1">
      <c r="A1688" s="163">
        <v>1683</v>
      </c>
      <c r="B1688" s="53" t="s">
        <v>11321</v>
      </c>
      <c r="C1688" s="53" t="s">
        <v>2536</v>
      </c>
      <c r="D1688" s="53">
        <v>300003746</v>
      </c>
      <c r="E1688" s="55" t="s">
        <v>2537</v>
      </c>
      <c r="F1688" s="129">
        <v>1</v>
      </c>
      <c r="G1688" s="129" t="s">
        <v>1205</v>
      </c>
      <c r="H1688" s="512">
        <v>4154.58</v>
      </c>
      <c r="I1688" s="265" t="s">
        <v>1693</v>
      </c>
      <c r="J1688" s="265" t="s">
        <v>77</v>
      </c>
      <c r="K1688" s="265">
        <v>0</v>
      </c>
      <c r="L1688" s="348" t="s">
        <v>1205</v>
      </c>
      <c r="M1688" s="265">
        <v>0</v>
      </c>
      <c r="N1688" s="347">
        <v>1.849</v>
      </c>
      <c r="O1688" s="348" t="s">
        <v>1205</v>
      </c>
      <c r="P1688" s="348">
        <v>1.849</v>
      </c>
      <c r="Q1688" s="348" t="s">
        <v>1205</v>
      </c>
    </row>
    <row r="1689" spans="1:17" ht="15" hidden="1" customHeight="1">
      <c r="A1689" s="163">
        <v>1684</v>
      </c>
      <c r="B1689" s="53" t="s">
        <v>11322</v>
      </c>
      <c r="C1689" s="53" t="s">
        <v>2544</v>
      </c>
      <c r="D1689" s="53">
        <v>300003387</v>
      </c>
      <c r="E1689" s="55" t="s">
        <v>2545</v>
      </c>
      <c r="F1689" s="129">
        <v>8</v>
      </c>
      <c r="G1689" s="129">
        <v>140</v>
      </c>
      <c r="H1689" s="512">
        <v>1226.4100000000001</v>
      </c>
      <c r="I1689" s="265" t="s">
        <v>1693</v>
      </c>
      <c r="J1689" s="265" t="s">
        <v>77</v>
      </c>
      <c r="K1689" s="265" t="s">
        <v>2547</v>
      </c>
      <c r="L1689" s="348" t="s">
        <v>1205</v>
      </c>
      <c r="M1689" s="265">
        <v>0</v>
      </c>
      <c r="N1689" s="347">
        <v>1.516</v>
      </c>
      <c r="O1689" s="348" t="s">
        <v>1205</v>
      </c>
      <c r="P1689" s="348">
        <v>12.128</v>
      </c>
      <c r="Q1689" s="348" t="s">
        <v>1205</v>
      </c>
    </row>
    <row r="1690" spans="1:17" ht="15" hidden="1" customHeight="1">
      <c r="A1690" s="163">
        <v>1685</v>
      </c>
      <c r="B1690" s="53" t="s">
        <v>11322</v>
      </c>
      <c r="C1690" s="53" t="s">
        <v>2548</v>
      </c>
      <c r="D1690" s="53">
        <v>300003374</v>
      </c>
      <c r="E1690" s="55" t="s">
        <v>2549</v>
      </c>
      <c r="F1690" s="129">
        <v>8</v>
      </c>
      <c r="G1690" s="129" t="s">
        <v>1205</v>
      </c>
      <c r="H1690" s="512">
        <v>314.85000000000002</v>
      </c>
      <c r="I1690" s="265" t="s">
        <v>1693</v>
      </c>
      <c r="J1690" s="265" t="s">
        <v>77</v>
      </c>
      <c r="K1690" s="265" t="s">
        <v>2550</v>
      </c>
      <c r="L1690" s="348" t="s">
        <v>1205</v>
      </c>
      <c r="M1690" s="265">
        <v>0</v>
      </c>
      <c r="N1690" s="347">
        <v>3.621</v>
      </c>
      <c r="O1690" s="348" t="s">
        <v>1205</v>
      </c>
      <c r="P1690" s="348">
        <v>28.968</v>
      </c>
      <c r="Q1690" s="348" t="s">
        <v>1205</v>
      </c>
    </row>
    <row r="1691" spans="1:17" ht="15" hidden="1" customHeight="1">
      <c r="A1691" s="163">
        <v>1686</v>
      </c>
      <c r="B1691" s="53" t="s">
        <v>11322</v>
      </c>
      <c r="C1691" s="53" t="s">
        <v>2551</v>
      </c>
      <c r="D1691" s="53">
        <v>300003398</v>
      </c>
      <c r="E1691" s="55" t="s">
        <v>2552</v>
      </c>
      <c r="F1691" s="129">
        <v>4</v>
      </c>
      <c r="G1691" s="129">
        <v>60</v>
      </c>
      <c r="H1691" s="512">
        <v>601.07000000000005</v>
      </c>
      <c r="I1691" s="265" t="s">
        <v>1693</v>
      </c>
      <c r="J1691" s="265" t="s">
        <v>77</v>
      </c>
      <c r="K1691" s="265" t="s">
        <v>2553</v>
      </c>
      <c r="L1691" s="348" t="s">
        <v>1205</v>
      </c>
      <c r="M1691" s="265">
        <v>0</v>
      </c>
      <c r="N1691" s="347">
        <v>3.18</v>
      </c>
      <c r="O1691" s="348" t="s">
        <v>1205</v>
      </c>
      <c r="P1691" s="348">
        <v>12.72</v>
      </c>
      <c r="Q1691" s="348" t="s">
        <v>1205</v>
      </c>
    </row>
    <row r="1692" spans="1:17" ht="15" hidden="1" customHeight="1">
      <c r="A1692" s="163">
        <v>1687</v>
      </c>
      <c r="B1692" s="53" t="s">
        <v>11322</v>
      </c>
      <c r="C1692" s="53" t="s">
        <v>2554</v>
      </c>
      <c r="D1692" s="53">
        <v>300003426</v>
      </c>
      <c r="E1692" s="55" t="s">
        <v>2555</v>
      </c>
      <c r="F1692" s="129">
        <v>4</v>
      </c>
      <c r="G1692" s="129">
        <v>38</v>
      </c>
      <c r="H1692" s="512">
        <v>961.78</v>
      </c>
      <c r="I1692" s="265" t="s">
        <v>1693</v>
      </c>
      <c r="J1692" s="265" t="s">
        <v>77</v>
      </c>
      <c r="K1692" s="265" t="s">
        <v>2556</v>
      </c>
      <c r="L1692" s="348" t="s">
        <v>1205</v>
      </c>
      <c r="M1692" s="265">
        <v>0</v>
      </c>
      <c r="N1692" s="347">
        <v>7.38</v>
      </c>
      <c r="O1692" s="348" t="s">
        <v>1205</v>
      </c>
      <c r="P1692" s="348">
        <v>29.52</v>
      </c>
      <c r="Q1692" s="348" t="s">
        <v>1205</v>
      </c>
    </row>
    <row r="1693" spans="1:17" ht="15" hidden="1" customHeight="1">
      <c r="A1693" s="163">
        <v>1688</v>
      </c>
      <c r="B1693" s="53" t="s">
        <v>11322</v>
      </c>
      <c r="C1693" s="53" t="s">
        <v>2557</v>
      </c>
      <c r="D1693" s="53">
        <v>300003375</v>
      </c>
      <c r="E1693" s="55" t="s">
        <v>2558</v>
      </c>
      <c r="F1693" s="129">
        <v>8</v>
      </c>
      <c r="G1693" s="129" t="s">
        <v>1205</v>
      </c>
      <c r="H1693" s="512">
        <v>559.79</v>
      </c>
      <c r="I1693" s="265" t="s">
        <v>1693</v>
      </c>
      <c r="J1693" s="265" t="s">
        <v>77</v>
      </c>
      <c r="K1693" s="265" t="s">
        <v>2559</v>
      </c>
      <c r="L1693" s="348" t="s">
        <v>1205</v>
      </c>
      <c r="M1693" s="265">
        <v>0</v>
      </c>
      <c r="N1693" s="347">
        <v>6.8769999999999998</v>
      </c>
      <c r="O1693" s="348" t="s">
        <v>1205</v>
      </c>
      <c r="P1693" s="348">
        <v>55.015999999999998</v>
      </c>
      <c r="Q1693" s="348" t="s">
        <v>1205</v>
      </c>
    </row>
    <row r="1694" spans="1:17" ht="15" hidden="1" customHeight="1">
      <c r="A1694" s="163">
        <v>1689</v>
      </c>
      <c r="B1694" s="53" t="s">
        <v>11322</v>
      </c>
      <c r="C1694" s="53" t="s">
        <v>2560</v>
      </c>
      <c r="D1694" s="53">
        <v>300003399</v>
      </c>
      <c r="E1694" s="55" t="s">
        <v>2561</v>
      </c>
      <c r="F1694" s="129">
        <v>4</v>
      </c>
      <c r="G1694" s="129">
        <v>60</v>
      </c>
      <c r="H1694" s="512">
        <v>1587.12</v>
      </c>
      <c r="I1694" s="265" t="s">
        <v>1693</v>
      </c>
      <c r="J1694" s="265" t="s">
        <v>77</v>
      </c>
      <c r="K1694" s="265" t="s">
        <v>2562</v>
      </c>
      <c r="L1694" s="348" t="s">
        <v>1205</v>
      </c>
      <c r="M1694" s="265">
        <v>0</v>
      </c>
      <c r="N1694" s="347">
        <v>2.41</v>
      </c>
      <c r="O1694" s="348" t="s">
        <v>1205</v>
      </c>
      <c r="P1694" s="348">
        <v>9.64</v>
      </c>
      <c r="Q1694" s="348" t="s">
        <v>1205</v>
      </c>
    </row>
    <row r="1695" spans="1:17" ht="15" hidden="1" customHeight="1">
      <c r="A1695" s="163">
        <v>1690</v>
      </c>
      <c r="B1695" s="53" t="s">
        <v>11322</v>
      </c>
      <c r="C1695" s="53" t="s">
        <v>2563</v>
      </c>
      <c r="D1695" s="53">
        <v>100029347</v>
      </c>
      <c r="E1695" s="55" t="s">
        <v>2564</v>
      </c>
      <c r="F1695" s="129">
        <v>18</v>
      </c>
      <c r="G1695" s="129">
        <v>432</v>
      </c>
      <c r="H1695" s="512">
        <v>166.36</v>
      </c>
      <c r="I1695" s="265" t="s">
        <v>76</v>
      </c>
      <c r="J1695" s="265" t="s">
        <v>102</v>
      </c>
      <c r="K1695" s="265" t="s">
        <v>2565</v>
      </c>
      <c r="L1695" s="348" t="s">
        <v>1205</v>
      </c>
      <c r="M1695" s="265" t="s">
        <v>2566</v>
      </c>
      <c r="N1695" s="347">
        <v>1.05</v>
      </c>
      <c r="O1695" s="348" t="s">
        <v>1205</v>
      </c>
      <c r="P1695" s="348">
        <v>21.311999999999998</v>
      </c>
      <c r="Q1695" s="348">
        <v>1.8803145838984718</v>
      </c>
    </row>
    <row r="1696" spans="1:17" ht="15" hidden="1" customHeight="1">
      <c r="A1696" s="163">
        <v>1691</v>
      </c>
      <c r="B1696" s="53" t="s">
        <v>11322</v>
      </c>
      <c r="C1696" s="53" t="s">
        <v>2567</v>
      </c>
      <c r="D1696" s="53">
        <v>100029348</v>
      </c>
      <c r="E1696" s="55" t="s">
        <v>2568</v>
      </c>
      <c r="F1696" s="129">
        <v>1</v>
      </c>
      <c r="G1696" s="129">
        <v>120</v>
      </c>
      <c r="H1696" s="512">
        <v>313.64</v>
      </c>
      <c r="I1696" s="265" t="s">
        <v>76</v>
      </c>
      <c r="J1696" s="265" t="s">
        <v>102</v>
      </c>
      <c r="K1696" s="265" t="s">
        <v>2569</v>
      </c>
      <c r="L1696" s="348" t="s">
        <v>1205</v>
      </c>
      <c r="M1696" s="265" t="s">
        <v>2570</v>
      </c>
      <c r="N1696" s="347">
        <v>2.8439999999999999</v>
      </c>
      <c r="O1696" s="348" t="s">
        <v>1205</v>
      </c>
      <c r="P1696" s="348">
        <v>341.28</v>
      </c>
      <c r="Q1696" s="348">
        <v>53.333269333358928</v>
      </c>
    </row>
    <row r="1697" spans="1:17" ht="15" hidden="1" customHeight="1">
      <c r="A1697" s="163">
        <v>1692</v>
      </c>
      <c r="B1697" s="53" t="s">
        <v>11322</v>
      </c>
      <c r="C1697" s="53" t="s">
        <v>2571</v>
      </c>
      <c r="D1697" s="53">
        <v>300005761</v>
      </c>
      <c r="E1697" s="55" t="s">
        <v>2572</v>
      </c>
      <c r="F1697" s="129">
        <v>1</v>
      </c>
      <c r="G1697" s="129">
        <v>70</v>
      </c>
      <c r="H1697" s="512">
        <v>1046.92</v>
      </c>
      <c r="I1697" s="265" t="s">
        <v>1693</v>
      </c>
      <c r="J1697" s="265" t="s">
        <v>77</v>
      </c>
      <c r="K1697" s="265" t="s">
        <v>2573</v>
      </c>
      <c r="L1697" s="348" t="s">
        <v>1205</v>
      </c>
      <c r="M1697" s="265">
        <v>0</v>
      </c>
      <c r="N1697" s="347">
        <v>5.5</v>
      </c>
      <c r="O1697" s="348" t="s">
        <v>1205</v>
      </c>
      <c r="P1697" s="348">
        <v>5.5</v>
      </c>
      <c r="Q1697" s="348" t="s">
        <v>1205</v>
      </c>
    </row>
    <row r="1698" spans="1:17" ht="15" hidden="1" customHeight="1">
      <c r="A1698" s="163">
        <v>1693</v>
      </c>
      <c r="B1698" s="53" t="s">
        <v>11322</v>
      </c>
      <c r="C1698" s="53" t="s">
        <v>2574</v>
      </c>
      <c r="D1698" s="53">
        <v>100029345</v>
      </c>
      <c r="E1698" s="55" t="s">
        <v>2575</v>
      </c>
      <c r="F1698" s="129">
        <v>18</v>
      </c>
      <c r="G1698" s="129">
        <v>432</v>
      </c>
      <c r="H1698" s="512">
        <v>159.29</v>
      </c>
      <c r="I1698" s="265" t="s">
        <v>76</v>
      </c>
      <c r="J1698" s="265" t="s">
        <v>102</v>
      </c>
      <c r="K1698" s="265" t="s">
        <v>2576</v>
      </c>
      <c r="L1698" s="348" t="s">
        <v>1205</v>
      </c>
      <c r="M1698" s="265" t="s">
        <v>2577</v>
      </c>
      <c r="N1698" s="347">
        <v>0.86799999999999999</v>
      </c>
      <c r="O1698" s="348" t="s">
        <v>1205</v>
      </c>
      <c r="P1698" s="348">
        <v>17.765999999999998</v>
      </c>
      <c r="Q1698" s="348">
        <v>1.8803145838984718</v>
      </c>
    </row>
    <row r="1699" spans="1:17" ht="15" hidden="1" customHeight="1">
      <c r="A1699" s="163">
        <v>1694</v>
      </c>
      <c r="B1699" s="53" t="s">
        <v>11322</v>
      </c>
      <c r="C1699" s="53" t="s">
        <v>2578</v>
      </c>
      <c r="D1699" s="53">
        <v>100029346</v>
      </c>
      <c r="E1699" s="55" t="s">
        <v>2579</v>
      </c>
      <c r="F1699" s="129">
        <v>1</v>
      </c>
      <c r="G1699" s="129">
        <v>120</v>
      </c>
      <c r="H1699" s="512">
        <v>300.45</v>
      </c>
      <c r="I1699" s="265" t="s">
        <v>76</v>
      </c>
      <c r="J1699" s="265" t="s">
        <v>102</v>
      </c>
      <c r="K1699" s="265" t="s">
        <v>2580</v>
      </c>
      <c r="L1699" s="348" t="s">
        <v>1205</v>
      </c>
      <c r="M1699" s="265" t="s">
        <v>2581</v>
      </c>
      <c r="N1699" s="347">
        <v>2.5059999999999998</v>
      </c>
      <c r="O1699" s="348" t="s">
        <v>1205</v>
      </c>
      <c r="P1699" s="348">
        <v>300.71999999999997</v>
      </c>
      <c r="Q1699" s="348">
        <v>53.333269333358928</v>
      </c>
    </row>
    <row r="1700" spans="1:17" ht="15" hidden="1" customHeight="1">
      <c r="A1700" s="163">
        <v>1695</v>
      </c>
      <c r="B1700" s="53" t="s">
        <v>11322</v>
      </c>
      <c r="C1700" s="53" t="s">
        <v>2582</v>
      </c>
      <c r="D1700" s="53">
        <v>300005762</v>
      </c>
      <c r="E1700" s="55" t="s">
        <v>2583</v>
      </c>
      <c r="F1700" s="129">
        <v>1</v>
      </c>
      <c r="G1700" s="129">
        <v>70</v>
      </c>
      <c r="H1700" s="512">
        <v>1029.3</v>
      </c>
      <c r="I1700" s="265" t="s">
        <v>1693</v>
      </c>
      <c r="J1700" s="265" t="s">
        <v>77</v>
      </c>
      <c r="K1700" s="265" t="s">
        <v>2584</v>
      </c>
      <c r="L1700" s="348" t="s">
        <v>1205</v>
      </c>
      <c r="M1700" s="265">
        <v>0</v>
      </c>
      <c r="N1700" s="347">
        <v>5.36</v>
      </c>
      <c r="O1700" s="348" t="s">
        <v>1205</v>
      </c>
      <c r="P1700" s="348">
        <v>5.36</v>
      </c>
      <c r="Q1700" s="348" t="s">
        <v>1205</v>
      </c>
    </row>
    <row r="1701" spans="1:17" ht="15" hidden="1" customHeight="1">
      <c r="A1701" s="163">
        <v>1696</v>
      </c>
      <c r="B1701" s="53" t="s">
        <v>11322</v>
      </c>
      <c r="C1701" s="53" t="s">
        <v>2585</v>
      </c>
      <c r="D1701" s="53">
        <v>100029299</v>
      </c>
      <c r="E1701" s="55" t="s">
        <v>2586</v>
      </c>
      <c r="F1701" s="129">
        <v>16</v>
      </c>
      <c r="G1701" s="129">
        <v>384</v>
      </c>
      <c r="H1701" s="512">
        <v>125.35</v>
      </c>
      <c r="I1701" s="265" t="s">
        <v>76</v>
      </c>
      <c r="J1701" s="265" t="s">
        <v>102</v>
      </c>
      <c r="K1701" s="265" t="s">
        <v>2587</v>
      </c>
      <c r="L1701" s="348" t="s">
        <v>1205</v>
      </c>
      <c r="M1701" s="265" t="s">
        <v>2588</v>
      </c>
      <c r="N1701" s="347">
        <v>1.127</v>
      </c>
      <c r="O1701" s="348" t="s">
        <v>1205</v>
      </c>
      <c r="P1701" s="348">
        <v>20.224</v>
      </c>
      <c r="Q1701" s="348">
        <v>1.8803145838984718</v>
      </c>
    </row>
    <row r="1702" spans="1:17" ht="15" hidden="1" customHeight="1">
      <c r="A1702" s="163">
        <v>1697</v>
      </c>
      <c r="B1702" s="53" t="s">
        <v>11322</v>
      </c>
      <c r="C1702" s="53" t="s">
        <v>2589</v>
      </c>
      <c r="D1702" s="53">
        <v>100029300</v>
      </c>
      <c r="E1702" s="55" t="s">
        <v>2590</v>
      </c>
      <c r="F1702" s="129">
        <v>1</v>
      </c>
      <c r="G1702" s="129">
        <v>110</v>
      </c>
      <c r="H1702" s="512">
        <v>230.11</v>
      </c>
      <c r="I1702" s="265" t="s">
        <v>76</v>
      </c>
      <c r="J1702" s="265" t="s">
        <v>102</v>
      </c>
      <c r="K1702" s="265" t="s">
        <v>2591</v>
      </c>
      <c r="L1702" s="348" t="s">
        <v>1205</v>
      </c>
      <c r="M1702" s="265" t="s">
        <v>2592</v>
      </c>
      <c r="N1702" s="347">
        <v>3.181</v>
      </c>
      <c r="O1702" s="348" t="s">
        <v>1205</v>
      </c>
      <c r="P1702" s="348">
        <v>349.91</v>
      </c>
      <c r="Q1702" s="348">
        <v>53.333269333358928</v>
      </c>
    </row>
    <row r="1703" spans="1:17" ht="15" hidden="1" customHeight="1">
      <c r="A1703" s="163">
        <v>1698</v>
      </c>
      <c r="B1703" s="53" t="s">
        <v>11322</v>
      </c>
      <c r="C1703" s="53" t="s">
        <v>2593</v>
      </c>
      <c r="D1703" s="53">
        <v>100029301</v>
      </c>
      <c r="E1703" s="55" t="s">
        <v>2594</v>
      </c>
      <c r="F1703" s="129">
        <v>1</v>
      </c>
      <c r="G1703" s="129">
        <v>48</v>
      </c>
      <c r="H1703" s="512">
        <v>571.75</v>
      </c>
      <c r="I1703" s="265" t="s">
        <v>76</v>
      </c>
      <c r="J1703" s="265" t="s">
        <v>102</v>
      </c>
      <c r="K1703" s="265" t="s">
        <v>2595</v>
      </c>
      <c r="L1703" s="348" t="s">
        <v>1205</v>
      </c>
      <c r="M1703" s="265" t="s">
        <v>2596</v>
      </c>
      <c r="N1703" s="347">
        <v>6.7640000000000002</v>
      </c>
      <c r="O1703" s="348" t="s">
        <v>1205</v>
      </c>
      <c r="P1703" s="348">
        <v>324.67200000000003</v>
      </c>
      <c r="Q1703" s="348">
        <v>53.333269333358928</v>
      </c>
    </row>
    <row r="1704" spans="1:17" ht="15" hidden="1" customHeight="1">
      <c r="A1704" s="163">
        <v>1699</v>
      </c>
      <c r="B1704" s="53" t="s">
        <v>11322</v>
      </c>
      <c r="C1704" s="53" t="s">
        <v>2597</v>
      </c>
      <c r="D1704" s="53">
        <v>100029296</v>
      </c>
      <c r="E1704" s="55" t="s">
        <v>2598</v>
      </c>
      <c r="F1704" s="129">
        <v>16</v>
      </c>
      <c r="G1704" s="129">
        <v>384</v>
      </c>
      <c r="H1704" s="512">
        <v>115.73</v>
      </c>
      <c r="I1704" s="265" t="s">
        <v>76</v>
      </c>
      <c r="J1704" s="265" t="s">
        <v>102</v>
      </c>
      <c r="K1704" s="265" t="s">
        <v>2599</v>
      </c>
      <c r="L1704" s="348" t="s">
        <v>1205</v>
      </c>
      <c r="M1704" s="265" t="s">
        <v>2600</v>
      </c>
      <c r="N1704" s="347">
        <v>1.0409999999999999</v>
      </c>
      <c r="O1704" s="348" t="s">
        <v>1205</v>
      </c>
      <c r="P1704" s="348">
        <v>18.847999999999999</v>
      </c>
      <c r="Q1704" s="348">
        <v>1.8803145838984718</v>
      </c>
    </row>
    <row r="1705" spans="1:17" ht="15" hidden="1" customHeight="1">
      <c r="A1705" s="163">
        <v>1700</v>
      </c>
      <c r="B1705" s="53" t="s">
        <v>11322</v>
      </c>
      <c r="C1705" s="53" t="s">
        <v>2601</v>
      </c>
      <c r="D1705" s="53">
        <v>100029297</v>
      </c>
      <c r="E1705" s="55" t="s">
        <v>2602</v>
      </c>
      <c r="F1705" s="129">
        <v>1</v>
      </c>
      <c r="G1705" s="129">
        <v>120</v>
      </c>
      <c r="H1705" s="512">
        <v>169.98</v>
      </c>
      <c r="I1705" s="265" t="s">
        <v>76</v>
      </c>
      <c r="J1705" s="265" t="s">
        <v>102</v>
      </c>
      <c r="K1705" s="265" t="s">
        <v>2603</v>
      </c>
      <c r="L1705" s="348" t="s">
        <v>1205</v>
      </c>
      <c r="M1705" s="265" t="s">
        <v>2604</v>
      </c>
      <c r="N1705" s="347">
        <v>2.9289999999999998</v>
      </c>
      <c r="O1705" s="348" t="s">
        <v>1205</v>
      </c>
      <c r="P1705" s="348">
        <v>351.47999999999996</v>
      </c>
      <c r="Q1705" s="348">
        <v>53.333269333358928</v>
      </c>
    </row>
    <row r="1706" spans="1:17" ht="15" hidden="1" customHeight="1">
      <c r="A1706" s="163">
        <v>1701</v>
      </c>
      <c r="B1706" s="53" t="s">
        <v>11322</v>
      </c>
      <c r="C1706" s="53" t="s">
        <v>2605</v>
      </c>
      <c r="D1706" s="53">
        <v>100029298</v>
      </c>
      <c r="E1706" s="55" t="s">
        <v>2606</v>
      </c>
      <c r="F1706" s="129">
        <v>1</v>
      </c>
      <c r="G1706" s="129">
        <v>48</v>
      </c>
      <c r="H1706" s="512">
        <v>571.75</v>
      </c>
      <c r="I1706" s="265" t="s">
        <v>359</v>
      </c>
      <c r="J1706" s="265" t="s">
        <v>102</v>
      </c>
      <c r="K1706" s="265" t="s">
        <v>2607</v>
      </c>
      <c r="L1706" s="348" t="s">
        <v>1205</v>
      </c>
      <c r="M1706" s="265" t="s">
        <v>2608</v>
      </c>
      <c r="N1706" s="347">
        <v>6.274</v>
      </c>
      <c r="O1706" s="348" t="s">
        <v>1205</v>
      </c>
      <c r="P1706" s="348">
        <v>301.15199999999999</v>
      </c>
      <c r="Q1706" s="348">
        <v>53.333269333358928</v>
      </c>
    </row>
    <row r="1707" spans="1:17" ht="15" hidden="1" customHeight="1">
      <c r="A1707" s="163">
        <v>1702</v>
      </c>
      <c r="B1707" s="53" t="s">
        <v>11322</v>
      </c>
      <c r="C1707" s="53" t="s">
        <v>2609</v>
      </c>
      <c r="D1707" s="53">
        <v>100029295</v>
      </c>
      <c r="E1707" s="55" t="s">
        <v>2610</v>
      </c>
      <c r="F1707" s="129">
        <v>10</v>
      </c>
      <c r="G1707" s="129">
        <v>240</v>
      </c>
      <c r="H1707" s="512">
        <v>222.71</v>
      </c>
      <c r="I1707" s="265" t="s">
        <v>76</v>
      </c>
      <c r="J1707" s="265" t="s">
        <v>102</v>
      </c>
      <c r="K1707" s="265" t="s">
        <v>2611</v>
      </c>
      <c r="L1707" s="348" t="s">
        <v>1205</v>
      </c>
      <c r="M1707" s="265" t="s">
        <v>2612</v>
      </c>
      <c r="N1707" s="347">
        <v>1.452</v>
      </c>
      <c r="O1707" s="348" t="s">
        <v>1205</v>
      </c>
      <c r="P1707" s="348">
        <v>16.690000000000001</v>
      </c>
      <c r="Q1707" s="348">
        <v>1.8803145838984718</v>
      </c>
    </row>
    <row r="1708" spans="1:17" ht="15" hidden="1" customHeight="1">
      <c r="A1708" s="163">
        <v>1703</v>
      </c>
      <c r="B1708" s="53" t="s">
        <v>11322</v>
      </c>
      <c r="C1708" s="53" t="s">
        <v>2613</v>
      </c>
      <c r="D1708" s="53">
        <v>100029302</v>
      </c>
      <c r="E1708" s="55" t="s">
        <v>2614</v>
      </c>
      <c r="F1708" s="129">
        <v>1</v>
      </c>
      <c r="G1708" s="129">
        <v>100</v>
      </c>
      <c r="H1708" s="512">
        <v>244.39</v>
      </c>
      <c r="I1708" s="265" t="s">
        <v>76</v>
      </c>
      <c r="J1708" s="265" t="s">
        <v>102</v>
      </c>
      <c r="K1708" s="265" t="s">
        <v>2615</v>
      </c>
      <c r="L1708" s="348" t="s">
        <v>1205</v>
      </c>
      <c r="M1708" s="265" t="s">
        <v>2616</v>
      </c>
      <c r="N1708" s="347">
        <v>3.8</v>
      </c>
      <c r="O1708" s="348" t="s">
        <v>1205</v>
      </c>
      <c r="P1708" s="348">
        <v>380</v>
      </c>
      <c r="Q1708" s="348">
        <v>53.333269333358928</v>
      </c>
    </row>
    <row r="1709" spans="1:17" ht="15" hidden="1" customHeight="1">
      <c r="A1709" s="163">
        <v>1704</v>
      </c>
      <c r="B1709" s="53" t="s">
        <v>11322</v>
      </c>
      <c r="C1709" s="53" t="s">
        <v>2617</v>
      </c>
      <c r="D1709" s="53">
        <v>300005842</v>
      </c>
      <c r="E1709" s="55" t="s">
        <v>2618</v>
      </c>
      <c r="F1709" s="129">
        <v>1</v>
      </c>
      <c r="G1709" s="129">
        <v>45</v>
      </c>
      <c r="H1709" s="512">
        <v>1940.02</v>
      </c>
      <c r="I1709" s="265" t="s">
        <v>1693</v>
      </c>
      <c r="J1709" s="265" t="s">
        <v>77</v>
      </c>
      <c r="K1709" s="265" t="s">
        <v>2619</v>
      </c>
      <c r="L1709" s="348" t="s">
        <v>1205</v>
      </c>
      <c r="M1709" s="265">
        <v>0</v>
      </c>
      <c r="N1709" s="347">
        <v>9.5</v>
      </c>
      <c r="O1709" s="348" t="s">
        <v>1205</v>
      </c>
      <c r="P1709" s="348">
        <v>9.5</v>
      </c>
      <c r="Q1709" s="348" t="s">
        <v>1205</v>
      </c>
    </row>
    <row r="1710" spans="1:17" ht="15" hidden="1" customHeight="1">
      <c r="A1710" s="163">
        <v>1705</v>
      </c>
      <c r="B1710" s="53" t="s">
        <v>11322</v>
      </c>
      <c r="C1710" s="53" t="s">
        <v>2620</v>
      </c>
      <c r="D1710" s="53">
        <v>300003395</v>
      </c>
      <c r="E1710" s="55" t="s">
        <v>2621</v>
      </c>
      <c r="F1710" s="129">
        <v>4</v>
      </c>
      <c r="G1710" s="129">
        <v>24</v>
      </c>
      <c r="H1710" s="512">
        <v>1120.9100000000001</v>
      </c>
      <c r="I1710" s="265" t="s">
        <v>1693</v>
      </c>
      <c r="J1710" s="265" t="s">
        <v>77</v>
      </c>
      <c r="K1710" s="265" t="s">
        <v>2622</v>
      </c>
      <c r="L1710" s="348" t="s">
        <v>1205</v>
      </c>
      <c r="M1710" s="265">
        <v>0</v>
      </c>
      <c r="N1710" s="347">
        <v>5.29</v>
      </c>
      <c r="O1710" s="348" t="s">
        <v>1205</v>
      </c>
      <c r="P1710" s="348">
        <v>21.16</v>
      </c>
      <c r="Q1710" s="348" t="s">
        <v>1205</v>
      </c>
    </row>
    <row r="1711" spans="1:17" ht="15" hidden="1" customHeight="1">
      <c r="A1711" s="163">
        <v>1706</v>
      </c>
      <c r="B1711" s="53" t="s">
        <v>11322</v>
      </c>
      <c r="C1711" s="53" t="s">
        <v>2623</v>
      </c>
      <c r="D1711" s="53">
        <v>300003424</v>
      </c>
      <c r="E1711" s="55" t="s">
        <v>2624</v>
      </c>
      <c r="F1711" s="129">
        <v>2</v>
      </c>
      <c r="G1711" s="129">
        <v>12</v>
      </c>
      <c r="H1711" s="512">
        <v>2492.25</v>
      </c>
      <c r="I1711" s="265" t="s">
        <v>1693</v>
      </c>
      <c r="J1711" s="265" t="s">
        <v>77</v>
      </c>
      <c r="K1711" s="265" t="s">
        <v>2625</v>
      </c>
      <c r="L1711" s="348" t="s">
        <v>1205</v>
      </c>
      <c r="M1711" s="265">
        <v>0</v>
      </c>
      <c r="N1711" s="347">
        <v>11.609</v>
      </c>
      <c r="O1711" s="348" t="s">
        <v>1205</v>
      </c>
      <c r="P1711" s="348">
        <v>23.218</v>
      </c>
      <c r="Q1711" s="348" t="s">
        <v>1205</v>
      </c>
    </row>
    <row r="1712" spans="1:17" ht="15" hidden="1" customHeight="1">
      <c r="A1712" s="163">
        <v>1707</v>
      </c>
      <c r="B1712" s="53" t="s">
        <v>11322</v>
      </c>
      <c r="C1712" s="53" t="s">
        <v>2626</v>
      </c>
      <c r="D1712" s="53">
        <v>300005840</v>
      </c>
      <c r="E1712" s="55" t="s">
        <v>2627</v>
      </c>
      <c r="F1712" s="129">
        <v>10</v>
      </c>
      <c r="G1712" s="129">
        <v>240</v>
      </c>
      <c r="H1712" s="512">
        <v>826.87</v>
      </c>
      <c r="I1712" s="265" t="s">
        <v>1693</v>
      </c>
      <c r="J1712" s="265" t="s">
        <v>77</v>
      </c>
      <c r="K1712" s="265" t="s">
        <v>2628</v>
      </c>
      <c r="L1712" s="348" t="s">
        <v>1205</v>
      </c>
      <c r="M1712" s="265">
        <v>0</v>
      </c>
      <c r="N1712" s="347">
        <v>1.2070000000000001</v>
      </c>
      <c r="O1712" s="348" t="s">
        <v>1205</v>
      </c>
      <c r="P1712" s="348">
        <v>12.07</v>
      </c>
      <c r="Q1712" s="348" t="s">
        <v>1205</v>
      </c>
    </row>
    <row r="1713" spans="1:17" ht="15" hidden="1" customHeight="1">
      <c r="A1713" s="163">
        <v>1708</v>
      </c>
      <c r="B1713" s="53" t="s">
        <v>11322</v>
      </c>
      <c r="C1713" s="53" t="s">
        <v>2629</v>
      </c>
      <c r="D1713" s="53">
        <v>300005758</v>
      </c>
      <c r="E1713" s="55" t="s">
        <v>2630</v>
      </c>
      <c r="F1713" s="129">
        <v>4</v>
      </c>
      <c r="G1713" s="129">
        <v>100</v>
      </c>
      <c r="H1713" s="512">
        <v>597.83000000000004</v>
      </c>
      <c r="I1713" s="265" t="s">
        <v>1693</v>
      </c>
      <c r="J1713" s="265" t="s">
        <v>77</v>
      </c>
      <c r="K1713" s="265" t="s">
        <v>2631</v>
      </c>
      <c r="L1713" s="348" t="s">
        <v>1205</v>
      </c>
      <c r="M1713" s="265">
        <v>0</v>
      </c>
      <c r="N1713" s="347">
        <v>3.4460000000000002</v>
      </c>
      <c r="O1713" s="348" t="s">
        <v>1205</v>
      </c>
      <c r="P1713" s="348">
        <v>13.784000000000001</v>
      </c>
      <c r="Q1713" s="348" t="s">
        <v>1205</v>
      </c>
    </row>
    <row r="1714" spans="1:17" ht="15" hidden="1" customHeight="1">
      <c r="A1714" s="163">
        <v>1709</v>
      </c>
      <c r="B1714" s="53" t="s">
        <v>11322</v>
      </c>
      <c r="C1714" s="53" t="s">
        <v>2632</v>
      </c>
      <c r="D1714" s="53">
        <v>300005843</v>
      </c>
      <c r="E1714" s="55" t="s">
        <v>2633</v>
      </c>
      <c r="F1714" s="129">
        <v>1</v>
      </c>
      <c r="G1714" s="129">
        <v>45</v>
      </c>
      <c r="H1714" s="512">
        <v>1780</v>
      </c>
      <c r="I1714" s="265" t="s">
        <v>1693</v>
      </c>
      <c r="J1714" s="265" t="s">
        <v>77</v>
      </c>
      <c r="K1714" s="265" t="s">
        <v>2634</v>
      </c>
      <c r="L1714" s="348" t="s">
        <v>1205</v>
      </c>
      <c r="M1714" s="265">
        <v>0</v>
      </c>
      <c r="N1714" s="347">
        <v>7.3769999999999998</v>
      </c>
      <c r="O1714" s="348" t="s">
        <v>1205</v>
      </c>
      <c r="P1714" s="348">
        <v>7.3769999999999998</v>
      </c>
      <c r="Q1714" s="348" t="s">
        <v>1205</v>
      </c>
    </row>
    <row r="1715" spans="1:17" ht="15" hidden="1" customHeight="1">
      <c r="A1715" s="163">
        <v>1710</v>
      </c>
      <c r="B1715" s="53" t="s">
        <v>11322</v>
      </c>
      <c r="C1715" s="53" t="s">
        <v>2635</v>
      </c>
      <c r="D1715" s="53">
        <v>300003373</v>
      </c>
      <c r="E1715" s="55" t="s">
        <v>2636</v>
      </c>
      <c r="F1715" s="129">
        <v>6</v>
      </c>
      <c r="G1715" s="129" t="s">
        <v>1205</v>
      </c>
      <c r="H1715" s="512">
        <v>380.28</v>
      </c>
      <c r="I1715" s="265" t="s">
        <v>1693</v>
      </c>
      <c r="J1715" s="265" t="s">
        <v>77</v>
      </c>
      <c r="K1715" s="265" t="s">
        <v>2637</v>
      </c>
      <c r="L1715" s="348" t="s">
        <v>1205</v>
      </c>
      <c r="M1715" s="265">
        <v>0</v>
      </c>
      <c r="N1715" s="347">
        <v>1.899</v>
      </c>
      <c r="O1715" s="348" t="s">
        <v>1205</v>
      </c>
      <c r="P1715" s="348">
        <v>11.394</v>
      </c>
      <c r="Q1715" s="348" t="s">
        <v>1205</v>
      </c>
    </row>
    <row r="1716" spans="1:17" ht="15" hidden="1" customHeight="1">
      <c r="A1716" s="163">
        <v>1711</v>
      </c>
      <c r="B1716" s="53" t="s">
        <v>11322</v>
      </c>
      <c r="C1716" s="53" t="s">
        <v>2638</v>
      </c>
      <c r="D1716" s="53">
        <v>300003407</v>
      </c>
      <c r="E1716" s="55" t="s">
        <v>2639</v>
      </c>
      <c r="F1716" s="129">
        <v>4</v>
      </c>
      <c r="G1716" s="129" t="s">
        <v>1205</v>
      </c>
      <c r="H1716" s="512">
        <v>546.63</v>
      </c>
      <c r="I1716" s="265" t="s">
        <v>1693</v>
      </c>
      <c r="J1716" s="265" t="s">
        <v>77</v>
      </c>
      <c r="K1716" s="265" t="s">
        <v>2640</v>
      </c>
      <c r="L1716" s="348" t="s">
        <v>1205</v>
      </c>
      <c r="M1716" s="265">
        <v>0</v>
      </c>
      <c r="N1716" s="347">
        <v>5.4560000000000004</v>
      </c>
      <c r="O1716" s="348" t="s">
        <v>1205</v>
      </c>
      <c r="P1716" s="348">
        <v>21.824000000000002</v>
      </c>
      <c r="Q1716" s="348" t="s">
        <v>1205</v>
      </c>
    </row>
    <row r="1717" spans="1:17" ht="15" hidden="1" customHeight="1">
      <c r="A1717" s="163">
        <v>1712</v>
      </c>
      <c r="B1717" s="53" t="s">
        <v>11322</v>
      </c>
      <c r="C1717" s="53" t="s">
        <v>2641</v>
      </c>
      <c r="D1717" s="53">
        <v>300003439</v>
      </c>
      <c r="E1717" s="55" t="s">
        <v>2642</v>
      </c>
      <c r="F1717" s="129">
        <v>4</v>
      </c>
      <c r="G1717" s="129" t="s">
        <v>1205</v>
      </c>
      <c r="H1717" s="512">
        <v>743.91</v>
      </c>
      <c r="I1717" s="265" t="s">
        <v>1693</v>
      </c>
      <c r="J1717" s="265" t="s">
        <v>77</v>
      </c>
      <c r="K1717" s="265" t="s">
        <v>2643</v>
      </c>
      <c r="L1717" s="348" t="s">
        <v>1205</v>
      </c>
      <c r="M1717" s="265">
        <v>0</v>
      </c>
      <c r="N1717" s="347">
        <v>7.9749999999999996</v>
      </c>
      <c r="O1717" s="348" t="s">
        <v>1205</v>
      </c>
      <c r="P1717" s="348">
        <v>31.9</v>
      </c>
      <c r="Q1717" s="348" t="s">
        <v>1205</v>
      </c>
    </row>
    <row r="1718" spans="1:17" ht="15" hidden="1" customHeight="1">
      <c r="A1718" s="163">
        <v>1713</v>
      </c>
      <c r="B1718" s="53" t="s">
        <v>11322</v>
      </c>
      <c r="C1718" s="53" t="s">
        <v>2644</v>
      </c>
      <c r="D1718" s="53">
        <v>300003448</v>
      </c>
      <c r="E1718" s="55" t="s">
        <v>2645</v>
      </c>
      <c r="F1718" s="129">
        <v>4</v>
      </c>
      <c r="G1718" s="129" t="s">
        <v>1205</v>
      </c>
      <c r="H1718" s="512">
        <v>1248.6300000000001</v>
      </c>
      <c r="I1718" s="265" t="s">
        <v>1693</v>
      </c>
      <c r="J1718" s="265" t="s">
        <v>77</v>
      </c>
      <c r="K1718" s="265" t="s">
        <v>2646</v>
      </c>
      <c r="L1718" s="348" t="s">
        <v>1205</v>
      </c>
      <c r="M1718" s="265">
        <v>0</v>
      </c>
      <c r="N1718" s="347">
        <v>4.8</v>
      </c>
      <c r="O1718" s="348" t="s">
        <v>1205</v>
      </c>
      <c r="P1718" s="348">
        <v>19.2</v>
      </c>
      <c r="Q1718" s="348" t="s">
        <v>1205</v>
      </c>
    </row>
    <row r="1719" spans="1:17" ht="15" hidden="1" customHeight="1">
      <c r="A1719" s="163">
        <v>1714</v>
      </c>
      <c r="B1719" s="53" t="s">
        <v>11322</v>
      </c>
      <c r="C1719" s="53" t="s">
        <v>2647</v>
      </c>
      <c r="D1719" s="53">
        <v>300005760</v>
      </c>
      <c r="E1719" s="55" t="s">
        <v>2648</v>
      </c>
      <c r="F1719" s="129">
        <v>16</v>
      </c>
      <c r="G1719" s="129">
        <v>288</v>
      </c>
      <c r="H1719" s="512">
        <v>522.16999999999996</v>
      </c>
      <c r="I1719" s="265" t="s">
        <v>1693</v>
      </c>
      <c r="J1719" s="265" t="s">
        <v>77</v>
      </c>
      <c r="K1719" s="265" t="s">
        <v>2649</v>
      </c>
      <c r="L1719" s="348" t="s">
        <v>1205</v>
      </c>
      <c r="M1719" s="265">
        <v>0</v>
      </c>
      <c r="N1719" s="347">
        <v>1.98</v>
      </c>
      <c r="O1719" s="348" t="s">
        <v>1205</v>
      </c>
      <c r="P1719" s="348">
        <v>31.68</v>
      </c>
      <c r="Q1719" s="348" t="s">
        <v>1205</v>
      </c>
    </row>
    <row r="1720" spans="1:17" ht="15" hidden="1" customHeight="1">
      <c r="A1720" s="163">
        <v>1715</v>
      </c>
      <c r="B1720" s="53" t="s">
        <v>11322</v>
      </c>
      <c r="C1720" s="53" t="s">
        <v>2650</v>
      </c>
      <c r="D1720" s="53">
        <v>100029262</v>
      </c>
      <c r="E1720" s="55" t="s">
        <v>2651</v>
      </c>
      <c r="F1720" s="129">
        <v>10</v>
      </c>
      <c r="G1720" s="129">
        <v>180</v>
      </c>
      <c r="H1720" s="512">
        <v>296.23</v>
      </c>
      <c r="I1720" s="265" t="s">
        <v>359</v>
      </c>
      <c r="J1720" s="265" t="s">
        <v>102</v>
      </c>
      <c r="K1720" s="265" t="s">
        <v>2652</v>
      </c>
      <c r="L1720" s="348" t="s">
        <v>1205</v>
      </c>
      <c r="M1720" s="265" t="s">
        <v>2653</v>
      </c>
      <c r="N1720" s="347">
        <v>1.94</v>
      </c>
      <c r="O1720" s="348" t="s">
        <v>1205</v>
      </c>
      <c r="P1720" s="348">
        <v>21.25</v>
      </c>
      <c r="Q1720" s="348">
        <v>2.361325291407383</v>
      </c>
    </row>
    <row r="1721" spans="1:17" ht="15" hidden="1" customHeight="1">
      <c r="A1721" s="163">
        <v>1716</v>
      </c>
      <c r="B1721" s="53" t="s">
        <v>11322</v>
      </c>
      <c r="C1721" s="53" t="s">
        <v>2654</v>
      </c>
      <c r="D1721" s="53">
        <v>300003409</v>
      </c>
      <c r="E1721" s="55" t="s">
        <v>2655</v>
      </c>
      <c r="F1721" s="129">
        <v>4</v>
      </c>
      <c r="G1721" s="129">
        <v>54</v>
      </c>
      <c r="H1721" s="512">
        <v>655.95</v>
      </c>
      <c r="I1721" s="265" t="s">
        <v>1693</v>
      </c>
      <c r="J1721" s="265" t="s">
        <v>77</v>
      </c>
      <c r="K1721" s="265" t="s">
        <v>2656</v>
      </c>
      <c r="L1721" s="348" t="s">
        <v>1205</v>
      </c>
      <c r="M1721" s="265">
        <v>0</v>
      </c>
      <c r="N1721" s="347">
        <v>5.5979999999999999</v>
      </c>
      <c r="O1721" s="348" t="s">
        <v>1205</v>
      </c>
      <c r="P1721" s="348">
        <v>22.391999999999999</v>
      </c>
      <c r="Q1721" s="348" t="s">
        <v>1205</v>
      </c>
    </row>
    <row r="1722" spans="1:17" ht="15" hidden="1" customHeight="1">
      <c r="A1722" s="163">
        <v>1717</v>
      </c>
      <c r="B1722" s="53" t="s">
        <v>11322</v>
      </c>
      <c r="C1722" s="53" t="s">
        <v>2657</v>
      </c>
      <c r="D1722" s="53">
        <v>100029261</v>
      </c>
      <c r="E1722" s="55" t="s">
        <v>2658</v>
      </c>
      <c r="F1722" s="129">
        <v>1</v>
      </c>
      <c r="G1722" s="129">
        <v>75</v>
      </c>
      <c r="H1722" s="512">
        <v>405.97</v>
      </c>
      <c r="I1722" s="265" t="s">
        <v>76</v>
      </c>
      <c r="J1722" s="265" t="s">
        <v>102</v>
      </c>
      <c r="K1722" s="265" t="s">
        <v>2659</v>
      </c>
      <c r="L1722" s="348" t="s">
        <v>1205</v>
      </c>
      <c r="M1722" s="265" t="s">
        <v>2660</v>
      </c>
      <c r="N1722" s="347">
        <v>4.78</v>
      </c>
      <c r="O1722" s="348" t="s">
        <v>1205</v>
      </c>
      <c r="P1722" s="348">
        <v>469.27499999999998</v>
      </c>
      <c r="Q1722" s="348">
        <v>53.333269333358928</v>
      </c>
    </row>
    <row r="1723" spans="1:17" ht="15" hidden="1" customHeight="1">
      <c r="A1723" s="163">
        <v>1718</v>
      </c>
      <c r="B1723" s="53" t="s">
        <v>11322</v>
      </c>
      <c r="C1723" s="53" t="s">
        <v>2661</v>
      </c>
      <c r="D1723" s="53">
        <v>100029278</v>
      </c>
      <c r="E1723" s="55" t="s">
        <v>2662</v>
      </c>
      <c r="F1723" s="129">
        <v>1</v>
      </c>
      <c r="G1723" s="129">
        <v>41</v>
      </c>
      <c r="H1723" s="512">
        <v>569.25</v>
      </c>
      <c r="I1723" s="265" t="s">
        <v>359</v>
      </c>
      <c r="J1723" s="265" t="s">
        <v>102</v>
      </c>
      <c r="K1723" s="265" t="s">
        <v>2663</v>
      </c>
      <c r="L1723" s="348" t="s">
        <v>1205</v>
      </c>
      <c r="M1723" s="265" t="s">
        <v>2664</v>
      </c>
      <c r="N1723" s="347">
        <v>9.43</v>
      </c>
      <c r="O1723" s="348" t="s">
        <v>1205</v>
      </c>
      <c r="P1723" s="348">
        <v>386.63</v>
      </c>
      <c r="Q1723" s="348">
        <v>53.333269333358928</v>
      </c>
    </row>
    <row r="1724" spans="1:17" ht="15" hidden="1" customHeight="1">
      <c r="A1724" s="163">
        <v>1719</v>
      </c>
      <c r="B1724" s="53" t="s">
        <v>11322</v>
      </c>
      <c r="C1724" s="53" t="s">
        <v>2665</v>
      </c>
      <c r="D1724" s="53">
        <v>300003428</v>
      </c>
      <c r="E1724" s="55" t="s">
        <v>2666</v>
      </c>
      <c r="F1724" s="129">
        <v>2</v>
      </c>
      <c r="G1724" s="129">
        <v>13</v>
      </c>
      <c r="H1724" s="512">
        <v>1698.96</v>
      </c>
      <c r="I1724" s="265" t="s">
        <v>1693</v>
      </c>
      <c r="J1724" s="265" t="s">
        <v>77</v>
      </c>
      <c r="K1724" s="265" t="s">
        <v>2667</v>
      </c>
      <c r="L1724" s="348" t="s">
        <v>1205</v>
      </c>
      <c r="M1724" s="265">
        <v>0</v>
      </c>
      <c r="N1724" s="347">
        <v>14.798</v>
      </c>
      <c r="O1724" s="348" t="s">
        <v>1205</v>
      </c>
      <c r="P1724" s="348">
        <v>29.596</v>
      </c>
      <c r="Q1724" s="348" t="s">
        <v>1205</v>
      </c>
    </row>
    <row r="1725" spans="1:17" ht="15" hidden="1" customHeight="1">
      <c r="A1725" s="163">
        <v>1720</v>
      </c>
      <c r="B1725" s="53" t="s">
        <v>11322</v>
      </c>
      <c r="C1725" s="53" t="s">
        <v>2668</v>
      </c>
      <c r="D1725" s="53">
        <v>300003378</v>
      </c>
      <c r="E1725" s="55" t="s">
        <v>2669</v>
      </c>
      <c r="F1725" s="129">
        <v>6</v>
      </c>
      <c r="G1725" s="129" t="s">
        <v>1205</v>
      </c>
      <c r="H1725" s="512">
        <v>490.46</v>
      </c>
      <c r="I1725" s="265" t="s">
        <v>1693</v>
      </c>
      <c r="J1725" s="265" t="s">
        <v>77</v>
      </c>
      <c r="K1725" s="265" t="s">
        <v>2670</v>
      </c>
      <c r="L1725" s="348" t="s">
        <v>1205</v>
      </c>
      <c r="M1725" s="265">
        <v>0</v>
      </c>
      <c r="N1725" s="347">
        <v>3.22</v>
      </c>
      <c r="O1725" s="348" t="s">
        <v>1205</v>
      </c>
      <c r="P1725" s="348">
        <v>19.32</v>
      </c>
      <c r="Q1725" s="348" t="s">
        <v>1205</v>
      </c>
    </row>
    <row r="1726" spans="1:17" ht="15" hidden="1" customHeight="1">
      <c r="A1726" s="163">
        <v>1721</v>
      </c>
      <c r="B1726" s="53" t="s">
        <v>11322</v>
      </c>
      <c r="C1726" s="53" t="s">
        <v>2671</v>
      </c>
      <c r="D1726" s="53">
        <v>100029435</v>
      </c>
      <c r="E1726" s="55" t="s">
        <v>2672</v>
      </c>
      <c r="F1726" s="129">
        <v>1</v>
      </c>
      <c r="G1726" s="129">
        <v>40</v>
      </c>
      <c r="H1726" s="512">
        <v>1502.29</v>
      </c>
      <c r="I1726" s="265" t="s">
        <v>76</v>
      </c>
      <c r="J1726" s="265" t="s">
        <v>102</v>
      </c>
      <c r="K1726" s="265" t="s">
        <v>2673</v>
      </c>
      <c r="L1726" s="348" t="s">
        <v>1205</v>
      </c>
      <c r="M1726" s="265" t="s">
        <v>2674</v>
      </c>
      <c r="N1726" s="347">
        <v>7.17</v>
      </c>
      <c r="O1726" s="348" t="s">
        <v>1205</v>
      </c>
      <c r="P1726" s="348">
        <v>286.8</v>
      </c>
      <c r="Q1726" s="348">
        <v>53.333269333358928</v>
      </c>
    </row>
    <row r="1727" spans="1:17" ht="15" hidden="1" customHeight="1">
      <c r="A1727" s="163">
        <v>1722</v>
      </c>
      <c r="B1727" s="53" t="s">
        <v>11322</v>
      </c>
      <c r="C1727" s="53" t="s">
        <v>2675</v>
      </c>
      <c r="D1727" s="53">
        <v>300003411</v>
      </c>
      <c r="E1727" s="55" t="s">
        <v>2676</v>
      </c>
      <c r="F1727" s="129">
        <v>5</v>
      </c>
      <c r="G1727" s="129">
        <v>56</v>
      </c>
      <c r="H1727" s="512">
        <v>639.49</v>
      </c>
      <c r="I1727" s="265" t="s">
        <v>1693</v>
      </c>
      <c r="J1727" s="265" t="s">
        <v>77</v>
      </c>
      <c r="K1727" s="265" t="s">
        <v>2677</v>
      </c>
      <c r="L1727" s="348" t="s">
        <v>1205</v>
      </c>
      <c r="M1727" s="265">
        <v>0</v>
      </c>
      <c r="N1727" s="347">
        <v>5.84</v>
      </c>
      <c r="O1727" s="348" t="s">
        <v>1205</v>
      </c>
      <c r="P1727" s="348">
        <v>29.2</v>
      </c>
      <c r="Q1727" s="348" t="s">
        <v>1205</v>
      </c>
    </row>
    <row r="1728" spans="1:17" ht="15" hidden="1" customHeight="1">
      <c r="A1728" s="163">
        <v>1723</v>
      </c>
      <c r="B1728" s="53" t="s">
        <v>11322</v>
      </c>
      <c r="C1728" s="53" t="s">
        <v>2678</v>
      </c>
      <c r="D1728" s="53">
        <v>100029328</v>
      </c>
      <c r="E1728" s="55" t="s">
        <v>2679</v>
      </c>
      <c r="F1728" s="129">
        <v>1</v>
      </c>
      <c r="G1728" s="129">
        <v>48</v>
      </c>
      <c r="H1728" s="512">
        <v>529.6</v>
      </c>
      <c r="I1728" s="265" t="s">
        <v>76</v>
      </c>
      <c r="J1728" s="265" t="s">
        <v>102</v>
      </c>
      <c r="K1728" s="265" t="s">
        <v>2680</v>
      </c>
      <c r="L1728" s="348" t="s">
        <v>1205</v>
      </c>
      <c r="M1728" s="265" t="s">
        <v>2681</v>
      </c>
      <c r="N1728" s="347">
        <v>6.194</v>
      </c>
      <c r="O1728" s="348" t="s">
        <v>1205</v>
      </c>
      <c r="P1728" s="348">
        <v>297.31200000000001</v>
      </c>
      <c r="Q1728" s="348">
        <v>53.333269333358928</v>
      </c>
    </row>
    <row r="1729" spans="1:17" ht="15" hidden="1" customHeight="1">
      <c r="A1729" s="163">
        <v>1724</v>
      </c>
      <c r="B1729" s="53" t="s">
        <v>11322</v>
      </c>
      <c r="C1729" s="53" t="s">
        <v>2682</v>
      </c>
      <c r="D1729" s="53">
        <v>300005764</v>
      </c>
      <c r="E1729" s="55" t="s">
        <v>2683</v>
      </c>
      <c r="F1729" s="129">
        <v>1</v>
      </c>
      <c r="G1729" s="129">
        <v>41</v>
      </c>
      <c r="H1729" s="512">
        <v>1116.42</v>
      </c>
      <c r="I1729" s="265" t="s">
        <v>1693</v>
      </c>
      <c r="J1729" s="265" t="s">
        <v>77</v>
      </c>
      <c r="K1729" s="265" t="s">
        <v>2684</v>
      </c>
      <c r="L1729" s="348" t="s">
        <v>1205</v>
      </c>
      <c r="M1729" s="265">
        <v>0</v>
      </c>
      <c r="N1729" s="347">
        <v>8.16</v>
      </c>
      <c r="O1729" s="348" t="s">
        <v>1205</v>
      </c>
      <c r="P1729" s="348">
        <v>8.16</v>
      </c>
      <c r="Q1729" s="348" t="s">
        <v>1205</v>
      </c>
    </row>
    <row r="1730" spans="1:17" ht="15" hidden="1" customHeight="1">
      <c r="A1730" s="163">
        <v>1725</v>
      </c>
      <c r="B1730" s="53" t="s">
        <v>11322</v>
      </c>
      <c r="C1730" s="53" t="s">
        <v>2685</v>
      </c>
      <c r="D1730" s="53">
        <v>100029364</v>
      </c>
      <c r="E1730" s="55" t="s">
        <v>2686</v>
      </c>
      <c r="F1730" s="129">
        <v>1</v>
      </c>
      <c r="G1730" s="129">
        <v>39</v>
      </c>
      <c r="H1730" s="512">
        <v>583.41999999999996</v>
      </c>
      <c r="I1730" s="265" t="s">
        <v>76</v>
      </c>
      <c r="J1730" s="265" t="s">
        <v>102</v>
      </c>
      <c r="K1730" s="265" t="s">
        <v>2687</v>
      </c>
      <c r="L1730" s="348" t="s">
        <v>1205</v>
      </c>
      <c r="M1730" s="265" t="s">
        <v>2688</v>
      </c>
      <c r="N1730" s="347">
        <v>10.082000000000001</v>
      </c>
      <c r="O1730" s="348" t="s">
        <v>1205</v>
      </c>
      <c r="P1730" s="348">
        <v>393.19800000000004</v>
      </c>
      <c r="Q1730" s="348">
        <v>53.333269333358928</v>
      </c>
    </row>
    <row r="1731" spans="1:17" ht="15" hidden="1" customHeight="1">
      <c r="A1731" s="163">
        <v>1726</v>
      </c>
      <c r="B1731" s="53" t="s">
        <v>11322</v>
      </c>
      <c r="C1731" s="53" t="s">
        <v>2689</v>
      </c>
      <c r="D1731" s="53">
        <v>300003442</v>
      </c>
      <c r="E1731" s="55" t="s">
        <v>2690</v>
      </c>
      <c r="F1731" s="129">
        <v>1</v>
      </c>
      <c r="G1731" s="129" t="s">
        <v>1205</v>
      </c>
      <c r="H1731" s="512">
        <v>2358.83</v>
      </c>
      <c r="I1731" s="265" t="s">
        <v>1693</v>
      </c>
      <c r="J1731" s="265" t="s">
        <v>77</v>
      </c>
      <c r="K1731" s="265" t="s">
        <v>2692</v>
      </c>
      <c r="L1731" s="348" t="s">
        <v>1205</v>
      </c>
      <c r="M1731" s="265">
        <v>0</v>
      </c>
      <c r="N1731" s="347">
        <v>9.5549999999999997</v>
      </c>
      <c r="O1731" s="348" t="s">
        <v>1205</v>
      </c>
      <c r="P1731" s="348">
        <v>9.5549999999999997</v>
      </c>
      <c r="Q1731" s="348" t="s">
        <v>1205</v>
      </c>
    </row>
    <row r="1732" spans="1:17" ht="15" hidden="1" customHeight="1">
      <c r="A1732" s="163">
        <v>1727</v>
      </c>
      <c r="B1732" s="53" t="s">
        <v>11322</v>
      </c>
      <c r="C1732" s="53" t="s">
        <v>2693</v>
      </c>
      <c r="D1732" s="53">
        <v>100029263</v>
      </c>
      <c r="E1732" s="55" t="s">
        <v>2694</v>
      </c>
      <c r="F1732" s="129">
        <v>10</v>
      </c>
      <c r="G1732" s="129">
        <v>120</v>
      </c>
      <c r="H1732" s="512">
        <v>283.73</v>
      </c>
      <c r="I1732" s="265" t="s">
        <v>76</v>
      </c>
      <c r="J1732" s="265" t="s">
        <v>102</v>
      </c>
      <c r="K1732" s="265" t="s">
        <v>2695</v>
      </c>
      <c r="L1732" s="348" t="s">
        <v>1205</v>
      </c>
      <c r="M1732" s="265" t="s">
        <v>2696</v>
      </c>
      <c r="N1732" s="347">
        <v>2.3639999999999999</v>
      </c>
      <c r="O1732" s="348" t="s">
        <v>1205</v>
      </c>
      <c r="P1732" s="348">
        <v>25.54</v>
      </c>
      <c r="Q1732" s="348">
        <v>2.7986077527791204</v>
      </c>
    </row>
    <row r="1733" spans="1:17" ht="15" hidden="1" customHeight="1">
      <c r="A1733" s="163">
        <v>1728</v>
      </c>
      <c r="B1733" s="53" t="s">
        <v>11322</v>
      </c>
      <c r="C1733" s="53" t="s">
        <v>2697</v>
      </c>
      <c r="D1733" s="53">
        <v>100029279</v>
      </c>
      <c r="E1733" s="55" t="s">
        <v>2698</v>
      </c>
      <c r="F1733" s="129">
        <v>1</v>
      </c>
      <c r="G1733" s="129">
        <v>75</v>
      </c>
      <c r="H1733" s="512">
        <v>372.43</v>
      </c>
      <c r="I1733" s="265" t="s">
        <v>76</v>
      </c>
      <c r="J1733" s="265" t="s">
        <v>102</v>
      </c>
      <c r="K1733" s="265" t="s">
        <v>2699</v>
      </c>
      <c r="L1733" s="348" t="s">
        <v>1205</v>
      </c>
      <c r="M1733" s="265" t="s">
        <v>2700</v>
      </c>
      <c r="N1733" s="347">
        <v>4.8460000000000001</v>
      </c>
      <c r="O1733" s="348" t="s">
        <v>1205</v>
      </c>
      <c r="P1733" s="348">
        <v>363.45</v>
      </c>
      <c r="Q1733" s="348">
        <v>53.333269333358928</v>
      </c>
    </row>
    <row r="1734" spans="1:17" ht="15" hidden="1" customHeight="1">
      <c r="A1734" s="163">
        <v>1729</v>
      </c>
      <c r="B1734" s="53" t="s">
        <v>11322</v>
      </c>
      <c r="C1734" s="53" t="s">
        <v>2701</v>
      </c>
      <c r="D1734" s="53">
        <v>100029264</v>
      </c>
      <c r="E1734" s="55" t="s">
        <v>2702</v>
      </c>
      <c r="F1734" s="129">
        <v>1</v>
      </c>
      <c r="G1734" s="129">
        <v>50</v>
      </c>
      <c r="H1734" s="512">
        <v>460.62</v>
      </c>
      <c r="I1734" s="265" t="s">
        <v>76</v>
      </c>
      <c r="J1734" s="265" t="s">
        <v>102</v>
      </c>
      <c r="K1734" s="265" t="s">
        <v>2703</v>
      </c>
      <c r="L1734" s="348" t="s">
        <v>1205</v>
      </c>
      <c r="M1734" s="265" t="s">
        <v>2704</v>
      </c>
      <c r="N1734" s="347">
        <v>6.3120000000000003</v>
      </c>
      <c r="O1734" s="348" t="s">
        <v>1205</v>
      </c>
      <c r="P1734" s="348">
        <v>429.1</v>
      </c>
      <c r="Q1734" s="348">
        <v>53.333269333358928</v>
      </c>
    </row>
    <row r="1735" spans="1:17" ht="15" hidden="1" customHeight="1">
      <c r="A1735" s="163">
        <v>1730</v>
      </c>
      <c r="B1735" s="53" t="s">
        <v>11322</v>
      </c>
      <c r="C1735" s="53" t="s">
        <v>2705</v>
      </c>
      <c r="D1735" s="53">
        <v>100029280</v>
      </c>
      <c r="E1735" s="55" t="s">
        <v>2706</v>
      </c>
      <c r="F1735" s="129">
        <v>1</v>
      </c>
      <c r="G1735" s="129">
        <v>45</v>
      </c>
      <c r="H1735" s="512">
        <v>521.49</v>
      </c>
      <c r="I1735" s="265" t="s">
        <v>76</v>
      </c>
      <c r="J1735" s="265" t="s">
        <v>102</v>
      </c>
      <c r="K1735" s="265" t="s">
        <v>2707</v>
      </c>
      <c r="L1735" s="348" t="s">
        <v>1205</v>
      </c>
      <c r="M1735" s="265" t="s">
        <v>2708</v>
      </c>
      <c r="N1735" s="347">
        <v>8.5060000000000002</v>
      </c>
      <c r="O1735" s="348" t="s">
        <v>1205</v>
      </c>
      <c r="P1735" s="348">
        <v>382.77</v>
      </c>
      <c r="Q1735" s="348">
        <v>53.333269333358928</v>
      </c>
    </row>
    <row r="1736" spans="1:17" ht="15" hidden="1" customHeight="1">
      <c r="A1736" s="163">
        <v>1731</v>
      </c>
      <c r="B1736" s="53" t="s">
        <v>11322</v>
      </c>
      <c r="C1736" s="53" t="s">
        <v>2709</v>
      </c>
      <c r="D1736" s="53">
        <v>100029281</v>
      </c>
      <c r="E1736" s="55" t="s">
        <v>2710</v>
      </c>
      <c r="F1736" s="129">
        <v>1</v>
      </c>
      <c r="G1736" s="129">
        <v>34</v>
      </c>
      <c r="H1736" s="512">
        <v>598.36</v>
      </c>
      <c r="I1736" s="265" t="s">
        <v>359</v>
      </c>
      <c r="J1736" s="265" t="s">
        <v>102</v>
      </c>
      <c r="K1736" s="265" t="s">
        <v>2711</v>
      </c>
      <c r="L1736" s="348" t="s">
        <v>1205</v>
      </c>
      <c r="M1736" s="265" t="s">
        <v>2712</v>
      </c>
      <c r="N1736" s="347">
        <v>11.082000000000001</v>
      </c>
      <c r="O1736" s="348" t="s">
        <v>1205</v>
      </c>
      <c r="P1736" s="348">
        <v>376.78800000000001</v>
      </c>
      <c r="Q1736" s="348">
        <v>53.333269333358928</v>
      </c>
    </row>
    <row r="1737" spans="1:17" ht="15" hidden="1" customHeight="1">
      <c r="A1737" s="163">
        <v>1732</v>
      </c>
      <c r="B1737" s="53" t="s">
        <v>11322</v>
      </c>
      <c r="C1737" s="53" t="s">
        <v>2713</v>
      </c>
      <c r="D1737" s="53">
        <v>300003434</v>
      </c>
      <c r="E1737" s="55" t="s">
        <v>2714</v>
      </c>
      <c r="F1737" s="129">
        <v>2</v>
      </c>
      <c r="G1737" s="129">
        <v>10</v>
      </c>
      <c r="H1737" s="512">
        <v>1920.23</v>
      </c>
      <c r="I1737" s="265" t="s">
        <v>1693</v>
      </c>
      <c r="J1737" s="265" t="s">
        <v>77</v>
      </c>
      <c r="K1737" s="265" t="s">
        <v>2715</v>
      </c>
      <c r="L1737" s="348" t="s">
        <v>1205</v>
      </c>
      <c r="M1737" s="265">
        <v>0</v>
      </c>
      <c r="N1737" s="347">
        <v>8.5050000000000008</v>
      </c>
      <c r="O1737" s="348" t="s">
        <v>1205</v>
      </c>
      <c r="P1737" s="348">
        <v>17.010000000000002</v>
      </c>
      <c r="Q1737" s="348" t="s">
        <v>1205</v>
      </c>
    </row>
    <row r="1738" spans="1:17" ht="15" hidden="1" customHeight="1">
      <c r="A1738" s="163">
        <v>1733</v>
      </c>
      <c r="B1738" s="53" t="s">
        <v>11322</v>
      </c>
      <c r="C1738" s="53" t="s">
        <v>2716</v>
      </c>
      <c r="D1738" s="53">
        <v>300005836</v>
      </c>
      <c r="E1738" s="55" t="s">
        <v>2717</v>
      </c>
      <c r="F1738" s="129">
        <v>1</v>
      </c>
      <c r="G1738" s="129">
        <v>28</v>
      </c>
      <c r="H1738" s="512">
        <v>3249.59</v>
      </c>
      <c r="I1738" s="265" t="s">
        <v>1693</v>
      </c>
      <c r="J1738" s="265" t="s">
        <v>77</v>
      </c>
      <c r="K1738" s="265" t="s">
        <v>2718</v>
      </c>
      <c r="L1738" s="348" t="s">
        <v>1205</v>
      </c>
      <c r="M1738" s="265">
        <v>0</v>
      </c>
      <c r="N1738" s="347">
        <v>10.75</v>
      </c>
      <c r="O1738" s="348" t="s">
        <v>1205</v>
      </c>
      <c r="P1738" s="348">
        <v>10.75</v>
      </c>
      <c r="Q1738" s="348" t="s">
        <v>1205</v>
      </c>
    </row>
    <row r="1739" spans="1:17" ht="15" hidden="1" customHeight="1">
      <c r="A1739" s="163">
        <v>1734</v>
      </c>
      <c r="B1739" s="53" t="s">
        <v>11322</v>
      </c>
      <c r="C1739" s="53" t="s">
        <v>2719</v>
      </c>
      <c r="D1739" s="53">
        <v>300005837</v>
      </c>
      <c r="E1739" s="55" t="s">
        <v>2720</v>
      </c>
      <c r="F1739" s="129">
        <v>1</v>
      </c>
      <c r="G1739" s="129">
        <v>24</v>
      </c>
      <c r="H1739" s="512">
        <v>1235.46</v>
      </c>
      <c r="I1739" s="265" t="s">
        <v>1693</v>
      </c>
      <c r="J1739" s="265" t="s">
        <v>77</v>
      </c>
      <c r="K1739" s="265" t="s">
        <v>2721</v>
      </c>
      <c r="L1739" s="348" t="s">
        <v>1205</v>
      </c>
      <c r="M1739" s="265">
        <v>0</v>
      </c>
      <c r="N1739" s="347">
        <v>17.23</v>
      </c>
      <c r="O1739" s="348" t="s">
        <v>1205</v>
      </c>
      <c r="P1739" s="348">
        <v>17.23</v>
      </c>
      <c r="Q1739" s="348" t="s">
        <v>1205</v>
      </c>
    </row>
    <row r="1740" spans="1:17" ht="15" hidden="1" customHeight="1">
      <c r="A1740" s="163">
        <v>1735</v>
      </c>
      <c r="B1740" s="53" t="s">
        <v>11322</v>
      </c>
      <c r="C1740" s="53" t="s">
        <v>2722</v>
      </c>
      <c r="D1740" s="53">
        <v>300003406</v>
      </c>
      <c r="E1740" s="55" t="s">
        <v>2723</v>
      </c>
      <c r="F1740" s="129">
        <v>3</v>
      </c>
      <c r="G1740" s="129">
        <v>15</v>
      </c>
      <c r="H1740" s="512">
        <v>647.36</v>
      </c>
      <c r="I1740" s="265" t="s">
        <v>359</v>
      </c>
      <c r="J1740" s="265" t="s">
        <v>77</v>
      </c>
      <c r="K1740" s="265">
        <v>0</v>
      </c>
      <c r="L1740" s="348" t="s">
        <v>1205</v>
      </c>
      <c r="M1740" s="265">
        <v>0</v>
      </c>
      <c r="N1740" s="347">
        <v>7.9690000000000003</v>
      </c>
      <c r="O1740" s="348" t="s">
        <v>1205</v>
      </c>
      <c r="P1740" s="348">
        <v>23.907</v>
      </c>
      <c r="Q1740" s="348" t="s">
        <v>1205</v>
      </c>
    </row>
    <row r="1741" spans="1:17" ht="15" hidden="1" customHeight="1">
      <c r="A1741" s="163">
        <v>1736</v>
      </c>
      <c r="B1741" s="53" t="s">
        <v>11322</v>
      </c>
      <c r="C1741" s="53" t="s">
        <v>2724</v>
      </c>
      <c r="D1741" s="53">
        <v>300003390</v>
      </c>
      <c r="E1741" s="55" t="s">
        <v>2725</v>
      </c>
      <c r="F1741" s="129">
        <v>2</v>
      </c>
      <c r="G1741" s="129">
        <v>12</v>
      </c>
      <c r="H1741" s="512">
        <v>1583.6</v>
      </c>
      <c r="I1741" s="265" t="s">
        <v>1693</v>
      </c>
      <c r="J1741" s="265" t="s">
        <v>77</v>
      </c>
      <c r="K1741" s="265">
        <v>0</v>
      </c>
      <c r="L1741" s="348" t="s">
        <v>1205</v>
      </c>
      <c r="M1741" s="265">
        <v>0</v>
      </c>
      <c r="N1741" s="347">
        <v>11.356999999999999</v>
      </c>
      <c r="O1741" s="348" t="s">
        <v>1205</v>
      </c>
      <c r="P1741" s="348">
        <v>22.713999999999999</v>
      </c>
      <c r="Q1741" s="348" t="s">
        <v>1205</v>
      </c>
    </row>
    <row r="1742" spans="1:17" ht="15" hidden="1" customHeight="1">
      <c r="A1742" s="163">
        <v>1737</v>
      </c>
      <c r="B1742" s="53" t="s">
        <v>34</v>
      </c>
      <c r="C1742" s="53" t="s">
        <v>2734</v>
      </c>
      <c r="D1742" s="53">
        <v>300002361</v>
      </c>
      <c r="E1742" s="55" t="s">
        <v>2735</v>
      </c>
      <c r="F1742" s="129">
        <v>6</v>
      </c>
      <c r="G1742" s="129">
        <v>162</v>
      </c>
      <c r="H1742" s="512">
        <v>159.25</v>
      </c>
      <c r="I1742" s="265" t="s">
        <v>359</v>
      </c>
      <c r="J1742" s="265" t="s">
        <v>77</v>
      </c>
      <c r="K1742" s="265">
        <v>810116842285</v>
      </c>
      <c r="L1742" s="348" t="s">
        <v>1205</v>
      </c>
      <c r="M1742" s="265">
        <v>10810116842282</v>
      </c>
      <c r="N1742" s="347">
        <v>8.6669999999999998</v>
      </c>
      <c r="O1742" s="348" t="s">
        <v>1205</v>
      </c>
      <c r="P1742" s="348">
        <v>56</v>
      </c>
      <c r="Q1742" s="348">
        <v>1.21</v>
      </c>
    </row>
    <row r="1743" spans="1:17" ht="15" hidden="1" customHeight="1">
      <c r="A1743" s="163">
        <v>1738</v>
      </c>
      <c r="B1743" s="53" t="s">
        <v>34</v>
      </c>
      <c r="C1743" s="53" t="s">
        <v>2740</v>
      </c>
      <c r="D1743" s="53">
        <v>300002313</v>
      </c>
      <c r="E1743" s="55" t="s">
        <v>2741</v>
      </c>
      <c r="F1743" s="129">
        <v>12</v>
      </c>
      <c r="G1743" s="129">
        <v>576</v>
      </c>
      <c r="H1743" s="512">
        <v>22.48</v>
      </c>
      <c r="I1743" s="265" t="s">
        <v>1693</v>
      </c>
      <c r="J1743" s="265" t="s">
        <v>77</v>
      </c>
      <c r="K1743" s="265" t="s">
        <v>2743</v>
      </c>
      <c r="L1743" s="348" t="s">
        <v>1205</v>
      </c>
      <c r="M1743" s="265">
        <v>50049081071009</v>
      </c>
      <c r="N1743" s="347">
        <v>2.25</v>
      </c>
      <c r="O1743" s="348" t="s">
        <v>1205</v>
      </c>
      <c r="P1743" s="348">
        <v>27</v>
      </c>
      <c r="Q1743" s="348">
        <v>0.78</v>
      </c>
    </row>
    <row r="1744" spans="1:17" ht="15" hidden="1" customHeight="1">
      <c r="A1744" s="163">
        <v>1739</v>
      </c>
      <c r="B1744" s="53" t="s">
        <v>34</v>
      </c>
      <c r="C1744" s="53" t="s">
        <v>2744</v>
      </c>
      <c r="D1744" s="53">
        <v>300002274</v>
      </c>
      <c r="E1744" s="55" t="s">
        <v>2745</v>
      </c>
      <c r="F1744" s="129">
        <v>12</v>
      </c>
      <c r="G1744" s="129">
        <v>1008</v>
      </c>
      <c r="H1744" s="512">
        <v>12.91</v>
      </c>
      <c r="I1744" s="265" t="s">
        <v>359</v>
      </c>
      <c r="J1744" s="265" t="s">
        <v>77</v>
      </c>
      <c r="K1744" s="265" t="s">
        <v>2747</v>
      </c>
      <c r="L1744" s="348" t="s">
        <v>1205</v>
      </c>
      <c r="M1744" s="265">
        <v>50049081071016</v>
      </c>
      <c r="N1744" s="347">
        <v>1.167</v>
      </c>
      <c r="O1744" s="348" t="s">
        <v>1205</v>
      </c>
      <c r="P1744" s="348">
        <v>14</v>
      </c>
      <c r="Q1744" s="348">
        <v>0.42</v>
      </c>
    </row>
    <row r="1745" spans="1:17" ht="15" hidden="1" customHeight="1">
      <c r="A1745" s="163">
        <v>1740</v>
      </c>
      <c r="B1745" s="53" t="s">
        <v>34</v>
      </c>
      <c r="C1745" s="53" t="s">
        <v>2748</v>
      </c>
      <c r="D1745" s="53">
        <v>300002250</v>
      </c>
      <c r="E1745" s="55" t="s">
        <v>2749</v>
      </c>
      <c r="F1745" s="129">
        <v>24</v>
      </c>
      <c r="G1745" s="129">
        <v>1920</v>
      </c>
      <c r="H1745" s="512">
        <v>23.78</v>
      </c>
      <c r="I1745" s="265" t="s">
        <v>359</v>
      </c>
      <c r="J1745" s="265" t="s">
        <v>77</v>
      </c>
      <c r="K1745" s="265" t="s">
        <v>2751</v>
      </c>
      <c r="L1745" s="348" t="s">
        <v>1205</v>
      </c>
      <c r="M1745" s="265">
        <v>50049081071023</v>
      </c>
      <c r="N1745" s="347">
        <v>0.625</v>
      </c>
      <c r="O1745" s="348" t="s">
        <v>1205</v>
      </c>
      <c r="P1745" s="348">
        <v>15</v>
      </c>
      <c r="Q1745" s="348">
        <v>0.41</v>
      </c>
    </row>
    <row r="1746" spans="1:17" ht="15" hidden="1" customHeight="1">
      <c r="A1746" s="163">
        <v>1741</v>
      </c>
      <c r="B1746" s="53" t="s">
        <v>34</v>
      </c>
      <c r="C1746" s="53" t="s">
        <v>2752</v>
      </c>
      <c r="D1746" s="53">
        <v>300002296</v>
      </c>
      <c r="E1746" s="55" t="s">
        <v>2753</v>
      </c>
      <c r="F1746" s="129">
        <v>24</v>
      </c>
      <c r="G1746" s="129">
        <v>2808</v>
      </c>
      <c r="H1746" s="512">
        <v>5.39</v>
      </c>
      <c r="I1746" s="265" t="s">
        <v>359</v>
      </c>
      <c r="J1746" s="265" t="s">
        <v>77</v>
      </c>
      <c r="K1746" s="265" t="s">
        <v>2755</v>
      </c>
      <c r="L1746" s="348" t="s">
        <v>1205</v>
      </c>
      <c r="M1746" s="265">
        <v>50049081071030</v>
      </c>
      <c r="N1746" s="347">
        <v>0.33300000000000002</v>
      </c>
      <c r="O1746" s="348" t="s">
        <v>1205</v>
      </c>
      <c r="P1746" s="348">
        <v>8</v>
      </c>
      <c r="Q1746" s="348">
        <v>0.28999999999999998</v>
      </c>
    </row>
    <row r="1747" spans="1:17" ht="15" hidden="1" customHeight="1">
      <c r="A1747" s="163">
        <v>1742</v>
      </c>
      <c r="B1747" s="53" t="s">
        <v>34</v>
      </c>
      <c r="C1747" s="53" t="s">
        <v>2756</v>
      </c>
      <c r="D1747" s="53">
        <v>300002362</v>
      </c>
      <c r="E1747" s="55" t="s">
        <v>2757</v>
      </c>
      <c r="F1747" s="129">
        <v>6</v>
      </c>
      <c r="G1747" s="129">
        <v>162</v>
      </c>
      <c r="H1747" s="512">
        <v>84.41</v>
      </c>
      <c r="I1747" s="265" t="s">
        <v>1693</v>
      </c>
      <c r="J1747" s="265" t="s">
        <v>77</v>
      </c>
      <c r="K1747" s="265">
        <v>810116842292</v>
      </c>
      <c r="L1747" s="348" t="s">
        <v>1205</v>
      </c>
      <c r="M1747" s="265">
        <v>10810116842299</v>
      </c>
      <c r="N1747" s="347">
        <v>8.7149999999999999</v>
      </c>
      <c r="O1747" s="348" t="s">
        <v>1205</v>
      </c>
      <c r="P1747" s="348">
        <v>56</v>
      </c>
      <c r="Q1747" s="348">
        <v>1.21</v>
      </c>
    </row>
    <row r="1748" spans="1:17" ht="15" hidden="1" customHeight="1">
      <c r="A1748" s="163">
        <v>1743</v>
      </c>
      <c r="B1748" s="53" t="s">
        <v>34</v>
      </c>
      <c r="C1748" s="53" t="s">
        <v>2759</v>
      </c>
      <c r="D1748" s="53">
        <v>300002376</v>
      </c>
      <c r="E1748" s="55" t="s">
        <v>2760</v>
      </c>
      <c r="F1748" s="129">
        <v>12</v>
      </c>
      <c r="G1748" s="129">
        <v>576</v>
      </c>
      <c r="H1748" s="512">
        <v>25.24</v>
      </c>
      <c r="I1748" s="265" t="s">
        <v>1693</v>
      </c>
      <c r="J1748" s="265" t="s">
        <v>77</v>
      </c>
      <c r="K1748" s="265">
        <v>810116842308</v>
      </c>
      <c r="L1748" s="348" t="s">
        <v>1205</v>
      </c>
      <c r="M1748" s="265">
        <v>10810116842305</v>
      </c>
      <c r="N1748" s="347">
        <v>2.2839999999999998</v>
      </c>
      <c r="O1748" s="348" t="s">
        <v>1205</v>
      </c>
      <c r="P1748" s="348">
        <v>30</v>
      </c>
      <c r="Q1748" s="348">
        <v>0.78</v>
      </c>
    </row>
    <row r="1749" spans="1:17" ht="15" hidden="1" customHeight="1">
      <c r="A1749" s="163">
        <v>1744</v>
      </c>
      <c r="B1749" s="53" t="s">
        <v>34</v>
      </c>
      <c r="C1749" s="53" t="s">
        <v>2761</v>
      </c>
      <c r="D1749" s="53">
        <v>300002368</v>
      </c>
      <c r="E1749" s="55" t="s">
        <v>2762</v>
      </c>
      <c r="F1749" s="129">
        <v>12</v>
      </c>
      <c r="G1749" s="129">
        <v>1008</v>
      </c>
      <c r="H1749" s="512">
        <v>14.3</v>
      </c>
      <c r="I1749" s="265" t="s">
        <v>359</v>
      </c>
      <c r="J1749" s="265" t="s">
        <v>77</v>
      </c>
      <c r="K1749" s="265">
        <v>810116842315</v>
      </c>
      <c r="L1749" s="348" t="s">
        <v>1205</v>
      </c>
      <c r="M1749" s="265">
        <v>10810116842312</v>
      </c>
      <c r="N1749" s="347">
        <v>1.1759999999999999</v>
      </c>
      <c r="O1749" s="348" t="s">
        <v>1205</v>
      </c>
      <c r="P1749" s="348">
        <v>16</v>
      </c>
      <c r="Q1749" s="348">
        <v>0.42</v>
      </c>
    </row>
    <row r="1750" spans="1:17" ht="15" hidden="1" customHeight="1">
      <c r="A1750" s="163">
        <v>1745</v>
      </c>
      <c r="B1750" s="53" t="s">
        <v>34</v>
      </c>
      <c r="C1750" s="53" t="s">
        <v>2763</v>
      </c>
      <c r="D1750" s="53">
        <v>300002365</v>
      </c>
      <c r="E1750" s="55" t="s">
        <v>2764</v>
      </c>
      <c r="F1750" s="129">
        <v>24</v>
      </c>
      <c r="G1750" s="129">
        <v>1920</v>
      </c>
      <c r="H1750" s="512">
        <v>8.83</v>
      </c>
      <c r="I1750" s="265" t="s">
        <v>1693</v>
      </c>
      <c r="J1750" s="265" t="s">
        <v>77</v>
      </c>
      <c r="K1750" s="265">
        <v>810116842322</v>
      </c>
      <c r="L1750" s="348" t="s">
        <v>1205</v>
      </c>
      <c r="M1750" s="265">
        <v>10810116842329</v>
      </c>
      <c r="N1750" s="347">
        <v>0.67100000000000004</v>
      </c>
      <c r="O1750" s="348" t="s">
        <v>1205</v>
      </c>
      <c r="P1750" s="348">
        <v>18</v>
      </c>
      <c r="Q1750" s="348">
        <v>0.41</v>
      </c>
    </row>
    <row r="1751" spans="1:17" ht="15" hidden="1" customHeight="1">
      <c r="A1751" s="163">
        <v>1746</v>
      </c>
      <c r="B1751" s="53" t="s">
        <v>34</v>
      </c>
      <c r="C1751" s="53" t="s">
        <v>2765</v>
      </c>
      <c r="D1751" s="53">
        <v>300002373</v>
      </c>
      <c r="E1751" s="55" t="s">
        <v>2766</v>
      </c>
      <c r="F1751" s="129">
        <v>24</v>
      </c>
      <c r="G1751" s="129">
        <v>2808</v>
      </c>
      <c r="H1751" s="512">
        <v>6.52</v>
      </c>
      <c r="I1751" s="265" t="s">
        <v>1693</v>
      </c>
      <c r="J1751" s="265" t="s">
        <v>77</v>
      </c>
      <c r="K1751" s="265">
        <v>810116842339</v>
      </c>
      <c r="L1751" s="348" t="s">
        <v>1205</v>
      </c>
      <c r="M1751" s="265">
        <v>10810116842336</v>
      </c>
      <c r="N1751" s="347">
        <v>0.34399999999999997</v>
      </c>
      <c r="O1751" s="348" t="s">
        <v>1205</v>
      </c>
      <c r="P1751" s="348">
        <v>9</v>
      </c>
      <c r="Q1751" s="348">
        <v>0.28999999999999998</v>
      </c>
    </row>
    <row r="1752" spans="1:17" ht="15" hidden="1" customHeight="1">
      <c r="A1752" s="163">
        <v>1747</v>
      </c>
      <c r="B1752" s="53" t="s">
        <v>34</v>
      </c>
      <c r="C1752" s="53" t="s">
        <v>2767</v>
      </c>
      <c r="D1752" s="53">
        <v>300002229</v>
      </c>
      <c r="E1752" s="55" t="s">
        <v>2768</v>
      </c>
      <c r="F1752" s="129">
        <v>6</v>
      </c>
      <c r="G1752" s="129">
        <v>162</v>
      </c>
      <c r="H1752" s="512">
        <v>135.63</v>
      </c>
      <c r="I1752" s="265" t="s">
        <v>359</v>
      </c>
      <c r="J1752" s="265" t="s">
        <v>77</v>
      </c>
      <c r="K1752" s="265" t="s">
        <v>2770</v>
      </c>
      <c r="L1752" s="348" t="s">
        <v>1205</v>
      </c>
      <c r="M1752" s="265">
        <v>50049081071047</v>
      </c>
      <c r="N1752" s="347">
        <v>8.6669999999999998</v>
      </c>
      <c r="O1752" s="348" t="s">
        <v>1205</v>
      </c>
      <c r="P1752" s="348">
        <v>52</v>
      </c>
      <c r="Q1752" s="348">
        <v>1.21</v>
      </c>
    </row>
    <row r="1753" spans="1:17" ht="15" hidden="1" customHeight="1">
      <c r="A1753" s="163">
        <v>1748</v>
      </c>
      <c r="B1753" s="53" t="s">
        <v>34</v>
      </c>
      <c r="C1753" s="53" t="s">
        <v>2771</v>
      </c>
      <c r="D1753" s="53">
        <v>300002314</v>
      </c>
      <c r="E1753" s="55" t="s">
        <v>2772</v>
      </c>
      <c r="F1753" s="129">
        <v>12</v>
      </c>
      <c r="G1753" s="129">
        <v>576</v>
      </c>
      <c r="H1753" s="512">
        <v>51</v>
      </c>
      <c r="I1753" s="265" t="s">
        <v>1693</v>
      </c>
      <c r="J1753" s="265" t="s">
        <v>77</v>
      </c>
      <c r="K1753" s="265" t="s">
        <v>2773</v>
      </c>
      <c r="L1753" s="348" t="s">
        <v>1205</v>
      </c>
      <c r="M1753" s="265">
        <v>50049081071054</v>
      </c>
      <c r="N1753" s="347">
        <v>2.25</v>
      </c>
      <c r="O1753" s="348" t="s">
        <v>1205</v>
      </c>
      <c r="P1753" s="348">
        <v>27</v>
      </c>
      <c r="Q1753" s="348">
        <v>0.78</v>
      </c>
    </row>
    <row r="1754" spans="1:17" ht="15" hidden="1" customHeight="1">
      <c r="A1754" s="163">
        <v>1749</v>
      </c>
      <c r="B1754" s="53" t="s">
        <v>34</v>
      </c>
      <c r="C1754" s="53" t="s">
        <v>2774</v>
      </c>
      <c r="D1754" s="53">
        <v>300002275</v>
      </c>
      <c r="E1754" s="55" t="s">
        <v>2775</v>
      </c>
      <c r="F1754" s="129">
        <v>12</v>
      </c>
      <c r="G1754" s="129">
        <v>1008</v>
      </c>
      <c r="H1754" s="512">
        <v>30.48</v>
      </c>
      <c r="I1754" s="265" t="s">
        <v>1693</v>
      </c>
      <c r="J1754" s="265" t="s">
        <v>77</v>
      </c>
      <c r="K1754" s="265" t="s">
        <v>2776</v>
      </c>
      <c r="L1754" s="348" t="s">
        <v>1205</v>
      </c>
      <c r="M1754" s="265">
        <v>50049081071061</v>
      </c>
      <c r="N1754" s="347">
        <v>1.167</v>
      </c>
      <c r="O1754" s="348" t="s">
        <v>1205</v>
      </c>
      <c r="P1754" s="348">
        <v>14</v>
      </c>
      <c r="Q1754" s="348">
        <v>0.42</v>
      </c>
    </row>
    <row r="1755" spans="1:17" ht="15" hidden="1" customHeight="1">
      <c r="A1755" s="163">
        <v>1750</v>
      </c>
      <c r="B1755" s="53" t="s">
        <v>34</v>
      </c>
      <c r="C1755" s="53" t="s">
        <v>2777</v>
      </c>
      <c r="D1755" s="53">
        <v>300002251</v>
      </c>
      <c r="E1755" s="55" t="s">
        <v>2778</v>
      </c>
      <c r="F1755" s="129">
        <v>24</v>
      </c>
      <c r="G1755" s="129">
        <v>1920</v>
      </c>
      <c r="H1755" s="512">
        <v>20.05</v>
      </c>
      <c r="I1755" s="265" t="s">
        <v>1693</v>
      </c>
      <c r="J1755" s="265" t="s">
        <v>77</v>
      </c>
      <c r="K1755" s="265" t="s">
        <v>2779</v>
      </c>
      <c r="L1755" s="348" t="s">
        <v>1205</v>
      </c>
      <c r="M1755" s="265">
        <v>50049081071078</v>
      </c>
      <c r="N1755" s="347">
        <v>0.625</v>
      </c>
      <c r="O1755" s="348" t="s">
        <v>1205</v>
      </c>
      <c r="P1755" s="348">
        <v>15</v>
      </c>
      <c r="Q1755" s="348">
        <v>0.41</v>
      </c>
    </row>
    <row r="1756" spans="1:17" ht="15" hidden="1" customHeight="1">
      <c r="A1756" s="163">
        <v>1751</v>
      </c>
      <c r="B1756" s="53" t="s">
        <v>34</v>
      </c>
      <c r="C1756" s="53" t="s">
        <v>2780</v>
      </c>
      <c r="D1756" s="53">
        <v>300002297</v>
      </c>
      <c r="E1756" s="55" t="s">
        <v>2781</v>
      </c>
      <c r="F1756" s="129">
        <v>24</v>
      </c>
      <c r="G1756" s="129">
        <v>2808</v>
      </c>
      <c r="H1756" s="512">
        <v>11.25</v>
      </c>
      <c r="I1756" s="265" t="s">
        <v>1693</v>
      </c>
      <c r="J1756" s="265" t="s">
        <v>77</v>
      </c>
      <c r="K1756" s="265" t="s">
        <v>2782</v>
      </c>
      <c r="L1756" s="348" t="s">
        <v>1205</v>
      </c>
      <c r="M1756" s="265">
        <v>50049081071085</v>
      </c>
      <c r="N1756" s="347">
        <v>0.33300000000000002</v>
      </c>
      <c r="O1756" s="348" t="s">
        <v>1205</v>
      </c>
      <c r="P1756" s="348">
        <v>8</v>
      </c>
      <c r="Q1756" s="348">
        <v>0.28999999999999998</v>
      </c>
    </row>
    <row r="1757" spans="1:17" ht="15" hidden="1" customHeight="1">
      <c r="A1757" s="163">
        <v>1752</v>
      </c>
      <c r="B1757" s="53" t="s">
        <v>34</v>
      </c>
      <c r="C1757" s="53" t="s">
        <v>2783</v>
      </c>
      <c r="D1757" s="53">
        <v>300002230</v>
      </c>
      <c r="E1757" s="55" t="s">
        <v>2784</v>
      </c>
      <c r="F1757" s="129">
        <v>6</v>
      </c>
      <c r="G1757" s="129">
        <v>162</v>
      </c>
      <c r="H1757" s="512">
        <v>114.56</v>
      </c>
      <c r="I1757" s="265" t="s">
        <v>1693</v>
      </c>
      <c r="J1757" s="265" t="s">
        <v>77</v>
      </c>
      <c r="K1757" s="265" t="s">
        <v>2785</v>
      </c>
      <c r="L1757" s="348" t="s">
        <v>1205</v>
      </c>
      <c r="M1757" s="265">
        <v>50049081071092</v>
      </c>
      <c r="N1757" s="347">
        <v>8.6669999999999998</v>
      </c>
      <c r="O1757" s="348" t="s">
        <v>1205</v>
      </c>
      <c r="P1757" s="348">
        <v>52</v>
      </c>
      <c r="Q1757" s="348">
        <v>1.21</v>
      </c>
    </row>
    <row r="1758" spans="1:17" ht="15" hidden="1" customHeight="1">
      <c r="A1758" s="163">
        <v>1753</v>
      </c>
      <c r="B1758" s="53" t="s">
        <v>34</v>
      </c>
      <c r="C1758" s="53" t="s">
        <v>2786</v>
      </c>
      <c r="D1758" s="53">
        <v>300002315</v>
      </c>
      <c r="E1758" s="55" t="s">
        <v>2787</v>
      </c>
      <c r="F1758" s="129">
        <v>12</v>
      </c>
      <c r="G1758" s="129">
        <v>576</v>
      </c>
      <c r="H1758" s="512">
        <v>30.91</v>
      </c>
      <c r="I1758" s="265" t="s">
        <v>359</v>
      </c>
      <c r="J1758" s="265" t="s">
        <v>77</v>
      </c>
      <c r="K1758" s="265" t="s">
        <v>2788</v>
      </c>
      <c r="L1758" s="348" t="s">
        <v>1205</v>
      </c>
      <c r="M1758" s="265">
        <v>50049081071108</v>
      </c>
      <c r="N1758" s="347">
        <v>2.25</v>
      </c>
      <c r="O1758" s="348" t="s">
        <v>1205</v>
      </c>
      <c r="P1758" s="348">
        <v>27</v>
      </c>
      <c r="Q1758" s="348">
        <v>0.78</v>
      </c>
    </row>
    <row r="1759" spans="1:17" ht="15" hidden="1" customHeight="1">
      <c r="A1759" s="163">
        <v>1754</v>
      </c>
      <c r="B1759" s="53" t="s">
        <v>34</v>
      </c>
      <c r="C1759" s="53" t="s">
        <v>2789</v>
      </c>
      <c r="D1759" s="53">
        <v>300002276</v>
      </c>
      <c r="E1759" s="55" t="s">
        <v>2790</v>
      </c>
      <c r="F1759" s="129">
        <v>12</v>
      </c>
      <c r="G1759" s="129">
        <v>1008</v>
      </c>
      <c r="H1759" s="512">
        <v>17.420000000000002</v>
      </c>
      <c r="I1759" s="265" t="s">
        <v>359</v>
      </c>
      <c r="J1759" s="265" t="s">
        <v>77</v>
      </c>
      <c r="K1759" s="265" t="s">
        <v>2791</v>
      </c>
      <c r="L1759" s="348" t="s">
        <v>1205</v>
      </c>
      <c r="M1759" s="265">
        <v>50049081071115</v>
      </c>
      <c r="N1759" s="347">
        <v>1.167</v>
      </c>
      <c r="O1759" s="348" t="s">
        <v>1205</v>
      </c>
      <c r="P1759" s="348">
        <v>14</v>
      </c>
      <c r="Q1759" s="348">
        <v>0.42</v>
      </c>
    </row>
    <row r="1760" spans="1:17" ht="15" hidden="1" customHeight="1">
      <c r="A1760" s="163">
        <v>1755</v>
      </c>
      <c r="B1760" s="53" t="s">
        <v>34</v>
      </c>
      <c r="C1760" s="53" t="s">
        <v>2792</v>
      </c>
      <c r="D1760" s="53">
        <v>300002252</v>
      </c>
      <c r="E1760" s="55" t="s">
        <v>2793</v>
      </c>
      <c r="F1760" s="129">
        <v>24</v>
      </c>
      <c r="G1760" s="129">
        <v>1920</v>
      </c>
      <c r="H1760" s="512">
        <v>10.67</v>
      </c>
      <c r="I1760" s="265" t="s">
        <v>1693</v>
      </c>
      <c r="J1760" s="265" t="s">
        <v>77</v>
      </c>
      <c r="K1760" s="265" t="s">
        <v>2794</v>
      </c>
      <c r="L1760" s="348" t="s">
        <v>1205</v>
      </c>
      <c r="M1760" s="265">
        <v>50049081071122</v>
      </c>
      <c r="N1760" s="347">
        <v>0.625</v>
      </c>
      <c r="O1760" s="348" t="s">
        <v>1205</v>
      </c>
      <c r="P1760" s="348">
        <v>15</v>
      </c>
      <c r="Q1760" s="348">
        <v>0.41</v>
      </c>
    </row>
    <row r="1761" spans="1:17" ht="15" hidden="1" customHeight="1">
      <c r="A1761" s="163">
        <v>1756</v>
      </c>
      <c r="B1761" s="53" t="s">
        <v>34</v>
      </c>
      <c r="C1761" s="53" t="s">
        <v>2795</v>
      </c>
      <c r="D1761" s="53">
        <v>300002298</v>
      </c>
      <c r="E1761" s="55" t="s">
        <v>2796</v>
      </c>
      <c r="F1761" s="129">
        <v>24</v>
      </c>
      <c r="G1761" s="129">
        <v>2808</v>
      </c>
      <c r="H1761" s="512">
        <v>12.68</v>
      </c>
      <c r="I1761" s="265" t="s">
        <v>359</v>
      </c>
      <c r="J1761" s="265" t="s">
        <v>77</v>
      </c>
      <c r="K1761" s="265" t="s">
        <v>2797</v>
      </c>
      <c r="L1761" s="348" t="s">
        <v>1205</v>
      </c>
      <c r="M1761" s="265">
        <v>50049081071139</v>
      </c>
      <c r="N1761" s="347">
        <v>0.33300000000000002</v>
      </c>
      <c r="O1761" s="348" t="s">
        <v>1205</v>
      </c>
      <c r="P1761" s="348">
        <v>8</v>
      </c>
      <c r="Q1761" s="348">
        <v>0.28999999999999998</v>
      </c>
    </row>
    <row r="1762" spans="1:17" ht="15" hidden="1" customHeight="1">
      <c r="A1762" s="163">
        <v>1757</v>
      </c>
      <c r="B1762" s="53" t="s">
        <v>34</v>
      </c>
      <c r="C1762" s="53" t="s">
        <v>2798</v>
      </c>
      <c r="D1762" s="53">
        <v>300002231</v>
      </c>
      <c r="E1762" s="55" t="s">
        <v>2799</v>
      </c>
      <c r="F1762" s="129">
        <v>6</v>
      </c>
      <c r="G1762" s="129">
        <v>162</v>
      </c>
      <c r="H1762" s="512">
        <v>118.09</v>
      </c>
      <c r="I1762" s="265" t="s">
        <v>1693</v>
      </c>
      <c r="J1762" s="265" t="s">
        <v>77</v>
      </c>
      <c r="K1762" s="265" t="s">
        <v>2802</v>
      </c>
      <c r="L1762" s="348" t="s">
        <v>1205</v>
      </c>
      <c r="M1762" s="265" t="s">
        <v>2803</v>
      </c>
      <c r="N1762" s="347">
        <v>8.6669999999999998</v>
      </c>
      <c r="O1762" s="348" t="s">
        <v>1205</v>
      </c>
      <c r="P1762" s="348">
        <v>53</v>
      </c>
      <c r="Q1762" s="348">
        <v>1.21</v>
      </c>
    </row>
    <row r="1763" spans="1:17" ht="15" hidden="1" customHeight="1">
      <c r="A1763" s="163">
        <v>1758</v>
      </c>
      <c r="B1763" s="53" t="s">
        <v>34</v>
      </c>
      <c r="C1763" s="53" t="s">
        <v>2804</v>
      </c>
      <c r="D1763" s="53">
        <v>300002316</v>
      </c>
      <c r="E1763" s="55" t="s">
        <v>2805</v>
      </c>
      <c r="F1763" s="129">
        <v>12</v>
      </c>
      <c r="G1763" s="129">
        <v>576</v>
      </c>
      <c r="H1763" s="512">
        <v>33.43</v>
      </c>
      <c r="I1763" s="265" t="s">
        <v>359</v>
      </c>
      <c r="J1763" s="265" t="s">
        <v>77</v>
      </c>
      <c r="K1763" s="265" t="s">
        <v>2806</v>
      </c>
      <c r="L1763" s="348" t="s">
        <v>1205</v>
      </c>
      <c r="M1763" s="265" t="s">
        <v>2803</v>
      </c>
      <c r="N1763" s="347">
        <v>2.25</v>
      </c>
      <c r="O1763" s="348" t="s">
        <v>1205</v>
      </c>
      <c r="P1763" s="348">
        <v>28</v>
      </c>
      <c r="Q1763" s="348">
        <v>0.78</v>
      </c>
    </row>
    <row r="1764" spans="1:17" ht="15" hidden="1" customHeight="1">
      <c r="A1764" s="163">
        <v>1759</v>
      </c>
      <c r="B1764" s="53" t="s">
        <v>34</v>
      </c>
      <c r="C1764" s="53" t="s">
        <v>2807</v>
      </c>
      <c r="D1764" s="53">
        <v>300002277</v>
      </c>
      <c r="E1764" s="55" t="s">
        <v>2808</v>
      </c>
      <c r="F1764" s="129">
        <v>12</v>
      </c>
      <c r="G1764" s="129">
        <v>1008</v>
      </c>
      <c r="H1764" s="512">
        <v>20.96</v>
      </c>
      <c r="I1764" s="265" t="s">
        <v>1693</v>
      </c>
      <c r="J1764" s="265" t="s">
        <v>77</v>
      </c>
      <c r="K1764" s="265" t="s">
        <v>2809</v>
      </c>
      <c r="L1764" s="348" t="s">
        <v>1205</v>
      </c>
      <c r="M1764" s="265" t="s">
        <v>2803</v>
      </c>
      <c r="N1764" s="347">
        <v>1.167</v>
      </c>
      <c r="O1764" s="348" t="s">
        <v>1205</v>
      </c>
      <c r="P1764" s="348">
        <v>14</v>
      </c>
      <c r="Q1764" s="348">
        <v>0.42</v>
      </c>
    </row>
    <row r="1765" spans="1:17" ht="15" hidden="1" customHeight="1">
      <c r="A1765" s="163">
        <v>1760</v>
      </c>
      <c r="B1765" s="53" t="s">
        <v>34</v>
      </c>
      <c r="C1765" s="53" t="s">
        <v>2810</v>
      </c>
      <c r="D1765" s="53">
        <v>300002253</v>
      </c>
      <c r="E1765" s="55" t="s">
        <v>2811</v>
      </c>
      <c r="F1765" s="129">
        <v>24</v>
      </c>
      <c r="G1765" s="129">
        <v>1920</v>
      </c>
      <c r="H1765" s="512">
        <v>12.4</v>
      </c>
      <c r="I1765" s="265" t="s">
        <v>1693</v>
      </c>
      <c r="J1765" s="265" t="s">
        <v>77</v>
      </c>
      <c r="K1765" s="265" t="s">
        <v>2812</v>
      </c>
      <c r="L1765" s="348" t="s">
        <v>1205</v>
      </c>
      <c r="M1765" s="265" t="s">
        <v>2803</v>
      </c>
      <c r="N1765" s="347">
        <v>0.625</v>
      </c>
      <c r="O1765" s="348" t="s">
        <v>1205</v>
      </c>
      <c r="P1765" s="348">
        <v>15</v>
      </c>
      <c r="Q1765" s="348">
        <v>0.41</v>
      </c>
    </row>
    <row r="1766" spans="1:17" ht="15" hidden="1" customHeight="1">
      <c r="A1766" s="163">
        <v>1761</v>
      </c>
      <c r="B1766" s="53" t="s">
        <v>34</v>
      </c>
      <c r="C1766" s="53" t="s">
        <v>2813</v>
      </c>
      <c r="D1766" s="53">
        <v>300002232</v>
      </c>
      <c r="E1766" s="55" t="s">
        <v>2814</v>
      </c>
      <c r="F1766" s="129">
        <v>6</v>
      </c>
      <c r="G1766" s="129">
        <v>162</v>
      </c>
      <c r="H1766" s="512">
        <v>121.32</v>
      </c>
      <c r="I1766" s="265" t="s">
        <v>359</v>
      </c>
      <c r="J1766" s="265" t="s">
        <v>77</v>
      </c>
      <c r="K1766" s="265" t="s">
        <v>2815</v>
      </c>
      <c r="L1766" s="348" t="s">
        <v>1205</v>
      </c>
      <c r="M1766" s="265">
        <v>50049081071191</v>
      </c>
      <c r="N1766" s="347">
        <v>8.8330000000000002</v>
      </c>
      <c r="O1766" s="348" t="s">
        <v>1205</v>
      </c>
      <c r="P1766" s="348">
        <v>9</v>
      </c>
      <c r="Q1766" s="348">
        <v>0.28999999999999998</v>
      </c>
    </row>
    <row r="1767" spans="1:17" ht="15" hidden="1" customHeight="1">
      <c r="A1767" s="163">
        <v>1762</v>
      </c>
      <c r="B1767" s="53" t="s">
        <v>34</v>
      </c>
      <c r="C1767" s="53" t="s">
        <v>2816</v>
      </c>
      <c r="D1767" s="53">
        <v>300002317</v>
      </c>
      <c r="E1767" s="55" t="s">
        <v>2817</v>
      </c>
      <c r="F1767" s="129">
        <v>12</v>
      </c>
      <c r="G1767" s="129">
        <v>576</v>
      </c>
      <c r="H1767" s="512">
        <v>36.11</v>
      </c>
      <c r="I1767" s="265" t="s">
        <v>359</v>
      </c>
      <c r="J1767" s="265" t="s">
        <v>77</v>
      </c>
      <c r="K1767" s="265" t="s">
        <v>2818</v>
      </c>
      <c r="L1767" s="348" t="s">
        <v>1205</v>
      </c>
      <c r="M1767" s="265">
        <v>50049081071207</v>
      </c>
      <c r="N1767" s="347">
        <v>2.3969999999999998</v>
      </c>
      <c r="O1767" s="348" t="s">
        <v>1205</v>
      </c>
      <c r="P1767" s="348">
        <v>28</v>
      </c>
      <c r="Q1767" s="348">
        <v>0.78</v>
      </c>
    </row>
    <row r="1768" spans="1:17" ht="15" hidden="1" customHeight="1">
      <c r="A1768" s="163">
        <v>1763</v>
      </c>
      <c r="B1768" s="53" t="s">
        <v>34</v>
      </c>
      <c r="C1768" s="53" t="s">
        <v>2819</v>
      </c>
      <c r="D1768" s="53">
        <v>300002278</v>
      </c>
      <c r="E1768" s="55" t="s">
        <v>2820</v>
      </c>
      <c r="F1768" s="129">
        <v>12</v>
      </c>
      <c r="G1768" s="129">
        <v>1008</v>
      </c>
      <c r="H1768" s="512">
        <v>21.96</v>
      </c>
      <c r="I1768" s="265" t="s">
        <v>359</v>
      </c>
      <c r="J1768" s="265" t="s">
        <v>77</v>
      </c>
      <c r="K1768" s="265" t="s">
        <v>2821</v>
      </c>
      <c r="L1768" s="348" t="s">
        <v>1205</v>
      </c>
      <c r="M1768" s="265">
        <v>50049081071214</v>
      </c>
      <c r="N1768" s="347">
        <v>1.2330000000000001</v>
      </c>
      <c r="O1768" s="348" t="s">
        <v>1205</v>
      </c>
      <c r="P1768" s="348">
        <v>14</v>
      </c>
      <c r="Q1768" s="348">
        <v>0.42</v>
      </c>
    </row>
    <row r="1769" spans="1:17" ht="15" hidden="1" customHeight="1">
      <c r="A1769" s="163">
        <v>1764</v>
      </c>
      <c r="B1769" s="53" t="s">
        <v>34</v>
      </c>
      <c r="C1769" s="53" t="s">
        <v>2822</v>
      </c>
      <c r="D1769" s="53">
        <v>300002254</v>
      </c>
      <c r="E1769" s="55" t="s">
        <v>2823</v>
      </c>
      <c r="F1769" s="129">
        <v>24</v>
      </c>
      <c r="G1769" s="129">
        <v>1920</v>
      </c>
      <c r="H1769" s="512">
        <v>13.04</v>
      </c>
      <c r="I1769" s="265" t="s">
        <v>359</v>
      </c>
      <c r="J1769" s="265" t="s">
        <v>77</v>
      </c>
      <c r="K1769" s="265" t="s">
        <v>2824</v>
      </c>
      <c r="L1769" s="348" t="s">
        <v>1205</v>
      </c>
      <c r="M1769" s="265">
        <v>50049081071221</v>
      </c>
      <c r="N1769" s="347">
        <v>0.65700000000000003</v>
      </c>
      <c r="O1769" s="348" t="s">
        <v>1205</v>
      </c>
      <c r="P1769" s="348">
        <v>15</v>
      </c>
      <c r="Q1769" s="348">
        <v>0.41</v>
      </c>
    </row>
    <row r="1770" spans="1:17" ht="15" hidden="1" customHeight="1">
      <c r="A1770" s="163">
        <v>1765</v>
      </c>
      <c r="B1770" s="53" t="s">
        <v>34</v>
      </c>
      <c r="C1770" s="53" t="s">
        <v>2825</v>
      </c>
      <c r="D1770" s="53">
        <v>300002371</v>
      </c>
      <c r="E1770" s="55" t="s">
        <v>2826</v>
      </c>
      <c r="F1770" s="129">
        <v>24</v>
      </c>
      <c r="G1770" s="129">
        <v>2808</v>
      </c>
      <c r="H1770" s="512">
        <v>9.81</v>
      </c>
      <c r="I1770" s="265" t="s">
        <v>1693</v>
      </c>
      <c r="J1770" s="265" t="s">
        <v>77</v>
      </c>
      <c r="K1770" s="265">
        <v>810116842346</v>
      </c>
      <c r="L1770" s="348" t="s">
        <v>1205</v>
      </c>
      <c r="M1770" s="265">
        <v>10810116842343</v>
      </c>
      <c r="N1770" s="347">
        <v>0.35399999999999998</v>
      </c>
      <c r="O1770" s="348" t="s">
        <v>1205</v>
      </c>
      <c r="P1770" s="348">
        <v>9</v>
      </c>
      <c r="Q1770" s="348">
        <v>0.28999999999999998</v>
      </c>
    </row>
    <row r="1771" spans="1:17" ht="15" hidden="1" customHeight="1">
      <c r="A1771" s="163">
        <v>1766</v>
      </c>
      <c r="B1771" s="53" t="s">
        <v>34</v>
      </c>
      <c r="C1771" s="53" t="s">
        <v>2827</v>
      </c>
      <c r="D1771" s="53">
        <v>300002233</v>
      </c>
      <c r="E1771" s="55" t="s">
        <v>2828</v>
      </c>
      <c r="F1771" s="129">
        <v>6</v>
      </c>
      <c r="G1771" s="129">
        <v>162</v>
      </c>
      <c r="H1771" s="512">
        <v>121.56</v>
      </c>
      <c r="I1771" s="265" t="s">
        <v>359</v>
      </c>
      <c r="J1771" s="265" t="s">
        <v>77</v>
      </c>
      <c r="K1771" s="265" t="s">
        <v>2831</v>
      </c>
      <c r="L1771" s="348" t="s">
        <v>1205</v>
      </c>
      <c r="M1771" s="265">
        <v>50049081071238</v>
      </c>
      <c r="N1771" s="347">
        <v>9.1669999999999998</v>
      </c>
      <c r="O1771" s="348" t="s">
        <v>1205</v>
      </c>
      <c r="P1771" s="348">
        <v>53</v>
      </c>
      <c r="Q1771" s="348">
        <v>1.21</v>
      </c>
    </row>
    <row r="1772" spans="1:17" ht="15" hidden="1" customHeight="1">
      <c r="A1772" s="163">
        <v>1767</v>
      </c>
      <c r="B1772" s="53" t="s">
        <v>34</v>
      </c>
      <c r="C1772" s="53" t="s">
        <v>2832</v>
      </c>
      <c r="D1772" s="53">
        <v>300002318</v>
      </c>
      <c r="E1772" s="55" t="s">
        <v>2833</v>
      </c>
      <c r="F1772" s="129">
        <v>12</v>
      </c>
      <c r="G1772" s="129">
        <v>576</v>
      </c>
      <c r="H1772" s="512">
        <v>35.159999999999997</v>
      </c>
      <c r="I1772" s="265" t="s">
        <v>359</v>
      </c>
      <c r="J1772" s="265" t="s">
        <v>77</v>
      </c>
      <c r="K1772" s="265" t="s">
        <v>2834</v>
      </c>
      <c r="L1772" s="348" t="s">
        <v>1205</v>
      </c>
      <c r="M1772" s="265">
        <v>50049081071245</v>
      </c>
      <c r="N1772" s="347">
        <v>2.5</v>
      </c>
      <c r="O1772" s="348" t="s">
        <v>1205</v>
      </c>
      <c r="P1772" s="348">
        <v>27</v>
      </c>
      <c r="Q1772" s="348">
        <v>0.78</v>
      </c>
    </row>
    <row r="1773" spans="1:17" ht="15" hidden="1" customHeight="1">
      <c r="A1773" s="163">
        <v>1768</v>
      </c>
      <c r="B1773" s="53" t="s">
        <v>34</v>
      </c>
      <c r="C1773" s="53" t="s">
        <v>2835</v>
      </c>
      <c r="D1773" s="53">
        <v>300002279</v>
      </c>
      <c r="E1773" s="55" t="s">
        <v>2836</v>
      </c>
      <c r="F1773" s="129">
        <v>12</v>
      </c>
      <c r="G1773" s="129">
        <v>1008</v>
      </c>
      <c r="H1773" s="512">
        <v>21.16</v>
      </c>
      <c r="I1773" s="265" t="s">
        <v>359</v>
      </c>
      <c r="J1773" s="265" t="s">
        <v>77</v>
      </c>
      <c r="K1773" s="265" t="s">
        <v>2837</v>
      </c>
      <c r="L1773" s="348" t="s">
        <v>1205</v>
      </c>
      <c r="M1773" s="265">
        <v>50049081071252</v>
      </c>
      <c r="N1773" s="347">
        <v>1.25</v>
      </c>
      <c r="O1773" s="348" t="s">
        <v>1205</v>
      </c>
      <c r="P1773" s="348">
        <v>14</v>
      </c>
      <c r="Q1773" s="348">
        <v>0.42</v>
      </c>
    </row>
    <row r="1774" spans="1:17" ht="15" hidden="1" customHeight="1">
      <c r="A1774" s="163">
        <v>1769</v>
      </c>
      <c r="B1774" s="53" t="s">
        <v>34</v>
      </c>
      <c r="C1774" s="53" t="s">
        <v>2838</v>
      </c>
      <c r="D1774" s="53">
        <v>300002255</v>
      </c>
      <c r="E1774" s="55" t="s">
        <v>2839</v>
      </c>
      <c r="F1774" s="129">
        <v>24</v>
      </c>
      <c r="G1774" s="129">
        <v>1920</v>
      </c>
      <c r="H1774" s="512">
        <v>12.4</v>
      </c>
      <c r="I1774" s="265" t="s">
        <v>359</v>
      </c>
      <c r="J1774" s="265" t="s">
        <v>77</v>
      </c>
      <c r="K1774" s="265" t="s">
        <v>2840</v>
      </c>
      <c r="L1774" s="348" t="s">
        <v>1205</v>
      </c>
      <c r="M1774" s="265">
        <v>50049081071269</v>
      </c>
      <c r="N1774" s="347">
        <v>0.625</v>
      </c>
      <c r="O1774" s="348" t="s">
        <v>1205</v>
      </c>
      <c r="P1774" s="348">
        <v>15</v>
      </c>
      <c r="Q1774" s="348">
        <v>0.41</v>
      </c>
    </row>
    <row r="1775" spans="1:17" ht="15" hidden="1" customHeight="1">
      <c r="A1775" s="163">
        <v>1770</v>
      </c>
      <c r="B1775" s="53" t="s">
        <v>34</v>
      </c>
      <c r="C1775" s="53" t="s">
        <v>2841</v>
      </c>
      <c r="D1775" s="53">
        <v>300002300</v>
      </c>
      <c r="E1775" s="55" t="s">
        <v>2842</v>
      </c>
      <c r="F1775" s="129">
        <v>24</v>
      </c>
      <c r="G1775" s="129">
        <v>2808</v>
      </c>
      <c r="H1775" s="512">
        <v>7.69</v>
      </c>
      <c r="I1775" s="265" t="s">
        <v>359</v>
      </c>
      <c r="J1775" s="265" t="s">
        <v>77</v>
      </c>
      <c r="K1775" s="265" t="s">
        <v>2843</v>
      </c>
      <c r="L1775" s="348" t="s">
        <v>1205</v>
      </c>
      <c r="M1775" s="265">
        <v>50049081071276</v>
      </c>
      <c r="N1775" s="347">
        <v>0.375</v>
      </c>
      <c r="O1775" s="348" t="s">
        <v>1205</v>
      </c>
      <c r="P1775" s="348">
        <v>8</v>
      </c>
      <c r="Q1775" s="348">
        <v>0.28999999999999998</v>
      </c>
    </row>
    <row r="1776" spans="1:17" ht="15" hidden="1" customHeight="1">
      <c r="A1776" s="163">
        <v>1771</v>
      </c>
      <c r="B1776" s="53" t="s">
        <v>34</v>
      </c>
      <c r="C1776" s="53" t="s">
        <v>2844</v>
      </c>
      <c r="D1776" s="53">
        <v>300002234</v>
      </c>
      <c r="E1776" s="55" t="s">
        <v>2845</v>
      </c>
      <c r="F1776" s="129">
        <v>6</v>
      </c>
      <c r="G1776" s="129">
        <v>162</v>
      </c>
      <c r="H1776" s="512">
        <v>285.19</v>
      </c>
      <c r="I1776" s="265" t="s">
        <v>1693</v>
      </c>
      <c r="J1776" s="265" t="s">
        <v>77</v>
      </c>
      <c r="K1776" s="265" t="s">
        <v>2848</v>
      </c>
      <c r="L1776" s="348" t="s">
        <v>1205</v>
      </c>
      <c r="M1776" s="265">
        <v>50049081071283</v>
      </c>
      <c r="N1776" s="347">
        <v>9.1669999999999998</v>
      </c>
      <c r="O1776" s="348" t="s">
        <v>1205</v>
      </c>
      <c r="P1776" s="348">
        <v>53</v>
      </c>
      <c r="Q1776" s="348">
        <v>1.21</v>
      </c>
    </row>
    <row r="1777" spans="1:17" ht="15" hidden="1" customHeight="1">
      <c r="A1777" s="163">
        <v>1772</v>
      </c>
      <c r="B1777" s="53" t="s">
        <v>34</v>
      </c>
      <c r="C1777" s="53" t="s">
        <v>2849</v>
      </c>
      <c r="D1777" s="53">
        <v>300002319</v>
      </c>
      <c r="E1777" s="55" t="s">
        <v>2850</v>
      </c>
      <c r="F1777" s="129">
        <v>12</v>
      </c>
      <c r="G1777" s="129">
        <v>576</v>
      </c>
      <c r="H1777" s="512">
        <v>49.86</v>
      </c>
      <c r="I1777" s="265" t="s">
        <v>359</v>
      </c>
      <c r="J1777" s="265" t="s">
        <v>77</v>
      </c>
      <c r="K1777" s="265" t="s">
        <v>2851</v>
      </c>
      <c r="L1777" s="348" t="s">
        <v>1205</v>
      </c>
      <c r="M1777" s="265">
        <v>50049081071290</v>
      </c>
      <c r="N1777" s="347">
        <v>2.331</v>
      </c>
      <c r="O1777" s="348" t="s">
        <v>1205</v>
      </c>
      <c r="P1777" s="348">
        <v>27</v>
      </c>
      <c r="Q1777" s="348">
        <v>0.78</v>
      </c>
    </row>
    <row r="1778" spans="1:17" ht="15" hidden="1" customHeight="1">
      <c r="A1778" s="163">
        <v>1773</v>
      </c>
      <c r="B1778" s="53" t="s">
        <v>34</v>
      </c>
      <c r="C1778" s="53" t="s">
        <v>2852</v>
      </c>
      <c r="D1778" s="53">
        <v>300002280</v>
      </c>
      <c r="E1778" s="55" t="s">
        <v>2853</v>
      </c>
      <c r="F1778" s="129">
        <v>12</v>
      </c>
      <c r="G1778" s="129">
        <v>1008</v>
      </c>
      <c r="H1778" s="512">
        <v>28.82</v>
      </c>
      <c r="I1778" s="265" t="s">
        <v>359</v>
      </c>
      <c r="J1778" s="265" t="s">
        <v>77</v>
      </c>
      <c r="K1778" s="265" t="s">
        <v>2854</v>
      </c>
      <c r="L1778" s="348" t="s">
        <v>1205</v>
      </c>
      <c r="M1778" s="265">
        <v>50049081071306</v>
      </c>
      <c r="N1778" s="347">
        <v>1.1919999999999999</v>
      </c>
      <c r="O1778" s="348" t="s">
        <v>1205</v>
      </c>
      <c r="P1778" s="348">
        <v>14</v>
      </c>
      <c r="Q1778" s="348">
        <v>0.42</v>
      </c>
    </row>
    <row r="1779" spans="1:17" ht="15" hidden="1" customHeight="1">
      <c r="A1779" s="163">
        <v>1774</v>
      </c>
      <c r="B1779" s="53" t="s">
        <v>34</v>
      </c>
      <c r="C1779" s="53" t="s">
        <v>2855</v>
      </c>
      <c r="D1779" s="53">
        <v>300002256</v>
      </c>
      <c r="E1779" s="55" t="s">
        <v>2856</v>
      </c>
      <c r="F1779" s="129">
        <v>24</v>
      </c>
      <c r="G1779" s="129">
        <v>1920</v>
      </c>
      <c r="H1779" s="512">
        <v>13.61</v>
      </c>
      <c r="I1779" s="265" t="s">
        <v>359</v>
      </c>
      <c r="J1779" s="265" t="s">
        <v>77</v>
      </c>
      <c r="K1779" s="265" t="s">
        <v>2857</v>
      </c>
      <c r="L1779" s="348" t="s">
        <v>1205</v>
      </c>
      <c r="M1779" s="265">
        <v>50049081071313</v>
      </c>
      <c r="N1779" s="347">
        <v>0.63600000000000001</v>
      </c>
      <c r="O1779" s="348" t="s">
        <v>1205</v>
      </c>
      <c r="P1779" s="348">
        <v>15</v>
      </c>
      <c r="Q1779" s="348">
        <v>0.41</v>
      </c>
    </row>
    <row r="1780" spans="1:17" ht="15" hidden="1" customHeight="1">
      <c r="A1780" s="163">
        <v>1775</v>
      </c>
      <c r="B1780" s="53" t="s">
        <v>34</v>
      </c>
      <c r="C1780" s="53" t="s">
        <v>2858</v>
      </c>
      <c r="D1780" s="53">
        <v>300002301</v>
      </c>
      <c r="E1780" s="55" t="s">
        <v>2859</v>
      </c>
      <c r="F1780" s="129">
        <v>24</v>
      </c>
      <c r="G1780" s="129">
        <v>2808</v>
      </c>
      <c r="H1780" s="512">
        <v>11.49</v>
      </c>
      <c r="I1780" s="265" t="s">
        <v>359</v>
      </c>
      <c r="J1780" s="265" t="s">
        <v>77</v>
      </c>
      <c r="K1780" s="265" t="s">
        <v>2860</v>
      </c>
      <c r="L1780" s="348" t="s">
        <v>1205</v>
      </c>
      <c r="M1780" s="265">
        <v>50049081071320</v>
      </c>
      <c r="N1780" s="347">
        <v>0.35899999999999999</v>
      </c>
      <c r="O1780" s="348" t="s">
        <v>1205</v>
      </c>
      <c r="P1780" s="348">
        <v>8</v>
      </c>
      <c r="Q1780" s="348">
        <v>0.28999999999999998</v>
      </c>
    </row>
    <row r="1781" spans="1:17" ht="15" hidden="1" customHeight="1">
      <c r="A1781" s="163">
        <v>1776</v>
      </c>
      <c r="B1781" s="53" t="s">
        <v>34</v>
      </c>
      <c r="C1781" s="53" t="s">
        <v>2861</v>
      </c>
      <c r="D1781" s="53">
        <v>300002239</v>
      </c>
      <c r="E1781" s="55" t="s">
        <v>2862</v>
      </c>
      <c r="F1781" s="129">
        <v>6</v>
      </c>
      <c r="G1781" s="129">
        <v>162</v>
      </c>
      <c r="H1781" s="512">
        <v>118.18</v>
      </c>
      <c r="I1781" s="265" t="s">
        <v>359</v>
      </c>
      <c r="J1781" s="265" t="s">
        <v>77</v>
      </c>
      <c r="K1781" s="265" t="s">
        <v>2863</v>
      </c>
      <c r="L1781" s="348" t="s">
        <v>1205</v>
      </c>
      <c r="M1781" s="265" t="s">
        <v>2803</v>
      </c>
      <c r="N1781" s="347">
        <v>8.5</v>
      </c>
      <c r="O1781" s="348" t="s">
        <v>1205</v>
      </c>
      <c r="P1781" s="348">
        <v>51</v>
      </c>
      <c r="Q1781" s="348">
        <v>1.07</v>
      </c>
    </row>
    <row r="1782" spans="1:17" ht="15" hidden="1" customHeight="1">
      <c r="A1782" s="163">
        <v>1777</v>
      </c>
      <c r="B1782" s="53" t="s">
        <v>34</v>
      </c>
      <c r="C1782" s="53" t="s">
        <v>2864</v>
      </c>
      <c r="D1782" s="53">
        <v>300002325</v>
      </c>
      <c r="E1782" s="55" t="s">
        <v>2865</v>
      </c>
      <c r="F1782" s="129">
        <v>12</v>
      </c>
      <c r="G1782" s="129">
        <v>576</v>
      </c>
      <c r="H1782" s="512">
        <v>57.12</v>
      </c>
      <c r="I1782" s="265" t="s">
        <v>359</v>
      </c>
      <c r="J1782" s="265" t="s">
        <v>77</v>
      </c>
      <c r="K1782" s="265" t="s">
        <v>2866</v>
      </c>
      <c r="L1782" s="348" t="s">
        <v>1205</v>
      </c>
      <c r="M1782" s="265" t="s">
        <v>2803</v>
      </c>
      <c r="N1782" s="347">
        <v>2.25</v>
      </c>
      <c r="O1782" s="348" t="s">
        <v>1205</v>
      </c>
      <c r="P1782" s="348">
        <v>27</v>
      </c>
      <c r="Q1782" s="348">
        <v>0.67</v>
      </c>
    </row>
    <row r="1783" spans="1:17" ht="15" hidden="1" customHeight="1">
      <c r="A1783" s="163">
        <v>1778</v>
      </c>
      <c r="B1783" s="53" t="s">
        <v>34</v>
      </c>
      <c r="C1783" s="53" t="s">
        <v>2867</v>
      </c>
      <c r="D1783" s="53">
        <v>300002286</v>
      </c>
      <c r="E1783" s="55" t="s">
        <v>2868</v>
      </c>
      <c r="F1783" s="129">
        <v>12</v>
      </c>
      <c r="G1783" s="129">
        <v>1008</v>
      </c>
      <c r="H1783" s="512">
        <v>28.48</v>
      </c>
      <c r="I1783" s="265" t="s">
        <v>359</v>
      </c>
      <c r="J1783" s="265" t="s">
        <v>77</v>
      </c>
      <c r="K1783" s="265" t="s">
        <v>2869</v>
      </c>
      <c r="L1783" s="348" t="s">
        <v>1205</v>
      </c>
      <c r="M1783" s="265" t="s">
        <v>2803</v>
      </c>
      <c r="N1783" s="347">
        <v>1.167</v>
      </c>
      <c r="O1783" s="348" t="s">
        <v>1205</v>
      </c>
      <c r="P1783" s="348">
        <v>14</v>
      </c>
      <c r="Q1783" s="348">
        <v>0.36</v>
      </c>
    </row>
    <row r="1784" spans="1:17" ht="15" hidden="1" customHeight="1">
      <c r="A1784" s="163">
        <v>1779</v>
      </c>
      <c r="B1784" s="53" t="s">
        <v>34</v>
      </c>
      <c r="C1784" s="53" t="s">
        <v>2870</v>
      </c>
      <c r="D1784" s="53">
        <v>300002262</v>
      </c>
      <c r="E1784" s="55" t="s">
        <v>2871</v>
      </c>
      <c r="F1784" s="129">
        <v>24</v>
      </c>
      <c r="G1784" s="129">
        <v>1920</v>
      </c>
      <c r="H1784" s="512">
        <v>19.04</v>
      </c>
      <c r="I1784" s="265" t="s">
        <v>359</v>
      </c>
      <c r="J1784" s="265" t="s">
        <v>77</v>
      </c>
      <c r="K1784" s="265" t="s">
        <v>2872</v>
      </c>
      <c r="L1784" s="348" t="s">
        <v>1205</v>
      </c>
      <c r="M1784" s="265">
        <v>50049081072013</v>
      </c>
      <c r="N1784" s="347">
        <v>0.625</v>
      </c>
      <c r="O1784" s="348" t="s">
        <v>1205</v>
      </c>
      <c r="P1784" s="348">
        <v>15</v>
      </c>
      <c r="Q1784" s="348">
        <v>0.37</v>
      </c>
    </row>
    <row r="1785" spans="1:17" ht="15" hidden="1" customHeight="1">
      <c r="A1785" s="163">
        <v>1780</v>
      </c>
      <c r="B1785" s="53" t="s">
        <v>34</v>
      </c>
      <c r="C1785" s="53" t="s">
        <v>2873</v>
      </c>
      <c r="D1785" s="53">
        <v>300002306</v>
      </c>
      <c r="E1785" s="55" t="s">
        <v>2874</v>
      </c>
      <c r="F1785" s="129">
        <v>24</v>
      </c>
      <c r="G1785" s="129">
        <v>2808</v>
      </c>
      <c r="H1785" s="512">
        <v>9.39</v>
      </c>
      <c r="I1785" s="265" t="s">
        <v>359</v>
      </c>
      <c r="J1785" s="265" t="s">
        <v>77</v>
      </c>
      <c r="K1785" s="265" t="s">
        <v>2875</v>
      </c>
      <c r="L1785" s="348" t="s">
        <v>1205</v>
      </c>
      <c r="M1785" s="265">
        <v>50049081072020</v>
      </c>
      <c r="N1785" s="347">
        <v>0.33300000000000002</v>
      </c>
      <c r="O1785" s="348" t="s">
        <v>1205</v>
      </c>
      <c r="P1785" s="348">
        <v>8</v>
      </c>
      <c r="Q1785" s="348">
        <v>0.22</v>
      </c>
    </row>
    <row r="1786" spans="1:17" ht="15" hidden="1" customHeight="1">
      <c r="A1786" s="163">
        <v>1781</v>
      </c>
      <c r="B1786" s="53" t="s">
        <v>34</v>
      </c>
      <c r="C1786" s="53" t="s">
        <v>2876</v>
      </c>
      <c r="D1786" s="53">
        <v>300002331</v>
      </c>
      <c r="E1786" s="55" t="s">
        <v>2877</v>
      </c>
      <c r="F1786" s="129">
        <v>12</v>
      </c>
      <c r="G1786" s="129">
        <v>576</v>
      </c>
      <c r="H1786" s="512">
        <v>25.46</v>
      </c>
      <c r="I1786" s="265" t="s">
        <v>359</v>
      </c>
      <c r="J1786" s="265" t="s">
        <v>77</v>
      </c>
      <c r="K1786" s="265" t="s">
        <v>2879</v>
      </c>
      <c r="L1786" s="348" t="s">
        <v>1205</v>
      </c>
      <c r="M1786" s="265">
        <v>50049081071788</v>
      </c>
      <c r="N1786" s="347">
        <v>2.5</v>
      </c>
      <c r="O1786" s="348" t="s">
        <v>1205</v>
      </c>
      <c r="P1786" s="348">
        <v>28</v>
      </c>
      <c r="Q1786" s="348">
        <v>0.67</v>
      </c>
    </row>
    <row r="1787" spans="1:17" ht="15" hidden="1" customHeight="1">
      <c r="A1787" s="163">
        <v>1782</v>
      </c>
      <c r="B1787" s="53" t="s">
        <v>34</v>
      </c>
      <c r="C1787" s="53" t="s">
        <v>2880</v>
      </c>
      <c r="D1787" s="53">
        <v>300002292</v>
      </c>
      <c r="E1787" s="55" t="s">
        <v>2881</v>
      </c>
      <c r="F1787" s="129">
        <v>12</v>
      </c>
      <c r="G1787" s="129">
        <v>1008</v>
      </c>
      <c r="H1787" s="512">
        <v>33.53</v>
      </c>
      <c r="I1787" s="265" t="s">
        <v>359</v>
      </c>
      <c r="J1787" s="265" t="s">
        <v>77</v>
      </c>
      <c r="K1787" s="265" t="s">
        <v>2882</v>
      </c>
      <c r="L1787" s="348" t="s">
        <v>1205</v>
      </c>
      <c r="M1787" s="265">
        <v>50049081071795</v>
      </c>
      <c r="N1787" s="347">
        <v>1.202</v>
      </c>
      <c r="O1787" s="348" t="s">
        <v>1205</v>
      </c>
      <c r="P1787" s="348">
        <v>14</v>
      </c>
      <c r="Q1787" s="348">
        <v>0.36</v>
      </c>
    </row>
    <row r="1788" spans="1:17" ht="15" hidden="1" customHeight="1">
      <c r="A1788" s="163">
        <v>1783</v>
      </c>
      <c r="B1788" s="53" t="s">
        <v>34</v>
      </c>
      <c r="C1788" s="53" t="s">
        <v>2883</v>
      </c>
      <c r="D1788" s="53">
        <v>300002268</v>
      </c>
      <c r="E1788" s="55" t="s">
        <v>2884</v>
      </c>
      <c r="F1788" s="129">
        <v>24</v>
      </c>
      <c r="G1788" s="129">
        <v>1920</v>
      </c>
      <c r="H1788" s="512">
        <v>22.18</v>
      </c>
      <c r="I1788" s="265" t="s">
        <v>1693</v>
      </c>
      <c r="J1788" s="265" t="s">
        <v>77</v>
      </c>
      <c r="K1788" s="265" t="s">
        <v>2885</v>
      </c>
      <c r="L1788" s="348" t="s">
        <v>1205</v>
      </c>
      <c r="M1788" s="265" t="s">
        <v>2803</v>
      </c>
      <c r="N1788" s="347">
        <v>0.63700000000000001</v>
      </c>
      <c r="O1788" s="348" t="s">
        <v>1205</v>
      </c>
      <c r="P1788" s="348">
        <v>15</v>
      </c>
      <c r="Q1788" s="348">
        <v>0.37</v>
      </c>
    </row>
    <row r="1789" spans="1:17" ht="15" hidden="1" customHeight="1">
      <c r="A1789" s="163">
        <v>1784</v>
      </c>
      <c r="B1789" s="53" t="s">
        <v>34</v>
      </c>
      <c r="C1789" s="53" t="s">
        <v>2886</v>
      </c>
      <c r="D1789" s="53">
        <v>300002309</v>
      </c>
      <c r="E1789" s="55" t="s">
        <v>2887</v>
      </c>
      <c r="F1789" s="129">
        <v>24</v>
      </c>
      <c r="G1789" s="129">
        <v>2808</v>
      </c>
      <c r="H1789" s="512">
        <v>13.02</v>
      </c>
      <c r="I1789" s="265" t="s">
        <v>1693</v>
      </c>
      <c r="J1789" s="265" t="s">
        <v>77</v>
      </c>
      <c r="K1789" s="265" t="s">
        <v>2888</v>
      </c>
      <c r="L1789" s="348" t="s">
        <v>1205</v>
      </c>
      <c r="M1789" s="265" t="s">
        <v>2803</v>
      </c>
      <c r="N1789" s="347">
        <v>0.375</v>
      </c>
      <c r="O1789" s="348" t="s">
        <v>1205</v>
      </c>
      <c r="P1789" s="348">
        <v>8</v>
      </c>
      <c r="Q1789" s="348">
        <v>0.22</v>
      </c>
    </row>
    <row r="1790" spans="1:17" ht="15" hidden="1" customHeight="1">
      <c r="A1790" s="163">
        <v>1785</v>
      </c>
      <c r="B1790" s="53" t="s">
        <v>34</v>
      </c>
      <c r="C1790" s="53" t="s">
        <v>2889</v>
      </c>
      <c r="D1790" s="53">
        <v>300002320</v>
      </c>
      <c r="E1790" s="55" t="s">
        <v>2890</v>
      </c>
      <c r="F1790" s="129">
        <v>12</v>
      </c>
      <c r="G1790" s="129">
        <v>576</v>
      </c>
      <c r="H1790" s="512">
        <v>48.34</v>
      </c>
      <c r="I1790" s="265" t="s">
        <v>1693</v>
      </c>
      <c r="J1790" s="265" t="s">
        <v>77</v>
      </c>
      <c r="K1790" s="265" t="s">
        <v>2893</v>
      </c>
      <c r="L1790" s="348" t="s">
        <v>1205</v>
      </c>
      <c r="M1790" s="265">
        <v>50049081071344</v>
      </c>
      <c r="N1790" s="347">
        <v>2.5</v>
      </c>
      <c r="O1790" s="348" t="s">
        <v>1205</v>
      </c>
      <c r="P1790" s="348">
        <v>29</v>
      </c>
      <c r="Q1790" s="348">
        <v>0.78</v>
      </c>
    </row>
    <row r="1791" spans="1:17" ht="15" hidden="1" customHeight="1">
      <c r="A1791" s="163">
        <v>1786</v>
      </c>
      <c r="B1791" s="53" t="s">
        <v>34</v>
      </c>
      <c r="C1791" s="53" t="s">
        <v>2894</v>
      </c>
      <c r="D1791" s="53">
        <v>300002281</v>
      </c>
      <c r="E1791" s="55" t="s">
        <v>2895</v>
      </c>
      <c r="F1791" s="129">
        <v>12</v>
      </c>
      <c r="G1791" s="129">
        <v>1008</v>
      </c>
      <c r="H1791" s="512">
        <v>27.85</v>
      </c>
      <c r="I1791" s="265" t="s">
        <v>1693</v>
      </c>
      <c r="J1791" s="265" t="s">
        <v>77</v>
      </c>
      <c r="K1791" s="265" t="s">
        <v>2896</v>
      </c>
      <c r="L1791" s="348" t="s">
        <v>1205</v>
      </c>
      <c r="M1791" s="265">
        <v>50049081071351</v>
      </c>
      <c r="N1791" s="347">
        <v>1.272</v>
      </c>
      <c r="O1791" s="348" t="s">
        <v>1205</v>
      </c>
      <c r="P1791" s="348">
        <v>15</v>
      </c>
      <c r="Q1791" s="348">
        <v>0.42</v>
      </c>
    </row>
    <row r="1792" spans="1:17" ht="15" hidden="1" customHeight="1">
      <c r="A1792" s="163">
        <v>1787</v>
      </c>
      <c r="B1792" s="53" t="s">
        <v>34</v>
      </c>
      <c r="C1792" s="53" t="s">
        <v>2897</v>
      </c>
      <c r="D1792" s="53">
        <v>300002257</v>
      </c>
      <c r="E1792" s="55" t="s">
        <v>2898</v>
      </c>
      <c r="F1792" s="129">
        <v>24</v>
      </c>
      <c r="G1792" s="129">
        <v>1920</v>
      </c>
      <c r="H1792" s="512">
        <v>17.28</v>
      </c>
      <c r="I1792" s="265" t="s">
        <v>1693</v>
      </c>
      <c r="J1792" s="265" t="s">
        <v>77</v>
      </c>
      <c r="K1792" s="265" t="s">
        <v>2899</v>
      </c>
      <c r="L1792" s="348" t="s">
        <v>1205</v>
      </c>
      <c r="M1792" s="265">
        <v>50049081071368</v>
      </c>
      <c r="N1792" s="347">
        <v>0.67</v>
      </c>
      <c r="O1792" s="348" t="s">
        <v>1205</v>
      </c>
      <c r="P1792" s="348">
        <v>16</v>
      </c>
      <c r="Q1792" s="348">
        <v>0.41</v>
      </c>
    </row>
    <row r="1793" spans="1:17" ht="15" hidden="1" customHeight="1">
      <c r="A1793" s="163">
        <v>1788</v>
      </c>
      <c r="B1793" s="53" t="s">
        <v>34</v>
      </c>
      <c r="C1793" s="53" t="s">
        <v>2900</v>
      </c>
      <c r="D1793" s="53">
        <v>300002302</v>
      </c>
      <c r="E1793" s="55" t="s">
        <v>2901</v>
      </c>
      <c r="F1793" s="129">
        <v>24</v>
      </c>
      <c r="G1793" s="129">
        <v>2808</v>
      </c>
      <c r="H1793" s="512">
        <v>10.84</v>
      </c>
      <c r="I1793" s="265" t="s">
        <v>1693</v>
      </c>
      <c r="J1793" s="265" t="s">
        <v>77</v>
      </c>
      <c r="K1793" s="265" t="s">
        <v>2902</v>
      </c>
      <c r="L1793" s="348" t="s">
        <v>1205</v>
      </c>
      <c r="M1793" s="265">
        <v>50049081071375</v>
      </c>
      <c r="N1793" s="347">
        <v>0.376</v>
      </c>
      <c r="O1793" s="348" t="s">
        <v>1205</v>
      </c>
      <c r="P1793" s="348">
        <v>8</v>
      </c>
      <c r="Q1793" s="348">
        <v>0.28999999999999998</v>
      </c>
    </row>
    <row r="1794" spans="1:17" ht="15" hidden="1" customHeight="1">
      <c r="A1794" s="163">
        <v>1789</v>
      </c>
      <c r="B1794" s="53" t="s">
        <v>34</v>
      </c>
      <c r="C1794" s="53" t="s">
        <v>2903</v>
      </c>
      <c r="D1794" s="53">
        <v>300002321</v>
      </c>
      <c r="E1794" s="55" t="s">
        <v>2904</v>
      </c>
      <c r="F1794" s="129">
        <v>12</v>
      </c>
      <c r="G1794" s="129">
        <v>576</v>
      </c>
      <c r="H1794" s="512">
        <v>73.33</v>
      </c>
      <c r="I1794" s="265" t="s">
        <v>1693</v>
      </c>
      <c r="J1794" s="265" t="s">
        <v>77</v>
      </c>
      <c r="K1794" s="265" t="s">
        <v>2907</v>
      </c>
      <c r="L1794" s="348" t="s">
        <v>1205</v>
      </c>
      <c r="M1794" s="265">
        <v>50049081071382</v>
      </c>
      <c r="N1794" s="347">
        <v>2.5</v>
      </c>
      <c r="O1794" s="348" t="s">
        <v>1205</v>
      </c>
      <c r="P1794" s="348">
        <v>29</v>
      </c>
      <c r="Q1794" s="348">
        <v>0.78</v>
      </c>
    </row>
    <row r="1795" spans="1:17" ht="15" hidden="1" customHeight="1">
      <c r="A1795" s="163">
        <v>1790</v>
      </c>
      <c r="B1795" s="53" t="s">
        <v>34</v>
      </c>
      <c r="C1795" s="53" t="s">
        <v>2908</v>
      </c>
      <c r="D1795" s="53">
        <v>300002282</v>
      </c>
      <c r="E1795" s="55" t="s">
        <v>2909</v>
      </c>
      <c r="F1795" s="129">
        <v>12</v>
      </c>
      <c r="G1795" s="129">
        <v>1008</v>
      </c>
      <c r="H1795" s="512">
        <v>47.7</v>
      </c>
      <c r="I1795" s="265" t="s">
        <v>359</v>
      </c>
      <c r="J1795" s="265" t="s">
        <v>77</v>
      </c>
      <c r="K1795" s="265" t="s">
        <v>2910</v>
      </c>
      <c r="L1795" s="348" t="s">
        <v>1205</v>
      </c>
      <c r="M1795" s="265">
        <v>50049081071399</v>
      </c>
      <c r="N1795" s="347">
        <v>1.25</v>
      </c>
      <c r="O1795" s="348" t="s">
        <v>1205</v>
      </c>
      <c r="P1795" s="348">
        <v>14</v>
      </c>
      <c r="Q1795" s="348">
        <v>0.42</v>
      </c>
    </row>
    <row r="1796" spans="1:17" ht="15" hidden="1" customHeight="1">
      <c r="A1796" s="163">
        <v>1791</v>
      </c>
      <c r="B1796" s="53" t="s">
        <v>34</v>
      </c>
      <c r="C1796" s="53" t="s">
        <v>2911</v>
      </c>
      <c r="D1796" s="53">
        <v>300002258</v>
      </c>
      <c r="E1796" s="55" t="s">
        <v>2912</v>
      </c>
      <c r="F1796" s="129">
        <v>24</v>
      </c>
      <c r="G1796" s="129">
        <v>1920</v>
      </c>
      <c r="H1796" s="512">
        <v>41.69</v>
      </c>
      <c r="I1796" s="265" t="s">
        <v>1693</v>
      </c>
      <c r="J1796" s="265" t="s">
        <v>77</v>
      </c>
      <c r="K1796" s="265" t="s">
        <v>2913</v>
      </c>
      <c r="L1796" s="348" t="s">
        <v>1205</v>
      </c>
      <c r="M1796" s="265">
        <v>50049081071405</v>
      </c>
      <c r="N1796" s="347">
        <v>0.66800000000000004</v>
      </c>
      <c r="O1796" s="348" t="s">
        <v>1205</v>
      </c>
      <c r="P1796" s="348">
        <v>15</v>
      </c>
      <c r="Q1796" s="348">
        <v>0.41</v>
      </c>
    </row>
    <row r="1797" spans="1:17" ht="15" hidden="1" customHeight="1">
      <c r="A1797" s="163">
        <v>1792</v>
      </c>
      <c r="B1797" s="53" t="s">
        <v>34</v>
      </c>
      <c r="C1797" s="53" t="s">
        <v>2914</v>
      </c>
      <c r="D1797" s="53">
        <v>300002372</v>
      </c>
      <c r="E1797" s="55" t="s">
        <v>2915</v>
      </c>
      <c r="F1797" s="129">
        <v>24</v>
      </c>
      <c r="G1797" s="129">
        <v>2808</v>
      </c>
      <c r="H1797" s="512">
        <v>11.99</v>
      </c>
      <c r="I1797" s="265" t="s">
        <v>1693</v>
      </c>
      <c r="J1797" s="265" t="s">
        <v>77</v>
      </c>
      <c r="K1797" s="265">
        <v>810116842452</v>
      </c>
      <c r="L1797" s="348" t="s">
        <v>1205</v>
      </c>
      <c r="M1797" s="265">
        <v>10810116842459</v>
      </c>
      <c r="N1797" s="347">
        <v>0.62</v>
      </c>
      <c r="O1797" s="348" t="s">
        <v>1205</v>
      </c>
      <c r="P1797" s="348">
        <v>9</v>
      </c>
      <c r="Q1797" s="348">
        <v>0.28999999999999998</v>
      </c>
    </row>
    <row r="1798" spans="1:17" ht="15" hidden="1" customHeight="1">
      <c r="A1798" s="163">
        <v>1793</v>
      </c>
      <c r="B1798" s="53" t="s">
        <v>34</v>
      </c>
      <c r="C1798" s="53" t="s">
        <v>2916</v>
      </c>
      <c r="D1798" s="53">
        <v>300002363</v>
      </c>
      <c r="E1798" s="55" t="s">
        <v>2917</v>
      </c>
      <c r="F1798" s="129">
        <v>6</v>
      </c>
      <c r="G1798" s="129">
        <v>162</v>
      </c>
      <c r="H1798" s="512">
        <v>98.71</v>
      </c>
      <c r="I1798" s="265" t="s">
        <v>1693</v>
      </c>
      <c r="J1798" s="265" t="s">
        <v>77</v>
      </c>
      <c r="K1798" s="265">
        <v>810116842353</v>
      </c>
      <c r="L1798" s="348" t="s">
        <v>1205</v>
      </c>
      <c r="M1798" s="265">
        <v>10810116842350</v>
      </c>
      <c r="N1798" s="347">
        <v>8.3309999999999995</v>
      </c>
      <c r="O1798" s="348" t="s">
        <v>1205</v>
      </c>
      <c r="P1798" s="348">
        <v>56</v>
      </c>
      <c r="Q1798" s="348">
        <v>1.21</v>
      </c>
    </row>
    <row r="1799" spans="1:17" ht="15" hidden="1" customHeight="1">
      <c r="A1799" s="163">
        <v>1794</v>
      </c>
      <c r="B1799" s="53" t="s">
        <v>34</v>
      </c>
      <c r="C1799" s="53" t="s">
        <v>2919</v>
      </c>
      <c r="D1799" s="53">
        <v>300002377</v>
      </c>
      <c r="E1799" s="55" t="s">
        <v>2920</v>
      </c>
      <c r="F1799" s="129">
        <v>12</v>
      </c>
      <c r="G1799" s="129">
        <v>576</v>
      </c>
      <c r="H1799" s="512">
        <v>28.34</v>
      </c>
      <c r="I1799" s="265" t="s">
        <v>1693</v>
      </c>
      <c r="J1799" s="265" t="s">
        <v>77</v>
      </c>
      <c r="K1799" s="265">
        <v>810116842360</v>
      </c>
      <c r="L1799" s="348" t="s">
        <v>1205</v>
      </c>
      <c r="M1799" s="265">
        <v>10810116842367</v>
      </c>
      <c r="N1799" s="347">
        <v>2.1880000000000002</v>
      </c>
      <c r="O1799" s="348" t="s">
        <v>1205</v>
      </c>
      <c r="P1799" s="348">
        <v>30</v>
      </c>
      <c r="Q1799" s="348">
        <v>0.78</v>
      </c>
    </row>
    <row r="1800" spans="1:17" ht="15" hidden="1" customHeight="1">
      <c r="A1800" s="163">
        <v>1795</v>
      </c>
      <c r="B1800" s="53" t="s">
        <v>34</v>
      </c>
      <c r="C1800" s="53" t="s">
        <v>2921</v>
      </c>
      <c r="D1800" s="53">
        <v>300002369</v>
      </c>
      <c r="E1800" s="55" t="s">
        <v>2922</v>
      </c>
      <c r="F1800" s="129">
        <v>12</v>
      </c>
      <c r="G1800" s="129">
        <v>1008</v>
      </c>
      <c r="H1800" s="512">
        <v>20.2</v>
      </c>
      <c r="I1800" s="265" t="s">
        <v>1693</v>
      </c>
      <c r="J1800" s="265" t="s">
        <v>77</v>
      </c>
      <c r="K1800" s="265">
        <v>810116842377</v>
      </c>
      <c r="L1800" s="348" t="s">
        <v>1205</v>
      </c>
      <c r="M1800" s="265">
        <v>10810116842374</v>
      </c>
      <c r="N1800" s="347">
        <v>1.1279999999999999</v>
      </c>
      <c r="O1800" s="348" t="s">
        <v>1205</v>
      </c>
      <c r="P1800" s="348">
        <v>16</v>
      </c>
      <c r="Q1800" s="348">
        <v>0.42</v>
      </c>
    </row>
    <row r="1801" spans="1:17" ht="15" hidden="1" customHeight="1">
      <c r="A1801" s="163">
        <v>1796</v>
      </c>
      <c r="B1801" s="53" t="s">
        <v>34</v>
      </c>
      <c r="C1801" s="53" t="s">
        <v>2923</v>
      </c>
      <c r="D1801" s="53">
        <v>300002366</v>
      </c>
      <c r="E1801" s="55" t="s">
        <v>2924</v>
      </c>
      <c r="F1801" s="129">
        <v>24</v>
      </c>
      <c r="G1801" s="129">
        <v>1920</v>
      </c>
      <c r="H1801" s="512">
        <v>11.83</v>
      </c>
      <c r="I1801" s="265" t="s">
        <v>1693</v>
      </c>
      <c r="J1801" s="265" t="s">
        <v>77</v>
      </c>
      <c r="K1801" s="265">
        <v>810116842384</v>
      </c>
      <c r="L1801" s="348" t="s">
        <v>1205</v>
      </c>
      <c r="M1801" s="265">
        <v>10810116842381</v>
      </c>
      <c r="N1801" s="347">
        <v>0.60499999999999998</v>
      </c>
      <c r="O1801" s="348" t="s">
        <v>1205</v>
      </c>
      <c r="P1801" s="348">
        <v>18</v>
      </c>
      <c r="Q1801" s="348">
        <v>0.41</v>
      </c>
    </row>
    <row r="1802" spans="1:17" ht="15" hidden="1" customHeight="1">
      <c r="A1802" s="163">
        <v>1797</v>
      </c>
      <c r="B1802" s="53" t="s">
        <v>34</v>
      </c>
      <c r="C1802" s="53" t="s">
        <v>2925</v>
      </c>
      <c r="D1802" s="53">
        <v>300002374</v>
      </c>
      <c r="E1802" s="55" t="s">
        <v>2926</v>
      </c>
      <c r="F1802" s="129">
        <v>24</v>
      </c>
      <c r="G1802" s="129">
        <v>2808</v>
      </c>
      <c r="H1802" s="512">
        <v>8.5399999999999991</v>
      </c>
      <c r="I1802" s="265" t="s">
        <v>1693</v>
      </c>
      <c r="J1802" s="265" t="s">
        <v>77</v>
      </c>
      <c r="K1802" s="265">
        <v>810116842391</v>
      </c>
      <c r="L1802" s="348" t="s">
        <v>1205</v>
      </c>
      <c r="M1802" s="265">
        <v>10810116842398</v>
      </c>
      <c r="N1802" s="347">
        <v>0.33200000000000002</v>
      </c>
      <c r="O1802" s="348" t="s">
        <v>1205</v>
      </c>
      <c r="P1802" s="348">
        <v>9</v>
      </c>
      <c r="Q1802" s="348">
        <v>0.28999999999999998</v>
      </c>
    </row>
    <row r="1803" spans="1:17" ht="15" hidden="1" customHeight="1">
      <c r="A1803" s="163">
        <v>1798</v>
      </c>
      <c r="B1803" s="53" t="s">
        <v>34</v>
      </c>
      <c r="C1803" s="53" t="s">
        <v>2927</v>
      </c>
      <c r="D1803" s="53">
        <v>300002364</v>
      </c>
      <c r="E1803" s="55" t="s">
        <v>2928</v>
      </c>
      <c r="F1803" s="129">
        <v>6</v>
      </c>
      <c r="G1803" s="129">
        <v>162</v>
      </c>
      <c r="H1803" s="512">
        <v>95.74</v>
      </c>
      <c r="I1803" s="265" t="s">
        <v>1693</v>
      </c>
      <c r="J1803" s="265" t="s">
        <v>77</v>
      </c>
      <c r="K1803" s="265">
        <v>810116842407</v>
      </c>
      <c r="L1803" s="348" t="s">
        <v>1205</v>
      </c>
      <c r="M1803" s="265">
        <v>10810116842404</v>
      </c>
      <c r="N1803" s="347">
        <v>8.4309999999999992</v>
      </c>
      <c r="O1803" s="348" t="s">
        <v>1205</v>
      </c>
      <c r="P1803" s="348">
        <v>56</v>
      </c>
      <c r="Q1803" s="348">
        <v>1.21</v>
      </c>
    </row>
    <row r="1804" spans="1:17" ht="15" hidden="1" customHeight="1">
      <c r="A1804" s="163">
        <v>1799</v>
      </c>
      <c r="B1804" s="53" t="s">
        <v>34</v>
      </c>
      <c r="C1804" s="53" t="s">
        <v>2930</v>
      </c>
      <c r="D1804" s="53">
        <v>300002378</v>
      </c>
      <c r="E1804" s="55" t="s">
        <v>2931</v>
      </c>
      <c r="F1804" s="129">
        <v>12</v>
      </c>
      <c r="G1804" s="129">
        <v>576</v>
      </c>
      <c r="H1804" s="512">
        <v>27.5</v>
      </c>
      <c r="I1804" s="265" t="s">
        <v>1693</v>
      </c>
      <c r="J1804" s="265" t="s">
        <v>77</v>
      </c>
      <c r="K1804" s="265">
        <v>810116842414</v>
      </c>
      <c r="L1804" s="348" t="s">
        <v>1205</v>
      </c>
      <c r="M1804" s="265">
        <v>10810116842411</v>
      </c>
      <c r="N1804" s="347">
        <v>2.1749999999999998</v>
      </c>
      <c r="O1804" s="348" t="s">
        <v>1205</v>
      </c>
      <c r="P1804" s="348">
        <v>30</v>
      </c>
      <c r="Q1804" s="348">
        <v>0.78</v>
      </c>
    </row>
    <row r="1805" spans="1:17" ht="15" hidden="1" customHeight="1">
      <c r="A1805" s="163">
        <v>1800</v>
      </c>
      <c r="B1805" s="53" t="s">
        <v>34</v>
      </c>
      <c r="C1805" s="53" t="s">
        <v>2932</v>
      </c>
      <c r="D1805" s="53">
        <v>300002370</v>
      </c>
      <c r="E1805" s="55" t="s">
        <v>2933</v>
      </c>
      <c r="F1805" s="129">
        <v>12</v>
      </c>
      <c r="G1805" s="129">
        <v>1008</v>
      </c>
      <c r="H1805" s="512">
        <v>33.369999999999997</v>
      </c>
      <c r="I1805" s="265" t="s">
        <v>1693</v>
      </c>
      <c r="J1805" s="265" t="s">
        <v>77</v>
      </c>
      <c r="K1805" s="265">
        <v>810116842421</v>
      </c>
      <c r="L1805" s="348" t="s">
        <v>1205</v>
      </c>
      <c r="M1805" s="265">
        <v>10810116842428</v>
      </c>
      <c r="N1805" s="347">
        <v>1.141</v>
      </c>
      <c r="O1805" s="348" t="s">
        <v>1205</v>
      </c>
      <c r="P1805" s="348">
        <v>16</v>
      </c>
      <c r="Q1805" s="348">
        <v>0.42</v>
      </c>
    </row>
    <row r="1806" spans="1:17" ht="15" hidden="1" customHeight="1">
      <c r="A1806" s="163">
        <v>1801</v>
      </c>
      <c r="B1806" s="53" t="s">
        <v>34</v>
      </c>
      <c r="C1806" s="53" t="s">
        <v>2934</v>
      </c>
      <c r="D1806" s="53">
        <v>300002367</v>
      </c>
      <c r="E1806" s="55" t="s">
        <v>2935</v>
      </c>
      <c r="F1806" s="129">
        <v>24</v>
      </c>
      <c r="G1806" s="129">
        <v>1920</v>
      </c>
      <c r="H1806" s="512">
        <v>21.95</v>
      </c>
      <c r="I1806" s="265" t="s">
        <v>1693</v>
      </c>
      <c r="J1806" s="265" t="s">
        <v>77</v>
      </c>
      <c r="K1806" s="265">
        <v>810116842438</v>
      </c>
      <c r="L1806" s="348" t="s">
        <v>1205</v>
      </c>
      <c r="M1806" s="265">
        <v>10810116842435</v>
      </c>
      <c r="N1806" s="347">
        <v>0.61099999999999999</v>
      </c>
      <c r="O1806" s="348" t="s">
        <v>1205</v>
      </c>
      <c r="P1806" s="348">
        <v>18</v>
      </c>
      <c r="Q1806" s="348">
        <v>0.41</v>
      </c>
    </row>
    <row r="1807" spans="1:17" ht="15" hidden="1" customHeight="1">
      <c r="A1807" s="163">
        <v>1802</v>
      </c>
      <c r="B1807" s="53" t="s">
        <v>34</v>
      </c>
      <c r="C1807" s="53" t="s">
        <v>2936</v>
      </c>
      <c r="D1807" s="53">
        <v>300002375</v>
      </c>
      <c r="E1807" s="55" t="s">
        <v>2937</v>
      </c>
      <c r="F1807" s="129">
        <v>24</v>
      </c>
      <c r="G1807" s="129">
        <v>2808</v>
      </c>
      <c r="H1807" s="512">
        <v>8.24</v>
      </c>
      <c r="I1807" s="265" t="s">
        <v>1693</v>
      </c>
      <c r="J1807" s="265" t="s">
        <v>77</v>
      </c>
      <c r="K1807" s="265">
        <v>810116842445</v>
      </c>
      <c r="L1807" s="348" t="s">
        <v>1205</v>
      </c>
      <c r="M1807" s="265">
        <v>10810116842442</v>
      </c>
      <c r="N1807" s="347">
        <v>0.33600000000000002</v>
      </c>
      <c r="O1807" s="348" t="s">
        <v>1205</v>
      </c>
      <c r="P1807" s="348">
        <v>9</v>
      </c>
      <c r="Q1807" s="348">
        <v>0.28999999999999998</v>
      </c>
    </row>
    <row r="1808" spans="1:17" ht="15" hidden="1" customHeight="1">
      <c r="A1808" s="163">
        <v>1803</v>
      </c>
      <c r="B1808" s="53" t="s">
        <v>34</v>
      </c>
      <c r="C1808" s="53" t="s">
        <v>2938</v>
      </c>
      <c r="D1808" s="53">
        <v>300002237</v>
      </c>
      <c r="E1808" s="55" t="s">
        <v>2939</v>
      </c>
      <c r="F1808" s="129">
        <v>6</v>
      </c>
      <c r="G1808" s="129">
        <v>162</v>
      </c>
      <c r="H1808" s="512">
        <v>97.9</v>
      </c>
      <c r="I1808" s="265" t="s">
        <v>359</v>
      </c>
      <c r="J1808" s="265" t="s">
        <v>77</v>
      </c>
      <c r="K1808" s="265" t="s">
        <v>2942</v>
      </c>
      <c r="L1808" s="348" t="s">
        <v>1205</v>
      </c>
      <c r="M1808" s="265">
        <v>50049081071467</v>
      </c>
      <c r="N1808" s="347">
        <v>8.1669999999999998</v>
      </c>
      <c r="O1808" s="348" t="s">
        <v>1205</v>
      </c>
      <c r="P1808" s="348">
        <v>49</v>
      </c>
      <c r="Q1808" s="348">
        <v>1.21</v>
      </c>
    </row>
    <row r="1809" spans="1:17" ht="15" hidden="1" customHeight="1">
      <c r="A1809" s="163">
        <v>1804</v>
      </c>
      <c r="B1809" s="53" t="s">
        <v>34</v>
      </c>
      <c r="C1809" s="53" t="s">
        <v>2943</v>
      </c>
      <c r="D1809" s="53">
        <v>300002323</v>
      </c>
      <c r="E1809" s="55" t="s">
        <v>2944</v>
      </c>
      <c r="F1809" s="129">
        <v>12</v>
      </c>
      <c r="G1809" s="129">
        <v>576</v>
      </c>
      <c r="H1809" s="512">
        <v>28.43</v>
      </c>
      <c r="I1809" s="265" t="s">
        <v>1693</v>
      </c>
      <c r="J1809" s="265" t="s">
        <v>77</v>
      </c>
      <c r="K1809" s="265" t="s">
        <v>2945</v>
      </c>
      <c r="L1809" s="348" t="s">
        <v>1205</v>
      </c>
      <c r="M1809" s="265">
        <v>50049081071474</v>
      </c>
      <c r="N1809" s="347">
        <v>2.169</v>
      </c>
      <c r="O1809" s="348" t="s">
        <v>1205</v>
      </c>
      <c r="P1809" s="348">
        <v>25</v>
      </c>
      <c r="Q1809" s="348">
        <v>0.78</v>
      </c>
    </row>
    <row r="1810" spans="1:17" ht="15" hidden="1" customHeight="1">
      <c r="A1810" s="163">
        <v>1805</v>
      </c>
      <c r="B1810" s="53" t="s">
        <v>34</v>
      </c>
      <c r="C1810" s="53" t="s">
        <v>2946</v>
      </c>
      <c r="D1810" s="53">
        <v>300002284</v>
      </c>
      <c r="E1810" s="55" t="s">
        <v>2947</v>
      </c>
      <c r="F1810" s="129">
        <v>12</v>
      </c>
      <c r="G1810" s="129">
        <v>1008</v>
      </c>
      <c r="H1810" s="512">
        <v>17.260000000000002</v>
      </c>
      <c r="I1810" s="265" t="s">
        <v>359</v>
      </c>
      <c r="J1810" s="265" t="s">
        <v>77</v>
      </c>
      <c r="K1810" s="265" t="s">
        <v>2948</v>
      </c>
      <c r="L1810" s="348" t="s">
        <v>1205</v>
      </c>
      <c r="M1810" s="265">
        <v>50049081071481</v>
      </c>
      <c r="N1810" s="347">
        <v>1.083</v>
      </c>
      <c r="O1810" s="348" t="s">
        <v>1205</v>
      </c>
      <c r="P1810" s="348">
        <v>13</v>
      </c>
      <c r="Q1810" s="348">
        <v>0.42</v>
      </c>
    </row>
    <row r="1811" spans="1:17" ht="15" hidden="1" customHeight="1">
      <c r="A1811" s="163">
        <v>1806</v>
      </c>
      <c r="B1811" s="53" t="s">
        <v>34</v>
      </c>
      <c r="C1811" s="53" t="s">
        <v>2949</v>
      </c>
      <c r="D1811" s="53">
        <v>300002260</v>
      </c>
      <c r="E1811" s="55" t="s">
        <v>2950</v>
      </c>
      <c r="F1811" s="129">
        <v>24</v>
      </c>
      <c r="G1811" s="129">
        <v>1920</v>
      </c>
      <c r="H1811" s="512">
        <v>10.37</v>
      </c>
      <c r="I1811" s="265" t="s">
        <v>359</v>
      </c>
      <c r="J1811" s="265" t="s">
        <v>77</v>
      </c>
      <c r="K1811" s="265" t="s">
        <v>2951</v>
      </c>
      <c r="L1811" s="348" t="s">
        <v>1205</v>
      </c>
      <c r="M1811" s="265">
        <v>50049081071498</v>
      </c>
      <c r="N1811" s="347">
        <v>0.58299999999999996</v>
      </c>
      <c r="O1811" s="348" t="s">
        <v>1205</v>
      </c>
      <c r="P1811" s="348">
        <v>14</v>
      </c>
      <c r="Q1811" s="348">
        <v>0.41</v>
      </c>
    </row>
    <row r="1812" spans="1:17" ht="15" hidden="1" customHeight="1">
      <c r="A1812" s="163">
        <v>1807</v>
      </c>
      <c r="B1812" s="53" t="s">
        <v>34</v>
      </c>
      <c r="C1812" s="53" t="s">
        <v>2952</v>
      </c>
      <c r="D1812" s="53">
        <v>300002304</v>
      </c>
      <c r="E1812" s="55" t="s">
        <v>2953</v>
      </c>
      <c r="F1812" s="129">
        <v>24</v>
      </c>
      <c r="G1812" s="129">
        <v>2808</v>
      </c>
      <c r="H1812" s="512">
        <v>7.69</v>
      </c>
      <c r="I1812" s="265" t="s">
        <v>359</v>
      </c>
      <c r="J1812" s="265" t="s">
        <v>77</v>
      </c>
      <c r="K1812" s="265" t="s">
        <v>2954</v>
      </c>
      <c r="L1812" s="348" t="s">
        <v>1205</v>
      </c>
      <c r="M1812" s="265">
        <v>50049081071504</v>
      </c>
      <c r="N1812" s="347">
        <v>0.29199999999999998</v>
      </c>
      <c r="O1812" s="348" t="s">
        <v>1205</v>
      </c>
      <c r="P1812" s="348">
        <v>7</v>
      </c>
      <c r="Q1812" s="348">
        <v>0.28999999999999998</v>
      </c>
    </row>
    <row r="1813" spans="1:17" ht="15" hidden="1" customHeight="1">
      <c r="A1813" s="163">
        <v>1808</v>
      </c>
      <c r="B1813" s="53" t="s">
        <v>34</v>
      </c>
      <c r="C1813" s="53" t="s">
        <v>2955</v>
      </c>
      <c r="D1813" s="53">
        <v>300002236</v>
      </c>
      <c r="E1813" s="55" t="s">
        <v>2956</v>
      </c>
      <c r="F1813" s="129">
        <v>6</v>
      </c>
      <c r="G1813" s="129">
        <v>162</v>
      </c>
      <c r="H1813" s="512">
        <v>88.68</v>
      </c>
      <c r="I1813" s="265" t="s">
        <v>359</v>
      </c>
      <c r="J1813" s="265" t="s">
        <v>77</v>
      </c>
      <c r="K1813" s="265" t="s">
        <v>2957</v>
      </c>
      <c r="L1813" s="348" t="s">
        <v>1205</v>
      </c>
      <c r="M1813" s="265" t="s">
        <v>2803</v>
      </c>
      <c r="N1813" s="347">
        <v>8.1669999999999998</v>
      </c>
      <c r="O1813" s="348" t="s">
        <v>1205</v>
      </c>
      <c r="P1813" s="348">
        <v>49</v>
      </c>
      <c r="Q1813" s="348">
        <v>1.21</v>
      </c>
    </row>
    <row r="1814" spans="1:17" ht="15" hidden="1" customHeight="1">
      <c r="A1814" s="163">
        <v>1809</v>
      </c>
      <c r="B1814" s="53" t="s">
        <v>34</v>
      </c>
      <c r="C1814" s="53" t="s">
        <v>2958</v>
      </c>
      <c r="D1814" s="53">
        <v>300002322</v>
      </c>
      <c r="E1814" s="55" t="s">
        <v>2959</v>
      </c>
      <c r="F1814" s="129">
        <v>12</v>
      </c>
      <c r="G1814" s="129">
        <v>576</v>
      </c>
      <c r="H1814" s="512">
        <v>42.18</v>
      </c>
      <c r="I1814" s="265" t="s">
        <v>1693</v>
      </c>
      <c r="J1814" s="265" t="s">
        <v>77</v>
      </c>
      <c r="K1814" s="265" t="s">
        <v>2960</v>
      </c>
      <c r="L1814" s="348" t="s">
        <v>1205</v>
      </c>
      <c r="M1814" s="265" t="s">
        <v>2803</v>
      </c>
      <c r="N1814" s="347">
        <v>2.2309999999999999</v>
      </c>
      <c r="O1814" s="348" t="s">
        <v>1205</v>
      </c>
      <c r="P1814" s="348">
        <v>25</v>
      </c>
      <c r="Q1814" s="348">
        <v>0.78</v>
      </c>
    </row>
    <row r="1815" spans="1:17" ht="15" hidden="1" customHeight="1">
      <c r="A1815" s="163">
        <v>1810</v>
      </c>
      <c r="B1815" s="53" t="s">
        <v>34</v>
      </c>
      <c r="C1815" s="53" t="s">
        <v>2961</v>
      </c>
      <c r="D1815" s="53">
        <v>300002283</v>
      </c>
      <c r="E1815" s="55" t="s">
        <v>2962</v>
      </c>
      <c r="F1815" s="129">
        <v>12</v>
      </c>
      <c r="G1815" s="129">
        <v>1008</v>
      </c>
      <c r="H1815" s="512">
        <v>63.15</v>
      </c>
      <c r="I1815" s="265" t="s">
        <v>1693</v>
      </c>
      <c r="J1815" s="265" t="s">
        <v>77</v>
      </c>
      <c r="K1815" s="265" t="s">
        <v>2963</v>
      </c>
      <c r="L1815" s="348" t="s">
        <v>1205</v>
      </c>
      <c r="M1815" s="265" t="s">
        <v>2803</v>
      </c>
      <c r="N1815" s="347">
        <v>1.1890000000000001</v>
      </c>
      <c r="O1815" s="348" t="s">
        <v>1205</v>
      </c>
      <c r="P1815" s="348">
        <v>13</v>
      </c>
      <c r="Q1815" s="348">
        <v>0.42</v>
      </c>
    </row>
    <row r="1816" spans="1:17" ht="15" hidden="1" customHeight="1">
      <c r="A1816" s="163">
        <v>1811</v>
      </c>
      <c r="B1816" s="53" t="s">
        <v>34</v>
      </c>
      <c r="C1816" s="53" t="s">
        <v>2964</v>
      </c>
      <c r="D1816" s="53">
        <v>300002259</v>
      </c>
      <c r="E1816" s="55" t="s">
        <v>2965</v>
      </c>
      <c r="F1816" s="129">
        <v>24</v>
      </c>
      <c r="G1816" s="129">
        <v>1920</v>
      </c>
      <c r="H1816" s="512">
        <v>28.43</v>
      </c>
      <c r="I1816" s="265" t="s">
        <v>1693</v>
      </c>
      <c r="J1816" s="265" t="s">
        <v>77</v>
      </c>
      <c r="K1816" s="265" t="s">
        <v>2966</v>
      </c>
      <c r="L1816" s="348" t="s">
        <v>1205</v>
      </c>
      <c r="M1816" s="265" t="s">
        <v>2803</v>
      </c>
      <c r="N1816" s="347">
        <v>0.59599999999999997</v>
      </c>
      <c r="O1816" s="348" t="s">
        <v>1205</v>
      </c>
      <c r="P1816" s="348">
        <v>14</v>
      </c>
      <c r="Q1816" s="348">
        <v>0.41</v>
      </c>
    </row>
    <row r="1817" spans="1:17" ht="15" hidden="1" customHeight="1">
      <c r="A1817" s="163">
        <v>1812</v>
      </c>
      <c r="B1817" s="53" t="s">
        <v>34</v>
      </c>
      <c r="C1817" s="53" t="s">
        <v>2967</v>
      </c>
      <c r="D1817" s="53">
        <v>300002303</v>
      </c>
      <c r="E1817" s="55" t="s">
        <v>2968</v>
      </c>
      <c r="F1817" s="129">
        <v>24</v>
      </c>
      <c r="G1817" s="129">
        <v>2808</v>
      </c>
      <c r="H1817" s="512">
        <v>9.89</v>
      </c>
      <c r="I1817" s="265" t="s">
        <v>1693</v>
      </c>
      <c r="J1817" s="265" t="s">
        <v>77</v>
      </c>
      <c r="K1817" s="265" t="s">
        <v>2969</v>
      </c>
      <c r="L1817" s="348" t="s">
        <v>1205</v>
      </c>
      <c r="M1817" s="265" t="s">
        <v>2803</v>
      </c>
      <c r="N1817" s="347">
        <v>0.34699999999999998</v>
      </c>
      <c r="O1817" s="348" t="s">
        <v>1205</v>
      </c>
      <c r="P1817" s="348">
        <v>7</v>
      </c>
      <c r="Q1817" s="348">
        <v>0.28999999999999998</v>
      </c>
    </row>
    <row r="1818" spans="1:17" ht="15" hidden="1" customHeight="1">
      <c r="A1818" s="163">
        <v>1813</v>
      </c>
      <c r="B1818" s="53" t="s">
        <v>34</v>
      </c>
      <c r="C1818" s="53" t="s">
        <v>2970</v>
      </c>
      <c r="D1818" s="53">
        <v>300002238</v>
      </c>
      <c r="E1818" s="55" t="s">
        <v>2971</v>
      </c>
      <c r="F1818" s="129">
        <v>6</v>
      </c>
      <c r="G1818" s="129">
        <v>162</v>
      </c>
      <c r="H1818" s="512">
        <v>60.95</v>
      </c>
      <c r="I1818" s="265" t="s">
        <v>359</v>
      </c>
      <c r="J1818" s="265" t="s">
        <v>77</v>
      </c>
      <c r="K1818" s="265" t="s">
        <v>2973</v>
      </c>
      <c r="L1818" s="348" t="s">
        <v>1205</v>
      </c>
      <c r="M1818" s="265">
        <v>50049081071511</v>
      </c>
      <c r="N1818" s="347">
        <v>8.1669999999999998</v>
      </c>
      <c r="O1818" s="348" t="s">
        <v>1205</v>
      </c>
      <c r="P1818" s="348">
        <v>46</v>
      </c>
      <c r="Q1818" s="348">
        <v>1.21</v>
      </c>
    </row>
    <row r="1819" spans="1:17" ht="15" hidden="1" customHeight="1">
      <c r="A1819" s="163">
        <v>1814</v>
      </c>
      <c r="B1819" s="53" t="s">
        <v>34</v>
      </c>
      <c r="C1819" s="53" t="s">
        <v>2974</v>
      </c>
      <c r="D1819" s="53">
        <v>300002324</v>
      </c>
      <c r="E1819" s="55" t="s">
        <v>2975</v>
      </c>
      <c r="F1819" s="129">
        <v>12</v>
      </c>
      <c r="G1819" s="129">
        <v>576</v>
      </c>
      <c r="H1819" s="512">
        <v>34.25</v>
      </c>
      <c r="I1819" s="265" t="s">
        <v>1693</v>
      </c>
      <c r="J1819" s="265" t="s">
        <v>77</v>
      </c>
      <c r="K1819" s="265" t="s">
        <v>2976</v>
      </c>
      <c r="L1819" s="348" t="s">
        <v>1205</v>
      </c>
      <c r="M1819" s="265">
        <v>50049081071528</v>
      </c>
      <c r="N1819" s="347">
        <v>2.0830000000000002</v>
      </c>
      <c r="O1819" s="348" t="s">
        <v>1205</v>
      </c>
      <c r="P1819" s="348">
        <v>24</v>
      </c>
      <c r="Q1819" s="348">
        <v>0.78</v>
      </c>
    </row>
    <row r="1820" spans="1:17" ht="15" hidden="1" customHeight="1">
      <c r="A1820" s="163">
        <v>1815</v>
      </c>
      <c r="B1820" s="53" t="s">
        <v>34</v>
      </c>
      <c r="C1820" s="53" t="s">
        <v>2977</v>
      </c>
      <c r="D1820" s="53">
        <v>300002285</v>
      </c>
      <c r="E1820" s="55" t="s">
        <v>2978</v>
      </c>
      <c r="F1820" s="129">
        <v>12</v>
      </c>
      <c r="G1820" s="129">
        <v>1008</v>
      </c>
      <c r="H1820" s="512">
        <v>13.3</v>
      </c>
      <c r="I1820" s="265" t="s">
        <v>1693</v>
      </c>
      <c r="J1820" s="265" t="s">
        <v>77</v>
      </c>
      <c r="K1820" s="265" t="s">
        <v>2979</v>
      </c>
      <c r="L1820" s="348" t="s">
        <v>1205</v>
      </c>
      <c r="M1820" s="265">
        <v>50049081071535</v>
      </c>
      <c r="N1820" s="347">
        <v>1.083</v>
      </c>
      <c r="O1820" s="348" t="s">
        <v>1205</v>
      </c>
      <c r="P1820" s="348">
        <v>12</v>
      </c>
      <c r="Q1820" s="348">
        <v>0.42</v>
      </c>
    </row>
    <row r="1821" spans="1:17" ht="15" hidden="1" customHeight="1">
      <c r="A1821" s="163">
        <v>1816</v>
      </c>
      <c r="B1821" s="53" t="s">
        <v>34</v>
      </c>
      <c r="C1821" s="53" t="s">
        <v>2980</v>
      </c>
      <c r="D1821" s="53">
        <v>300002261</v>
      </c>
      <c r="E1821" s="55" t="s">
        <v>2981</v>
      </c>
      <c r="F1821" s="129">
        <v>24</v>
      </c>
      <c r="G1821" s="129">
        <v>1920</v>
      </c>
      <c r="H1821" s="512">
        <v>8.4700000000000006</v>
      </c>
      <c r="I1821" s="265" t="s">
        <v>359</v>
      </c>
      <c r="J1821" s="265" t="s">
        <v>77</v>
      </c>
      <c r="K1821" s="265" t="s">
        <v>2982</v>
      </c>
      <c r="L1821" s="348" t="s">
        <v>1205</v>
      </c>
      <c r="M1821" s="265">
        <v>50049081071542</v>
      </c>
      <c r="N1821" s="347">
        <v>0.58299999999999996</v>
      </c>
      <c r="O1821" s="348" t="s">
        <v>1205</v>
      </c>
      <c r="P1821" s="348">
        <v>13</v>
      </c>
      <c r="Q1821" s="348">
        <v>0.41</v>
      </c>
    </row>
    <row r="1822" spans="1:17" ht="15" hidden="1" customHeight="1">
      <c r="A1822" s="163">
        <v>1817</v>
      </c>
      <c r="B1822" s="53" t="s">
        <v>34</v>
      </c>
      <c r="C1822" s="53" t="s">
        <v>2983</v>
      </c>
      <c r="D1822" s="53">
        <v>300002305</v>
      </c>
      <c r="E1822" s="55" t="s">
        <v>2984</v>
      </c>
      <c r="F1822" s="129">
        <v>24</v>
      </c>
      <c r="G1822" s="129">
        <v>2808</v>
      </c>
      <c r="H1822" s="512">
        <v>9.5299999999999994</v>
      </c>
      <c r="I1822" s="265" t="s">
        <v>1693</v>
      </c>
      <c r="J1822" s="265" t="s">
        <v>77</v>
      </c>
      <c r="K1822" s="265" t="s">
        <v>2985</v>
      </c>
      <c r="L1822" s="348" t="s">
        <v>1205</v>
      </c>
      <c r="M1822" s="265">
        <v>50049081071559</v>
      </c>
      <c r="N1822" s="347">
        <v>0.29199999999999998</v>
      </c>
      <c r="O1822" s="348" t="s">
        <v>1205</v>
      </c>
      <c r="P1822" s="348">
        <v>7</v>
      </c>
      <c r="Q1822" s="348">
        <v>0.28999999999999998</v>
      </c>
    </row>
    <row r="1823" spans="1:17" ht="15" hidden="1" customHeight="1">
      <c r="A1823" s="163">
        <v>1818</v>
      </c>
      <c r="B1823" s="53" t="s">
        <v>34</v>
      </c>
      <c r="C1823" s="53" t="s">
        <v>2986</v>
      </c>
      <c r="D1823" s="53">
        <v>300002272</v>
      </c>
      <c r="E1823" s="55" t="s">
        <v>2987</v>
      </c>
      <c r="F1823" s="129">
        <v>24</v>
      </c>
      <c r="G1823" s="129" t="s">
        <v>2989</v>
      </c>
      <c r="H1823" s="512">
        <v>29.84</v>
      </c>
      <c r="I1823" s="265" t="s">
        <v>359</v>
      </c>
      <c r="J1823" s="265" t="s">
        <v>77</v>
      </c>
      <c r="K1823" s="265" t="s">
        <v>2990</v>
      </c>
      <c r="L1823" s="348" t="s">
        <v>1205</v>
      </c>
      <c r="M1823" s="265">
        <v>50049081072181</v>
      </c>
      <c r="N1823" s="347">
        <v>0.83299999999999996</v>
      </c>
      <c r="O1823" s="348" t="s">
        <v>1205</v>
      </c>
      <c r="P1823" s="348">
        <v>20</v>
      </c>
      <c r="Q1823" s="348">
        <v>0.38600000000000001</v>
      </c>
    </row>
    <row r="1824" spans="1:17" ht="15" hidden="1" customHeight="1">
      <c r="A1824" s="163">
        <v>1819</v>
      </c>
      <c r="B1824" s="53" t="s">
        <v>34</v>
      </c>
      <c r="C1824" s="53" t="s">
        <v>2991</v>
      </c>
      <c r="D1824" s="53">
        <v>300002336</v>
      </c>
      <c r="E1824" s="55" t="s">
        <v>2992</v>
      </c>
      <c r="F1824" s="129">
        <v>12</v>
      </c>
      <c r="G1824" s="129" t="s">
        <v>2989</v>
      </c>
      <c r="H1824" s="512">
        <v>17.88</v>
      </c>
      <c r="I1824" s="265" t="s">
        <v>1693</v>
      </c>
      <c r="J1824" s="265" t="s">
        <v>77</v>
      </c>
      <c r="K1824" s="265" t="s">
        <v>2994</v>
      </c>
      <c r="L1824" s="348" t="s">
        <v>1205</v>
      </c>
      <c r="M1824" s="265">
        <v>50049081072167</v>
      </c>
      <c r="N1824" s="347">
        <v>0.25</v>
      </c>
      <c r="O1824" s="348" t="s">
        <v>1205</v>
      </c>
      <c r="P1824" s="348">
        <v>3</v>
      </c>
      <c r="Q1824" s="348">
        <v>0.67</v>
      </c>
    </row>
    <row r="1825" spans="1:17" ht="15" hidden="1" customHeight="1">
      <c r="A1825" s="163">
        <v>1820</v>
      </c>
      <c r="B1825" s="53" t="s">
        <v>34</v>
      </c>
      <c r="C1825" s="53" t="s">
        <v>2995</v>
      </c>
      <c r="D1825" s="53">
        <v>300002219</v>
      </c>
      <c r="E1825" s="55" t="s">
        <v>2996</v>
      </c>
      <c r="F1825" s="129">
        <v>50</v>
      </c>
      <c r="G1825" s="129" t="s">
        <v>2989</v>
      </c>
      <c r="H1825" s="512">
        <v>1.85</v>
      </c>
      <c r="I1825" s="265" t="s">
        <v>359</v>
      </c>
      <c r="J1825" s="265" t="s">
        <v>77</v>
      </c>
      <c r="K1825" s="265" t="s">
        <v>2998</v>
      </c>
      <c r="L1825" s="348" t="s">
        <v>1205</v>
      </c>
      <c r="M1825" s="265">
        <v>50049081070118</v>
      </c>
      <c r="N1825" s="347">
        <v>0.03</v>
      </c>
      <c r="O1825" s="348" t="s">
        <v>1205</v>
      </c>
      <c r="P1825" s="348">
        <v>1.5</v>
      </c>
      <c r="Q1825" s="348">
        <v>0.2</v>
      </c>
    </row>
    <row r="1826" spans="1:17" ht="15" hidden="1" customHeight="1">
      <c r="A1826" s="163">
        <v>1821</v>
      </c>
      <c r="B1826" s="53" t="s">
        <v>34</v>
      </c>
      <c r="C1826" s="53" t="s">
        <v>2999</v>
      </c>
      <c r="D1826" s="53">
        <v>300002220</v>
      </c>
      <c r="E1826" s="55" t="s">
        <v>3000</v>
      </c>
      <c r="F1826" s="129">
        <v>50</v>
      </c>
      <c r="G1826" s="129" t="s">
        <v>2989</v>
      </c>
      <c r="H1826" s="512">
        <v>2.04</v>
      </c>
      <c r="I1826" s="265" t="s">
        <v>359</v>
      </c>
      <c r="J1826" s="265" t="s">
        <v>77</v>
      </c>
      <c r="K1826" s="265" t="s">
        <v>3001</v>
      </c>
      <c r="L1826" s="348" t="s">
        <v>1205</v>
      </c>
      <c r="M1826" s="265">
        <v>50049081070125</v>
      </c>
      <c r="N1826" s="347">
        <v>0.03</v>
      </c>
      <c r="O1826" s="348" t="s">
        <v>1205</v>
      </c>
      <c r="P1826" s="348">
        <v>1.5</v>
      </c>
      <c r="Q1826" s="348">
        <v>0.2</v>
      </c>
    </row>
    <row r="1827" spans="1:17" ht="15" hidden="1" customHeight="1">
      <c r="A1827" s="163">
        <v>1822</v>
      </c>
      <c r="B1827" s="53" t="s">
        <v>34</v>
      </c>
      <c r="C1827" s="53" t="s">
        <v>3002</v>
      </c>
      <c r="D1827" s="53">
        <v>300002221</v>
      </c>
      <c r="E1827" s="55" t="s">
        <v>3003</v>
      </c>
      <c r="F1827" s="129">
        <v>50</v>
      </c>
      <c r="G1827" s="129" t="s">
        <v>2989</v>
      </c>
      <c r="H1827" s="512">
        <v>1.85</v>
      </c>
      <c r="I1827" s="265" t="s">
        <v>1693</v>
      </c>
      <c r="J1827" s="265" t="s">
        <v>77</v>
      </c>
      <c r="K1827" s="265" t="s">
        <v>3004</v>
      </c>
      <c r="L1827" s="348" t="s">
        <v>1205</v>
      </c>
      <c r="M1827" s="265">
        <v>50049081070132</v>
      </c>
      <c r="N1827" s="347">
        <v>0.03</v>
      </c>
      <c r="O1827" s="348" t="s">
        <v>1205</v>
      </c>
      <c r="P1827" s="348">
        <v>1.5</v>
      </c>
      <c r="Q1827" s="348">
        <v>0.2</v>
      </c>
    </row>
    <row r="1828" spans="1:17" ht="15" hidden="1" customHeight="1">
      <c r="A1828" s="163">
        <v>1823</v>
      </c>
      <c r="B1828" s="53" t="s">
        <v>34</v>
      </c>
      <c r="C1828" s="53" t="s">
        <v>3005</v>
      </c>
      <c r="D1828" s="53">
        <v>300002222</v>
      </c>
      <c r="E1828" s="55" t="s">
        <v>3006</v>
      </c>
      <c r="F1828" s="129">
        <v>50</v>
      </c>
      <c r="G1828" s="129" t="s">
        <v>2989</v>
      </c>
      <c r="H1828" s="512">
        <v>2.04</v>
      </c>
      <c r="I1828" s="265" t="s">
        <v>359</v>
      </c>
      <c r="J1828" s="265" t="s">
        <v>77</v>
      </c>
      <c r="K1828" s="265" t="s">
        <v>3007</v>
      </c>
      <c r="L1828" s="348" t="s">
        <v>1205</v>
      </c>
      <c r="M1828" s="265">
        <v>50049081070149</v>
      </c>
      <c r="N1828" s="347">
        <v>3.4000000000000002E-2</v>
      </c>
      <c r="O1828" s="348" t="s">
        <v>1205</v>
      </c>
      <c r="P1828" s="348">
        <v>1.7</v>
      </c>
      <c r="Q1828" s="348">
        <v>0.2</v>
      </c>
    </row>
    <row r="1829" spans="1:17" ht="15" hidden="1" customHeight="1">
      <c r="A1829" s="163">
        <v>1824</v>
      </c>
      <c r="B1829" s="53" t="s">
        <v>34</v>
      </c>
      <c r="C1829" s="53" t="s">
        <v>3008</v>
      </c>
      <c r="D1829" s="53">
        <v>300002224</v>
      </c>
      <c r="E1829" s="55" t="s">
        <v>3009</v>
      </c>
      <c r="F1829" s="129">
        <v>20</v>
      </c>
      <c r="G1829" s="129" t="s">
        <v>2989</v>
      </c>
      <c r="H1829" s="512">
        <v>24.96</v>
      </c>
      <c r="I1829" s="265" t="s">
        <v>1693</v>
      </c>
      <c r="J1829" s="265" t="s">
        <v>77</v>
      </c>
      <c r="K1829" s="265" t="s">
        <v>3011</v>
      </c>
      <c r="L1829" s="348" t="s">
        <v>1205</v>
      </c>
      <c r="M1829" s="265">
        <v>50049081070187</v>
      </c>
      <c r="N1829" s="347">
        <v>0.35</v>
      </c>
      <c r="O1829" s="348" t="s">
        <v>1205</v>
      </c>
      <c r="P1829" s="348">
        <v>7</v>
      </c>
      <c r="Q1829" s="348">
        <v>0.93</v>
      </c>
    </row>
    <row r="1830" spans="1:17" ht="15" hidden="1" customHeight="1">
      <c r="A1830" s="163">
        <v>1825</v>
      </c>
      <c r="B1830" s="53" t="s">
        <v>34</v>
      </c>
      <c r="C1830" s="53" t="s">
        <v>3012</v>
      </c>
      <c r="D1830" s="53">
        <v>300002225</v>
      </c>
      <c r="E1830" s="55" t="s">
        <v>3013</v>
      </c>
      <c r="F1830" s="129">
        <v>24</v>
      </c>
      <c r="G1830" s="129" t="s">
        <v>2989</v>
      </c>
      <c r="H1830" s="512">
        <v>22.48</v>
      </c>
      <c r="I1830" s="265" t="s">
        <v>359</v>
      </c>
      <c r="J1830" s="265" t="s">
        <v>77</v>
      </c>
      <c r="K1830" s="265" t="s">
        <v>3015</v>
      </c>
      <c r="L1830" s="348" t="s">
        <v>1205</v>
      </c>
      <c r="M1830" s="265">
        <v>50049081070156</v>
      </c>
      <c r="N1830" s="347">
        <v>0.16700000000000001</v>
      </c>
      <c r="O1830" s="348" t="s">
        <v>1205</v>
      </c>
      <c r="P1830" s="348">
        <v>4</v>
      </c>
      <c r="Q1830" s="348">
        <v>0.93</v>
      </c>
    </row>
    <row r="1831" spans="1:17" ht="15" hidden="1" customHeight="1">
      <c r="A1831" s="163">
        <v>1826</v>
      </c>
      <c r="B1831" s="53" t="s">
        <v>34</v>
      </c>
      <c r="C1831" s="53" t="s">
        <v>3016</v>
      </c>
      <c r="D1831" s="53">
        <v>300002226</v>
      </c>
      <c r="E1831" s="55" t="s">
        <v>3017</v>
      </c>
      <c r="F1831" s="129">
        <v>24</v>
      </c>
      <c r="G1831" s="129" t="s">
        <v>2989</v>
      </c>
      <c r="H1831" s="512">
        <v>28.06</v>
      </c>
      <c r="I1831" s="265" t="s">
        <v>359</v>
      </c>
      <c r="J1831" s="265" t="s">
        <v>77</v>
      </c>
      <c r="K1831" s="265" t="s">
        <v>3018</v>
      </c>
      <c r="L1831" s="348" t="s">
        <v>1205</v>
      </c>
      <c r="M1831" s="265">
        <v>50049081070163</v>
      </c>
      <c r="N1831" s="347">
        <v>0.20799999999999999</v>
      </c>
      <c r="O1831" s="348" t="s">
        <v>1205</v>
      </c>
      <c r="P1831" s="348">
        <v>5</v>
      </c>
      <c r="Q1831" s="348">
        <v>0.93</v>
      </c>
    </row>
    <row r="1832" spans="1:17" ht="15" hidden="1" customHeight="1">
      <c r="A1832" s="163">
        <v>1827</v>
      </c>
      <c r="B1832" s="53" t="s">
        <v>34</v>
      </c>
      <c r="C1832" s="53" t="s">
        <v>3019</v>
      </c>
      <c r="D1832" s="53">
        <v>300002227</v>
      </c>
      <c r="E1832" s="55" t="s">
        <v>3020</v>
      </c>
      <c r="F1832" s="129">
        <v>50</v>
      </c>
      <c r="G1832" s="129" t="s">
        <v>2989</v>
      </c>
      <c r="H1832" s="512">
        <v>7.06</v>
      </c>
      <c r="I1832" s="265" t="s">
        <v>1693</v>
      </c>
      <c r="J1832" s="265" t="s">
        <v>77</v>
      </c>
      <c r="K1832" s="265" t="s">
        <v>3022</v>
      </c>
      <c r="L1832" s="348" t="s">
        <v>1205</v>
      </c>
      <c r="M1832" s="265">
        <v>50049081070194</v>
      </c>
      <c r="N1832" s="347">
        <v>0.04</v>
      </c>
      <c r="O1832" s="348" t="s">
        <v>1205</v>
      </c>
      <c r="P1832" s="348">
        <v>2</v>
      </c>
      <c r="Q1832" s="348">
        <v>0.2</v>
      </c>
    </row>
    <row r="1833" spans="1:17" ht="15" hidden="1" customHeight="1">
      <c r="A1833" s="163">
        <v>1828</v>
      </c>
      <c r="B1833" s="53" t="s">
        <v>34</v>
      </c>
      <c r="C1833" s="53" t="s">
        <v>3023</v>
      </c>
      <c r="D1833" s="53">
        <v>300002228</v>
      </c>
      <c r="E1833" s="55" t="s">
        <v>3024</v>
      </c>
      <c r="F1833" s="129">
        <v>50</v>
      </c>
      <c r="G1833" s="129" t="s">
        <v>2989</v>
      </c>
      <c r="H1833" s="512">
        <v>7.06</v>
      </c>
      <c r="I1833" s="265" t="s">
        <v>359</v>
      </c>
      <c r="J1833" s="265" t="s">
        <v>77</v>
      </c>
      <c r="K1833" s="265" t="s">
        <v>3025</v>
      </c>
      <c r="L1833" s="348" t="s">
        <v>1205</v>
      </c>
      <c r="M1833" s="265">
        <v>50049081070200</v>
      </c>
      <c r="N1833" s="347">
        <v>0.04</v>
      </c>
      <c r="O1833" s="348" t="s">
        <v>1205</v>
      </c>
      <c r="P1833" s="348">
        <v>2</v>
      </c>
      <c r="Q1833" s="348">
        <v>0.2</v>
      </c>
    </row>
    <row r="1834" spans="1:17" ht="15" hidden="1" customHeight="1">
      <c r="A1834" s="163">
        <v>1829</v>
      </c>
      <c r="B1834" s="53" t="s">
        <v>35</v>
      </c>
      <c r="C1834" s="53">
        <v>60</v>
      </c>
      <c r="D1834" s="53">
        <v>100025676</v>
      </c>
      <c r="E1834" s="55" t="s">
        <v>3036</v>
      </c>
      <c r="F1834" s="129" t="s">
        <v>1205</v>
      </c>
      <c r="G1834" s="129">
        <v>570</v>
      </c>
      <c r="H1834" s="512">
        <v>21.05</v>
      </c>
      <c r="I1834" s="265" t="s">
        <v>76</v>
      </c>
      <c r="J1834" s="265" t="s">
        <v>102</v>
      </c>
      <c r="K1834" s="265" t="s">
        <v>3039</v>
      </c>
      <c r="L1834" s="348" t="s">
        <v>1205</v>
      </c>
      <c r="M1834" s="265">
        <v>0</v>
      </c>
      <c r="N1834" s="347">
        <v>1.07</v>
      </c>
      <c r="O1834" s="348" t="s">
        <v>1205</v>
      </c>
      <c r="P1834" s="348" t="s">
        <v>1205</v>
      </c>
      <c r="Q1834" s="348" t="s">
        <v>1205</v>
      </c>
    </row>
    <row r="1835" spans="1:17" ht="15" hidden="1" customHeight="1">
      <c r="A1835" s="163">
        <v>1830</v>
      </c>
      <c r="B1835" s="53" t="s">
        <v>35</v>
      </c>
      <c r="C1835" s="53">
        <v>61</v>
      </c>
      <c r="D1835" s="53">
        <v>100028499</v>
      </c>
      <c r="E1835" s="55" t="s">
        <v>3040</v>
      </c>
      <c r="F1835" s="129" t="s">
        <v>1205</v>
      </c>
      <c r="G1835" s="129">
        <v>570</v>
      </c>
      <c r="H1835" s="512">
        <v>21.05</v>
      </c>
      <c r="I1835" s="265" t="s">
        <v>76</v>
      </c>
      <c r="J1835" s="265" t="s">
        <v>102</v>
      </c>
      <c r="K1835" s="265" t="s">
        <v>3041</v>
      </c>
      <c r="L1835" s="348" t="s">
        <v>1205</v>
      </c>
      <c r="M1835" s="265">
        <v>0</v>
      </c>
      <c r="N1835" s="347">
        <v>1.07</v>
      </c>
      <c r="O1835" s="348" t="s">
        <v>1205</v>
      </c>
      <c r="P1835" s="348" t="s">
        <v>1205</v>
      </c>
      <c r="Q1835" s="348" t="s">
        <v>1205</v>
      </c>
    </row>
    <row r="1836" spans="1:17" ht="15" hidden="1" customHeight="1">
      <c r="A1836" s="163">
        <v>1831</v>
      </c>
      <c r="B1836" s="53" t="s">
        <v>35</v>
      </c>
      <c r="C1836" s="53">
        <v>62</v>
      </c>
      <c r="D1836" s="53">
        <v>100028500</v>
      </c>
      <c r="E1836" s="55" t="s">
        <v>3042</v>
      </c>
      <c r="F1836" s="129" t="s">
        <v>1205</v>
      </c>
      <c r="G1836" s="129">
        <v>570</v>
      </c>
      <c r="H1836" s="512">
        <v>21.05</v>
      </c>
      <c r="I1836" s="265" t="s">
        <v>76</v>
      </c>
      <c r="J1836" s="265" t="s">
        <v>102</v>
      </c>
      <c r="K1836" s="265" t="s">
        <v>3044</v>
      </c>
      <c r="L1836" s="348" t="s">
        <v>1205</v>
      </c>
      <c r="M1836" s="265">
        <v>0</v>
      </c>
      <c r="N1836" s="347">
        <v>1.07</v>
      </c>
      <c r="O1836" s="348" t="s">
        <v>1205</v>
      </c>
      <c r="P1836" s="348" t="s">
        <v>1205</v>
      </c>
      <c r="Q1836" s="348" t="s">
        <v>1205</v>
      </c>
    </row>
    <row r="1837" spans="1:17" ht="15" hidden="1" customHeight="1">
      <c r="A1837" s="163">
        <v>1832</v>
      </c>
      <c r="B1837" s="53" t="s">
        <v>35</v>
      </c>
      <c r="C1837" s="53">
        <v>64</v>
      </c>
      <c r="D1837" s="53">
        <v>100028502</v>
      </c>
      <c r="E1837" s="55" t="s">
        <v>3045</v>
      </c>
      <c r="F1837" s="129" t="s">
        <v>1205</v>
      </c>
      <c r="G1837" s="129">
        <v>570</v>
      </c>
      <c r="H1837" s="512">
        <v>21.05</v>
      </c>
      <c r="I1837" s="265" t="s">
        <v>359</v>
      </c>
      <c r="J1837" s="265" t="s">
        <v>102</v>
      </c>
      <c r="K1837" s="265" t="s">
        <v>3046</v>
      </c>
      <c r="L1837" s="348" t="s">
        <v>1205</v>
      </c>
      <c r="M1837" s="265">
        <v>0</v>
      </c>
      <c r="N1837" s="347">
        <v>1.07</v>
      </c>
      <c r="O1837" s="348" t="s">
        <v>1205</v>
      </c>
      <c r="P1837" s="348" t="s">
        <v>1205</v>
      </c>
      <c r="Q1837" s="348" t="s">
        <v>1205</v>
      </c>
    </row>
    <row r="1838" spans="1:17" ht="15" hidden="1" customHeight="1">
      <c r="A1838" s="163">
        <v>1833</v>
      </c>
      <c r="B1838" s="53" t="s">
        <v>35</v>
      </c>
      <c r="C1838" s="53">
        <v>63</v>
      </c>
      <c r="D1838" s="53">
        <v>100028501</v>
      </c>
      <c r="E1838" s="55" t="s">
        <v>3047</v>
      </c>
      <c r="F1838" s="129" t="s">
        <v>1205</v>
      </c>
      <c r="G1838" s="129">
        <v>570</v>
      </c>
      <c r="H1838" s="512">
        <v>21.05</v>
      </c>
      <c r="I1838" s="265" t="s">
        <v>359</v>
      </c>
      <c r="J1838" s="265" t="s">
        <v>102</v>
      </c>
      <c r="K1838" s="265" t="s">
        <v>3049</v>
      </c>
      <c r="L1838" s="348" t="s">
        <v>1205</v>
      </c>
      <c r="M1838" s="265">
        <v>0</v>
      </c>
      <c r="N1838" s="347">
        <v>1.07</v>
      </c>
      <c r="O1838" s="348" t="s">
        <v>1205</v>
      </c>
      <c r="P1838" s="348" t="s">
        <v>1205</v>
      </c>
      <c r="Q1838" s="348" t="s">
        <v>1205</v>
      </c>
    </row>
    <row r="1839" spans="1:17" ht="15" hidden="1" customHeight="1">
      <c r="A1839" s="163">
        <v>1834</v>
      </c>
      <c r="B1839" s="53" t="s">
        <v>35</v>
      </c>
      <c r="C1839" s="53" t="s">
        <v>3050</v>
      </c>
      <c r="D1839" s="53">
        <v>100025804</v>
      </c>
      <c r="E1839" s="55" t="s">
        <v>3051</v>
      </c>
      <c r="F1839" s="129" t="s">
        <v>1205</v>
      </c>
      <c r="G1839" s="129">
        <v>570</v>
      </c>
      <c r="H1839" s="512">
        <v>21.05</v>
      </c>
      <c r="I1839" s="265" t="s">
        <v>76</v>
      </c>
      <c r="J1839" s="265" t="s">
        <v>102</v>
      </c>
      <c r="K1839" s="265" t="s">
        <v>3053</v>
      </c>
      <c r="L1839" s="348" t="s">
        <v>1205</v>
      </c>
      <c r="M1839" s="265">
        <v>0</v>
      </c>
      <c r="N1839" s="347">
        <v>1.07</v>
      </c>
      <c r="O1839" s="348" t="s">
        <v>1205</v>
      </c>
      <c r="P1839" s="348" t="s">
        <v>1205</v>
      </c>
      <c r="Q1839" s="348" t="s">
        <v>1205</v>
      </c>
    </row>
    <row r="1840" spans="1:17" ht="15" hidden="1" customHeight="1">
      <c r="A1840" s="163">
        <v>1835</v>
      </c>
      <c r="B1840" s="53" t="s">
        <v>35</v>
      </c>
      <c r="C1840" s="53" t="s">
        <v>3054</v>
      </c>
      <c r="D1840" s="53">
        <v>100025809</v>
      </c>
      <c r="E1840" s="55" t="s">
        <v>3055</v>
      </c>
      <c r="F1840" s="129" t="s">
        <v>1205</v>
      </c>
      <c r="G1840" s="129">
        <v>570</v>
      </c>
      <c r="H1840" s="512">
        <v>21.05</v>
      </c>
      <c r="I1840" s="265" t="s">
        <v>359</v>
      </c>
      <c r="J1840" s="265" t="s">
        <v>102</v>
      </c>
      <c r="K1840" s="265" t="s">
        <v>3056</v>
      </c>
      <c r="L1840" s="348" t="s">
        <v>1205</v>
      </c>
      <c r="M1840" s="265">
        <v>0</v>
      </c>
      <c r="N1840" s="347">
        <v>1.07</v>
      </c>
      <c r="O1840" s="348" t="s">
        <v>1205</v>
      </c>
      <c r="P1840" s="348" t="s">
        <v>1205</v>
      </c>
      <c r="Q1840" s="348" t="s">
        <v>1205</v>
      </c>
    </row>
    <row r="1841" spans="1:17" ht="15" hidden="1" customHeight="1">
      <c r="A1841" s="163">
        <v>1836</v>
      </c>
      <c r="B1841" s="53" t="s">
        <v>35</v>
      </c>
      <c r="C1841" s="53" t="s">
        <v>3057</v>
      </c>
      <c r="D1841" s="53">
        <v>100025806</v>
      </c>
      <c r="E1841" s="55" t="s">
        <v>3058</v>
      </c>
      <c r="F1841" s="129" t="s">
        <v>1205</v>
      </c>
      <c r="G1841" s="129">
        <v>570</v>
      </c>
      <c r="H1841" s="512">
        <v>21.05</v>
      </c>
      <c r="I1841" s="265" t="s">
        <v>76</v>
      </c>
      <c r="J1841" s="265" t="s">
        <v>102</v>
      </c>
      <c r="K1841" s="265" t="s">
        <v>3060</v>
      </c>
      <c r="L1841" s="348" t="s">
        <v>1205</v>
      </c>
      <c r="M1841" s="265">
        <v>0</v>
      </c>
      <c r="N1841" s="347">
        <v>1.07</v>
      </c>
      <c r="O1841" s="348" t="s">
        <v>1205</v>
      </c>
      <c r="P1841" s="348" t="s">
        <v>1205</v>
      </c>
      <c r="Q1841" s="348" t="s">
        <v>1205</v>
      </c>
    </row>
    <row r="1842" spans="1:17" ht="15" hidden="1" customHeight="1">
      <c r="A1842" s="163">
        <v>1837</v>
      </c>
      <c r="B1842" s="53" t="s">
        <v>35</v>
      </c>
      <c r="C1842" s="53" t="s">
        <v>3061</v>
      </c>
      <c r="D1842" s="53">
        <v>100025269</v>
      </c>
      <c r="E1842" s="55" t="s">
        <v>3062</v>
      </c>
      <c r="F1842" s="129" t="s">
        <v>1205</v>
      </c>
      <c r="G1842" s="129">
        <v>570</v>
      </c>
      <c r="H1842" s="512">
        <v>21.05</v>
      </c>
      <c r="I1842" s="265" t="s">
        <v>76</v>
      </c>
      <c r="J1842" s="265" t="s">
        <v>102</v>
      </c>
      <c r="K1842" s="265" t="s">
        <v>3064</v>
      </c>
      <c r="L1842" s="348" t="s">
        <v>1205</v>
      </c>
      <c r="M1842" s="265">
        <v>0</v>
      </c>
      <c r="N1842" s="347">
        <v>1.07</v>
      </c>
      <c r="O1842" s="348" t="s">
        <v>1205</v>
      </c>
      <c r="P1842" s="348" t="s">
        <v>1205</v>
      </c>
      <c r="Q1842" s="348" t="s">
        <v>1205</v>
      </c>
    </row>
    <row r="1843" spans="1:17" ht="15" hidden="1" customHeight="1">
      <c r="A1843" s="163">
        <v>1838</v>
      </c>
      <c r="B1843" s="53" t="s">
        <v>35</v>
      </c>
      <c r="C1843" s="53" t="s">
        <v>3065</v>
      </c>
      <c r="D1843" s="53">
        <v>100025807</v>
      </c>
      <c r="E1843" s="55" t="s">
        <v>3066</v>
      </c>
      <c r="F1843" s="129" t="s">
        <v>1205</v>
      </c>
      <c r="G1843" s="129">
        <v>570</v>
      </c>
      <c r="H1843" s="512">
        <v>21.05</v>
      </c>
      <c r="I1843" s="265" t="s">
        <v>76</v>
      </c>
      <c r="J1843" s="265" t="s">
        <v>102</v>
      </c>
      <c r="K1843" s="265" t="s">
        <v>3067</v>
      </c>
      <c r="L1843" s="348" t="s">
        <v>1205</v>
      </c>
      <c r="M1843" s="265">
        <v>0</v>
      </c>
      <c r="N1843" s="347">
        <v>1.07</v>
      </c>
      <c r="O1843" s="348" t="s">
        <v>1205</v>
      </c>
      <c r="P1843" s="348" t="s">
        <v>1205</v>
      </c>
      <c r="Q1843" s="348" t="s">
        <v>1205</v>
      </c>
    </row>
    <row r="1844" spans="1:17" ht="15" hidden="1" customHeight="1">
      <c r="A1844" s="163">
        <v>1839</v>
      </c>
      <c r="B1844" s="53" t="s">
        <v>35</v>
      </c>
      <c r="C1844" s="53">
        <v>70</v>
      </c>
      <c r="D1844" s="53">
        <v>100028506</v>
      </c>
      <c r="E1844" s="55" t="s">
        <v>3070</v>
      </c>
      <c r="F1844" s="129" t="s">
        <v>1205</v>
      </c>
      <c r="G1844" s="129">
        <v>240</v>
      </c>
      <c r="H1844" s="512">
        <v>39.03</v>
      </c>
      <c r="I1844" s="265" t="s">
        <v>359</v>
      </c>
      <c r="J1844" s="265" t="s">
        <v>102</v>
      </c>
      <c r="K1844" s="265" t="s">
        <v>3071</v>
      </c>
      <c r="L1844" s="348" t="s">
        <v>1205</v>
      </c>
      <c r="M1844" s="265">
        <v>0</v>
      </c>
      <c r="N1844" s="347">
        <v>1.07</v>
      </c>
      <c r="O1844" s="348" t="s">
        <v>1205</v>
      </c>
      <c r="P1844" s="348" t="s">
        <v>1205</v>
      </c>
      <c r="Q1844" s="348" t="s">
        <v>1205</v>
      </c>
    </row>
    <row r="1845" spans="1:17" ht="15" hidden="1" customHeight="1">
      <c r="A1845" s="163">
        <v>1840</v>
      </c>
      <c r="B1845" s="53" t="s">
        <v>35</v>
      </c>
      <c r="C1845" s="53">
        <v>71</v>
      </c>
      <c r="D1845" s="53">
        <v>100028507</v>
      </c>
      <c r="E1845" s="55" t="s">
        <v>3072</v>
      </c>
      <c r="F1845" s="129" t="s">
        <v>1205</v>
      </c>
      <c r="G1845" s="129">
        <v>240</v>
      </c>
      <c r="H1845" s="512">
        <v>39.03</v>
      </c>
      <c r="I1845" s="265" t="s">
        <v>76</v>
      </c>
      <c r="J1845" s="265" t="s">
        <v>102</v>
      </c>
      <c r="K1845" s="265" t="s">
        <v>3073</v>
      </c>
      <c r="L1845" s="348" t="s">
        <v>1205</v>
      </c>
      <c r="M1845" s="265">
        <v>0</v>
      </c>
      <c r="N1845" s="347">
        <v>1.07</v>
      </c>
      <c r="O1845" s="348" t="s">
        <v>1205</v>
      </c>
      <c r="P1845" s="348" t="s">
        <v>1205</v>
      </c>
      <c r="Q1845" s="348" t="s">
        <v>1205</v>
      </c>
    </row>
    <row r="1846" spans="1:17" ht="15" hidden="1" customHeight="1">
      <c r="A1846" s="163">
        <v>1841</v>
      </c>
      <c r="B1846" s="53" t="s">
        <v>35</v>
      </c>
      <c r="C1846" s="53">
        <v>74</v>
      </c>
      <c r="D1846" s="53">
        <v>100028510</v>
      </c>
      <c r="E1846" s="55" t="s">
        <v>3074</v>
      </c>
      <c r="F1846" s="129" t="s">
        <v>1205</v>
      </c>
      <c r="G1846" s="129">
        <v>240</v>
      </c>
      <c r="H1846" s="512">
        <v>39.03</v>
      </c>
      <c r="I1846" s="265" t="s">
        <v>359</v>
      </c>
      <c r="J1846" s="265" t="s">
        <v>102</v>
      </c>
      <c r="K1846" s="265" t="s">
        <v>3075</v>
      </c>
      <c r="L1846" s="348" t="s">
        <v>1205</v>
      </c>
      <c r="M1846" s="265">
        <v>0</v>
      </c>
      <c r="N1846" s="347">
        <v>1.07</v>
      </c>
      <c r="O1846" s="348" t="s">
        <v>1205</v>
      </c>
      <c r="P1846" s="348" t="s">
        <v>1205</v>
      </c>
      <c r="Q1846" s="348" t="s">
        <v>1205</v>
      </c>
    </row>
    <row r="1847" spans="1:17" ht="15" hidden="1" customHeight="1">
      <c r="A1847" s="163">
        <v>1842</v>
      </c>
      <c r="B1847" s="53" t="s">
        <v>35</v>
      </c>
      <c r="C1847" s="53">
        <v>73</v>
      </c>
      <c r="D1847" s="53">
        <v>100028509</v>
      </c>
      <c r="E1847" s="55" t="s">
        <v>3076</v>
      </c>
      <c r="F1847" s="129" t="s">
        <v>1205</v>
      </c>
      <c r="G1847" s="129">
        <v>240</v>
      </c>
      <c r="H1847" s="512">
        <v>39.03</v>
      </c>
      <c r="I1847" s="265" t="s">
        <v>76</v>
      </c>
      <c r="J1847" s="265" t="s">
        <v>102</v>
      </c>
      <c r="K1847" s="265" t="s">
        <v>3077</v>
      </c>
      <c r="L1847" s="348" t="s">
        <v>1205</v>
      </c>
      <c r="M1847" s="265">
        <v>0</v>
      </c>
      <c r="N1847" s="347">
        <v>1.07</v>
      </c>
      <c r="O1847" s="348" t="s">
        <v>1205</v>
      </c>
      <c r="P1847" s="348" t="s">
        <v>1205</v>
      </c>
      <c r="Q1847" s="348" t="s">
        <v>1205</v>
      </c>
    </row>
    <row r="1848" spans="1:17" ht="15" hidden="1" customHeight="1">
      <c r="A1848" s="163">
        <v>1843</v>
      </c>
      <c r="B1848" s="53" t="s">
        <v>35</v>
      </c>
      <c r="C1848" s="53" t="s">
        <v>3078</v>
      </c>
      <c r="D1848" s="53">
        <v>100025825</v>
      </c>
      <c r="E1848" s="55" t="s">
        <v>3079</v>
      </c>
      <c r="F1848" s="129" t="s">
        <v>1205</v>
      </c>
      <c r="G1848" s="129">
        <v>240</v>
      </c>
      <c r="H1848" s="512">
        <v>39.03</v>
      </c>
      <c r="I1848" s="265" t="s">
        <v>359</v>
      </c>
      <c r="J1848" s="265" t="s">
        <v>102</v>
      </c>
      <c r="K1848" s="265" t="s">
        <v>3080</v>
      </c>
      <c r="L1848" s="348" t="s">
        <v>1205</v>
      </c>
      <c r="M1848" s="265">
        <v>0</v>
      </c>
      <c r="N1848" s="347">
        <v>1.07</v>
      </c>
      <c r="O1848" s="348" t="s">
        <v>1205</v>
      </c>
      <c r="P1848" s="348" t="s">
        <v>1205</v>
      </c>
      <c r="Q1848" s="348" t="s">
        <v>1205</v>
      </c>
    </row>
    <row r="1849" spans="1:17" ht="15" hidden="1" customHeight="1">
      <c r="A1849" s="163">
        <v>1844</v>
      </c>
      <c r="B1849" s="53" t="s">
        <v>35</v>
      </c>
      <c r="C1849" s="53" t="s">
        <v>3081</v>
      </c>
      <c r="D1849" s="53">
        <v>100025302</v>
      </c>
      <c r="E1849" s="55" t="s">
        <v>3082</v>
      </c>
      <c r="F1849" s="129" t="s">
        <v>1205</v>
      </c>
      <c r="G1849" s="129">
        <v>240</v>
      </c>
      <c r="H1849" s="512">
        <v>39.03</v>
      </c>
      <c r="I1849" s="265" t="s">
        <v>359</v>
      </c>
      <c r="J1849" s="265" t="s">
        <v>102</v>
      </c>
      <c r="K1849" s="265" t="s">
        <v>3084</v>
      </c>
      <c r="L1849" s="348" t="s">
        <v>1205</v>
      </c>
      <c r="M1849" s="265">
        <v>0</v>
      </c>
      <c r="N1849" s="347">
        <v>1.07</v>
      </c>
      <c r="O1849" s="348" t="s">
        <v>1205</v>
      </c>
      <c r="P1849" s="348" t="s">
        <v>1205</v>
      </c>
      <c r="Q1849" s="348" t="s">
        <v>1205</v>
      </c>
    </row>
    <row r="1850" spans="1:17" ht="15" hidden="1" customHeight="1">
      <c r="A1850" s="163">
        <v>1845</v>
      </c>
      <c r="B1850" s="53" t="s">
        <v>35</v>
      </c>
      <c r="C1850" s="53">
        <v>100</v>
      </c>
      <c r="D1850" s="53">
        <v>100028513</v>
      </c>
      <c r="E1850" s="55" t="s">
        <v>3087</v>
      </c>
      <c r="F1850" s="129" t="s">
        <v>1205</v>
      </c>
      <c r="G1850" s="129">
        <v>156</v>
      </c>
      <c r="H1850" s="512">
        <v>47.82</v>
      </c>
      <c r="I1850" s="265" t="s">
        <v>76</v>
      </c>
      <c r="J1850" s="265" t="s">
        <v>102</v>
      </c>
      <c r="K1850" s="265" t="s">
        <v>3088</v>
      </c>
      <c r="L1850" s="348" t="s">
        <v>1205</v>
      </c>
      <c r="M1850" s="265">
        <v>0</v>
      </c>
      <c r="N1850" s="347">
        <v>3.39</v>
      </c>
      <c r="O1850" s="348" t="s">
        <v>1205</v>
      </c>
      <c r="P1850" s="348" t="s">
        <v>1205</v>
      </c>
      <c r="Q1850" s="348" t="s">
        <v>1205</v>
      </c>
    </row>
    <row r="1851" spans="1:17" ht="15" hidden="1" customHeight="1">
      <c r="A1851" s="163">
        <v>1846</v>
      </c>
      <c r="B1851" s="53" t="s">
        <v>35</v>
      </c>
      <c r="C1851" s="53">
        <v>101</v>
      </c>
      <c r="D1851" s="53">
        <v>100028514</v>
      </c>
      <c r="E1851" s="55" t="s">
        <v>3089</v>
      </c>
      <c r="F1851" s="129" t="s">
        <v>1205</v>
      </c>
      <c r="G1851" s="129">
        <v>156</v>
      </c>
      <c r="H1851" s="512">
        <v>47.82</v>
      </c>
      <c r="I1851" s="265" t="s">
        <v>76</v>
      </c>
      <c r="J1851" s="265" t="s">
        <v>102</v>
      </c>
      <c r="K1851" s="265" t="s">
        <v>3090</v>
      </c>
      <c r="L1851" s="348" t="s">
        <v>1205</v>
      </c>
      <c r="M1851" s="265">
        <v>0</v>
      </c>
      <c r="N1851" s="347">
        <v>3.39</v>
      </c>
      <c r="O1851" s="348" t="s">
        <v>1205</v>
      </c>
      <c r="P1851" s="348" t="s">
        <v>1205</v>
      </c>
      <c r="Q1851" s="348" t="s">
        <v>1205</v>
      </c>
    </row>
    <row r="1852" spans="1:17" ht="15" hidden="1" customHeight="1">
      <c r="A1852" s="163">
        <v>1847</v>
      </c>
      <c r="B1852" s="53" t="s">
        <v>35</v>
      </c>
      <c r="C1852" s="53">
        <v>102</v>
      </c>
      <c r="D1852" s="53">
        <v>100028515</v>
      </c>
      <c r="E1852" s="55" t="s">
        <v>3091</v>
      </c>
      <c r="F1852" s="129" t="s">
        <v>1205</v>
      </c>
      <c r="G1852" s="129">
        <v>156</v>
      </c>
      <c r="H1852" s="512">
        <v>47.82</v>
      </c>
      <c r="I1852" s="265" t="s">
        <v>76</v>
      </c>
      <c r="J1852" s="265" t="s">
        <v>102</v>
      </c>
      <c r="K1852" s="265" t="s">
        <v>3092</v>
      </c>
      <c r="L1852" s="348" t="s">
        <v>1205</v>
      </c>
      <c r="M1852" s="265">
        <v>0</v>
      </c>
      <c r="N1852" s="347">
        <v>3.39</v>
      </c>
      <c r="O1852" s="348" t="s">
        <v>1205</v>
      </c>
      <c r="P1852" s="348" t="s">
        <v>1205</v>
      </c>
      <c r="Q1852" s="348" t="s">
        <v>1205</v>
      </c>
    </row>
    <row r="1853" spans="1:17" ht="15" hidden="1" customHeight="1">
      <c r="A1853" s="163">
        <v>1848</v>
      </c>
      <c r="B1853" s="53" t="s">
        <v>35</v>
      </c>
      <c r="C1853" s="53">
        <v>104</v>
      </c>
      <c r="D1853" s="53">
        <v>100028517</v>
      </c>
      <c r="E1853" s="55" t="s">
        <v>3093</v>
      </c>
      <c r="F1853" s="129" t="s">
        <v>1205</v>
      </c>
      <c r="G1853" s="129">
        <v>156</v>
      </c>
      <c r="H1853" s="512">
        <v>47.82</v>
      </c>
      <c r="I1853" s="265" t="s">
        <v>76</v>
      </c>
      <c r="J1853" s="265" t="s">
        <v>102</v>
      </c>
      <c r="K1853" s="265" t="s">
        <v>3094</v>
      </c>
      <c r="L1853" s="348" t="s">
        <v>1205</v>
      </c>
      <c r="M1853" s="265">
        <v>0</v>
      </c>
      <c r="N1853" s="347">
        <v>3.39</v>
      </c>
      <c r="O1853" s="348" t="s">
        <v>1205</v>
      </c>
      <c r="P1853" s="348" t="s">
        <v>1205</v>
      </c>
      <c r="Q1853" s="348" t="s">
        <v>1205</v>
      </c>
    </row>
    <row r="1854" spans="1:17" ht="15" hidden="1" customHeight="1">
      <c r="A1854" s="163">
        <v>1849</v>
      </c>
      <c r="B1854" s="53" t="s">
        <v>35</v>
      </c>
      <c r="C1854" s="53" t="s">
        <v>3095</v>
      </c>
      <c r="D1854" s="53">
        <v>100025678</v>
      </c>
      <c r="E1854" s="55" t="s">
        <v>3096</v>
      </c>
      <c r="F1854" s="129" t="s">
        <v>1205</v>
      </c>
      <c r="G1854" s="129">
        <v>156</v>
      </c>
      <c r="H1854" s="512">
        <v>47.82</v>
      </c>
      <c r="I1854" s="265" t="s">
        <v>359</v>
      </c>
      <c r="J1854" s="265" t="s">
        <v>102</v>
      </c>
      <c r="K1854" s="265" t="s">
        <v>3098</v>
      </c>
      <c r="L1854" s="348" t="s">
        <v>1205</v>
      </c>
      <c r="M1854" s="265">
        <v>0</v>
      </c>
      <c r="N1854" s="347">
        <v>3.2850000000000001</v>
      </c>
      <c r="O1854" s="348" t="s">
        <v>1205</v>
      </c>
      <c r="P1854" s="348" t="s">
        <v>1205</v>
      </c>
      <c r="Q1854" s="348" t="s">
        <v>1205</v>
      </c>
    </row>
    <row r="1855" spans="1:17" ht="15" hidden="1" customHeight="1">
      <c r="A1855" s="163">
        <v>1850</v>
      </c>
      <c r="B1855" s="53" t="s">
        <v>35</v>
      </c>
      <c r="C1855" s="53" t="s">
        <v>3099</v>
      </c>
      <c r="D1855" s="53">
        <v>100025685</v>
      </c>
      <c r="E1855" s="55" t="s">
        <v>3100</v>
      </c>
      <c r="F1855" s="129" t="s">
        <v>1205</v>
      </c>
      <c r="G1855" s="129">
        <v>156</v>
      </c>
      <c r="H1855" s="512">
        <v>47.82</v>
      </c>
      <c r="I1855" s="265" t="s">
        <v>76</v>
      </c>
      <c r="J1855" s="265" t="s">
        <v>102</v>
      </c>
      <c r="K1855" s="265" t="s">
        <v>3101</v>
      </c>
      <c r="L1855" s="348" t="s">
        <v>1205</v>
      </c>
      <c r="M1855" s="265">
        <v>0</v>
      </c>
      <c r="N1855" s="347">
        <v>3.19</v>
      </c>
      <c r="O1855" s="348" t="s">
        <v>1205</v>
      </c>
      <c r="P1855" s="348" t="s">
        <v>1205</v>
      </c>
      <c r="Q1855" s="348" t="s">
        <v>1205</v>
      </c>
    </row>
    <row r="1856" spans="1:17" ht="15" hidden="1" customHeight="1">
      <c r="A1856" s="163">
        <v>1851</v>
      </c>
      <c r="B1856" s="53" t="s">
        <v>35</v>
      </c>
      <c r="C1856" s="53">
        <v>103</v>
      </c>
      <c r="D1856" s="53">
        <v>100028516</v>
      </c>
      <c r="E1856" s="55" t="s">
        <v>3102</v>
      </c>
      <c r="F1856" s="129" t="s">
        <v>1205</v>
      </c>
      <c r="G1856" s="129">
        <v>156</v>
      </c>
      <c r="H1856" s="512">
        <v>47.82</v>
      </c>
      <c r="I1856" s="265" t="s">
        <v>359</v>
      </c>
      <c r="J1856" s="265" t="s">
        <v>102</v>
      </c>
      <c r="K1856" s="265" t="s">
        <v>3103</v>
      </c>
      <c r="L1856" s="348" t="s">
        <v>1205</v>
      </c>
      <c r="M1856" s="265">
        <v>0</v>
      </c>
      <c r="N1856" s="347">
        <v>3.39</v>
      </c>
      <c r="O1856" s="348" t="s">
        <v>1205</v>
      </c>
      <c r="P1856" s="348" t="s">
        <v>1205</v>
      </c>
      <c r="Q1856" s="348" t="s">
        <v>1205</v>
      </c>
    </row>
    <row r="1857" spans="1:17" ht="15" hidden="1" customHeight="1">
      <c r="A1857" s="163">
        <v>1852</v>
      </c>
      <c r="B1857" s="53" t="s">
        <v>35</v>
      </c>
      <c r="C1857" s="53" t="s">
        <v>3104</v>
      </c>
      <c r="D1857" s="53">
        <v>100025679</v>
      </c>
      <c r="E1857" s="55" t="s">
        <v>3105</v>
      </c>
      <c r="F1857" s="129" t="s">
        <v>1205</v>
      </c>
      <c r="G1857" s="129">
        <v>156</v>
      </c>
      <c r="H1857" s="512">
        <v>47.82</v>
      </c>
      <c r="I1857" s="265" t="s">
        <v>76</v>
      </c>
      <c r="J1857" s="265" t="s">
        <v>102</v>
      </c>
      <c r="K1857" s="265" t="s">
        <v>3106</v>
      </c>
      <c r="L1857" s="348" t="s">
        <v>1205</v>
      </c>
      <c r="M1857" s="265">
        <v>0</v>
      </c>
      <c r="N1857" s="347">
        <v>3.39</v>
      </c>
      <c r="O1857" s="348" t="s">
        <v>1205</v>
      </c>
      <c r="P1857" s="348" t="s">
        <v>1205</v>
      </c>
      <c r="Q1857" s="348" t="s">
        <v>1205</v>
      </c>
    </row>
    <row r="1858" spans="1:17" ht="15" hidden="1" customHeight="1">
      <c r="A1858" s="163">
        <v>1853</v>
      </c>
      <c r="B1858" s="53" t="s">
        <v>35</v>
      </c>
      <c r="C1858" s="53" t="s">
        <v>3107</v>
      </c>
      <c r="D1858" s="53">
        <v>100025688</v>
      </c>
      <c r="E1858" s="55" t="s">
        <v>3108</v>
      </c>
      <c r="F1858" s="129" t="s">
        <v>1205</v>
      </c>
      <c r="G1858" s="129">
        <v>156</v>
      </c>
      <c r="H1858" s="512">
        <v>47.82</v>
      </c>
      <c r="I1858" s="265" t="s">
        <v>76</v>
      </c>
      <c r="J1858" s="265" t="s">
        <v>102</v>
      </c>
      <c r="K1858" s="265" t="s">
        <v>3109</v>
      </c>
      <c r="L1858" s="348" t="s">
        <v>1205</v>
      </c>
      <c r="M1858" s="265">
        <v>0</v>
      </c>
      <c r="N1858" s="347">
        <v>3.39</v>
      </c>
      <c r="O1858" s="348" t="s">
        <v>1205</v>
      </c>
      <c r="P1858" s="348" t="s">
        <v>1205</v>
      </c>
      <c r="Q1858" s="348" t="s">
        <v>1205</v>
      </c>
    </row>
    <row r="1859" spans="1:17" ht="15" hidden="1" customHeight="1">
      <c r="A1859" s="163">
        <v>1854</v>
      </c>
      <c r="B1859" s="53" t="s">
        <v>35</v>
      </c>
      <c r="C1859" s="53" t="s">
        <v>3110</v>
      </c>
      <c r="D1859" s="53">
        <v>100025681</v>
      </c>
      <c r="E1859" s="55" t="s">
        <v>3111</v>
      </c>
      <c r="F1859" s="129" t="s">
        <v>1205</v>
      </c>
      <c r="G1859" s="129">
        <v>156</v>
      </c>
      <c r="H1859" s="512">
        <v>47.82</v>
      </c>
      <c r="I1859" s="265" t="s">
        <v>76</v>
      </c>
      <c r="J1859" s="265" t="s">
        <v>102</v>
      </c>
      <c r="K1859" s="265" t="s">
        <v>3112</v>
      </c>
      <c r="L1859" s="348" t="s">
        <v>1205</v>
      </c>
      <c r="M1859" s="265">
        <v>0</v>
      </c>
      <c r="N1859" s="347">
        <v>3.39</v>
      </c>
      <c r="O1859" s="348" t="s">
        <v>1205</v>
      </c>
      <c r="P1859" s="348" t="s">
        <v>1205</v>
      </c>
      <c r="Q1859" s="348" t="s">
        <v>1205</v>
      </c>
    </row>
    <row r="1860" spans="1:17" ht="15" hidden="1" customHeight="1">
      <c r="A1860" s="163">
        <v>1855</v>
      </c>
      <c r="B1860" s="53" t="s">
        <v>35</v>
      </c>
      <c r="C1860" s="53" t="s">
        <v>3113</v>
      </c>
      <c r="D1860" s="53">
        <v>100025102</v>
      </c>
      <c r="E1860" s="55" t="s">
        <v>3114</v>
      </c>
      <c r="F1860" s="129" t="s">
        <v>1205</v>
      </c>
      <c r="G1860" s="129">
        <v>156</v>
      </c>
      <c r="H1860" s="512">
        <v>47.82</v>
      </c>
      <c r="I1860" s="265" t="s">
        <v>359</v>
      </c>
      <c r="J1860" s="265" t="s">
        <v>102</v>
      </c>
      <c r="K1860" s="265" t="s">
        <v>3115</v>
      </c>
      <c r="L1860" s="348" t="s">
        <v>1205</v>
      </c>
      <c r="M1860" s="265">
        <v>0</v>
      </c>
      <c r="N1860" s="347">
        <v>3.39</v>
      </c>
      <c r="O1860" s="348" t="s">
        <v>1205</v>
      </c>
      <c r="P1860" s="348" t="s">
        <v>1205</v>
      </c>
      <c r="Q1860" s="348" t="s">
        <v>1205</v>
      </c>
    </row>
    <row r="1861" spans="1:17" ht="15" hidden="1" customHeight="1">
      <c r="A1861" s="163">
        <v>1856</v>
      </c>
      <c r="B1861" s="53" t="s">
        <v>35</v>
      </c>
      <c r="C1861" s="53" t="s">
        <v>3116</v>
      </c>
      <c r="D1861" s="53">
        <v>100025114</v>
      </c>
      <c r="E1861" s="55" t="s">
        <v>3117</v>
      </c>
      <c r="F1861" s="129" t="s">
        <v>1205</v>
      </c>
      <c r="G1861" s="129">
        <v>156</v>
      </c>
      <c r="H1861" s="512">
        <v>47.82</v>
      </c>
      <c r="I1861" s="265" t="s">
        <v>359</v>
      </c>
      <c r="J1861" s="265" t="s">
        <v>102</v>
      </c>
      <c r="K1861" s="265" t="s">
        <v>3118</v>
      </c>
      <c r="L1861" s="348" t="s">
        <v>1205</v>
      </c>
      <c r="M1861" s="265">
        <v>0</v>
      </c>
      <c r="N1861" s="347">
        <v>3.39</v>
      </c>
      <c r="O1861" s="348" t="s">
        <v>1205</v>
      </c>
      <c r="P1861" s="348" t="s">
        <v>1205</v>
      </c>
      <c r="Q1861" s="348" t="s">
        <v>1205</v>
      </c>
    </row>
    <row r="1862" spans="1:17" ht="15" hidden="1" customHeight="1">
      <c r="A1862" s="163">
        <v>1857</v>
      </c>
      <c r="B1862" s="53" t="s">
        <v>35</v>
      </c>
      <c r="C1862" s="53" t="s">
        <v>3119</v>
      </c>
      <c r="D1862" s="53">
        <v>100025099</v>
      </c>
      <c r="E1862" s="55" t="s">
        <v>3120</v>
      </c>
      <c r="F1862" s="129" t="s">
        <v>1205</v>
      </c>
      <c r="G1862" s="129">
        <v>156</v>
      </c>
      <c r="H1862" s="512">
        <v>47.82</v>
      </c>
      <c r="I1862" s="265" t="s">
        <v>359</v>
      </c>
      <c r="J1862" s="265" t="s">
        <v>102</v>
      </c>
      <c r="K1862" s="265" t="s">
        <v>3122</v>
      </c>
      <c r="L1862" s="348" t="s">
        <v>1205</v>
      </c>
      <c r="M1862" s="265">
        <v>0</v>
      </c>
      <c r="N1862" s="347">
        <v>3.19</v>
      </c>
      <c r="O1862" s="348" t="s">
        <v>1205</v>
      </c>
      <c r="P1862" s="348" t="s">
        <v>1205</v>
      </c>
      <c r="Q1862" s="348" t="s">
        <v>1205</v>
      </c>
    </row>
    <row r="1863" spans="1:17" ht="15" hidden="1" customHeight="1">
      <c r="A1863" s="163">
        <v>1858</v>
      </c>
      <c r="B1863" s="53" t="s">
        <v>35</v>
      </c>
      <c r="C1863" s="53" t="s">
        <v>3123</v>
      </c>
      <c r="D1863" s="53">
        <v>100025112</v>
      </c>
      <c r="E1863" s="55" t="s">
        <v>3124</v>
      </c>
      <c r="F1863" s="129" t="s">
        <v>1205</v>
      </c>
      <c r="G1863" s="129">
        <v>156</v>
      </c>
      <c r="H1863" s="512">
        <v>47.82</v>
      </c>
      <c r="I1863" s="265" t="s">
        <v>359</v>
      </c>
      <c r="J1863" s="265" t="s">
        <v>102</v>
      </c>
      <c r="K1863" s="265" t="s">
        <v>3126</v>
      </c>
      <c r="L1863" s="348" t="s">
        <v>1205</v>
      </c>
      <c r="M1863" s="265">
        <v>0</v>
      </c>
      <c r="N1863" s="347">
        <v>3.39</v>
      </c>
      <c r="O1863" s="348" t="s">
        <v>1205</v>
      </c>
      <c r="P1863" s="348" t="s">
        <v>1205</v>
      </c>
      <c r="Q1863" s="348" t="s">
        <v>1205</v>
      </c>
    </row>
    <row r="1864" spans="1:17" ht="15" hidden="1" customHeight="1">
      <c r="A1864" s="163">
        <v>1859</v>
      </c>
      <c r="B1864" s="53" t="s">
        <v>35</v>
      </c>
      <c r="C1864" s="53" t="s">
        <v>3127</v>
      </c>
      <c r="D1864" s="53">
        <v>100025086</v>
      </c>
      <c r="E1864" s="55" t="s">
        <v>3128</v>
      </c>
      <c r="F1864" s="129" t="s">
        <v>1205</v>
      </c>
      <c r="G1864" s="129">
        <v>156</v>
      </c>
      <c r="H1864" s="512">
        <v>47.82</v>
      </c>
      <c r="I1864" s="265" t="s">
        <v>76</v>
      </c>
      <c r="J1864" s="265" t="s">
        <v>102</v>
      </c>
      <c r="K1864" s="265" t="s">
        <v>3129</v>
      </c>
      <c r="L1864" s="348" t="s">
        <v>1205</v>
      </c>
      <c r="M1864" s="265">
        <v>0</v>
      </c>
      <c r="N1864" s="347">
        <v>3.39</v>
      </c>
      <c r="O1864" s="348" t="s">
        <v>1205</v>
      </c>
      <c r="P1864" s="348" t="s">
        <v>1205</v>
      </c>
      <c r="Q1864" s="348" t="s">
        <v>1205</v>
      </c>
    </row>
    <row r="1865" spans="1:17" ht="15" hidden="1" customHeight="1">
      <c r="A1865" s="163">
        <v>1860</v>
      </c>
      <c r="B1865" s="53" t="s">
        <v>35</v>
      </c>
      <c r="C1865" s="53" t="s">
        <v>3130</v>
      </c>
      <c r="D1865" s="53">
        <v>100025683</v>
      </c>
      <c r="E1865" s="55" t="s">
        <v>3131</v>
      </c>
      <c r="F1865" s="129" t="s">
        <v>1205</v>
      </c>
      <c r="G1865" s="129">
        <v>156</v>
      </c>
      <c r="H1865" s="512">
        <v>47.82</v>
      </c>
      <c r="I1865" s="265" t="s">
        <v>359</v>
      </c>
      <c r="J1865" s="265" t="s">
        <v>102</v>
      </c>
      <c r="K1865" s="265" t="s">
        <v>3132</v>
      </c>
      <c r="L1865" s="348" t="s">
        <v>1205</v>
      </c>
      <c r="M1865" s="265">
        <v>0</v>
      </c>
      <c r="N1865" s="347">
        <v>3.39</v>
      </c>
      <c r="O1865" s="348" t="s">
        <v>1205</v>
      </c>
      <c r="P1865" s="348" t="s">
        <v>1205</v>
      </c>
      <c r="Q1865" s="348" t="s">
        <v>1205</v>
      </c>
    </row>
    <row r="1866" spans="1:17" ht="15" hidden="1" customHeight="1">
      <c r="A1866" s="163">
        <v>1861</v>
      </c>
      <c r="B1866" s="53" t="s">
        <v>35</v>
      </c>
      <c r="C1866" s="53" t="s">
        <v>3133</v>
      </c>
      <c r="D1866" s="53">
        <v>100025693</v>
      </c>
      <c r="E1866" s="55" t="s">
        <v>3134</v>
      </c>
      <c r="F1866" s="129" t="s">
        <v>1205</v>
      </c>
      <c r="G1866" s="129">
        <v>156</v>
      </c>
      <c r="H1866" s="512">
        <v>47.82</v>
      </c>
      <c r="I1866" s="265" t="s">
        <v>359</v>
      </c>
      <c r="J1866" s="265" t="s">
        <v>102</v>
      </c>
      <c r="K1866" s="265" t="s">
        <v>3135</v>
      </c>
      <c r="L1866" s="348" t="s">
        <v>1205</v>
      </c>
      <c r="M1866" s="265">
        <v>0</v>
      </c>
      <c r="N1866" s="347">
        <v>3.39</v>
      </c>
      <c r="O1866" s="348" t="s">
        <v>1205</v>
      </c>
      <c r="P1866" s="348" t="s">
        <v>1205</v>
      </c>
      <c r="Q1866" s="348" t="s">
        <v>1205</v>
      </c>
    </row>
    <row r="1867" spans="1:17" ht="15" hidden="1" customHeight="1">
      <c r="A1867" s="163">
        <v>1862</v>
      </c>
      <c r="B1867" s="53" t="s">
        <v>35</v>
      </c>
      <c r="C1867" s="53" t="s">
        <v>3136</v>
      </c>
      <c r="D1867" s="53">
        <v>100025088</v>
      </c>
      <c r="E1867" s="55" t="s">
        <v>3137</v>
      </c>
      <c r="F1867" s="129" t="s">
        <v>1205</v>
      </c>
      <c r="G1867" s="129">
        <v>156</v>
      </c>
      <c r="H1867" s="512">
        <v>47.82</v>
      </c>
      <c r="I1867" s="265" t="s">
        <v>359</v>
      </c>
      <c r="J1867" s="265" t="s">
        <v>102</v>
      </c>
      <c r="K1867" s="265" t="s">
        <v>3138</v>
      </c>
      <c r="L1867" s="348" t="s">
        <v>1205</v>
      </c>
      <c r="M1867" s="265">
        <v>0</v>
      </c>
      <c r="N1867" s="347">
        <v>3.39</v>
      </c>
      <c r="O1867" s="348" t="s">
        <v>1205</v>
      </c>
      <c r="P1867" s="348" t="s">
        <v>1205</v>
      </c>
      <c r="Q1867" s="348" t="s">
        <v>1205</v>
      </c>
    </row>
    <row r="1868" spans="1:17" ht="15" hidden="1" customHeight="1">
      <c r="A1868" s="163">
        <v>1863</v>
      </c>
      <c r="B1868" s="53" t="s">
        <v>35</v>
      </c>
      <c r="C1868" s="53" t="s">
        <v>3139</v>
      </c>
      <c r="D1868" s="53">
        <v>100025097</v>
      </c>
      <c r="E1868" s="55" t="s">
        <v>3140</v>
      </c>
      <c r="F1868" s="129" t="s">
        <v>1205</v>
      </c>
      <c r="G1868" s="129">
        <v>156</v>
      </c>
      <c r="H1868" s="512">
        <v>47.82</v>
      </c>
      <c r="I1868" s="265" t="s">
        <v>359</v>
      </c>
      <c r="J1868" s="265" t="s">
        <v>102</v>
      </c>
      <c r="K1868" s="265" t="s">
        <v>3141</v>
      </c>
      <c r="L1868" s="348" t="s">
        <v>1205</v>
      </c>
      <c r="M1868" s="265">
        <v>0</v>
      </c>
      <c r="N1868" s="347">
        <v>3.39</v>
      </c>
      <c r="O1868" s="348" t="s">
        <v>1205</v>
      </c>
      <c r="P1868" s="348" t="s">
        <v>1205</v>
      </c>
      <c r="Q1868" s="348" t="s">
        <v>1205</v>
      </c>
    </row>
    <row r="1869" spans="1:17" ht="15" hidden="1" customHeight="1">
      <c r="A1869" s="163">
        <v>1864</v>
      </c>
      <c r="B1869" s="53" t="s">
        <v>35</v>
      </c>
      <c r="C1869" s="53" t="s">
        <v>3142</v>
      </c>
      <c r="D1869" s="53">
        <v>100025101</v>
      </c>
      <c r="E1869" s="55" t="s">
        <v>3143</v>
      </c>
      <c r="F1869" s="129" t="s">
        <v>1205</v>
      </c>
      <c r="G1869" s="129">
        <v>156</v>
      </c>
      <c r="H1869" s="512">
        <v>47.82</v>
      </c>
      <c r="I1869" s="265" t="s">
        <v>359</v>
      </c>
      <c r="J1869" s="265" t="s">
        <v>102</v>
      </c>
      <c r="K1869" s="265" t="s">
        <v>3145</v>
      </c>
      <c r="L1869" s="348" t="s">
        <v>1205</v>
      </c>
      <c r="M1869" s="265">
        <v>0</v>
      </c>
      <c r="N1869" s="347">
        <v>3.39</v>
      </c>
      <c r="O1869" s="348" t="s">
        <v>1205</v>
      </c>
      <c r="P1869" s="348" t="s">
        <v>1205</v>
      </c>
      <c r="Q1869" s="348" t="s">
        <v>1205</v>
      </c>
    </row>
    <row r="1870" spans="1:17" ht="15" hidden="1" customHeight="1">
      <c r="A1870" s="163">
        <v>1865</v>
      </c>
      <c r="B1870" s="53" t="s">
        <v>35</v>
      </c>
      <c r="C1870" s="53" t="s">
        <v>3148</v>
      </c>
      <c r="D1870" s="53">
        <v>100025700</v>
      </c>
      <c r="E1870" s="55" t="s">
        <v>3149</v>
      </c>
      <c r="F1870" s="129" t="s">
        <v>1205</v>
      </c>
      <c r="G1870" s="129">
        <v>1</v>
      </c>
      <c r="H1870" s="512">
        <v>173.8</v>
      </c>
      <c r="I1870" s="265" t="s">
        <v>359</v>
      </c>
      <c r="J1870" s="265" t="s">
        <v>102</v>
      </c>
      <c r="K1870" s="265">
        <v>0</v>
      </c>
      <c r="L1870" s="348" t="s">
        <v>1205</v>
      </c>
      <c r="M1870" s="265">
        <v>0</v>
      </c>
      <c r="N1870" s="347">
        <v>6.2949999999999999</v>
      </c>
      <c r="O1870" s="348" t="s">
        <v>1205</v>
      </c>
      <c r="P1870" s="348" t="s">
        <v>1205</v>
      </c>
      <c r="Q1870" s="348" t="s">
        <v>1205</v>
      </c>
    </row>
    <row r="1871" spans="1:17" ht="15" hidden="1" customHeight="1">
      <c r="A1871" s="163">
        <v>1866</v>
      </c>
      <c r="B1871" s="53" t="s">
        <v>35</v>
      </c>
      <c r="C1871" s="53" t="s">
        <v>3150</v>
      </c>
      <c r="D1871" s="53">
        <v>100025701</v>
      </c>
      <c r="E1871" s="55" t="s">
        <v>3151</v>
      </c>
      <c r="F1871" s="129" t="s">
        <v>1205</v>
      </c>
      <c r="G1871" s="129">
        <v>1</v>
      </c>
      <c r="H1871" s="512">
        <v>173.8</v>
      </c>
      <c r="I1871" s="265" t="s">
        <v>76</v>
      </c>
      <c r="J1871" s="265" t="s">
        <v>102</v>
      </c>
      <c r="K1871" s="265">
        <v>0</v>
      </c>
      <c r="L1871" s="348" t="s">
        <v>1205</v>
      </c>
      <c r="M1871" s="265">
        <v>0</v>
      </c>
      <c r="N1871" s="347">
        <v>6.2949999999999999</v>
      </c>
      <c r="O1871" s="348" t="s">
        <v>1205</v>
      </c>
      <c r="P1871" s="348" t="s">
        <v>1205</v>
      </c>
      <c r="Q1871" s="348" t="s">
        <v>1205</v>
      </c>
    </row>
    <row r="1872" spans="1:17" ht="15" hidden="1" customHeight="1">
      <c r="A1872" s="163">
        <v>1867</v>
      </c>
      <c r="B1872" s="53" t="s">
        <v>35</v>
      </c>
      <c r="C1872" s="53" t="s">
        <v>3152</v>
      </c>
      <c r="D1872" s="53">
        <v>100025125</v>
      </c>
      <c r="E1872" s="55" t="s">
        <v>3153</v>
      </c>
      <c r="F1872" s="129" t="s">
        <v>1205</v>
      </c>
      <c r="G1872" s="129">
        <v>1</v>
      </c>
      <c r="H1872" s="512">
        <v>173.8</v>
      </c>
      <c r="I1872" s="265" t="s">
        <v>76</v>
      </c>
      <c r="J1872" s="265" t="s">
        <v>102</v>
      </c>
      <c r="K1872" s="265">
        <v>0</v>
      </c>
      <c r="L1872" s="348" t="s">
        <v>1205</v>
      </c>
      <c r="M1872" s="265">
        <v>0</v>
      </c>
      <c r="N1872" s="347">
        <v>6.2949999999999999</v>
      </c>
      <c r="O1872" s="348" t="s">
        <v>1205</v>
      </c>
      <c r="P1872" s="348" t="s">
        <v>1205</v>
      </c>
      <c r="Q1872" s="348" t="s">
        <v>1205</v>
      </c>
    </row>
    <row r="1873" spans="1:17" ht="15" hidden="1" customHeight="1">
      <c r="A1873" s="163">
        <v>1868</v>
      </c>
      <c r="B1873" s="53" t="s">
        <v>35</v>
      </c>
      <c r="C1873" s="53" t="s">
        <v>3154</v>
      </c>
      <c r="D1873" s="53">
        <v>100025124</v>
      </c>
      <c r="E1873" s="55" t="s">
        <v>3155</v>
      </c>
      <c r="F1873" s="129" t="s">
        <v>1205</v>
      </c>
      <c r="G1873" s="129">
        <v>1</v>
      </c>
      <c r="H1873" s="512">
        <v>173.8</v>
      </c>
      <c r="I1873" s="265" t="s">
        <v>359</v>
      </c>
      <c r="J1873" s="265" t="s">
        <v>102</v>
      </c>
      <c r="K1873" s="265">
        <v>0</v>
      </c>
      <c r="L1873" s="348" t="s">
        <v>1205</v>
      </c>
      <c r="M1873" s="265">
        <v>0</v>
      </c>
      <c r="N1873" s="347">
        <v>6.2949999999999999</v>
      </c>
      <c r="O1873" s="348" t="s">
        <v>1205</v>
      </c>
      <c r="P1873" s="348" t="s">
        <v>1205</v>
      </c>
      <c r="Q1873" s="348" t="s">
        <v>1205</v>
      </c>
    </row>
    <row r="1874" spans="1:17" ht="15" hidden="1" customHeight="1">
      <c r="A1874" s="163">
        <v>1869</v>
      </c>
      <c r="B1874" s="53" t="s">
        <v>35</v>
      </c>
      <c r="C1874" s="53" t="s">
        <v>3156</v>
      </c>
      <c r="D1874" s="53">
        <v>100025120</v>
      </c>
      <c r="E1874" s="55" t="s">
        <v>3157</v>
      </c>
      <c r="F1874" s="129" t="s">
        <v>1205</v>
      </c>
      <c r="G1874" s="129">
        <v>1</v>
      </c>
      <c r="H1874" s="512">
        <v>173.8</v>
      </c>
      <c r="I1874" s="265" t="s">
        <v>359</v>
      </c>
      <c r="J1874" s="265" t="s">
        <v>102</v>
      </c>
      <c r="K1874" s="265">
        <v>0</v>
      </c>
      <c r="L1874" s="348" t="s">
        <v>1205</v>
      </c>
      <c r="M1874" s="265">
        <v>0</v>
      </c>
      <c r="N1874" s="347">
        <v>6.2949999999999999</v>
      </c>
      <c r="O1874" s="348" t="s">
        <v>1205</v>
      </c>
      <c r="P1874" s="348" t="s">
        <v>1205</v>
      </c>
      <c r="Q1874" s="348" t="s">
        <v>1205</v>
      </c>
    </row>
    <row r="1875" spans="1:17" ht="15" hidden="1" customHeight="1">
      <c r="A1875" s="163">
        <v>1870</v>
      </c>
      <c r="B1875" s="53" t="s">
        <v>35</v>
      </c>
      <c r="C1875" s="53" t="s">
        <v>3159</v>
      </c>
      <c r="D1875" s="53">
        <v>100025705</v>
      </c>
      <c r="E1875" s="55" t="s">
        <v>3160</v>
      </c>
      <c r="F1875" s="129" t="s">
        <v>1205</v>
      </c>
      <c r="G1875" s="129">
        <v>1</v>
      </c>
      <c r="H1875" s="512">
        <v>173.8</v>
      </c>
      <c r="I1875" s="265" t="s">
        <v>76</v>
      </c>
      <c r="J1875" s="265" t="s">
        <v>102</v>
      </c>
      <c r="K1875" s="265">
        <v>0</v>
      </c>
      <c r="L1875" s="348" t="s">
        <v>1205</v>
      </c>
      <c r="M1875" s="265">
        <v>0</v>
      </c>
      <c r="N1875" s="347">
        <v>6.2949999999999999</v>
      </c>
      <c r="O1875" s="348" t="s">
        <v>1205</v>
      </c>
      <c r="P1875" s="348" t="s">
        <v>1205</v>
      </c>
      <c r="Q1875" s="348" t="s">
        <v>1205</v>
      </c>
    </row>
    <row r="1876" spans="1:17" ht="15" hidden="1" customHeight="1">
      <c r="A1876" s="163">
        <v>1871</v>
      </c>
      <c r="B1876" s="53" t="s">
        <v>35</v>
      </c>
      <c r="C1876" s="53">
        <v>10150</v>
      </c>
      <c r="D1876" s="53">
        <v>100031059</v>
      </c>
      <c r="E1876" s="55" t="s">
        <v>3164</v>
      </c>
      <c r="F1876" s="129" t="s">
        <v>1205</v>
      </c>
      <c r="G1876" s="129">
        <v>126</v>
      </c>
      <c r="H1876" s="512">
        <v>71.209999999999994</v>
      </c>
      <c r="I1876" s="265" t="s">
        <v>76</v>
      </c>
      <c r="J1876" s="265" t="s">
        <v>102</v>
      </c>
      <c r="K1876" s="265">
        <v>0</v>
      </c>
      <c r="L1876" s="348" t="s">
        <v>1205</v>
      </c>
      <c r="M1876" s="265">
        <v>0</v>
      </c>
      <c r="N1876" s="347">
        <v>4.1399999999999997</v>
      </c>
      <c r="O1876" s="348" t="s">
        <v>1205</v>
      </c>
      <c r="P1876" s="348" t="s">
        <v>1205</v>
      </c>
      <c r="Q1876" s="348" t="s">
        <v>1205</v>
      </c>
    </row>
    <row r="1877" spans="1:17" ht="15" hidden="1" customHeight="1">
      <c r="A1877" s="163">
        <v>1872</v>
      </c>
      <c r="B1877" s="53" t="s">
        <v>35</v>
      </c>
      <c r="C1877" s="53">
        <v>10151</v>
      </c>
      <c r="D1877" s="53">
        <v>100031060</v>
      </c>
      <c r="E1877" s="55" t="s">
        <v>3165</v>
      </c>
      <c r="F1877" s="129" t="s">
        <v>1205</v>
      </c>
      <c r="G1877" s="129">
        <v>126</v>
      </c>
      <c r="H1877" s="512">
        <v>71.209999999999994</v>
      </c>
      <c r="I1877" s="265" t="s">
        <v>359</v>
      </c>
      <c r="J1877" s="265" t="s">
        <v>102</v>
      </c>
      <c r="K1877" s="265">
        <v>0</v>
      </c>
      <c r="L1877" s="348" t="s">
        <v>1205</v>
      </c>
      <c r="M1877" s="265">
        <v>0</v>
      </c>
      <c r="N1877" s="347">
        <v>4.1399999999999997</v>
      </c>
      <c r="O1877" s="348" t="s">
        <v>1205</v>
      </c>
      <c r="P1877" s="348" t="s">
        <v>1205</v>
      </c>
      <c r="Q1877" s="348" t="s">
        <v>1205</v>
      </c>
    </row>
    <row r="1878" spans="1:17" ht="15" hidden="1" customHeight="1">
      <c r="A1878" s="163">
        <v>1873</v>
      </c>
      <c r="B1878" s="53" t="s">
        <v>35</v>
      </c>
      <c r="C1878" s="53">
        <v>10153</v>
      </c>
      <c r="D1878" s="53">
        <v>100031062</v>
      </c>
      <c r="E1878" s="55" t="s">
        <v>3166</v>
      </c>
      <c r="F1878" s="129" t="s">
        <v>1205</v>
      </c>
      <c r="G1878" s="129">
        <v>126</v>
      </c>
      <c r="H1878" s="512">
        <v>71.209999999999994</v>
      </c>
      <c r="I1878" s="265" t="s">
        <v>359</v>
      </c>
      <c r="J1878" s="265" t="s">
        <v>102</v>
      </c>
      <c r="K1878" s="265">
        <v>0</v>
      </c>
      <c r="L1878" s="348" t="s">
        <v>1205</v>
      </c>
      <c r="M1878" s="265">
        <v>0</v>
      </c>
      <c r="N1878" s="347">
        <v>4.1399999999999997</v>
      </c>
      <c r="O1878" s="348" t="s">
        <v>1205</v>
      </c>
      <c r="P1878" s="348" t="s">
        <v>1205</v>
      </c>
      <c r="Q1878" s="348" t="s">
        <v>1205</v>
      </c>
    </row>
    <row r="1879" spans="1:17" ht="15" hidden="1" customHeight="1">
      <c r="A1879" s="163">
        <v>1874</v>
      </c>
      <c r="B1879" s="53" t="s">
        <v>35</v>
      </c>
      <c r="C1879" s="53" t="s">
        <v>3169</v>
      </c>
      <c r="D1879" s="53">
        <v>100025707</v>
      </c>
      <c r="E1879" s="55" t="s">
        <v>3170</v>
      </c>
      <c r="F1879" s="129" t="s">
        <v>1205</v>
      </c>
      <c r="G1879" s="129">
        <v>98</v>
      </c>
      <c r="H1879" s="512">
        <v>82.86</v>
      </c>
      <c r="I1879" s="265" t="s">
        <v>76</v>
      </c>
      <c r="J1879" s="265" t="s">
        <v>102</v>
      </c>
      <c r="K1879" s="265" t="s">
        <v>3171</v>
      </c>
      <c r="L1879" s="348" t="s">
        <v>1205</v>
      </c>
      <c r="M1879" s="265" t="s">
        <v>3172</v>
      </c>
      <c r="N1879" s="347">
        <v>6.56</v>
      </c>
      <c r="O1879" s="348" t="s">
        <v>1205</v>
      </c>
      <c r="P1879" s="348" t="s">
        <v>1205</v>
      </c>
      <c r="Q1879" s="348" t="s">
        <v>1205</v>
      </c>
    </row>
    <row r="1880" spans="1:17" ht="15" hidden="1" customHeight="1">
      <c r="A1880" s="163">
        <v>1875</v>
      </c>
      <c r="B1880" s="53" t="s">
        <v>35</v>
      </c>
      <c r="C1880" s="53" t="s">
        <v>3173</v>
      </c>
      <c r="D1880" s="53">
        <v>100025722</v>
      </c>
      <c r="E1880" s="55" t="s">
        <v>3174</v>
      </c>
      <c r="F1880" s="129" t="s">
        <v>1205</v>
      </c>
      <c r="G1880" s="129">
        <v>98</v>
      </c>
      <c r="H1880" s="512">
        <v>82.86</v>
      </c>
      <c r="I1880" s="265" t="s">
        <v>76</v>
      </c>
      <c r="J1880" s="265" t="s">
        <v>102</v>
      </c>
      <c r="K1880" s="265" t="s">
        <v>3175</v>
      </c>
      <c r="L1880" s="348" t="s">
        <v>1205</v>
      </c>
      <c r="M1880" s="265" t="s">
        <v>3176</v>
      </c>
      <c r="N1880" s="347">
        <v>6.56</v>
      </c>
      <c r="O1880" s="348" t="s">
        <v>1205</v>
      </c>
      <c r="P1880" s="348" t="s">
        <v>1205</v>
      </c>
      <c r="Q1880" s="348" t="s">
        <v>1205</v>
      </c>
    </row>
    <row r="1881" spans="1:17" ht="15" hidden="1" customHeight="1">
      <c r="A1881" s="163">
        <v>1876</v>
      </c>
      <c r="B1881" s="53" t="s">
        <v>35</v>
      </c>
      <c r="C1881" s="53" t="s">
        <v>3177</v>
      </c>
      <c r="D1881" s="53">
        <v>100025742</v>
      </c>
      <c r="E1881" s="55" t="s">
        <v>3178</v>
      </c>
      <c r="F1881" s="129" t="s">
        <v>1205</v>
      </c>
      <c r="G1881" s="129">
        <v>98</v>
      </c>
      <c r="H1881" s="512">
        <v>82.86</v>
      </c>
      <c r="I1881" s="265" t="s">
        <v>76</v>
      </c>
      <c r="J1881" s="265" t="s">
        <v>102</v>
      </c>
      <c r="K1881" s="265" t="s">
        <v>3179</v>
      </c>
      <c r="L1881" s="348" t="s">
        <v>1205</v>
      </c>
      <c r="M1881" s="265" t="s">
        <v>3180</v>
      </c>
      <c r="N1881" s="347">
        <v>6.56</v>
      </c>
      <c r="O1881" s="348" t="s">
        <v>1205</v>
      </c>
      <c r="P1881" s="348" t="s">
        <v>1205</v>
      </c>
      <c r="Q1881" s="348" t="s">
        <v>1205</v>
      </c>
    </row>
    <row r="1882" spans="1:17" ht="15" hidden="1" customHeight="1">
      <c r="A1882" s="163">
        <v>1877</v>
      </c>
      <c r="B1882" s="53" t="s">
        <v>35</v>
      </c>
      <c r="C1882" s="53" t="s">
        <v>3181</v>
      </c>
      <c r="D1882" s="53">
        <v>100025750</v>
      </c>
      <c r="E1882" s="55" t="s">
        <v>3182</v>
      </c>
      <c r="F1882" s="129" t="s">
        <v>1205</v>
      </c>
      <c r="G1882" s="129">
        <v>98</v>
      </c>
      <c r="H1882" s="512">
        <v>82.86</v>
      </c>
      <c r="I1882" s="265" t="s">
        <v>359</v>
      </c>
      <c r="J1882" s="265" t="s">
        <v>102</v>
      </c>
      <c r="K1882" s="265" t="s">
        <v>3183</v>
      </c>
      <c r="L1882" s="348" t="s">
        <v>1205</v>
      </c>
      <c r="M1882" s="265" t="s">
        <v>3184</v>
      </c>
      <c r="N1882" s="347">
        <v>6.56</v>
      </c>
      <c r="O1882" s="348" t="s">
        <v>1205</v>
      </c>
      <c r="P1882" s="348" t="s">
        <v>1205</v>
      </c>
      <c r="Q1882" s="348" t="s">
        <v>1205</v>
      </c>
    </row>
    <row r="1883" spans="1:17" ht="15" hidden="1" customHeight="1">
      <c r="A1883" s="163">
        <v>1878</v>
      </c>
      <c r="B1883" s="53" t="s">
        <v>35</v>
      </c>
      <c r="C1883" s="53" t="s">
        <v>3185</v>
      </c>
      <c r="D1883" s="53">
        <v>100025754</v>
      </c>
      <c r="E1883" s="55" t="s">
        <v>3186</v>
      </c>
      <c r="F1883" s="129" t="s">
        <v>1205</v>
      </c>
      <c r="G1883" s="129">
        <v>98</v>
      </c>
      <c r="H1883" s="512">
        <v>82.86</v>
      </c>
      <c r="I1883" s="265" t="s">
        <v>76</v>
      </c>
      <c r="J1883" s="265" t="s">
        <v>102</v>
      </c>
      <c r="K1883" s="265" t="s">
        <v>3187</v>
      </c>
      <c r="L1883" s="348" t="s">
        <v>1205</v>
      </c>
      <c r="M1883" s="265" t="s">
        <v>3188</v>
      </c>
      <c r="N1883" s="347">
        <v>6.56</v>
      </c>
      <c r="O1883" s="348" t="s">
        <v>1205</v>
      </c>
      <c r="P1883" s="348" t="s">
        <v>1205</v>
      </c>
      <c r="Q1883" s="348" t="s">
        <v>1205</v>
      </c>
    </row>
    <row r="1884" spans="1:17" ht="15" hidden="1" customHeight="1">
      <c r="A1884" s="163">
        <v>1879</v>
      </c>
      <c r="B1884" s="53" t="s">
        <v>35</v>
      </c>
      <c r="C1884" s="53" t="s">
        <v>3189</v>
      </c>
      <c r="D1884" s="53">
        <v>100025131</v>
      </c>
      <c r="E1884" s="55" t="s">
        <v>3190</v>
      </c>
      <c r="F1884" s="129" t="s">
        <v>1205</v>
      </c>
      <c r="G1884" s="129">
        <v>98</v>
      </c>
      <c r="H1884" s="512">
        <v>82.86</v>
      </c>
      <c r="I1884" s="265" t="s">
        <v>359</v>
      </c>
      <c r="J1884" s="265" t="s">
        <v>102</v>
      </c>
      <c r="K1884" s="265" t="s">
        <v>3192</v>
      </c>
      <c r="L1884" s="348" t="s">
        <v>1205</v>
      </c>
      <c r="M1884" s="265">
        <v>0</v>
      </c>
      <c r="N1884" s="347">
        <v>7.14</v>
      </c>
      <c r="O1884" s="348" t="s">
        <v>1205</v>
      </c>
      <c r="P1884" s="348" t="s">
        <v>1205</v>
      </c>
      <c r="Q1884" s="348" t="s">
        <v>1205</v>
      </c>
    </row>
    <row r="1885" spans="1:17" ht="15" hidden="1" customHeight="1">
      <c r="A1885" s="163">
        <v>1880</v>
      </c>
      <c r="B1885" s="53" t="s">
        <v>35</v>
      </c>
      <c r="C1885" s="53" t="s">
        <v>3193</v>
      </c>
      <c r="D1885" s="53">
        <v>100025182</v>
      </c>
      <c r="E1885" s="55" t="s">
        <v>3194</v>
      </c>
      <c r="F1885" s="129" t="s">
        <v>1205</v>
      </c>
      <c r="G1885" s="129">
        <v>98</v>
      </c>
      <c r="H1885" s="512">
        <v>82.86</v>
      </c>
      <c r="I1885" s="265" t="s">
        <v>359</v>
      </c>
      <c r="J1885" s="265" t="s">
        <v>102</v>
      </c>
      <c r="K1885" s="265" t="s">
        <v>3195</v>
      </c>
      <c r="L1885" s="348" t="s">
        <v>1205</v>
      </c>
      <c r="M1885" s="265">
        <v>0</v>
      </c>
      <c r="N1885" s="347">
        <v>7.3</v>
      </c>
      <c r="O1885" s="348" t="s">
        <v>1205</v>
      </c>
      <c r="P1885" s="348" t="s">
        <v>1205</v>
      </c>
      <c r="Q1885" s="348" t="s">
        <v>1205</v>
      </c>
    </row>
    <row r="1886" spans="1:17" ht="15" hidden="1" customHeight="1">
      <c r="A1886" s="163">
        <v>1881</v>
      </c>
      <c r="B1886" s="53" t="s">
        <v>35</v>
      </c>
      <c r="C1886" s="53" t="s">
        <v>3196</v>
      </c>
      <c r="D1886" s="53">
        <v>100025144</v>
      </c>
      <c r="E1886" s="55" t="s">
        <v>3197</v>
      </c>
      <c r="F1886" s="129" t="s">
        <v>1205</v>
      </c>
      <c r="G1886" s="129">
        <v>98</v>
      </c>
      <c r="H1886" s="512">
        <v>82.86</v>
      </c>
      <c r="I1886" s="265" t="s">
        <v>359</v>
      </c>
      <c r="J1886" s="265" t="s">
        <v>102</v>
      </c>
      <c r="K1886" s="265" t="s">
        <v>3198</v>
      </c>
      <c r="L1886" s="348" t="s">
        <v>1205</v>
      </c>
      <c r="M1886" s="265" t="s">
        <v>3199</v>
      </c>
      <c r="N1886" s="347">
        <v>6.56</v>
      </c>
      <c r="O1886" s="348" t="s">
        <v>1205</v>
      </c>
      <c r="P1886" s="348" t="s">
        <v>1205</v>
      </c>
      <c r="Q1886" s="348" t="s">
        <v>1205</v>
      </c>
    </row>
    <row r="1887" spans="1:17" ht="15" hidden="1" customHeight="1">
      <c r="A1887" s="163">
        <v>1882</v>
      </c>
      <c r="B1887" s="53" t="s">
        <v>35</v>
      </c>
      <c r="C1887" s="53" t="s">
        <v>3200</v>
      </c>
      <c r="D1887" s="53">
        <v>100025181</v>
      </c>
      <c r="E1887" s="55" t="s">
        <v>3201</v>
      </c>
      <c r="F1887" s="129" t="s">
        <v>1205</v>
      </c>
      <c r="G1887" s="129">
        <v>98</v>
      </c>
      <c r="H1887" s="512">
        <v>82.86</v>
      </c>
      <c r="I1887" s="265" t="s">
        <v>359</v>
      </c>
      <c r="J1887" s="265" t="s">
        <v>102</v>
      </c>
      <c r="K1887" s="265" t="s">
        <v>3202</v>
      </c>
      <c r="L1887" s="348" t="s">
        <v>1205</v>
      </c>
      <c r="M1887" s="265" t="s">
        <v>3203</v>
      </c>
      <c r="N1887" s="347">
        <v>6.56</v>
      </c>
      <c r="O1887" s="348" t="s">
        <v>1205</v>
      </c>
      <c r="P1887" s="348" t="s">
        <v>1205</v>
      </c>
      <c r="Q1887" s="348" t="s">
        <v>1205</v>
      </c>
    </row>
    <row r="1888" spans="1:17" ht="15" hidden="1" customHeight="1">
      <c r="A1888" s="163">
        <v>1883</v>
      </c>
      <c r="B1888" s="53" t="s">
        <v>35</v>
      </c>
      <c r="C1888" s="53" t="s">
        <v>3204</v>
      </c>
      <c r="D1888" s="53">
        <v>100025146</v>
      </c>
      <c r="E1888" s="55" t="s">
        <v>3205</v>
      </c>
      <c r="F1888" s="129" t="s">
        <v>1205</v>
      </c>
      <c r="G1888" s="129">
        <v>98</v>
      </c>
      <c r="H1888" s="512">
        <v>82.86</v>
      </c>
      <c r="I1888" s="265" t="s">
        <v>359</v>
      </c>
      <c r="J1888" s="265" t="s">
        <v>102</v>
      </c>
      <c r="K1888" s="265" t="s">
        <v>3206</v>
      </c>
      <c r="L1888" s="348" t="s">
        <v>1205</v>
      </c>
      <c r="M1888" s="265" t="s">
        <v>3207</v>
      </c>
      <c r="N1888" s="347">
        <v>6.56</v>
      </c>
      <c r="O1888" s="348" t="s">
        <v>1205</v>
      </c>
      <c r="P1888" s="348" t="s">
        <v>1205</v>
      </c>
      <c r="Q1888" s="348" t="s">
        <v>1205</v>
      </c>
    </row>
    <row r="1889" spans="1:17" ht="15" hidden="1" customHeight="1">
      <c r="A1889" s="163">
        <v>1884</v>
      </c>
      <c r="B1889" s="53" t="s">
        <v>35</v>
      </c>
      <c r="C1889" s="53" t="s">
        <v>3208</v>
      </c>
      <c r="D1889" s="53">
        <v>100025350</v>
      </c>
      <c r="E1889" s="55" t="s">
        <v>3209</v>
      </c>
      <c r="F1889" s="129" t="s">
        <v>1205</v>
      </c>
      <c r="G1889" s="129">
        <v>98</v>
      </c>
      <c r="H1889" s="512">
        <v>175.68</v>
      </c>
      <c r="I1889" s="265" t="s">
        <v>359</v>
      </c>
      <c r="J1889" s="265" t="s">
        <v>102</v>
      </c>
      <c r="K1889" s="265" t="s">
        <v>3210</v>
      </c>
      <c r="L1889" s="348" t="s">
        <v>1205</v>
      </c>
      <c r="M1889" s="265">
        <v>0</v>
      </c>
      <c r="N1889" s="347">
        <v>10.8</v>
      </c>
      <c r="O1889" s="348" t="s">
        <v>1205</v>
      </c>
      <c r="P1889" s="348" t="s">
        <v>1205</v>
      </c>
      <c r="Q1889" s="348" t="s">
        <v>1205</v>
      </c>
    </row>
    <row r="1890" spans="1:17" ht="15" hidden="1" customHeight="1">
      <c r="A1890" s="163">
        <v>1885</v>
      </c>
      <c r="B1890" s="53" t="s">
        <v>35</v>
      </c>
      <c r="C1890" s="53">
        <v>120</v>
      </c>
      <c r="D1890" s="53">
        <v>100028520</v>
      </c>
      <c r="E1890" s="55" t="s">
        <v>3212</v>
      </c>
      <c r="F1890" s="129" t="s">
        <v>1205</v>
      </c>
      <c r="G1890" s="129">
        <v>72</v>
      </c>
      <c r="H1890" s="512">
        <v>108.36</v>
      </c>
      <c r="I1890" s="265" t="s">
        <v>76</v>
      </c>
      <c r="J1890" s="265" t="s">
        <v>102</v>
      </c>
      <c r="K1890" s="265" t="s">
        <v>3213</v>
      </c>
      <c r="L1890" s="348" t="s">
        <v>1205</v>
      </c>
      <c r="M1890" s="265" t="s">
        <v>3214</v>
      </c>
      <c r="N1890" s="347">
        <v>9.0500000000000007</v>
      </c>
      <c r="O1890" s="348" t="s">
        <v>1205</v>
      </c>
      <c r="P1890" s="348" t="s">
        <v>1205</v>
      </c>
      <c r="Q1890" s="348" t="s">
        <v>1205</v>
      </c>
    </row>
    <row r="1891" spans="1:17" ht="15" hidden="1" customHeight="1">
      <c r="A1891" s="163">
        <v>1886</v>
      </c>
      <c r="B1891" s="53" t="s">
        <v>35</v>
      </c>
      <c r="C1891" s="53">
        <v>121</v>
      </c>
      <c r="D1891" s="53">
        <v>100028521</v>
      </c>
      <c r="E1891" s="55" t="s">
        <v>3215</v>
      </c>
      <c r="F1891" s="129" t="s">
        <v>1205</v>
      </c>
      <c r="G1891" s="129">
        <v>72</v>
      </c>
      <c r="H1891" s="512">
        <v>108.36</v>
      </c>
      <c r="I1891" s="265" t="s">
        <v>76</v>
      </c>
      <c r="J1891" s="265" t="s">
        <v>102</v>
      </c>
      <c r="K1891" s="265" t="s">
        <v>3216</v>
      </c>
      <c r="L1891" s="348" t="s">
        <v>1205</v>
      </c>
      <c r="M1891" s="265" t="s">
        <v>3217</v>
      </c>
      <c r="N1891" s="347">
        <v>9.0500000000000007</v>
      </c>
      <c r="O1891" s="348" t="s">
        <v>1205</v>
      </c>
      <c r="P1891" s="348" t="s">
        <v>1205</v>
      </c>
      <c r="Q1891" s="348" t="s">
        <v>1205</v>
      </c>
    </row>
    <row r="1892" spans="1:17" ht="15" hidden="1" customHeight="1">
      <c r="A1892" s="163">
        <v>1887</v>
      </c>
      <c r="B1892" s="53" t="s">
        <v>35</v>
      </c>
      <c r="C1892" s="53">
        <v>122</v>
      </c>
      <c r="D1892" s="53">
        <v>100028522</v>
      </c>
      <c r="E1892" s="55" t="s">
        <v>3218</v>
      </c>
      <c r="F1892" s="129" t="s">
        <v>1205</v>
      </c>
      <c r="G1892" s="129">
        <v>72</v>
      </c>
      <c r="H1892" s="512">
        <v>108.36</v>
      </c>
      <c r="I1892" s="265" t="s">
        <v>76</v>
      </c>
      <c r="J1892" s="265" t="s">
        <v>102</v>
      </c>
      <c r="K1892" s="265" t="s">
        <v>3219</v>
      </c>
      <c r="L1892" s="348" t="s">
        <v>1205</v>
      </c>
      <c r="M1892" s="265" t="s">
        <v>3220</v>
      </c>
      <c r="N1892" s="347">
        <v>9.0500000000000007</v>
      </c>
      <c r="O1892" s="348" t="s">
        <v>1205</v>
      </c>
      <c r="P1892" s="348" t="s">
        <v>1205</v>
      </c>
      <c r="Q1892" s="348" t="s">
        <v>1205</v>
      </c>
    </row>
    <row r="1893" spans="1:17" ht="15" hidden="1" customHeight="1">
      <c r="A1893" s="163">
        <v>1888</v>
      </c>
      <c r="B1893" s="53" t="s">
        <v>35</v>
      </c>
      <c r="C1893" s="53">
        <v>124</v>
      </c>
      <c r="D1893" s="53">
        <v>100028524</v>
      </c>
      <c r="E1893" s="55" t="s">
        <v>3221</v>
      </c>
      <c r="F1893" s="129" t="s">
        <v>1205</v>
      </c>
      <c r="G1893" s="129">
        <v>72</v>
      </c>
      <c r="H1893" s="512">
        <v>108.36</v>
      </c>
      <c r="I1893" s="265" t="s">
        <v>76</v>
      </c>
      <c r="J1893" s="265" t="s">
        <v>102</v>
      </c>
      <c r="K1893" s="265" t="s">
        <v>3222</v>
      </c>
      <c r="L1893" s="348" t="s">
        <v>1205</v>
      </c>
      <c r="M1893" s="265" t="s">
        <v>3223</v>
      </c>
      <c r="N1893" s="347">
        <v>9.0500000000000007</v>
      </c>
      <c r="O1893" s="348" t="s">
        <v>1205</v>
      </c>
      <c r="P1893" s="348" t="s">
        <v>1205</v>
      </c>
      <c r="Q1893" s="348" t="s">
        <v>1205</v>
      </c>
    </row>
    <row r="1894" spans="1:17" ht="15" hidden="1" customHeight="1">
      <c r="A1894" s="163">
        <v>1889</v>
      </c>
      <c r="B1894" s="53" t="s">
        <v>35</v>
      </c>
      <c r="C1894" s="53" t="s">
        <v>3224</v>
      </c>
      <c r="D1894" s="53">
        <v>100025733</v>
      </c>
      <c r="E1894" s="55" t="s">
        <v>3225</v>
      </c>
      <c r="F1894" s="129" t="s">
        <v>1205</v>
      </c>
      <c r="G1894" s="129">
        <v>72</v>
      </c>
      <c r="H1894" s="512">
        <v>108.36</v>
      </c>
      <c r="I1894" s="265" t="s">
        <v>76</v>
      </c>
      <c r="J1894" s="265" t="s">
        <v>102</v>
      </c>
      <c r="K1894" s="265" t="s">
        <v>3226</v>
      </c>
      <c r="L1894" s="348" t="s">
        <v>1205</v>
      </c>
      <c r="M1894" s="265">
        <v>0</v>
      </c>
      <c r="N1894" s="347">
        <v>8.83</v>
      </c>
      <c r="O1894" s="348" t="s">
        <v>1205</v>
      </c>
      <c r="P1894" s="348" t="s">
        <v>1205</v>
      </c>
      <c r="Q1894" s="348" t="s">
        <v>1205</v>
      </c>
    </row>
    <row r="1895" spans="1:17" ht="15" hidden="1" customHeight="1">
      <c r="A1895" s="163">
        <v>1890</v>
      </c>
      <c r="B1895" s="53" t="s">
        <v>35</v>
      </c>
      <c r="C1895" s="53">
        <v>123</v>
      </c>
      <c r="D1895" s="53">
        <v>100028523</v>
      </c>
      <c r="E1895" s="55" t="s">
        <v>3227</v>
      </c>
      <c r="F1895" s="129" t="s">
        <v>1205</v>
      </c>
      <c r="G1895" s="129">
        <v>72</v>
      </c>
      <c r="H1895" s="512">
        <v>108.36</v>
      </c>
      <c r="I1895" s="265" t="s">
        <v>359</v>
      </c>
      <c r="J1895" s="265" t="s">
        <v>102</v>
      </c>
      <c r="K1895" s="265" t="s">
        <v>3228</v>
      </c>
      <c r="L1895" s="348" t="s">
        <v>1205</v>
      </c>
      <c r="M1895" s="265" t="s">
        <v>3229</v>
      </c>
      <c r="N1895" s="347">
        <v>9.0500000000000007</v>
      </c>
      <c r="O1895" s="348" t="s">
        <v>1205</v>
      </c>
      <c r="P1895" s="348" t="s">
        <v>1205</v>
      </c>
      <c r="Q1895" s="348" t="s">
        <v>1205</v>
      </c>
    </row>
    <row r="1896" spans="1:17" ht="15" hidden="1" customHeight="1">
      <c r="A1896" s="163">
        <v>1891</v>
      </c>
      <c r="B1896" s="53" t="s">
        <v>35</v>
      </c>
      <c r="C1896" s="53" t="s">
        <v>3230</v>
      </c>
      <c r="D1896" s="53">
        <v>100025718</v>
      </c>
      <c r="E1896" s="55" t="s">
        <v>3231</v>
      </c>
      <c r="F1896" s="129" t="s">
        <v>1205</v>
      </c>
      <c r="G1896" s="129">
        <v>72</v>
      </c>
      <c r="H1896" s="512">
        <v>108.36</v>
      </c>
      <c r="I1896" s="265" t="s">
        <v>76</v>
      </c>
      <c r="J1896" s="265" t="s">
        <v>102</v>
      </c>
      <c r="K1896" s="265" t="s">
        <v>3232</v>
      </c>
      <c r="L1896" s="348" t="s">
        <v>1205</v>
      </c>
      <c r="M1896" s="265" t="s">
        <v>3233</v>
      </c>
      <c r="N1896" s="347">
        <v>9.0500000000000007</v>
      </c>
      <c r="O1896" s="348" t="s">
        <v>1205</v>
      </c>
      <c r="P1896" s="348" t="s">
        <v>1205</v>
      </c>
      <c r="Q1896" s="348" t="s">
        <v>1205</v>
      </c>
    </row>
    <row r="1897" spans="1:17" ht="15" hidden="1" customHeight="1">
      <c r="A1897" s="163">
        <v>1892</v>
      </c>
      <c r="B1897" s="53" t="s">
        <v>35</v>
      </c>
      <c r="C1897" s="53" t="s">
        <v>3234</v>
      </c>
      <c r="D1897" s="53">
        <v>100025737</v>
      </c>
      <c r="E1897" s="55" t="s">
        <v>3235</v>
      </c>
      <c r="F1897" s="129" t="s">
        <v>1205</v>
      </c>
      <c r="G1897" s="129">
        <v>72</v>
      </c>
      <c r="H1897" s="512">
        <v>108.36</v>
      </c>
      <c r="I1897" s="265" t="s">
        <v>76</v>
      </c>
      <c r="J1897" s="265" t="s">
        <v>102</v>
      </c>
      <c r="K1897" s="265" t="s">
        <v>3236</v>
      </c>
      <c r="L1897" s="348" t="s">
        <v>1205</v>
      </c>
      <c r="M1897" s="265" t="s">
        <v>3237</v>
      </c>
      <c r="N1897" s="347">
        <v>9.0500000000000007</v>
      </c>
      <c r="O1897" s="348" t="s">
        <v>1205</v>
      </c>
      <c r="P1897" s="348" t="s">
        <v>1205</v>
      </c>
      <c r="Q1897" s="348" t="s">
        <v>1205</v>
      </c>
    </row>
    <row r="1898" spans="1:17" ht="15" hidden="1" customHeight="1">
      <c r="A1898" s="163">
        <v>1893</v>
      </c>
      <c r="B1898" s="53" t="s">
        <v>35</v>
      </c>
      <c r="C1898" s="53" t="s">
        <v>3238</v>
      </c>
      <c r="D1898" s="53">
        <v>100025712</v>
      </c>
      <c r="E1898" s="55" t="s">
        <v>3239</v>
      </c>
      <c r="F1898" s="129" t="s">
        <v>1205</v>
      </c>
      <c r="G1898" s="129">
        <v>72</v>
      </c>
      <c r="H1898" s="512">
        <v>108.36</v>
      </c>
      <c r="I1898" s="265" t="s">
        <v>76</v>
      </c>
      <c r="J1898" s="265" t="s">
        <v>102</v>
      </c>
      <c r="K1898" s="265" t="s">
        <v>3240</v>
      </c>
      <c r="L1898" s="348" t="s">
        <v>1205</v>
      </c>
      <c r="M1898" s="265" t="s">
        <v>3241</v>
      </c>
      <c r="N1898" s="347">
        <v>9.0500000000000007</v>
      </c>
      <c r="O1898" s="348" t="s">
        <v>1205</v>
      </c>
      <c r="P1898" s="348" t="s">
        <v>1205</v>
      </c>
      <c r="Q1898" s="348" t="s">
        <v>1205</v>
      </c>
    </row>
    <row r="1899" spans="1:17" ht="15" hidden="1" customHeight="1">
      <c r="A1899" s="163">
        <v>1894</v>
      </c>
      <c r="B1899" s="53" t="s">
        <v>35</v>
      </c>
      <c r="C1899" s="53" t="s">
        <v>3242</v>
      </c>
      <c r="D1899" s="53">
        <v>100025731</v>
      </c>
      <c r="E1899" s="55" t="s">
        <v>3243</v>
      </c>
      <c r="F1899" s="129" t="s">
        <v>1205</v>
      </c>
      <c r="G1899" s="129">
        <v>72</v>
      </c>
      <c r="H1899" s="512">
        <v>108.36</v>
      </c>
      <c r="I1899" s="265" t="s">
        <v>359</v>
      </c>
      <c r="J1899" s="265" t="s">
        <v>102</v>
      </c>
      <c r="K1899" s="265" t="s">
        <v>3244</v>
      </c>
      <c r="L1899" s="348" t="s">
        <v>1205</v>
      </c>
      <c r="M1899" s="265" t="s">
        <v>3245</v>
      </c>
      <c r="N1899" s="347">
        <v>9.0500000000000007</v>
      </c>
      <c r="O1899" s="348" t="s">
        <v>1205</v>
      </c>
      <c r="P1899" s="348" t="s">
        <v>1205</v>
      </c>
      <c r="Q1899" s="348" t="s">
        <v>1205</v>
      </c>
    </row>
    <row r="1900" spans="1:17" ht="15" hidden="1" customHeight="1">
      <c r="A1900" s="163">
        <v>1895</v>
      </c>
      <c r="B1900" s="53" t="s">
        <v>35</v>
      </c>
      <c r="C1900" s="53" t="s">
        <v>3246</v>
      </c>
      <c r="D1900" s="53">
        <v>100025192</v>
      </c>
      <c r="E1900" s="55" t="s">
        <v>3247</v>
      </c>
      <c r="F1900" s="129" t="s">
        <v>1205</v>
      </c>
      <c r="G1900" s="129">
        <v>72</v>
      </c>
      <c r="H1900" s="512">
        <v>108.36</v>
      </c>
      <c r="I1900" s="265" t="s">
        <v>359</v>
      </c>
      <c r="J1900" s="265" t="s">
        <v>102</v>
      </c>
      <c r="K1900" s="265" t="s">
        <v>3248</v>
      </c>
      <c r="L1900" s="348" t="s">
        <v>1205</v>
      </c>
      <c r="M1900" s="265" t="s">
        <v>3249</v>
      </c>
      <c r="N1900" s="347">
        <v>9.0500000000000007</v>
      </c>
      <c r="O1900" s="348" t="s">
        <v>1205</v>
      </c>
      <c r="P1900" s="348" t="s">
        <v>1205</v>
      </c>
      <c r="Q1900" s="348" t="s">
        <v>1205</v>
      </c>
    </row>
    <row r="1901" spans="1:17" ht="15" hidden="1" customHeight="1">
      <c r="A1901" s="163">
        <v>1896</v>
      </c>
      <c r="B1901" s="53" t="s">
        <v>35</v>
      </c>
      <c r="C1901" s="53" t="s">
        <v>3250</v>
      </c>
      <c r="D1901" s="53">
        <v>100025713</v>
      </c>
      <c r="E1901" s="55" t="s">
        <v>3251</v>
      </c>
      <c r="F1901" s="129" t="s">
        <v>1205</v>
      </c>
      <c r="G1901" s="129">
        <v>72</v>
      </c>
      <c r="H1901" s="512">
        <v>108.36</v>
      </c>
      <c r="I1901" s="265" t="s">
        <v>359</v>
      </c>
      <c r="J1901" s="265" t="s">
        <v>102</v>
      </c>
      <c r="K1901" s="265" t="s">
        <v>3252</v>
      </c>
      <c r="L1901" s="348" t="s">
        <v>1205</v>
      </c>
      <c r="M1901" s="265" t="s">
        <v>3253</v>
      </c>
      <c r="N1901" s="347">
        <v>9.0500000000000007</v>
      </c>
      <c r="O1901" s="348" t="s">
        <v>1205</v>
      </c>
      <c r="P1901" s="348" t="s">
        <v>1205</v>
      </c>
      <c r="Q1901" s="348" t="s">
        <v>1205</v>
      </c>
    </row>
    <row r="1902" spans="1:17" ht="15" hidden="1" customHeight="1">
      <c r="A1902" s="163">
        <v>1897</v>
      </c>
      <c r="B1902" s="53" t="s">
        <v>35</v>
      </c>
      <c r="C1902" s="53" t="s">
        <v>3254</v>
      </c>
      <c r="D1902" s="53">
        <v>100025732</v>
      </c>
      <c r="E1902" s="55" t="s">
        <v>3255</v>
      </c>
      <c r="F1902" s="129" t="s">
        <v>1205</v>
      </c>
      <c r="G1902" s="129">
        <v>72</v>
      </c>
      <c r="H1902" s="512">
        <v>108.36</v>
      </c>
      <c r="I1902" s="265" t="s">
        <v>76</v>
      </c>
      <c r="J1902" s="265" t="s">
        <v>102</v>
      </c>
      <c r="K1902" s="265" t="s">
        <v>3256</v>
      </c>
      <c r="L1902" s="348" t="s">
        <v>1205</v>
      </c>
      <c r="M1902" s="265">
        <v>0</v>
      </c>
      <c r="N1902" s="347">
        <v>9.0500000000000007</v>
      </c>
      <c r="O1902" s="348" t="s">
        <v>1205</v>
      </c>
      <c r="P1902" s="348" t="s">
        <v>1205</v>
      </c>
      <c r="Q1902" s="348" t="s">
        <v>1205</v>
      </c>
    </row>
    <row r="1903" spans="1:17" ht="15" hidden="1" customHeight="1">
      <c r="A1903" s="163">
        <v>1898</v>
      </c>
      <c r="B1903" s="53" t="s">
        <v>35</v>
      </c>
      <c r="C1903" s="53" t="s">
        <v>3257</v>
      </c>
      <c r="D1903" s="53">
        <v>100025758</v>
      </c>
      <c r="E1903" s="55" t="s">
        <v>3258</v>
      </c>
      <c r="F1903" s="129" t="s">
        <v>1205</v>
      </c>
      <c r="G1903" s="129">
        <v>72</v>
      </c>
      <c r="H1903" s="512">
        <v>108.36</v>
      </c>
      <c r="I1903" s="265" t="s">
        <v>76</v>
      </c>
      <c r="J1903" s="265" t="s">
        <v>102</v>
      </c>
      <c r="K1903" s="265" t="s">
        <v>3259</v>
      </c>
      <c r="L1903" s="348" t="s">
        <v>1205</v>
      </c>
      <c r="M1903" s="265">
        <v>0</v>
      </c>
      <c r="N1903" s="347">
        <v>9.6300000000000008</v>
      </c>
      <c r="O1903" s="348" t="s">
        <v>1205</v>
      </c>
      <c r="P1903" s="348" t="s">
        <v>1205</v>
      </c>
      <c r="Q1903" s="348" t="s">
        <v>1205</v>
      </c>
    </row>
    <row r="1904" spans="1:17" ht="15" hidden="1" customHeight="1">
      <c r="A1904" s="163">
        <v>1899</v>
      </c>
      <c r="B1904" s="53" t="s">
        <v>35</v>
      </c>
      <c r="C1904" s="53" t="s">
        <v>3260</v>
      </c>
      <c r="D1904" s="53">
        <v>100025715</v>
      </c>
      <c r="E1904" s="55" t="s">
        <v>3261</v>
      </c>
      <c r="F1904" s="129" t="s">
        <v>1205</v>
      </c>
      <c r="G1904" s="129">
        <v>72</v>
      </c>
      <c r="H1904" s="512">
        <v>108.36</v>
      </c>
      <c r="I1904" s="265" t="s">
        <v>76</v>
      </c>
      <c r="J1904" s="265" t="s">
        <v>102</v>
      </c>
      <c r="K1904" s="265" t="s">
        <v>3262</v>
      </c>
      <c r="L1904" s="348" t="s">
        <v>1205</v>
      </c>
      <c r="M1904" s="265" t="s">
        <v>3263</v>
      </c>
      <c r="N1904" s="347">
        <v>9.0500000000000007</v>
      </c>
      <c r="O1904" s="348" t="s">
        <v>1205</v>
      </c>
      <c r="P1904" s="348" t="s">
        <v>1205</v>
      </c>
      <c r="Q1904" s="348" t="s">
        <v>1205</v>
      </c>
    </row>
    <row r="1905" spans="1:17" ht="15" hidden="1" customHeight="1">
      <c r="A1905" s="163">
        <v>1900</v>
      </c>
      <c r="B1905" s="53" t="s">
        <v>35</v>
      </c>
      <c r="C1905" s="53" t="s">
        <v>3264</v>
      </c>
      <c r="D1905" s="53">
        <v>100025160</v>
      </c>
      <c r="E1905" s="55" t="s">
        <v>3265</v>
      </c>
      <c r="F1905" s="129" t="s">
        <v>1205</v>
      </c>
      <c r="G1905" s="129">
        <v>72</v>
      </c>
      <c r="H1905" s="512">
        <v>108.36</v>
      </c>
      <c r="I1905" s="265" t="s">
        <v>359</v>
      </c>
      <c r="J1905" s="265" t="s">
        <v>102</v>
      </c>
      <c r="K1905" s="265" t="s">
        <v>3266</v>
      </c>
      <c r="L1905" s="348" t="s">
        <v>1205</v>
      </c>
      <c r="M1905" s="265" t="s">
        <v>3267</v>
      </c>
      <c r="N1905" s="347">
        <v>9.0500000000000007</v>
      </c>
      <c r="O1905" s="348" t="s">
        <v>1205</v>
      </c>
      <c r="P1905" s="348" t="s">
        <v>1205</v>
      </c>
      <c r="Q1905" s="348" t="s">
        <v>1205</v>
      </c>
    </row>
    <row r="1906" spans="1:17" ht="15" hidden="1" customHeight="1">
      <c r="A1906" s="163">
        <v>1901</v>
      </c>
      <c r="B1906" s="53" t="s">
        <v>35</v>
      </c>
      <c r="C1906" s="53" t="s">
        <v>3268</v>
      </c>
      <c r="D1906" s="53">
        <v>100025710</v>
      </c>
      <c r="E1906" s="55" t="s">
        <v>3269</v>
      </c>
      <c r="F1906" s="129" t="s">
        <v>1205</v>
      </c>
      <c r="G1906" s="129">
        <v>72</v>
      </c>
      <c r="H1906" s="512">
        <v>108.36</v>
      </c>
      <c r="I1906" s="265" t="s">
        <v>76</v>
      </c>
      <c r="J1906" s="265" t="s">
        <v>102</v>
      </c>
      <c r="K1906" s="265" t="s">
        <v>3270</v>
      </c>
      <c r="L1906" s="348" t="s">
        <v>1205</v>
      </c>
      <c r="M1906" s="265" t="s">
        <v>3271</v>
      </c>
      <c r="N1906" s="347">
        <v>9.0500000000000007</v>
      </c>
      <c r="O1906" s="348" t="s">
        <v>1205</v>
      </c>
      <c r="P1906" s="348" t="s">
        <v>1205</v>
      </c>
      <c r="Q1906" s="348" t="s">
        <v>1205</v>
      </c>
    </row>
    <row r="1907" spans="1:17" ht="15" hidden="1" customHeight="1">
      <c r="A1907" s="163">
        <v>1902</v>
      </c>
      <c r="B1907" s="53" t="s">
        <v>35</v>
      </c>
      <c r="C1907" s="53" t="s">
        <v>3272</v>
      </c>
      <c r="D1907" s="53">
        <v>100025728</v>
      </c>
      <c r="E1907" s="55" t="s">
        <v>3273</v>
      </c>
      <c r="F1907" s="129" t="s">
        <v>1205</v>
      </c>
      <c r="G1907" s="129">
        <v>72</v>
      </c>
      <c r="H1907" s="512">
        <v>108.36</v>
      </c>
      <c r="I1907" s="265" t="s">
        <v>76</v>
      </c>
      <c r="J1907" s="265" t="s">
        <v>102</v>
      </c>
      <c r="K1907" s="265" t="s">
        <v>3274</v>
      </c>
      <c r="L1907" s="348" t="s">
        <v>1205</v>
      </c>
      <c r="M1907" s="265" t="s">
        <v>3275</v>
      </c>
      <c r="N1907" s="347">
        <v>9.0500000000000007</v>
      </c>
      <c r="O1907" s="348" t="s">
        <v>1205</v>
      </c>
      <c r="P1907" s="348" t="s">
        <v>1205</v>
      </c>
      <c r="Q1907" s="348" t="s">
        <v>1205</v>
      </c>
    </row>
    <row r="1908" spans="1:17" ht="15" hidden="1" customHeight="1">
      <c r="A1908" s="163">
        <v>1903</v>
      </c>
      <c r="B1908" s="53" t="s">
        <v>35</v>
      </c>
      <c r="C1908" s="53" t="s">
        <v>3276</v>
      </c>
      <c r="D1908" s="53">
        <v>100025757</v>
      </c>
      <c r="E1908" s="55" t="s">
        <v>3277</v>
      </c>
      <c r="F1908" s="129" t="s">
        <v>1205</v>
      </c>
      <c r="G1908" s="129">
        <v>72</v>
      </c>
      <c r="H1908" s="512">
        <v>108.36</v>
      </c>
      <c r="I1908" s="265" t="s">
        <v>76</v>
      </c>
      <c r="J1908" s="265" t="s">
        <v>102</v>
      </c>
      <c r="K1908" s="265" t="s">
        <v>3278</v>
      </c>
      <c r="L1908" s="348" t="s">
        <v>1205</v>
      </c>
      <c r="M1908" s="265" t="s">
        <v>3279</v>
      </c>
      <c r="N1908" s="347">
        <v>9.0500000000000007</v>
      </c>
      <c r="O1908" s="348" t="s">
        <v>1205</v>
      </c>
      <c r="P1908" s="348" t="s">
        <v>1205</v>
      </c>
      <c r="Q1908" s="348" t="s">
        <v>1205</v>
      </c>
    </row>
    <row r="1909" spans="1:17" ht="15" hidden="1" customHeight="1">
      <c r="A1909" s="163">
        <v>1904</v>
      </c>
      <c r="B1909" s="53" t="s">
        <v>35</v>
      </c>
      <c r="C1909" s="53" t="s">
        <v>3280</v>
      </c>
      <c r="D1909" s="53">
        <v>100025767</v>
      </c>
      <c r="E1909" s="55" t="s">
        <v>3281</v>
      </c>
      <c r="F1909" s="129" t="s">
        <v>1205</v>
      </c>
      <c r="G1909" s="129">
        <v>72</v>
      </c>
      <c r="H1909" s="512">
        <v>108.36</v>
      </c>
      <c r="I1909" s="265" t="s">
        <v>76</v>
      </c>
      <c r="J1909" s="265" t="s">
        <v>102</v>
      </c>
      <c r="K1909" s="265" t="s">
        <v>3282</v>
      </c>
      <c r="L1909" s="348" t="s">
        <v>1205</v>
      </c>
      <c r="M1909" s="265" t="s">
        <v>3283</v>
      </c>
      <c r="N1909" s="347">
        <v>9.0500000000000007</v>
      </c>
      <c r="O1909" s="348" t="s">
        <v>1205</v>
      </c>
      <c r="P1909" s="348" t="s">
        <v>1205</v>
      </c>
      <c r="Q1909" s="348" t="s">
        <v>1205</v>
      </c>
    </row>
    <row r="1910" spans="1:17" ht="15" hidden="1" customHeight="1">
      <c r="A1910" s="163">
        <v>1905</v>
      </c>
      <c r="B1910" s="53" t="s">
        <v>35</v>
      </c>
      <c r="C1910" s="53" t="s">
        <v>3284</v>
      </c>
      <c r="D1910" s="53">
        <v>100025155</v>
      </c>
      <c r="E1910" s="55" t="s">
        <v>3285</v>
      </c>
      <c r="F1910" s="129" t="s">
        <v>1205</v>
      </c>
      <c r="G1910" s="129">
        <v>72</v>
      </c>
      <c r="H1910" s="512">
        <v>108.36</v>
      </c>
      <c r="I1910" s="265" t="s">
        <v>76</v>
      </c>
      <c r="J1910" s="265" t="s">
        <v>102</v>
      </c>
      <c r="K1910" s="265" t="s">
        <v>3287</v>
      </c>
      <c r="L1910" s="348" t="s">
        <v>1205</v>
      </c>
      <c r="M1910" s="265" t="s">
        <v>3288</v>
      </c>
      <c r="N1910" s="347">
        <v>9.0500000000000007</v>
      </c>
      <c r="O1910" s="348" t="s">
        <v>1205</v>
      </c>
      <c r="P1910" s="348" t="s">
        <v>1205</v>
      </c>
      <c r="Q1910" s="348" t="s">
        <v>1205</v>
      </c>
    </row>
    <row r="1911" spans="1:17" ht="15" hidden="1" customHeight="1">
      <c r="A1911" s="163">
        <v>1906</v>
      </c>
      <c r="B1911" s="53" t="s">
        <v>35</v>
      </c>
      <c r="C1911" s="53" t="s">
        <v>3289</v>
      </c>
      <c r="D1911" s="53">
        <v>100025191</v>
      </c>
      <c r="E1911" s="55" t="s">
        <v>3290</v>
      </c>
      <c r="F1911" s="129" t="s">
        <v>1205</v>
      </c>
      <c r="G1911" s="129">
        <v>72</v>
      </c>
      <c r="H1911" s="512">
        <v>108.36</v>
      </c>
      <c r="I1911" s="265" t="s">
        <v>359</v>
      </c>
      <c r="J1911" s="265" t="s">
        <v>102</v>
      </c>
      <c r="K1911" s="265" t="s">
        <v>3291</v>
      </c>
      <c r="L1911" s="348" t="s">
        <v>1205</v>
      </c>
      <c r="M1911" s="265" t="s">
        <v>3292</v>
      </c>
      <c r="N1911" s="347">
        <v>9.0500000000000007</v>
      </c>
      <c r="O1911" s="348" t="s">
        <v>1205</v>
      </c>
      <c r="P1911" s="348" t="s">
        <v>1205</v>
      </c>
      <c r="Q1911" s="348" t="s">
        <v>1205</v>
      </c>
    </row>
    <row r="1912" spans="1:17" ht="15" hidden="1" customHeight="1">
      <c r="A1912" s="163">
        <v>1907</v>
      </c>
      <c r="B1912" s="53" t="s">
        <v>35</v>
      </c>
      <c r="C1912" s="53" t="s">
        <v>3293</v>
      </c>
      <c r="D1912" s="53">
        <v>100025735</v>
      </c>
      <c r="E1912" s="55" t="s">
        <v>3294</v>
      </c>
      <c r="F1912" s="129" t="s">
        <v>1205</v>
      </c>
      <c r="G1912" s="129">
        <v>72</v>
      </c>
      <c r="H1912" s="512">
        <v>108.36</v>
      </c>
      <c r="I1912" s="265" t="s">
        <v>76</v>
      </c>
      <c r="J1912" s="265" t="s">
        <v>102</v>
      </c>
      <c r="K1912" s="265" t="s">
        <v>3295</v>
      </c>
      <c r="L1912" s="348" t="s">
        <v>1205</v>
      </c>
      <c r="M1912" s="265" t="s">
        <v>3296</v>
      </c>
      <c r="N1912" s="347">
        <v>9.0500000000000007</v>
      </c>
      <c r="O1912" s="348" t="s">
        <v>1205</v>
      </c>
      <c r="P1912" s="348" t="s">
        <v>1205</v>
      </c>
      <c r="Q1912" s="348" t="s">
        <v>1205</v>
      </c>
    </row>
    <row r="1913" spans="1:17" ht="15" hidden="1" customHeight="1">
      <c r="A1913" s="163">
        <v>1908</v>
      </c>
      <c r="B1913" s="53" t="s">
        <v>35</v>
      </c>
      <c r="C1913" s="53" t="s">
        <v>3299</v>
      </c>
      <c r="D1913" s="53">
        <v>100025720</v>
      </c>
      <c r="E1913" s="55" t="s">
        <v>3300</v>
      </c>
      <c r="F1913" s="129" t="s">
        <v>1205</v>
      </c>
      <c r="G1913" s="129">
        <v>49</v>
      </c>
      <c r="H1913" s="512">
        <v>99.47</v>
      </c>
      <c r="I1913" s="265" t="s">
        <v>359</v>
      </c>
      <c r="J1913" s="265" t="s">
        <v>102</v>
      </c>
      <c r="K1913" s="265" t="s">
        <v>3301</v>
      </c>
      <c r="L1913" s="348" t="s">
        <v>1205</v>
      </c>
      <c r="M1913" s="265" t="s">
        <v>3302</v>
      </c>
      <c r="N1913" s="347">
        <v>6.7050000000000001</v>
      </c>
      <c r="O1913" s="348" t="s">
        <v>1205</v>
      </c>
      <c r="P1913" s="348" t="s">
        <v>1205</v>
      </c>
      <c r="Q1913" s="348" t="s">
        <v>1205</v>
      </c>
    </row>
    <row r="1914" spans="1:17" ht="15" hidden="1" customHeight="1">
      <c r="A1914" s="163">
        <v>1909</v>
      </c>
      <c r="B1914" s="53" t="s">
        <v>35</v>
      </c>
      <c r="C1914" s="53" t="s">
        <v>3303</v>
      </c>
      <c r="D1914" s="53">
        <v>100025739</v>
      </c>
      <c r="E1914" s="55" t="s">
        <v>3304</v>
      </c>
      <c r="F1914" s="129" t="s">
        <v>1205</v>
      </c>
      <c r="G1914" s="129">
        <v>49</v>
      </c>
      <c r="H1914" s="512">
        <v>99.47</v>
      </c>
      <c r="I1914" s="265" t="s">
        <v>76</v>
      </c>
      <c r="J1914" s="265" t="s">
        <v>102</v>
      </c>
      <c r="K1914" s="265" t="s">
        <v>3305</v>
      </c>
      <c r="L1914" s="348" t="s">
        <v>1205</v>
      </c>
      <c r="M1914" s="265" t="s">
        <v>3306</v>
      </c>
      <c r="N1914" s="347">
        <v>6.7050000000000001</v>
      </c>
      <c r="O1914" s="348" t="s">
        <v>1205</v>
      </c>
      <c r="P1914" s="348" t="s">
        <v>1205</v>
      </c>
      <c r="Q1914" s="348" t="s">
        <v>1205</v>
      </c>
    </row>
    <row r="1915" spans="1:17" ht="15" hidden="1" customHeight="1">
      <c r="A1915" s="163">
        <v>1910</v>
      </c>
      <c r="B1915" s="53" t="s">
        <v>35</v>
      </c>
      <c r="C1915" s="53" t="s">
        <v>3307</v>
      </c>
      <c r="D1915" s="53">
        <v>100025748</v>
      </c>
      <c r="E1915" s="55" t="s">
        <v>3308</v>
      </c>
      <c r="F1915" s="129" t="s">
        <v>1205</v>
      </c>
      <c r="G1915" s="129">
        <v>49</v>
      </c>
      <c r="H1915" s="512">
        <v>99.47</v>
      </c>
      <c r="I1915" s="265" t="s">
        <v>76</v>
      </c>
      <c r="J1915" s="265" t="s">
        <v>102</v>
      </c>
      <c r="K1915" s="265" t="s">
        <v>3309</v>
      </c>
      <c r="L1915" s="348" t="s">
        <v>1205</v>
      </c>
      <c r="M1915" s="265" t="s">
        <v>3310</v>
      </c>
      <c r="N1915" s="347">
        <v>6.7050000000000001</v>
      </c>
      <c r="O1915" s="348" t="s">
        <v>1205</v>
      </c>
      <c r="P1915" s="348" t="s">
        <v>1205</v>
      </c>
      <c r="Q1915" s="348" t="s">
        <v>1205</v>
      </c>
    </row>
    <row r="1916" spans="1:17" ht="15" hidden="1" customHeight="1">
      <c r="A1916" s="163">
        <v>1911</v>
      </c>
      <c r="B1916" s="53" t="s">
        <v>35</v>
      </c>
      <c r="C1916" s="53" t="s">
        <v>3311</v>
      </c>
      <c r="D1916" s="53">
        <v>100025179</v>
      </c>
      <c r="E1916" s="55" t="s">
        <v>3312</v>
      </c>
      <c r="F1916" s="129" t="s">
        <v>1205</v>
      </c>
      <c r="G1916" s="129">
        <v>49</v>
      </c>
      <c r="H1916" s="512">
        <v>99.47</v>
      </c>
      <c r="I1916" s="265" t="s">
        <v>359</v>
      </c>
      <c r="J1916" s="265" t="s">
        <v>102</v>
      </c>
      <c r="K1916" s="265" t="s">
        <v>3313</v>
      </c>
      <c r="L1916" s="348" t="s">
        <v>1205</v>
      </c>
      <c r="M1916" s="265" t="s">
        <v>3314</v>
      </c>
      <c r="N1916" s="347">
        <v>6.7050000000000001</v>
      </c>
      <c r="O1916" s="348" t="s">
        <v>1205</v>
      </c>
      <c r="P1916" s="348" t="s">
        <v>1205</v>
      </c>
      <c r="Q1916" s="348" t="s">
        <v>1205</v>
      </c>
    </row>
    <row r="1917" spans="1:17" ht="15" hidden="1" customHeight="1">
      <c r="A1917" s="163">
        <v>1912</v>
      </c>
      <c r="B1917" s="53" t="s">
        <v>35</v>
      </c>
      <c r="C1917" s="53" t="s">
        <v>3317</v>
      </c>
      <c r="D1917" s="53">
        <v>100025136</v>
      </c>
      <c r="E1917" s="55" t="s">
        <v>3318</v>
      </c>
      <c r="F1917" s="129" t="s">
        <v>1205</v>
      </c>
      <c r="G1917" s="129">
        <v>1</v>
      </c>
      <c r="H1917" s="512">
        <v>243.93</v>
      </c>
      <c r="I1917" s="265" t="s">
        <v>76</v>
      </c>
      <c r="J1917" s="265" t="s">
        <v>102</v>
      </c>
      <c r="K1917" s="265" t="s">
        <v>3319</v>
      </c>
      <c r="L1917" s="348" t="s">
        <v>1205</v>
      </c>
      <c r="M1917" s="265">
        <v>0</v>
      </c>
      <c r="N1917" s="347">
        <v>12.814</v>
      </c>
      <c r="O1917" s="348" t="s">
        <v>1205</v>
      </c>
      <c r="P1917" s="348" t="s">
        <v>1205</v>
      </c>
      <c r="Q1917" s="348" t="s">
        <v>1205</v>
      </c>
    </row>
    <row r="1918" spans="1:17" ht="15" hidden="1" customHeight="1">
      <c r="A1918" s="163">
        <v>1913</v>
      </c>
      <c r="B1918" s="53" t="s">
        <v>35</v>
      </c>
      <c r="C1918" s="53" t="s">
        <v>3320</v>
      </c>
      <c r="D1918" s="53">
        <v>100025755</v>
      </c>
      <c r="E1918" s="55" t="s">
        <v>3321</v>
      </c>
      <c r="F1918" s="129" t="s">
        <v>1205</v>
      </c>
      <c r="G1918" s="129">
        <v>1</v>
      </c>
      <c r="H1918" s="512">
        <v>243.93</v>
      </c>
      <c r="I1918" s="265" t="s">
        <v>76</v>
      </c>
      <c r="J1918" s="265" t="s">
        <v>102</v>
      </c>
      <c r="K1918" s="265" t="s">
        <v>3322</v>
      </c>
      <c r="L1918" s="348" t="s">
        <v>1205</v>
      </c>
      <c r="M1918" s="265">
        <v>0</v>
      </c>
      <c r="N1918" s="347">
        <v>12.814</v>
      </c>
      <c r="O1918" s="348" t="s">
        <v>1205</v>
      </c>
      <c r="P1918" s="348" t="s">
        <v>1205</v>
      </c>
      <c r="Q1918" s="348" t="s">
        <v>1205</v>
      </c>
    </row>
    <row r="1919" spans="1:17" ht="15" hidden="1" customHeight="1">
      <c r="A1919" s="163">
        <v>1914</v>
      </c>
      <c r="B1919" s="53" t="s">
        <v>35</v>
      </c>
      <c r="C1919" s="53" t="s">
        <v>3323</v>
      </c>
      <c r="D1919" s="53">
        <v>100025751</v>
      </c>
      <c r="E1919" s="55" t="s">
        <v>3324</v>
      </c>
      <c r="F1919" s="129" t="s">
        <v>1205</v>
      </c>
      <c r="G1919" s="129">
        <v>1</v>
      </c>
      <c r="H1919" s="512">
        <v>243.93</v>
      </c>
      <c r="I1919" s="265" t="s">
        <v>359</v>
      </c>
      <c r="J1919" s="265" t="s">
        <v>102</v>
      </c>
      <c r="K1919" s="265" t="s">
        <v>3325</v>
      </c>
      <c r="L1919" s="348" t="s">
        <v>1205</v>
      </c>
      <c r="M1919" s="265">
        <v>0</v>
      </c>
      <c r="N1919" s="347">
        <v>12.814</v>
      </c>
      <c r="O1919" s="348" t="s">
        <v>1205</v>
      </c>
      <c r="P1919" s="348" t="s">
        <v>1205</v>
      </c>
      <c r="Q1919" s="348" t="s">
        <v>1205</v>
      </c>
    </row>
    <row r="1920" spans="1:17" ht="15" hidden="1" customHeight="1">
      <c r="A1920" s="163">
        <v>1915</v>
      </c>
      <c r="B1920" s="53" t="s">
        <v>35</v>
      </c>
      <c r="C1920" s="53" t="s">
        <v>3326</v>
      </c>
      <c r="D1920" s="53">
        <v>100025708</v>
      </c>
      <c r="E1920" s="55" t="s">
        <v>3327</v>
      </c>
      <c r="F1920" s="129" t="s">
        <v>1205</v>
      </c>
      <c r="G1920" s="129">
        <v>1</v>
      </c>
      <c r="H1920" s="512">
        <v>304.93</v>
      </c>
      <c r="I1920" s="265" t="s">
        <v>359</v>
      </c>
      <c r="J1920" s="265" t="s">
        <v>102</v>
      </c>
      <c r="K1920" s="265" t="s">
        <v>3328</v>
      </c>
      <c r="L1920" s="348" t="s">
        <v>1205</v>
      </c>
      <c r="M1920" s="265">
        <v>0</v>
      </c>
      <c r="N1920" s="347">
        <v>12.814</v>
      </c>
      <c r="O1920" s="348" t="s">
        <v>1205</v>
      </c>
      <c r="P1920" s="348" t="s">
        <v>1205</v>
      </c>
      <c r="Q1920" s="348" t="s">
        <v>1205</v>
      </c>
    </row>
    <row r="1921" spans="1:17" ht="15" hidden="1" customHeight="1">
      <c r="A1921" s="163">
        <v>1916</v>
      </c>
      <c r="B1921" s="53" t="s">
        <v>35</v>
      </c>
      <c r="C1921" s="53" t="s">
        <v>3329</v>
      </c>
      <c r="D1921" s="53">
        <v>100025172</v>
      </c>
      <c r="E1921" s="55" t="s">
        <v>3330</v>
      </c>
      <c r="F1921" s="129" t="s">
        <v>1205</v>
      </c>
      <c r="G1921" s="129">
        <v>1</v>
      </c>
      <c r="H1921" s="512">
        <v>304.93</v>
      </c>
      <c r="I1921" s="265" t="s">
        <v>359</v>
      </c>
      <c r="J1921" s="265" t="s">
        <v>102</v>
      </c>
      <c r="K1921" s="265" t="s">
        <v>3331</v>
      </c>
      <c r="L1921" s="348" t="s">
        <v>1205</v>
      </c>
      <c r="M1921" s="265">
        <v>0</v>
      </c>
      <c r="N1921" s="347">
        <v>12.814</v>
      </c>
      <c r="O1921" s="348" t="s">
        <v>1205</v>
      </c>
      <c r="P1921" s="348" t="s">
        <v>1205</v>
      </c>
      <c r="Q1921" s="348" t="s">
        <v>1205</v>
      </c>
    </row>
    <row r="1922" spans="1:17" ht="15" hidden="1" customHeight="1">
      <c r="A1922" s="163">
        <v>1917</v>
      </c>
      <c r="B1922" s="53" t="s">
        <v>35</v>
      </c>
      <c r="C1922" s="53" t="s">
        <v>3332</v>
      </c>
      <c r="D1922" s="53">
        <v>100025185</v>
      </c>
      <c r="E1922" s="55" t="s">
        <v>3333</v>
      </c>
      <c r="F1922" s="129" t="s">
        <v>1205</v>
      </c>
      <c r="G1922" s="129">
        <v>1</v>
      </c>
      <c r="H1922" s="512">
        <v>304.93</v>
      </c>
      <c r="I1922" s="265" t="s">
        <v>76</v>
      </c>
      <c r="J1922" s="265" t="s">
        <v>102</v>
      </c>
      <c r="K1922" s="265" t="s">
        <v>3334</v>
      </c>
      <c r="L1922" s="348" t="s">
        <v>1205</v>
      </c>
      <c r="M1922" s="265">
        <v>0</v>
      </c>
      <c r="N1922" s="347">
        <v>12.814</v>
      </c>
      <c r="O1922" s="348" t="s">
        <v>1205</v>
      </c>
      <c r="P1922" s="348" t="s">
        <v>1205</v>
      </c>
      <c r="Q1922" s="348" t="s">
        <v>1205</v>
      </c>
    </row>
    <row r="1923" spans="1:17" ht="15" hidden="1" customHeight="1">
      <c r="A1923" s="163">
        <v>1918</v>
      </c>
      <c r="B1923" s="53" t="s">
        <v>35</v>
      </c>
      <c r="C1923" s="53" t="s">
        <v>3335</v>
      </c>
      <c r="D1923" s="53">
        <v>100025186</v>
      </c>
      <c r="E1923" s="55" t="s">
        <v>3336</v>
      </c>
      <c r="F1923" s="129" t="s">
        <v>1205</v>
      </c>
      <c r="G1923" s="129">
        <v>1</v>
      </c>
      <c r="H1923" s="512">
        <v>304.93</v>
      </c>
      <c r="I1923" s="265" t="s">
        <v>359</v>
      </c>
      <c r="J1923" s="265" t="s">
        <v>102</v>
      </c>
      <c r="K1923" s="265" t="s">
        <v>3338</v>
      </c>
      <c r="L1923" s="348" t="s">
        <v>1205</v>
      </c>
      <c r="M1923" s="265">
        <v>0</v>
      </c>
      <c r="N1923" s="347">
        <v>12.814</v>
      </c>
      <c r="O1923" s="348" t="s">
        <v>1205</v>
      </c>
      <c r="P1923" s="348" t="s">
        <v>1205</v>
      </c>
      <c r="Q1923" s="348" t="s">
        <v>1205</v>
      </c>
    </row>
    <row r="1924" spans="1:17" ht="15" hidden="1" customHeight="1">
      <c r="A1924" s="163">
        <v>1919</v>
      </c>
      <c r="B1924" s="53" t="s">
        <v>35</v>
      </c>
      <c r="C1924" s="53" t="s">
        <v>3341</v>
      </c>
      <c r="D1924" s="53">
        <v>100025771</v>
      </c>
      <c r="E1924" s="55" t="s">
        <v>3342</v>
      </c>
      <c r="F1924" s="129" t="s">
        <v>1205</v>
      </c>
      <c r="G1924" s="129">
        <v>56</v>
      </c>
      <c r="H1924" s="512">
        <v>156.16</v>
      </c>
      <c r="I1924" s="265" t="s">
        <v>76</v>
      </c>
      <c r="J1924" s="265" t="s">
        <v>102</v>
      </c>
      <c r="K1924" s="265" t="s">
        <v>3343</v>
      </c>
      <c r="L1924" s="348" t="s">
        <v>1205</v>
      </c>
      <c r="M1924" s="265" t="s">
        <v>3344</v>
      </c>
      <c r="N1924" s="347">
        <v>8.8849999999999998</v>
      </c>
      <c r="O1924" s="348" t="s">
        <v>1205</v>
      </c>
      <c r="P1924" s="348" t="s">
        <v>1205</v>
      </c>
      <c r="Q1924" s="348" t="s">
        <v>1205</v>
      </c>
    </row>
    <row r="1925" spans="1:17" ht="15" hidden="1" customHeight="1">
      <c r="A1925" s="163">
        <v>1920</v>
      </c>
      <c r="B1925" s="53" t="s">
        <v>35</v>
      </c>
      <c r="C1925" s="53" t="s">
        <v>3345</v>
      </c>
      <c r="D1925" s="53">
        <v>100025780</v>
      </c>
      <c r="E1925" s="55" t="s">
        <v>3346</v>
      </c>
      <c r="F1925" s="129" t="s">
        <v>1205</v>
      </c>
      <c r="G1925" s="129">
        <v>56</v>
      </c>
      <c r="H1925" s="512">
        <v>156.16</v>
      </c>
      <c r="I1925" s="265" t="s">
        <v>76</v>
      </c>
      <c r="J1925" s="265" t="s">
        <v>102</v>
      </c>
      <c r="K1925" s="265" t="s">
        <v>3347</v>
      </c>
      <c r="L1925" s="348" t="s">
        <v>1205</v>
      </c>
      <c r="M1925" s="265" t="s">
        <v>3348</v>
      </c>
      <c r="N1925" s="347">
        <v>8.8849999999999998</v>
      </c>
      <c r="O1925" s="348" t="s">
        <v>1205</v>
      </c>
      <c r="P1925" s="348" t="s">
        <v>1205</v>
      </c>
      <c r="Q1925" s="348" t="s">
        <v>1205</v>
      </c>
    </row>
    <row r="1926" spans="1:17" ht="15" hidden="1" customHeight="1">
      <c r="A1926" s="163">
        <v>1921</v>
      </c>
      <c r="B1926" s="53" t="s">
        <v>35</v>
      </c>
      <c r="C1926" s="53" t="s">
        <v>3349</v>
      </c>
      <c r="D1926" s="53">
        <v>100025792</v>
      </c>
      <c r="E1926" s="55" t="s">
        <v>3350</v>
      </c>
      <c r="F1926" s="129" t="s">
        <v>1205</v>
      </c>
      <c r="G1926" s="129">
        <v>56</v>
      </c>
      <c r="H1926" s="512">
        <v>156.16</v>
      </c>
      <c r="I1926" s="265" t="s">
        <v>76</v>
      </c>
      <c r="J1926" s="265" t="s">
        <v>102</v>
      </c>
      <c r="K1926" s="265" t="s">
        <v>3351</v>
      </c>
      <c r="L1926" s="348" t="s">
        <v>1205</v>
      </c>
      <c r="M1926" s="265" t="s">
        <v>3352</v>
      </c>
      <c r="N1926" s="347">
        <v>8.8849999999999998</v>
      </c>
      <c r="O1926" s="348" t="s">
        <v>1205</v>
      </c>
      <c r="P1926" s="348" t="s">
        <v>1205</v>
      </c>
      <c r="Q1926" s="348" t="s">
        <v>1205</v>
      </c>
    </row>
    <row r="1927" spans="1:17" ht="15" hidden="1" customHeight="1">
      <c r="A1927" s="163">
        <v>1922</v>
      </c>
      <c r="B1927" s="53" t="s">
        <v>35</v>
      </c>
      <c r="C1927" s="53">
        <v>150</v>
      </c>
      <c r="D1927" s="53">
        <v>100028528</v>
      </c>
      <c r="E1927" s="55" t="s">
        <v>3354</v>
      </c>
      <c r="F1927" s="129" t="s">
        <v>1205</v>
      </c>
      <c r="G1927" s="129">
        <v>48</v>
      </c>
      <c r="H1927" s="512">
        <v>207.15</v>
      </c>
      <c r="I1927" s="265" t="s">
        <v>76</v>
      </c>
      <c r="J1927" s="265" t="s">
        <v>102</v>
      </c>
      <c r="K1927" s="265" t="s">
        <v>3355</v>
      </c>
      <c r="L1927" s="348" t="s">
        <v>1205</v>
      </c>
      <c r="M1927" s="265" t="s">
        <v>3356</v>
      </c>
      <c r="N1927" s="347">
        <v>12.105</v>
      </c>
      <c r="O1927" s="348" t="s">
        <v>1205</v>
      </c>
      <c r="P1927" s="348" t="s">
        <v>1205</v>
      </c>
      <c r="Q1927" s="348" t="s">
        <v>1205</v>
      </c>
    </row>
    <row r="1928" spans="1:17" ht="15" hidden="1" customHeight="1">
      <c r="A1928" s="163">
        <v>1923</v>
      </c>
      <c r="B1928" s="53" t="s">
        <v>35</v>
      </c>
      <c r="C1928" s="53">
        <v>151</v>
      </c>
      <c r="D1928" s="53">
        <v>100028529</v>
      </c>
      <c r="E1928" s="55" t="s">
        <v>3357</v>
      </c>
      <c r="F1928" s="129" t="s">
        <v>1205</v>
      </c>
      <c r="G1928" s="129">
        <v>48</v>
      </c>
      <c r="H1928" s="512">
        <v>207.15</v>
      </c>
      <c r="I1928" s="265" t="s">
        <v>76</v>
      </c>
      <c r="J1928" s="265" t="s">
        <v>102</v>
      </c>
      <c r="K1928" s="265">
        <v>0</v>
      </c>
      <c r="L1928" s="348" t="s">
        <v>1205</v>
      </c>
      <c r="M1928" s="265" t="s">
        <v>3358</v>
      </c>
      <c r="N1928" s="347">
        <v>12.105</v>
      </c>
      <c r="O1928" s="348" t="s">
        <v>1205</v>
      </c>
      <c r="P1928" s="348" t="s">
        <v>1205</v>
      </c>
      <c r="Q1928" s="348" t="s">
        <v>1205</v>
      </c>
    </row>
    <row r="1929" spans="1:17" ht="15" hidden="1" customHeight="1">
      <c r="A1929" s="163">
        <v>1924</v>
      </c>
      <c r="B1929" s="53" t="s">
        <v>35</v>
      </c>
      <c r="C1929" s="53">
        <v>152</v>
      </c>
      <c r="D1929" s="53">
        <v>100028530</v>
      </c>
      <c r="E1929" s="55" t="s">
        <v>3359</v>
      </c>
      <c r="F1929" s="129" t="s">
        <v>1205</v>
      </c>
      <c r="G1929" s="129">
        <v>48</v>
      </c>
      <c r="H1929" s="512">
        <v>207.15</v>
      </c>
      <c r="I1929" s="265" t="s">
        <v>76</v>
      </c>
      <c r="J1929" s="265" t="s">
        <v>102</v>
      </c>
      <c r="K1929" s="265" t="s">
        <v>3360</v>
      </c>
      <c r="L1929" s="348" t="s">
        <v>1205</v>
      </c>
      <c r="M1929" s="265" t="s">
        <v>3361</v>
      </c>
      <c r="N1929" s="347">
        <v>12.105</v>
      </c>
      <c r="O1929" s="348" t="s">
        <v>1205</v>
      </c>
      <c r="P1929" s="348" t="s">
        <v>1205</v>
      </c>
      <c r="Q1929" s="348" t="s">
        <v>1205</v>
      </c>
    </row>
    <row r="1930" spans="1:17" ht="15" hidden="1" customHeight="1">
      <c r="A1930" s="163">
        <v>1925</v>
      </c>
      <c r="B1930" s="53" t="s">
        <v>35</v>
      </c>
      <c r="C1930" s="53">
        <v>154</v>
      </c>
      <c r="D1930" s="53">
        <v>100028532</v>
      </c>
      <c r="E1930" s="55" t="s">
        <v>3362</v>
      </c>
      <c r="F1930" s="129" t="s">
        <v>1205</v>
      </c>
      <c r="G1930" s="129">
        <v>48</v>
      </c>
      <c r="H1930" s="512">
        <v>207.15</v>
      </c>
      <c r="I1930" s="265" t="s">
        <v>76</v>
      </c>
      <c r="J1930" s="265" t="s">
        <v>102</v>
      </c>
      <c r="K1930" s="265" t="s">
        <v>3363</v>
      </c>
      <c r="L1930" s="348" t="s">
        <v>1205</v>
      </c>
      <c r="M1930" s="265" t="s">
        <v>3364</v>
      </c>
      <c r="N1930" s="347">
        <v>12.105</v>
      </c>
      <c r="O1930" s="348" t="s">
        <v>1205</v>
      </c>
      <c r="P1930" s="348" t="s">
        <v>1205</v>
      </c>
      <c r="Q1930" s="348" t="s">
        <v>1205</v>
      </c>
    </row>
    <row r="1931" spans="1:17" ht="15" hidden="1" customHeight="1">
      <c r="A1931" s="163">
        <v>1926</v>
      </c>
      <c r="B1931" s="53" t="s">
        <v>35</v>
      </c>
      <c r="C1931" s="53" t="s">
        <v>3365</v>
      </c>
      <c r="D1931" s="53">
        <v>100025786</v>
      </c>
      <c r="E1931" s="55" t="s">
        <v>3366</v>
      </c>
      <c r="F1931" s="129" t="s">
        <v>1205</v>
      </c>
      <c r="G1931" s="129">
        <v>48</v>
      </c>
      <c r="H1931" s="512">
        <v>207.15</v>
      </c>
      <c r="I1931" s="265" t="s">
        <v>76</v>
      </c>
      <c r="J1931" s="265" t="s">
        <v>102</v>
      </c>
      <c r="K1931" s="265" t="s">
        <v>3367</v>
      </c>
      <c r="L1931" s="348" t="s">
        <v>1205</v>
      </c>
      <c r="M1931" s="265">
        <v>0</v>
      </c>
      <c r="N1931" s="347">
        <v>13.085000000000001</v>
      </c>
      <c r="O1931" s="348" t="s">
        <v>1205</v>
      </c>
      <c r="P1931" s="348" t="s">
        <v>1205</v>
      </c>
      <c r="Q1931" s="348" t="s">
        <v>1205</v>
      </c>
    </row>
    <row r="1932" spans="1:17" ht="15" hidden="1" customHeight="1">
      <c r="A1932" s="163">
        <v>1927</v>
      </c>
      <c r="B1932" s="53" t="s">
        <v>35</v>
      </c>
      <c r="C1932" s="53">
        <v>153</v>
      </c>
      <c r="D1932" s="53">
        <v>100028531</v>
      </c>
      <c r="E1932" s="55" t="s">
        <v>3368</v>
      </c>
      <c r="F1932" s="129" t="s">
        <v>1205</v>
      </c>
      <c r="G1932" s="129">
        <v>48</v>
      </c>
      <c r="H1932" s="512">
        <v>207.15</v>
      </c>
      <c r="I1932" s="265" t="s">
        <v>76</v>
      </c>
      <c r="J1932" s="265" t="s">
        <v>102</v>
      </c>
      <c r="K1932" s="265" t="s">
        <v>3369</v>
      </c>
      <c r="L1932" s="348" t="s">
        <v>1205</v>
      </c>
      <c r="M1932" s="265" t="s">
        <v>3370</v>
      </c>
      <c r="N1932" s="347">
        <v>12.105</v>
      </c>
      <c r="O1932" s="348" t="s">
        <v>1205</v>
      </c>
      <c r="P1932" s="348" t="s">
        <v>1205</v>
      </c>
      <c r="Q1932" s="348" t="s">
        <v>1205</v>
      </c>
    </row>
    <row r="1933" spans="1:17" ht="15" hidden="1" customHeight="1">
      <c r="A1933" s="163">
        <v>1928</v>
      </c>
      <c r="B1933" s="53" t="s">
        <v>35</v>
      </c>
      <c r="C1933" s="53" t="s">
        <v>3371</v>
      </c>
      <c r="D1933" s="53">
        <v>100025783</v>
      </c>
      <c r="E1933" s="55" t="s">
        <v>3372</v>
      </c>
      <c r="F1933" s="129" t="s">
        <v>1205</v>
      </c>
      <c r="G1933" s="129">
        <v>48</v>
      </c>
      <c r="H1933" s="512">
        <v>207.15</v>
      </c>
      <c r="I1933" s="265" t="s">
        <v>76</v>
      </c>
      <c r="J1933" s="265" t="s">
        <v>102</v>
      </c>
      <c r="K1933" s="265" t="s">
        <v>3373</v>
      </c>
      <c r="L1933" s="348" t="s">
        <v>1205</v>
      </c>
      <c r="M1933" s="265" t="s">
        <v>3374</v>
      </c>
      <c r="N1933" s="347">
        <v>12.105</v>
      </c>
      <c r="O1933" s="348" t="s">
        <v>1205</v>
      </c>
      <c r="P1933" s="348" t="s">
        <v>1205</v>
      </c>
      <c r="Q1933" s="348" t="s">
        <v>1205</v>
      </c>
    </row>
    <row r="1934" spans="1:17" ht="15" hidden="1" customHeight="1">
      <c r="A1934" s="163">
        <v>1929</v>
      </c>
      <c r="B1934" s="53" t="s">
        <v>35</v>
      </c>
      <c r="C1934" s="53" t="s">
        <v>3375</v>
      </c>
      <c r="D1934" s="53">
        <v>100025773</v>
      </c>
      <c r="E1934" s="55" t="s">
        <v>3376</v>
      </c>
      <c r="F1934" s="129" t="s">
        <v>1205</v>
      </c>
      <c r="G1934" s="129">
        <v>48</v>
      </c>
      <c r="H1934" s="512">
        <v>207.15</v>
      </c>
      <c r="I1934" s="265" t="s">
        <v>359</v>
      </c>
      <c r="J1934" s="265" t="s">
        <v>102</v>
      </c>
      <c r="K1934" s="265" t="s">
        <v>3378</v>
      </c>
      <c r="L1934" s="348" t="s">
        <v>1205</v>
      </c>
      <c r="M1934" s="265">
        <v>0</v>
      </c>
      <c r="N1934" s="347">
        <v>12.105</v>
      </c>
      <c r="O1934" s="348" t="s">
        <v>1205</v>
      </c>
      <c r="P1934" s="348" t="s">
        <v>1205</v>
      </c>
      <c r="Q1934" s="348" t="s">
        <v>1205</v>
      </c>
    </row>
    <row r="1935" spans="1:17" ht="15" hidden="1" customHeight="1">
      <c r="A1935" s="163">
        <v>1930</v>
      </c>
      <c r="B1935" s="53" t="s">
        <v>35</v>
      </c>
      <c r="C1935" s="53" t="s">
        <v>3381</v>
      </c>
      <c r="D1935" s="53">
        <v>100025778</v>
      </c>
      <c r="E1935" s="55" t="s">
        <v>3382</v>
      </c>
      <c r="F1935" s="129" t="s">
        <v>1205</v>
      </c>
      <c r="G1935" s="129">
        <v>28</v>
      </c>
      <c r="H1935" s="512">
        <v>172.07</v>
      </c>
      <c r="I1935" s="265" t="s">
        <v>359</v>
      </c>
      <c r="J1935" s="265" t="s">
        <v>102</v>
      </c>
      <c r="K1935" s="265" t="s">
        <v>3383</v>
      </c>
      <c r="L1935" s="348" t="s">
        <v>1205</v>
      </c>
      <c r="M1935" s="265" t="s">
        <v>3384</v>
      </c>
      <c r="N1935" s="347">
        <v>8.8849999999999998</v>
      </c>
      <c r="O1935" s="348" t="s">
        <v>1205</v>
      </c>
      <c r="P1935" s="348" t="s">
        <v>1205</v>
      </c>
      <c r="Q1935" s="348" t="s">
        <v>1205</v>
      </c>
    </row>
    <row r="1936" spans="1:17" ht="15" hidden="1" customHeight="1">
      <c r="A1936" s="163">
        <v>1931</v>
      </c>
      <c r="B1936" s="53" t="s">
        <v>35</v>
      </c>
      <c r="C1936" s="53" t="s">
        <v>3385</v>
      </c>
      <c r="D1936" s="53">
        <v>100025790</v>
      </c>
      <c r="E1936" s="55" t="s">
        <v>3386</v>
      </c>
      <c r="F1936" s="129" t="s">
        <v>1205</v>
      </c>
      <c r="G1936" s="129">
        <v>28</v>
      </c>
      <c r="H1936" s="512">
        <v>172.07</v>
      </c>
      <c r="I1936" s="265" t="s">
        <v>76</v>
      </c>
      <c r="J1936" s="265" t="s">
        <v>102</v>
      </c>
      <c r="K1936" s="265" t="s">
        <v>3387</v>
      </c>
      <c r="L1936" s="348" t="s">
        <v>1205</v>
      </c>
      <c r="M1936" s="265" t="s">
        <v>3388</v>
      </c>
      <c r="N1936" s="347">
        <v>8.8849999999999998</v>
      </c>
      <c r="O1936" s="348" t="s">
        <v>1205</v>
      </c>
      <c r="P1936" s="348" t="s">
        <v>1205</v>
      </c>
      <c r="Q1936" s="348" t="s">
        <v>1205</v>
      </c>
    </row>
    <row r="1937" spans="1:17" ht="15" hidden="1" customHeight="1">
      <c r="A1937" s="163">
        <v>1932</v>
      </c>
      <c r="B1937" s="53" t="s">
        <v>35</v>
      </c>
      <c r="C1937" s="53" t="s">
        <v>3389</v>
      </c>
      <c r="D1937" s="53">
        <v>100025794</v>
      </c>
      <c r="E1937" s="55" t="s">
        <v>3390</v>
      </c>
      <c r="F1937" s="129" t="s">
        <v>1205</v>
      </c>
      <c r="G1937" s="129">
        <v>28</v>
      </c>
      <c r="H1937" s="512">
        <v>172.07</v>
      </c>
      <c r="I1937" s="265" t="s">
        <v>359</v>
      </c>
      <c r="J1937" s="265" t="s">
        <v>102</v>
      </c>
      <c r="K1937" s="265" t="s">
        <v>3391</v>
      </c>
      <c r="L1937" s="348" t="s">
        <v>1205</v>
      </c>
      <c r="M1937" s="265" t="s">
        <v>3392</v>
      </c>
      <c r="N1937" s="347">
        <v>8.8849999999999998</v>
      </c>
      <c r="O1937" s="348" t="s">
        <v>1205</v>
      </c>
      <c r="P1937" s="348" t="s">
        <v>1205</v>
      </c>
      <c r="Q1937" s="348" t="s">
        <v>1205</v>
      </c>
    </row>
    <row r="1938" spans="1:17" ht="15" hidden="1" customHeight="1">
      <c r="A1938" s="163">
        <v>1933</v>
      </c>
      <c r="B1938" s="53" t="s">
        <v>36</v>
      </c>
      <c r="C1938" s="53" t="s">
        <v>3396</v>
      </c>
      <c r="D1938" s="53">
        <v>100025655</v>
      </c>
      <c r="E1938" s="55" t="s">
        <v>3397</v>
      </c>
      <c r="F1938" s="129" t="s">
        <v>1205</v>
      </c>
      <c r="G1938" s="129">
        <v>1</v>
      </c>
      <c r="H1938" s="512">
        <v>5.58</v>
      </c>
      <c r="I1938" s="265" t="s">
        <v>359</v>
      </c>
      <c r="J1938" s="265" t="s">
        <v>102</v>
      </c>
      <c r="K1938" s="265" t="s">
        <v>3398</v>
      </c>
      <c r="L1938" s="348" t="s">
        <v>1205</v>
      </c>
      <c r="M1938" s="265">
        <v>0</v>
      </c>
      <c r="N1938" s="347">
        <v>0.30499999999999999</v>
      </c>
      <c r="O1938" s="348" t="s">
        <v>1205</v>
      </c>
      <c r="P1938" s="348" t="s">
        <v>1205</v>
      </c>
      <c r="Q1938" s="348" t="s">
        <v>1205</v>
      </c>
    </row>
    <row r="1939" spans="1:17" ht="15" hidden="1" customHeight="1">
      <c r="A1939" s="163">
        <v>1934</v>
      </c>
      <c r="B1939" s="53" t="s">
        <v>36</v>
      </c>
      <c r="C1939" s="53" t="s">
        <v>3399</v>
      </c>
      <c r="D1939" s="53">
        <v>100025663</v>
      </c>
      <c r="E1939" s="55" t="s">
        <v>3400</v>
      </c>
      <c r="F1939" s="129" t="s">
        <v>1205</v>
      </c>
      <c r="G1939" s="129">
        <v>1</v>
      </c>
      <c r="H1939" s="512">
        <v>5.58</v>
      </c>
      <c r="I1939" s="265" t="s">
        <v>76</v>
      </c>
      <c r="J1939" s="265" t="s">
        <v>102</v>
      </c>
      <c r="K1939" s="265" t="s">
        <v>3401</v>
      </c>
      <c r="L1939" s="348" t="s">
        <v>1205</v>
      </c>
      <c r="M1939" s="265">
        <v>0</v>
      </c>
      <c r="N1939" s="347">
        <v>0.30499999999999999</v>
      </c>
      <c r="O1939" s="348" t="s">
        <v>1205</v>
      </c>
      <c r="P1939" s="348" t="s">
        <v>1205</v>
      </c>
      <c r="Q1939" s="348" t="s">
        <v>1205</v>
      </c>
    </row>
    <row r="1940" spans="1:17" ht="15" hidden="1" customHeight="1">
      <c r="A1940" s="163">
        <v>1935</v>
      </c>
      <c r="B1940" s="53" t="s">
        <v>36</v>
      </c>
      <c r="C1940" s="53" t="s">
        <v>3402</v>
      </c>
      <c r="D1940" s="53">
        <v>100025535</v>
      </c>
      <c r="E1940" s="55" t="s">
        <v>3403</v>
      </c>
      <c r="F1940" s="129" t="s">
        <v>1205</v>
      </c>
      <c r="G1940" s="129">
        <v>1</v>
      </c>
      <c r="H1940" s="512">
        <v>5.58</v>
      </c>
      <c r="I1940" s="265" t="s">
        <v>359</v>
      </c>
      <c r="J1940" s="265" t="s">
        <v>102</v>
      </c>
      <c r="K1940" s="265" t="s">
        <v>3404</v>
      </c>
      <c r="L1940" s="348" t="s">
        <v>1205</v>
      </c>
      <c r="M1940" s="265">
        <v>0</v>
      </c>
      <c r="N1940" s="347">
        <v>0.30499999999999999</v>
      </c>
      <c r="O1940" s="348" t="s">
        <v>1205</v>
      </c>
      <c r="P1940" s="348" t="s">
        <v>1205</v>
      </c>
      <c r="Q1940" s="348" t="s">
        <v>1205</v>
      </c>
    </row>
    <row r="1941" spans="1:17" ht="15" hidden="1" customHeight="1">
      <c r="A1941" s="163">
        <v>1936</v>
      </c>
      <c r="B1941" s="53" t="s">
        <v>36</v>
      </c>
      <c r="C1941" s="53" t="s">
        <v>3405</v>
      </c>
      <c r="D1941" s="53">
        <v>100025661</v>
      </c>
      <c r="E1941" s="55" t="s">
        <v>3406</v>
      </c>
      <c r="F1941" s="129" t="s">
        <v>1205</v>
      </c>
      <c r="G1941" s="129">
        <v>1</v>
      </c>
      <c r="H1941" s="512">
        <v>5.58</v>
      </c>
      <c r="I1941" s="265" t="s">
        <v>359</v>
      </c>
      <c r="J1941" s="265" t="s">
        <v>102</v>
      </c>
      <c r="K1941" s="265" t="s">
        <v>3407</v>
      </c>
      <c r="L1941" s="348" t="s">
        <v>1205</v>
      </c>
      <c r="M1941" s="265">
        <v>0</v>
      </c>
      <c r="N1941" s="347">
        <v>0.30499999999999999</v>
      </c>
      <c r="O1941" s="348" t="s">
        <v>1205</v>
      </c>
      <c r="P1941" s="348" t="s">
        <v>1205</v>
      </c>
      <c r="Q1941" s="348" t="s">
        <v>1205</v>
      </c>
    </row>
    <row r="1942" spans="1:17" ht="15" hidden="1" customHeight="1">
      <c r="A1942" s="163">
        <v>1937</v>
      </c>
      <c r="B1942" s="53" t="s">
        <v>36</v>
      </c>
      <c r="C1942" s="53" t="s">
        <v>3408</v>
      </c>
      <c r="D1942" s="53">
        <v>100025518</v>
      </c>
      <c r="E1942" s="55" t="s">
        <v>3409</v>
      </c>
      <c r="F1942" s="129" t="s">
        <v>1205</v>
      </c>
      <c r="G1942" s="129">
        <v>1</v>
      </c>
      <c r="H1942" s="512">
        <v>5.58</v>
      </c>
      <c r="I1942" s="265" t="s">
        <v>76</v>
      </c>
      <c r="J1942" s="265" t="s">
        <v>102</v>
      </c>
      <c r="K1942" s="265" t="s">
        <v>3410</v>
      </c>
      <c r="L1942" s="348" t="s">
        <v>1205</v>
      </c>
      <c r="M1942" s="265">
        <v>0</v>
      </c>
      <c r="N1942" s="347">
        <v>0.30499999999999999</v>
      </c>
      <c r="O1942" s="348" t="s">
        <v>1205</v>
      </c>
      <c r="P1942" s="348" t="s">
        <v>1205</v>
      </c>
      <c r="Q1942" s="348" t="s">
        <v>1205</v>
      </c>
    </row>
    <row r="1943" spans="1:17" ht="15" hidden="1" customHeight="1">
      <c r="A1943" s="163">
        <v>1938</v>
      </c>
      <c r="B1943" s="53" t="s">
        <v>36</v>
      </c>
      <c r="C1943" s="53" t="s">
        <v>3411</v>
      </c>
      <c r="D1943" s="53">
        <v>100025532</v>
      </c>
      <c r="E1943" s="55" t="s">
        <v>3412</v>
      </c>
      <c r="F1943" s="129" t="s">
        <v>1205</v>
      </c>
      <c r="G1943" s="129">
        <v>1</v>
      </c>
      <c r="H1943" s="512">
        <v>5.58</v>
      </c>
      <c r="I1943" s="265" t="s">
        <v>359</v>
      </c>
      <c r="J1943" s="265" t="s">
        <v>102</v>
      </c>
      <c r="K1943" s="265" t="s">
        <v>3413</v>
      </c>
      <c r="L1943" s="348" t="s">
        <v>1205</v>
      </c>
      <c r="M1943" s="265">
        <v>0</v>
      </c>
      <c r="N1943" s="347">
        <v>0.30499999999999999</v>
      </c>
      <c r="O1943" s="348" t="s">
        <v>1205</v>
      </c>
      <c r="P1943" s="348" t="s">
        <v>1205</v>
      </c>
      <c r="Q1943" s="348" t="s">
        <v>1205</v>
      </c>
    </row>
    <row r="1944" spans="1:17" ht="15" hidden="1" customHeight="1">
      <c r="A1944" s="163">
        <v>1939</v>
      </c>
      <c r="B1944" s="53" t="s">
        <v>36</v>
      </c>
      <c r="C1944" s="53" t="s">
        <v>3414</v>
      </c>
      <c r="D1944" s="53">
        <v>100025521</v>
      </c>
      <c r="E1944" s="55" t="s">
        <v>3415</v>
      </c>
      <c r="F1944" s="129" t="s">
        <v>1205</v>
      </c>
      <c r="G1944" s="129">
        <v>1</v>
      </c>
      <c r="H1944" s="512">
        <v>5.58</v>
      </c>
      <c r="I1944" s="265" t="s">
        <v>359</v>
      </c>
      <c r="J1944" s="265" t="s">
        <v>102</v>
      </c>
      <c r="K1944" s="265" t="s">
        <v>3416</v>
      </c>
      <c r="L1944" s="348" t="s">
        <v>1205</v>
      </c>
      <c r="M1944" s="265">
        <v>0</v>
      </c>
      <c r="N1944" s="347">
        <v>0.30499999999999999</v>
      </c>
      <c r="O1944" s="348" t="s">
        <v>1205</v>
      </c>
      <c r="P1944" s="348" t="s">
        <v>1205</v>
      </c>
      <c r="Q1944" s="348" t="s">
        <v>1205</v>
      </c>
    </row>
    <row r="1945" spans="1:17" ht="15" hidden="1" customHeight="1">
      <c r="A1945" s="163">
        <v>1940</v>
      </c>
      <c r="B1945" s="53" t="s">
        <v>36</v>
      </c>
      <c r="C1945" s="53" t="s">
        <v>3417</v>
      </c>
      <c r="D1945" s="53">
        <v>100025666</v>
      </c>
      <c r="E1945" s="55" t="s">
        <v>3418</v>
      </c>
      <c r="F1945" s="129" t="s">
        <v>1205</v>
      </c>
      <c r="G1945" s="129">
        <v>1</v>
      </c>
      <c r="H1945" s="512">
        <v>5.58</v>
      </c>
      <c r="I1945" s="265" t="s">
        <v>359</v>
      </c>
      <c r="J1945" s="265" t="s">
        <v>102</v>
      </c>
      <c r="K1945" s="265" t="s">
        <v>3419</v>
      </c>
      <c r="L1945" s="348" t="s">
        <v>1205</v>
      </c>
      <c r="M1945" s="265">
        <v>0</v>
      </c>
      <c r="N1945" s="347">
        <v>0.30499999999999999</v>
      </c>
      <c r="O1945" s="348" t="s">
        <v>1205</v>
      </c>
      <c r="P1945" s="348" t="s">
        <v>1205</v>
      </c>
      <c r="Q1945" s="348" t="s">
        <v>1205</v>
      </c>
    </row>
    <row r="1946" spans="1:17" ht="15" hidden="1" customHeight="1">
      <c r="A1946" s="163">
        <v>1941</v>
      </c>
      <c r="B1946" s="53" t="s">
        <v>36</v>
      </c>
      <c r="C1946" s="53" t="s">
        <v>3420</v>
      </c>
      <c r="D1946" s="53">
        <v>100025519</v>
      </c>
      <c r="E1946" s="55" t="s">
        <v>3421</v>
      </c>
      <c r="F1946" s="129" t="s">
        <v>1205</v>
      </c>
      <c r="G1946" s="129">
        <v>1</v>
      </c>
      <c r="H1946" s="512">
        <v>5.58</v>
      </c>
      <c r="I1946" s="265" t="s">
        <v>359</v>
      </c>
      <c r="J1946" s="265" t="s">
        <v>102</v>
      </c>
      <c r="K1946" s="265" t="s">
        <v>3423</v>
      </c>
      <c r="L1946" s="348" t="s">
        <v>1205</v>
      </c>
      <c r="M1946" s="265">
        <v>0</v>
      </c>
      <c r="N1946" s="347">
        <v>0.30499999999999999</v>
      </c>
      <c r="O1946" s="348" t="s">
        <v>1205</v>
      </c>
      <c r="P1946" s="348" t="s">
        <v>1205</v>
      </c>
      <c r="Q1946" s="348" t="s">
        <v>1205</v>
      </c>
    </row>
    <row r="1947" spans="1:17" ht="15" hidden="1" customHeight="1">
      <c r="A1947" s="163">
        <v>1942</v>
      </c>
      <c r="B1947" s="53" t="s">
        <v>36</v>
      </c>
      <c r="C1947" s="53" t="s">
        <v>3424</v>
      </c>
      <c r="D1947" s="53">
        <v>100025512</v>
      </c>
      <c r="E1947" s="55" t="s">
        <v>3425</v>
      </c>
      <c r="F1947" s="129" t="s">
        <v>1205</v>
      </c>
      <c r="G1947" s="129">
        <v>1</v>
      </c>
      <c r="H1947" s="512">
        <v>5.58</v>
      </c>
      <c r="I1947" s="265" t="s">
        <v>359</v>
      </c>
      <c r="J1947" s="265" t="s">
        <v>102</v>
      </c>
      <c r="K1947" s="265" t="s">
        <v>3426</v>
      </c>
      <c r="L1947" s="348" t="s">
        <v>1205</v>
      </c>
      <c r="M1947" s="265">
        <v>0</v>
      </c>
      <c r="N1947" s="347">
        <v>0.30499999999999999</v>
      </c>
      <c r="O1947" s="348" t="s">
        <v>1205</v>
      </c>
      <c r="P1947" s="348" t="s">
        <v>1205</v>
      </c>
      <c r="Q1947" s="348" t="s">
        <v>1205</v>
      </c>
    </row>
    <row r="1948" spans="1:17" ht="15" hidden="1" customHeight="1">
      <c r="A1948" s="163">
        <v>1943</v>
      </c>
      <c r="B1948" s="53" t="s">
        <v>36</v>
      </c>
      <c r="C1948" s="53" t="s">
        <v>3427</v>
      </c>
      <c r="D1948" s="53">
        <v>100025664</v>
      </c>
      <c r="E1948" s="55" t="s">
        <v>3428</v>
      </c>
      <c r="F1948" s="129" t="s">
        <v>1205</v>
      </c>
      <c r="G1948" s="129">
        <v>1</v>
      </c>
      <c r="H1948" s="512">
        <v>5.58</v>
      </c>
      <c r="I1948" s="265" t="s">
        <v>359</v>
      </c>
      <c r="J1948" s="265" t="s">
        <v>102</v>
      </c>
      <c r="K1948" s="265" t="s">
        <v>3429</v>
      </c>
      <c r="L1948" s="348" t="s">
        <v>1205</v>
      </c>
      <c r="M1948" s="265">
        <v>0</v>
      </c>
      <c r="N1948" s="347">
        <v>0.30499999999999999</v>
      </c>
      <c r="O1948" s="348" t="s">
        <v>1205</v>
      </c>
      <c r="P1948" s="348" t="s">
        <v>1205</v>
      </c>
      <c r="Q1948" s="348" t="s">
        <v>1205</v>
      </c>
    </row>
    <row r="1949" spans="1:17" ht="15" hidden="1" customHeight="1">
      <c r="A1949" s="163">
        <v>1944</v>
      </c>
      <c r="B1949" s="53" t="s">
        <v>36</v>
      </c>
      <c r="C1949" s="53" t="s">
        <v>3430</v>
      </c>
      <c r="D1949" s="53">
        <v>100025516</v>
      </c>
      <c r="E1949" s="55" t="s">
        <v>3431</v>
      </c>
      <c r="F1949" s="129" t="s">
        <v>1205</v>
      </c>
      <c r="G1949" s="129">
        <v>1</v>
      </c>
      <c r="H1949" s="512">
        <v>5.58</v>
      </c>
      <c r="I1949" s="265" t="s">
        <v>359</v>
      </c>
      <c r="J1949" s="265" t="s">
        <v>102</v>
      </c>
      <c r="K1949" s="265" t="s">
        <v>3432</v>
      </c>
      <c r="L1949" s="348" t="s">
        <v>1205</v>
      </c>
      <c r="M1949" s="265">
        <v>0</v>
      </c>
      <c r="N1949" s="347">
        <v>0.30499999999999999</v>
      </c>
      <c r="O1949" s="348" t="s">
        <v>1205</v>
      </c>
      <c r="P1949" s="348" t="s">
        <v>1205</v>
      </c>
      <c r="Q1949" s="348" t="s">
        <v>1205</v>
      </c>
    </row>
    <row r="1950" spans="1:17" ht="15" hidden="1" customHeight="1">
      <c r="A1950" s="163">
        <v>1945</v>
      </c>
      <c r="B1950" s="53" t="s">
        <v>36</v>
      </c>
      <c r="C1950" s="53" t="s">
        <v>3433</v>
      </c>
      <c r="D1950" s="53">
        <v>100025531</v>
      </c>
      <c r="E1950" s="55" t="s">
        <v>3434</v>
      </c>
      <c r="F1950" s="129" t="s">
        <v>1205</v>
      </c>
      <c r="G1950" s="129">
        <v>1</v>
      </c>
      <c r="H1950" s="512">
        <v>5.58</v>
      </c>
      <c r="I1950" s="265" t="s">
        <v>359</v>
      </c>
      <c r="J1950" s="265" t="s">
        <v>102</v>
      </c>
      <c r="K1950" s="265" t="s">
        <v>3435</v>
      </c>
      <c r="L1950" s="348" t="s">
        <v>1205</v>
      </c>
      <c r="M1950" s="265">
        <v>0</v>
      </c>
      <c r="N1950" s="347">
        <v>0.30499999999999999</v>
      </c>
      <c r="O1950" s="348" t="s">
        <v>1205</v>
      </c>
      <c r="P1950" s="348" t="s">
        <v>1205</v>
      </c>
      <c r="Q1950" s="348" t="s">
        <v>1205</v>
      </c>
    </row>
    <row r="1951" spans="1:17" ht="15" hidden="1" customHeight="1">
      <c r="A1951" s="163">
        <v>1946</v>
      </c>
      <c r="B1951" s="53" t="s">
        <v>36</v>
      </c>
      <c r="C1951" s="53" t="s">
        <v>3436</v>
      </c>
      <c r="D1951" s="53">
        <v>100025520</v>
      </c>
      <c r="E1951" s="55" t="s">
        <v>3437</v>
      </c>
      <c r="F1951" s="129" t="s">
        <v>1205</v>
      </c>
      <c r="G1951" s="129">
        <v>1</v>
      </c>
      <c r="H1951" s="512">
        <v>5.58</v>
      </c>
      <c r="I1951" s="265" t="s">
        <v>359</v>
      </c>
      <c r="J1951" s="265" t="s">
        <v>102</v>
      </c>
      <c r="K1951" s="265" t="s">
        <v>3438</v>
      </c>
      <c r="L1951" s="348" t="s">
        <v>1205</v>
      </c>
      <c r="M1951" s="265">
        <v>0</v>
      </c>
      <c r="N1951" s="347">
        <v>0.30499999999999999</v>
      </c>
      <c r="O1951" s="348" t="s">
        <v>1205</v>
      </c>
      <c r="P1951" s="348" t="s">
        <v>1205</v>
      </c>
      <c r="Q1951" s="348" t="s">
        <v>1205</v>
      </c>
    </row>
    <row r="1952" spans="1:17" ht="15" hidden="1" customHeight="1">
      <c r="A1952" s="163">
        <v>1947</v>
      </c>
      <c r="B1952" s="53" t="s">
        <v>36</v>
      </c>
      <c r="C1952" s="53" t="s">
        <v>3439</v>
      </c>
      <c r="D1952" s="53">
        <v>100025533</v>
      </c>
      <c r="E1952" s="55" t="s">
        <v>3440</v>
      </c>
      <c r="F1952" s="129" t="s">
        <v>1205</v>
      </c>
      <c r="G1952" s="129">
        <v>1</v>
      </c>
      <c r="H1952" s="512">
        <v>5.58</v>
      </c>
      <c r="I1952" s="265" t="s">
        <v>359</v>
      </c>
      <c r="J1952" s="265" t="s">
        <v>102</v>
      </c>
      <c r="K1952" s="265" t="s">
        <v>3441</v>
      </c>
      <c r="L1952" s="348" t="s">
        <v>1205</v>
      </c>
      <c r="M1952" s="265">
        <v>0</v>
      </c>
      <c r="N1952" s="347">
        <v>0.30499999999999999</v>
      </c>
      <c r="O1952" s="348" t="s">
        <v>1205</v>
      </c>
      <c r="P1952" s="348" t="s">
        <v>1205</v>
      </c>
      <c r="Q1952" s="348" t="s">
        <v>1205</v>
      </c>
    </row>
    <row r="1953" spans="1:17" ht="15" hidden="1" customHeight="1">
      <c r="A1953" s="163">
        <v>1948</v>
      </c>
      <c r="B1953" s="53" t="s">
        <v>36</v>
      </c>
      <c r="C1953" s="53" t="s">
        <v>3443</v>
      </c>
      <c r="D1953" s="53">
        <v>100025346</v>
      </c>
      <c r="E1953" s="55" t="s">
        <v>3444</v>
      </c>
      <c r="F1953" s="129" t="s">
        <v>1205</v>
      </c>
      <c r="G1953" s="129">
        <v>240</v>
      </c>
      <c r="H1953" s="512">
        <v>26.09</v>
      </c>
      <c r="I1953" s="265" t="s">
        <v>359</v>
      </c>
      <c r="J1953" s="265" t="s">
        <v>102</v>
      </c>
      <c r="K1953" s="265" t="s">
        <v>3445</v>
      </c>
      <c r="L1953" s="348" t="s">
        <v>1205</v>
      </c>
      <c r="M1953" s="265">
        <v>0</v>
      </c>
      <c r="N1953" s="347">
        <v>1.19</v>
      </c>
      <c r="O1953" s="348" t="s">
        <v>1205</v>
      </c>
      <c r="P1953" s="348" t="s">
        <v>1205</v>
      </c>
      <c r="Q1953" s="348" t="s">
        <v>1205</v>
      </c>
    </row>
    <row r="1954" spans="1:17" ht="15" hidden="1" customHeight="1">
      <c r="A1954" s="163">
        <v>1949</v>
      </c>
      <c r="B1954" s="53" t="s">
        <v>36</v>
      </c>
      <c r="C1954" s="53" t="s">
        <v>3446</v>
      </c>
      <c r="D1954" s="53">
        <v>100025590</v>
      </c>
      <c r="E1954" s="55" t="s">
        <v>3447</v>
      </c>
      <c r="F1954" s="129" t="s">
        <v>1205</v>
      </c>
      <c r="G1954" s="129">
        <v>240</v>
      </c>
      <c r="H1954" s="512">
        <v>26.09</v>
      </c>
      <c r="I1954" s="265" t="s">
        <v>359</v>
      </c>
      <c r="J1954" s="265" t="s">
        <v>102</v>
      </c>
      <c r="K1954" s="265" t="s">
        <v>3448</v>
      </c>
      <c r="L1954" s="348" t="s">
        <v>1205</v>
      </c>
      <c r="M1954" s="265">
        <v>0</v>
      </c>
      <c r="N1954" s="347">
        <v>1.19</v>
      </c>
      <c r="O1954" s="348" t="s">
        <v>1205</v>
      </c>
      <c r="P1954" s="348" t="s">
        <v>1205</v>
      </c>
      <c r="Q1954" s="348" t="s">
        <v>1205</v>
      </c>
    </row>
    <row r="1955" spans="1:17" ht="15" hidden="1" customHeight="1">
      <c r="A1955" s="163">
        <v>1950</v>
      </c>
      <c r="B1955" s="53" t="s">
        <v>36</v>
      </c>
      <c r="C1955" s="53" t="s">
        <v>3450</v>
      </c>
      <c r="D1955" s="53">
        <v>100025669</v>
      </c>
      <c r="E1955" s="55" t="s">
        <v>3451</v>
      </c>
      <c r="F1955" s="129" t="s">
        <v>1205</v>
      </c>
      <c r="G1955" s="129">
        <v>1</v>
      </c>
      <c r="H1955" s="512">
        <v>8.7799999999999994</v>
      </c>
      <c r="I1955" s="265" t="s">
        <v>359</v>
      </c>
      <c r="J1955" s="265" t="s">
        <v>102</v>
      </c>
      <c r="K1955" s="265" t="s">
        <v>3452</v>
      </c>
      <c r="L1955" s="348" t="s">
        <v>1205</v>
      </c>
      <c r="M1955" s="265">
        <v>0</v>
      </c>
      <c r="N1955" s="347">
        <v>0.51500000000000001</v>
      </c>
      <c r="O1955" s="348" t="s">
        <v>1205</v>
      </c>
      <c r="P1955" s="348" t="s">
        <v>1205</v>
      </c>
      <c r="Q1955" s="348" t="s">
        <v>1205</v>
      </c>
    </row>
    <row r="1956" spans="1:17" ht="15" hidden="1" customHeight="1">
      <c r="A1956" s="163">
        <v>1951</v>
      </c>
      <c r="B1956" s="53" t="s">
        <v>36</v>
      </c>
      <c r="C1956" s="53" t="s">
        <v>3453</v>
      </c>
      <c r="D1956" s="53">
        <v>100025674</v>
      </c>
      <c r="E1956" s="55" t="s">
        <v>3454</v>
      </c>
      <c r="F1956" s="129" t="s">
        <v>1205</v>
      </c>
      <c r="G1956" s="129">
        <v>1</v>
      </c>
      <c r="H1956" s="512">
        <v>8.7799999999999994</v>
      </c>
      <c r="I1956" s="265" t="s">
        <v>359</v>
      </c>
      <c r="J1956" s="265" t="s">
        <v>102</v>
      </c>
      <c r="K1956" s="265" t="s">
        <v>3455</v>
      </c>
      <c r="L1956" s="348" t="s">
        <v>1205</v>
      </c>
      <c r="M1956" s="265">
        <v>0</v>
      </c>
      <c r="N1956" s="347">
        <v>0.51500000000000001</v>
      </c>
      <c r="O1956" s="348" t="s">
        <v>1205</v>
      </c>
      <c r="P1956" s="348" t="s">
        <v>1205</v>
      </c>
      <c r="Q1956" s="348" t="s">
        <v>1205</v>
      </c>
    </row>
    <row r="1957" spans="1:17" ht="15" hidden="1" customHeight="1">
      <c r="A1957" s="163">
        <v>1952</v>
      </c>
      <c r="B1957" s="53" t="s">
        <v>36</v>
      </c>
      <c r="C1957" s="53" t="s">
        <v>3456</v>
      </c>
      <c r="D1957" s="53">
        <v>100025556</v>
      </c>
      <c r="E1957" s="55" t="s">
        <v>3457</v>
      </c>
      <c r="F1957" s="129" t="s">
        <v>1205</v>
      </c>
      <c r="G1957" s="129">
        <v>1</v>
      </c>
      <c r="H1957" s="512">
        <v>8.7799999999999994</v>
      </c>
      <c r="I1957" s="265" t="s">
        <v>359</v>
      </c>
      <c r="J1957" s="265" t="s">
        <v>102</v>
      </c>
      <c r="K1957" s="265" t="s">
        <v>3458</v>
      </c>
      <c r="L1957" s="348" t="s">
        <v>1205</v>
      </c>
      <c r="M1957" s="265">
        <v>0</v>
      </c>
      <c r="N1957" s="347">
        <v>0.51500000000000001</v>
      </c>
      <c r="O1957" s="348" t="s">
        <v>1205</v>
      </c>
      <c r="P1957" s="348" t="s">
        <v>1205</v>
      </c>
      <c r="Q1957" s="348" t="s">
        <v>1205</v>
      </c>
    </row>
    <row r="1958" spans="1:17" ht="15" hidden="1" customHeight="1">
      <c r="A1958" s="163">
        <v>1953</v>
      </c>
      <c r="B1958" s="53" t="s">
        <v>36</v>
      </c>
      <c r="C1958" s="53" t="s">
        <v>3459</v>
      </c>
      <c r="D1958" s="53">
        <v>100025672</v>
      </c>
      <c r="E1958" s="55" t="s">
        <v>3460</v>
      </c>
      <c r="F1958" s="129" t="s">
        <v>1205</v>
      </c>
      <c r="G1958" s="129">
        <v>1</v>
      </c>
      <c r="H1958" s="512">
        <v>8.7799999999999994</v>
      </c>
      <c r="I1958" s="265" t="s">
        <v>76</v>
      </c>
      <c r="J1958" s="265" t="s">
        <v>102</v>
      </c>
      <c r="K1958" s="265" t="s">
        <v>3461</v>
      </c>
      <c r="L1958" s="348" t="s">
        <v>1205</v>
      </c>
      <c r="M1958" s="265">
        <v>0</v>
      </c>
      <c r="N1958" s="347">
        <v>0.51500000000000001</v>
      </c>
      <c r="O1958" s="348" t="s">
        <v>1205</v>
      </c>
      <c r="P1958" s="348" t="s">
        <v>1205</v>
      </c>
      <c r="Q1958" s="348" t="s">
        <v>1205</v>
      </c>
    </row>
    <row r="1959" spans="1:17" ht="15" hidden="1" customHeight="1">
      <c r="A1959" s="163">
        <v>1954</v>
      </c>
      <c r="B1959" s="53" t="s">
        <v>36</v>
      </c>
      <c r="C1959" s="53" t="s">
        <v>3462</v>
      </c>
      <c r="D1959" s="53">
        <v>100025550</v>
      </c>
      <c r="E1959" s="55" t="s">
        <v>3463</v>
      </c>
      <c r="F1959" s="129" t="s">
        <v>1205</v>
      </c>
      <c r="G1959" s="129">
        <v>1</v>
      </c>
      <c r="H1959" s="512">
        <v>8.7799999999999994</v>
      </c>
      <c r="I1959" s="265" t="s">
        <v>359</v>
      </c>
      <c r="J1959" s="265" t="s">
        <v>102</v>
      </c>
      <c r="K1959" s="265" t="s">
        <v>3464</v>
      </c>
      <c r="L1959" s="348" t="s">
        <v>1205</v>
      </c>
      <c r="M1959" s="265">
        <v>0</v>
      </c>
      <c r="N1959" s="347">
        <v>0.51500000000000001</v>
      </c>
      <c r="O1959" s="348" t="s">
        <v>1205</v>
      </c>
      <c r="P1959" s="348" t="s">
        <v>1205</v>
      </c>
      <c r="Q1959" s="348" t="s">
        <v>1205</v>
      </c>
    </row>
    <row r="1960" spans="1:17" ht="15" hidden="1" customHeight="1">
      <c r="A1960" s="163">
        <v>1955</v>
      </c>
      <c r="B1960" s="53" t="s">
        <v>36</v>
      </c>
      <c r="C1960" s="53" t="s">
        <v>3465</v>
      </c>
      <c r="D1960" s="53">
        <v>100025548</v>
      </c>
      <c r="E1960" s="55" t="s">
        <v>3466</v>
      </c>
      <c r="F1960" s="129" t="s">
        <v>1205</v>
      </c>
      <c r="G1960" s="129">
        <v>1</v>
      </c>
      <c r="H1960" s="512">
        <v>8.7799999999999994</v>
      </c>
      <c r="I1960" s="265" t="s">
        <v>359</v>
      </c>
      <c r="J1960" s="265" t="s">
        <v>102</v>
      </c>
      <c r="K1960" s="265" t="s">
        <v>3467</v>
      </c>
      <c r="L1960" s="348" t="s">
        <v>1205</v>
      </c>
      <c r="M1960" s="265">
        <v>0</v>
      </c>
      <c r="N1960" s="347">
        <v>0.51500000000000001</v>
      </c>
      <c r="O1960" s="348" t="s">
        <v>1205</v>
      </c>
      <c r="P1960" s="348" t="s">
        <v>1205</v>
      </c>
      <c r="Q1960" s="348" t="s">
        <v>1205</v>
      </c>
    </row>
    <row r="1961" spans="1:17" ht="15" hidden="1" customHeight="1">
      <c r="A1961" s="163">
        <v>1956</v>
      </c>
      <c r="B1961" s="53" t="s">
        <v>36</v>
      </c>
      <c r="C1961" s="53" t="s">
        <v>3468</v>
      </c>
      <c r="D1961" s="53">
        <v>100025554</v>
      </c>
      <c r="E1961" s="55" t="s">
        <v>3469</v>
      </c>
      <c r="F1961" s="129" t="s">
        <v>1205</v>
      </c>
      <c r="G1961" s="129">
        <v>1</v>
      </c>
      <c r="H1961" s="512">
        <v>8.7799999999999994</v>
      </c>
      <c r="I1961" s="265" t="s">
        <v>359</v>
      </c>
      <c r="J1961" s="265" t="s">
        <v>102</v>
      </c>
      <c r="K1961" s="265" t="s">
        <v>3470</v>
      </c>
      <c r="L1961" s="348" t="s">
        <v>1205</v>
      </c>
      <c r="M1961" s="265">
        <v>0</v>
      </c>
      <c r="N1961" s="347">
        <v>0.51500000000000001</v>
      </c>
      <c r="O1961" s="348" t="s">
        <v>1205</v>
      </c>
      <c r="P1961" s="348" t="s">
        <v>1205</v>
      </c>
      <c r="Q1961" s="348" t="s">
        <v>1205</v>
      </c>
    </row>
    <row r="1962" spans="1:17" ht="15" hidden="1" customHeight="1">
      <c r="A1962" s="163">
        <v>1957</v>
      </c>
      <c r="B1962" s="53" t="s">
        <v>36</v>
      </c>
      <c r="C1962" s="53" t="s">
        <v>3471</v>
      </c>
      <c r="D1962" s="53">
        <v>100025557</v>
      </c>
      <c r="E1962" s="55" t="s">
        <v>3472</v>
      </c>
      <c r="F1962" s="129" t="s">
        <v>1205</v>
      </c>
      <c r="G1962" s="129">
        <v>1</v>
      </c>
      <c r="H1962" s="512">
        <v>8.7799999999999994</v>
      </c>
      <c r="I1962" s="265" t="s">
        <v>76</v>
      </c>
      <c r="J1962" s="265" t="s">
        <v>102</v>
      </c>
      <c r="K1962" s="265" t="s">
        <v>3473</v>
      </c>
      <c r="L1962" s="348" t="s">
        <v>1205</v>
      </c>
      <c r="M1962" s="265">
        <v>0</v>
      </c>
      <c r="N1962" s="347">
        <v>0.51500000000000001</v>
      </c>
      <c r="O1962" s="348" t="s">
        <v>1205</v>
      </c>
      <c r="P1962" s="348" t="s">
        <v>1205</v>
      </c>
      <c r="Q1962" s="348" t="s">
        <v>1205</v>
      </c>
    </row>
    <row r="1963" spans="1:17" ht="15" hidden="1" customHeight="1">
      <c r="A1963" s="163">
        <v>1958</v>
      </c>
      <c r="B1963" s="53" t="s">
        <v>36</v>
      </c>
      <c r="C1963" s="53" t="s">
        <v>3474</v>
      </c>
      <c r="D1963" s="53">
        <v>100025549</v>
      </c>
      <c r="E1963" s="55" t="s">
        <v>3475</v>
      </c>
      <c r="F1963" s="129" t="s">
        <v>1205</v>
      </c>
      <c r="G1963" s="129">
        <v>1</v>
      </c>
      <c r="H1963" s="512">
        <v>8.7799999999999994</v>
      </c>
      <c r="I1963" s="265" t="s">
        <v>359</v>
      </c>
      <c r="J1963" s="265" t="s">
        <v>102</v>
      </c>
      <c r="K1963" s="265" t="s">
        <v>3476</v>
      </c>
      <c r="L1963" s="348" t="s">
        <v>1205</v>
      </c>
      <c r="M1963" s="265">
        <v>0</v>
      </c>
      <c r="N1963" s="347">
        <v>0.51500000000000001</v>
      </c>
      <c r="O1963" s="348" t="s">
        <v>1205</v>
      </c>
      <c r="P1963" s="348" t="s">
        <v>1205</v>
      </c>
      <c r="Q1963" s="348" t="s">
        <v>1205</v>
      </c>
    </row>
    <row r="1964" spans="1:17" ht="15" hidden="1" customHeight="1">
      <c r="A1964" s="163">
        <v>1959</v>
      </c>
      <c r="B1964" s="53" t="s">
        <v>36</v>
      </c>
      <c r="C1964" s="53" t="s">
        <v>3477</v>
      </c>
      <c r="D1964" s="53">
        <v>100025555</v>
      </c>
      <c r="E1964" s="55" t="s">
        <v>3478</v>
      </c>
      <c r="F1964" s="129" t="s">
        <v>1205</v>
      </c>
      <c r="G1964" s="129">
        <v>1</v>
      </c>
      <c r="H1964" s="512">
        <v>8.7799999999999994</v>
      </c>
      <c r="I1964" s="265" t="s">
        <v>359</v>
      </c>
      <c r="J1964" s="265" t="s">
        <v>102</v>
      </c>
      <c r="K1964" s="265" t="s">
        <v>3479</v>
      </c>
      <c r="L1964" s="348" t="s">
        <v>1205</v>
      </c>
      <c r="M1964" s="265">
        <v>0</v>
      </c>
      <c r="N1964" s="347">
        <v>0.51500000000000001</v>
      </c>
      <c r="O1964" s="348" t="s">
        <v>1205</v>
      </c>
      <c r="P1964" s="348" t="s">
        <v>1205</v>
      </c>
      <c r="Q1964" s="348" t="s">
        <v>1205</v>
      </c>
    </row>
    <row r="1965" spans="1:17" ht="15" hidden="1" customHeight="1">
      <c r="A1965" s="163">
        <v>1960</v>
      </c>
      <c r="B1965" s="53" t="s">
        <v>36</v>
      </c>
      <c r="C1965" s="53" t="s">
        <v>3480</v>
      </c>
      <c r="D1965" s="53">
        <v>100025559</v>
      </c>
      <c r="E1965" s="55" t="s">
        <v>3481</v>
      </c>
      <c r="F1965" s="129" t="s">
        <v>1205</v>
      </c>
      <c r="G1965" s="129">
        <v>1</v>
      </c>
      <c r="H1965" s="512">
        <v>8.7799999999999994</v>
      </c>
      <c r="I1965" s="265" t="s">
        <v>359</v>
      </c>
      <c r="J1965" s="265" t="s">
        <v>102</v>
      </c>
      <c r="K1965" s="265" t="s">
        <v>3482</v>
      </c>
      <c r="L1965" s="348" t="s">
        <v>1205</v>
      </c>
      <c r="M1965" s="265">
        <v>0</v>
      </c>
      <c r="N1965" s="347">
        <v>0.51500000000000001</v>
      </c>
      <c r="O1965" s="348" t="s">
        <v>1205</v>
      </c>
      <c r="P1965" s="348" t="s">
        <v>1205</v>
      </c>
      <c r="Q1965" s="348" t="s">
        <v>1205</v>
      </c>
    </row>
    <row r="1966" spans="1:17" ht="15" hidden="1" customHeight="1">
      <c r="A1966" s="163">
        <v>1961</v>
      </c>
      <c r="B1966" s="53" t="s">
        <v>36</v>
      </c>
      <c r="C1966" s="53" t="s">
        <v>3484</v>
      </c>
      <c r="D1966" s="53">
        <v>100025566</v>
      </c>
      <c r="E1966" s="55" t="s">
        <v>3485</v>
      </c>
      <c r="F1966" s="129" t="s">
        <v>1205</v>
      </c>
      <c r="G1966" s="129">
        <v>156</v>
      </c>
      <c r="H1966" s="512">
        <v>31.84</v>
      </c>
      <c r="I1966" s="265" t="s">
        <v>359</v>
      </c>
      <c r="J1966" s="265" t="s">
        <v>102</v>
      </c>
      <c r="K1966" s="265" t="s">
        <v>3486</v>
      </c>
      <c r="L1966" s="348" t="s">
        <v>1205</v>
      </c>
      <c r="M1966" s="265">
        <v>0</v>
      </c>
      <c r="N1966" s="347">
        <v>2.2650000000000001</v>
      </c>
      <c r="O1966" s="348" t="s">
        <v>1205</v>
      </c>
      <c r="P1966" s="348" t="s">
        <v>1205</v>
      </c>
      <c r="Q1966" s="348" t="s">
        <v>1205</v>
      </c>
    </row>
    <row r="1967" spans="1:17" ht="15" hidden="1" customHeight="1">
      <c r="A1967" s="163">
        <v>1962</v>
      </c>
      <c r="B1967" s="53" t="s">
        <v>36</v>
      </c>
      <c r="C1967" s="53" t="s">
        <v>3487</v>
      </c>
      <c r="D1967" s="53">
        <v>100025567</v>
      </c>
      <c r="E1967" s="55" t="s">
        <v>3488</v>
      </c>
      <c r="F1967" s="129" t="s">
        <v>1205</v>
      </c>
      <c r="G1967" s="129">
        <v>156</v>
      </c>
      <c r="H1967" s="512">
        <v>31.84</v>
      </c>
      <c r="I1967" s="265" t="s">
        <v>76</v>
      </c>
      <c r="J1967" s="265" t="s">
        <v>102</v>
      </c>
      <c r="K1967" s="265" t="s">
        <v>3489</v>
      </c>
      <c r="L1967" s="348" t="s">
        <v>1205</v>
      </c>
      <c r="M1967" s="265">
        <v>0</v>
      </c>
      <c r="N1967" s="347">
        <v>2.2650000000000001</v>
      </c>
      <c r="O1967" s="348" t="s">
        <v>1205</v>
      </c>
      <c r="P1967" s="348" t="s">
        <v>1205</v>
      </c>
      <c r="Q1967" s="348" t="s">
        <v>1205</v>
      </c>
    </row>
    <row r="1968" spans="1:17" ht="15" hidden="1" customHeight="1">
      <c r="A1968" s="163">
        <v>1963</v>
      </c>
      <c r="B1968" s="53" t="s">
        <v>36</v>
      </c>
      <c r="C1968" s="53" t="s">
        <v>3490</v>
      </c>
      <c r="D1968" s="53">
        <v>100025568</v>
      </c>
      <c r="E1968" s="55" t="s">
        <v>3491</v>
      </c>
      <c r="F1968" s="129" t="s">
        <v>1205</v>
      </c>
      <c r="G1968" s="129">
        <v>156</v>
      </c>
      <c r="H1968" s="512">
        <v>31.84</v>
      </c>
      <c r="I1968" s="265" t="s">
        <v>359</v>
      </c>
      <c r="J1968" s="265" t="s">
        <v>102</v>
      </c>
      <c r="K1968" s="265" t="s">
        <v>3492</v>
      </c>
      <c r="L1968" s="348" t="s">
        <v>1205</v>
      </c>
      <c r="M1968" s="265">
        <v>0</v>
      </c>
      <c r="N1968" s="347">
        <v>2.2650000000000001</v>
      </c>
      <c r="O1968" s="348" t="s">
        <v>1205</v>
      </c>
      <c r="P1968" s="348" t="s">
        <v>1205</v>
      </c>
      <c r="Q1968" s="348" t="s">
        <v>1205</v>
      </c>
    </row>
    <row r="1969" spans="1:17" ht="15" hidden="1" customHeight="1">
      <c r="A1969" s="163">
        <v>1964</v>
      </c>
      <c r="B1969" s="53" t="s">
        <v>36</v>
      </c>
      <c r="C1969" s="53" t="s">
        <v>3493</v>
      </c>
      <c r="D1969" s="53">
        <v>100025304</v>
      </c>
      <c r="E1969" s="55" t="s">
        <v>3494</v>
      </c>
      <c r="F1969" s="129" t="s">
        <v>1205</v>
      </c>
      <c r="G1969" s="129">
        <v>156</v>
      </c>
      <c r="H1969" s="512">
        <v>31.84</v>
      </c>
      <c r="I1969" s="265" t="s">
        <v>359</v>
      </c>
      <c r="J1969" s="265" t="s">
        <v>102</v>
      </c>
      <c r="K1969" s="265" t="s">
        <v>3496</v>
      </c>
      <c r="L1969" s="348" t="s">
        <v>1205</v>
      </c>
      <c r="M1969" s="265">
        <v>0</v>
      </c>
      <c r="N1969" s="347">
        <v>2.0350000000000001</v>
      </c>
      <c r="O1969" s="348" t="s">
        <v>1205</v>
      </c>
      <c r="P1969" s="348" t="s">
        <v>1205</v>
      </c>
      <c r="Q1969" s="348" t="s">
        <v>1205</v>
      </c>
    </row>
    <row r="1970" spans="1:17" ht="15" hidden="1" customHeight="1">
      <c r="A1970" s="163">
        <v>1965</v>
      </c>
      <c r="B1970" s="53" t="s">
        <v>36</v>
      </c>
      <c r="C1970" s="53" t="s">
        <v>3497</v>
      </c>
      <c r="D1970" s="53">
        <v>100025306</v>
      </c>
      <c r="E1970" s="55" t="s">
        <v>3498</v>
      </c>
      <c r="F1970" s="129" t="s">
        <v>1205</v>
      </c>
      <c r="G1970" s="129">
        <v>156</v>
      </c>
      <c r="H1970" s="512">
        <v>31.84</v>
      </c>
      <c r="I1970" s="265" t="s">
        <v>359</v>
      </c>
      <c r="J1970" s="265" t="s">
        <v>102</v>
      </c>
      <c r="K1970" s="265" t="s">
        <v>3499</v>
      </c>
      <c r="L1970" s="348" t="s">
        <v>1205</v>
      </c>
      <c r="M1970" s="265">
        <v>0</v>
      </c>
      <c r="N1970" s="347">
        <v>2.0350000000000001</v>
      </c>
      <c r="O1970" s="348" t="s">
        <v>1205</v>
      </c>
      <c r="P1970" s="348" t="s">
        <v>1205</v>
      </c>
      <c r="Q1970" s="348" t="s">
        <v>1205</v>
      </c>
    </row>
    <row r="1971" spans="1:17" ht="15" hidden="1" customHeight="1">
      <c r="A1971" s="163">
        <v>1966</v>
      </c>
      <c r="B1971" s="53" t="s">
        <v>36</v>
      </c>
      <c r="C1971" s="53" t="s">
        <v>3501</v>
      </c>
      <c r="D1971" s="53">
        <v>100025594</v>
      </c>
      <c r="E1971" s="55" t="s">
        <v>3502</v>
      </c>
      <c r="F1971" s="129" t="s">
        <v>1205</v>
      </c>
      <c r="G1971" s="129">
        <v>1</v>
      </c>
      <c r="H1971" s="512">
        <v>16.73</v>
      </c>
      <c r="I1971" s="265" t="s">
        <v>76</v>
      </c>
      <c r="J1971" s="265" t="s">
        <v>102</v>
      </c>
      <c r="K1971" s="265" t="s">
        <v>3503</v>
      </c>
      <c r="L1971" s="348" t="s">
        <v>1205</v>
      </c>
      <c r="M1971" s="265">
        <v>0</v>
      </c>
      <c r="N1971" s="347">
        <v>1.125</v>
      </c>
      <c r="O1971" s="348" t="s">
        <v>1205</v>
      </c>
      <c r="P1971" s="348" t="s">
        <v>1205</v>
      </c>
      <c r="Q1971" s="348" t="s">
        <v>1205</v>
      </c>
    </row>
    <row r="1972" spans="1:17" ht="15" hidden="1" customHeight="1">
      <c r="A1972" s="163">
        <v>1967</v>
      </c>
      <c r="B1972" s="53" t="s">
        <v>36</v>
      </c>
      <c r="C1972" s="53" t="s">
        <v>3504</v>
      </c>
      <c r="D1972" s="53">
        <v>100025605</v>
      </c>
      <c r="E1972" s="55" t="s">
        <v>3505</v>
      </c>
      <c r="F1972" s="129" t="s">
        <v>1205</v>
      </c>
      <c r="G1972" s="129">
        <v>1</v>
      </c>
      <c r="H1972" s="512">
        <v>16.73</v>
      </c>
      <c r="I1972" s="265" t="s">
        <v>359</v>
      </c>
      <c r="J1972" s="265" t="s">
        <v>102</v>
      </c>
      <c r="K1972" s="265" t="s">
        <v>3506</v>
      </c>
      <c r="L1972" s="348" t="s">
        <v>1205</v>
      </c>
      <c r="M1972" s="265">
        <v>0</v>
      </c>
      <c r="N1972" s="347">
        <v>1.125</v>
      </c>
      <c r="O1972" s="348" t="s">
        <v>1205</v>
      </c>
      <c r="P1972" s="348" t="s">
        <v>1205</v>
      </c>
      <c r="Q1972" s="348" t="s">
        <v>1205</v>
      </c>
    </row>
    <row r="1973" spans="1:17" ht="15" hidden="1" customHeight="1">
      <c r="A1973" s="163">
        <v>1968</v>
      </c>
      <c r="B1973" s="53" t="s">
        <v>36</v>
      </c>
      <c r="C1973" s="53" t="s">
        <v>3507</v>
      </c>
      <c r="D1973" s="53">
        <v>100025607</v>
      </c>
      <c r="E1973" s="55" t="s">
        <v>3508</v>
      </c>
      <c r="F1973" s="129" t="s">
        <v>1205</v>
      </c>
      <c r="G1973" s="129">
        <v>1</v>
      </c>
      <c r="H1973" s="512">
        <v>16.73</v>
      </c>
      <c r="I1973" s="265" t="s">
        <v>359</v>
      </c>
      <c r="J1973" s="265" t="s">
        <v>102</v>
      </c>
      <c r="K1973" s="265" t="s">
        <v>3509</v>
      </c>
      <c r="L1973" s="348" t="s">
        <v>1205</v>
      </c>
      <c r="M1973" s="265">
        <v>0</v>
      </c>
      <c r="N1973" s="347">
        <v>1.125</v>
      </c>
      <c r="O1973" s="348" t="s">
        <v>1205</v>
      </c>
      <c r="P1973" s="348" t="s">
        <v>1205</v>
      </c>
      <c r="Q1973" s="348" t="s">
        <v>1205</v>
      </c>
    </row>
    <row r="1974" spans="1:17" ht="15" hidden="1" customHeight="1">
      <c r="A1974" s="163">
        <v>1969</v>
      </c>
      <c r="B1974" s="53" t="s">
        <v>36</v>
      </c>
      <c r="C1974" s="53" t="s">
        <v>3510</v>
      </c>
      <c r="D1974" s="53">
        <v>100025603</v>
      </c>
      <c r="E1974" s="55" t="s">
        <v>3511</v>
      </c>
      <c r="F1974" s="129" t="s">
        <v>1205</v>
      </c>
      <c r="G1974" s="129">
        <v>1</v>
      </c>
      <c r="H1974" s="512">
        <v>16.73</v>
      </c>
      <c r="I1974" s="265" t="s">
        <v>76</v>
      </c>
      <c r="J1974" s="265" t="s">
        <v>102</v>
      </c>
      <c r="K1974" s="265" t="s">
        <v>3512</v>
      </c>
      <c r="L1974" s="348" t="s">
        <v>1205</v>
      </c>
      <c r="M1974" s="265">
        <v>0</v>
      </c>
      <c r="N1974" s="347">
        <v>1.125</v>
      </c>
      <c r="O1974" s="348" t="s">
        <v>1205</v>
      </c>
      <c r="P1974" s="348" t="s">
        <v>1205</v>
      </c>
      <c r="Q1974" s="348" t="s">
        <v>1205</v>
      </c>
    </row>
    <row r="1975" spans="1:17" ht="15" hidden="1" customHeight="1">
      <c r="A1975" s="163">
        <v>1970</v>
      </c>
      <c r="B1975" s="53" t="s">
        <v>36</v>
      </c>
      <c r="C1975" s="53" t="s">
        <v>3513</v>
      </c>
      <c r="D1975" s="53">
        <v>100025364</v>
      </c>
      <c r="E1975" s="55" t="s">
        <v>3514</v>
      </c>
      <c r="F1975" s="129" t="s">
        <v>1205</v>
      </c>
      <c r="G1975" s="129">
        <v>1</v>
      </c>
      <c r="H1975" s="512">
        <v>16.73</v>
      </c>
      <c r="I1975" s="265" t="s">
        <v>76</v>
      </c>
      <c r="J1975" s="265" t="s">
        <v>102</v>
      </c>
      <c r="K1975" s="265" t="s">
        <v>3515</v>
      </c>
      <c r="L1975" s="348" t="s">
        <v>1205</v>
      </c>
      <c r="M1975" s="265">
        <v>0</v>
      </c>
      <c r="N1975" s="347">
        <v>1.125</v>
      </c>
      <c r="O1975" s="348" t="s">
        <v>1205</v>
      </c>
      <c r="P1975" s="348" t="s">
        <v>1205</v>
      </c>
      <c r="Q1975" s="348" t="s">
        <v>1205</v>
      </c>
    </row>
    <row r="1976" spans="1:17" ht="15" hidden="1" customHeight="1">
      <c r="A1976" s="163">
        <v>1971</v>
      </c>
      <c r="B1976" s="53" t="s">
        <v>36</v>
      </c>
      <c r="C1976" s="53" t="s">
        <v>3516</v>
      </c>
      <c r="D1976" s="53">
        <v>100025381</v>
      </c>
      <c r="E1976" s="55" t="s">
        <v>3517</v>
      </c>
      <c r="F1976" s="129" t="s">
        <v>1205</v>
      </c>
      <c r="G1976" s="129">
        <v>1</v>
      </c>
      <c r="H1976" s="512">
        <v>16.73</v>
      </c>
      <c r="I1976" s="265" t="s">
        <v>359</v>
      </c>
      <c r="J1976" s="265" t="s">
        <v>102</v>
      </c>
      <c r="K1976" s="265" t="s">
        <v>3518</v>
      </c>
      <c r="L1976" s="348" t="s">
        <v>1205</v>
      </c>
      <c r="M1976" s="265">
        <v>0</v>
      </c>
      <c r="N1976" s="347">
        <v>1.125</v>
      </c>
      <c r="O1976" s="348" t="s">
        <v>1205</v>
      </c>
      <c r="P1976" s="348" t="s">
        <v>1205</v>
      </c>
      <c r="Q1976" s="348" t="s">
        <v>1205</v>
      </c>
    </row>
    <row r="1977" spans="1:17" ht="15" hidden="1" customHeight="1">
      <c r="A1977" s="163">
        <v>1972</v>
      </c>
      <c r="B1977" s="53" t="s">
        <v>36</v>
      </c>
      <c r="C1977" s="53" t="s">
        <v>3519</v>
      </c>
      <c r="D1977" s="53">
        <v>100025367</v>
      </c>
      <c r="E1977" s="55" t="s">
        <v>3520</v>
      </c>
      <c r="F1977" s="129" t="s">
        <v>1205</v>
      </c>
      <c r="G1977" s="129">
        <v>1</v>
      </c>
      <c r="H1977" s="512">
        <v>16.73</v>
      </c>
      <c r="I1977" s="265" t="s">
        <v>359</v>
      </c>
      <c r="J1977" s="265" t="s">
        <v>102</v>
      </c>
      <c r="K1977" s="265" t="s">
        <v>3521</v>
      </c>
      <c r="L1977" s="348" t="s">
        <v>1205</v>
      </c>
      <c r="M1977" s="265">
        <v>0</v>
      </c>
      <c r="N1977" s="347">
        <v>1.125</v>
      </c>
      <c r="O1977" s="348" t="s">
        <v>1205</v>
      </c>
      <c r="P1977" s="348" t="s">
        <v>1205</v>
      </c>
      <c r="Q1977" s="348" t="s">
        <v>1205</v>
      </c>
    </row>
    <row r="1978" spans="1:17" ht="15" hidden="1" customHeight="1">
      <c r="A1978" s="163">
        <v>1973</v>
      </c>
      <c r="B1978" s="53" t="s">
        <v>36</v>
      </c>
      <c r="C1978" s="53" t="s">
        <v>3522</v>
      </c>
      <c r="D1978" s="53">
        <v>100025383</v>
      </c>
      <c r="E1978" s="55" t="s">
        <v>3523</v>
      </c>
      <c r="F1978" s="129" t="s">
        <v>1205</v>
      </c>
      <c r="G1978" s="129">
        <v>1</v>
      </c>
      <c r="H1978" s="512">
        <v>16.73</v>
      </c>
      <c r="I1978" s="265" t="s">
        <v>359</v>
      </c>
      <c r="J1978" s="265" t="s">
        <v>102</v>
      </c>
      <c r="K1978" s="265" t="s">
        <v>3524</v>
      </c>
      <c r="L1978" s="348" t="s">
        <v>1205</v>
      </c>
      <c r="M1978" s="265">
        <v>0</v>
      </c>
      <c r="N1978" s="347">
        <v>1.125</v>
      </c>
      <c r="O1978" s="348" t="s">
        <v>1205</v>
      </c>
      <c r="P1978" s="348" t="s">
        <v>1205</v>
      </c>
      <c r="Q1978" s="348" t="s">
        <v>1205</v>
      </c>
    </row>
    <row r="1979" spans="1:17" ht="15" hidden="1" customHeight="1">
      <c r="A1979" s="163">
        <v>1974</v>
      </c>
      <c r="B1979" s="53" t="s">
        <v>36</v>
      </c>
      <c r="C1979" s="53" t="s">
        <v>3525</v>
      </c>
      <c r="D1979" s="53">
        <v>100025595</v>
      </c>
      <c r="E1979" s="55" t="s">
        <v>3526</v>
      </c>
      <c r="F1979" s="129" t="s">
        <v>1205</v>
      </c>
      <c r="G1979" s="129">
        <v>1</v>
      </c>
      <c r="H1979" s="512">
        <v>16.73</v>
      </c>
      <c r="I1979" s="265" t="s">
        <v>359</v>
      </c>
      <c r="J1979" s="265" t="s">
        <v>102</v>
      </c>
      <c r="K1979" s="265" t="s">
        <v>3527</v>
      </c>
      <c r="L1979" s="348" t="s">
        <v>1205</v>
      </c>
      <c r="M1979" s="265">
        <v>0</v>
      </c>
      <c r="N1979" s="347">
        <v>1.125</v>
      </c>
      <c r="O1979" s="348" t="s">
        <v>1205</v>
      </c>
      <c r="P1979" s="348" t="s">
        <v>1205</v>
      </c>
      <c r="Q1979" s="348" t="s">
        <v>1205</v>
      </c>
    </row>
    <row r="1980" spans="1:17" ht="15" hidden="1" customHeight="1">
      <c r="A1980" s="163">
        <v>1975</v>
      </c>
      <c r="B1980" s="53" t="s">
        <v>36</v>
      </c>
      <c r="C1980" s="53" t="s">
        <v>3528</v>
      </c>
      <c r="D1980" s="53">
        <v>100025597</v>
      </c>
      <c r="E1980" s="55" t="s">
        <v>3529</v>
      </c>
      <c r="F1980" s="129" t="s">
        <v>1205</v>
      </c>
      <c r="G1980" s="129">
        <v>1</v>
      </c>
      <c r="H1980" s="512">
        <v>16.73</v>
      </c>
      <c r="I1980" s="265" t="s">
        <v>359</v>
      </c>
      <c r="J1980" s="265" t="s">
        <v>102</v>
      </c>
      <c r="K1980" s="265" t="s">
        <v>3530</v>
      </c>
      <c r="L1980" s="348" t="s">
        <v>1205</v>
      </c>
      <c r="M1980" s="265">
        <v>0</v>
      </c>
      <c r="N1980" s="347">
        <v>1.125</v>
      </c>
      <c r="O1980" s="348" t="s">
        <v>1205</v>
      </c>
      <c r="P1980" s="348" t="s">
        <v>1205</v>
      </c>
      <c r="Q1980" s="348" t="s">
        <v>1205</v>
      </c>
    </row>
    <row r="1981" spans="1:17" ht="15" hidden="1" customHeight="1">
      <c r="A1981" s="163">
        <v>1976</v>
      </c>
      <c r="B1981" s="53" t="s">
        <v>36</v>
      </c>
      <c r="C1981" s="53" t="s">
        <v>3531</v>
      </c>
      <c r="D1981" s="53">
        <v>100025386</v>
      </c>
      <c r="E1981" s="55" t="s">
        <v>3532</v>
      </c>
      <c r="F1981" s="129" t="s">
        <v>1205</v>
      </c>
      <c r="G1981" s="129">
        <v>1</v>
      </c>
      <c r="H1981" s="512">
        <v>16.73</v>
      </c>
      <c r="I1981" s="265" t="s">
        <v>359</v>
      </c>
      <c r="J1981" s="265" t="s">
        <v>102</v>
      </c>
      <c r="K1981" s="265" t="s">
        <v>3533</v>
      </c>
      <c r="L1981" s="348" t="s">
        <v>1205</v>
      </c>
      <c r="M1981" s="265">
        <v>0</v>
      </c>
      <c r="N1981" s="347">
        <v>1.125</v>
      </c>
      <c r="O1981" s="348" t="s">
        <v>1205</v>
      </c>
      <c r="P1981" s="348" t="s">
        <v>1205</v>
      </c>
      <c r="Q1981" s="348" t="s">
        <v>1205</v>
      </c>
    </row>
    <row r="1982" spans="1:17" ht="15" hidden="1" customHeight="1">
      <c r="A1982" s="163">
        <v>1977</v>
      </c>
      <c r="B1982" s="53" t="s">
        <v>36</v>
      </c>
      <c r="C1982" s="53" t="s">
        <v>3534</v>
      </c>
      <c r="D1982" s="53">
        <v>100025384</v>
      </c>
      <c r="E1982" s="55" t="s">
        <v>3535</v>
      </c>
      <c r="F1982" s="129" t="s">
        <v>1205</v>
      </c>
      <c r="G1982" s="129">
        <v>1</v>
      </c>
      <c r="H1982" s="512">
        <v>16.73</v>
      </c>
      <c r="I1982" s="265" t="s">
        <v>359</v>
      </c>
      <c r="J1982" s="265" t="s">
        <v>102</v>
      </c>
      <c r="K1982" s="265" t="s">
        <v>3536</v>
      </c>
      <c r="L1982" s="348" t="s">
        <v>1205</v>
      </c>
      <c r="M1982" s="265">
        <v>0</v>
      </c>
      <c r="N1982" s="347">
        <v>1.125</v>
      </c>
      <c r="O1982" s="348" t="s">
        <v>1205</v>
      </c>
      <c r="P1982" s="348" t="s">
        <v>1205</v>
      </c>
      <c r="Q1982" s="348" t="s">
        <v>1205</v>
      </c>
    </row>
    <row r="1983" spans="1:17" ht="15" hidden="1" customHeight="1">
      <c r="A1983" s="163">
        <v>1978</v>
      </c>
      <c r="B1983" s="53" t="s">
        <v>36</v>
      </c>
      <c r="C1983" s="53" t="s">
        <v>3537</v>
      </c>
      <c r="D1983" s="53">
        <v>100025370</v>
      </c>
      <c r="E1983" s="55" t="s">
        <v>3538</v>
      </c>
      <c r="F1983" s="129" t="s">
        <v>1205</v>
      </c>
      <c r="G1983" s="129">
        <v>1</v>
      </c>
      <c r="H1983" s="512">
        <v>16.73</v>
      </c>
      <c r="I1983" s="265" t="s">
        <v>359</v>
      </c>
      <c r="J1983" s="265" t="s">
        <v>102</v>
      </c>
      <c r="K1983" s="265">
        <v>0</v>
      </c>
      <c r="L1983" s="348" t="s">
        <v>1205</v>
      </c>
      <c r="M1983" s="265">
        <v>0</v>
      </c>
      <c r="N1983" s="347">
        <v>1.125</v>
      </c>
      <c r="O1983" s="348" t="s">
        <v>1205</v>
      </c>
      <c r="P1983" s="348" t="s">
        <v>1205</v>
      </c>
      <c r="Q1983" s="348" t="s">
        <v>1205</v>
      </c>
    </row>
    <row r="1984" spans="1:17" ht="15" hidden="1" customHeight="1">
      <c r="A1984" s="163">
        <v>1979</v>
      </c>
      <c r="B1984" s="53" t="s">
        <v>36</v>
      </c>
      <c r="C1984" s="53" t="s">
        <v>3539</v>
      </c>
      <c r="D1984" s="53">
        <v>100025371</v>
      </c>
      <c r="E1984" s="55" t="s">
        <v>3540</v>
      </c>
      <c r="F1984" s="129" t="s">
        <v>1205</v>
      </c>
      <c r="G1984" s="129">
        <v>1</v>
      </c>
      <c r="H1984" s="512">
        <v>16.73</v>
      </c>
      <c r="I1984" s="265" t="s">
        <v>359</v>
      </c>
      <c r="J1984" s="265" t="s">
        <v>102</v>
      </c>
      <c r="K1984" s="265" t="s">
        <v>3541</v>
      </c>
      <c r="L1984" s="348" t="s">
        <v>1205</v>
      </c>
      <c r="M1984" s="265">
        <v>0</v>
      </c>
      <c r="N1984" s="347">
        <v>1.125</v>
      </c>
      <c r="O1984" s="348" t="s">
        <v>1205</v>
      </c>
      <c r="P1984" s="348" t="s">
        <v>1205</v>
      </c>
      <c r="Q1984" s="348" t="s">
        <v>1205</v>
      </c>
    </row>
    <row r="1985" spans="1:17" ht="15" hidden="1" customHeight="1">
      <c r="A1985" s="163">
        <v>1980</v>
      </c>
      <c r="B1985" s="53" t="s">
        <v>36</v>
      </c>
      <c r="C1985" s="53" t="s">
        <v>3542</v>
      </c>
      <c r="D1985" s="53">
        <v>100025385</v>
      </c>
      <c r="E1985" s="55" t="s">
        <v>3543</v>
      </c>
      <c r="F1985" s="129" t="s">
        <v>1205</v>
      </c>
      <c r="G1985" s="129">
        <v>1</v>
      </c>
      <c r="H1985" s="512">
        <v>16.73</v>
      </c>
      <c r="I1985" s="265" t="s">
        <v>359</v>
      </c>
      <c r="J1985" s="265" t="s">
        <v>102</v>
      </c>
      <c r="K1985" s="265" t="s">
        <v>3544</v>
      </c>
      <c r="L1985" s="348" t="s">
        <v>1205</v>
      </c>
      <c r="M1985" s="265">
        <v>0</v>
      </c>
      <c r="N1985" s="347">
        <v>1.125</v>
      </c>
      <c r="O1985" s="348" t="s">
        <v>1205</v>
      </c>
      <c r="P1985" s="348" t="s">
        <v>1205</v>
      </c>
      <c r="Q1985" s="348" t="s">
        <v>1205</v>
      </c>
    </row>
    <row r="1986" spans="1:17" ht="15" hidden="1" customHeight="1">
      <c r="A1986" s="163">
        <v>1981</v>
      </c>
      <c r="B1986" s="53" t="s">
        <v>36</v>
      </c>
      <c r="C1986" s="53" t="s">
        <v>3546</v>
      </c>
      <c r="D1986" s="53">
        <v>100025309</v>
      </c>
      <c r="E1986" s="55" t="s">
        <v>3547</v>
      </c>
      <c r="F1986" s="129" t="s">
        <v>1205</v>
      </c>
      <c r="G1986" s="129">
        <v>1</v>
      </c>
      <c r="H1986" s="512">
        <v>139.02000000000001</v>
      </c>
      <c r="I1986" s="265" t="s">
        <v>359</v>
      </c>
      <c r="J1986" s="265" t="s">
        <v>102</v>
      </c>
      <c r="K1986" s="265" t="s">
        <v>3548</v>
      </c>
      <c r="L1986" s="348" t="s">
        <v>1205</v>
      </c>
      <c r="M1986" s="265">
        <v>0</v>
      </c>
      <c r="N1986" s="347">
        <v>4.0750000000000002</v>
      </c>
      <c r="O1986" s="348" t="s">
        <v>1205</v>
      </c>
      <c r="P1986" s="348" t="s">
        <v>1205</v>
      </c>
      <c r="Q1986" s="348" t="s">
        <v>1205</v>
      </c>
    </row>
    <row r="1987" spans="1:17" ht="15" hidden="1" customHeight="1">
      <c r="A1987" s="163">
        <v>1982</v>
      </c>
      <c r="B1987" s="53" t="s">
        <v>36</v>
      </c>
      <c r="C1987" s="53" t="s">
        <v>3549</v>
      </c>
      <c r="D1987" s="53">
        <v>100025311</v>
      </c>
      <c r="E1987" s="55" t="s">
        <v>3550</v>
      </c>
      <c r="F1987" s="129" t="s">
        <v>1205</v>
      </c>
      <c r="G1987" s="129">
        <v>1</v>
      </c>
      <c r="H1987" s="512">
        <v>139.02000000000001</v>
      </c>
      <c r="I1987" s="265" t="s">
        <v>359</v>
      </c>
      <c r="J1987" s="265" t="s">
        <v>102</v>
      </c>
      <c r="K1987" s="265" t="s">
        <v>3551</v>
      </c>
      <c r="L1987" s="348" t="s">
        <v>1205</v>
      </c>
      <c r="M1987" s="265">
        <v>0</v>
      </c>
      <c r="N1987" s="347">
        <v>4.0750000000000002</v>
      </c>
      <c r="O1987" s="348" t="s">
        <v>1205</v>
      </c>
      <c r="P1987" s="348" t="s">
        <v>1205</v>
      </c>
      <c r="Q1987" s="348" t="s">
        <v>1205</v>
      </c>
    </row>
    <row r="1988" spans="1:17" ht="15" hidden="1" customHeight="1">
      <c r="A1988" s="163">
        <v>1983</v>
      </c>
      <c r="B1988" s="53" t="s">
        <v>36</v>
      </c>
      <c r="C1988" s="53" t="s">
        <v>3552</v>
      </c>
      <c r="D1988" s="53">
        <v>100025569</v>
      </c>
      <c r="E1988" s="55" t="s">
        <v>3553</v>
      </c>
      <c r="F1988" s="129" t="s">
        <v>1205</v>
      </c>
      <c r="G1988" s="129">
        <v>1</v>
      </c>
      <c r="H1988" s="512">
        <v>139.02000000000001</v>
      </c>
      <c r="I1988" s="265" t="s">
        <v>359</v>
      </c>
      <c r="J1988" s="265" t="s">
        <v>102</v>
      </c>
      <c r="K1988" s="265" t="s">
        <v>3554</v>
      </c>
      <c r="L1988" s="348" t="s">
        <v>1205</v>
      </c>
      <c r="M1988" s="265">
        <v>0</v>
      </c>
      <c r="N1988" s="347">
        <v>4.0750000000000002</v>
      </c>
      <c r="O1988" s="348" t="s">
        <v>1205</v>
      </c>
      <c r="P1988" s="348" t="s">
        <v>1205</v>
      </c>
      <c r="Q1988" s="348" t="s">
        <v>1205</v>
      </c>
    </row>
    <row r="1989" spans="1:17" ht="15" hidden="1" customHeight="1">
      <c r="A1989" s="163">
        <v>1984</v>
      </c>
      <c r="B1989" s="53" t="s">
        <v>36</v>
      </c>
      <c r="C1989" s="53" t="s">
        <v>3556</v>
      </c>
      <c r="D1989" s="53">
        <v>100025395</v>
      </c>
      <c r="E1989" s="55" t="s">
        <v>3557</v>
      </c>
      <c r="F1989" s="129" t="s">
        <v>1205</v>
      </c>
      <c r="G1989" s="129">
        <v>1</v>
      </c>
      <c r="H1989" s="512">
        <v>57.96</v>
      </c>
      <c r="I1989" s="265" t="s">
        <v>76</v>
      </c>
      <c r="J1989" s="265" t="s">
        <v>102</v>
      </c>
      <c r="K1989" s="265" t="s">
        <v>3558</v>
      </c>
      <c r="L1989" s="348" t="s">
        <v>1205</v>
      </c>
      <c r="M1989" s="265">
        <v>0</v>
      </c>
      <c r="N1989" s="347">
        <v>1.2050000000000001</v>
      </c>
      <c r="O1989" s="348" t="s">
        <v>1205</v>
      </c>
      <c r="P1989" s="348" t="s">
        <v>1205</v>
      </c>
      <c r="Q1989" s="348" t="s">
        <v>1205</v>
      </c>
    </row>
    <row r="1990" spans="1:17" ht="15" hidden="1" customHeight="1">
      <c r="A1990" s="163">
        <v>1985</v>
      </c>
      <c r="B1990" s="53" t="s">
        <v>36</v>
      </c>
      <c r="C1990" s="53" t="s">
        <v>3559</v>
      </c>
      <c r="D1990" s="53">
        <v>100025398</v>
      </c>
      <c r="E1990" s="55" t="s">
        <v>3560</v>
      </c>
      <c r="F1990" s="129" t="s">
        <v>1205</v>
      </c>
      <c r="G1990" s="129">
        <v>1</v>
      </c>
      <c r="H1990" s="512">
        <v>57.96</v>
      </c>
      <c r="I1990" s="265" t="s">
        <v>359</v>
      </c>
      <c r="J1990" s="265" t="s">
        <v>102</v>
      </c>
      <c r="K1990" s="265" t="s">
        <v>3561</v>
      </c>
      <c r="L1990" s="348" t="s">
        <v>1205</v>
      </c>
      <c r="M1990" s="265">
        <v>0</v>
      </c>
      <c r="N1990" s="347">
        <v>1.2050000000000001</v>
      </c>
      <c r="O1990" s="348" t="s">
        <v>1205</v>
      </c>
      <c r="P1990" s="348" t="s">
        <v>1205</v>
      </c>
      <c r="Q1990" s="348" t="s">
        <v>1205</v>
      </c>
    </row>
    <row r="1991" spans="1:17" ht="15" hidden="1" customHeight="1">
      <c r="A1991" s="163">
        <v>1986</v>
      </c>
      <c r="B1991" s="53" t="s">
        <v>36</v>
      </c>
      <c r="C1991" s="53" t="s">
        <v>3562</v>
      </c>
      <c r="D1991" s="53">
        <v>100025401</v>
      </c>
      <c r="E1991" s="55" t="s">
        <v>3563</v>
      </c>
      <c r="F1991" s="129" t="s">
        <v>1205</v>
      </c>
      <c r="G1991" s="129">
        <v>1</v>
      </c>
      <c r="H1991" s="512">
        <v>57.96</v>
      </c>
      <c r="I1991" s="265" t="s">
        <v>359</v>
      </c>
      <c r="J1991" s="265" t="s">
        <v>102</v>
      </c>
      <c r="K1991" s="265" t="s">
        <v>3564</v>
      </c>
      <c r="L1991" s="348" t="s">
        <v>1205</v>
      </c>
      <c r="M1991" s="265">
        <v>0</v>
      </c>
      <c r="N1991" s="347">
        <v>1.2050000000000001</v>
      </c>
      <c r="O1991" s="348" t="s">
        <v>1205</v>
      </c>
      <c r="P1991" s="348" t="s">
        <v>1205</v>
      </c>
      <c r="Q1991" s="348" t="s">
        <v>1205</v>
      </c>
    </row>
    <row r="1992" spans="1:17" ht="15" hidden="1" customHeight="1">
      <c r="A1992" s="163">
        <v>1987</v>
      </c>
      <c r="B1992" s="53" t="s">
        <v>36</v>
      </c>
      <c r="C1992" s="53" t="s">
        <v>3565</v>
      </c>
      <c r="D1992" s="53">
        <v>100025400</v>
      </c>
      <c r="E1992" s="55" t="s">
        <v>3566</v>
      </c>
      <c r="F1992" s="129" t="s">
        <v>1205</v>
      </c>
      <c r="G1992" s="129">
        <v>1</v>
      </c>
      <c r="H1992" s="512">
        <v>57.96</v>
      </c>
      <c r="I1992" s="265" t="s">
        <v>359</v>
      </c>
      <c r="J1992" s="265" t="s">
        <v>102</v>
      </c>
      <c r="K1992" s="265" t="s">
        <v>3567</v>
      </c>
      <c r="L1992" s="348" t="s">
        <v>1205</v>
      </c>
      <c r="M1992" s="265">
        <v>0</v>
      </c>
      <c r="N1992" s="347">
        <v>1.2050000000000001</v>
      </c>
      <c r="O1992" s="348" t="s">
        <v>1205</v>
      </c>
      <c r="P1992" s="348" t="s">
        <v>1205</v>
      </c>
      <c r="Q1992" s="348" t="s">
        <v>1205</v>
      </c>
    </row>
    <row r="1993" spans="1:17" ht="15" hidden="1" customHeight="1">
      <c r="A1993" s="163">
        <v>1988</v>
      </c>
      <c r="B1993" s="53" t="s">
        <v>36</v>
      </c>
      <c r="C1993" s="53" t="s">
        <v>3568</v>
      </c>
      <c r="D1993" s="53">
        <v>100025396</v>
      </c>
      <c r="E1993" s="55" t="s">
        <v>3569</v>
      </c>
      <c r="F1993" s="129" t="s">
        <v>1205</v>
      </c>
      <c r="G1993" s="129">
        <v>1</v>
      </c>
      <c r="H1993" s="512">
        <v>57.96</v>
      </c>
      <c r="I1993" s="265" t="s">
        <v>359</v>
      </c>
      <c r="J1993" s="265" t="s">
        <v>102</v>
      </c>
      <c r="K1993" s="265" t="s">
        <v>3570</v>
      </c>
      <c r="L1993" s="348" t="s">
        <v>1205</v>
      </c>
      <c r="M1993" s="265">
        <v>0</v>
      </c>
      <c r="N1993" s="347">
        <v>1.2050000000000001</v>
      </c>
      <c r="O1993" s="348" t="s">
        <v>1205</v>
      </c>
      <c r="P1993" s="348" t="s">
        <v>1205</v>
      </c>
      <c r="Q1993" s="348" t="s">
        <v>1205</v>
      </c>
    </row>
    <row r="1994" spans="1:17" ht="15" hidden="1" customHeight="1">
      <c r="A1994" s="163">
        <v>1989</v>
      </c>
      <c r="B1994" s="53" t="s">
        <v>36</v>
      </c>
      <c r="C1994" s="53" t="s">
        <v>3572</v>
      </c>
      <c r="D1994" s="53">
        <v>100025571</v>
      </c>
      <c r="E1994" s="55" t="s">
        <v>3573</v>
      </c>
      <c r="F1994" s="129" t="s">
        <v>1205</v>
      </c>
      <c r="G1994" s="129">
        <v>98</v>
      </c>
      <c r="H1994" s="512">
        <v>50.98</v>
      </c>
      <c r="I1994" s="265" t="s">
        <v>76</v>
      </c>
      <c r="J1994" s="265" t="s">
        <v>102</v>
      </c>
      <c r="K1994" s="265" t="s">
        <v>3574</v>
      </c>
      <c r="L1994" s="348" t="s">
        <v>1205</v>
      </c>
      <c r="M1994" s="265">
        <v>0</v>
      </c>
      <c r="N1994" s="347">
        <v>3.83</v>
      </c>
      <c r="O1994" s="348" t="s">
        <v>1205</v>
      </c>
      <c r="P1994" s="348" t="s">
        <v>1205</v>
      </c>
      <c r="Q1994" s="348" t="s">
        <v>1205</v>
      </c>
    </row>
    <row r="1995" spans="1:17" ht="15" hidden="1" customHeight="1">
      <c r="A1995" s="163">
        <v>1990</v>
      </c>
      <c r="B1995" s="53" t="s">
        <v>36</v>
      </c>
      <c r="C1995" s="53" t="s">
        <v>3575</v>
      </c>
      <c r="D1995" s="53">
        <v>100025318</v>
      </c>
      <c r="E1995" s="55" t="s">
        <v>3576</v>
      </c>
      <c r="F1995" s="129" t="s">
        <v>1205</v>
      </c>
      <c r="G1995" s="129">
        <v>98</v>
      </c>
      <c r="H1995" s="512">
        <v>50.98</v>
      </c>
      <c r="I1995" s="265" t="s">
        <v>359</v>
      </c>
      <c r="J1995" s="265" t="s">
        <v>102</v>
      </c>
      <c r="K1995" s="265" t="s">
        <v>3577</v>
      </c>
      <c r="L1995" s="348" t="s">
        <v>1205</v>
      </c>
      <c r="M1995" s="265">
        <v>0</v>
      </c>
      <c r="N1995" s="347">
        <v>3.83</v>
      </c>
      <c r="O1995" s="348" t="s">
        <v>1205</v>
      </c>
      <c r="P1995" s="348" t="s">
        <v>1205</v>
      </c>
      <c r="Q1995" s="348" t="s">
        <v>1205</v>
      </c>
    </row>
    <row r="1996" spans="1:17" ht="15" hidden="1" customHeight="1">
      <c r="A1996" s="163">
        <v>1991</v>
      </c>
      <c r="B1996" s="53" t="s">
        <v>36</v>
      </c>
      <c r="C1996" s="53" t="s">
        <v>3579</v>
      </c>
      <c r="D1996" s="53">
        <v>100025317</v>
      </c>
      <c r="E1996" s="55" t="s">
        <v>3580</v>
      </c>
      <c r="F1996" s="129" t="s">
        <v>1205</v>
      </c>
      <c r="G1996" s="129">
        <v>72</v>
      </c>
      <c r="H1996" s="512">
        <v>60.58</v>
      </c>
      <c r="I1996" s="265" t="s">
        <v>359</v>
      </c>
      <c r="J1996" s="265" t="s">
        <v>102</v>
      </c>
      <c r="K1996" s="265" t="s">
        <v>3581</v>
      </c>
      <c r="L1996" s="348" t="s">
        <v>1205</v>
      </c>
      <c r="M1996" s="265">
        <v>0</v>
      </c>
      <c r="N1996" s="347">
        <v>6.3150000000000004</v>
      </c>
      <c r="O1996" s="348" t="s">
        <v>1205</v>
      </c>
      <c r="P1996" s="348" t="s">
        <v>1205</v>
      </c>
      <c r="Q1996" s="348" t="s">
        <v>1205</v>
      </c>
    </row>
    <row r="1997" spans="1:17" ht="15" hidden="1" customHeight="1">
      <c r="A1997" s="163">
        <v>1992</v>
      </c>
      <c r="B1997" s="53" t="s">
        <v>36</v>
      </c>
      <c r="C1997" s="53" t="s">
        <v>3582</v>
      </c>
      <c r="D1997" s="53">
        <v>100025575</v>
      </c>
      <c r="E1997" s="55" t="s">
        <v>3583</v>
      </c>
      <c r="F1997" s="129" t="s">
        <v>1205</v>
      </c>
      <c r="G1997" s="129">
        <v>72</v>
      </c>
      <c r="H1997" s="512">
        <v>60.58</v>
      </c>
      <c r="I1997" s="265" t="s">
        <v>76</v>
      </c>
      <c r="J1997" s="265" t="s">
        <v>102</v>
      </c>
      <c r="K1997" s="265" t="s">
        <v>3584</v>
      </c>
      <c r="L1997" s="348" t="s">
        <v>1205</v>
      </c>
      <c r="M1997" s="265">
        <v>0</v>
      </c>
      <c r="N1997" s="347">
        <v>6.3150000000000004</v>
      </c>
      <c r="O1997" s="348" t="s">
        <v>1205</v>
      </c>
      <c r="P1997" s="348" t="s">
        <v>1205</v>
      </c>
      <c r="Q1997" s="348" t="s">
        <v>1205</v>
      </c>
    </row>
    <row r="1998" spans="1:17" ht="15" hidden="1" customHeight="1">
      <c r="A1998" s="163">
        <v>1993</v>
      </c>
      <c r="B1998" s="53" t="s">
        <v>36</v>
      </c>
      <c r="C1998" s="53" t="s">
        <v>3586</v>
      </c>
      <c r="D1998" s="53">
        <v>100025573</v>
      </c>
      <c r="E1998" s="55" t="s">
        <v>3587</v>
      </c>
      <c r="F1998" s="129" t="s">
        <v>1205</v>
      </c>
      <c r="G1998" s="129">
        <v>49</v>
      </c>
      <c r="H1998" s="512">
        <v>73.31</v>
      </c>
      <c r="I1998" s="265" t="s">
        <v>76</v>
      </c>
      <c r="J1998" s="265" t="s">
        <v>102</v>
      </c>
      <c r="K1998" s="265" t="s">
        <v>3588</v>
      </c>
      <c r="L1998" s="348" t="s">
        <v>1205</v>
      </c>
      <c r="M1998" s="265">
        <v>0</v>
      </c>
      <c r="N1998" s="347">
        <v>3.9750000000000001</v>
      </c>
      <c r="O1998" s="348" t="s">
        <v>1205</v>
      </c>
      <c r="P1998" s="348" t="s">
        <v>1205</v>
      </c>
      <c r="Q1998" s="348" t="s">
        <v>1205</v>
      </c>
    </row>
    <row r="1999" spans="1:17" ht="15" hidden="1" customHeight="1">
      <c r="A1999" s="163">
        <v>1994</v>
      </c>
      <c r="B1999" s="53" t="s">
        <v>36</v>
      </c>
      <c r="C1999" s="53" t="s">
        <v>3589</v>
      </c>
      <c r="D1999" s="53">
        <v>100025321</v>
      </c>
      <c r="E1999" s="55" t="s">
        <v>3590</v>
      </c>
      <c r="F1999" s="129" t="s">
        <v>1205</v>
      </c>
      <c r="G1999" s="129">
        <v>49</v>
      </c>
      <c r="H1999" s="512">
        <v>73.31</v>
      </c>
      <c r="I1999" s="265" t="s">
        <v>359</v>
      </c>
      <c r="J1999" s="265" t="s">
        <v>102</v>
      </c>
      <c r="K1999" s="265" t="s">
        <v>3591</v>
      </c>
      <c r="L1999" s="348" t="s">
        <v>1205</v>
      </c>
      <c r="M1999" s="265">
        <v>0</v>
      </c>
      <c r="N1999" s="347">
        <v>3.9750000000000001</v>
      </c>
      <c r="O1999" s="348" t="s">
        <v>1205</v>
      </c>
      <c r="P1999" s="348" t="s">
        <v>1205</v>
      </c>
      <c r="Q1999" s="348" t="s">
        <v>1205</v>
      </c>
    </row>
    <row r="2000" spans="1:17" ht="15" hidden="1" customHeight="1">
      <c r="A2000" s="163">
        <v>1995</v>
      </c>
      <c r="B2000" s="53" t="s">
        <v>36</v>
      </c>
      <c r="C2000" s="53" t="s">
        <v>3592</v>
      </c>
      <c r="D2000" s="53">
        <v>100025577</v>
      </c>
      <c r="E2000" s="55" t="s">
        <v>3593</v>
      </c>
      <c r="F2000" s="129" t="s">
        <v>1205</v>
      </c>
      <c r="G2000" s="129">
        <v>49</v>
      </c>
      <c r="H2000" s="512">
        <v>73.31</v>
      </c>
      <c r="I2000" s="265" t="s">
        <v>76</v>
      </c>
      <c r="J2000" s="265" t="s">
        <v>102</v>
      </c>
      <c r="K2000" s="265" t="s">
        <v>3594</v>
      </c>
      <c r="L2000" s="348" t="s">
        <v>1205</v>
      </c>
      <c r="M2000" s="265">
        <v>0</v>
      </c>
      <c r="N2000" s="347">
        <v>3.9750000000000001</v>
      </c>
      <c r="O2000" s="348" t="s">
        <v>1205</v>
      </c>
      <c r="P2000" s="348" t="s">
        <v>1205</v>
      </c>
      <c r="Q2000" s="348" t="s">
        <v>1205</v>
      </c>
    </row>
    <row r="2001" spans="1:17" ht="15" hidden="1" customHeight="1">
      <c r="A2001" s="163">
        <v>1996</v>
      </c>
      <c r="B2001" s="53" t="s">
        <v>36</v>
      </c>
      <c r="C2001" s="53" t="s">
        <v>3597</v>
      </c>
      <c r="D2001" s="53">
        <v>100025612</v>
      </c>
      <c r="E2001" s="55" t="s">
        <v>3598</v>
      </c>
      <c r="F2001" s="129" t="s">
        <v>1205</v>
      </c>
      <c r="G2001" s="129">
        <v>1</v>
      </c>
      <c r="H2001" s="512">
        <v>28.72</v>
      </c>
      <c r="I2001" s="265" t="s">
        <v>76</v>
      </c>
      <c r="J2001" s="265" t="s">
        <v>102</v>
      </c>
      <c r="K2001" s="265" t="s">
        <v>3599</v>
      </c>
      <c r="L2001" s="348" t="s">
        <v>1205</v>
      </c>
      <c r="M2001" s="265">
        <v>0</v>
      </c>
      <c r="N2001" s="347">
        <v>2.7349999999999999</v>
      </c>
      <c r="O2001" s="348" t="s">
        <v>1205</v>
      </c>
      <c r="P2001" s="348" t="s">
        <v>1205</v>
      </c>
      <c r="Q2001" s="348" t="s">
        <v>1205</v>
      </c>
    </row>
    <row r="2002" spans="1:17" ht="15" hidden="1" customHeight="1">
      <c r="A2002" s="163">
        <v>1997</v>
      </c>
      <c r="B2002" s="53" t="s">
        <v>36</v>
      </c>
      <c r="C2002" s="53" t="s">
        <v>3600</v>
      </c>
      <c r="D2002" s="53">
        <v>100025625</v>
      </c>
      <c r="E2002" s="55" t="s">
        <v>3601</v>
      </c>
      <c r="F2002" s="129" t="s">
        <v>1205</v>
      </c>
      <c r="G2002" s="129">
        <v>1</v>
      </c>
      <c r="H2002" s="512">
        <v>28.72</v>
      </c>
      <c r="I2002" s="265" t="s">
        <v>359</v>
      </c>
      <c r="J2002" s="265" t="s">
        <v>102</v>
      </c>
      <c r="K2002" s="265" t="s">
        <v>3602</v>
      </c>
      <c r="L2002" s="348" t="s">
        <v>1205</v>
      </c>
      <c r="M2002" s="265">
        <v>0</v>
      </c>
      <c r="N2002" s="347">
        <v>2.73</v>
      </c>
      <c r="O2002" s="348" t="s">
        <v>1205</v>
      </c>
      <c r="P2002" s="348" t="s">
        <v>1205</v>
      </c>
      <c r="Q2002" s="348" t="s">
        <v>1205</v>
      </c>
    </row>
    <row r="2003" spans="1:17" ht="15" hidden="1" customHeight="1">
      <c r="A2003" s="163">
        <v>1998</v>
      </c>
      <c r="B2003" s="53" t="s">
        <v>36</v>
      </c>
      <c r="C2003" s="53" t="s">
        <v>3603</v>
      </c>
      <c r="D2003" s="53">
        <v>100025469</v>
      </c>
      <c r="E2003" s="55" t="s">
        <v>3604</v>
      </c>
      <c r="F2003" s="129" t="s">
        <v>1205</v>
      </c>
      <c r="G2003" s="129">
        <v>1</v>
      </c>
      <c r="H2003" s="512">
        <v>28.72</v>
      </c>
      <c r="I2003" s="265" t="s">
        <v>359</v>
      </c>
      <c r="J2003" s="265" t="s">
        <v>102</v>
      </c>
      <c r="K2003" s="265" t="s">
        <v>3605</v>
      </c>
      <c r="L2003" s="348" t="s">
        <v>1205</v>
      </c>
      <c r="M2003" s="265">
        <v>0</v>
      </c>
      <c r="N2003" s="347">
        <v>2.73</v>
      </c>
      <c r="O2003" s="348" t="s">
        <v>1205</v>
      </c>
      <c r="P2003" s="348" t="s">
        <v>1205</v>
      </c>
      <c r="Q2003" s="348" t="s">
        <v>1205</v>
      </c>
    </row>
    <row r="2004" spans="1:17" ht="15" hidden="1" customHeight="1">
      <c r="A2004" s="163">
        <v>1999</v>
      </c>
      <c r="B2004" s="53" t="s">
        <v>36</v>
      </c>
      <c r="C2004" s="53" t="s">
        <v>3606</v>
      </c>
      <c r="D2004" s="53">
        <v>100025624</v>
      </c>
      <c r="E2004" s="55" t="s">
        <v>3607</v>
      </c>
      <c r="F2004" s="129" t="s">
        <v>1205</v>
      </c>
      <c r="G2004" s="129">
        <v>1</v>
      </c>
      <c r="H2004" s="512">
        <v>28.72</v>
      </c>
      <c r="I2004" s="265" t="s">
        <v>359</v>
      </c>
      <c r="J2004" s="265" t="s">
        <v>102</v>
      </c>
      <c r="K2004" s="265" t="s">
        <v>3608</v>
      </c>
      <c r="L2004" s="348" t="s">
        <v>1205</v>
      </c>
      <c r="M2004" s="265">
        <v>0</v>
      </c>
      <c r="N2004" s="347">
        <v>2.73</v>
      </c>
      <c r="O2004" s="348" t="s">
        <v>1205</v>
      </c>
      <c r="P2004" s="348" t="s">
        <v>1205</v>
      </c>
      <c r="Q2004" s="348" t="s">
        <v>1205</v>
      </c>
    </row>
    <row r="2005" spans="1:17" ht="15" hidden="1" customHeight="1">
      <c r="A2005" s="163">
        <v>2000</v>
      </c>
      <c r="B2005" s="53" t="s">
        <v>36</v>
      </c>
      <c r="C2005" s="53" t="s">
        <v>3609</v>
      </c>
      <c r="D2005" s="53">
        <v>100025617</v>
      </c>
      <c r="E2005" s="55" t="s">
        <v>3610</v>
      </c>
      <c r="F2005" s="129" t="s">
        <v>1205</v>
      </c>
      <c r="G2005" s="129">
        <v>1</v>
      </c>
      <c r="H2005" s="512">
        <v>28.72</v>
      </c>
      <c r="I2005" s="265" t="s">
        <v>359</v>
      </c>
      <c r="J2005" s="265" t="s">
        <v>102</v>
      </c>
      <c r="K2005" s="265" t="s">
        <v>3611</v>
      </c>
      <c r="L2005" s="348" t="s">
        <v>1205</v>
      </c>
      <c r="M2005" s="265">
        <v>0</v>
      </c>
      <c r="N2005" s="347">
        <v>2.7349999999999999</v>
      </c>
      <c r="O2005" s="348" t="s">
        <v>1205</v>
      </c>
      <c r="P2005" s="348" t="s">
        <v>1205</v>
      </c>
      <c r="Q2005" s="348" t="s">
        <v>1205</v>
      </c>
    </row>
    <row r="2006" spans="1:17" ht="15" hidden="1" customHeight="1">
      <c r="A2006" s="163">
        <v>2001</v>
      </c>
      <c r="B2006" s="53" t="s">
        <v>36</v>
      </c>
      <c r="C2006" s="53" t="s">
        <v>3612</v>
      </c>
      <c r="D2006" s="53">
        <v>100025423</v>
      </c>
      <c r="E2006" s="55" t="s">
        <v>3613</v>
      </c>
      <c r="F2006" s="129" t="s">
        <v>1205</v>
      </c>
      <c r="G2006" s="129">
        <v>1</v>
      </c>
      <c r="H2006" s="512">
        <v>28.72</v>
      </c>
      <c r="I2006" s="265" t="s">
        <v>359</v>
      </c>
      <c r="J2006" s="265" t="s">
        <v>102</v>
      </c>
      <c r="K2006" s="265" t="s">
        <v>3614</v>
      </c>
      <c r="L2006" s="348" t="s">
        <v>1205</v>
      </c>
      <c r="M2006" s="265">
        <v>0</v>
      </c>
      <c r="N2006" s="347">
        <v>3.3149999999999999</v>
      </c>
      <c r="O2006" s="348" t="s">
        <v>1205</v>
      </c>
      <c r="P2006" s="348" t="s">
        <v>1205</v>
      </c>
      <c r="Q2006" s="348" t="s">
        <v>1205</v>
      </c>
    </row>
    <row r="2007" spans="1:17" ht="15" hidden="1" customHeight="1">
      <c r="A2007" s="163">
        <v>2002</v>
      </c>
      <c r="B2007" s="53" t="s">
        <v>36</v>
      </c>
      <c r="C2007" s="53" t="s">
        <v>3615</v>
      </c>
      <c r="D2007" s="53">
        <v>100025442</v>
      </c>
      <c r="E2007" s="55" t="s">
        <v>3616</v>
      </c>
      <c r="F2007" s="129" t="s">
        <v>1205</v>
      </c>
      <c r="G2007" s="129">
        <v>1</v>
      </c>
      <c r="H2007" s="512">
        <v>28.72</v>
      </c>
      <c r="I2007" s="265" t="s">
        <v>359</v>
      </c>
      <c r="J2007" s="265" t="s">
        <v>102</v>
      </c>
      <c r="K2007" s="265" t="s">
        <v>3617</v>
      </c>
      <c r="L2007" s="348" t="s">
        <v>1205</v>
      </c>
      <c r="M2007" s="265">
        <v>0</v>
      </c>
      <c r="N2007" s="347">
        <v>3.3149999999999999</v>
      </c>
      <c r="O2007" s="348" t="s">
        <v>1205</v>
      </c>
      <c r="P2007" s="348" t="s">
        <v>1205</v>
      </c>
      <c r="Q2007" s="348" t="s">
        <v>1205</v>
      </c>
    </row>
    <row r="2008" spans="1:17" ht="15" hidden="1" customHeight="1">
      <c r="A2008" s="163">
        <v>2003</v>
      </c>
      <c r="B2008" s="53" t="s">
        <v>36</v>
      </c>
      <c r="C2008" s="53" t="s">
        <v>3618</v>
      </c>
      <c r="D2008" s="53">
        <v>100025453</v>
      </c>
      <c r="E2008" s="55" t="s">
        <v>3619</v>
      </c>
      <c r="F2008" s="129" t="s">
        <v>1205</v>
      </c>
      <c r="G2008" s="129">
        <v>1</v>
      </c>
      <c r="H2008" s="512">
        <v>28.72</v>
      </c>
      <c r="I2008" s="265" t="s">
        <v>359</v>
      </c>
      <c r="J2008" s="265" t="s">
        <v>102</v>
      </c>
      <c r="K2008" s="265" t="s">
        <v>3620</v>
      </c>
      <c r="L2008" s="348" t="s">
        <v>1205</v>
      </c>
      <c r="M2008" s="265">
        <v>0</v>
      </c>
      <c r="N2008" s="347">
        <v>3.4350000000000001</v>
      </c>
      <c r="O2008" s="348" t="s">
        <v>1205</v>
      </c>
      <c r="P2008" s="348" t="s">
        <v>1205</v>
      </c>
      <c r="Q2008" s="348" t="s">
        <v>1205</v>
      </c>
    </row>
    <row r="2009" spans="1:17" ht="15" hidden="1" customHeight="1">
      <c r="A2009" s="163">
        <v>2004</v>
      </c>
      <c r="B2009" s="53" t="s">
        <v>36</v>
      </c>
      <c r="C2009" s="53" t="s">
        <v>3621</v>
      </c>
      <c r="D2009" s="53">
        <v>100025426</v>
      </c>
      <c r="E2009" s="55" t="s">
        <v>3622</v>
      </c>
      <c r="F2009" s="129" t="s">
        <v>1205</v>
      </c>
      <c r="G2009" s="129">
        <v>1</v>
      </c>
      <c r="H2009" s="512">
        <v>28.72</v>
      </c>
      <c r="I2009" s="265" t="s">
        <v>359</v>
      </c>
      <c r="J2009" s="265" t="s">
        <v>102</v>
      </c>
      <c r="K2009" s="265" t="s">
        <v>3623</v>
      </c>
      <c r="L2009" s="348" t="s">
        <v>1205</v>
      </c>
      <c r="M2009" s="265">
        <v>0</v>
      </c>
      <c r="N2009" s="347">
        <v>2.7349999999999999</v>
      </c>
      <c r="O2009" s="348" t="s">
        <v>1205</v>
      </c>
      <c r="P2009" s="348" t="s">
        <v>1205</v>
      </c>
      <c r="Q2009" s="348" t="s">
        <v>1205</v>
      </c>
    </row>
    <row r="2010" spans="1:17" ht="15" hidden="1" customHeight="1">
      <c r="A2010" s="163">
        <v>2005</v>
      </c>
      <c r="B2010" s="53" t="s">
        <v>36</v>
      </c>
      <c r="C2010" s="53" t="s">
        <v>3624</v>
      </c>
      <c r="D2010" s="53">
        <v>100025427</v>
      </c>
      <c r="E2010" s="55" t="s">
        <v>3625</v>
      </c>
      <c r="F2010" s="129" t="s">
        <v>1205</v>
      </c>
      <c r="G2010" s="129">
        <v>1</v>
      </c>
      <c r="H2010" s="512">
        <v>28.72</v>
      </c>
      <c r="I2010" s="265" t="s">
        <v>359</v>
      </c>
      <c r="J2010" s="265" t="s">
        <v>102</v>
      </c>
      <c r="K2010" s="265" t="s">
        <v>3626</v>
      </c>
      <c r="L2010" s="348" t="s">
        <v>1205</v>
      </c>
      <c r="M2010" s="265">
        <v>0</v>
      </c>
      <c r="N2010" s="347">
        <v>2.7349999999999999</v>
      </c>
      <c r="O2010" s="348" t="s">
        <v>1205</v>
      </c>
      <c r="P2010" s="348" t="s">
        <v>1205</v>
      </c>
      <c r="Q2010" s="348" t="s">
        <v>1205</v>
      </c>
    </row>
    <row r="2011" spans="1:17" ht="15" hidden="1" customHeight="1">
      <c r="A2011" s="163">
        <v>2006</v>
      </c>
      <c r="B2011" s="53" t="s">
        <v>36</v>
      </c>
      <c r="C2011" s="53" t="s">
        <v>3627</v>
      </c>
      <c r="D2011" s="53">
        <v>100025613</v>
      </c>
      <c r="E2011" s="55" t="s">
        <v>3628</v>
      </c>
      <c r="F2011" s="129" t="s">
        <v>1205</v>
      </c>
      <c r="G2011" s="129">
        <v>1</v>
      </c>
      <c r="H2011" s="512">
        <v>28.72</v>
      </c>
      <c r="I2011" s="265" t="s">
        <v>76</v>
      </c>
      <c r="J2011" s="265" t="s">
        <v>102</v>
      </c>
      <c r="K2011" s="265" t="s">
        <v>3629</v>
      </c>
      <c r="L2011" s="348" t="s">
        <v>1205</v>
      </c>
      <c r="M2011" s="265">
        <v>0</v>
      </c>
      <c r="N2011" s="347">
        <v>2.7349999999999999</v>
      </c>
      <c r="O2011" s="348" t="s">
        <v>1205</v>
      </c>
      <c r="P2011" s="348" t="s">
        <v>1205</v>
      </c>
      <c r="Q2011" s="348" t="s">
        <v>1205</v>
      </c>
    </row>
    <row r="2012" spans="1:17" ht="15" hidden="1" customHeight="1">
      <c r="A2012" s="163">
        <v>2007</v>
      </c>
      <c r="B2012" s="53" t="s">
        <v>36</v>
      </c>
      <c r="C2012" s="53" t="s">
        <v>3630</v>
      </c>
      <c r="D2012" s="53">
        <v>100025449</v>
      </c>
      <c r="E2012" s="55" t="s">
        <v>3631</v>
      </c>
      <c r="F2012" s="129" t="s">
        <v>1205</v>
      </c>
      <c r="G2012" s="129">
        <v>1</v>
      </c>
      <c r="H2012" s="512">
        <v>28.72</v>
      </c>
      <c r="I2012" s="265" t="s">
        <v>359</v>
      </c>
      <c r="J2012" s="265" t="s">
        <v>102</v>
      </c>
      <c r="K2012" s="265" t="s">
        <v>3632</v>
      </c>
      <c r="L2012" s="348" t="s">
        <v>1205</v>
      </c>
      <c r="M2012" s="265">
        <v>0</v>
      </c>
      <c r="N2012" s="347">
        <v>2.73</v>
      </c>
      <c r="O2012" s="348" t="s">
        <v>1205</v>
      </c>
      <c r="P2012" s="348" t="s">
        <v>1205</v>
      </c>
      <c r="Q2012" s="348" t="s">
        <v>1205</v>
      </c>
    </row>
    <row r="2013" spans="1:17" ht="15" hidden="1" customHeight="1">
      <c r="A2013" s="163">
        <v>2008</v>
      </c>
      <c r="B2013" s="53" t="s">
        <v>36</v>
      </c>
      <c r="C2013" s="53" t="s">
        <v>3633</v>
      </c>
      <c r="D2013" s="53">
        <v>100025421</v>
      </c>
      <c r="E2013" s="55" t="s">
        <v>3634</v>
      </c>
      <c r="F2013" s="129" t="s">
        <v>1205</v>
      </c>
      <c r="G2013" s="129">
        <v>1</v>
      </c>
      <c r="H2013" s="512">
        <v>28.72</v>
      </c>
      <c r="I2013" s="265" t="s">
        <v>359</v>
      </c>
      <c r="J2013" s="265" t="s">
        <v>102</v>
      </c>
      <c r="K2013" s="265" t="s">
        <v>3635</v>
      </c>
      <c r="L2013" s="348" t="s">
        <v>1205</v>
      </c>
      <c r="M2013" s="265">
        <v>0</v>
      </c>
      <c r="N2013" s="347">
        <v>2.7349999999999999</v>
      </c>
      <c r="O2013" s="348" t="s">
        <v>1205</v>
      </c>
      <c r="P2013" s="348" t="s">
        <v>1205</v>
      </c>
      <c r="Q2013" s="348" t="s">
        <v>1205</v>
      </c>
    </row>
    <row r="2014" spans="1:17" ht="15" hidden="1" customHeight="1">
      <c r="A2014" s="163">
        <v>2009</v>
      </c>
      <c r="B2014" s="53" t="s">
        <v>36</v>
      </c>
      <c r="C2014" s="53" t="s">
        <v>3636</v>
      </c>
      <c r="D2014" s="53">
        <v>100025450</v>
      </c>
      <c r="E2014" s="55" t="s">
        <v>3637</v>
      </c>
      <c r="F2014" s="129" t="s">
        <v>1205</v>
      </c>
      <c r="G2014" s="129">
        <v>1</v>
      </c>
      <c r="H2014" s="512">
        <v>28.72</v>
      </c>
      <c r="I2014" s="265" t="s">
        <v>359</v>
      </c>
      <c r="J2014" s="265" t="s">
        <v>102</v>
      </c>
      <c r="K2014" s="265" t="s">
        <v>3638</v>
      </c>
      <c r="L2014" s="348" t="s">
        <v>1205</v>
      </c>
      <c r="M2014" s="265">
        <v>0</v>
      </c>
      <c r="N2014" s="347">
        <v>2.73</v>
      </c>
      <c r="O2014" s="348" t="s">
        <v>1205</v>
      </c>
      <c r="P2014" s="348" t="s">
        <v>1205</v>
      </c>
      <c r="Q2014" s="348" t="s">
        <v>1205</v>
      </c>
    </row>
    <row r="2015" spans="1:17" ht="15" hidden="1" customHeight="1">
      <c r="A2015" s="163">
        <v>2010</v>
      </c>
      <c r="B2015" s="53" t="s">
        <v>36</v>
      </c>
      <c r="C2015" s="53" t="s">
        <v>3639</v>
      </c>
      <c r="D2015" s="53">
        <v>100025428</v>
      </c>
      <c r="E2015" s="55" t="s">
        <v>3640</v>
      </c>
      <c r="F2015" s="129" t="s">
        <v>1205</v>
      </c>
      <c r="G2015" s="129">
        <v>1</v>
      </c>
      <c r="H2015" s="512">
        <v>28.72</v>
      </c>
      <c r="I2015" s="265" t="s">
        <v>359</v>
      </c>
      <c r="J2015" s="265" t="s">
        <v>102</v>
      </c>
      <c r="K2015" s="265" t="s">
        <v>3641</v>
      </c>
      <c r="L2015" s="348" t="s">
        <v>1205</v>
      </c>
      <c r="M2015" s="265">
        <v>0</v>
      </c>
      <c r="N2015" s="347">
        <v>2.7349999999999999</v>
      </c>
      <c r="O2015" s="348" t="s">
        <v>1205</v>
      </c>
      <c r="P2015" s="348" t="s">
        <v>1205</v>
      </c>
      <c r="Q2015" s="348" t="s">
        <v>1205</v>
      </c>
    </row>
    <row r="2016" spans="1:17" ht="15" hidden="1" customHeight="1">
      <c r="A2016" s="163">
        <v>2011</v>
      </c>
      <c r="B2016" s="53" t="s">
        <v>36</v>
      </c>
      <c r="C2016" s="53" t="s">
        <v>3642</v>
      </c>
      <c r="D2016" s="53">
        <v>100025457</v>
      </c>
      <c r="E2016" s="55" t="s">
        <v>3643</v>
      </c>
      <c r="F2016" s="129" t="s">
        <v>1205</v>
      </c>
      <c r="G2016" s="129">
        <v>1</v>
      </c>
      <c r="H2016" s="512">
        <v>28.72</v>
      </c>
      <c r="I2016" s="265" t="s">
        <v>359</v>
      </c>
      <c r="J2016" s="265" t="s">
        <v>102</v>
      </c>
      <c r="K2016" s="265" t="s">
        <v>3644</v>
      </c>
      <c r="L2016" s="348" t="s">
        <v>1205</v>
      </c>
      <c r="M2016" s="265">
        <v>0</v>
      </c>
      <c r="N2016" s="347">
        <v>2.73</v>
      </c>
      <c r="O2016" s="348" t="s">
        <v>1205</v>
      </c>
      <c r="P2016" s="348" t="s">
        <v>1205</v>
      </c>
      <c r="Q2016" s="348" t="s">
        <v>1205</v>
      </c>
    </row>
    <row r="2017" spans="1:17" ht="15" hidden="1" customHeight="1">
      <c r="A2017" s="163">
        <v>2012</v>
      </c>
      <c r="B2017" s="53" t="s">
        <v>36</v>
      </c>
      <c r="C2017" s="53" t="s">
        <v>3645</v>
      </c>
      <c r="D2017" s="53">
        <v>100025614</v>
      </c>
      <c r="E2017" s="55" t="s">
        <v>3646</v>
      </c>
      <c r="F2017" s="129" t="s">
        <v>1205</v>
      </c>
      <c r="G2017" s="129">
        <v>1</v>
      </c>
      <c r="H2017" s="512">
        <v>28.72</v>
      </c>
      <c r="I2017" s="265" t="s">
        <v>359</v>
      </c>
      <c r="J2017" s="265" t="s">
        <v>102</v>
      </c>
      <c r="K2017" s="265" t="s">
        <v>3647</v>
      </c>
      <c r="L2017" s="348" t="s">
        <v>1205</v>
      </c>
      <c r="M2017" s="265">
        <v>0</v>
      </c>
      <c r="N2017" s="347">
        <v>2.7349999999999999</v>
      </c>
      <c r="O2017" s="348" t="s">
        <v>1205</v>
      </c>
      <c r="P2017" s="348" t="s">
        <v>1205</v>
      </c>
      <c r="Q2017" s="348" t="s">
        <v>1205</v>
      </c>
    </row>
    <row r="2018" spans="1:17" ht="15" hidden="1" customHeight="1">
      <c r="A2018" s="163">
        <v>2013</v>
      </c>
      <c r="B2018" s="53" t="s">
        <v>36</v>
      </c>
      <c r="C2018" s="53" t="s">
        <v>3649</v>
      </c>
      <c r="D2018" s="53">
        <v>100025572</v>
      </c>
      <c r="E2018" s="55" t="s">
        <v>3650</v>
      </c>
      <c r="F2018" s="129" t="s">
        <v>1205</v>
      </c>
      <c r="G2018" s="129">
        <v>1</v>
      </c>
      <c r="H2018" s="512">
        <v>146.38</v>
      </c>
      <c r="I2018" s="265" t="s">
        <v>359</v>
      </c>
      <c r="J2018" s="265" t="s">
        <v>102</v>
      </c>
      <c r="K2018" s="265" t="s">
        <v>3651</v>
      </c>
      <c r="L2018" s="348" t="s">
        <v>1205</v>
      </c>
      <c r="M2018" s="265">
        <v>0</v>
      </c>
      <c r="N2018" s="347">
        <v>7.15</v>
      </c>
      <c r="O2018" s="348" t="s">
        <v>1205</v>
      </c>
      <c r="P2018" s="348" t="s">
        <v>1205</v>
      </c>
      <c r="Q2018" s="348" t="s">
        <v>1205</v>
      </c>
    </row>
    <row r="2019" spans="1:17" ht="15" hidden="1" customHeight="1">
      <c r="A2019" s="163">
        <v>2014</v>
      </c>
      <c r="B2019" s="53" t="s">
        <v>36</v>
      </c>
      <c r="C2019" s="53" t="s">
        <v>3652</v>
      </c>
      <c r="D2019" s="53">
        <v>100025323</v>
      </c>
      <c r="E2019" s="55" t="s">
        <v>3653</v>
      </c>
      <c r="F2019" s="129" t="s">
        <v>1205</v>
      </c>
      <c r="G2019" s="129">
        <v>1</v>
      </c>
      <c r="H2019" s="512">
        <v>146.38</v>
      </c>
      <c r="I2019" s="265" t="s">
        <v>359</v>
      </c>
      <c r="J2019" s="265" t="s">
        <v>102</v>
      </c>
      <c r="K2019" s="265" t="s">
        <v>3654</v>
      </c>
      <c r="L2019" s="348" t="s">
        <v>1205</v>
      </c>
      <c r="M2019" s="265">
        <v>0</v>
      </c>
      <c r="N2019" s="347">
        <v>7.15</v>
      </c>
      <c r="O2019" s="348" t="s">
        <v>1205</v>
      </c>
      <c r="P2019" s="348" t="s">
        <v>1205</v>
      </c>
      <c r="Q2019" s="348" t="s">
        <v>1205</v>
      </c>
    </row>
    <row r="2020" spans="1:17" ht="15" hidden="1" customHeight="1">
      <c r="A2020" s="163">
        <v>2015</v>
      </c>
      <c r="B2020" s="53" t="s">
        <v>36</v>
      </c>
      <c r="C2020" s="53" t="s">
        <v>3655</v>
      </c>
      <c r="D2020" s="53">
        <v>100025319</v>
      </c>
      <c r="E2020" s="55" t="s">
        <v>3656</v>
      </c>
      <c r="F2020" s="129" t="s">
        <v>1205</v>
      </c>
      <c r="G2020" s="129">
        <v>1</v>
      </c>
      <c r="H2020" s="512">
        <v>146.38</v>
      </c>
      <c r="I2020" s="265" t="s">
        <v>359</v>
      </c>
      <c r="J2020" s="265" t="s">
        <v>102</v>
      </c>
      <c r="K2020" s="265" t="s">
        <v>3657</v>
      </c>
      <c r="L2020" s="348" t="s">
        <v>1205</v>
      </c>
      <c r="M2020" s="265">
        <v>0</v>
      </c>
      <c r="N2020" s="347">
        <v>7.15</v>
      </c>
      <c r="O2020" s="348" t="s">
        <v>1205</v>
      </c>
      <c r="P2020" s="348" t="s">
        <v>1205</v>
      </c>
      <c r="Q2020" s="348" t="s">
        <v>1205</v>
      </c>
    </row>
    <row r="2021" spans="1:17" ht="15" hidden="1" customHeight="1">
      <c r="A2021" s="163">
        <v>2016</v>
      </c>
      <c r="B2021" s="53" t="s">
        <v>36</v>
      </c>
      <c r="C2021" s="53" t="s">
        <v>3659</v>
      </c>
      <c r="D2021" s="53">
        <v>100025413</v>
      </c>
      <c r="E2021" s="55" t="s">
        <v>3660</v>
      </c>
      <c r="F2021" s="129" t="s">
        <v>1205</v>
      </c>
      <c r="G2021" s="129">
        <v>1</v>
      </c>
      <c r="H2021" s="512">
        <v>97.61</v>
      </c>
      <c r="I2021" s="265" t="s">
        <v>359</v>
      </c>
      <c r="J2021" s="265" t="s">
        <v>102</v>
      </c>
      <c r="K2021" s="265" t="s">
        <v>3661</v>
      </c>
      <c r="L2021" s="348" t="s">
        <v>1205</v>
      </c>
      <c r="M2021" s="265">
        <v>0</v>
      </c>
      <c r="N2021" s="347">
        <v>2.5539999999999998</v>
      </c>
      <c r="O2021" s="348" t="s">
        <v>1205</v>
      </c>
      <c r="P2021" s="348" t="s">
        <v>1205</v>
      </c>
      <c r="Q2021" s="348" t="s">
        <v>1205</v>
      </c>
    </row>
    <row r="2022" spans="1:17" ht="15" hidden="1" customHeight="1">
      <c r="A2022" s="163">
        <v>2017</v>
      </c>
      <c r="B2022" s="53" t="s">
        <v>36</v>
      </c>
      <c r="C2022" s="53" t="s">
        <v>3662</v>
      </c>
      <c r="D2022" s="53">
        <v>100025626</v>
      </c>
      <c r="E2022" s="55" t="s">
        <v>3663</v>
      </c>
      <c r="F2022" s="129" t="s">
        <v>1205</v>
      </c>
      <c r="G2022" s="129">
        <v>1</v>
      </c>
      <c r="H2022" s="512">
        <v>97.61</v>
      </c>
      <c r="I2022" s="265" t="s">
        <v>359</v>
      </c>
      <c r="J2022" s="265" t="s">
        <v>102</v>
      </c>
      <c r="K2022" s="265" t="s">
        <v>3664</v>
      </c>
      <c r="L2022" s="348" t="s">
        <v>1205</v>
      </c>
      <c r="M2022" s="265">
        <v>0</v>
      </c>
      <c r="N2022" s="347">
        <v>2.5539999999999998</v>
      </c>
      <c r="O2022" s="348" t="s">
        <v>1205</v>
      </c>
      <c r="P2022" s="348" t="s">
        <v>1205</v>
      </c>
      <c r="Q2022" s="348" t="s">
        <v>1205</v>
      </c>
    </row>
    <row r="2023" spans="1:17" ht="15" hidden="1" customHeight="1">
      <c r="A2023" s="163">
        <v>2018</v>
      </c>
      <c r="B2023" s="53" t="s">
        <v>36</v>
      </c>
      <c r="C2023" s="53" t="s">
        <v>3665</v>
      </c>
      <c r="D2023" s="53">
        <v>100025438</v>
      </c>
      <c r="E2023" s="55" t="s">
        <v>3666</v>
      </c>
      <c r="F2023" s="129" t="s">
        <v>1205</v>
      </c>
      <c r="G2023" s="129">
        <v>1</v>
      </c>
      <c r="H2023" s="512">
        <v>97.61</v>
      </c>
      <c r="I2023" s="265" t="s">
        <v>359</v>
      </c>
      <c r="J2023" s="265" t="s">
        <v>102</v>
      </c>
      <c r="K2023" s="265" t="s">
        <v>3667</v>
      </c>
      <c r="L2023" s="348" t="s">
        <v>1205</v>
      </c>
      <c r="M2023" s="265">
        <v>0</v>
      </c>
      <c r="N2023" s="347">
        <v>2.5539999999999998</v>
      </c>
      <c r="O2023" s="348" t="s">
        <v>1205</v>
      </c>
      <c r="P2023" s="348" t="s">
        <v>1205</v>
      </c>
      <c r="Q2023" s="348" t="s">
        <v>1205</v>
      </c>
    </row>
    <row r="2024" spans="1:17" ht="15" hidden="1" customHeight="1">
      <c r="A2024" s="163">
        <v>2019</v>
      </c>
      <c r="B2024" s="53" t="s">
        <v>36</v>
      </c>
      <c r="C2024" s="53" t="s">
        <v>3668</v>
      </c>
      <c r="D2024" s="53">
        <v>100025445</v>
      </c>
      <c r="E2024" s="55" t="s">
        <v>3669</v>
      </c>
      <c r="F2024" s="129" t="s">
        <v>1205</v>
      </c>
      <c r="G2024" s="129">
        <v>1</v>
      </c>
      <c r="H2024" s="512">
        <v>97.61</v>
      </c>
      <c r="I2024" s="265" t="s">
        <v>359</v>
      </c>
      <c r="J2024" s="265" t="s">
        <v>102</v>
      </c>
      <c r="K2024" s="265" t="s">
        <v>3670</v>
      </c>
      <c r="L2024" s="348" t="s">
        <v>1205</v>
      </c>
      <c r="M2024" s="265">
        <v>0</v>
      </c>
      <c r="N2024" s="347">
        <v>2.5539999999999998</v>
      </c>
      <c r="O2024" s="348" t="s">
        <v>1205</v>
      </c>
      <c r="P2024" s="348" t="s">
        <v>1205</v>
      </c>
      <c r="Q2024" s="348" t="s">
        <v>1205</v>
      </c>
    </row>
    <row r="2025" spans="1:17" ht="15" hidden="1" customHeight="1">
      <c r="A2025" s="163">
        <v>2020</v>
      </c>
      <c r="B2025" s="53" t="s">
        <v>36</v>
      </c>
      <c r="C2025" s="53" t="s">
        <v>3672</v>
      </c>
      <c r="D2025" s="53">
        <v>100025578</v>
      </c>
      <c r="E2025" s="55" t="s">
        <v>3673</v>
      </c>
      <c r="F2025" s="129" t="s">
        <v>1205</v>
      </c>
      <c r="G2025" s="129">
        <v>48</v>
      </c>
      <c r="H2025" s="512">
        <v>124.31</v>
      </c>
      <c r="I2025" s="265" t="s">
        <v>76</v>
      </c>
      <c r="J2025" s="265" t="s">
        <v>102</v>
      </c>
      <c r="K2025" s="265" t="s">
        <v>3674</v>
      </c>
      <c r="L2025" s="348" t="s">
        <v>1205</v>
      </c>
      <c r="M2025" s="265">
        <v>0</v>
      </c>
      <c r="N2025" s="347">
        <v>8.8800000000000008</v>
      </c>
      <c r="O2025" s="348" t="s">
        <v>1205</v>
      </c>
      <c r="P2025" s="348" t="s">
        <v>1205</v>
      </c>
      <c r="Q2025" s="348" t="s">
        <v>1205</v>
      </c>
    </row>
    <row r="2026" spans="1:17" ht="15" hidden="1" customHeight="1">
      <c r="A2026" s="163">
        <v>2021</v>
      </c>
      <c r="B2026" s="53" t="s">
        <v>36</v>
      </c>
      <c r="C2026" s="53" t="s">
        <v>3675</v>
      </c>
      <c r="D2026" s="53">
        <v>100025582</v>
      </c>
      <c r="E2026" s="55" t="s">
        <v>3676</v>
      </c>
      <c r="F2026" s="129" t="s">
        <v>1205</v>
      </c>
      <c r="G2026" s="129">
        <v>48</v>
      </c>
      <c r="H2026" s="512">
        <v>124.31</v>
      </c>
      <c r="I2026" s="265" t="s">
        <v>76</v>
      </c>
      <c r="J2026" s="265" t="s">
        <v>102</v>
      </c>
      <c r="K2026" s="265" t="s">
        <v>3677</v>
      </c>
      <c r="L2026" s="348" t="s">
        <v>1205</v>
      </c>
      <c r="M2026" s="265">
        <v>0</v>
      </c>
      <c r="N2026" s="347">
        <v>8.8800000000000008</v>
      </c>
      <c r="O2026" s="348" t="s">
        <v>1205</v>
      </c>
      <c r="P2026" s="348" t="s">
        <v>1205</v>
      </c>
      <c r="Q2026" s="348" t="s">
        <v>1205</v>
      </c>
    </row>
    <row r="2027" spans="1:17" ht="15" hidden="1" customHeight="1">
      <c r="A2027" s="163">
        <v>2022</v>
      </c>
      <c r="B2027" s="53" t="s">
        <v>36</v>
      </c>
      <c r="C2027" s="53" t="s">
        <v>3678</v>
      </c>
      <c r="D2027" s="53">
        <v>100025584</v>
      </c>
      <c r="E2027" s="55" t="s">
        <v>3679</v>
      </c>
      <c r="F2027" s="129" t="s">
        <v>1205</v>
      </c>
      <c r="G2027" s="129">
        <v>48</v>
      </c>
      <c r="H2027" s="512">
        <v>124.31</v>
      </c>
      <c r="I2027" s="265" t="s">
        <v>76</v>
      </c>
      <c r="J2027" s="265" t="s">
        <v>102</v>
      </c>
      <c r="K2027" s="265" t="s">
        <v>3680</v>
      </c>
      <c r="L2027" s="348" t="s">
        <v>1205</v>
      </c>
      <c r="M2027" s="265">
        <v>0</v>
      </c>
      <c r="N2027" s="347">
        <v>8.8800000000000008</v>
      </c>
      <c r="O2027" s="348" t="s">
        <v>1205</v>
      </c>
      <c r="P2027" s="348" t="s">
        <v>1205</v>
      </c>
      <c r="Q2027" s="348" t="s">
        <v>1205</v>
      </c>
    </row>
    <row r="2028" spans="1:17" ht="15" hidden="1" customHeight="1">
      <c r="A2028" s="163">
        <v>2023</v>
      </c>
      <c r="B2028" s="53" t="s">
        <v>36</v>
      </c>
      <c r="C2028" s="53" t="s">
        <v>3682</v>
      </c>
      <c r="D2028" s="53">
        <v>100025580</v>
      </c>
      <c r="E2028" s="55" t="s">
        <v>3683</v>
      </c>
      <c r="F2028" s="129" t="s">
        <v>1205</v>
      </c>
      <c r="G2028" s="129">
        <v>28</v>
      </c>
      <c r="H2028" s="512">
        <v>114.73</v>
      </c>
      <c r="I2028" s="265" t="s">
        <v>76</v>
      </c>
      <c r="J2028" s="265" t="s">
        <v>102</v>
      </c>
      <c r="K2028" s="265" t="s">
        <v>3684</v>
      </c>
      <c r="L2028" s="348" t="s">
        <v>1205</v>
      </c>
      <c r="M2028" s="265">
        <v>0</v>
      </c>
      <c r="N2028" s="347">
        <v>5.66</v>
      </c>
      <c r="O2028" s="348" t="s">
        <v>1205</v>
      </c>
      <c r="P2028" s="348" t="s">
        <v>1205</v>
      </c>
      <c r="Q2028" s="348" t="s">
        <v>1205</v>
      </c>
    </row>
    <row r="2029" spans="1:17" ht="15" hidden="1" customHeight="1">
      <c r="A2029" s="163">
        <v>2024</v>
      </c>
      <c r="B2029" s="53" t="s">
        <v>36</v>
      </c>
      <c r="C2029" s="53" t="s">
        <v>3685</v>
      </c>
      <c r="D2029" s="53">
        <v>100025581</v>
      </c>
      <c r="E2029" s="55" t="s">
        <v>3686</v>
      </c>
      <c r="F2029" s="129" t="s">
        <v>1205</v>
      </c>
      <c r="G2029" s="129">
        <v>28</v>
      </c>
      <c r="H2029" s="512">
        <v>114.73</v>
      </c>
      <c r="I2029" s="265" t="s">
        <v>76</v>
      </c>
      <c r="J2029" s="265" t="s">
        <v>102</v>
      </c>
      <c r="K2029" s="265" t="s">
        <v>3687</v>
      </c>
      <c r="L2029" s="348" t="s">
        <v>1205</v>
      </c>
      <c r="M2029" s="265">
        <v>0</v>
      </c>
      <c r="N2029" s="347">
        <v>5.66</v>
      </c>
      <c r="O2029" s="348" t="s">
        <v>1205</v>
      </c>
      <c r="P2029" s="348" t="s">
        <v>1205</v>
      </c>
      <c r="Q2029" s="348" t="s">
        <v>1205</v>
      </c>
    </row>
    <row r="2030" spans="1:17" ht="15" hidden="1" customHeight="1">
      <c r="A2030" s="163">
        <v>2025</v>
      </c>
      <c r="B2030" s="53" t="s">
        <v>36</v>
      </c>
      <c r="C2030" s="53" t="s">
        <v>3688</v>
      </c>
      <c r="D2030" s="53">
        <v>100025583</v>
      </c>
      <c r="E2030" s="55" t="s">
        <v>3689</v>
      </c>
      <c r="F2030" s="129" t="s">
        <v>1205</v>
      </c>
      <c r="G2030" s="129">
        <v>28</v>
      </c>
      <c r="H2030" s="512">
        <v>114.73</v>
      </c>
      <c r="I2030" s="265" t="s">
        <v>359</v>
      </c>
      <c r="J2030" s="265" t="s">
        <v>102</v>
      </c>
      <c r="K2030" s="265" t="s">
        <v>3690</v>
      </c>
      <c r="L2030" s="348" t="s">
        <v>1205</v>
      </c>
      <c r="M2030" s="265">
        <v>0</v>
      </c>
      <c r="N2030" s="347">
        <v>5.66</v>
      </c>
      <c r="O2030" s="348" t="s">
        <v>1205</v>
      </c>
      <c r="P2030" s="348" t="s">
        <v>1205</v>
      </c>
      <c r="Q2030" s="348" t="s">
        <v>1205</v>
      </c>
    </row>
    <row r="2031" spans="1:17" ht="15" hidden="1" customHeight="1">
      <c r="A2031" s="163">
        <v>2026</v>
      </c>
      <c r="B2031" s="53" t="s">
        <v>36</v>
      </c>
      <c r="C2031" s="53" t="s">
        <v>3691</v>
      </c>
      <c r="D2031" s="53">
        <v>100025587</v>
      </c>
      <c r="E2031" s="55" t="s">
        <v>3692</v>
      </c>
      <c r="F2031" s="129" t="s">
        <v>1205</v>
      </c>
      <c r="G2031" s="129">
        <v>28</v>
      </c>
      <c r="H2031" s="512">
        <v>114.73</v>
      </c>
      <c r="I2031" s="265" t="s">
        <v>76</v>
      </c>
      <c r="J2031" s="265" t="s">
        <v>102</v>
      </c>
      <c r="K2031" s="265" t="s">
        <v>3693</v>
      </c>
      <c r="L2031" s="348" t="s">
        <v>1205</v>
      </c>
      <c r="M2031" s="265">
        <v>0</v>
      </c>
      <c r="N2031" s="347">
        <v>5.66</v>
      </c>
      <c r="O2031" s="348" t="s">
        <v>1205</v>
      </c>
      <c r="P2031" s="348" t="s">
        <v>1205</v>
      </c>
      <c r="Q2031" s="348" t="s">
        <v>1205</v>
      </c>
    </row>
    <row r="2032" spans="1:17" ht="15" hidden="1" customHeight="1">
      <c r="A2032" s="163">
        <v>2027</v>
      </c>
      <c r="B2032" s="53" t="s">
        <v>36</v>
      </c>
      <c r="C2032" s="53" t="s">
        <v>3696</v>
      </c>
      <c r="D2032" s="53">
        <v>100025635</v>
      </c>
      <c r="E2032" s="55" t="s">
        <v>3697</v>
      </c>
      <c r="F2032" s="129" t="s">
        <v>1205</v>
      </c>
      <c r="G2032" s="129">
        <v>1</v>
      </c>
      <c r="H2032" s="512">
        <v>60.58</v>
      </c>
      <c r="I2032" s="265" t="s">
        <v>76</v>
      </c>
      <c r="J2032" s="265" t="s">
        <v>102</v>
      </c>
      <c r="K2032" s="265" t="s">
        <v>3698</v>
      </c>
      <c r="L2032" s="348" t="s">
        <v>1205</v>
      </c>
      <c r="M2032" s="265">
        <v>0</v>
      </c>
      <c r="N2032" s="347">
        <v>3.2250000000000001</v>
      </c>
      <c r="O2032" s="348" t="s">
        <v>1205</v>
      </c>
      <c r="P2032" s="348" t="s">
        <v>1205</v>
      </c>
      <c r="Q2032" s="348" t="s">
        <v>1205</v>
      </c>
    </row>
    <row r="2033" spans="1:17" ht="15" hidden="1" customHeight="1">
      <c r="A2033" s="163">
        <v>2028</v>
      </c>
      <c r="B2033" s="53" t="s">
        <v>36</v>
      </c>
      <c r="C2033" s="53" t="s">
        <v>3699</v>
      </c>
      <c r="D2033" s="53">
        <v>100025649</v>
      </c>
      <c r="E2033" s="55" t="s">
        <v>3700</v>
      </c>
      <c r="F2033" s="129" t="s">
        <v>1205</v>
      </c>
      <c r="G2033" s="129">
        <v>1</v>
      </c>
      <c r="H2033" s="512">
        <v>60.58</v>
      </c>
      <c r="I2033" s="265" t="s">
        <v>359</v>
      </c>
      <c r="J2033" s="265" t="s">
        <v>102</v>
      </c>
      <c r="K2033" s="265" t="s">
        <v>3701</v>
      </c>
      <c r="L2033" s="348" t="s">
        <v>1205</v>
      </c>
      <c r="M2033" s="265">
        <v>0</v>
      </c>
      <c r="N2033" s="347">
        <v>3.2250000000000001</v>
      </c>
      <c r="O2033" s="348" t="s">
        <v>1205</v>
      </c>
      <c r="P2033" s="348" t="s">
        <v>1205</v>
      </c>
      <c r="Q2033" s="348" t="s">
        <v>1205</v>
      </c>
    </row>
    <row r="2034" spans="1:17" ht="15" hidden="1" customHeight="1">
      <c r="A2034" s="163">
        <v>2029</v>
      </c>
      <c r="B2034" s="53" t="s">
        <v>36</v>
      </c>
      <c r="C2034" s="53" t="s">
        <v>3702</v>
      </c>
      <c r="D2034" s="53">
        <v>100025652</v>
      </c>
      <c r="E2034" s="55" t="s">
        <v>3703</v>
      </c>
      <c r="F2034" s="129" t="s">
        <v>1205</v>
      </c>
      <c r="G2034" s="129">
        <v>1</v>
      </c>
      <c r="H2034" s="512">
        <v>60.58</v>
      </c>
      <c r="I2034" s="265" t="s">
        <v>359</v>
      </c>
      <c r="J2034" s="265" t="s">
        <v>102</v>
      </c>
      <c r="K2034" s="265" t="s">
        <v>3704</v>
      </c>
      <c r="L2034" s="348" t="s">
        <v>1205</v>
      </c>
      <c r="M2034" s="265">
        <v>0</v>
      </c>
      <c r="N2034" s="347">
        <v>3.2250000000000001</v>
      </c>
      <c r="O2034" s="348" t="s">
        <v>1205</v>
      </c>
      <c r="P2034" s="348" t="s">
        <v>1205</v>
      </c>
      <c r="Q2034" s="348" t="s">
        <v>1205</v>
      </c>
    </row>
    <row r="2035" spans="1:17" ht="15" hidden="1" customHeight="1">
      <c r="A2035" s="163">
        <v>2030</v>
      </c>
      <c r="B2035" s="53" t="s">
        <v>36</v>
      </c>
      <c r="C2035" s="53" t="s">
        <v>3705</v>
      </c>
      <c r="D2035" s="53">
        <v>100025647</v>
      </c>
      <c r="E2035" s="55" t="s">
        <v>3706</v>
      </c>
      <c r="F2035" s="129" t="s">
        <v>1205</v>
      </c>
      <c r="G2035" s="129">
        <v>1</v>
      </c>
      <c r="H2035" s="512">
        <v>60.58</v>
      </c>
      <c r="I2035" s="265" t="s">
        <v>76</v>
      </c>
      <c r="J2035" s="265" t="s">
        <v>102</v>
      </c>
      <c r="K2035" s="265" t="s">
        <v>3707</v>
      </c>
      <c r="L2035" s="348" t="s">
        <v>1205</v>
      </c>
      <c r="M2035" s="265">
        <v>0</v>
      </c>
      <c r="N2035" s="347">
        <v>3.2250000000000001</v>
      </c>
      <c r="O2035" s="348" t="s">
        <v>1205</v>
      </c>
      <c r="P2035" s="348" t="s">
        <v>1205</v>
      </c>
      <c r="Q2035" s="348" t="s">
        <v>1205</v>
      </c>
    </row>
    <row r="2036" spans="1:17" ht="15" hidden="1" customHeight="1">
      <c r="A2036" s="163">
        <v>2031</v>
      </c>
      <c r="B2036" s="53" t="s">
        <v>36</v>
      </c>
      <c r="C2036" s="53" t="s">
        <v>3708</v>
      </c>
      <c r="D2036" s="53">
        <v>100025641</v>
      </c>
      <c r="E2036" s="55" t="s">
        <v>3709</v>
      </c>
      <c r="F2036" s="129" t="s">
        <v>1205</v>
      </c>
      <c r="G2036" s="129">
        <v>1</v>
      </c>
      <c r="H2036" s="512">
        <v>60.58</v>
      </c>
      <c r="I2036" s="265" t="s">
        <v>359</v>
      </c>
      <c r="J2036" s="265" t="s">
        <v>102</v>
      </c>
      <c r="K2036" s="265">
        <v>0</v>
      </c>
      <c r="L2036" s="348" t="s">
        <v>1205</v>
      </c>
      <c r="M2036" s="265">
        <v>0</v>
      </c>
      <c r="N2036" s="347">
        <v>3.2250000000000001</v>
      </c>
      <c r="O2036" s="348" t="s">
        <v>1205</v>
      </c>
      <c r="P2036" s="348" t="s">
        <v>1205</v>
      </c>
      <c r="Q2036" s="348" t="s">
        <v>1205</v>
      </c>
    </row>
    <row r="2037" spans="1:17" ht="15" hidden="1" customHeight="1">
      <c r="A2037" s="163">
        <v>2032</v>
      </c>
      <c r="B2037" s="53" t="s">
        <v>36</v>
      </c>
      <c r="C2037" s="53" t="s">
        <v>3710</v>
      </c>
      <c r="D2037" s="53">
        <v>100025638</v>
      </c>
      <c r="E2037" s="55" t="s">
        <v>3711</v>
      </c>
      <c r="F2037" s="129" t="s">
        <v>1205</v>
      </c>
      <c r="G2037" s="129">
        <v>1</v>
      </c>
      <c r="H2037" s="512">
        <v>60.58</v>
      </c>
      <c r="I2037" s="265" t="s">
        <v>359</v>
      </c>
      <c r="J2037" s="265" t="s">
        <v>102</v>
      </c>
      <c r="K2037" s="265">
        <v>0</v>
      </c>
      <c r="L2037" s="348" t="s">
        <v>1205</v>
      </c>
      <c r="M2037" s="265">
        <v>0</v>
      </c>
      <c r="N2037" s="347">
        <v>3.2250000000000001</v>
      </c>
      <c r="O2037" s="348" t="s">
        <v>1205</v>
      </c>
      <c r="P2037" s="348" t="s">
        <v>1205</v>
      </c>
      <c r="Q2037" s="348" t="s">
        <v>1205</v>
      </c>
    </row>
    <row r="2038" spans="1:17" ht="15" hidden="1" customHeight="1">
      <c r="A2038" s="163">
        <v>2033</v>
      </c>
      <c r="B2038" s="53" t="s">
        <v>36</v>
      </c>
      <c r="C2038" s="53" t="s">
        <v>3712</v>
      </c>
      <c r="D2038" s="53">
        <v>100025636</v>
      </c>
      <c r="E2038" s="55" t="s">
        <v>3713</v>
      </c>
      <c r="F2038" s="129" t="s">
        <v>1205</v>
      </c>
      <c r="G2038" s="129">
        <v>1</v>
      </c>
      <c r="H2038" s="512">
        <v>60.58</v>
      </c>
      <c r="I2038" s="265" t="s">
        <v>76</v>
      </c>
      <c r="J2038" s="265" t="s">
        <v>102</v>
      </c>
      <c r="K2038" s="265">
        <v>0</v>
      </c>
      <c r="L2038" s="348" t="s">
        <v>1205</v>
      </c>
      <c r="M2038" s="265">
        <v>0</v>
      </c>
      <c r="N2038" s="347">
        <v>3.2250000000000001</v>
      </c>
      <c r="O2038" s="348" t="s">
        <v>1205</v>
      </c>
      <c r="P2038" s="348" t="s">
        <v>1205</v>
      </c>
      <c r="Q2038" s="348" t="s">
        <v>1205</v>
      </c>
    </row>
    <row r="2039" spans="1:17" ht="15" hidden="1" customHeight="1">
      <c r="A2039" s="163">
        <v>2034</v>
      </c>
      <c r="B2039" s="53" t="s">
        <v>36</v>
      </c>
      <c r="C2039" s="53" t="s">
        <v>3714</v>
      </c>
      <c r="D2039" s="53">
        <v>100025495</v>
      </c>
      <c r="E2039" s="55" t="s">
        <v>3715</v>
      </c>
      <c r="F2039" s="129" t="s">
        <v>1205</v>
      </c>
      <c r="G2039" s="129">
        <v>1</v>
      </c>
      <c r="H2039" s="512">
        <v>60.58</v>
      </c>
      <c r="I2039" s="265" t="s">
        <v>359</v>
      </c>
      <c r="J2039" s="265" t="s">
        <v>102</v>
      </c>
      <c r="K2039" s="265" t="s">
        <v>3716</v>
      </c>
      <c r="L2039" s="348" t="s">
        <v>1205</v>
      </c>
      <c r="M2039" s="265">
        <v>0</v>
      </c>
      <c r="N2039" s="347">
        <v>3.2250000000000001</v>
      </c>
      <c r="O2039" s="348" t="s">
        <v>1205</v>
      </c>
      <c r="P2039" s="348" t="s">
        <v>1205</v>
      </c>
      <c r="Q2039" s="348" t="s">
        <v>1205</v>
      </c>
    </row>
    <row r="2040" spans="1:17" ht="15" hidden="1" customHeight="1">
      <c r="A2040" s="163">
        <v>2035</v>
      </c>
      <c r="B2040" s="53" t="s">
        <v>36</v>
      </c>
      <c r="C2040" s="53" t="s">
        <v>3717</v>
      </c>
      <c r="D2040" s="53">
        <v>100025482</v>
      </c>
      <c r="E2040" s="55" t="s">
        <v>3718</v>
      </c>
      <c r="F2040" s="129" t="s">
        <v>1205</v>
      </c>
      <c r="G2040" s="129">
        <v>1</v>
      </c>
      <c r="H2040" s="512">
        <v>60.58</v>
      </c>
      <c r="I2040" s="265" t="s">
        <v>359</v>
      </c>
      <c r="J2040" s="265" t="s">
        <v>102</v>
      </c>
      <c r="K2040" s="265" t="s">
        <v>3719</v>
      </c>
      <c r="L2040" s="348" t="s">
        <v>1205</v>
      </c>
      <c r="M2040" s="265">
        <v>0</v>
      </c>
      <c r="N2040" s="347">
        <v>3.2250000000000001</v>
      </c>
      <c r="O2040" s="348" t="s">
        <v>1205</v>
      </c>
      <c r="P2040" s="348" t="s">
        <v>1205</v>
      </c>
      <c r="Q2040" s="348" t="s">
        <v>1205</v>
      </c>
    </row>
    <row r="2041" spans="1:17" ht="15" hidden="1" customHeight="1">
      <c r="A2041" s="163">
        <v>2036</v>
      </c>
      <c r="B2041" s="53" t="s">
        <v>36</v>
      </c>
      <c r="C2041" s="53" t="s">
        <v>3720</v>
      </c>
      <c r="D2041" s="53">
        <v>100025496</v>
      </c>
      <c r="E2041" s="55" t="s">
        <v>3721</v>
      </c>
      <c r="F2041" s="129" t="s">
        <v>1205</v>
      </c>
      <c r="G2041" s="129">
        <v>1</v>
      </c>
      <c r="H2041" s="512">
        <v>60.58</v>
      </c>
      <c r="I2041" s="265" t="s">
        <v>359</v>
      </c>
      <c r="J2041" s="265" t="s">
        <v>102</v>
      </c>
      <c r="K2041" s="265" t="s">
        <v>3722</v>
      </c>
      <c r="L2041" s="348" t="s">
        <v>1205</v>
      </c>
      <c r="M2041" s="265">
        <v>0</v>
      </c>
      <c r="N2041" s="347">
        <v>3.2250000000000001</v>
      </c>
      <c r="O2041" s="348" t="s">
        <v>1205</v>
      </c>
      <c r="P2041" s="348" t="s">
        <v>1205</v>
      </c>
      <c r="Q2041" s="348" t="s">
        <v>1205</v>
      </c>
    </row>
    <row r="2042" spans="1:17" ht="15" hidden="1" customHeight="1">
      <c r="A2042" s="163">
        <v>2037</v>
      </c>
      <c r="B2042" s="53" t="s">
        <v>36</v>
      </c>
      <c r="C2042" s="53" t="s">
        <v>3723</v>
      </c>
      <c r="D2042" s="53">
        <v>100025484</v>
      </c>
      <c r="E2042" s="55" t="s">
        <v>3724</v>
      </c>
      <c r="F2042" s="129" t="s">
        <v>1205</v>
      </c>
      <c r="G2042" s="129">
        <v>1</v>
      </c>
      <c r="H2042" s="512">
        <v>60.58</v>
      </c>
      <c r="I2042" s="265" t="s">
        <v>359</v>
      </c>
      <c r="J2042" s="265" t="s">
        <v>102</v>
      </c>
      <c r="K2042" s="265" t="s">
        <v>3725</v>
      </c>
      <c r="L2042" s="348" t="s">
        <v>1205</v>
      </c>
      <c r="M2042" s="265">
        <v>0</v>
      </c>
      <c r="N2042" s="347">
        <v>3.2250000000000001</v>
      </c>
      <c r="O2042" s="348" t="s">
        <v>1205</v>
      </c>
      <c r="P2042" s="348" t="s">
        <v>1205</v>
      </c>
      <c r="Q2042" s="348" t="s">
        <v>1205</v>
      </c>
    </row>
    <row r="2043" spans="1:17" ht="15" hidden="1" customHeight="1">
      <c r="A2043" s="163">
        <v>2038</v>
      </c>
      <c r="B2043" s="53" t="s">
        <v>36</v>
      </c>
      <c r="C2043" s="53" t="s">
        <v>3726</v>
      </c>
      <c r="D2043" s="53">
        <v>100025497</v>
      </c>
      <c r="E2043" s="55" t="s">
        <v>3727</v>
      </c>
      <c r="F2043" s="129" t="s">
        <v>1205</v>
      </c>
      <c r="G2043" s="129">
        <v>1</v>
      </c>
      <c r="H2043" s="512">
        <v>60.58</v>
      </c>
      <c r="I2043" s="265" t="s">
        <v>359</v>
      </c>
      <c r="J2043" s="265" t="s">
        <v>102</v>
      </c>
      <c r="K2043" s="265" t="s">
        <v>3728</v>
      </c>
      <c r="L2043" s="348" t="s">
        <v>1205</v>
      </c>
      <c r="M2043" s="265">
        <v>0</v>
      </c>
      <c r="N2043" s="347">
        <v>3.2250000000000001</v>
      </c>
      <c r="O2043" s="348" t="s">
        <v>1205</v>
      </c>
      <c r="P2043" s="348" t="s">
        <v>1205</v>
      </c>
      <c r="Q2043" s="348" t="s">
        <v>1205</v>
      </c>
    </row>
    <row r="2044" spans="1:17" ht="15" hidden="1" customHeight="1">
      <c r="A2044" s="163">
        <v>2039</v>
      </c>
      <c r="B2044" s="53" t="s">
        <v>36</v>
      </c>
      <c r="C2044" s="53" t="s">
        <v>3729</v>
      </c>
      <c r="D2044" s="53">
        <v>100025637</v>
      </c>
      <c r="E2044" s="55" t="s">
        <v>3730</v>
      </c>
      <c r="F2044" s="129" t="s">
        <v>1205</v>
      </c>
      <c r="G2044" s="129">
        <v>1</v>
      </c>
      <c r="H2044" s="512">
        <v>60.58</v>
      </c>
      <c r="I2044" s="265" t="s">
        <v>359</v>
      </c>
      <c r="J2044" s="265" t="s">
        <v>102</v>
      </c>
      <c r="K2044" s="265" t="s">
        <v>3731</v>
      </c>
      <c r="L2044" s="348" t="s">
        <v>1205</v>
      </c>
      <c r="M2044" s="265">
        <v>0</v>
      </c>
      <c r="N2044" s="347">
        <v>3.2250000000000001</v>
      </c>
      <c r="O2044" s="348" t="s">
        <v>1205</v>
      </c>
      <c r="P2044" s="348" t="s">
        <v>1205</v>
      </c>
      <c r="Q2044" s="348" t="s">
        <v>1205</v>
      </c>
    </row>
    <row r="2045" spans="1:17" ht="15" hidden="1" customHeight="1">
      <c r="A2045" s="163">
        <v>2040</v>
      </c>
      <c r="B2045" s="53" t="s">
        <v>36</v>
      </c>
      <c r="C2045" s="53" t="s">
        <v>3734</v>
      </c>
      <c r="D2045" s="53">
        <v>100025565</v>
      </c>
      <c r="E2045" s="55" t="s">
        <v>3735</v>
      </c>
      <c r="F2045" s="129" t="s">
        <v>1205</v>
      </c>
      <c r="G2045" s="129">
        <v>1</v>
      </c>
      <c r="H2045" s="512">
        <v>40.56</v>
      </c>
      <c r="I2045" s="265" t="s">
        <v>359</v>
      </c>
      <c r="J2045" s="265" t="s">
        <v>102</v>
      </c>
      <c r="K2045" s="265" t="s">
        <v>3736</v>
      </c>
      <c r="L2045" s="348" t="s">
        <v>1205</v>
      </c>
      <c r="M2045" s="265">
        <v>0</v>
      </c>
      <c r="N2045" s="347" t="s">
        <v>12</v>
      </c>
      <c r="O2045" s="348" t="s">
        <v>1205</v>
      </c>
      <c r="P2045" s="348" t="s">
        <v>1205</v>
      </c>
      <c r="Q2045" s="348" t="s">
        <v>1205</v>
      </c>
    </row>
    <row r="2046" spans="1:17" ht="15" hidden="1" customHeight="1">
      <c r="A2046" s="163">
        <v>2041</v>
      </c>
      <c r="B2046" s="53" t="s">
        <v>36</v>
      </c>
      <c r="C2046" s="53" t="s">
        <v>3738</v>
      </c>
      <c r="D2046" s="53">
        <v>100025591</v>
      </c>
      <c r="E2046" s="55" t="s">
        <v>3739</v>
      </c>
      <c r="F2046" s="129" t="s">
        <v>1205</v>
      </c>
      <c r="G2046" s="129">
        <v>1</v>
      </c>
      <c r="H2046" s="512">
        <v>77.02</v>
      </c>
      <c r="I2046" s="265" t="s">
        <v>359</v>
      </c>
      <c r="J2046" s="265" t="s">
        <v>102</v>
      </c>
      <c r="K2046" s="265" t="s">
        <v>3740</v>
      </c>
      <c r="L2046" s="348" t="s">
        <v>1205</v>
      </c>
      <c r="M2046" s="265">
        <v>0</v>
      </c>
      <c r="N2046" s="347">
        <v>4.66</v>
      </c>
      <c r="O2046" s="348" t="s">
        <v>1205</v>
      </c>
      <c r="P2046" s="348" t="s">
        <v>1205</v>
      </c>
      <c r="Q2046" s="348" t="s">
        <v>1205</v>
      </c>
    </row>
    <row r="2047" spans="1:17" ht="15" hidden="1" customHeight="1">
      <c r="A2047" s="163">
        <v>2042</v>
      </c>
      <c r="B2047" s="53" t="s">
        <v>36</v>
      </c>
      <c r="C2047" s="53" t="s">
        <v>3741</v>
      </c>
      <c r="D2047" s="53">
        <v>100025349</v>
      </c>
      <c r="E2047" s="55" t="s">
        <v>3742</v>
      </c>
      <c r="F2047" s="129" t="s">
        <v>1205</v>
      </c>
      <c r="G2047" s="129">
        <v>1</v>
      </c>
      <c r="H2047" s="512">
        <v>33.65</v>
      </c>
      <c r="I2047" s="265" t="s">
        <v>359</v>
      </c>
      <c r="J2047" s="265" t="s">
        <v>102</v>
      </c>
      <c r="K2047" s="265" t="s">
        <v>3743</v>
      </c>
      <c r="L2047" s="348" t="s">
        <v>1205</v>
      </c>
      <c r="M2047" s="265">
        <v>0</v>
      </c>
      <c r="N2047" s="347">
        <v>1.0149999999999999</v>
      </c>
      <c r="O2047" s="348" t="s">
        <v>1205</v>
      </c>
      <c r="P2047" s="348" t="s">
        <v>1205</v>
      </c>
      <c r="Q2047" s="348" t="s">
        <v>1205</v>
      </c>
    </row>
    <row r="2048" spans="1:17" ht="15" hidden="1" customHeight="1">
      <c r="A2048" s="163">
        <v>2043</v>
      </c>
      <c r="B2048" s="53" t="s">
        <v>36</v>
      </c>
      <c r="C2048" s="53" t="s">
        <v>3744</v>
      </c>
      <c r="D2048" s="53">
        <v>100025592</v>
      </c>
      <c r="E2048" s="55" t="s">
        <v>3745</v>
      </c>
      <c r="F2048" s="129" t="s">
        <v>1205</v>
      </c>
      <c r="G2048" s="129">
        <v>1</v>
      </c>
      <c r="H2048" s="512">
        <v>77.02</v>
      </c>
      <c r="I2048" s="265" t="s">
        <v>359</v>
      </c>
      <c r="J2048" s="265" t="s">
        <v>102</v>
      </c>
      <c r="K2048" s="265" t="s">
        <v>3746</v>
      </c>
      <c r="L2048" s="348" t="s">
        <v>1205</v>
      </c>
      <c r="M2048" s="265">
        <v>0</v>
      </c>
      <c r="N2048" s="347">
        <v>3.863</v>
      </c>
      <c r="O2048" s="348" t="s">
        <v>1205</v>
      </c>
      <c r="P2048" s="348" t="s">
        <v>1205</v>
      </c>
      <c r="Q2048" s="348" t="s">
        <v>1205</v>
      </c>
    </row>
    <row r="2049" spans="1:17" ht="15" hidden="1" customHeight="1">
      <c r="A2049" s="163">
        <v>2044</v>
      </c>
      <c r="B2049" s="53" t="s">
        <v>36</v>
      </c>
      <c r="C2049" s="53" t="s">
        <v>3747</v>
      </c>
      <c r="D2049" s="53">
        <v>100025564</v>
      </c>
      <c r="E2049" s="55" t="s">
        <v>3748</v>
      </c>
      <c r="F2049" s="129" t="s">
        <v>1205</v>
      </c>
      <c r="G2049" s="129">
        <v>1</v>
      </c>
      <c r="H2049" s="512">
        <v>128.4</v>
      </c>
      <c r="I2049" s="265" t="s">
        <v>76</v>
      </c>
      <c r="J2049" s="265" t="s">
        <v>102</v>
      </c>
      <c r="K2049" s="265" t="s">
        <v>3749</v>
      </c>
      <c r="L2049" s="348" t="s">
        <v>1205</v>
      </c>
      <c r="M2049" s="265">
        <v>0</v>
      </c>
      <c r="N2049" s="347">
        <v>3.8740000000000001</v>
      </c>
      <c r="O2049" s="348" t="s">
        <v>1205</v>
      </c>
      <c r="P2049" s="348" t="s">
        <v>1205</v>
      </c>
      <c r="Q2049" s="348" t="s">
        <v>1205</v>
      </c>
    </row>
    <row r="2050" spans="1:17" ht="15" hidden="1" customHeight="1">
      <c r="A2050" s="163">
        <v>2045</v>
      </c>
      <c r="B2050" s="53" t="s">
        <v>36</v>
      </c>
      <c r="C2050" s="53" t="s">
        <v>3751</v>
      </c>
      <c r="D2050" s="53">
        <v>100025352</v>
      </c>
      <c r="E2050" s="55" t="s">
        <v>3752</v>
      </c>
      <c r="F2050" s="129" t="s">
        <v>1205</v>
      </c>
      <c r="G2050" s="129">
        <v>1</v>
      </c>
      <c r="H2050" s="512">
        <v>11.35</v>
      </c>
      <c r="I2050" s="265" t="s">
        <v>359</v>
      </c>
      <c r="J2050" s="265" t="s">
        <v>102</v>
      </c>
      <c r="K2050" s="265" t="s">
        <v>3753</v>
      </c>
      <c r="L2050" s="348" t="s">
        <v>1205</v>
      </c>
      <c r="M2050" s="265">
        <v>0</v>
      </c>
      <c r="N2050" s="347">
        <v>0.12</v>
      </c>
      <c r="O2050" s="348" t="s">
        <v>1205</v>
      </c>
      <c r="P2050" s="348" t="s">
        <v>1205</v>
      </c>
      <c r="Q2050" s="348" t="s">
        <v>1205</v>
      </c>
    </row>
    <row r="2051" spans="1:17" ht="15" hidden="1" customHeight="1">
      <c r="A2051" s="163">
        <v>2046</v>
      </c>
      <c r="B2051" s="53" t="s">
        <v>36</v>
      </c>
      <c r="C2051" s="53" t="s">
        <v>3754</v>
      </c>
      <c r="D2051" s="53">
        <v>100025353</v>
      </c>
      <c r="E2051" s="55" t="s">
        <v>3755</v>
      </c>
      <c r="F2051" s="129" t="s">
        <v>1205</v>
      </c>
      <c r="G2051" s="129">
        <v>1</v>
      </c>
      <c r="H2051" s="512">
        <v>8.1</v>
      </c>
      <c r="I2051" s="265" t="s">
        <v>359</v>
      </c>
      <c r="J2051" s="265" t="s">
        <v>102</v>
      </c>
      <c r="K2051" s="265" t="s">
        <v>3756</v>
      </c>
      <c r="L2051" s="348" t="s">
        <v>1205</v>
      </c>
      <c r="M2051" s="265">
        <v>0</v>
      </c>
      <c r="N2051" s="347">
        <v>9.4E-2</v>
      </c>
      <c r="O2051" s="348" t="s">
        <v>1205</v>
      </c>
      <c r="P2051" s="348" t="s">
        <v>1205</v>
      </c>
      <c r="Q2051" s="348" t="s">
        <v>1205</v>
      </c>
    </row>
    <row r="2052" spans="1:17" ht="15" hidden="1" customHeight="1">
      <c r="A2052" s="163">
        <v>2047</v>
      </c>
      <c r="B2052" s="53" t="s">
        <v>36</v>
      </c>
      <c r="C2052" s="53" t="s">
        <v>3757</v>
      </c>
      <c r="D2052" s="53">
        <v>100025355</v>
      </c>
      <c r="E2052" s="55" t="s">
        <v>3758</v>
      </c>
      <c r="F2052" s="129" t="s">
        <v>1205</v>
      </c>
      <c r="G2052" s="129">
        <v>1</v>
      </c>
      <c r="H2052" s="512">
        <v>7.9</v>
      </c>
      <c r="I2052" s="265" t="s">
        <v>359</v>
      </c>
      <c r="J2052" s="265" t="s">
        <v>102</v>
      </c>
      <c r="K2052" s="265" t="s">
        <v>3759</v>
      </c>
      <c r="L2052" s="348" t="s">
        <v>1205</v>
      </c>
      <c r="M2052" s="265">
        <v>0</v>
      </c>
      <c r="N2052" s="347">
        <v>0.106</v>
      </c>
      <c r="O2052" s="348" t="s">
        <v>1205</v>
      </c>
      <c r="P2052" s="348" t="s">
        <v>1205</v>
      </c>
      <c r="Q2052" s="348" t="s">
        <v>1205</v>
      </c>
    </row>
    <row r="2053" spans="1:17" ht="15" hidden="1" customHeight="1">
      <c r="A2053" s="163">
        <v>2048</v>
      </c>
      <c r="B2053" s="53" t="s">
        <v>37</v>
      </c>
      <c r="C2053" s="53" t="s">
        <v>3762</v>
      </c>
      <c r="D2053" s="53">
        <v>100021762</v>
      </c>
      <c r="E2053" s="55" t="s">
        <v>3763</v>
      </c>
      <c r="F2053" s="129">
        <v>10</v>
      </c>
      <c r="G2053" s="129">
        <v>360</v>
      </c>
      <c r="H2053" s="512">
        <v>50.2</v>
      </c>
      <c r="I2053" s="265" t="s">
        <v>1351</v>
      </c>
      <c r="J2053" s="265" t="s">
        <v>102</v>
      </c>
      <c r="K2053" s="265" t="s">
        <v>3764</v>
      </c>
      <c r="L2053" s="348" t="s">
        <v>1205</v>
      </c>
      <c r="M2053" s="265" t="s">
        <v>3765</v>
      </c>
      <c r="N2053" s="347">
        <v>0.86999999999999988</v>
      </c>
      <c r="O2053" s="348" t="s">
        <v>1205</v>
      </c>
      <c r="P2053" s="348">
        <v>8.6999999999999993</v>
      </c>
      <c r="Q2053" s="348">
        <v>0.59</v>
      </c>
    </row>
    <row r="2054" spans="1:17" ht="15" hidden="1" customHeight="1">
      <c r="A2054" s="163">
        <v>2049</v>
      </c>
      <c r="B2054" s="53" t="s">
        <v>37</v>
      </c>
      <c r="C2054" s="53" t="s">
        <v>3766</v>
      </c>
      <c r="D2054" s="53">
        <v>100021772</v>
      </c>
      <c r="E2054" s="55" t="s">
        <v>3767</v>
      </c>
      <c r="F2054" s="129">
        <v>10</v>
      </c>
      <c r="G2054" s="129">
        <v>360</v>
      </c>
      <c r="H2054" s="512">
        <v>50.2</v>
      </c>
      <c r="I2054" s="265" t="s">
        <v>76</v>
      </c>
      <c r="J2054" s="265" t="s">
        <v>102</v>
      </c>
      <c r="K2054" s="265" t="s">
        <v>3768</v>
      </c>
      <c r="L2054" s="348" t="s">
        <v>1205</v>
      </c>
      <c r="M2054" s="265" t="s">
        <v>3769</v>
      </c>
      <c r="N2054" s="347">
        <v>0.91999999999999993</v>
      </c>
      <c r="O2054" s="348" t="s">
        <v>1205</v>
      </c>
      <c r="P2054" s="348">
        <v>9.1999999999999993</v>
      </c>
      <c r="Q2054" s="348">
        <v>0.59</v>
      </c>
    </row>
    <row r="2055" spans="1:17" ht="15" hidden="1" customHeight="1">
      <c r="A2055" s="163">
        <v>2050</v>
      </c>
      <c r="B2055" s="53" t="s">
        <v>37</v>
      </c>
      <c r="C2055" s="53" t="s">
        <v>3770</v>
      </c>
      <c r="D2055" s="53">
        <v>100026140</v>
      </c>
      <c r="E2055" s="55" t="s">
        <v>3771</v>
      </c>
      <c r="F2055" s="129">
        <v>10</v>
      </c>
      <c r="G2055" s="129">
        <v>240</v>
      </c>
      <c r="H2055" s="512">
        <v>47.6</v>
      </c>
      <c r="I2055" s="265" t="s">
        <v>1351</v>
      </c>
      <c r="J2055" s="265" t="s">
        <v>102</v>
      </c>
      <c r="K2055" s="265" t="s">
        <v>3772</v>
      </c>
      <c r="L2055" s="348" t="s">
        <v>1205</v>
      </c>
      <c r="M2055" s="265" t="s">
        <v>3773</v>
      </c>
      <c r="N2055" s="347">
        <v>2.35</v>
      </c>
      <c r="O2055" s="348" t="s">
        <v>1205</v>
      </c>
      <c r="P2055" s="348">
        <v>23.5</v>
      </c>
      <c r="Q2055" s="348">
        <v>2.21</v>
      </c>
    </row>
    <row r="2056" spans="1:17" ht="15" hidden="1" customHeight="1">
      <c r="A2056" s="163">
        <v>2051</v>
      </c>
      <c r="B2056" s="53" t="s">
        <v>37</v>
      </c>
      <c r="C2056" s="53" t="s">
        <v>3774</v>
      </c>
      <c r="D2056" s="53">
        <v>100021824</v>
      </c>
      <c r="E2056" s="55" t="s">
        <v>3775</v>
      </c>
      <c r="F2056" s="129">
        <v>10</v>
      </c>
      <c r="G2056" s="129">
        <v>180</v>
      </c>
      <c r="H2056" s="512">
        <v>92.52</v>
      </c>
      <c r="I2056" s="265" t="s">
        <v>1351</v>
      </c>
      <c r="J2056" s="265" t="s">
        <v>102</v>
      </c>
      <c r="K2056" s="265" t="s">
        <v>3776</v>
      </c>
      <c r="L2056" s="348" t="s">
        <v>1205</v>
      </c>
      <c r="M2056" s="265" t="s">
        <v>3777</v>
      </c>
      <c r="N2056" s="347">
        <v>3.7399999999999998</v>
      </c>
      <c r="O2056" s="348" t="s">
        <v>1205</v>
      </c>
      <c r="P2056" s="348">
        <v>37.4</v>
      </c>
      <c r="Q2056" s="348">
        <v>3.93</v>
      </c>
    </row>
    <row r="2057" spans="1:17" ht="15" hidden="1" customHeight="1">
      <c r="A2057" s="163">
        <v>2052</v>
      </c>
      <c r="B2057" s="53" t="s">
        <v>37</v>
      </c>
      <c r="C2057" s="53" t="s">
        <v>3778</v>
      </c>
      <c r="D2057" s="53">
        <v>100021803</v>
      </c>
      <c r="E2057" s="55" t="s">
        <v>3779</v>
      </c>
      <c r="F2057" s="129">
        <v>4</v>
      </c>
      <c r="G2057" s="129">
        <v>96</v>
      </c>
      <c r="H2057" s="512">
        <v>76.5</v>
      </c>
      <c r="I2057" s="265" t="s">
        <v>76</v>
      </c>
      <c r="J2057" s="265" t="s">
        <v>102</v>
      </c>
      <c r="K2057" s="265" t="s">
        <v>3780</v>
      </c>
      <c r="L2057" s="348" t="s">
        <v>1205</v>
      </c>
      <c r="M2057" s="265" t="s">
        <v>3781</v>
      </c>
      <c r="N2057" s="347">
        <v>2.4700000000000002</v>
      </c>
      <c r="O2057" s="348" t="s">
        <v>1205</v>
      </c>
      <c r="P2057" s="348">
        <v>9.8800000000000008</v>
      </c>
      <c r="Q2057" s="348">
        <v>2.21356201171875</v>
      </c>
    </row>
    <row r="2058" spans="1:17" ht="15" hidden="1" customHeight="1">
      <c r="A2058" s="163">
        <v>2053</v>
      </c>
      <c r="B2058" s="53" t="s">
        <v>37</v>
      </c>
      <c r="C2058" s="53" t="s">
        <v>3782</v>
      </c>
      <c r="D2058" s="53">
        <v>100021826</v>
      </c>
      <c r="E2058" s="55" t="s">
        <v>3783</v>
      </c>
      <c r="F2058" s="129">
        <v>4</v>
      </c>
      <c r="G2058" s="129">
        <v>84</v>
      </c>
      <c r="H2058" s="512">
        <v>137.69999999999999</v>
      </c>
      <c r="I2058" s="265" t="s">
        <v>76</v>
      </c>
      <c r="J2058" s="265" t="s">
        <v>102</v>
      </c>
      <c r="K2058" s="265" t="s">
        <v>3784</v>
      </c>
      <c r="L2058" s="348" t="s">
        <v>1205</v>
      </c>
      <c r="M2058" s="265" t="s">
        <v>3785</v>
      </c>
      <c r="N2058" s="347">
        <v>4.2300000000000004</v>
      </c>
      <c r="O2058" s="348" t="s">
        <v>1205</v>
      </c>
      <c r="P2058" s="348">
        <v>16.920000000000002</v>
      </c>
      <c r="Q2058" s="348">
        <v>3.934959129050926</v>
      </c>
    </row>
    <row r="2059" spans="1:17" ht="15" hidden="1" customHeight="1">
      <c r="A2059" s="163">
        <v>2054</v>
      </c>
      <c r="B2059" s="53" t="s">
        <v>37</v>
      </c>
      <c r="C2059" s="53" t="s">
        <v>3786</v>
      </c>
      <c r="D2059" s="53">
        <v>100021807</v>
      </c>
      <c r="E2059" s="55" t="s">
        <v>3787</v>
      </c>
      <c r="F2059" s="129">
        <v>10</v>
      </c>
      <c r="G2059" s="129">
        <v>600</v>
      </c>
      <c r="H2059" s="512">
        <v>47.6</v>
      </c>
      <c r="I2059" s="265" t="s">
        <v>1351</v>
      </c>
      <c r="J2059" s="265" t="s">
        <v>102</v>
      </c>
      <c r="K2059" s="265" t="s">
        <v>3788</v>
      </c>
      <c r="L2059" s="348" t="s">
        <v>1205</v>
      </c>
      <c r="M2059" s="265" t="s">
        <v>3789</v>
      </c>
      <c r="N2059" s="347">
        <v>1.4005000000000001</v>
      </c>
      <c r="O2059" s="348" t="s">
        <v>1205</v>
      </c>
      <c r="P2059" s="348">
        <v>14.005000000000001</v>
      </c>
      <c r="Q2059" s="348">
        <v>1.9251392505787037</v>
      </c>
    </row>
    <row r="2060" spans="1:17" ht="15" hidden="1" customHeight="1">
      <c r="A2060" s="163">
        <v>2055</v>
      </c>
      <c r="B2060" s="53" t="s">
        <v>37</v>
      </c>
      <c r="C2060" s="53" t="s">
        <v>3790</v>
      </c>
      <c r="D2060" s="53">
        <v>100021831</v>
      </c>
      <c r="E2060" s="55" t="s">
        <v>3791</v>
      </c>
      <c r="F2060" s="129">
        <v>10</v>
      </c>
      <c r="G2060" s="129">
        <v>480</v>
      </c>
      <c r="H2060" s="512">
        <v>92.52</v>
      </c>
      <c r="I2060" s="265" t="s">
        <v>76</v>
      </c>
      <c r="J2060" s="265" t="s">
        <v>102</v>
      </c>
      <c r="K2060" s="265" t="s">
        <v>3792</v>
      </c>
      <c r="L2060" s="348" t="s">
        <v>1205</v>
      </c>
      <c r="M2060" s="265" t="s">
        <v>3793</v>
      </c>
      <c r="N2060" s="347">
        <v>2.5</v>
      </c>
      <c r="O2060" s="348" t="s">
        <v>1205</v>
      </c>
      <c r="P2060" s="348">
        <v>25</v>
      </c>
      <c r="Q2060" s="348">
        <v>3.2452935112847223</v>
      </c>
    </row>
    <row r="2061" spans="1:17" ht="15" hidden="1" customHeight="1">
      <c r="A2061" s="163">
        <v>2056</v>
      </c>
      <c r="B2061" s="53" t="s">
        <v>37</v>
      </c>
      <c r="C2061" s="53" t="s">
        <v>3794</v>
      </c>
      <c r="D2061" s="53">
        <v>100021806</v>
      </c>
      <c r="E2061" s="55" t="s">
        <v>3795</v>
      </c>
      <c r="F2061" s="129">
        <v>1</v>
      </c>
      <c r="G2061" s="129">
        <v>60</v>
      </c>
      <c r="H2061" s="512">
        <v>200.83</v>
      </c>
      <c r="I2061" s="265" t="s">
        <v>76</v>
      </c>
      <c r="J2061" s="265" t="s">
        <v>102</v>
      </c>
      <c r="K2061" s="265" t="s">
        <v>3796</v>
      </c>
      <c r="L2061" s="348" t="s">
        <v>1205</v>
      </c>
      <c r="M2061" s="265" t="s">
        <v>3797</v>
      </c>
      <c r="N2061" s="347">
        <v>5.85</v>
      </c>
      <c r="O2061" s="348" t="s">
        <v>1205</v>
      </c>
      <c r="P2061" s="348">
        <v>5.85</v>
      </c>
      <c r="Q2061" s="348">
        <v>0.61370510525173616</v>
      </c>
    </row>
    <row r="2062" spans="1:17" ht="15" hidden="1" customHeight="1">
      <c r="A2062" s="163">
        <v>2057</v>
      </c>
      <c r="B2062" s="53" t="s">
        <v>37</v>
      </c>
      <c r="C2062" s="53" t="s">
        <v>3798</v>
      </c>
      <c r="D2062" s="53">
        <v>100021830</v>
      </c>
      <c r="E2062" s="55" t="s">
        <v>3799</v>
      </c>
      <c r="F2062" s="129">
        <v>1</v>
      </c>
      <c r="G2062" s="129">
        <v>36</v>
      </c>
      <c r="H2062" s="512">
        <v>285.47000000000003</v>
      </c>
      <c r="I2062" s="265" t="s">
        <v>76</v>
      </c>
      <c r="J2062" s="265" t="s">
        <v>102</v>
      </c>
      <c r="K2062" s="265" t="s">
        <v>3800</v>
      </c>
      <c r="L2062" s="348" t="s">
        <v>1205</v>
      </c>
      <c r="M2062" s="265" t="s">
        <v>3801</v>
      </c>
      <c r="N2062" s="347">
        <v>8.8800000000000008</v>
      </c>
      <c r="O2062" s="348" t="s">
        <v>1205</v>
      </c>
      <c r="P2062" s="348">
        <v>8.8800000000000008</v>
      </c>
      <c r="Q2062" s="348">
        <v>1.3052978515625</v>
      </c>
    </row>
    <row r="2063" spans="1:17" ht="15" hidden="1" customHeight="1">
      <c r="A2063" s="163">
        <v>2058</v>
      </c>
      <c r="B2063" s="53" t="s">
        <v>37</v>
      </c>
      <c r="C2063" s="53" t="s">
        <v>3802</v>
      </c>
      <c r="D2063" s="53">
        <v>100021817</v>
      </c>
      <c r="E2063" s="55" t="s">
        <v>3803</v>
      </c>
      <c r="F2063" s="129">
        <v>1</v>
      </c>
      <c r="G2063" s="129">
        <v>60</v>
      </c>
      <c r="H2063" s="512">
        <v>200.83</v>
      </c>
      <c r="I2063" s="265" t="s">
        <v>76</v>
      </c>
      <c r="J2063" s="265" t="s">
        <v>102</v>
      </c>
      <c r="K2063" s="265" t="s">
        <v>3804</v>
      </c>
      <c r="L2063" s="348" t="s">
        <v>1205</v>
      </c>
      <c r="M2063" s="265" t="s">
        <v>3805</v>
      </c>
      <c r="N2063" s="347">
        <v>5.85</v>
      </c>
      <c r="O2063" s="348" t="s">
        <v>1205</v>
      </c>
      <c r="P2063" s="348">
        <v>5.85</v>
      </c>
      <c r="Q2063" s="348">
        <v>0.61</v>
      </c>
    </row>
    <row r="2064" spans="1:17" ht="15" hidden="1" customHeight="1">
      <c r="A2064" s="163">
        <v>2059</v>
      </c>
      <c r="B2064" s="53" t="s">
        <v>37</v>
      </c>
      <c r="C2064" s="53" t="s">
        <v>3806</v>
      </c>
      <c r="D2064" s="53">
        <v>100021841</v>
      </c>
      <c r="E2064" s="55" t="s">
        <v>3807</v>
      </c>
      <c r="F2064" s="129">
        <v>1</v>
      </c>
      <c r="G2064" s="129">
        <v>36</v>
      </c>
      <c r="H2064" s="512">
        <v>285.47000000000003</v>
      </c>
      <c r="I2064" s="265" t="s">
        <v>76</v>
      </c>
      <c r="J2064" s="265" t="s">
        <v>102</v>
      </c>
      <c r="K2064" s="265" t="s">
        <v>3808</v>
      </c>
      <c r="L2064" s="348" t="s">
        <v>1205</v>
      </c>
      <c r="M2064" s="265" t="s">
        <v>3809</v>
      </c>
      <c r="N2064" s="347">
        <v>8.8800000000000008</v>
      </c>
      <c r="O2064" s="348" t="s">
        <v>1205</v>
      </c>
      <c r="P2064" s="348">
        <v>8.8800000000000008</v>
      </c>
      <c r="Q2064" s="348">
        <v>1.31</v>
      </c>
    </row>
    <row r="2065" spans="1:17" ht="15" hidden="1" customHeight="1">
      <c r="A2065" s="163">
        <v>2060</v>
      </c>
      <c r="B2065" s="53" t="s">
        <v>37</v>
      </c>
      <c r="C2065" s="53" t="s">
        <v>3810</v>
      </c>
      <c r="D2065" s="53">
        <v>100021783</v>
      </c>
      <c r="E2065" s="55" t="s">
        <v>3811</v>
      </c>
      <c r="F2065" s="129">
        <v>10</v>
      </c>
      <c r="G2065" s="129">
        <v>250</v>
      </c>
      <c r="H2065" s="512">
        <v>61.16</v>
      </c>
      <c r="I2065" s="265" t="s">
        <v>76</v>
      </c>
      <c r="J2065" s="265" t="s">
        <v>102</v>
      </c>
      <c r="K2065" s="265" t="s">
        <v>3812</v>
      </c>
      <c r="L2065" s="348" t="s">
        <v>1205</v>
      </c>
      <c r="M2065" s="265" t="s">
        <v>3813</v>
      </c>
      <c r="N2065" s="347">
        <v>1.33</v>
      </c>
      <c r="O2065" s="348" t="s">
        <v>1205</v>
      </c>
      <c r="P2065" s="348">
        <v>13.3</v>
      </c>
      <c r="Q2065" s="348">
        <v>3.4531988324652785</v>
      </c>
    </row>
    <row r="2066" spans="1:17" ht="15" hidden="1" customHeight="1">
      <c r="A2066" s="163">
        <v>2061</v>
      </c>
      <c r="B2066" s="53" t="s">
        <v>37</v>
      </c>
      <c r="C2066" s="53" t="s">
        <v>3814</v>
      </c>
      <c r="D2066" s="53">
        <v>100021785</v>
      </c>
      <c r="E2066" s="55" t="s">
        <v>3815</v>
      </c>
      <c r="F2066" s="129">
        <v>10</v>
      </c>
      <c r="G2066" s="129">
        <v>250</v>
      </c>
      <c r="H2066" s="512">
        <v>61.16</v>
      </c>
      <c r="I2066" s="265" t="s">
        <v>76</v>
      </c>
      <c r="J2066" s="265" t="s">
        <v>102</v>
      </c>
      <c r="K2066" s="265" t="s">
        <v>3816</v>
      </c>
      <c r="L2066" s="348" t="s">
        <v>1205</v>
      </c>
      <c r="M2066" s="265" t="s">
        <v>3817</v>
      </c>
      <c r="N2066" s="347">
        <v>1.53</v>
      </c>
      <c r="O2066" s="348" t="s">
        <v>1205</v>
      </c>
      <c r="P2066" s="348">
        <v>15.3</v>
      </c>
      <c r="Q2066" s="348">
        <v>3.4531988324652785</v>
      </c>
    </row>
    <row r="2067" spans="1:17" ht="15" hidden="1" customHeight="1">
      <c r="A2067" s="163">
        <v>2062</v>
      </c>
      <c r="B2067" s="53" t="s">
        <v>37</v>
      </c>
      <c r="C2067" s="53" t="s">
        <v>3818</v>
      </c>
      <c r="D2067" s="53">
        <v>100021804</v>
      </c>
      <c r="E2067" s="55" t="s">
        <v>3819</v>
      </c>
      <c r="F2067" s="129">
        <v>20</v>
      </c>
      <c r="G2067" s="129">
        <v>480</v>
      </c>
      <c r="H2067" s="512">
        <v>45.53</v>
      </c>
      <c r="I2067" s="265" t="s">
        <v>1351</v>
      </c>
      <c r="J2067" s="265" t="s">
        <v>102</v>
      </c>
      <c r="K2067" s="265" t="s">
        <v>3820</v>
      </c>
      <c r="L2067" s="348" t="s">
        <v>1205</v>
      </c>
      <c r="M2067" s="265" t="s">
        <v>3821</v>
      </c>
      <c r="N2067" s="347">
        <v>1.0550000000000002</v>
      </c>
      <c r="O2067" s="348" t="s">
        <v>1205</v>
      </c>
      <c r="P2067" s="348">
        <v>21.1</v>
      </c>
      <c r="Q2067" s="348">
        <v>1.8014810203269673</v>
      </c>
    </row>
    <row r="2068" spans="1:17" ht="15" hidden="1" customHeight="1">
      <c r="A2068" s="163">
        <v>2063</v>
      </c>
      <c r="B2068" s="53" t="s">
        <v>37</v>
      </c>
      <c r="C2068" s="53" t="s">
        <v>3822</v>
      </c>
      <c r="D2068" s="53">
        <v>100021828</v>
      </c>
      <c r="E2068" s="55" t="s">
        <v>3823</v>
      </c>
      <c r="F2068" s="129">
        <v>20</v>
      </c>
      <c r="G2068" s="129">
        <v>240</v>
      </c>
      <c r="H2068" s="512">
        <v>60.88</v>
      </c>
      <c r="I2068" s="265" t="s">
        <v>1351</v>
      </c>
      <c r="J2068" s="265" t="s">
        <v>102</v>
      </c>
      <c r="K2068" s="265" t="s">
        <v>3824</v>
      </c>
      <c r="L2068" s="348" t="s">
        <v>1205</v>
      </c>
      <c r="M2068" s="265" t="s">
        <v>3825</v>
      </c>
      <c r="N2068" s="347">
        <v>1.6600000000000001</v>
      </c>
      <c r="O2068" s="348" t="s">
        <v>1205</v>
      </c>
      <c r="P2068" s="348">
        <v>33.200000000000003</v>
      </c>
      <c r="Q2068" s="348">
        <v>3.0214289912471064</v>
      </c>
    </row>
    <row r="2069" spans="1:17" ht="15" hidden="1" customHeight="1">
      <c r="A2069" s="163">
        <v>2064</v>
      </c>
      <c r="B2069" s="53" t="s">
        <v>37</v>
      </c>
      <c r="C2069" s="53" t="s">
        <v>3826</v>
      </c>
      <c r="D2069" s="53">
        <v>100021781</v>
      </c>
      <c r="E2069" s="55" t="s">
        <v>3827</v>
      </c>
      <c r="F2069" s="129">
        <v>20</v>
      </c>
      <c r="G2069" s="129">
        <v>360</v>
      </c>
      <c r="H2069" s="512">
        <v>27.71</v>
      </c>
      <c r="I2069" s="265" t="s">
        <v>1351</v>
      </c>
      <c r="J2069" s="265" t="s">
        <v>102</v>
      </c>
      <c r="K2069" s="265" t="s">
        <v>3828</v>
      </c>
      <c r="L2069" s="348" t="s">
        <v>1205</v>
      </c>
      <c r="M2069" s="265" t="s">
        <v>3829</v>
      </c>
      <c r="N2069" s="347">
        <v>1</v>
      </c>
      <c r="O2069" s="348" t="s">
        <v>1205</v>
      </c>
      <c r="P2069" s="348">
        <v>20</v>
      </c>
      <c r="Q2069" s="348">
        <v>1.8258327907986112</v>
      </c>
    </row>
    <row r="2070" spans="1:17" ht="15" hidden="1" customHeight="1">
      <c r="A2070" s="163">
        <v>2065</v>
      </c>
      <c r="B2070" s="53" t="s">
        <v>37</v>
      </c>
      <c r="C2070" s="53" t="s">
        <v>3830</v>
      </c>
      <c r="D2070" s="53">
        <v>100021812</v>
      </c>
      <c r="E2070" s="55" t="s">
        <v>3831</v>
      </c>
      <c r="F2070" s="129">
        <v>20</v>
      </c>
      <c r="G2070" s="129">
        <v>800</v>
      </c>
      <c r="H2070" s="512">
        <v>20.77</v>
      </c>
      <c r="I2070" s="265" t="s">
        <v>1351</v>
      </c>
      <c r="J2070" s="265" t="s">
        <v>102</v>
      </c>
      <c r="K2070" s="265" t="s">
        <v>3832</v>
      </c>
      <c r="L2070" s="348" t="s">
        <v>1205</v>
      </c>
      <c r="M2070" s="265" t="s">
        <v>3833</v>
      </c>
      <c r="N2070" s="347">
        <v>0.495</v>
      </c>
      <c r="O2070" s="348" t="s">
        <v>1205</v>
      </c>
      <c r="P2070" s="348">
        <v>9.9</v>
      </c>
      <c r="Q2070" s="348">
        <v>0.81640625</v>
      </c>
    </row>
    <row r="2071" spans="1:17" ht="15" hidden="1" customHeight="1">
      <c r="A2071" s="163">
        <v>2066</v>
      </c>
      <c r="B2071" s="53" t="s">
        <v>37</v>
      </c>
      <c r="C2071" s="53" t="s">
        <v>3834</v>
      </c>
      <c r="D2071" s="53">
        <v>100021834</v>
      </c>
      <c r="E2071" s="55" t="s">
        <v>3835</v>
      </c>
      <c r="F2071" s="129">
        <v>20</v>
      </c>
      <c r="G2071" s="129">
        <v>640</v>
      </c>
      <c r="H2071" s="512">
        <v>22.57</v>
      </c>
      <c r="I2071" s="265" t="s">
        <v>1351</v>
      </c>
      <c r="J2071" s="265" t="s">
        <v>102</v>
      </c>
      <c r="K2071" s="265" t="s">
        <v>3836</v>
      </c>
      <c r="L2071" s="348" t="s">
        <v>1205</v>
      </c>
      <c r="M2071" s="265" t="s">
        <v>3837</v>
      </c>
      <c r="N2071" s="347">
        <v>0.81500000000000006</v>
      </c>
      <c r="O2071" s="348" t="s">
        <v>1205</v>
      </c>
      <c r="P2071" s="348">
        <v>16.3</v>
      </c>
      <c r="Q2071" s="348">
        <v>1.2369791666666667</v>
      </c>
    </row>
    <row r="2072" spans="1:17" ht="15" hidden="1" customHeight="1">
      <c r="A2072" s="163">
        <v>2067</v>
      </c>
      <c r="B2072" s="53" t="s">
        <v>37</v>
      </c>
      <c r="C2072" s="53" t="s">
        <v>3838</v>
      </c>
      <c r="D2072" s="53">
        <v>100021790</v>
      </c>
      <c r="E2072" s="55" t="s">
        <v>3839</v>
      </c>
      <c r="F2072" s="129">
        <v>20</v>
      </c>
      <c r="G2072" s="129">
        <v>1800</v>
      </c>
      <c r="H2072" s="512">
        <v>11.27</v>
      </c>
      <c r="I2072" s="265" t="s">
        <v>1693</v>
      </c>
      <c r="J2072" s="265" t="s">
        <v>102</v>
      </c>
      <c r="K2072" s="265" t="s">
        <v>3840</v>
      </c>
      <c r="L2072" s="348" t="s">
        <v>1205</v>
      </c>
      <c r="M2072" s="265" t="s">
        <v>3841</v>
      </c>
      <c r="N2072" s="347">
        <v>0.19500000000000001</v>
      </c>
      <c r="O2072" s="348" t="s">
        <v>1205</v>
      </c>
      <c r="P2072" s="348">
        <v>3.9</v>
      </c>
      <c r="Q2072" s="348">
        <v>0.42469618055555558</v>
      </c>
    </row>
    <row r="2073" spans="1:17" ht="15" hidden="1" customHeight="1">
      <c r="A2073" s="163">
        <v>2068</v>
      </c>
      <c r="B2073" s="53" t="s">
        <v>37</v>
      </c>
      <c r="C2073" s="53" t="s">
        <v>3842</v>
      </c>
      <c r="D2073" s="53">
        <v>100021808</v>
      </c>
      <c r="E2073" s="55" t="s">
        <v>3843</v>
      </c>
      <c r="F2073" s="129">
        <v>20</v>
      </c>
      <c r="G2073" s="129">
        <v>800</v>
      </c>
      <c r="H2073" s="512">
        <v>21.85</v>
      </c>
      <c r="I2073" s="265" t="s">
        <v>1693</v>
      </c>
      <c r="J2073" s="265" t="s">
        <v>102</v>
      </c>
      <c r="K2073" s="265" t="s">
        <v>3844</v>
      </c>
      <c r="L2073" s="348" t="s">
        <v>1205</v>
      </c>
      <c r="M2073" s="265" t="s">
        <v>3845</v>
      </c>
      <c r="N2073" s="347">
        <v>0.34500000000000003</v>
      </c>
      <c r="O2073" s="348" t="s">
        <v>1205</v>
      </c>
      <c r="P2073" s="348">
        <v>6.9</v>
      </c>
      <c r="Q2073" s="348">
        <v>0.99500868055555558</v>
      </c>
    </row>
    <row r="2074" spans="1:17" ht="15" hidden="1" customHeight="1">
      <c r="A2074" s="163">
        <v>2069</v>
      </c>
      <c r="B2074" s="53" t="s">
        <v>37</v>
      </c>
      <c r="C2074" s="53" t="s">
        <v>3846</v>
      </c>
      <c r="D2074" s="53">
        <v>100021832</v>
      </c>
      <c r="E2074" s="55" t="s">
        <v>3847</v>
      </c>
      <c r="F2074" s="129">
        <v>20</v>
      </c>
      <c r="G2074" s="129">
        <v>960</v>
      </c>
      <c r="H2074" s="512">
        <v>23.7</v>
      </c>
      <c r="I2074" s="265" t="s">
        <v>76</v>
      </c>
      <c r="J2074" s="265" t="s">
        <v>102</v>
      </c>
      <c r="K2074" s="265" t="s">
        <v>3848</v>
      </c>
      <c r="L2074" s="348" t="s">
        <v>1205</v>
      </c>
      <c r="M2074" s="265" t="s">
        <v>3849</v>
      </c>
      <c r="N2074" s="347">
        <v>0.55000000000000004</v>
      </c>
      <c r="O2074" s="348" t="s">
        <v>1205</v>
      </c>
      <c r="P2074" s="348">
        <v>11</v>
      </c>
      <c r="Q2074" s="348">
        <v>2.0654296875</v>
      </c>
    </row>
    <row r="2075" spans="1:17" ht="15" hidden="1" customHeight="1">
      <c r="A2075" s="163">
        <v>2070</v>
      </c>
      <c r="B2075" s="53" t="s">
        <v>37</v>
      </c>
      <c r="C2075" s="53" t="s">
        <v>3850</v>
      </c>
      <c r="D2075" s="53">
        <v>100021811</v>
      </c>
      <c r="E2075" s="55" t="s">
        <v>3851</v>
      </c>
      <c r="F2075" s="129">
        <v>10</v>
      </c>
      <c r="G2075" s="129">
        <v>640</v>
      </c>
      <c r="H2075" s="512">
        <v>69.94</v>
      </c>
      <c r="I2075" s="265" t="s">
        <v>76</v>
      </c>
      <c r="J2075" s="265" t="s">
        <v>102</v>
      </c>
      <c r="K2075" s="265" t="s">
        <v>3852</v>
      </c>
      <c r="L2075" s="348" t="s">
        <v>1205</v>
      </c>
      <c r="M2075" s="265" t="s">
        <v>3853</v>
      </c>
      <c r="N2075" s="347">
        <v>1.52</v>
      </c>
      <c r="O2075" s="348" t="s">
        <v>1205</v>
      </c>
      <c r="P2075" s="348">
        <v>15.2</v>
      </c>
      <c r="Q2075" s="348">
        <v>0.60496690538194442</v>
      </c>
    </row>
    <row r="2076" spans="1:17" ht="15" hidden="1" customHeight="1">
      <c r="A2076" s="163">
        <v>2071</v>
      </c>
      <c r="B2076" s="53" t="s">
        <v>37</v>
      </c>
      <c r="C2076" s="53" t="s">
        <v>3854</v>
      </c>
      <c r="D2076" s="53">
        <v>100021833</v>
      </c>
      <c r="E2076" s="55" t="s">
        <v>3855</v>
      </c>
      <c r="F2076" s="129">
        <v>10</v>
      </c>
      <c r="G2076" s="129">
        <v>360</v>
      </c>
      <c r="H2076" s="512">
        <v>103.82</v>
      </c>
      <c r="I2076" s="265" t="s">
        <v>76</v>
      </c>
      <c r="J2076" s="265" t="s">
        <v>102</v>
      </c>
      <c r="K2076" s="265" t="s">
        <v>3856</v>
      </c>
      <c r="L2076" s="348" t="s">
        <v>1205</v>
      </c>
      <c r="M2076" s="265" t="s">
        <v>3857</v>
      </c>
      <c r="N2076" s="347">
        <v>2.4699999999999998</v>
      </c>
      <c r="O2076" s="348" t="s">
        <v>1205</v>
      </c>
      <c r="P2076" s="348">
        <v>24.7</v>
      </c>
      <c r="Q2076" s="348">
        <v>1.0298224555121527</v>
      </c>
    </row>
    <row r="2077" spans="1:17" ht="15" hidden="1" customHeight="1">
      <c r="A2077" s="163">
        <v>2072</v>
      </c>
      <c r="B2077" s="53" t="s">
        <v>37</v>
      </c>
      <c r="C2077" s="53" t="s">
        <v>3858</v>
      </c>
      <c r="D2077" s="53">
        <v>100021816</v>
      </c>
      <c r="E2077" s="55" t="s">
        <v>3859</v>
      </c>
      <c r="F2077" s="129">
        <v>10</v>
      </c>
      <c r="G2077" s="129">
        <v>640</v>
      </c>
      <c r="H2077" s="512">
        <v>69.94</v>
      </c>
      <c r="I2077" s="265" t="s">
        <v>76</v>
      </c>
      <c r="J2077" s="265" t="s">
        <v>102</v>
      </c>
      <c r="K2077" s="265" t="s">
        <v>3860</v>
      </c>
      <c r="L2077" s="348" t="s">
        <v>1205</v>
      </c>
      <c r="M2077" s="265" t="s">
        <v>3861</v>
      </c>
      <c r="N2077" s="347">
        <v>1.472</v>
      </c>
      <c r="O2077" s="348" t="s">
        <v>1205</v>
      </c>
      <c r="P2077" s="348">
        <v>14.72</v>
      </c>
      <c r="Q2077" s="348">
        <v>0.60496690538194442</v>
      </c>
    </row>
    <row r="2078" spans="1:17" ht="15" hidden="1" customHeight="1">
      <c r="A2078" s="163">
        <v>2073</v>
      </c>
      <c r="B2078" s="53" t="s">
        <v>37</v>
      </c>
      <c r="C2078" s="53" t="s">
        <v>3862</v>
      </c>
      <c r="D2078" s="53">
        <v>100021839</v>
      </c>
      <c r="E2078" s="55" t="s">
        <v>3863</v>
      </c>
      <c r="F2078" s="129">
        <v>10</v>
      </c>
      <c r="G2078" s="129">
        <v>360</v>
      </c>
      <c r="H2078" s="512">
        <v>103.82</v>
      </c>
      <c r="I2078" s="265" t="s">
        <v>76</v>
      </c>
      <c r="J2078" s="265" t="s">
        <v>102</v>
      </c>
      <c r="K2078" s="265" t="s">
        <v>3864</v>
      </c>
      <c r="L2078" s="348" t="s">
        <v>1205</v>
      </c>
      <c r="M2078" s="265" t="s">
        <v>3865</v>
      </c>
      <c r="N2078" s="347">
        <v>2.58</v>
      </c>
      <c r="O2078" s="348" t="s">
        <v>1205</v>
      </c>
      <c r="P2078" s="348">
        <v>25.8</v>
      </c>
      <c r="Q2078" s="348">
        <v>1.0298224555121527</v>
      </c>
    </row>
    <row r="2079" spans="1:17" ht="15" hidden="1" customHeight="1">
      <c r="A2079" s="163">
        <v>2074</v>
      </c>
      <c r="B2079" s="53" t="s">
        <v>37</v>
      </c>
      <c r="C2079" s="53" t="s">
        <v>3866</v>
      </c>
      <c r="D2079" s="53">
        <v>100021819</v>
      </c>
      <c r="E2079" s="55" t="s">
        <v>3867</v>
      </c>
      <c r="F2079" s="129">
        <v>10</v>
      </c>
      <c r="G2079" s="129">
        <v>640</v>
      </c>
      <c r="H2079" s="512">
        <v>69.94</v>
      </c>
      <c r="I2079" s="265" t="s">
        <v>76</v>
      </c>
      <c r="J2079" s="265" t="s">
        <v>102</v>
      </c>
      <c r="K2079" s="265" t="s">
        <v>3868</v>
      </c>
      <c r="L2079" s="348" t="s">
        <v>1205</v>
      </c>
      <c r="M2079" s="265" t="s">
        <v>3869</v>
      </c>
      <c r="N2079" s="347">
        <v>1.49</v>
      </c>
      <c r="O2079" s="348" t="s">
        <v>1205</v>
      </c>
      <c r="P2079" s="348">
        <v>14.9</v>
      </c>
      <c r="Q2079" s="348">
        <v>0.60496690538194442</v>
      </c>
    </row>
    <row r="2080" spans="1:17" ht="15" hidden="1" customHeight="1">
      <c r="A2080" s="163">
        <v>2075</v>
      </c>
      <c r="B2080" s="53" t="s">
        <v>37</v>
      </c>
      <c r="C2080" s="53" t="s">
        <v>3870</v>
      </c>
      <c r="D2080" s="53">
        <v>100021843</v>
      </c>
      <c r="E2080" s="55" t="s">
        <v>3855</v>
      </c>
      <c r="F2080" s="129">
        <v>10</v>
      </c>
      <c r="G2080" s="129">
        <v>360</v>
      </c>
      <c r="H2080" s="512">
        <v>103.82</v>
      </c>
      <c r="I2080" s="265" t="s">
        <v>76</v>
      </c>
      <c r="J2080" s="265" t="s">
        <v>102</v>
      </c>
      <c r="K2080" s="265" t="s">
        <v>3871</v>
      </c>
      <c r="L2080" s="348" t="s">
        <v>1205</v>
      </c>
      <c r="M2080" s="265" t="s">
        <v>3872</v>
      </c>
      <c r="N2080" s="347">
        <v>2.63</v>
      </c>
      <c r="O2080" s="348" t="s">
        <v>1205</v>
      </c>
      <c r="P2080" s="348">
        <v>26.3</v>
      </c>
      <c r="Q2080" s="348">
        <v>1.0298224555121527</v>
      </c>
    </row>
    <row r="2081" spans="1:17" ht="15" hidden="1" customHeight="1">
      <c r="A2081" s="163">
        <v>2076</v>
      </c>
      <c r="B2081" s="53" t="s">
        <v>37</v>
      </c>
      <c r="C2081" s="53" t="s">
        <v>3873</v>
      </c>
      <c r="D2081" s="53">
        <v>100021748</v>
      </c>
      <c r="E2081" s="55" t="s">
        <v>3874</v>
      </c>
      <c r="F2081" s="129">
        <v>40</v>
      </c>
      <c r="G2081" s="129">
        <v>2400</v>
      </c>
      <c r="H2081" s="512">
        <v>17.59</v>
      </c>
      <c r="I2081" s="265" t="s">
        <v>76</v>
      </c>
      <c r="J2081" s="265" t="s">
        <v>102</v>
      </c>
      <c r="K2081" s="265" t="s">
        <v>3875</v>
      </c>
      <c r="L2081" s="348" t="s">
        <v>1205</v>
      </c>
      <c r="M2081" s="265" t="s">
        <v>3876</v>
      </c>
      <c r="N2081" s="347">
        <v>0.16250000000000001</v>
      </c>
      <c r="O2081" s="348" t="s">
        <v>1205</v>
      </c>
      <c r="P2081" s="348">
        <v>6.5</v>
      </c>
      <c r="Q2081" s="348">
        <v>0.149169921875</v>
      </c>
    </row>
    <row r="2082" spans="1:17" ht="15" hidden="1" customHeight="1">
      <c r="A2082" s="163">
        <v>2077</v>
      </c>
      <c r="B2082" s="53" t="s">
        <v>37</v>
      </c>
      <c r="C2082" s="53" t="s">
        <v>3877</v>
      </c>
      <c r="D2082" s="53">
        <v>100021758</v>
      </c>
      <c r="E2082" s="55" t="s">
        <v>3878</v>
      </c>
      <c r="F2082" s="129">
        <v>40</v>
      </c>
      <c r="G2082" s="129">
        <v>1280</v>
      </c>
      <c r="H2082" s="512">
        <v>26.57</v>
      </c>
      <c r="I2082" s="265" t="s">
        <v>76</v>
      </c>
      <c r="J2082" s="265" t="s">
        <v>102</v>
      </c>
      <c r="K2082" s="265" t="s">
        <v>3879</v>
      </c>
      <c r="L2082" s="348" t="s">
        <v>1205</v>
      </c>
      <c r="M2082" s="265" t="s">
        <v>3880</v>
      </c>
      <c r="N2082" s="347">
        <v>0.23749999999999999</v>
      </c>
      <c r="O2082" s="348" t="s">
        <v>1205</v>
      </c>
      <c r="P2082" s="348">
        <v>9.5</v>
      </c>
      <c r="Q2082" s="348">
        <v>1.0378175646250001</v>
      </c>
    </row>
    <row r="2083" spans="1:17" ht="15" hidden="1" customHeight="1">
      <c r="A2083" s="163">
        <v>2078</v>
      </c>
      <c r="B2083" s="53" t="s">
        <v>37</v>
      </c>
      <c r="C2083" s="53" t="s">
        <v>3881</v>
      </c>
      <c r="D2083" s="53">
        <v>100021779</v>
      </c>
      <c r="E2083" s="55" t="s">
        <v>3882</v>
      </c>
      <c r="F2083" s="129">
        <v>40</v>
      </c>
      <c r="G2083" s="129">
        <v>480</v>
      </c>
      <c r="H2083" s="512">
        <v>35.69</v>
      </c>
      <c r="I2083" s="265" t="s">
        <v>76</v>
      </c>
      <c r="J2083" s="265" t="s">
        <v>102</v>
      </c>
      <c r="K2083" s="265" t="s">
        <v>3883</v>
      </c>
      <c r="L2083" s="348" t="s">
        <v>1205</v>
      </c>
      <c r="M2083" s="265" t="s">
        <v>3884</v>
      </c>
      <c r="N2083" s="347">
        <v>0.62750000000000006</v>
      </c>
      <c r="O2083" s="348" t="s">
        <v>1205</v>
      </c>
      <c r="P2083" s="348">
        <v>25.1</v>
      </c>
      <c r="Q2083" s="348">
        <v>2.27</v>
      </c>
    </row>
    <row r="2084" spans="1:17" ht="15" hidden="1" customHeight="1">
      <c r="A2084" s="163">
        <v>2079</v>
      </c>
      <c r="B2084" s="53" t="s">
        <v>37</v>
      </c>
      <c r="C2084" s="53" t="s">
        <v>3885</v>
      </c>
      <c r="D2084" s="53">
        <v>100026139</v>
      </c>
      <c r="E2084" s="55" t="s">
        <v>3886</v>
      </c>
      <c r="F2084" s="129">
        <v>10</v>
      </c>
      <c r="G2084" s="129">
        <v>600</v>
      </c>
      <c r="H2084" s="512">
        <v>80.7</v>
      </c>
      <c r="I2084" s="265" t="s">
        <v>1351</v>
      </c>
      <c r="J2084" s="265" t="s">
        <v>102</v>
      </c>
      <c r="K2084" s="265" t="s">
        <v>3887</v>
      </c>
      <c r="L2084" s="348" t="s">
        <v>1205</v>
      </c>
      <c r="M2084" s="265" t="s">
        <v>3888</v>
      </c>
      <c r="N2084" s="347">
        <v>1.1499999999999999</v>
      </c>
      <c r="O2084" s="348" t="s">
        <v>1205</v>
      </c>
      <c r="P2084" s="348">
        <v>11.5</v>
      </c>
      <c r="Q2084" s="348">
        <v>0.72479248046875</v>
      </c>
    </row>
    <row r="2085" spans="1:17" ht="15" hidden="1" customHeight="1">
      <c r="A2085" s="163">
        <v>2080</v>
      </c>
      <c r="B2085" s="53" t="s">
        <v>37</v>
      </c>
      <c r="C2085" s="53" t="s">
        <v>3889</v>
      </c>
      <c r="D2085" s="53">
        <v>100021823</v>
      </c>
      <c r="E2085" s="55" t="s">
        <v>3890</v>
      </c>
      <c r="F2085" s="129">
        <v>10</v>
      </c>
      <c r="G2085" s="129">
        <v>270</v>
      </c>
      <c r="H2085" s="512">
        <v>119.81</v>
      </c>
      <c r="I2085" s="265" t="s">
        <v>76</v>
      </c>
      <c r="J2085" s="265" t="s">
        <v>102</v>
      </c>
      <c r="K2085" s="265" t="s">
        <v>3891</v>
      </c>
      <c r="L2085" s="348" t="s">
        <v>1205</v>
      </c>
      <c r="M2085" s="265" t="s">
        <v>3892</v>
      </c>
      <c r="N2085" s="347">
        <v>1.77</v>
      </c>
      <c r="O2085" s="348" t="s">
        <v>1205</v>
      </c>
      <c r="P2085" s="348">
        <v>17.7</v>
      </c>
      <c r="Q2085" s="348">
        <v>1.35821533203125</v>
      </c>
    </row>
    <row r="2086" spans="1:17" ht="15" hidden="1" customHeight="1">
      <c r="A2086" s="163">
        <v>2081</v>
      </c>
      <c r="B2086" s="53" t="s">
        <v>37</v>
      </c>
      <c r="C2086" s="53" t="s">
        <v>3893</v>
      </c>
      <c r="D2086" s="53">
        <v>100021752</v>
      </c>
      <c r="E2086" s="55" t="s">
        <v>3894</v>
      </c>
      <c r="F2086" s="129">
        <v>40</v>
      </c>
      <c r="G2086" s="129">
        <v>2400</v>
      </c>
      <c r="H2086" s="512">
        <v>17.59</v>
      </c>
      <c r="I2086" s="265" t="s">
        <v>76</v>
      </c>
      <c r="J2086" s="265" t="s">
        <v>102</v>
      </c>
      <c r="K2086" s="265" t="s">
        <v>3895</v>
      </c>
      <c r="L2086" s="348" t="s">
        <v>1205</v>
      </c>
      <c r="M2086" s="265" t="s">
        <v>3896</v>
      </c>
      <c r="N2086" s="347">
        <v>0.16</v>
      </c>
      <c r="O2086" s="348" t="s">
        <v>1205</v>
      </c>
      <c r="P2086" s="348">
        <v>6.4</v>
      </c>
      <c r="Q2086" s="348">
        <v>0.149169921875</v>
      </c>
    </row>
    <row r="2087" spans="1:17" ht="15" hidden="1" customHeight="1">
      <c r="A2087" s="163">
        <v>2082</v>
      </c>
      <c r="B2087" s="53" t="s">
        <v>37</v>
      </c>
      <c r="C2087" s="53" t="s">
        <v>3897</v>
      </c>
      <c r="D2087" s="53">
        <v>100021764</v>
      </c>
      <c r="E2087" s="55" t="s">
        <v>3898</v>
      </c>
      <c r="F2087" s="129">
        <v>40</v>
      </c>
      <c r="G2087" s="129">
        <v>1280</v>
      </c>
      <c r="H2087" s="512">
        <v>26.58</v>
      </c>
      <c r="I2087" s="265" t="s">
        <v>1351</v>
      </c>
      <c r="J2087" s="265" t="s">
        <v>102</v>
      </c>
      <c r="K2087" s="265" t="s">
        <v>3899</v>
      </c>
      <c r="L2087" s="348" t="s">
        <v>1205</v>
      </c>
      <c r="M2087" s="265" t="s">
        <v>3900</v>
      </c>
      <c r="N2087" s="347">
        <v>0.23749999999999999</v>
      </c>
      <c r="O2087" s="348" t="s">
        <v>1205</v>
      </c>
      <c r="P2087" s="348">
        <v>9.5</v>
      </c>
      <c r="Q2087" s="348">
        <v>1.0378175646250001</v>
      </c>
    </row>
    <row r="2088" spans="1:17" ht="15" hidden="1" customHeight="1">
      <c r="A2088" s="163">
        <v>2083</v>
      </c>
      <c r="B2088" s="53" t="s">
        <v>37</v>
      </c>
      <c r="C2088" s="53" t="s">
        <v>3901</v>
      </c>
      <c r="D2088" s="53">
        <v>100022191</v>
      </c>
      <c r="E2088" s="55" t="s">
        <v>3902</v>
      </c>
      <c r="F2088" s="129">
        <v>40</v>
      </c>
      <c r="G2088" s="129">
        <v>480</v>
      </c>
      <c r="H2088" s="512">
        <v>35.69</v>
      </c>
      <c r="I2088" s="265" t="s">
        <v>1351</v>
      </c>
      <c r="J2088" s="265" t="s">
        <v>102</v>
      </c>
      <c r="K2088" s="265" t="s">
        <v>3903</v>
      </c>
      <c r="L2088" s="348" t="s">
        <v>1205</v>
      </c>
      <c r="M2088" s="265" t="s">
        <v>3904</v>
      </c>
      <c r="N2088" s="347">
        <v>0.62750000000000006</v>
      </c>
      <c r="O2088" s="348" t="s">
        <v>1205</v>
      </c>
      <c r="P2088" s="348">
        <v>25.1</v>
      </c>
      <c r="Q2088" s="348">
        <v>2.27</v>
      </c>
    </row>
    <row r="2089" spans="1:17" ht="15" hidden="1" customHeight="1">
      <c r="A2089" s="163">
        <v>2084</v>
      </c>
      <c r="B2089" s="53" t="s">
        <v>37</v>
      </c>
      <c r="C2089" s="53" t="s">
        <v>3905</v>
      </c>
      <c r="D2089" s="53">
        <v>100021837</v>
      </c>
      <c r="E2089" s="55" t="s">
        <v>3906</v>
      </c>
      <c r="F2089" s="129">
        <v>10</v>
      </c>
      <c r="G2089" s="129">
        <v>270</v>
      </c>
      <c r="H2089" s="512">
        <v>119.81</v>
      </c>
      <c r="I2089" s="265" t="s">
        <v>1351</v>
      </c>
      <c r="J2089" s="265" t="s">
        <v>102</v>
      </c>
      <c r="K2089" s="265" t="s">
        <v>3907</v>
      </c>
      <c r="L2089" s="348" t="s">
        <v>1205</v>
      </c>
      <c r="M2089" s="265" t="s">
        <v>3908</v>
      </c>
      <c r="N2089" s="347">
        <v>1.77</v>
      </c>
      <c r="O2089" s="348" t="s">
        <v>1205</v>
      </c>
      <c r="P2089" s="348">
        <v>17.7</v>
      </c>
      <c r="Q2089" s="348">
        <v>1.35821533203125</v>
      </c>
    </row>
    <row r="2090" spans="1:17" ht="15" hidden="1" customHeight="1">
      <c r="A2090" s="163">
        <v>2085</v>
      </c>
      <c r="B2090" s="53" t="s">
        <v>37</v>
      </c>
      <c r="C2090" s="53" t="s">
        <v>3909</v>
      </c>
      <c r="D2090" s="53">
        <v>100021755</v>
      </c>
      <c r="E2090" s="55" t="s">
        <v>3910</v>
      </c>
      <c r="F2090" s="129">
        <v>40</v>
      </c>
      <c r="G2090" s="129">
        <v>2400</v>
      </c>
      <c r="H2090" s="512">
        <v>17.59</v>
      </c>
      <c r="I2090" s="265" t="s">
        <v>1351</v>
      </c>
      <c r="J2090" s="265" t="s">
        <v>102</v>
      </c>
      <c r="K2090" s="265" t="s">
        <v>3911</v>
      </c>
      <c r="L2090" s="348" t="s">
        <v>1205</v>
      </c>
      <c r="M2090" s="265" t="s">
        <v>3912</v>
      </c>
      <c r="N2090" s="347">
        <v>0.16750000000000001</v>
      </c>
      <c r="O2090" s="348" t="s">
        <v>1205</v>
      </c>
      <c r="P2090" s="348">
        <v>6.7</v>
      </c>
      <c r="Q2090" s="348">
        <v>0.149169921875</v>
      </c>
    </row>
    <row r="2091" spans="1:17" ht="15" hidden="1" customHeight="1">
      <c r="A2091" s="163">
        <v>2086</v>
      </c>
      <c r="B2091" s="53" t="s">
        <v>37</v>
      </c>
      <c r="C2091" s="53" t="s">
        <v>3913</v>
      </c>
      <c r="D2091" s="53">
        <v>100021768</v>
      </c>
      <c r="E2091" s="55" t="s">
        <v>3914</v>
      </c>
      <c r="F2091" s="129">
        <v>40</v>
      </c>
      <c r="G2091" s="129">
        <v>1280</v>
      </c>
      <c r="H2091" s="512">
        <v>26.57</v>
      </c>
      <c r="I2091" s="265" t="s">
        <v>1351</v>
      </c>
      <c r="J2091" s="265" t="s">
        <v>102</v>
      </c>
      <c r="K2091" s="265" t="s">
        <v>3915</v>
      </c>
      <c r="L2091" s="348" t="s">
        <v>1205</v>
      </c>
      <c r="M2091" s="265" t="s">
        <v>3916</v>
      </c>
      <c r="N2091" s="347">
        <v>0.24500000000000002</v>
      </c>
      <c r="O2091" s="348" t="s">
        <v>1205</v>
      </c>
      <c r="P2091" s="348">
        <v>9.8000000000000007</v>
      </c>
      <c r="Q2091" s="348">
        <v>1.0378175646250001</v>
      </c>
    </row>
    <row r="2092" spans="1:17" ht="15" hidden="1" customHeight="1">
      <c r="A2092" s="163">
        <v>2087</v>
      </c>
      <c r="B2092" s="53" t="s">
        <v>37</v>
      </c>
      <c r="C2092" s="53" t="s">
        <v>3917</v>
      </c>
      <c r="D2092" s="53">
        <v>100021795</v>
      </c>
      <c r="E2092" s="55" t="s">
        <v>3918</v>
      </c>
      <c r="F2092" s="129">
        <v>40</v>
      </c>
      <c r="G2092" s="129">
        <v>480</v>
      </c>
      <c r="H2092" s="512">
        <v>35.69</v>
      </c>
      <c r="I2092" s="265" t="s">
        <v>76</v>
      </c>
      <c r="J2092" s="265" t="s">
        <v>102</v>
      </c>
      <c r="K2092" s="265" t="s">
        <v>3919</v>
      </c>
      <c r="L2092" s="348" t="s">
        <v>1205</v>
      </c>
      <c r="M2092" s="265" t="s">
        <v>3920</v>
      </c>
      <c r="N2092" s="347">
        <v>0.62750000000000006</v>
      </c>
      <c r="O2092" s="348" t="s">
        <v>1205</v>
      </c>
      <c r="P2092" s="348">
        <v>25.1</v>
      </c>
      <c r="Q2092" s="348">
        <v>2.5029500325520835</v>
      </c>
    </row>
    <row r="2093" spans="1:17" ht="15" hidden="1" customHeight="1">
      <c r="A2093" s="163">
        <v>2088</v>
      </c>
      <c r="B2093" s="53" t="s">
        <v>37</v>
      </c>
      <c r="C2093" s="53" t="s">
        <v>3921</v>
      </c>
      <c r="D2093" s="53">
        <v>100026141</v>
      </c>
      <c r="E2093" s="55" t="s">
        <v>3922</v>
      </c>
      <c r="F2093" s="129">
        <v>10</v>
      </c>
      <c r="G2093" s="129">
        <v>600</v>
      </c>
      <c r="H2093" s="512">
        <v>80.7</v>
      </c>
      <c r="I2093" s="265" t="s">
        <v>76</v>
      </c>
      <c r="J2093" s="265" t="s">
        <v>102</v>
      </c>
      <c r="K2093" s="265" t="s">
        <v>3923</v>
      </c>
      <c r="L2093" s="348" t="s">
        <v>1205</v>
      </c>
      <c r="M2093" s="265" t="s">
        <v>3924</v>
      </c>
      <c r="N2093" s="347">
        <v>1.1800000000000002</v>
      </c>
      <c r="O2093" s="348" t="s">
        <v>1205</v>
      </c>
      <c r="P2093" s="348">
        <v>11.8</v>
      </c>
      <c r="Q2093" s="348">
        <v>0.72479248046875</v>
      </c>
    </row>
    <row r="2094" spans="1:17" ht="15" hidden="1" customHeight="1">
      <c r="A2094" s="163">
        <v>2089</v>
      </c>
      <c r="B2094" s="53" t="s">
        <v>37</v>
      </c>
      <c r="C2094" s="53" t="s">
        <v>3925</v>
      </c>
      <c r="D2094" s="53">
        <v>100021840</v>
      </c>
      <c r="E2094" s="55" t="s">
        <v>3926</v>
      </c>
      <c r="F2094" s="129">
        <v>10</v>
      </c>
      <c r="G2094" s="129">
        <v>270</v>
      </c>
      <c r="H2094" s="512">
        <v>119.81</v>
      </c>
      <c r="I2094" s="265" t="s">
        <v>76</v>
      </c>
      <c r="J2094" s="265" t="s">
        <v>102</v>
      </c>
      <c r="K2094" s="265" t="s">
        <v>3927</v>
      </c>
      <c r="L2094" s="348" t="s">
        <v>1205</v>
      </c>
      <c r="M2094" s="265" t="s">
        <v>3928</v>
      </c>
      <c r="N2094" s="347">
        <v>1.77</v>
      </c>
      <c r="O2094" s="348" t="s">
        <v>1205</v>
      </c>
      <c r="P2094" s="348">
        <v>17.7</v>
      </c>
      <c r="Q2094" s="348">
        <v>1.35821533203125</v>
      </c>
    </row>
    <row r="2095" spans="1:17" ht="15" hidden="1" customHeight="1">
      <c r="A2095" s="163">
        <v>2090</v>
      </c>
      <c r="B2095" s="53" t="s">
        <v>37</v>
      </c>
      <c r="C2095" s="53" t="s">
        <v>3929</v>
      </c>
      <c r="D2095" s="53">
        <v>100021750</v>
      </c>
      <c r="E2095" s="55" t="s">
        <v>3930</v>
      </c>
      <c r="F2095" s="129">
        <v>40</v>
      </c>
      <c r="G2095" s="129">
        <v>2880</v>
      </c>
      <c r="H2095" s="512">
        <v>7.54</v>
      </c>
      <c r="I2095" s="265" t="s">
        <v>76</v>
      </c>
      <c r="J2095" s="265" t="s">
        <v>102</v>
      </c>
      <c r="K2095" s="265" t="s">
        <v>3931</v>
      </c>
      <c r="L2095" s="348" t="s">
        <v>1205</v>
      </c>
      <c r="M2095" s="265" t="s">
        <v>3932</v>
      </c>
      <c r="N2095" s="347">
        <v>0.13250000000000001</v>
      </c>
      <c r="O2095" s="348" t="s">
        <v>1205</v>
      </c>
      <c r="P2095" s="348">
        <v>5.3</v>
      </c>
      <c r="Q2095" s="348">
        <v>0.54151454897280094</v>
      </c>
    </row>
    <row r="2096" spans="1:17" ht="15" hidden="1" customHeight="1">
      <c r="A2096" s="163">
        <v>2091</v>
      </c>
      <c r="B2096" s="53" t="s">
        <v>37</v>
      </c>
      <c r="C2096" s="53" t="s">
        <v>3933</v>
      </c>
      <c r="D2096" s="53">
        <v>100021760</v>
      </c>
      <c r="E2096" s="55" t="s">
        <v>3934</v>
      </c>
      <c r="F2096" s="129">
        <v>40</v>
      </c>
      <c r="G2096" s="129">
        <v>2000</v>
      </c>
      <c r="H2096" s="512">
        <v>7.97</v>
      </c>
      <c r="I2096" s="265" t="s">
        <v>76</v>
      </c>
      <c r="J2096" s="265" t="s">
        <v>102</v>
      </c>
      <c r="K2096" s="265" t="s">
        <v>3935</v>
      </c>
      <c r="L2096" s="348" t="s">
        <v>1205</v>
      </c>
      <c r="M2096" s="265" t="s">
        <v>3936</v>
      </c>
      <c r="N2096" s="347">
        <v>0.20249999999999999</v>
      </c>
      <c r="O2096" s="348" t="s">
        <v>1205</v>
      </c>
      <c r="P2096" s="348">
        <v>8.1</v>
      </c>
      <c r="Q2096" s="348">
        <v>0.79843749999999991</v>
      </c>
    </row>
    <row r="2097" spans="1:17" ht="15" hidden="1" customHeight="1">
      <c r="A2097" s="163">
        <v>2092</v>
      </c>
      <c r="B2097" s="53" t="s">
        <v>37</v>
      </c>
      <c r="C2097" s="53" t="s">
        <v>3937</v>
      </c>
      <c r="D2097" s="53">
        <v>100021787</v>
      </c>
      <c r="E2097" s="55" t="s">
        <v>3938</v>
      </c>
      <c r="F2097" s="129">
        <v>10</v>
      </c>
      <c r="G2097" s="129">
        <v>600</v>
      </c>
      <c r="H2097" s="512">
        <v>22.29</v>
      </c>
      <c r="I2097" s="265" t="s">
        <v>76</v>
      </c>
      <c r="J2097" s="265" t="s">
        <v>102</v>
      </c>
      <c r="K2097" s="265" t="s">
        <v>3939</v>
      </c>
      <c r="L2097" s="348" t="s">
        <v>1205</v>
      </c>
      <c r="M2097" s="265" t="s">
        <v>3940</v>
      </c>
      <c r="N2097" s="347">
        <v>0.63</v>
      </c>
      <c r="O2097" s="348" t="s">
        <v>1205</v>
      </c>
      <c r="P2097" s="348">
        <v>6.3</v>
      </c>
      <c r="Q2097" s="348">
        <v>0.589691162109375</v>
      </c>
    </row>
    <row r="2098" spans="1:17" ht="15" hidden="1" customHeight="1">
      <c r="A2098" s="163">
        <v>2093</v>
      </c>
      <c r="B2098" s="53" t="s">
        <v>37</v>
      </c>
      <c r="C2098" s="53" t="s">
        <v>3941</v>
      </c>
      <c r="D2098" s="53">
        <v>100021799</v>
      </c>
      <c r="E2098" s="55" t="s">
        <v>3942</v>
      </c>
      <c r="F2098" s="129">
        <v>10</v>
      </c>
      <c r="G2098" s="129">
        <v>400</v>
      </c>
      <c r="H2098" s="512">
        <v>23.48</v>
      </c>
      <c r="I2098" s="265" t="s">
        <v>76</v>
      </c>
      <c r="J2098" s="265" t="s">
        <v>102</v>
      </c>
      <c r="K2098" s="265" t="s">
        <v>3943</v>
      </c>
      <c r="L2098" s="348" t="s">
        <v>1205</v>
      </c>
      <c r="M2098" s="265" t="s">
        <v>3944</v>
      </c>
      <c r="N2098" s="347">
        <v>0.71</v>
      </c>
      <c r="O2098" s="348" t="s">
        <v>1205</v>
      </c>
      <c r="P2098" s="348">
        <v>7.1</v>
      </c>
      <c r="Q2098" s="348">
        <v>0.83900960286458337</v>
      </c>
    </row>
    <row r="2099" spans="1:17" ht="15" hidden="1" customHeight="1">
      <c r="A2099" s="163">
        <v>2094</v>
      </c>
      <c r="B2099" s="53" t="s">
        <v>37</v>
      </c>
      <c r="C2099" s="53" t="s">
        <v>11323</v>
      </c>
      <c r="D2099" s="53">
        <v>100021821</v>
      </c>
      <c r="E2099" s="55" t="s">
        <v>11324</v>
      </c>
      <c r="F2099" s="129">
        <v>10</v>
      </c>
      <c r="G2099" s="129">
        <v>320</v>
      </c>
      <c r="H2099" s="512">
        <v>43.18</v>
      </c>
      <c r="I2099" s="265" t="s">
        <v>76</v>
      </c>
      <c r="J2099" s="265" t="s">
        <v>102</v>
      </c>
      <c r="K2099" s="265" t="s">
        <v>3947</v>
      </c>
      <c r="L2099" s="348" t="s">
        <v>1205</v>
      </c>
      <c r="M2099" s="265" t="s">
        <v>3948</v>
      </c>
      <c r="N2099" s="347">
        <v>0.95</v>
      </c>
      <c r="O2099" s="348" t="s">
        <v>1205</v>
      </c>
      <c r="P2099" s="348">
        <v>9.5</v>
      </c>
      <c r="Q2099" s="348">
        <v>1.2079399956597223</v>
      </c>
    </row>
    <row r="2100" spans="1:17" ht="15" hidden="1" customHeight="1">
      <c r="A2100" s="163">
        <v>2095</v>
      </c>
      <c r="B2100" s="53" t="s">
        <v>37</v>
      </c>
      <c r="C2100" s="53" t="s">
        <v>3945</v>
      </c>
      <c r="D2100" s="53">
        <v>100021757</v>
      </c>
      <c r="E2100" s="55" t="s">
        <v>3946</v>
      </c>
      <c r="F2100" s="129">
        <v>40</v>
      </c>
      <c r="G2100" s="129">
        <v>2880</v>
      </c>
      <c r="H2100" s="512">
        <v>7.54</v>
      </c>
      <c r="I2100" s="265" t="s">
        <v>76</v>
      </c>
      <c r="J2100" s="265" t="s">
        <v>102</v>
      </c>
      <c r="K2100" s="265" t="s">
        <v>3947</v>
      </c>
      <c r="L2100" s="348" t="s">
        <v>1205</v>
      </c>
      <c r="M2100" s="265" t="s">
        <v>3948</v>
      </c>
      <c r="N2100" s="347">
        <v>0.14250000000000002</v>
      </c>
      <c r="O2100" s="348" t="s">
        <v>1205</v>
      </c>
      <c r="P2100" s="348">
        <v>5.7</v>
      </c>
      <c r="Q2100" s="348">
        <v>0.54151454897280094</v>
      </c>
    </row>
    <row r="2101" spans="1:17" ht="15" hidden="1" customHeight="1">
      <c r="A2101" s="163">
        <v>2096</v>
      </c>
      <c r="B2101" s="53" t="s">
        <v>37</v>
      </c>
      <c r="C2101" s="53" t="s">
        <v>3949</v>
      </c>
      <c r="D2101" s="53">
        <v>100021757</v>
      </c>
      <c r="E2101" s="55" t="s">
        <v>3950</v>
      </c>
      <c r="F2101" s="129">
        <v>40</v>
      </c>
      <c r="G2101" s="129">
        <v>2000</v>
      </c>
      <c r="H2101" s="512">
        <v>7.54</v>
      </c>
      <c r="I2101" s="265" t="s">
        <v>76</v>
      </c>
      <c r="J2101" s="265" t="s">
        <v>102</v>
      </c>
      <c r="K2101" s="265" t="s">
        <v>3947</v>
      </c>
      <c r="L2101" s="348" t="s">
        <v>1205</v>
      </c>
      <c r="M2101" s="265" t="s">
        <v>3948</v>
      </c>
      <c r="N2101" s="347">
        <v>0.20249999999999999</v>
      </c>
      <c r="O2101" s="348" t="s">
        <v>1205</v>
      </c>
      <c r="P2101" s="348">
        <v>8.1</v>
      </c>
      <c r="Q2101" s="348">
        <v>0.79843749999999991</v>
      </c>
    </row>
    <row r="2102" spans="1:17" ht="15" hidden="1" customHeight="1">
      <c r="A2102" s="163">
        <v>2097</v>
      </c>
      <c r="B2102" s="53" t="s">
        <v>37</v>
      </c>
      <c r="C2102" s="53" t="s">
        <v>11325</v>
      </c>
      <c r="D2102" s="513">
        <v>100021792</v>
      </c>
      <c r="E2102" s="55" t="s">
        <v>11326</v>
      </c>
      <c r="F2102" s="129">
        <v>10</v>
      </c>
      <c r="G2102" s="129">
        <v>600</v>
      </c>
      <c r="H2102" s="512">
        <v>22.29</v>
      </c>
      <c r="I2102" s="265" t="s">
        <v>76</v>
      </c>
      <c r="J2102" s="265" t="s">
        <v>102</v>
      </c>
      <c r="K2102" s="265" t="s">
        <v>3947</v>
      </c>
      <c r="L2102" s="348" t="s">
        <v>1205</v>
      </c>
      <c r="M2102" s="265" t="s">
        <v>3948</v>
      </c>
      <c r="N2102" s="347">
        <v>0.62</v>
      </c>
      <c r="O2102" s="348" t="s">
        <v>1205</v>
      </c>
      <c r="P2102" s="348">
        <v>6.2</v>
      </c>
      <c r="Q2102" s="348">
        <v>0.589691162109375</v>
      </c>
    </row>
    <row r="2103" spans="1:17" ht="15" hidden="1" customHeight="1">
      <c r="A2103" s="163">
        <v>2098</v>
      </c>
      <c r="B2103" s="53" t="s">
        <v>37</v>
      </c>
      <c r="C2103" s="53" t="s">
        <v>3951</v>
      </c>
      <c r="D2103" s="53">
        <v>100021757</v>
      </c>
      <c r="E2103" s="55" t="s">
        <v>3952</v>
      </c>
      <c r="F2103" s="129">
        <v>40</v>
      </c>
      <c r="G2103" s="129">
        <v>2880</v>
      </c>
      <c r="H2103" s="512">
        <v>7.54</v>
      </c>
      <c r="I2103" s="265" t="s">
        <v>76</v>
      </c>
      <c r="J2103" s="265" t="s">
        <v>102</v>
      </c>
      <c r="K2103" s="265" t="s">
        <v>3947</v>
      </c>
      <c r="L2103" s="348" t="s">
        <v>1205</v>
      </c>
      <c r="M2103" s="265" t="s">
        <v>3948</v>
      </c>
      <c r="N2103" s="347">
        <v>0.14250000000000002</v>
      </c>
      <c r="O2103" s="348" t="s">
        <v>1205</v>
      </c>
      <c r="P2103" s="348">
        <v>5.7</v>
      </c>
      <c r="Q2103" s="348">
        <v>0.54151454897280094</v>
      </c>
    </row>
    <row r="2104" spans="1:17" ht="15" hidden="1" customHeight="1">
      <c r="A2104" s="163">
        <v>2099</v>
      </c>
      <c r="B2104" s="53" t="s">
        <v>37</v>
      </c>
      <c r="C2104" s="53" t="s">
        <v>3953</v>
      </c>
      <c r="D2104" s="53">
        <v>100021770</v>
      </c>
      <c r="E2104" s="55" t="s">
        <v>3954</v>
      </c>
      <c r="F2104" s="129">
        <v>40</v>
      </c>
      <c r="G2104" s="129">
        <v>2000</v>
      </c>
      <c r="H2104" s="512">
        <v>7.97</v>
      </c>
      <c r="I2104" s="265" t="s">
        <v>1351</v>
      </c>
      <c r="J2104" s="265" t="s">
        <v>102</v>
      </c>
      <c r="K2104" s="265" t="s">
        <v>3955</v>
      </c>
      <c r="L2104" s="348" t="s">
        <v>1205</v>
      </c>
      <c r="M2104" s="265" t="s">
        <v>3956</v>
      </c>
      <c r="N2104" s="347">
        <v>0.21249999999999999</v>
      </c>
      <c r="O2104" s="348" t="s">
        <v>1205</v>
      </c>
      <c r="P2104" s="348">
        <v>8.5</v>
      </c>
      <c r="Q2104" s="348">
        <v>0.79843749999999991</v>
      </c>
    </row>
    <row r="2105" spans="1:17" ht="15" hidden="1" customHeight="1">
      <c r="A2105" s="163">
        <v>2100</v>
      </c>
      <c r="B2105" s="53" t="s">
        <v>37</v>
      </c>
      <c r="C2105" s="53" t="s">
        <v>3957</v>
      </c>
      <c r="D2105" s="53">
        <v>100021796</v>
      </c>
      <c r="E2105" s="55" t="s">
        <v>3958</v>
      </c>
      <c r="F2105" s="129">
        <v>10</v>
      </c>
      <c r="G2105" s="129">
        <v>600</v>
      </c>
      <c r="H2105" s="512">
        <v>22.29</v>
      </c>
      <c r="I2105" s="265" t="s">
        <v>1351</v>
      </c>
      <c r="J2105" s="265" t="s">
        <v>102</v>
      </c>
      <c r="K2105" s="265" t="s">
        <v>3959</v>
      </c>
      <c r="L2105" s="348" t="s">
        <v>1205</v>
      </c>
      <c r="M2105" s="265" t="s">
        <v>3960</v>
      </c>
      <c r="N2105" s="347">
        <v>0.64</v>
      </c>
      <c r="O2105" s="348" t="s">
        <v>1205</v>
      </c>
      <c r="P2105" s="348">
        <v>6.4</v>
      </c>
      <c r="Q2105" s="348">
        <v>0.589691162109375</v>
      </c>
    </row>
    <row r="2106" spans="1:17" ht="15" hidden="1" customHeight="1">
      <c r="A2106" s="163">
        <v>2101</v>
      </c>
      <c r="B2106" s="53" t="s">
        <v>37</v>
      </c>
      <c r="C2106" s="53" t="s">
        <v>3961</v>
      </c>
      <c r="D2106" s="53">
        <v>100021800</v>
      </c>
      <c r="E2106" s="55" t="s">
        <v>3962</v>
      </c>
      <c r="F2106" s="129">
        <v>10</v>
      </c>
      <c r="G2106" s="129">
        <v>400</v>
      </c>
      <c r="H2106" s="512">
        <v>23.48</v>
      </c>
      <c r="I2106" s="265" t="s">
        <v>76</v>
      </c>
      <c r="J2106" s="265" t="s">
        <v>102</v>
      </c>
      <c r="K2106" s="265" t="s">
        <v>3963</v>
      </c>
      <c r="L2106" s="348" t="s">
        <v>1205</v>
      </c>
      <c r="M2106" s="265" t="s">
        <v>3964</v>
      </c>
      <c r="N2106" s="347">
        <v>0.67999999999999994</v>
      </c>
      <c r="O2106" s="348" t="s">
        <v>1205</v>
      </c>
      <c r="P2106" s="348">
        <v>6.8</v>
      </c>
      <c r="Q2106" s="348">
        <v>0.84</v>
      </c>
    </row>
    <row r="2107" spans="1:17" ht="15" hidden="1" customHeight="1">
      <c r="A2107" s="163">
        <v>2102</v>
      </c>
      <c r="B2107" s="53" t="s">
        <v>37</v>
      </c>
      <c r="C2107" s="53" t="s">
        <v>3965</v>
      </c>
      <c r="D2107" s="53">
        <v>100021822</v>
      </c>
      <c r="E2107" s="55" t="s">
        <v>3966</v>
      </c>
      <c r="F2107" s="129">
        <v>10</v>
      </c>
      <c r="G2107" s="129">
        <v>320</v>
      </c>
      <c r="H2107" s="512">
        <v>43.18</v>
      </c>
      <c r="I2107" s="265" t="s">
        <v>1693</v>
      </c>
      <c r="J2107" s="265" t="s">
        <v>102</v>
      </c>
      <c r="K2107" s="265" t="s">
        <v>3967</v>
      </c>
      <c r="L2107" s="348" t="s">
        <v>1205</v>
      </c>
      <c r="M2107" s="265" t="s">
        <v>3968</v>
      </c>
      <c r="N2107" s="347">
        <v>0.93</v>
      </c>
      <c r="O2107" s="348" t="s">
        <v>1205</v>
      </c>
      <c r="P2107" s="348">
        <v>9.3000000000000007</v>
      </c>
      <c r="Q2107" s="348">
        <v>1.21</v>
      </c>
    </row>
    <row r="2108" spans="1:17" ht="15" hidden="1" customHeight="1">
      <c r="A2108" s="163">
        <v>2103</v>
      </c>
      <c r="B2108" s="53" t="s">
        <v>37</v>
      </c>
      <c r="C2108" s="53" t="s">
        <v>3969</v>
      </c>
      <c r="D2108" s="53">
        <v>100022190</v>
      </c>
      <c r="E2108" s="55" t="s">
        <v>3970</v>
      </c>
      <c r="F2108" s="129">
        <v>40</v>
      </c>
      <c r="G2108" s="129">
        <v>3000</v>
      </c>
      <c r="H2108" s="512">
        <v>9.3699999999999992</v>
      </c>
      <c r="I2108" s="265" t="s">
        <v>1693</v>
      </c>
      <c r="J2108" s="265" t="s">
        <v>102</v>
      </c>
      <c r="K2108" s="265" t="s">
        <v>3971</v>
      </c>
      <c r="L2108" s="348" t="s">
        <v>1205</v>
      </c>
      <c r="M2108" s="265" t="s">
        <v>3972</v>
      </c>
      <c r="N2108" s="347">
        <v>0.14499999999999999</v>
      </c>
      <c r="O2108" s="348" t="s">
        <v>1205</v>
      </c>
      <c r="P2108" s="348">
        <v>5.8</v>
      </c>
      <c r="Q2108" s="348">
        <v>0.53778425906250005</v>
      </c>
    </row>
    <row r="2109" spans="1:17" ht="15" hidden="1" customHeight="1">
      <c r="A2109" s="163">
        <v>2104</v>
      </c>
      <c r="B2109" s="53" t="s">
        <v>37</v>
      </c>
      <c r="C2109" s="53" t="s">
        <v>3973</v>
      </c>
      <c r="D2109" s="53">
        <v>100021774</v>
      </c>
      <c r="E2109" s="55" t="s">
        <v>3974</v>
      </c>
      <c r="F2109" s="129">
        <v>20</v>
      </c>
      <c r="G2109" s="129">
        <v>1600</v>
      </c>
      <c r="H2109" s="512">
        <v>10.3</v>
      </c>
      <c r="I2109" s="265" t="s">
        <v>76</v>
      </c>
      <c r="J2109" s="265" t="s">
        <v>102</v>
      </c>
      <c r="K2109" s="265" t="s">
        <v>3975</v>
      </c>
      <c r="L2109" s="348" t="s">
        <v>1205</v>
      </c>
      <c r="M2109" s="265" t="s">
        <v>3976</v>
      </c>
      <c r="N2109" s="347">
        <v>0.27</v>
      </c>
      <c r="O2109" s="348" t="s">
        <v>1205</v>
      </c>
      <c r="P2109" s="348">
        <v>5.4</v>
      </c>
      <c r="Q2109" s="348">
        <v>0.5271447753906251</v>
      </c>
    </row>
    <row r="2110" spans="1:17" ht="15" hidden="1" customHeight="1">
      <c r="A2110" s="163">
        <v>2105</v>
      </c>
      <c r="B2110" s="53" t="s">
        <v>37</v>
      </c>
      <c r="C2110" s="53" t="s">
        <v>3977</v>
      </c>
      <c r="D2110" s="53">
        <v>100021789</v>
      </c>
      <c r="E2110" s="55" t="s">
        <v>3978</v>
      </c>
      <c r="F2110" s="129">
        <v>10</v>
      </c>
      <c r="G2110" s="129">
        <v>960</v>
      </c>
      <c r="H2110" s="512">
        <v>15.75</v>
      </c>
      <c r="I2110" s="265" t="s">
        <v>1351</v>
      </c>
      <c r="J2110" s="265" t="s">
        <v>102</v>
      </c>
      <c r="K2110" s="265" t="s">
        <v>3979</v>
      </c>
      <c r="L2110" s="348" t="s">
        <v>1205</v>
      </c>
      <c r="M2110" s="265" t="s">
        <v>3980</v>
      </c>
      <c r="N2110" s="347">
        <v>0.47450000000000003</v>
      </c>
      <c r="O2110" s="348" t="s">
        <v>1205</v>
      </c>
      <c r="P2110" s="348">
        <v>4.7450000000000001</v>
      </c>
      <c r="Q2110" s="348">
        <v>0.45638462890624998</v>
      </c>
    </row>
    <row r="2111" spans="1:17" ht="15" hidden="1" customHeight="1">
      <c r="A2111" s="163">
        <v>2106</v>
      </c>
      <c r="B2111" s="53" t="s">
        <v>37</v>
      </c>
      <c r="C2111" s="53" t="s">
        <v>3981</v>
      </c>
      <c r="D2111" s="53">
        <v>100022192</v>
      </c>
      <c r="E2111" s="55" t="s">
        <v>3982</v>
      </c>
      <c r="F2111" s="129">
        <v>10</v>
      </c>
      <c r="G2111" s="129">
        <v>600</v>
      </c>
      <c r="H2111" s="512">
        <v>22.79</v>
      </c>
      <c r="I2111" s="265" t="s">
        <v>1351</v>
      </c>
      <c r="J2111" s="265" t="s">
        <v>102</v>
      </c>
      <c r="K2111" s="265" t="s">
        <v>3983</v>
      </c>
      <c r="L2111" s="348" t="s">
        <v>1205</v>
      </c>
      <c r="M2111" s="265" t="s">
        <v>3984</v>
      </c>
      <c r="N2111" s="347">
        <v>1.01</v>
      </c>
      <c r="O2111" s="348" t="s">
        <v>1205</v>
      </c>
      <c r="P2111" s="348">
        <v>10.1</v>
      </c>
      <c r="Q2111" s="348">
        <v>0.70626768663194439</v>
      </c>
    </row>
    <row r="2112" spans="1:17" ht="15" hidden="1" customHeight="1">
      <c r="A2112" s="163">
        <v>2107</v>
      </c>
      <c r="B2112" s="53" t="s">
        <v>37</v>
      </c>
      <c r="C2112" s="53" t="s">
        <v>3985</v>
      </c>
      <c r="D2112" s="53">
        <v>100022193</v>
      </c>
      <c r="E2112" s="55" t="s">
        <v>3986</v>
      </c>
      <c r="F2112" s="129">
        <v>10</v>
      </c>
      <c r="G2112" s="129">
        <v>450</v>
      </c>
      <c r="H2112" s="512">
        <v>24.91</v>
      </c>
      <c r="I2112" s="265" t="s">
        <v>1351</v>
      </c>
      <c r="J2112" s="265" t="s">
        <v>102</v>
      </c>
      <c r="K2112" s="265" t="s">
        <v>3987</v>
      </c>
      <c r="L2112" s="348" t="s">
        <v>1205</v>
      </c>
      <c r="M2112" s="265" t="s">
        <v>3988</v>
      </c>
      <c r="N2112" s="347">
        <v>1.0900000000000001</v>
      </c>
      <c r="O2112" s="348" t="s">
        <v>1205</v>
      </c>
      <c r="P2112" s="348">
        <v>10.9</v>
      </c>
      <c r="Q2112" s="348">
        <v>0.90946283637152792</v>
      </c>
    </row>
    <row r="2113" spans="1:17" ht="15" hidden="1" customHeight="1">
      <c r="A2113" s="163">
        <v>2108</v>
      </c>
      <c r="B2113" s="53" t="s">
        <v>37</v>
      </c>
      <c r="C2113" s="53" t="s">
        <v>3989</v>
      </c>
      <c r="D2113" s="53">
        <v>100021809</v>
      </c>
      <c r="E2113" s="55" t="s">
        <v>3990</v>
      </c>
      <c r="F2113" s="129">
        <v>10</v>
      </c>
      <c r="G2113" s="129">
        <v>320</v>
      </c>
      <c r="H2113" s="512">
        <v>38.46</v>
      </c>
      <c r="I2113" s="265" t="s">
        <v>1351</v>
      </c>
      <c r="J2113" s="265" t="s">
        <v>102</v>
      </c>
      <c r="K2113" s="265" t="s">
        <v>3991</v>
      </c>
      <c r="L2113" s="348" t="s">
        <v>1205</v>
      </c>
      <c r="M2113" s="265" t="s">
        <v>3992</v>
      </c>
      <c r="N2113" s="347">
        <v>1.21</v>
      </c>
      <c r="O2113" s="348" t="s">
        <v>1205</v>
      </c>
      <c r="P2113" s="348">
        <v>12.1</v>
      </c>
      <c r="Q2113" s="348">
        <v>1.2166341145833333</v>
      </c>
    </row>
    <row r="2114" spans="1:17" ht="15" hidden="1" customHeight="1">
      <c r="A2114" s="163">
        <v>2109</v>
      </c>
      <c r="B2114" s="53" t="s">
        <v>37</v>
      </c>
      <c r="C2114" s="53" t="s">
        <v>3993</v>
      </c>
      <c r="D2114" s="53">
        <v>100021767</v>
      </c>
      <c r="E2114" s="55" t="s">
        <v>3994</v>
      </c>
      <c r="F2114" s="129">
        <v>40</v>
      </c>
      <c r="G2114" s="129">
        <v>3000</v>
      </c>
      <c r="H2114" s="512">
        <v>9.3699999999999992</v>
      </c>
      <c r="I2114" s="265" t="s">
        <v>1693</v>
      </c>
      <c r="J2114" s="265" t="s">
        <v>102</v>
      </c>
      <c r="K2114" s="265" t="s">
        <v>3995</v>
      </c>
      <c r="L2114" s="348" t="s">
        <v>1205</v>
      </c>
      <c r="M2114" s="265" t="s">
        <v>3996</v>
      </c>
      <c r="N2114" s="347">
        <v>0.14499999999999999</v>
      </c>
      <c r="O2114" s="348" t="s">
        <v>1205</v>
      </c>
      <c r="P2114" s="348">
        <v>5.8</v>
      </c>
      <c r="Q2114" s="348">
        <v>0.53778425906250005</v>
      </c>
    </row>
    <row r="2115" spans="1:17" ht="15" hidden="1" customHeight="1">
      <c r="A2115" s="163">
        <v>2110</v>
      </c>
      <c r="B2115" s="53" t="s">
        <v>37</v>
      </c>
      <c r="C2115" s="53" t="s">
        <v>3997</v>
      </c>
      <c r="D2115" s="53">
        <v>100021776</v>
      </c>
      <c r="E2115" s="55" t="s">
        <v>3998</v>
      </c>
      <c r="F2115" s="129">
        <v>20</v>
      </c>
      <c r="G2115" s="129">
        <v>1600</v>
      </c>
      <c r="H2115" s="512">
        <v>10.3</v>
      </c>
      <c r="I2115" s="265" t="s">
        <v>76</v>
      </c>
      <c r="J2115" s="265" t="s">
        <v>102</v>
      </c>
      <c r="K2115" s="265" t="s">
        <v>3999</v>
      </c>
      <c r="L2115" s="348" t="s">
        <v>1205</v>
      </c>
      <c r="M2115" s="265" t="s">
        <v>4000</v>
      </c>
      <c r="N2115" s="347">
        <v>0.27</v>
      </c>
      <c r="O2115" s="348" t="s">
        <v>1205</v>
      </c>
      <c r="P2115" s="348">
        <v>5.4</v>
      </c>
      <c r="Q2115" s="348">
        <v>0.5271447753906251</v>
      </c>
    </row>
    <row r="2116" spans="1:17" ht="15" hidden="1" customHeight="1">
      <c r="A2116" s="163">
        <v>2111</v>
      </c>
      <c r="B2116" s="53" t="s">
        <v>37</v>
      </c>
      <c r="C2116" s="53" t="s">
        <v>4001</v>
      </c>
      <c r="D2116" s="53">
        <v>100021794</v>
      </c>
      <c r="E2116" s="55" t="s">
        <v>4002</v>
      </c>
      <c r="F2116" s="129">
        <v>10</v>
      </c>
      <c r="G2116" s="129">
        <v>960</v>
      </c>
      <c r="H2116" s="512">
        <v>15.75</v>
      </c>
      <c r="I2116" s="265" t="s">
        <v>76</v>
      </c>
      <c r="J2116" s="265" t="s">
        <v>102</v>
      </c>
      <c r="K2116" s="265" t="s">
        <v>4003</v>
      </c>
      <c r="L2116" s="348" t="s">
        <v>1205</v>
      </c>
      <c r="M2116" s="265" t="s">
        <v>4004</v>
      </c>
      <c r="N2116" s="347">
        <v>0.47450000000000003</v>
      </c>
      <c r="O2116" s="348" t="s">
        <v>1205</v>
      </c>
      <c r="P2116" s="348">
        <v>4.7450000000000001</v>
      </c>
      <c r="Q2116" s="348">
        <v>0.45638462890624998</v>
      </c>
    </row>
    <row r="2117" spans="1:17" ht="15" hidden="1" customHeight="1">
      <c r="A2117" s="163">
        <v>2112</v>
      </c>
      <c r="B2117" s="53" t="s">
        <v>37</v>
      </c>
      <c r="C2117" s="53" t="s">
        <v>4005</v>
      </c>
      <c r="D2117" s="53">
        <v>100022194</v>
      </c>
      <c r="E2117" s="55" t="s">
        <v>4006</v>
      </c>
      <c r="F2117" s="129">
        <v>10</v>
      </c>
      <c r="G2117" s="129">
        <v>320</v>
      </c>
      <c r="H2117" s="512">
        <v>38.46</v>
      </c>
      <c r="I2117" s="265" t="s">
        <v>1693</v>
      </c>
      <c r="J2117" s="265" t="s">
        <v>102</v>
      </c>
      <c r="K2117" s="265" t="s">
        <v>4007</v>
      </c>
      <c r="L2117" s="348" t="s">
        <v>1205</v>
      </c>
      <c r="M2117" s="265" t="s">
        <v>4008</v>
      </c>
      <c r="N2117" s="347">
        <v>1.27</v>
      </c>
      <c r="O2117" s="348" t="s">
        <v>1205</v>
      </c>
      <c r="P2117" s="348">
        <v>12.7</v>
      </c>
      <c r="Q2117" s="348">
        <v>1.2166341145833333</v>
      </c>
    </row>
    <row r="2118" spans="1:17" ht="15" hidden="1" customHeight="1">
      <c r="A2118" s="163">
        <v>2113</v>
      </c>
      <c r="B2118" s="53" t="s">
        <v>37</v>
      </c>
      <c r="C2118" s="53" t="s">
        <v>4009</v>
      </c>
      <c r="D2118" s="53">
        <v>100021771</v>
      </c>
      <c r="E2118" s="55" t="s">
        <v>4010</v>
      </c>
      <c r="F2118" s="129">
        <v>40</v>
      </c>
      <c r="G2118" s="129">
        <v>3000</v>
      </c>
      <c r="H2118" s="512">
        <v>9.3699999999999992</v>
      </c>
      <c r="I2118" s="265" t="s">
        <v>1351</v>
      </c>
      <c r="J2118" s="265" t="s">
        <v>102</v>
      </c>
      <c r="K2118" s="265" t="s">
        <v>4011</v>
      </c>
      <c r="L2118" s="348" t="s">
        <v>1205</v>
      </c>
      <c r="M2118" s="265" t="s">
        <v>4012</v>
      </c>
      <c r="N2118" s="347">
        <v>0.16499999999999998</v>
      </c>
      <c r="O2118" s="348" t="s">
        <v>1205</v>
      </c>
      <c r="P2118" s="348">
        <v>6.6</v>
      </c>
      <c r="Q2118" s="348">
        <v>0.53778425906250005</v>
      </c>
    </row>
    <row r="2119" spans="1:17" ht="15" hidden="1" customHeight="1">
      <c r="A2119" s="163">
        <v>2114</v>
      </c>
      <c r="B2119" s="53" t="s">
        <v>37</v>
      </c>
      <c r="C2119" s="53" t="s">
        <v>4013</v>
      </c>
      <c r="D2119" s="53">
        <v>100021777</v>
      </c>
      <c r="E2119" s="55" t="s">
        <v>4014</v>
      </c>
      <c r="F2119" s="129">
        <v>20</v>
      </c>
      <c r="G2119" s="129">
        <v>1600</v>
      </c>
      <c r="H2119" s="512">
        <v>10.3</v>
      </c>
      <c r="I2119" s="265" t="s">
        <v>1351</v>
      </c>
      <c r="J2119" s="265" t="s">
        <v>102</v>
      </c>
      <c r="K2119" s="265" t="s">
        <v>4015</v>
      </c>
      <c r="L2119" s="348" t="s">
        <v>1205</v>
      </c>
      <c r="M2119" s="265" t="s">
        <v>4016</v>
      </c>
      <c r="N2119" s="347">
        <v>0.26500000000000001</v>
      </c>
      <c r="O2119" s="348" t="s">
        <v>1205</v>
      </c>
      <c r="P2119" s="348">
        <v>5.3</v>
      </c>
      <c r="Q2119" s="348">
        <v>0.5271447753906251</v>
      </c>
    </row>
    <row r="2120" spans="1:17" ht="15" hidden="1" customHeight="1">
      <c r="A2120" s="163">
        <v>2115</v>
      </c>
      <c r="B2120" s="53" t="s">
        <v>37</v>
      </c>
      <c r="C2120" s="53" t="s">
        <v>4017</v>
      </c>
      <c r="D2120" s="53">
        <v>100021797</v>
      </c>
      <c r="E2120" s="55" t="s">
        <v>4018</v>
      </c>
      <c r="F2120" s="129">
        <v>10</v>
      </c>
      <c r="G2120" s="129">
        <v>960</v>
      </c>
      <c r="H2120" s="512">
        <v>15.75</v>
      </c>
      <c r="I2120" s="265" t="s">
        <v>1351</v>
      </c>
      <c r="J2120" s="265" t="s">
        <v>102</v>
      </c>
      <c r="K2120" s="265" t="s">
        <v>4019</v>
      </c>
      <c r="L2120" s="348" t="s">
        <v>1205</v>
      </c>
      <c r="M2120" s="265" t="s">
        <v>4020</v>
      </c>
      <c r="N2120" s="347">
        <v>0.48</v>
      </c>
      <c r="O2120" s="348" t="s">
        <v>1205</v>
      </c>
      <c r="P2120" s="348">
        <v>4.8</v>
      </c>
      <c r="Q2120" s="348">
        <v>0.45638462890624998</v>
      </c>
    </row>
    <row r="2121" spans="1:17" ht="15" hidden="1" customHeight="1">
      <c r="A2121" s="163">
        <v>2116</v>
      </c>
      <c r="B2121" s="53" t="s">
        <v>37</v>
      </c>
      <c r="C2121" s="53" t="s">
        <v>4021</v>
      </c>
      <c r="D2121" s="53">
        <v>100021798</v>
      </c>
      <c r="E2121" s="55" t="s">
        <v>4022</v>
      </c>
      <c r="F2121" s="129">
        <v>10</v>
      </c>
      <c r="G2121" s="129">
        <v>600</v>
      </c>
      <c r="H2121" s="512">
        <v>22.79</v>
      </c>
      <c r="I2121" s="265" t="s">
        <v>1693</v>
      </c>
      <c r="J2121" s="265" t="s">
        <v>102</v>
      </c>
      <c r="K2121" s="265" t="s">
        <v>4023</v>
      </c>
      <c r="L2121" s="348" t="s">
        <v>1205</v>
      </c>
      <c r="M2121" s="265" t="s">
        <v>4024</v>
      </c>
      <c r="N2121" s="347">
        <v>1.05</v>
      </c>
      <c r="O2121" s="348" t="s">
        <v>1205</v>
      </c>
      <c r="P2121" s="348">
        <v>10.5</v>
      </c>
      <c r="Q2121" s="348">
        <v>0.71</v>
      </c>
    </row>
    <row r="2122" spans="1:17" ht="15" hidden="1" customHeight="1">
      <c r="A2122" s="163">
        <v>2117</v>
      </c>
      <c r="B2122" s="53" t="s">
        <v>37</v>
      </c>
      <c r="C2122" s="53" t="s">
        <v>4025</v>
      </c>
      <c r="D2122" s="53">
        <v>100021801</v>
      </c>
      <c r="E2122" s="55" t="s">
        <v>4026</v>
      </c>
      <c r="F2122" s="129">
        <v>10</v>
      </c>
      <c r="G2122" s="129">
        <v>450</v>
      </c>
      <c r="H2122" s="512">
        <v>24.91</v>
      </c>
      <c r="I2122" s="265" t="s">
        <v>1351</v>
      </c>
      <c r="J2122" s="265" t="s">
        <v>102</v>
      </c>
      <c r="K2122" s="265" t="s">
        <v>4027</v>
      </c>
      <c r="L2122" s="348" t="s">
        <v>1205</v>
      </c>
      <c r="M2122" s="265" t="s">
        <v>4028</v>
      </c>
      <c r="N2122" s="347">
        <v>1.1400000000000001</v>
      </c>
      <c r="O2122" s="348" t="s">
        <v>1205</v>
      </c>
      <c r="P2122" s="348">
        <v>11.4</v>
      </c>
      <c r="Q2122" s="348">
        <v>0.90946283637152792</v>
      </c>
    </row>
    <row r="2123" spans="1:17" ht="15" hidden="1" customHeight="1">
      <c r="A2123" s="163">
        <v>2118</v>
      </c>
      <c r="B2123" s="53" t="s">
        <v>37</v>
      </c>
      <c r="C2123" s="53" t="s">
        <v>4029</v>
      </c>
      <c r="D2123" s="53">
        <v>100021818</v>
      </c>
      <c r="E2123" s="55" t="s">
        <v>4030</v>
      </c>
      <c r="F2123" s="129">
        <v>10</v>
      </c>
      <c r="G2123" s="129">
        <v>320</v>
      </c>
      <c r="H2123" s="512">
        <v>38.46</v>
      </c>
      <c r="I2123" s="265" t="s">
        <v>359</v>
      </c>
      <c r="J2123" s="265" t="s">
        <v>102</v>
      </c>
      <c r="K2123" s="265" t="s">
        <v>4031</v>
      </c>
      <c r="L2123" s="348" t="s">
        <v>1205</v>
      </c>
      <c r="M2123" s="265" t="s">
        <v>4032</v>
      </c>
      <c r="N2123" s="347">
        <v>1.27</v>
      </c>
      <c r="O2123" s="348" t="s">
        <v>1205</v>
      </c>
      <c r="P2123" s="348">
        <v>12.7</v>
      </c>
      <c r="Q2123" s="348">
        <v>1.2166341145833333</v>
      </c>
    </row>
    <row r="2124" spans="1:17" ht="15" hidden="1" customHeight="1">
      <c r="A2124" s="163">
        <v>2119</v>
      </c>
      <c r="B2124" s="53" t="s">
        <v>37</v>
      </c>
      <c r="C2124" s="53" t="s">
        <v>4033</v>
      </c>
      <c r="D2124" s="53">
        <v>100021813</v>
      </c>
      <c r="E2124" s="55" t="s">
        <v>4034</v>
      </c>
      <c r="F2124" s="129">
        <v>10</v>
      </c>
      <c r="G2124" s="129">
        <v>600</v>
      </c>
      <c r="H2124" s="512">
        <v>84.73</v>
      </c>
      <c r="I2124" s="265" t="s">
        <v>1351</v>
      </c>
      <c r="J2124" s="265" t="s">
        <v>102</v>
      </c>
      <c r="K2124" s="265" t="s">
        <v>4035</v>
      </c>
      <c r="L2124" s="348" t="s">
        <v>1205</v>
      </c>
      <c r="M2124" s="265" t="s">
        <v>4036</v>
      </c>
      <c r="N2124" s="347">
        <v>0.91500000000000004</v>
      </c>
      <c r="O2124" s="348" t="s">
        <v>1205</v>
      </c>
      <c r="P2124" s="348">
        <v>9.15</v>
      </c>
      <c r="Q2124" s="348">
        <v>0.69427490234375</v>
      </c>
    </row>
    <row r="2125" spans="1:17" ht="15" hidden="1" customHeight="1">
      <c r="A2125" s="163">
        <v>2120</v>
      </c>
      <c r="B2125" s="53" t="s">
        <v>37</v>
      </c>
      <c r="C2125" s="53" t="s">
        <v>4037</v>
      </c>
      <c r="D2125" s="53">
        <v>100021835</v>
      </c>
      <c r="E2125" s="55" t="s">
        <v>4038</v>
      </c>
      <c r="F2125" s="129">
        <v>10</v>
      </c>
      <c r="G2125" s="129">
        <v>480</v>
      </c>
      <c r="H2125" s="512">
        <v>125.77</v>
      </c>
      <c r="I2125" s="265" t="s">
        <v>76</v>
      </c>
      <c r="J2125" s="265" t="s">
        <v>102</v>
      </c>
      <c r="K2125" s="265" t="s">
        <v>4039</v>
      </c>
      <c r="L2125" s="348" t="s">
        <v>1205</v>
      </c>
      <c r="M2125" s="265" t="s">
        <v>4040</v>
      </c>
      <c r="N2125" s="347">
        <v>1.593</v>
      </c>
      <c r="O2125" s="348" t="s">
        <v>1205</v>
      </c>
      <c r="P2125" s="348">
        <v>15.93</v>
      </c>
      <c r="Q2125" s="348">
        <v>1.384593822337963</v>
      </c>
    </row>
    <row r="2126" spans="1:17" ht="15" hidden="1" customHeight="1">
      <c r="A2126" s="163">
        <v>2121</v>
      </c>
      <c r="B2126" s="53" t="s">
        <v>37</v>
      </c>
      <c r="C2126" s="53" t="s">
        <v>4041</v>
      </c>
      <c r="D2126" s="53">
        <v>100022195</v>
      </c>
      <c r="E2126" s="55" t="s">
        <v>4042</v>
      </c>
      <c r="F2126" s="129">
        <v>10</v>
      </c>
      <c r="G2126" s="129">
        <v>600</v>
      </c>
      <c r="H2126" s="512">
        <v>84.73</v>
      </c>
      <c r="I2126" s="265" t="s">
        <v>1693</v>
      </c>
      <c r="J2126" s="265" t="s">
        <v>102</v>
      </c>
      <c r="K2126" s="265" t="s">
        <v>4043</v>
      </c>
      <c r="L2126" s="348" t="s">
        <v>1205</v>
      </c>
      <c r="M2126" s="265" t="s">
        <v>4044</v>
      </c>
      <c r="N2126" s="347">
        <v>0.91500000000000004</v>
      </c>
      <c r="O2126" s="348" t="s">
        <v>1205</v>
      </c>
      <c r="P2126" s="348">
        <v>9.15</v>
      </c>
      <c r="Q2126" s="348">
        <v>0.69</v>
      </c>
    </row>
    <row r="2127" spans="1:17" ht="15" hidden="1" customHeight="1">
      <c r="A2127" s="163">
        <v>2122</v>
      </c>
      <c r="B2127" s="53" t="s">
        <v>37</v>
      </c>
      <c r="C2127" s="53" t="s">
        <v>4045</v>
      </c>
      <c r="D2127" s="53">
        <v>100021844</v>
      </c>
      <c r="E2127" s="55" t="s">
        <v>4046</v>
      </c>
      <c r="F2127" s="129">
        <v>10</v>
      </c>
      <c r="G2127" s="129">
        <v>480</v>
      </c>
      <c r="H2127" s="512">
        <v>125.77</v>
      </c>
      <c r="I2127" s="265" t="s">
        <v>1351</v>
      </c>
      <c r="J2127" s="265" t="s">
        <v>102</v>
      </c>
      <c r="K2127" s="265" t="s">
        <v>4047</v>
      </c>
      <c r="L2127" s="348" t="s">
        <v>1205</v>
      </c>
      <c r="M2127" s="265" t="s">
        <v>4048</v>
      </c>
      <c r="N2127" s="347">
        <v>1.6</v>
      </c>
      <c r="O2127" s="348" t="s">
        <v>1205</v>
      </c>
      <c r="P2127" s="348">
        <v>16</v>
      </c>
      <c r="Q2127" s="348">
        <v>1.1499999999999999</v>
      </c>
    </row>
    <row r="2128" spans="1:17" ht="15" hidden="1" customHeight="1">
      <c r="A2128" s="163">
        <v>2123</v>
      </c>
      <c r="B2128" s="53" t="s">
        <v>37</v>
      </c>
      <c r="C2128" s="53" t="s">
        <v>4049</v>
      </c>
      <c r="D2128" s="53">
        <v>100021814</v>
      </c>
      <c r="E2128" s="55" t="s">
        <v>4050</v>
      </c>
      <c r="F2128" s="129">
        <v>10</v>
      </c>
      <c r="G2128" s="129">
        <v>600</v>
      </c>
      <c r="H2128" s="512">
        <v>73.45</v>
      </c>
      <c r="I2128" s="265" t="s">
        <v>1351</v>
      </c>
      <c r="J2128" s="265" t="s">
        <v>102</v>
      </c>
      <c r="K2128" s="265" t="s">
        <v>4051</v>
      </c>
      <c r="L2128" s="348" t="s">
        <v>1205</v>
      </c>
      <c r="M2128" s="265" t="s">
        <v>4052</v>
      </c>
      <c r="N2128" s="347">
        <v>1.177</v>
      </c>
      <c r="O2128" s="348" t="s">
        <v>1205</v>
      </c>
      <c r="P2128" s="348">
        <v>11.77</v>
      </c>
      <c r="Q2128" s="348">
        <v>0.54762098524305558</v>
      </c>
    </row>
    <row r="2129" spans="1:17" ht="15" hidden="1" customHeight="1">
      <c r="A2129" s="163">
        <v>2124</v>
      </c>
      <c r="B2129" s="53" t="s">
        <v>37</v>
      </c>
      <c r="C2129" s="53" t="s">
        <v>4053</v>
      </c>
      <c r="D2129" s="53">
        <v>100021836</v>
      </c>
      <c r="E2129" s="55" t="s">
        <v>4054</v>
      </c>
      <c r="F2129" s="129">
        <v>10</v>
      </c>
      <c r="G2129" s="129">
        <v>480</v>
      </c>
      <c r="H2129" s="512">
        <v>106.87</v>
      </c>
      <c r="I2129" s="265" t="s">
        <v>76</v>
      </c>
      <c r="J2129" s="265" t="s">
        <v>102</v>
      </c>
      <c r="K2129" s="265" t="s">
        <v>4055</v>
      </c>
      <c r="L2129" s="348" t="s">
        <v>1205</v>
      </c>
      <c r="M2129" s="265" t="s">
        <v>4056</v>
      </c>
      <c r="N2129" s="347">
        <v>1.6320000000000001</v>
      </c>
      <c r="O2129" s="348" t="s">
        <v>1205</v>
      </c>
      <c r="P2129" s="348">
        <v>16.32</v>
      </c>
      <c r="Q2129" s="348">
        <v>0.98</v>
      </c>
    </row>
    <row r="2130" spans="1:17" ht="15" hidden="1" customHeight="1">
      <c r="A2130" s="163">
        <v>2125</v>
      </c>
      <c r="B2130" s="53" t="s">
        <v>37</v>
      </c>
      <c r="C2130" s="53" t="s">
        <v>4057</v>
      </c>
      <c r="D2130" s="53">
        <v>100021820</v>
      </c>
      <c r="E2130" s="55" t="s">
        <v>4058</v>
      </c>
      <c r="F2130" s="129">
        <v>10</v>
      </c>
      <c r="G2130" s="129">
        <v>600</v>
      </c>
      <c r="H2130" s="512">
        <v>73.45</v>
      </c>
      <c r="I2130" s="265" t="s">
        <v>1351</v>
      </c>
      <c r="J2130" s="265" t="s">
        <v>102</v>
      </c>
      <c r="K2130" s="265" t="s">
        <v>4059</v>
      </c>
      <c r="L2130" s="348" t="s">
        <v>1205</v>
      </c>
      <c r="M2130" s="265" t="s">
        <v>4060</v>
      </c>
      <c r="N2130" s="347">
        <v>1.0150000000000001</v>
      </c>
      <c r="O2130" s="348" t="s">
        <v>1205</v>
      </c>
      <c r="P2130" s="348">
        <v>10.15</v>
      </c>
      <c r="Q2130" s="348">
        <v>0.55000000000000004</v>
      </c>
    </row>
    <row r="2131" spans="1:17" ht="15" hidden="1" customHeight="1">
      <c r="A2131" s="163">
        <v>2126</v>
      </c>
      <c r="B2131" s="53" t="s">
        <v>37</v>
      </c>
      <c r="C2131" s="53" t="s">
        <v>4061</v>
      </c>
      <c r="D2131" s="53">
        <v>100021845</v>
      </c>
      <c r="E2131" s="55" t="s">
        <v>4062</v>
      </c>
      <c r="F2131" s="129">
        <v>10</v>
      </c>
      <c r="G2131" s="129">
        <v>480</v>
      </c>
      <c r="H2131" s="512">
        <v>106.87</v>
      </c>
      <c r="I2131" s="265" t="s">
        <v>76</v>
      </c>
      <c r="J2131" s="265" t="s">
        <v>102</v>
      </c>
      <c r="K2131" s="265" t="s">
        <v>4063</v>
      </c>
      <c r="L2131" s="348" t="s">
        <v>1205</v>
      </c>
      <c r="M2131" s="265" t="s">
        <v>4064</v>
      </c>
      <c r="N2131" s="347">
        <v>2.1</v>
      </c>
      <c r="O2131" s="348" t="s">
        <v>1205</v>
      </c>
      <c r="P2131" s="348">
        <v>21</v>
      </c>
      <c r="Q2131" s="348">
        <v>0.98</v>
      </c>
    </row>
    <row r="2132" spans="1:17" ht="15" hidden="1" customHeight="1">
      <c r="A2132" s="163">
        <v>2127</v>
      </c>
      <c r="B2132" s="53" t="s">
        <v>37</v>
      </c>
      <c r="C2132" s="53" t="s">
        <v>4065</v>
      </c>
      <c r="D2132" s="53">
        <v>100021849</v>
      </c>
      <c r="E2132" s="55" t="s">
        <v>4066</v>
      </c>
      <c r="F2132" s="129">
        <v>20</v>
      </c>
      <c r="G2132" s="129">
        <v>960</v>
      </c>
      <c r="H2132" s="512">
        <v>61.16</v>
      </c>
      <c r="I2132" s="265" t="s">
        <v>76</v>
      </c>
      <c r="J2132" s="265" t="s">
        <v>102</v>
      </c>
      <c r="K2132" s="265" t="s">
        <v>4067</v>
      </c>
      <c r="L2132" s="348" t="s">
        <v>1205</v>
      </c>
      <c r="M2132" s="265" t="s">
        <v>4068</v>
      </c>
      <c r="N2132" s="347">
        <v>0.27</v>
      </c>
      <c r="O2132" s="348" t="s">
        <v>1205</v>
      </c>
      <c r="P2132" s="348">
        <v>5.4</v>
      </c>
      <c r="Q2132" s="348">
        <v>0.84015005606192128</v>
      </c>
    </row>
    <row r="2133" spans="1:17" ht="15" hidden="1" customHeight="1">
      <c r="A2133" s="163">
        <v>2128</v>
      </c>
      <c r="B2133" s="53" t="s">
        <v>37</v>
      </c>
      <c r="C2133" s="53" t="s">
        <v>4069</v>
      </c>
      <c r="D2133" s="53">
        <v>100021847</v>
      </c>
      <c r="E2133" s="55" t="s">
        <v>4070</v>
      </c>
      <c r="F2133" s="129">
        <v>25</v>
      </c>
      <c r="G2133" s="129">
        <v>600</v>
      </c>
      <c r="H2133" s="512">
        <v>71.37</v>
      </c>
      <c r="I2133" s="265" t="s">
        <v>76</v>
      </c>
      <c r="J2133" s="265" t="s">
        <v>102</v>
      </c>
      <c r="K2133" s="265" t="s">
        <v>4071</v>
      </c>
      <c r="L2133" s="348" t="s">
        <v>1205</v>
      </c>
      <c r="M2133" s="265" t="s">
        <v>4072</v>
      </c>
      <c r="N2133" s="347">
        <v>0.65</v>
      </c>
      <c r="O2133" s="348" t="s">
        <v>1205</v>
      </c>
      <c r="P2133" s="348">
        <v>16.25</v>
      </c>
      <c r="Q2133" s="348">
        <v>2.11</v>
      </c>
    </row>
    <row r="2134" spans="1:17" ht="15" hidden="1" customHeight="1">
      <c r="A2134" s="163">
        <v>2129</v>
      </c>
      <c r="B2134" s="53" t="s">
        <v>37</v>
      </c>
      <c r="C2134" s="53" t="s">
        <v>4073</v>
      </c>
      <c r="D2134" s="53">
        <v>100021848</v>
      </c>
      <c r="E2134" s="55" t="s">
        <v>4074</v>
      </c>
      <c r="F2134" s="129">
        <v>20</v>
      </c>
      <c r="G2134" s="129">
        <v>480</v>
      </c>
      <c r="H2134" s="512">
        <v>84.46</v>
      </c>
      <c r="I2134" s="265" t="s">
        <v>76</v>
      </c>
      <c r="J2134" s="265" t="s">
        <v>102</v>
      </c>
      <c r="K2134" s="265" t="s">
        <v>4075</v>
      </c>
      <c r="L2134" s="348" t="s">
        <v>1205</v>
      </c>
      <c r="M2134" s="265" t="s">
        <v>4076</v>
      </c>
      <c r="N2134" s="347">
        <v>0.72</v>
      </c>
      <c r="O2134" s="348" t="s">
        <v>1205</v>
      </c>
      <c r="P2134" s="348">
        <v>14.4</v>
      </c>
      <c r="Q2134" s="348">
        <v>2.44</v>
      </c>
    </row>
    <row r="2135" spans="1:17" ht="15" hidden="1" customHeight="1">
      <c r="A2135" s="163">
        <v>2130</v>
      </c>
      <c r="B2135" s="53" t="s">
        <v>37</v>
      </c>
      <c r="C2135" s="53" t="s">
        <v>4077</v>
      </c>
      <c r="D2135" s="53">
        <v>100022196</v>
      </c>
      <c r="E2135" s="55" t="s">
        <v>4078</v>
      </c>
      <c r="F2135" s="129">
        <v>1</v>
      </c>
      <c r="G2135" s="129" t="s">
        <v>2803</v>
      </c>
      <c r="H2135" s="512">
        <v>13.44</v>
      </c>
      <c r="I2135" s="265" t="s">
        <v>1693</v>
      </c>
      <c r="J2135" s="265" t="s">
        <v>102</v>
      </c>
      <c r="K2135" s="265" t="s">
        <v>4079</v>
      </c>
      <c r="L2135" s="348" t="s">
        <v>1205</v>
      </c>
      <c r="M2135" s="265">
        <v>0</v>
      </c>
      <c r="N2135" s="347">
        <v>6.6000000000000003E-2</v>
      </c>
      <c r="O2135" s="348" t="s">
        <v>1205</v>
      </c>
      <c r="P2135" s="348">
        <v>6.6000000000000003E-2</v>
      </c>
      <c r="Q2135" s="348" t="s">
        <v>1205</v>
      </c>
    </row>
    <row r="2136" spans="1:17" ht="15" hidden="1" customHeight="1">
      <c r="A2136" s="163">
        <v>2131</v>
      </c>
      <c r="B2136" s="53" t="s">
        <v>37</v>
      </c>
      <c r="C2136" s="53" t="s">
        <v>4080</v>
      </c>
      <c r="D2136" s="53">
        <v>100021851</v>
      </c>
      <c r="E2136" s="55" t="s">
        <v>4081</v>
      </c>
      <c r="F2136" s="129">
        <v>20</v>
      </c>
      <c r="G2136" s="129">
        <v>360</v>
      </c>
      <c r="H2136" s="512">
        <v>13.73</v>
      </c>
      <c r="I2136" s="265" t="s">
        <v>76</v>
      </c>
      <c r="J2136" s="265" t="s">
        <v>102</v>
      </c>
      <c r="K2136" s="265" t="s">
        <v>4082</v>
      </c>
      <c r="L2136" s="348" t="s">
        <v>1205</v>
      </c>
      <c r="M2136" s="265" t="s">
        <v>4083</v>
      </c>
      <c r="N2136" s="347">
        <v>0.67500000000000004</v>
      </c>
      <c r="O2136" s="348" t="s">
        <v>1205</v>
      </c>
      <c r="P2136" s="348">
        <v>13.5</v>
      </c>
      <c r="Q2136" s="348">
        <v>1.4700234374999999</v>
      </c>
    </row>
    <row r="2137" spans="1:17" ht="15" hidden="1" customHeight="1">
      <c r="A2137" s="163">
        <v>2132</v>
      </c>
      <c r="B2137" s="53" t="s">
        <v>37</v>
      </c>
      <c r="C2137" s="53" t="s">
        <v>4084</v>
      </c>
      <c r="D2137" s="53">
        <v>100021853</v>
      </c>
      <c r="E2137" s="55" t="s">
        <v>4085</v>
      </c>
      <c r="F2137" s="129">
        <v>20</v>
      </c>
      <c r="G2137" s="129">
        <v>360</v>
      </c>
      <c r="H2137" s="512">
        <v>16.440000000000001</v>
      </c>
      <c r="I2137" s="265" t="s">
        <v>76</v>
      </c>
      <c r="J2137" s="265" t="s">
        <v>102</v>
      </c>
      <c r="K2137" s="265" t="s">
        <v>4086</v>
      </c>
      <c r="L2137" s="348" t="s">
        <v>1205</v>
      </c>
      <c r="M2137" s="265" t="s">
        <v>4087</v>
      </c>
      <c r="N2137" s="347">
        <v>0.69500000000000006</v>
      </c>
      <c r="O2137" s="348" t="s">
        <v>1205</v>
      </c>
      <c r="P2137" s="348">
        <v>13.9</v>
      </c>
      <c r="Q2137" s="348">
        <v>2.44</v>
      </c>
    </row>
    <row r="2138" spans="1:17" ht="15" hidden="1" customHeight="1">
      <c r="A2138" s="163">
        <v>2133</v>
      </c>
      <c r="B2138" s="53" t="s">
        <v>37</v>
      </c>
      <c r="C2138" s="53" t="s">
        <v>4088</v>
      </c>
      <c r="D2138" s="53">
        <v>100021855</v>
      </c>
      <c r="E2138" s="55" t="s">
        <v>4089</v>
      </c>
      <c r="F2138" s="129">
        <v>20</v>
      </c>
      <c r="G2138" s="129">
        <v>1800</v>
      </c>
      <c r="H2138" s="512">
        <v>10.96</v>
      </c>
      <c r="I2138" s="265" t="s">
        <v>76</v>
      </c>
      <c r="J2138" s="265" t="s">
        <v>102</v>
      </c>
      <c r="K2138" s="265" t="s">
        <v>4090</v>
      </c>
      <c r="L2138" s="348" t="s">
        <v>1205</v>
      </c>
      <c r="M2138" s="265" t="s">
        <v>4091</v>
      </c>
      <c r="N2138" s="347">
        <v>0.31</v>
      </c>
      <c r="O2138" s="348" t="s">
        <v>1205</v>
      </c>
      <c r="P2138" s="348">
        <v>6.2</v>
      </c>
      <c r="Q2138" s="348">
        <v>0.51141357421875</v>
      </c>
    </row>
    <row r="2139" spans="1:17" ht="15" hidden="1" customHeight="1">
      <c r="A2139" s="163">
        <v>2134</v>
      </c>
      <c r="B2139" s="53" t="s">
        <v>38</v>
      </c>
      <c r="C2139" s="53">
        <v>4103</v>
      </c>
      <c r="D2139" s="53">
        <v>100026588</v>
      </c>
      <c r="E2139" s="55" t="s">
        <v>4098</v>
      </c>
      <c r="F2139" s="129">
        <v>150</v>
      </c>
      <c r="G2139" s="129">
        <v>40500</v>
      </c>
      <c r="H2139" s="512">
        <v>1.97</v>
      </c>
      <c r="I2139" s="265" t="s">
        <v>359</v>
      </c>
      <c r="J2139" s="265" t="s">
        <v>77</v>
      </c>
      <c r="K2139" s="265" t="s">
        <v>4103</v>
      </c>
      <c r="L2139" s="265" t="s">
        <v>4104</v>
      </c>
      <c r="M2139" s="265" t="s">
        <v>4105</v>
      </c>
      <c r="N2139" s="347">
        <v>1.6E-2</v>
      </c>
      <c r="O2139" s="348">
        <v>25</v>
      </c>
      <c r="P2139" s="348">
        <v>2.46</v>
      </c>
      <c r="Q2139" s="348">
        <v>0.31</v>
      </c>
    </row>
    <row r="2140" spans="1:17" ht="15" hidden="1" customHeight="1">
      <c r="A2140" s="163">
        <v>2135</v>
      </c>
      <c r="B2140" s="53" t="s">
        <v>38</v>
      </c>
      <c r="C2140" s="53">
        <v>4111</v>
      </c>
      <c r="D2140" s="53">
        <v>100026596</v>
      </c>
      <c r="E2140" s="55" t="s">
        <v>4106</v>
      </c>
      <c r="F2140" s="129">
        <v>100</v>
      </c>
      <c r="G2140" s="129">
        <v>27000</v>
      </c>
      <c r="H2140" s="512">
        <v>2.99</v>
      </c>
      <c r="I2140" s="265" t="s">
        <v>76</v>
      </c>
      <c r="J2140" s="265" t="s">
        <v>102</v>
      </c>
      <c r="K2140" s="265" t="s">
        <v>4108</v>
      </c>
      <c r="L2140" s="348" t="s">
        <v>1205</v>
      </c>
      <c r="M2140" s="265" t="s">
        <v>4109</v>
      </c>
      <c r="N2140" s="347">
        <v>0.04</v>
      </c>
      <c r="O2140" s="348" t="s">
        <v>1205</v>
      </c>
      <c r="P2140" s="348">
        <v>3.95</v>
      </c>
      <c r="Q2140" s="348">
        <v>0.31</v>
      </c>
    </row>
    <row r="2141" spans="1:17" ht="15" hidden="1" customHeight="1">
      <c r="A2141" s="163">
        <v>2136</v>
      </c>
      <c r="B2141" s="53" t="s">
        <v>38</v>
      </c>
      <c r="C2141" s="53">
        <v>8100</v>
      </c>
      <c r="D2141" s="53">
        <v>100026627</v>
      </c>
      <c r="E2141" s="55" t="s">
        <v>4111</v>
      </c>
      <c r="F2141" s="129">
        <v>250</v>
      </c>
      <c r="G2141" s="129">
        <v>67500</v>
      </c>
      <c r="H2141" s="512">
        <v>1.1100000000000001</v>
      </c>
      <c r="I2141" s="265" t="s">
        <v>76</v>
      </c>
      <c r="J2141" s="265" t="s">
        <v>102</v>
      </c>
      <c r="K2141" s="265" t="s">
        <v>4114</v>
      </c>
      <c r="L2141" s="265" t="s">
        <v>4115</v>
      </c>
      <c r="M2141" s="265" t="s">
        <v>4116</v>
      </c>
      <c r="N2141" s="347">
        <v>1.4E-2</v>
      </c>
      <c r="O2141" s="348">
        <v>25</v>
      </c>
      <c r="P2141" s="348">
        <v>4.24</v>
      </c>
      <c r="Q2141" s="348">
        <v>0.31</v>
      </c>
    </row>
    <row r="2142" spans="1:17" ht="15" hidden="1" customHeight="1">
      <c r="A2142" s="163">
        <v>2137</v>
      </c>
      <c r="B2142" s="53" t="s">
        <v>38</v>
      </c>
      <c r="C2142" s="53">
        <v>8103</v>
      </c>
      <c r="D2142" s="53">
        <v>100026629</v>
      </c>
      <c r="E2142" s="55" t="s">
        <v>4117</v>
      </c>
      <c r="F2142" s="129">
        <v>200</v>
      </c>
      <c r="G2142" s="129">
        <v>54000</v>
      </c>
      <c r="H2142" s="512">
        <v>1.1100000000000001</v>
      </c>
      <c r="I2142" s="265" t="s">
        <v>76</v>
      </c>
      <c r="J2142" s="265" t="s">
        <v>102</v>
      </c>
      <c r="K2142" s="265" t="s">
        <v>4118</v>
      </c>
      <c r="L2142" s="265" t="s">
        <v>4119</v>
      </c>
      <c r="M2142" s="265" t="s">
        <v>4120</v>
      </c>
      <c r="N2142" s="347">
        <v>3.1E-2</v>
      </c>
      <c r="O2142" s="348">
        <v>25</v>
      </c>
      <c r="P2142" s="348">
        <v>6.2</v>
      </c>
      <c r="Q2142" s="348">
        <v>0.31</v>
      </c>
    </row>
    <row r="2143" spans="1:17" ht="15" hidden="1" customHeight="1">
      <c r="A2143" s="163">
        <v>2138</v>
      </c>
      <c r="B2143" s="53" t="s">
        <v>38</v>
      </c>
      <c r="C2143" s="53">
        <v>8104</v>
      </c>
      <c r="D2143" s="53">
        <v>100026630</v>
      </c>
      <c r="E2143" s="55" t="s">
        <v>4121</v>
      </c>
      <c r="F2143" s="129">
        <v>125</v>
      </c>
      <c r="G2143" s="129">
        <v>33750</v>
      </c>
      <c r="H2143" s="512">
        <v>1.32</v>
      </c>
      <c r="I2143" s="265" t="s">
        <v>76</v>
      </c>
      <c r="J2143" s="265" t="s">
        <v>102</v>
      </c>
      <c r="K2143" s="265" t="s">
        <v>4123</v>
      </c>
      <c r="L2143" s="265" t="s">
        <v>4124</v>
      </c>
      <c r="M2143" s="265" t="s">
        <v>4125</v>
      </c>
      <c r="N2143" s="347">
        <v>3.5999999999999997E-2</v>
      </c>
      <c r="O2143" s="348">
        <v>25</v>
      </c>
      <c r="P2143" s="348">
        <v>5.07</v>
      </c>
      <c r="Q2143" s="348">
        <v>0.31</v>
      </c>
    </row>
    <row r="2144" spans="1:17" ht="15" hidden="1" customHeight="1">
      <c r="A2144" s="163">
        <v>2139</v>
      </c>
      <c r="B2144" s="53" t="s">
        <v>38</v>
      </c>
      <c r="C2144" s="53">
        <v>8105</v>
      </c>
      <c r="D2144" s="53">
        <v>100026631</v>
      </c>
      <c r="E2144" s="55" t="s">
        <v>4126</v>
      </c>
      <c r="F2144" s="129">
        <v>125</v>
      </c>
      <c r="G2144" s="129">
        <v>33750</v>
      </c>
      <c r="H2144" s="512">
        <v>1.32</v>
      </c>
      <c r="I2144" s="265" t="s">
        <v>76</v>
      </c>
      <c r="J2144" s="265" t="s">
        <v>102</v>
      </c>
      <c r="K2144" s="265" t="s">
        <v>4128</v>
      </c>
      <c r="L2144" s="265">
        <v>0</v>
      </c>
      <c r="M2144" s="265" t="s">
        <v>4129</v>
      </c>
      <c r="N2144" s="347">
        <v>4.2999999999999997E-2</v>
      </c>
      <c r="O2144" s="348">
        <v>25</v>
      </c>
      <c r="P2144" s="348">
        <v>6.09</v>
      </c>
      <c r="Q2144" s="348">
        <v>0.31</v>
      </c>
    </row>
    <row r="2145" spans="1:17" ht="15" hidden="1" customHeight="1">
      <c r="A2145" s="163">
        <v>2140</v>
      </c>
      <c r="B2145" s="53" t="s">
        <v>38</v>
      </c>
      <c r="C2145" s="53">
        <v>8106</v>
      </c>
      <c r="D2145" s="53">
        <v>100026632</v>
      </c>
      <c r="E2145" s="55" t="s">
        <v>4130</v>
      </c>
      <c r="F2145" s="129">
        <v>125</v>
      </c>
      <c r="G2145" s="129">
        <v>33750</v>
      </c>
      <c r="H2145" s="512">
        <v>1.52</v>
      </c>
      <c r="I2145" s="265" t="s">
        <v>359</v>
      </c>
      <c r="J2145" s="265" t="s">
        <v>102</v>
      </c>
      <c r="K2145" s="265" t="s">
        <v>4132</v>
      </c>
      <c r="L2145" s="265">
        <v>0</v>
      </c>
      <c r="M2145" s="265" t="s">
        <v>4133</v>
      </c>
      <c r="N2145" s="347">
        <v>5.6000000000000001E-2</v>
      </c>
      <c r="O2145" s="348">
        <v>25</v>
      </c>
      <c r="P2145" s="348">
        <v>6.97</v>
      </c>
      <c r="Q2145" s="348">
        <v>0.31</v>
      </c>
    </row>
    <row r="2146" spans="1:17" ht="15" hidden="1" customHeight="1">
      <c r="A2146" s="163">
        <v>2141</v>
      </c>
      <c r="B2146" s="53" t="s">
        <v>38</v>
      </c>
      <c r="C2146" s="53">
        <v>8109</v>
      </c>
      <c r="D2146" s="53">
        <v>100026635</v>
      </c>
      <c r="E2146" s="55" t="s">
        <v>4134</v>
      </c>
      <c r="F2146" s="129">
        <v>125</v>
      </c>
      <c r="G2146" s="129">
        <v>33750</v>
      </c>
      <c r="H2146" s="512">
        <v>1.61</v>
      </c>
      <c r="I2146" s="265" t="s">
        <v>359</v>
      </c>
      <c r="J2146" s="265" t="s">
        <v>77</v>
      </c>
      <c r="K2146" s="265" t="s">
        <v>4136</v>
      </c>
      <c r="L2146" s="348" t="s">
        <v>1205</v>
      </c>
      <c r="M2146" s="265" t="s">
        <v>4137</v>
      </c>
      <c r="N2146" s="347">
        <v>0.08</v>
      </c>
      <c r="O2146" s="348" t="s">
        <v>1205</v>
      </c>
      <c r="P2146" s="348">
        <v>10.08</v>
      </c>
      <c r="Q2146" s="348">
        <v>0.31</v>
      </c>
    </row>
    <row r="2147" spans="1:17" ht="15" hidden="1" customHeight="1">
      <c r="A2147" s="163">
        <v>2142</v>
      </c>
      <c r="B2147" s="53" t="s">
        <v>38</v>
      </c>
      <c r="C2147" s="53">
        <v>8111</v>
      </c>
      <c r="D2147" s="53">
        <v>100026637</v>
      </c>
      <c r="E2147" s="55" t="s">
        <v>4138</v>
      </c>
      <c r="F2147" s="129">
        <v>100</v>
      </c>
      <c r="G2147" s="129">
        <v>15000</v>
      </c>
      <c r="H2147" s="512">
        <v>1.86</v>
      </c>
      <c r="I2147" s="265" t="s">
        <v>76</v>
      </c>
      <c r="J2147" s="265" t="s">
        <v>102</v>
      </c>
      <c r="K2147" s="265" t="s">
        <v>4140</v>
      </c>
      <c r="L2147" s="265">
        <v>0</v>
      </c>
      <c r="M2147" s="265" t="s">
        <v>4141</v>
      </c>
      <c r="N2147" s="347">
        <v>9.9000000000000005E-2</v>
      </c>
      <c r="O2147" s="348">
        <v>20</v>
      </c>
      <c r="P2147" s="348">
        <v>9.9600000000000009</v>
      </c>
      <c r="Q2147" s="348">
        <v>0.5</v>
      </c>
    </row>
    <row r="2148" spans="1:17" ht="15" hidden="1" customHeight="1">
      <c r="A2148" s="163">
        <v>2143</v>
      </c>
      <c r="B2148" s="53" t="s">
        <v>38</v>
      </c>
      <c r="C2148" s="53">
        <v>8115</v>
      </c>
      <c r="D2148" s="53">
        <v>100026641</v>
      </c>
      <c r="E2148" s="55" t="s">
        <v>4142</v>
      </c>
      <c r="F2148" s="129">
        <v>50</v>
      </c>
      <c r="G2148" s="129" t="s">
        <v>2803</v>
      </c>
      <c r="H2148" s="512">
        <v>3.59</v>
      </c>
      <c r="I2148" s="265" t="s">
        <v>76</v>
      </c>
      <c r="J2148" s="265" t="s">
        <v>102</v>
      </c>
      <c r="K2148" s="265" t="s">
        <v>4144</v>
      </c>
      <c r="L2148" s="348" t="s">
        <v>1205</v>
      </c>
      <c r="M2148" s="265" t="s">
        <v>4145</v>
      </c>
      <c r="N2148" s="347">
        <v>0.127</v>
      </c>
      <c r="O2148" s="348" t="s">
        <v>1205</v>
      </c>
      <c r="P2148" s="348">
        <v>6.2</v>
      </c>
      <c r="Q2148" s="348" t="s">
        <v>1205</v>
      </c>
    </row>
    <row r="2149" spans="1:17" ht="15" hidden="1" customHeight="1">
      <c r="A2149" s="163">
        <v>2144</v>
      </c>
      <c r="B2149" s="53" t="s">
        <v>38</v>
      </c>
      <c r="C2149" s="53">
        <v>8131</v>
      </c>
      <c r="D2149" s="53">
        <v>100026645</v>
      </c>
      <c r="E2149" s="55" t="s">
        <v>4146</v>
      </c>
      <c r="F2149" s="129">
        <v>50</v>
      </c>
      <c r="G2149" s="129">
        <v>7500</v>
      </c>
      <c r="H2149" s="512">
        <v>6.09</v>
      </c>
      <c r="I2149" s="265" t="s">
        <v>359</v>
      </c>
      <c r="J2149" s="265" t="s">
        <v>77</v>
      </c>
      <c r="K2149" s="265" t="s">
        <v>4148</v>
      </c>
      <c r="L2149" s="348" t="s">
        <v>1205</v>
      </c>
      <c r="M2149" s="265" t="s">
        <v>4149</v>
      </c>
      <c r="N2149" s="347">
        <v>0.24199999999999999</v>
      </c>
      <c r="O2149" s="348" t="s">
        <v>1205</v>
      </c>
      <c r="P2149" s="348">
        <v>12.1</v>
      </c>
      <c r="Q2149" s="348">
        <v>0.5</v>
      </c>
    </row>
    <row r="2150" spans="1:17" ht="15" hidden="1" customHeight="1">
      <c r="A2150" s="163">
        <v>2145</v>
      </c>
      <c r="B2150" s="53" t="s">
        <v>38</v>
      </c>
      <c r="C2150" s="53">
        <v>8135</v>
      </c>
      <c r="D2150" s="53">
        <v>100026646</v>
      </c>
      <c r="E2150" s="55" t="s">
        <v>4150</v>
      </c>
      <c r="F2150" s="129">
        <v>50</v>
      </c>
      <c r="G2150" s="129" t="s">
        <v>2803</v>
      </c>
      <c r="H2150" s="512">
        <v>6.58</v>
      </c>
      <c r="I2150" s="265" t="s">
        <v>359</v>
      </c>
      <c r="J2150" s="265" t="s">
        <v>77</v>
      </c>
      <c r="K2150" s="265" t="s">
        <v>4152</v>
      </c>
      <c r="L2150" s="348" t="s">
        <v>1205</v>
      </c>
      <c r="M2150" s="265" t="s">
        <v>4153</v>
      </c>
      <c r="N2150" s="347">
        <v>0.28999999999999998</v>
      </c>
      <c r="O2150" s="348" t="s">
        <v>1205</v>
      </c>
      <c r="P2150" s="348">
        <v>14.5</v>
      </c>
      <c r="Q2150" s="348" t="s">
        <v>1205</v>
      </c>
    </row>
    <row r="2151" spans="1:17" ht="15" hidden="1" customHeight="1">
      <c r="A2151" s="163">
        <v>2146</v>
      </c>
      <c r="B2151" s="53" t="s">
        <v>38</v>
      </c>
      <c r="C2151" s="53">
        <v>8146</v>
      </c>
      <c r="D2151" s="53">
        <v>100026648</v>
      </c>
      <c r="E2151" s="55" t="s">
        <v>4154</v>
      </c>
      <c r="F2151" s="129">
        <v>50</v>
      </c>
      <c r="G2151" s="129" t="s">
        <v>2803</v>
      </c>
      <c r="H2151" s="512">
        <v>8.0500000000000007</v>
      </c>
      <c r="I2151" s="265" t="s">
        <v>359</v>
      </c>
      <c r="J2151" s="265" t="s">
        <v>77</v>
      </c>
      <c r="K2151" s="265" t="s">
        <v>4156</v>
      </c>
      <c r="L2151" s="348" t="s">
        <v>1205</v>
      </c>
      <c r="M2151" s="265" t="s">
        <v>4157</v>
      </c>
      <c r="N2151" s="347">
        <v>0.378</v>
      </c>
      <c r="O2151" s="348" t="s">
        <v>1205</v>
      </c>
      <c r="P2151" s="348">
        <v>18.899999999999999</v>
      </c>
      <c r="Q2151" s="348" t="s">
        <v>1205</v>
      </c>
    </row>
    <row r="2152" spans="1:17" ht="15" hidden="1" customHeight="1">
      <c r="A2152" s="163">
        <v>2147</v>
      </c>
      <c r="B2152" s="53" t="s">
        <v>38</v>
      </c>
      <c r="C2152" s="53">
        <v>8150</v>
      </c>
      <c r="D2152" s="53">
        <v>100026650</v>
      </c>
      <c r="E2152" s="55" t="s">
        <v>4158</v>
      </c>
      <c r="F2152" s="129">
        <v>50</v>
      </c>
      <c r="G2152" s="129" t="s">
        <v>2803</v>
      </c>
      <c r="H2152" s="512">
        <v>9.8699999999999992</v>
      </c>
      <c r="I2152" s="265" t="s">
        <v>359</v>
      </c>
      <c r="J2152" s="265" t="s">
        <v>77</v>
      </c>
      <c r="K2152" s="265" t="s">
        <v>4160</v>
      </c>
      <c r="L2152" s="348" t="s">
        <v>1205</v>
      </c>
      <c r="M2152" s="265" t="s">
        <v>4161</v>
      </c>
      <c r="N2152" s="347">
        <v>0.45200000000000001</v>
      </c>
      <c r="O2152" s="348" t="s">
        <v>1205</v>
      </c>
      <c r="P2152" s="348">
        <v>22.62</v>
      </c>
      <c r="Q2152" s="348" t="s">
        <v>1205</v>
      </c>
    </row>
    <row r="2153" spans="1:17" ht="15" hidden="1" customHeight="1">
      <c r="A2153" s="163">
        <v>2148</v>
      </c>
      <c r="B2153" s="53" t="s">
        <v>38</v>
      </c>
      <c r="C2153" s="53">
        <v>8154</v>
      </c>
      <c r="D2153" s="53">
        <v>100026651</v>
      </c>
      <c r="E2153" s="55" t="s">
        <v>4162</v>
      </c>
      <c r="F2153" s="129">
        <v>50</v>
      </c>
      <c r="G2153" s="129" t="s">
        <v>2803</v>
      </c>
      <c r="H2153" s="512">
        <v>11.32</v>
      </c>
      <c r="I2153" s="265" t="s">
        <v>359</v>
      </c>
      <c r="J2153" s="265" t="s">
        <v>77</v>
      </c>
      <c r="K2153" s="265" t="s">
        <v>4164</v>
      </c>
      <c r="L2153" s="348" t="s">
        <v>1205</v>
      </c>
      <c r="M2153" s="265" t="s">
        <v>4165</v>
      </c>
      <c r="N2153" s="347">
        <v>0.56399999999999995</v>
      </c>
      <c r="O2153" s="348" t="s">
        <v>1205</v>
      </c>
      <c r="P2153" s="348">
        <v>28.18</v>
      </c>
      <c r="Q2153" s="348" t="s">
        <v>1205</v>
      </c>
    </row>
    <row r="2154" spans="1:17" ht="15" hidden="1" customHeight="1">
      <c r="A2154" s="163">
        <v>2149</v>
      </c>
      <c r="B2154" s="53" t="s">
        <v>38</v>
      </c>
      <c r="C2154" s="53">
        <v>8158</v>
      </c>
      <c r="D2154" s="53">
        <v>100026654</v>
      </c>
      <c r="E2154" s="55" t="s">
        <v>4166</v>
      </c>
      <c r="F2154" s="129">
        <v>50</v>
      </c>
      <c r="G2154" s="129" t="s">
        <v>2803</v>
      </c>
      <c r="H2154" s="512">
        <v>14.31</v>
      </c>
      <c r="I2154" s="265" t="s">
        <v>359</v>
      </c>
      <c r="J2154" s="265" t="s">
        <v>77</v>
      </c>
      <c r="K2154" s="265" t="s">
        <v>4168</v>
      </c>
      <c r="L2154" s="348" t="s">
        <v>1205</v>
      </c>
      <c r="M2154" s="265" t="s">
        <v>4169</v>
      </c>
      <c r="N2154" s="347">
        <v>0.74199999999999999</v>
      </c>
      <c r="O2154" s="348" t="s">
        <v>1205</v>
      </c>
      <c r="P2154" s="348">
        <v>37.08</v>
      </c>
      <c r="Q2154" s="348" t="s">
        <v>1205</v>
      </c>
    </row>
    <row r="2155" spans="1:17" ht="15" hidden="1" customHeight="1">
      <c r="A2155" s="163">
        <v>2150</v>
      </c>
      <c r="B2155" s="53" t="s">
        <v>38</v>
      </c>
      <c r="C2155" s="53">
        <v>8200</v>
      </c>
      <c r="D2155" s="53">
        <v>100026656</v>
      </c>
      <c r="E2155" s="55" t="s">
        <v>4170</v>
      </c>
      <c r="F2155" s="129">
        <v>125</v>
      </c>
      <c r="G2155" s="129">
        <v>33750</v>
      </c>
      <c r="H2155" s="512">
        <v>1.1100000000000001</v>
      </c>
      <c r="I2155" s="265" t="s">
        <v>76</v>
      </c>
      <c r="J2155" s="265" t="s">
        <v>102</v>
      </c>
      <c r="K2155" s="265" t="s">
        <v>4171</v>
      </c>
      <c r="L2155" s="265" t="s">
        <v>4172</v>
      </c>
      <c r="M2155" s="265" t="s">
        <v>4173</v>
      </c>
      <c r="N2155" s="347">
        <v>0.02</v>
      </c>
      <c r="O2155" s="348">
        <v>25</v>
      </c>
      <c r="P2155" s="348">
        <v>3.1</v>
      </c>
      <c r="Q2155" s="348">
        <v>0.31</v>
      </c>
    </row>
    <row r="2156" spans="1:17" ht="15" hidden="1" customHeight="1">
      <c r="A2156" s="163">
        <v>2151</v>
      </c>
      <c r="B2156" s="53" t="s">
        <v>38</v>
      </c>
      <c r="C2156" s="53">
        <v>8203</v>
      </c>
      <c r="D2156" s="53">
        <v>100026657</v>
      </c>
      <c r="E2156" s="55" t="s">
        <v>4174</v>
      </c>
      <c r="F2156" s="129">
        <v>125</v>
      </c>
      <c r="G2156" s="129">
        <v>33750</v>
      </c>
      <c r="H2156" s="512">
        <v>1.1100000000000001</v>
      </c>
      <c r="I2156" s="265" t="s">
        <v>76</v>
      </c>
      <c r="J2156" s="265" t="s">
        <v>102</v>
      </c>
      <c r="K2156" s="265" t="s">
        <v>4175</v>
      </c>
      <c r="L2156" s="265" t="s">
        <v>4176</v>
      </c>
      <c r="M2156" s="265" t="s">
        <v>4177</v>
      </c>
      <c r="N2156" s="347">
        <v>4.2000000000000003E-2</v>
      </c>
      <c r="O2156" s="348">
        <v>25</v>
      </c>
      <c r="P2156" s="348">
        <v>5.29</v>
      </c>
      <c r="Q2156" s="348">
        <v>0.31</v>
      </c>
    </row>
    <row r="2157" spans="1:17" ht="15" hidden="1" customHeight="1">
      <c r="A2157" s="163">
        <v>2152</v>
      </c>
      <c r="B2157" s="53" t="s">
        <v>38</v>
      </c>
      <c r="C2157" s="53">
        <v>8205</v>
      </c>
      <c r="D2157" s="53">
        <v>100026659</v>
      </c>
      <c r="E2157" s="55" t="s">
        <v>4178</v>
      </c>
      <c r="F2157" s="129">
        <v>100</v>
      </c>
      <c r="G2157" s="129">
        <v>15000</v>
      </c>
      <c r="H2157" s="512">
        <v>1.32</v>
      </c>
      <c r="I2157" s="265" t="s">
        <v>76</v>
      </c>
      <c r="J2157" s="265" t="s">
        <v>102</v>
      </c>
      <c r="K2157" s="265" t="s">
        <v>4179</v>
      </c>
      <c r="L2157" s="265">
        <v>0</v>
      </c>
      <c r="M2157" s="265" t="s">
        <v>4180</v>
      </c>
      <c r="N2157" s="347">
        <v>0.06</v>
      </c>
      <c r="O2157" s="348">
        <v>25</v>
      </c>
      <c r="P2157" s="348">
        <v>6.65</v>
      </c>
      <c r="Q2157" s="348">
        <v>0.5</v>
      </c>
    </row>
    <row r="2158" spans="1:17" ht="15" hidden="1" customHeight="1">
      <c r="A2158" s="163">
        <v>2153</v>
      </c>
      <c r="B2158" s="53" t="s">
        <v>38</v>
      </c>
      <c r="C2158" s="53">
        <v>8211</v>
      </c>
      <c r="D2158" s="53">
        <v>100026663</v>
      </c>
      <c r="E2158" s="55" t="s">
        <v>4181</v>
      </c>
      <c r="F2158" s="129">
        <v>125</v>
      </c>
      <c r="G2158" s="129">
        <v>15000</v>
      </c>
      <c r="H2158" s="512">
        <v>2.0499999999999998</v>
      </c>
      <c r="I2158" s="265" t="s">
        <v>76</v>
      </c>
      <c r="J2158" s="265" t="s">
        <v>102</v>
      </c>
      <c r="K2158" s="265" t="s">
        <v>4182</v>
      </c>
      <c r="L2158" s="265">
        <v>0</v>
      </c>
      <c r="M2158" s="265" t="s">
        <v>4183</v>
      </c>
      <c r="N2158" s="347">
        <v>0.129</v>
      </c>
      <c r="O2158" s="348">
        <v>25</v>
      </c>
      <c r="P2158" s="348">
        <v>16.559999999999999</v>
      </c>
      <c r="Q2158" s="348">
        <v>0.65</v>
      </c>
    </row>
    <row r="2159" spans="1:17" ht="15" hidden="1" customHeight="1">
      <c r="A2159" s="163">
        <v>2154</v>
      </c>
      <c r="B2159" s="53" t="s">
        <v>38</v>
      </c>
      <c r="C2159" s="53">
        <v>8235</v>
      </c>
      <c r="D2159" s="53">
        <v>100026670</v>
      </c>
      <c r="E2159" s="55" t="s">
        <v>4184</v>
      </c>
      <c r="F2159" s="129">
        <v>25</v>
      </c>
      <c r="G2159" s="129">
        <v>3750</v>
      </c>
      <c r="H2159" s="512">
        <v>8.0399999999999991</v>
      </c>
      <c r="I2159" s="265" t="s">
        <v>359</v>
      </c>
      <c r="J2159" s="265" t="s">
        <v>77</v>
      </c>
      <c r="K2159" s="265" t="s">
        <v>4185</v>
      </c>
      <c r="L2159" s="348" t="s">
        <v>1205</v>
      </c>
      <c r="M2159" s="265" t="s">
        <v>4186</v>
      </c>
      <c r="N2159" s="347">
        <v>0.41299999999999998</v>
      </c>
      <c r="O2159" s="348" t="s">
        <v>1205</v>
      </c>
      <c r="P2159" s="348">
        <v>10.32</v>
      </c>
      <c r="Q2159" s="348">
        <v>0.5</v>
      </c>
    </row>
    <row r="2160" spans="1:17" ht="15" hidden="1" customHeight="1">
      <c r="A2160" s="163">
        <v>2155</v>
      </c>
      <c r="B2160" s="53" t="s">
        <v>38</v>
      </c>
      <c r="C2160" s="53">
        <v>8246</v>
      </c>
      <c r="D2160" s="53">
        <v>100026672</v>
      </c>
      <c r="E2160" s="55" t="s">
        <v>4187</v>
      </c>
      <c r="F2160" s="129">
        <v>25</v>
      </c>
      <c r="G2160" s="129">
        <v>3750</v>
      </c>
      <c r="H2160" s="512">
        <v>10.16</v>
      </c>
      <c r="I2160" s="265" t="s">
        <v>359</v>
      </c>
      <c r="J2160" s="265" t="s">
        <v>77</v>
      </c>
      <c r="K2160" s="265" t="s">
        <v>4188</v>
      </c>
      <c r="L2160" s="348" t="s">
        <v>1205</v>
      </c>
      <c r="M2160" s="265" t="s">
        <v>4189</v>
      </c>
      <c r="N2160" s="347">
        <v>0.53700000000000003</v>
      </c>
      <c r="O2160" s="348" t="s">
        <v>1205</v>
      </c>
      <c r="P2160" s="348">
        <v>13.42</v>
      </c>
      <c r="Q2160" s="348">
        <v>0.5</v>
      </c>
    </row>
    <row r="2161" spans="1:17" ht="15" hidden="1" customHeight="1">
      <c r="A2161" s="163">
        <v>2156</v>
      </c>
      <c r="B2161" s="53" t="s">
        <v>38</v>
      </c>
      <c r="C2161" s="53">
        <v>8254</v>
      </c>
      <c r="D2161" s="53">
        <v>100026676</v>
      </c>
      <c r="E2161" s="55" t="s">
        <v>4190</v>
      </c>
      <c r="F2161" s="129">
        <v>25</v>
      </c>
      <c r="G2161" s="129" t="s">
        <v>2803</v>
      </c>
      <c r="H2161" s="512">
        <v>14.98</v>
      </c>
      <c r="I2161" s="265" t="s">
        <v>359</v>
      </c>
      <c r="J2161" s="265" t="s">
        <v>77</v>
      </c>
      <c r="K2161" s="265" t="s">
        <v>4191</v>
      </c>
      <c r="L2161" s="348" t="s">
        <v>1205</v>
      </c>
      <c r="M2161" s="265" t="s">
        <v>4192</v>
      </c>
      <c r="N2161" s="347">
        <v>0.78900000000000003</v>
      </c>
      <c r="O2161" s="348" t="s">
        <v>1205</v>
      </c>
      <c r="P2161" s="348">
        <v>19.72</v>
      </c>
      <c r="Q2161" s="348" t="s">
        <v>1205</v>
      </c>
    </row>
    <row r="2162" spans="1:17" ht="15" hidden="1" customHeight="1">
      <c r="A2162" s="163">
        <v>2157</v>
      </c>
      <c r="B2162" s="53" t="s">
        <v>38</v>
      </c>
      <c r="C2162" s="53">
        <v>8258</v>
      </c>
      <c r="D2162" s="53">
        <v>100026678</v>
      </c>
      <c r="E2162" s="55" t="s">
        <v>4193</v>
      </c>
      <c r="F2162" s="129">
        <v>25</v>
      </c>
      <c r="G2162" s="129" t="s">
        <v>2803</v>
      </c>
      <c r="H2162" s="512">
        <v>19.84</v>
      </c>
      <c r="I2162" s="265" t="s">
        <v>359</v>
      </c>
      <c r="J2162" s="265" t="s">
        <v>77</v>
      </c>
      <c r="K2162" s="265" t="s">
        <v>4194</v>
      </c>
      <c r="L2162" s="348" t="s">
        <v>1205</v>
      </c>
      <c r="M2162" s="265" t="s">
        <v>4195</v>
      </c>
      <c r="N2162" s="347">
        <v>1.0289999999999999</v>
      </c>
      <c r="O2162" s="348" t="s">
        <v>1205</v>
      </c>
      <c r="P2162" s="348">
        <v>25.72</v>
      </c>
      <c r="Q2162" s="348" t="s">
        <v>1205</v>
      </c>
    </row>
    <row r="2163" spans="1:17" ht="15" hidden="1" customHeight="1">
      <c r="A2163" s="163">
        <v>2158</v>
      </c>
      <c r="B2163" s="53" t="s">
        <v>38</v>
      </c>
      <c r="C2163" s="53">
        <v>8300</v>
      </c>
      <c r="D2163" s="53">
        <v>100026680</v>
      </c>
      <c r="E2163" s="55" t="s">
        <v>4196</v>
      </c>
      <c r="F2163" s="129">
        <v>125</v>
      </c>
      <c r="G2163" s="129">
        <v>33750</v>
      </c>
      <c r="H2163" s="512">
        <v>1.52</v>
      </c>
      <c r="I2163" s="265" t="s">
        <v>76</v>
      </c>
      <c r="J2163" s="265" t="s">
        <v>102</v>
      </c>
      <c r="K2163" s="265" t="s">
        <v>4197</v>
      </c>
      <c r="L2163" s="265" t="s">
        <v>4198</v>
      </c>
      <c r="M2163" s="265" t="s">
        <v>4199</v>
      </c>
      <c r="N2163" s="347">
        <v>3.5999999999999997E-2</v>
      </c>
      <c r="O2163" s="348">
        <v>25</v>
      </c>
      <c r="P2163" s="348">
        <v>4.4400000000000004</v>
      </c>
      <c r="Q2163" s="348">
        <v>0.31</v>
      </c>
    </row>
    <row r="2164" spans="1:17" ht="15" hidden="1" customHeight="1">
      <c r="A2164" s="163">
        <v>2159</v>
      </c>
      <c r="B2164" s="53" t="s">
        <v>38</v>
      </c>
      <c r="C2164" s="53">
        <v>8307</v>
      </c>
      <c r="D2164" s="53">
        <v>100026684</v>
      </c>
      <c r="E2164" s="55" t="s">
        <v>4200</v>
      </c>
      <c r="F2164" s="129">
        <v>50</v>
      </c>
      <c r="G2164" s="129">
        <v>7500</v>
      </c>
      <c r="H2164" s="512">
        <v>2.31</v>
      </c>
      <c r="I2164" s="265" t="s">
        <v>76</v>
      </c>
      <c r="J2164" s="265" t="s">
        <v>102</v>
      </c>
      <c r="K2164" s="265" t="s">
        <v>4202</v>
      </c>
      <c r="L2164" s="265">
        <v>0</v>
      </c>
      <c r="M2164" s="265" t="s">
        <v>4203</v>
      </c>
      <c r="N2164" s="347">
        <v>0.115</v>
      </c>
      <c r="O2164" s="348">
        <v>25</v>
      </c>
      <c r="P2164" s="348">
        <v>6.55</v>
      </c>
      <c r="Q2164" s="348">
        <v>0.5</v>
      </c>
    </row>
    <row r="2165" spans="1:17" ht="15" hidden="1" customHeight="1">
      <c r="A2165" s="163">
        <v>2160</v>
      </c>
      <c r="B2165" s="53" t="s">
        <v>38</v>
      </c>
      <c r="C2165" s="53">
        <v>8311</v>
      </c>
      <c r="D2165" s="53">
        <v>100026686</v>
      </c>
      <c r="E2165" s="55" t="s">
        <v>4204</v>
      </c>
      <c r="F2165" s="129">
        <v>40</v>
      </c>
      <c r="G2165" s="129">
        <v>10800</v>
      </c>
      <c r="H2165" s="512">
        <v>2.9</v>
      </c>
      <c r="I2165" s="265" t="s">
        <v>76</v>
      </c>
      <c r="J2165" s="265" t="s">
        <v>102</v>
      </c>
      <c r="K2165" s="265" t="s">
        <v>4205</v>
      </c>
      <c r="L2165" s="348" t="s">
        <v>1205</v>
      </c>
      <c r="M2165" s="265" t="s">
        <v>4206</v>
      </c>
      <c r="N2165" s="347">
        <v>0.18</v>
      </c>
      <c r="O2165" s="348" t="s">
        <v>1205</v>
      </c>
      <c r="P2165" s="348">
        <v>7.37</v>
      </c>
      <c r="Q2165" s="348">
        <v>0.31</v>
      </c>
    </row>
    <row r="2166" spans="1:17" ht="15" hidden="1" customHeight="1">
      <c r="A2166" s="163">
        <v>2161</v>
      </c>
      <c r="B2166" s="53" t="s">
        <v>38</v>
      </c>
      <c r="C2166" s="53">
        <v>8314</v>
      </c>
      <c r="D2166" s="53">
        <v>100026688</v>
      </c>
      <c r="E2166" s="55" t="s">
        <v>4207</v>
      </c>
      <c r="F2166" s="129">
        <v>25</v>
      </c>
      <c r="G2166" s="129" t="s">
        <v>2803</v>
      </c>
      <c r="H2166" s="512">
        <v>5.97</v>
      </c>
      <c r="I2166" s="265" t="s">
        <v>359</v>
      </c>
      <c r="J2166" s="265" t="s">
        <v>77</v>
      </c>
      <c r="K2166" s="265" t="s">
        <v>4209</v>
      </c>
      <c r="L2166" s="348" t="s">
        <v>1205</v>
      </c>
      <c r="M2166" s="265" t="s">
        <v>4210</v>
      </c>
      <c r="N2166" s="347">
        <v>0.27200000000000002</v>
      </c>
      <c r="O2166" s="348" t="s">
        <v>1205</v>
      </c>
      <c r="P2166" s="348">
        <v>6.8</v>
      </c>
      <c r="Q2166" s="348" t="s">
        <v>1205</v>
      </c>
    </row>
    <row r="2167" spans="1:17" ht="15" hidden="1" customHeight="1">
      <c r="A2167" s="163">
        <v>2162</v>
      </c>
      <c r="B2167" s="53" t="s">
        <v>38</v>
      </c>
      <c r="C2167" s="53">
        <v>8315</v>
      </c>
      <c r="D2167" s="53">
        <v>100026689</v>
      </c>
      <c r="E2167" s="55" t="s">
        <v>4211</v>
      </c>
      <c r="F2167" s="129">
        <v>25</v>
      </c>
      <c r="G2167" s="129" t="s">
        <v>2803</v>
      </c>
      <c r="H2167" s="512">
        <v>6.2</v>
      </c>
      <c r="I2167" s="265" t="s">
        <v>76</v>
      </c>
      <c r="J2167" s="265" t="s">
        <v>102</v>
      </c>
      <c r="K2167" s="265" t="s">
        <v>4212</v>
      </c>
      <c r="L2167" s="348" t="s">
        <v>1205</v>
      </c>
      <c r="M2167" s="265" t="s">
        <v>4213</v>
      </c>
      <c r="N2167" s="347">
        <v>0.248</v>
      </c>
      <c r="O2167" s="348" t="s">
        <v>1205</v>
      </c>
      <c r="P2167" s="348">
        <v>6.34</v>
      </c>
      <c r="Q2167" s="348" t="s">
        <v>1205</v>
      </c>
    </row>
    <row r="2168" spans="1:17" ht="15" hidden="1" customHeight="1">
      <c r="A2168" s="163">
        <v>2163</v>
      </c>
      <c r="B2168" s="53" t="s">
        <v>38</v>
      </c>
      <c r="C2168" s="53">
        <v>8323</v>
      </c>
      <c r="D2168" s="53">
        <v>100026691</v>
      </c>
      <c r="E2168" s="55" t="s">
        <v>4214</v>
      </c>
      <c r="F2168" s="129">
        <v>25</v>
      </c>
      <c r="G2168" s="129">
        <v>6750</v>
      </c>
      <c r="H2168" s="512">
        <v>8.2200000000000006</v>
      </c>
      <c r="I2168" s="265" t="s">
        <v>76</v>
      </c>
      <c r="J2168" s="265" t="s">
        <v>102</v>
      </c>
      <c r="K2168" s="265" t="s">
        <v>4216</v>
      </c>
      <c r="L2168" s="348" t="s">
        <v>1205</v>
      </c>
      <c r="M2168" s="265" t="s">
        <v>4217</v>
      </c>
      <c r="N2168" s="347">
        <v>0.374</v>
      </c>
      <c r="O2168" s="348" t="s">
        <v>1205</v>
      </c>
      <c r="P2168" s="348">
        <v>10.18</v>
      </c>
      <c r="Q2168" s="348">
        <v>0.31</v>
      </c>
    </row>
    <row r="2169" spans="1:17" ht="15" hidden="1" customHeight="1">
      <c r="A2169" s="163">
        <v>2164</v>
      </c>
      <c r="B2169" s="53" t="s">
        <v>38</v>
      </c>
      <c r="C2169" s="53">
        <v>8400</v>
      </c>
      <c r="D2169" s="53">
        <v>100026703</v>
      </c>
      <c r="E2169" s="55" t="s">
        <v>4218</v>
      </c>
      <c r="F2169" s="129">
        <v>25</v>
      </c>
      <c r="G2169" s="129" t="s">
        <v>2803</v>
      </c>
      <c r="H2169" s="512">
        <v>3.59</v>
      </c>
      <c r="I2169" s="265" t="s">
        <v>359</v>
      </c>
      <c r="J2169" s="265" t="s">
        <v>77</v>
      </c>
      <c r="K2169" s="265" t="s">
        <v>4219</v>
      </c>
      <c r="L2169" s="348" t="s">
        <v>1205</v>
      </c>
      <c r="M2169" s="265" t="s">
        <v>4220</v>
      </c>
      <c r="N2169" s="347">
        <v>7.5999999999999998E-2</v>
      </c>
      <c r="O2169" s="348" t="s">
        <v>1205</v>
      </c>
      <c r="P2169" s="348">
        <v>1.9</v>
      </c>
      <c r="Q2169" s="348" t="s">
        <v>1205</v>
      </c>
    </row>
    <row r="2170" spans="1:17" ht="15" hidden="1" customHeight="1">
      <c r="A2170" s="163">
        <v>2165</v>
      </c>
      <c r="B2170" s="53" t="s">
        <v>38</v>
      </c>
      <c r="C2170" s="53">
        <v>8403</v>
      </c>
      <c r="D2170" s="53">
        <v>100026704</v>
      </c>
      <c r="E2170" s="55" t="s">
        <v>4221</v>
      </c>
      <c r="F2170" s="129">
        <v>25</v>
      </c>
      <c r="G2170" s="129" t="s">
        <v>2803</v>
      </c>
      <c r="H2170" s="512">
        <v>3.8</v>
      </c>
      <c r="I2170" s="265" t="s">
        <v>359</v>
      </c>
      <c r="J2170" s="265" t="s">
        <v>77</v>
      </c>
      <c r="K2170" s="265" t="s">
        <v>4222</v>
      </c>
      <c r="L2170" s="348" t="s">
        <v>1205</v>
      </c>
      <c r="M2170" s="265" t="s">
        <v>4223</v>
      </c>
      <c r="N2170" s="347">
        <v>8.7999999999999995E-2</v>
      </c>
      <c r="O2170" s="348" t="s">
        <v>1205</v>
      </c>
      <c r="P2170" s="348">
        <v>2.2000000000000002</v>
      </c>
      <c r="Q2170" s="348" t="s">
        <v>1205</v>
      </c>
    </row>
    <row r="2171" spans="1:17" ht="15" hidden="1" customHeight="1">
      <c r="A2171" s="163">
        <v>2166</v>
      </c>
      <c r="B2171" s="53" t="s">
        <v>38</v>
      </c>
      <c r="C2171" s="53">
        <v>8405</v>
      </c>
      <c r="D2171" s="53">
        <v>100026706</v>
      </c>
      <c r="E2171" s="55" t="s">
        <v>4224</v>
      </c>
      <c r="F2171" s="129">
        <v>25</v>
      </c>
      <c r="G2171" s="129" t="s">
        <v>2803</v>
      </c>
      <c r="H2171" s="512">
        <v>5.41</v>
      </c>
      <c r="I2171" s="265" t="s">
        <v>359</v>
      </c>
      <c r="J2171" s="265" t="s">
        <v>77</v>
      </c>
      <c r="K2171" s="265" t="s">
        <v>4225</v>
      </c>
      <c r="L2171" s="348" t="s">
        <v>1205</v>
      </c>
      <c r="M2171" s="265" t="s">
        <v>4226</v>
      </c>
      <c r="N2171" s="347">
        <v>0.14199999999999999</v>
      </c>
      <c r="O2171" s="348" t="s">
        <v>1205</v>
      </c>
      <c r="P2171" s="348">
        <v>3.56</v>
      </c>
      <c r="Q2171" s="348" t="s">
        <v>1205</v>
      </c>
    </row>
    <row r="2172" spans="1:17" ht="15" hidden="1" customHeight="1">
      <c r="A2172" s="163">
        <v>2167</v>
      </c>
      <c r="B2172" s="53" t="s">
        <v>38</v>
      </c>
      <c r="C2172" s="53">
        <v>8407</v>
      </c>
      <c r="D2172" s="53">
        <v>100026708</v>
      </c>
      <c r="E2172" s="55" t="s">
        <v>4227</v>
      </c>
      <c r="F2172" s="129">
        <v>25</v>
      </c>
      <c r="G2172" s="129">
        <v>3750</v>
      </c>
      <c r="H2172" s="512">
        <v>6.63</v>
      </c>
      <c r="I2172" s="265" t="s">
        <v>359</v>
      </c>
      <c r="J2172" s="265" t="s">
        <v>77</v>
      </c>
      <c r="K2172" s="265" t="s">
        <v>4228</v>
      </c>
      <c r="L2172" s="348" t="s">
        <v>1205</v>
      </c>
      <c r="M2172" s="265" t="s">
        <v>4229</v>
      </c>
      <c r="N2172" s="347">
        <v>0.192</v>
      </c>
      <c r="O2172" s="348" t="s">
        <v>1205</v>
      </c>
      <c r="P2172" s="348">
        <v>4.8</v>
      </c>
      <c r="Q2172" s="348">
        <v>0.5</v>
      </c>
    </row>
    <row r="2173" spans="1:17" ht="15" hidden="1" customHeight="1">
      <c r="A2173" s="163">
        <v>2168</v>
      </c>
      <c r="B2173" s="53" t="s">
        <v>38</v>
      </c>
      <c r="C2173" s="53">
        <v>8411</v>
      </c>
      <c r="D2173" s="53">
        <v>100026710</v>
      </c>
      <c r="E2173" s="55" t="s">
        <v>4230</v>
      </c>
      <c r="F2173" s="129">
        <v>25</v>
      </c>
      <c r="G2173" s="129" t="s">
        <v>2803</v>
      </c>
      <c r="H2173" s="512">
        <v>7.04</v>
      </c>
      <c r="I2173" s="265" t="s">
        <v>359</v>
      </c>
      <c r="J2173" s="265" t="s">
        <v>77</v>
      </c>
      <c r="K2173" s="265" t="s">
        <v>4231</v>
      </c>
      <c r="L2173" s="348" t="s">
        <v>1205</v>
      </c>
      <c r="M2173" s="265" t="s">
        <v>4232</v>
      </c>
      <c r="N2173" s="347">
        <v>0.27600000000000002</v>
      </c>
      <c r="O2173" s="348" t="s">
        <v>1205</v>
      </c>
      <c r="P2173" s="348">
        <v>6.9</v>
      </c>
      <c r="Q2173" s="348" t="s">
        <v>1205</v>
      </c>
    </row>
    <row r="2174" spans="1:17" ht="15" hidden="1" customHeight="1">
      <c r="A2174" s="163">
        <v>2169</v>
      </c>
      <c r="B2174" s="53" t="s">
        <v>38</v>
      </c>
      <c r="C2174" s="53">
        <v>8415</v>
      </c>
      <c r="D2174" s="53">
        <v>100026711</v>
      </c>
      <c r="E2174" s="55" t="s">
        <v>4233</v>
      </c>
      <c r="F2174" s="129">
        <v>25</v>
      </c>
      <c r="G2174" s="129" t="s">
        <v>2803</v>
      </c>
      <c r="H2174" s="512">
        <v>8.5</v>
      </c>
      <c r="I2174" s="265" t="s">
        <v>359</v>
      </c>
      <c r="J2174" s="265" t="s">
        <v>77</v>
      </c>
      <c r="K2174" s="265" t="s">
        <v>4234</v>
      </c>
      <c r="L2174" s="348" t="s">
        <v>1205</v>
      </c>
      <c r="M2174" s="265" t="s">
        <v>4235</v>
      </c>
      <c r="N2174" s="347">
        <v>0.372</v>
      </c>
      <c r="O2174" s="348" t="s">
        <v>1205</v>
      </c>
      <c r="P2174" s="348">
        <v>9.3000000000000007</v>
      </c>
      <c r="Q2174" s="348" t="s">
        <v>1205</v>
      </c>
    </row>
    <row r="2175" spans="1:17" ht="15" hidden="1" customHeight="1">
      <c r="A2175" s="163">
        <v>2170</v>
      </c>
      <c r="B2175" s="53" t="s">
        <v>38</v>
      </c>
      <c r="C2175" s="53">
        <v>8423</v>
      </c>
      <c r="D2175" s="53">
        <v>100026714</v>
      </c>
      <c r="E2175" s="55" t="s">
        <v>4236</v>
      </c>
      <c r="F2175" s="129">
        <v>25</v>
      </c>
      <c r="G2175" s="129" t="s">
        <v>2803</v>
      </c>
      <c r="H2175" s="512">
        <v>11.15</v>
      </c>
      <c r="I2175" s="265" t="s">
        <v>359</v>
      </c>
      <c r="J2175" s="265" t="s">
        <v>77</v>
      </c>
      <c r="K2175" s="265" t="s">
        <v>4237</v>
      </c>
      <c r="L2175" s="348" t="s">
        <v>1205</v>
      </c>
      <c r="M2175" s="265" t="s">
        <v>4238</v>
      </c>
      <c r="N2175" s="347">
        <v>0.56599999999999995</v>
      </c>
      <c r="O2175" s="348" t="s">
        <v>1205</v>
      </c>
      <c r="P2175" s="348">
        <v>14.14</v>
      </c>
      <c r="Q2175" s="348" t="s">
        <v>1205</v>
      </c>
    </row>
    <row r="2176" spans="1:17" ht="15" hidden="1" customHeight="1">
      <c r="A2176" s="163">
        <v>2171</v>
      </c>
      <c r="B2176" s="53" t="s">
        <v>38</v>
      </c>
      <c r="C2176" s="53">
        <v>8500</v>
      </c>
      <c r="D2176" s="53">
        <v>100026724</v>
      </c>
      <c r="E2176" s="55" t="s">
        <v>4239</v>
      </c>
      <c r="F2176" s="129">
        <v>25</v>
      </c>
      <c r="G2176" s="129">
        <v>3750</v>
      </c>
      <c r="H2176" s="512">
        <v>4.37</v>
      </c>
      <c r="I2176" s="265" t="s">
        <v>359</v>
      </c>
      <c r="J2176" s="265" t="s">
        <v>77</v>
      </c>
      <c r="K2176" s="265" t="s">
        <v>4240</v>
      </c>
      <c r="L2176" s="348" t="s">
        <v>1205</v>
      </c>
      <c r="M2176" s="265" t="s">
        <v>4241</v>
      </c>
      <c r="N2176" s="347">
        <v>8.5999999999999993E-2</v>
      </c>
      <c r="O2176" s="348" t="s">
        <v>1205</v>
      </c>
      <c r="P2176" s="348">
        <v>2.14</v>
      </c>
      <c r="Q2176" s="348">
        <v>0.5</v>
      </c>
    </row>
    <row r="2177" spans="1:17" ht="15" hidden="1" customHeight="1">
      <c r="A2177" s="163">
        <v>2172</v>
      </c>
      <c r="B2177" s="53" t="s">
        <v>38</v>
      </c>
      <c r="C2177" s="53">
        <v>8503</v>
      </c>
      <c r="D2177" s="53">
        <v>100026725</v>
      </c>
      <c r="E2177" s="55" t="s">
        <v>4242</v>
      </c>
      <c r="F2177" s="129">
        <v>25</v>
      </c>
      <c r="G2177" s="129" t="s">
        <v>2803</v>
      </c>
      <c r="H2177" s="512">
        <v>4.3899999999999997</v>
      </c>
      <c r="I2177" s="265" t="s">
        <v>359</v>
      </c>
      <c r="J2177" s="265" t="s">
        <v>77</v>
      </c>
      <c r="K2177" s="265" t="s">
        <v>4243</v>
      </c>
      <c r="L2177" s="348" t="s">
        <v>1205</v>
      </c>
      <c r="M2177" s="265" t="s">
        <v>4244</v>
      </c>
      <c r="N2177" s="347">
        <v>0.112</v>
      </c>
      <c r="O2177" s="348" t="s">
        <v>1205</v>
      </c>
      <c r="P2177" s="348">
        <v>2.8</v>
      </c>
      <c r="Q2177" s="348" t="s">
        <v>1205</v>
      </c>
    </row>
    <row r="2178" spans="1:17" ht="15" hidden="1" customHeight="1">
      <c r="A2178" s="163">
        <v>2173</v>
      </c>
      <c r="B2178" s="53" t="s">
        <v>38</v>
      </c>
      <c r="C2178" s="53">
        <v>8505</v>
      </c>
      <c r="D2178" s="53">
        <v>100026727</v>
      </c>
      <c r="E2178" s="55" t="s">
        <v>4245</v>
      </c>
      <c r="F2178" s="129">
        <v>25</v>
      </c>
      <c r="G2178" s="129" t="s">
        <v>2803</v>
      </c>
      <c r="H2178" s="512">
        <v>5.71</v>
      </c>
      <c r="I2178" s="265" t="s">
        <v>359</v>
      </c>
      <c r="J2178" s="265" t="s">
        <v>77</v>
      </c>
      <c r="K2178" s="265" t="s">
        <v>4246</v>
      </c>
      <c r="L2178" s="348" t="s">
        <v>1205</v>
      </c>
      <c r="M2178" s="265" t="s">
        <v>4247</v>
      </c>
      <c r="N2178" s="347">
        <v>0.17199999999999999</v>
      </c>
      <c r="O2178" s="348" t="s">
        <v>1205</v>
      </c>
      <c r="P2178" s="348">
        <v>4.3</v>
      </c>
      <c r="Q2178" s="348" t="s">
        <v>1205</v>
      </c>
    </row>
    <row r="2179" spans="1:17" ht="15" hidden="1" customHeight="1">
      <c r="A2179" s="163">
        <v>2174</v>
      </c>
      <c r="B2179" s="53" t="s">
        <v>38</v>
      </c>
      <c r="C2179" s="53">
        <v>8507</v>
      </c>
      <c r="D2179" s="53">
        <v>100026729</v>
      </c>
      <c r="E2179" s="55" t="s">
        <v>4248</v>
      </c>
      <c r="F2179" s="129">
        <v>25</v>
      </c>
      <c r="G2179" s="129" t="s">
        <v>2803</v>
      </c>
      <c r="H2179" s="512">
        <v>6.63</v>
      </c>
      <c r="I2179" s="265" t="s">
        <v>359</v>
      </c>
      <c r="J2179" s="265" t="s">
        <v>77</v>
      </c>
      <c r="K2179" s="265" t="s">
        <v>4249</v>
      </c>
      <c r="L2179" s="348" t="s">
        <v>1205</v>
      </c>
      <c r="M2179" s="265" t="s">
        <v>4250</v>
      </c>
      <c r="N2179" s="347">
        <v>0.22800000000000001</v>
      </c>
      <c r="O2179" s="348" t="s">
        <v>1205</v>
      </c>
      <c r="P2179" s="348">
        <v>5.7</v>
      </c>
      <c r="Q2179" s="348" t="s">
        <v>1205</v>
      </c>
    </row>
    <row r="2180" spans="1:17" ht="15" hidden="1" customHeight="1">
      <c r="A2180" s="163">
        <v>2175</v>
      </c>
      <c r="B2180" s="53" t="s">
        <v>38</v>
      </c>
      <c r="C2180" s="53">
        <v>8511</v>
      </c>
      <c r="D2180" s="53">
        <v>100026731</v>
      </c>
      <c r="E2180" s="55" t="s">
        <v>4251</v>
      </c>
      <c r="F2180" s="129">
        <v>25</v>
      </c>
      <c r="G2180" s="129" t="s">
        <v>2803</v>
      </c>
      <c r="H2180" s="512">
        <v>8.08</v>
      </c>
      <c r="I2180" s="265" t="s">
        <v>359</v>
      </c>
      <c r="J2180" s="265" t="s">
        <v>77</v>
      </c>
      <c r="K2180" s="265" t="s">
        <v>4252</v>
      </c>
      <c r="L2180" s="348" t="s">
        <v>1205</v>
      </c>
      <c r="M2180" s="265" t="s">
        <v>4253</v>
      </c>
      <c r="N2180" s="347">
        <v>0.33800000000000002</v>
      </c>
      <c r="O2180" s="348" t="s">
        <v>1205</v>
      </c>
      <c r="P2180" s="348">
        <v>8.4499999999999993</v>
      </c>
      <c r="Q2180" s="348" t="s">
        <v>1205</v>
      </c>
    </row>
    <row r="2181" spans="1:17" ht="15" hidden="1" customHeight="1">
      <c r="A2181" s="163">
        <v>2176</v>
      </c>
      <c r="B2181" s="53" t="s">
        <v>38</v>
      </c>
      <c r="C2181" s="53">
        <v>8515</v>
      </c>
      <c r="D2181" s="53">
        <v>100026732</v>
      </c>
      <c r="E2181" s="55" t="s">
        <v>4254</v>
      </c>
      <c r="F2181" s="129">
        <v>25</v>
      </c>
      <c r="G2181" s="129" t="s">
        <v>2803</v>
      </c>
      <c r="H2181" s="512">
        <v>9.67</v>
      </c>
      <c r="I2181" s="265" t="s">
        <v>359</v>
      </c>
      <c r="J2181" s="265" t="s">
        <v>77</v>
      </c>
      <c r="K2181" s="265" t="s">
        <v>4255</v>
      </c>
      <c r="L2181" s="348" t="s">
        <v>1205</v>
      </c>
      <c r="M2181" s="265" t="s">
        <v>4256</v>
      </c>
      <c r="N2181" s="347">
        <v>0.47</v>
      </c>
      <c r="O2181" s="348" t="s">
        <v>1205</v>
      </c>
      <c r="P2181" s="348">
        <v>11.74</v>
      </c>
      <c r="Q2181" s="348" t="s">
        <v>1205</v>
      </c>
    </row>
    <row r="2182" spans="1:17" ht="15" hidden="1" customHeight="1">
      <c r="A2182" s="163">
        <v>2177</v>
      </c>
      <c r="B2182" s="53" t="s">
        <v>38</v>
      </c>
      <c r="C2182" s="53">
        <v>8523</v>
      </c>
      <c r="D2182" s="53">
        <v>100026734</v>
      </c>
      <c r="E2182" s="55" t="s">
        <v>4257</v>
      </c>
      <c r="F2182" s="129">
        <v>25</v>
      </c>
      <c r="G2182" s="129">
        <v>3000</v>
      </c>
      <c r="H2182" s="512">
        <v>13.57</v>
      </c>
      <c r="I2182" s="265" t="s">
        <v>359</v>
      </c>
      <c r="J2182" s="265" t="s">
        <v>77</v>
      </c>
      <c r="K2182" s="265" t="s">
        <v>4258</v>
      </c>
      <c r="L2182" s="348" t="s">
        <v>1205</v>
      </c>
      <c r="M2182" s="265" t="s">
        <v>4259</v>
      </c>
      <c r="N2182" s="347">
        <v>0.66200000000000003</v>
      </c>
      <c r="O2182" s="348" t="s">
        <v>1205</v>
      </c>
      <c r="P2182" s="348">
        <v>16.54</v>
      </c>
      <c r="Q2182" s="348">
        <v>0.65</v>
      </c>
    </row>
    <row r="2183" spans="1:17" ht="15" hidden="1" customHeight="1">
      <c r="A2183" s="163">
        <v>2178</v>
      </c>
      <c r="B2183" s="53" t="s">
        <v>38</v>
      </c>
      <c r="C2183" s="53">
        <v>8600</v>
      </c>
      <c r="D2183" s="53">
        <v>100026744</v>
      </c>
      <c r="E2183" s="55" t="s">
        <v>4260</v>
      </c>
      <c r="F2183" s="129">
        <v>25</v>
      </c>
      <c r="G2183" s="129" t="s">
        <v>2803</v>
      </c>
      <c r="H2183" s="512">
        <v>5.7</v>
      </c>
      <c r="I2183" s="265" t="s">
        <v>359</v>
      </c>
      <c r="J2183" s="265" t="s">
        <v>77</v>
      </c>
      <c r="K2183" s="265" t="s">
        <v>4261</v>
      </c>
      <c r="L2183" s="348" t="s">
        <v>1205</v>
      </c>
      <c r="M2183" s="265" t="s">
        <v>4262</v>
      </c>
      <c r="N2183" s="347">
        <v>0.153</v>
      </c>
      <c r="O2183" s="348" t="s">
        <v>1205</v>
      </c>
      <c r="P2183" s="348">
        <v>3.82</v>
      </c>
      <c r="Q2183" s="348" t="s">
        <v>1205</v>
      </c>
    </row>
    <row r="2184" spans="1:17" ht="15" hidden="1" customHeight="1">
      <c r="A2184" s="163">
        <v>2179</v>
      </c>
      <c r="B2184" s="53" t="s">
        <v>38</v>
      </c>
      <c r="C2184" s="53">
        <v>8604</v>
      </c>
      <c r="D2184" s="53">
        <v>100026745</v>
      </c>
      <c r="E2184" s="55" t="s">
        <v>4263</v>
      </c>
      <c r="F2184" s="129">
        <v>25</v>
      </c>
      <c r="G2184" s="129" t="s">
        <v>2803</v>
      </c>
      <c r="H2184" s="512">
        <v>5.67</v>
      </c>
      <c r="I2184" s="265" t="s">
        <v>359</v>
      </c>
      <c r="J2184" s="265" t="s">
        <v>77</v>
      </c>
      <c r="K2184" s="265" t="s">
        <v>4264</v>
      </c>
      <c r="L2184" s="348" t="s">
        <v>1205</v>
      </c>
      <c r="M2184" s="265" t="s">
        <v>4265</v>
      </c>
      <c r="N2184" s="347">
        <v>0.188</v>
      </c>
      <c r="O2184" s="348" t="s">
        <v>1205</v>
      </c>
      <c r="P2184" s="348">
        <v>4.7</v>
      </c>
      <c r="Q2184" s="348" t="s">
        <v>1205</v>
      </c>
    </row>
    <row r="2185" spans="1:17" ht="15" hidden="1" customHeight="1">
      <c r="A2185" s="163">
        <v>2180</v>
      </c>
      <c r="B2185" s="53" t="s">
        <v>38</v>
      </c>
      <c r="C2185" s="53">
        <v>8605</v>
      </c>
      <c r="D2185" s="53">
        <v>100026746</v>
      </c>
      <c r="E2185" s="55" t="s">
        <v>4266</v>
      </c>
      <c r="F2185" s="129">
        <v>25</v>
      </c>
      <c r="G2185" s="129" t="s">
        <v>2803</v>
      </c>
      <c r="H2185" s="512">
        <v>6.18</v>
      </c>
      <c r="I2185" s="265" t="s">
        <v>359</v>
      </c>
      <c r="J2185" s="265" t="s">
        <v>77</v>
      </c>
      <c r="K2185" s="265" t="s">
        <v>4267</v>
      </c>
      <c r="L2185" s="348" t="s">
        <v>1205</v>
      </c>
      <c r="M2185" s="265" t="s">
        <v>4268</v>
      </c>
      <c r="N2185" s="347">
        <v>0.23</v>
      </c>
      <c r="O2185" s="348" t="s">
        <v>1205</v>
      </c>
      <c r="P2185" s="348">
        <v>5.75</v>
      </c>
      <c r="Q2185" s="348" t="s">
        <v>1205</v>
      </c>
    </row>
    <row r="2186" spans="1:17" ht="15" hidden="1" customHeight="1">
      <c r="A2186" s="163">
        <v>2181</v>
      </c>
      <c r="B2186" s="53" t="s">
        <v>38</v>
      </c>
      <c r="C2186" s="53">
        <v>8607</v>
      </c>
      <c r="D2186" s="53">
        <v>100026747</v>
      </c>
      <c r="E2186" s="55" t="s">
        <v>4269</v>
      </c>
      <c r="F2186" s="129">
        <v>25</v>
      </c>
      <c r="G2186" s="129" t="s">
        <v>2803</v>
      </c>
      <c r="H2186" s="512">
        <v>7.83</v>
      </c>
      <c r="I2186" s="265" t="s">
        <v>359</v>
      </c>
      <c r="J2186" s="265" t="s">
        <v>77</v>
      </c>
      <c r="K2186" s="265" t="s">
        <v>4270</v>
      </c>
      <c r="L2186" s="348" t="s">
        <v>1205</v>
      </c>
      <c r="M2186" s="265" t="s">
        <v>4271</v>
      </c>
      <c r="N2186" s="347">
        <v>0.312</v>
      </c>
      <c r="O2186" s="348" t="s">
        <v>1205</v>
      </c>
      <c r="P2186" s="348">
        <v>7.8</v>
      </c>
      <c r="Q2186" s="348" t="s">
        <v>1205</v>
      </c>
    </row>
    <row r="2187" spans="1:17" ht="15" hidden="1" customHeight="1">
      <c r="A2187" s="163">
        <v>2182</v>
      </c>
      <c r="B2187" s="53" t="s">
        <v>38</v>
      </c>
      <c r="C2187" s="53">
        <v>8609</v>
      </c>
      <c r="D2187" s="53">
        <v>100026748</v>
      </c>
      <c r="E2187" s="55" t="s">
        <v>4272</v>
      </c>
      <c r="F2187" s="129">
        <v>25</v>
      </c>
      <c r="G2187" s="129" t="s">
        <v>2803</v>
      </c>
      <c r="H2187" s="512">
        <v>9.23</v>
      </c>
      <c r="I2187" s="265" t="s">
        <v>359</v>
      </c>
      <c r="J2187" s="265" t="s">
        <v>77</v>
      </c>
      <c r="K2187" s="265" t="s">
        <v>4273</v>
      </c>
      <c r="L2187" s="348" t="s">
        <v>1205</v>
      </c>
      <c r="M2187" s="265" t="s">
        <v>4274</v>
      </c>
      <c r="N2187" s="347">
        <v>0.378</v>
      </c>
      <c r="O2187" s="348" t="s">
        <v>1205</v>
      </c>
      <c r="P2187" s="348">
        <v>9.4600000000000009</v>
      </c>
      <c r="Q2187" s="348" t="s">
        <v>1205</v>
      </c>
    </row>
    <row r="2188" spans="1:17" ht="15" hidden="1" customHeight="1">
      <c r="A2188" s="163">
        <v>2183</v>
      </c>
      <c r="B2188" s="53" t="s">
        <v>38</v>
      </c>
      <c r="C2188" s="53">
        <v>8611</v>
      </c>
      <c r="D2188" s="53">
        <v>100026749</v>
      </c>
      <c r="E2188" s="55" t="s">
        <v>4275</v>
      </c>
      <c r="F2188" s="129">
        <v>25</v>
      </c>
      <c r="G2188" s="129" t="s">
        <v>2803</v>
      </c>
      <c r="H2188" s="512">
        <v>10.37</v>
      </c>
      <c r="I2188" s="265" t="s">
        <v>359</v>
      </c>
      <c r="J2188" s="265" t="s">
        <v>77</v>
      </c>
      <c r="K2188" s="265" t="s">
        <v>4276</v>
      </c>
      <c r="L2188" s="348" t="s">
        <v>1205</v>
      </c>
      <c r="M2188" s="265" t="s">
        <v>4277</v>
      </c>
      <c r="N2188" s="347">
        <v>0.45800000000000002</v>
      </c>
      <c r="O2188" s="348" t="s">
        <v>1205</v>
      </c>
      <c r="P2188" s="348">
        <v>11.46</v>
      </c>
      <c r="Q2188" s="348" t="s">
        <v>1205</v>
      </c>
    </row>
    <row r="2189" spans="1:17" ht="15" hidden="1" customHeight="1">
      <c r="A2189" s="163">
        <v>2184</v>
      </c>
      <c r="B2189" s="53" t="s">
        <v>38</v>
      </c>
      <c r="C2189" s="53">
        <v>8615</v>
      </c>
      <c r="D2189" s="53">
        <v>100026750</v>
      </c>
      <c r="E2189" s="55" t="s">
        <v>4278</v>
      </c>
      <c r="F2189" s="129">
        <v>25</v>
      </c>
      <c r="G2189" s="129" t="s">
        <v>2803</v>
      </c>
      <c r="H2189" s="512">
        <v>12.74</v>
      </c>
      <c r="I2189" s="265" t="s">
        <v>359</v>
      </c>
      <c r="J2189" s="265" t="s">
        <v>77</v>
      </c>
      <c r="K2189" s="265" t="s">
        <v>4279</v>
      </c>
      <c r="L2189" s="348" t="s">
        <v>1205</v>
      </c>
      <c r="M2189" s="265" t="s">
        <v>4280</v>
      </c>
      <c r="N2189" s="347">
        <v>0.64200000000000002</v>
      </c>
      <c r="O2189" s="348" t="s">
        <v>1205</v>
      </c>
      <c r="P2189" s="348">
        <v>16.04</v>
      </c>
      <c r="Q2189" s="348" t="s">
        <v>1205</v>
      </c>
    </row>
    <row r="2190" spans="1:17" ht="15" hidden="1" customHeight="1">
      <c r="A2190" s="163">
        <v>2185</v>
      </c>
      <c r="B2190" s="53" t="s">
        <v>38</v>
      </c>
      <c r="C2190" s="53">
        <v>8619</v>
      </c>
      <c r="D2190" s="53">
        <v>100026751</v>
      </c>
      <c r="E2190" s="55" t="s">
        <v>4281</v>
      </c>
      <c r="F2190" s="129">
        <v>25</v>
      </c>
      <c r="G2190" s="129" t="s">
        <v>2803</v>
      </c>
      <c r="H2190" s="512">
        <v>15.15</v>
      </c>
      <c r="I2190" s="265" t="s">
        <v>359</v>
      </c>
      <c r="J2190" s="265" t="s">
        <v>77</v>
      </c>
      <c r="K2190" s="265" t="s">
        <v>4283</v>
      </c>
      <c r="L2190" s="348" t="s">
        <v>1205</v>
      </c>
      <c r="M2190" s="265" t="s">
        <v>4284</v>
      </c>
      <c r="N2190" s="347">
        <v>0.79</v>
      </c>
      <c r="O2190" s="348" t="s">
        <v>1205</v>
      </c>
      <c r="P2190" s="348">
        <v>19.739999999999998</v>
      </c>
      <c r="Q2190" s="348" t="s">
        <v>1205</v>
      </c>
    </row>
    <row r="2191" spans="1:17" ht="15" hidden="1" customHeight="1">
      <c r="A2191" s="163">
        <v>2186</v>
      </c>
      <c r="B2191" s="53" t="s">
        <v>38</v>
      </c>
      <c r="C2191" s="53">
        <v>8623</v>
      </c>
      <c r="D2191" s="53">
        <v>100026752</v>
      </c>
      <c r="E2191" s="55" t="s">
        <v>4285</v>
      </c>
      <c r="F2191" s="129">
        <v>25</v>
      </c>
      <c r="G2191" s="129" t="s">
        <v>2803</v>
      </c>
      <c r="H2191" s="512">
        <v>17.03</v>
      </c>
      <c r="I2191" s="265" t="s">
        <v>359</v>
      </c>
      <c r="J2191" s="265" t="s">
        <v>77</v>
      </c>
      <c r="K2191" s="265" t="s">
        <v>4286</v>
      </c>
      <c r="L2191" s="348" t="s">
        <v>1205</v>
      </c>
      <c r="M2191" s="265" t="s">
        <v>4287</v>
      </c>
      <c r="N2191" s="347">
        <v>0.95799999999999996</v>
      </c>
      <c r="O2191" s="348" t="s">
        <v>1205</v>
      </c>
      <c r="P2191" s="348">
        <v>23.95</v>
      </c>
      <c r="Q2191" s="348" t="s">
        <v>1205</v>
      </c>
    </row>
    <row r="2192" spans="1:17" ht="15" hidden="1" customHeight="1">
      <c r="A2192" s="163">
        <v>2187</v>
      </c>
      <c r="B2192" s="53" t="s">
        <v>38</v>
      </c>
      <c r="C2192" s="53">
        <v>8646</v>
      </c>
      <c r="D2192" s="53">
        <v>100026757</v>
      </c>
      <c r="E2192" s="55" t="s">
        <v>4288</v>
      </c>
      <c r="F2192" s="129">
        <v>25</v>
      </c>
      <c r="G2192" s="129" t="s">
        <v>2803</v>
      </c>
      <c r="H2192" s="512">
        <v>32.56</v>
      </c>
      <c r="I2192" s="265" t="s">
        <v>359</v>
      </c>
      <c r="J2192" s="265" t="s">
        <v>77</v>
      </c>
      <c r="K2192" s="265" t="s">
        <v>4289</v>
      </c>
      <c r="L2192" s="348" t="s">
        <v>1205</v>
      </c>
      <c r="M2192" s="265" t="s">
        <v>4290</v>
      </c>
      <c r="N2192" s="347">
        <v>1.948</v>
      </c>
      <c r="O2192" s="348" t="s">
        <v>1205</v>
      </c>
      <c r="P2192" s="348">
        <v>9.74</v>
      </c>
      <c r="Q2192" s="348">
        <v>0.88</v>
      </c>
    </row>
    <row r="2193" spans="1:17" ht="15" hidden="1" customHeight="1">
      <c r="A2193" s="163">
        <v>2188</v>
      </c>
      <c r="B2193" s="53" t="s">
        <v>38</v>
      </c>
      <c r="C2193" s="53">
        <v>8654</v>
      </c>
      <c r="D2193" s="53">
        <v>100026761</v>
      </c>
      <c r="E2193" s="55" t="s">
        <v>4291</v>
      </c>
      <c r="F2193" s="129">
        <v>5</v>
      </c>
      <c r="G2193" s="129" t="s">
        <v>2803</v>
      </c>
      <c r="H2193" s="512">
        <v>47.51</v>
      </c>
      <c r="I2193" s="265" t="s">
        <v>359</v>
      </c>
      <c r="J2193" s="265" t="s">
        <v>77</v>
      </c>
      <c r="K2193" s="265" t="s">
        <v>4292</v>
      </c>
      <c r="L2193" s="348" t="s">
        <v>1205</v>
      </c>
      <c r="M2193" s="265" t="s">
        <v>4293</v>
      </c>
      <c r="N2193" s="347">
        <v>0.55400000000000005</v>
      </c>
      <c r="O2193" s="348" t="s">
        <v>1205</v>
      </c>
      <c r="P2193" s="348">
        <v>20</v>
      </c>
      <c r="Q2193" s="348">
        <v>1.33</v>
      </c>
    </row>
    <row r="2194" spans="1:17" ht="15" hidden="1" customHeight="1">
      <c r="A2194" s="163">
        <v>2189</v>
      </c>
      <c r="B2194" s="53" t="s">
        <v>38</v>
      </c>
      <c r="C2194" s="53">
        <v>8711</v>
      </c>
      <c r="D2194" s="53">
        <v>100026769</v>
      </c>
      <c r="E2194" s="55" t="s">
        <v>4294</v>
      </c>
      <c r="F2194" s="129">
        <v>25</v>
      </c>
      <c r="G2194" s="129">
        <v>1875</v>
      </c>
      <c r="H2194" s="512">
        <v>16.75</v>
      </c>
      <c r="I2194" s="265" t="s">
        <v>359</v>
      </c>
      <c r="J2194" s="265" t="s">
        <v>77</v>
      </c>
      <c r="K2194" s="265" t="s">
        <v>4295</v>
      </c>
      <c r="L2194" s="348" t="s">
        <v>1205</v>
      </c>
      <c r="M2194" s="265" t="s">
        <v>4296</v>
      </c>
      <c r="N2194" s="347">
        <v>0.63200000000000001</v>
      </c>
      <c r="O2194" s="348" t="s">
        <v>1205</v>
      </c>
      <c r="P2194" s="348">
        <v>15.8</v>
      </c>
      <c r="Q2194" s="348">
        <v>0.95</v>
      </c>
    </row>
    <row r="2195" spans="1:17" ht="15" hidden="1" customHeight="1">
      <c r="A2195" s="163">
        <v>2190</v>
      </c>
      <c r="B2195" s="53" t="s">
        <v>38</v>
      </c>
      <c r="C2195" s="53">
        <v>8723</v>
      </c>
      <c r="D2195" s="53">
        <v>100026772</v>
      </c>
      <c r="E2195" s="55" t="s">
        <v>4297</v>
      </c>
      <c r="F2195" s="129">
        <v>25</v>
      </c>
      <c r="G2195" s="129" t="s">
        <v>2803</v>
      </c>
      <c r="H2195" s="512">
        <v>27.63</v>
      </c>
      <c r="I2195" s="265" t="s">
        <v>359</v>
      </c>
      <c r="J2195" s="265" t="s">
        <v>77</v>
      </c>
      <c r="K2195" s="265" t="s">
        <v>4298</v>
      </c>
      <c r="L2195" s="348" t="s">
        <v>1205</v>
      </c>
      <c r="M2195" s="265" t="s">
        <v>4299</v>
      </c>
      <c r="N2195" s="347">
        <v>0.94799999999999995</v>
      </c>
      <c r="O2195" s="348" t="s">
        <v>1205</v>
      </c>
      <c r="P2195" s="348">
        <v>23.7</v>
      </c>
      <c r="Q2195" s="348" t="s">
        <v>1205</v>
      </c>
    </row>
    <row r="2196" spans="1:17" ht="15" hidden="1" customHeight="1">
      <c r="A2196" s="163">
        <v>2191</v>
      </c>
      <c r="B2196" s="53" t="s">
        <v>38</v>
      </c>
      <c r="C2196" s="53">
        <v>8805</v>
      </c>
      <c r="D2196" s="53">
        <v>100026783</v>
      </c>
      <c r="E2196" s="55" t="s">
        <v>4300</v>
      </c>
      <c r="F2196" s="129">
        <v>25</v>
      </c>
      <c r="G2196" s="129" t="s">
        <v>2803</v>
      </c>
      <c r="H2196" s="512">
        <v>13.19</v>
      </c>
      <c r="I2196" s="265" t="s">
        <v>359</v>
      </c>
      <c r="J2196" s="265" t="s">
        <v>77</v>
      </c>
      <c r="K2196" s="265" t="s">
        <v>4301</v>
      </c>
      <c r="L2196" s="348" t="s">
        <v>1205</v>
      </c>
      <c r="M2196" s="265" t="s">
        <v>4302</v>
      </c>
      <c r="N2196" s="347">
        <v>0.44900000000000001</v>
      </c>
      <c r="O2196" s="348" t="s">
        <v>1205</v>
      </c>
      <c r="P2196" s="348">
        <v>11.22</v>
      </c>
      <c r="Q2196" s="348" t="s">
        <v>1205</v>
      </c>
    </row>
    <row r="2197" spans="1:17" ht="15" hidden="1" customHeight="1">
      <c r="A2197" s="163">
        <v>2192</v>
      </c>
      <c r="B2197" s="53" t="s">
        <v>38</v>
      </c>
      <c r="C2197" s="53">
        <v>8807</v>
      </c>
      <c r="D2197" s="53">
        <v>100026784</v>
      </c>
      <c r="E2197" s="55" t="s">
        <v>4303</v>
      </c>
      <c r="F2197" s="129">
        <v>25</v>
      </c>
      <c r="G2197" s="129">
        <v>1875</v>
      </c>
      <c r="H2197" s="512">
        <v>15.55</v>
      </c>
      <c r="I2197" s="265" t="s">
        <v>359</v>
      </c>
      <c r="J2197" s="265" t="s">
        <v>77</v>
      </c>
      <c r="K2197" s="265" t="s">
        <v>4304</v>
      </c>
      <c r="L2197" s="348" t="s">
        <v>1205</v>
      </c>
      <c r="M2197" s="265" t="s">
        <v>4305</v>
      </c>
      <c r="N2197" s="347">
        <v>0.57699999999999996</v>
      </c>
      <c r="O2197" s="348" t="s">
        <v>1205</v>
      </c>
      <c r="P2197" s="348">
        <v>14.42</v>
      </c>
      <c r="Q2197" s="348">
        <v>0.95</v>
      </c>
    </row>
    <row r="2198" spans="1:17" ht="15" hidden="1" customHeight="1">
      <c r="A2198" s="163">
        <v>2193</v>
      </c>
      <c r="B2198" s="53" t="s">
        <v>38</v>
      </c>
      <c r="C2198" s="53">
        <v>8811</v>
      </c>
      <c r="D2198" s="53">
        <v>100026786</v>
      </c>
      <c r="E2198" s="55" t="s">
        <v>4306</v>
      </c>
      <c r="F2198" s="129">
        <v>25</v>
      </c>
      <c r="G2198" s="129">
        <v>1875</v>
      </c>
      <c r="H2198" s="512">
        <v>20.51</v>
      </c>
      <c r="I2198" s="265" t="s">
        <v>359</v>
      </c>
      <c r="J2198" s="265" t="s">
        <v>77</v>
      </c>
      <c r="K2198" s="265" t="s">
        <v>4307</v>
      </c>
      <c r="L2198" s="348" t="s">
        <v>1205</v>
      </c>
      <c r="M2198" s="265" t="s">
        <v>4308</v>
      </c>
      <c r="N2198" s="347">
        <v>1.2749999999999999</v>
      </c>
      <c r="O2198" s="348" t="s">
        <v>1205</v>
      </c>
      <c r="P2198" s="348">
        <v>31.88</v>
      </c>
      <c r="Q2198" s="348">
        <v>0.95</v>
      </c>
    </row>
    <row r="2199" spans="1:17" ht="15" hidden="1" customHeight="1">
      <c r="A2199" s="163">
        <v>2194</v>
      </c>
      <c r="B2199" s="53" t="s">
        <v>38</v>
      </c>
      <c r="C2199" s="53">
        <v>8815</v>
      </c>
      <c r="D2199" s="53">
        <v>100026787</v>
      </c>
      <c r="E2199" s="55" t="s">
        <v>4309</v>
      </c>
      <c r="F2199" s="129">
        <v>25</v>
      </c>
      <c r="G2199" s="129" t="s">
        <v>2803</v>
      </c>
      <c r="H2199" s="512">
        <v>25.25</v>
      </c>
      <c r="I2199" s="265" t="s">
        <v>359</v>
      </c>
      <c r="J2199" s="265" t="s">
        <v>77</v>
      </c>
      <c r="K2199" s="265" t="s">
        <v>4310</v>
      </c>
      <c r="L2199" s="348" t="s">
        <v>1205</v>
      </c>
      <c r="M2199" s="265" t="s">
        <v>4311</v>
      </c>
      <c r="N2199" s="347">
        <v>1.2</v>
      </c>
      <c r="O2199" s="348" t="s">
        <v>1205</v>
      </c>
      <c r="P2199" s="348">
        <v>30</v>
      </c>
      <c r="Q2199" s="348" t="s">
        <v>1205</v>
      </c>
    </row>
    <row r="2200" spans="1:17" ht="15" hidden="1" customHeight="1">
      <c r="A2200" s="163">
        <v>2195</v>
      </c>
      <c r="B2200" s="53" t="s">
        <v>38</v>
      </c>
      <c r="C2200" s="53">
        <v>8823</v>
      </c>
      <c r="D2200" s="53">
        <v>100026789</v>
      </c>
      <c r="E2200" s="55" t="s">
        <v>4312</v>
      </c>
      <c r="F2200" s="129">
        <v>20</v>
      </c>
      <c r="G2200" s="129">
        <v>360</v>
      </c>
      <c r="H2200" s="512">
        <v>34.869999999999997</v>
      </c>
      <c r="I2200" s="265" t="s">
        <v>359</v>
      </c>
      <c r="J2200" s="265" t="s">
        <v>77</v>
      </c>
      <c r="K2200" s="265" t="s">
        <v>4313</v>
      </c>
      <c r="L2200" s="348" t="s">
        <v>1205</v>
      </c>
      <c r="M2200" s="265" t="s">
        <v>4314</v>
      </c>
      <c r="N2200" s="347">
        <v>3.738</v>
      </c>
      <c r="O2200" s="348" t="s">
        <v>1205</v>
      </c>
      <c r="P2200" s="348">
        <v>37.380000000000003</v>
      </c>
      <c r="Q2200" s="348">
        <v>2.65</v>
      </c>
    </row>
    <row r="2201" spans="1:17" ht="15" hidden="1" customHeight="1">
      <c r="A2201" s="163">
        <v>2196</v>
      </c>
      <c r="B2201" s="53" t="s">
        <v>38</v>
      </c>
      <c r="C2201" s="53">
        <v>8907</v>
      </c>
      <c r="D2201" s="53">
        <v>100026800</v>
      </c>
      <c r="E2201" s="55" t="s">
        <v>4315</v>
      </c>
      <c r="F2201" s="129">
        <v>30</v>
      </c>
      <c r="G2201" s="129" t="s">
        <v>2803</v>
      </c>
      <c r="H2201" s="512">
        <v>20.11</v>
      </c>
      <c r="I2201" s="265" t="s">
        <v>359</v>
      </c>
      <c r="J2201" s="265" t="s">
        <v>77</v>
      </c>
      <c r="K2201" s="265" t="s">
        <v>4316</v>
      </c>
      <c r="L2201" s="348" t="s">
        <v>1205</v>
      </c>
      <c r="M2201" s="265" t="s">
        <v>4317</v>
      </c>
      <c r="N2201" s="347">
        <v>0.83699999999999997</v>
      </c>
      <c r="O2201" s="348" t="s">
        <v>1205</v>
      </c>
      <c r="P2201" s="348">
        <v>25.1</v>
      </c>
      <c r="Q2201" s="348" t="s">
        <v>1205</v>
      </c>
    </row>
    <row r="2202" spans="1:17" ht="15" hidden="1" customHeight="1">
      <c r="A2202" s="163">
        <v>2197</v>
      </c>
      <c r="B2202" s="53" t="s">
        <v>38</v>
      </c>
      <c r="C2202" s="53">
        <v>8911</v>
      </c>
      <c r="D2202" s="53">
        <v>100026802</v>
      </c>
      <c r="E2202" s="55" t="s">
        <v>4318</v>
      </c>
      <c r="F2202" s="129">
        <v>20</v>
      </c>
      <c r="G2202" s="129" t="s">
        <v>2803</v>
      </c>
      <c r="H2202" s="512">
        <v>27.09</v>
      </c>
      <c r="I2202" s="265" t="s">
        <v>359</v>
      </c>
      <c r="J2202" s="265" t="s">
        <v>77</v>
      </c>
      <c r="K2202" s="265" t="s">
        <v>4319</v>
      </c>
      <c r="L2202" s="348" t="s">
        <v>1205</v>
      </c>
      <c r="M2202" s="265" t="s">
        <v>4320</v>
      </c>
      <c r="N2202" s="347">
        <v>1.268</v>
      </c>
      <c r="O2202" s="348" t="s">
        <v>1205</v>
      </c>
      <c r="P2202" s="348">
        <v>25.35</v>
      </c>
      <c r="Q2202" s="348" t="s">
        <v>1205</v>
      </c>
    </row>
    <row r="2203" spans="1:17" ht="15" hidden="1" customHeight="1">
      <c r="A2203" s="163">
        <v>2198</v>
      </c>
      <c r="B2203" s="53" t="s">
        <v>38</v>
      </c>
      <c r="C2203" s="53">
        <v>8923</v>
      </c>
      <c r="D2203" s="53">
        <v>100026805</v>
      </c>
      <c r="E2203" s="55" t="s">
        <v>4321</v>
      </c>
      <c r="F2203" s="129">
        <v>5</v>
      </c>
      <c r="G2203" s="129" t="s">
        <v>2803</v>
      </c>
      <c r="H2203" s="512">
        <v>48.15</v>
      </c>
      <c r="I2203" s="265" t="s">
        <v>359</v>
      </c>
      <c r="J2203" s="265" t="s">
        <v>77</v>
      </c>
      <c r="K2203" s="265" t="s">
        <v>4322</v>
      </c>
      <c r="L2203" s="348" t="s">
        <v>1205</v>
      </c>
      <c r="M2203" s="265" t="s">
        <v>4323</v>
      </c>
      <c r="N2203" s="347">
        <v>2.8</v>
      </c>
      <c r="O2203" s="348" t="s">
        <v>1205</v>
      </c>
      <c r="P2203" s="348">
        <v>14</v>
      </c>
      <c r="Q2203" s="348" t="s">
        <v>1205</v>
      </c>
    </row>
    <row r="2204" spans="1:17" ht="15" hidden="1" customHeight="1">
      <c r="A2204" s="163">
        <v>2199</v>
      </c>
      <c r="B2204" s="53" t="s">
        <v>38</v>
      </c>
      <c r="C2204" s="53" t="s">
        <v>4325</v>
      </c>
      <c r="D2204" s="53">
        <v>100022181</v>
      </c>
      <c r="E2204" s="55" t="s">
        <v>4326</v>
      </c>
      <c r="F2204" s="129">
        <v>250</v>
      </c>
      <c r="G2204" s="129">
        <v>37500</v>
      </c>
      <c r="H2204" s="512">
        <v>2.42</v>
      </c>
      <c r="I2204" s="265" t="s">
        <v>76</v>
      </c>
      <c r="J2204" s="265" t="s">
        <v>102</v>
      </c>
      <c r="K2204" s="265" t="s">
        <v>4329</v>
      </c>
      <c r="L2204" s="265" t="s">
        <v>4330</v>
      </c>
      <c r="M2204" s="265" t="s">
        <v>4331</v>
      </c>
      <c r="N2204" s="347">
        <v>2.8000000000000001E-2</v>
      </c>
      <c r="O2204" s="348">
        <v>25</v>
      </c>
      <c r="P2204" s="348">
        <v>9.9700000000000006</v>
      </c>
      <c r="Q2204" s="348">
        <v>0.5</v>
      </c>
    </row>
    <row r="2205" spans="1:17" ht="15" hidden="1" customHeight="1">
      <c r="A2205" s="163">
        <v>2200</v>
      </c>
      <c r="B2205" s="53" t="s">
        <v>38</v>
      </c>
      <c r="C2205" s="53" t="s">
        <v>4332</v>
      </c>
      <c r="D2205" s="53">
        <v>100026832</v>
      </c>
      <c r="E2205" s="55" t="s">
        <v>4333</v>
      </c>
      <c r="F2205" s="129">
        <v>250</v>
      </c>
      <c r="G2205" s="129">
        <v>30000</v>
      </c>
      <c r="H2205" s="512">
        <v>5.15</v>
      </c>
      <c r="I2205" s="265" t="s">
        <v>76</v>
      </c>
      <c r="J2205" s="265" t="s">
        <v>102</v>
      </c>
      <c r="K2205" s="265" t="s">
        <v>4335</v>
      </c>
      <c r="L2205" s="265" t="s">
        <v>4336</v>
      </c>
      <c r="M2205" s="265" t="s">
        <v>4337</v>
      </c>
      <c r="N2205" s="347">
        <v>5.3999999999999999E-2</v>
      </c>
      <c r="O2205" s="348">
        <v>25</v>
      </c>
      <c r="P2205" s="348">
        <v>13.71</v>
      </c>
      <c r="Q2205" s="348">
        <v>0.65</v>
      </c>
    </row>
    <row r="2206" spans="1:17" ht="15" hidden="1" customHeight="1">
      <c r="A2206" s="163">
        <v>2201</v>
      </c>
      <c r="B2206" s="53" t="s">
        <v>38</v>
      </c>
      <c r="C2206" s="53" t="s">
        <v>4338</v>
      </c>
      <c r="D2206" s="53">
        <v>100026833</v>
      </c>
      <c r="E2206" s="55" t="s">
        <v>4339</v>
      </c>
      <c r="F2206" s="129">
        <v>250</v>
      </c>
      <c r="G2206" s="129">
        <v>22500</v>
      </c>
      <c r="H2206" s="512">
        <v>5.15</v>
      </c>
      <c r="I2206" s="265" t="s">
        <v>76</v>
      </c>
      <c r="J2206" s="265" t="s">
        <v>102</v>
      </c>
      <c r="K2206" s="265" t="s">
        <v>4341</v>
      </c>
      <c r="L2206" s="265" t="s">
        <v>4342</v>
      </c>
      <c r="M2206" s="265" t="s">
        <v>4343</v>
      </c>
      <c r="N2206" s="347">
        <v>5.0999999999999997E-2</v>
      </c>
      <c r="O2206" s="348">
        <v>25</v>
      </c>
      <c r="P2206" s="348">
        <v>13.9</v>
      </c>
      <c r="Q2206" s="348">
        <v>0.8</v>
      </c>
    </row>
    <row r="2207" spans="1:17" ht="15" hidden="1" customHeight="1">
      <c r="A2207" s="163">
        <v>2202</v>
      </c>
      <c r="B2207" s="53" t="s">
        <v>38</v>
      </c>
      <c r="C2207" s="53" t="s">
        <v>4344</v>
      </c>
      <c r="D2207" s="53">
        <v>100022182</v>
      </c>
      <c r="E2207" s="55" t="s">
        <v>4345</v>
      </c>
      <c r="F2207" s="129">
        <v>125</v>
      </c>
      <c r="G2207" s="129">
        <v>15000</v>
      </c>
      <c r="H2207" s="512">
        <v>5.86</v>
      </c>
      <c r="I2207" s="265" t="s">
        <v>359</v>
      </c>
      <c r="J2207" s="265" t="s">
        <v>102</v>
      </c>
      <c r="K2207" s="265" t="s">
        <v>4347</v>
      </c>
      <c r="L2207" s="265">
        <v>0</v>
      </c>
      <c r="M2207" s="265" t="s">
        <v>4348</v>
      </c>
      <c r="N2207" s="347">
        <v>8.4000000000000005E-2</v>
      </c>
      <c r="O2207" s="348">
        <v>25</v>
      </c>
      <c r="P2207" s="348">
        <v>10.5</v>
      </c>
      <c r="Q2207" s="348">
        <v>0.65</v>
      </c>
    </row>
    <row r="2208" spans="1:17" ht="15" hidden="1" customHeight="1">
      <c r="A2208" s="163">
        <v>2203</v>
      </c>
      <c r="B2208" s="53" t="s">
        <v>38</v>
      </c>
      <c r="C2208" s="53" t="s">
        <v>4349</v>
      </c>
      <c r="D2208" s="53">
        <v>100022184</v>
      </c>
      <c r="E2208" s="55" t="s">
        <v>4350</v>
      </c>
      <c r="F2208" s="129">
        <v>125</v>
      </c>
      <c r="G2208" s="129">
        <v>11250</v>
      </c>
      <c r="H2208" s="512">
        <v>8.26</v>
      </c>
      <c r="I2208" s="265" t="s">
        <v>76</v>
      </c>
      <c r="J2208" s="265" t="s">
        <v>102</v>
      </c>
      <c r="K2208" s="265" t="s">
        <v>4352</v>
      </c>
      <c r="L2208" s="265">
        <v>0</v>
      </c>
      <c r="M2208" s="265" t="s">
        <v>4353</v>
      </c>
      <c r="N2208" s="347">
        <v>9.9000000000000005E-2</v>
      </c>
      <c r="O2208" s="348">
        <v>25</v>
      </c>
      <c r="P2208" s="348">
        <v>12.48</v>
      </c>
      <c r="Q2208" s="348">
        <v>0.8</v>
      </c>
    </row>
    <row r="2209" spans="1:17" ht="15" hidden="1" customHeight="1">
      <c r="A2209" s="163">
        <v>2204</v>
      </c>
      <c r="B2209" s="53" t="s">
        <v>38</v>
      </c>
      <c r="C2209" s="53" t="s">
        <v>4354</v>
      </c>
      <c r="D2209" s="53">
        <v>100022186</v>
      </c>
      <c r="E2209" s="55" t="s">
        <v>4355</v>
      </c>
      <c r="F2209" s="129">
        <v>125</v>
      </c>
      <c r="G2209" s="129">
        <v>11250</v>
      </c>
      <c r="H2209" s="512">
        <v>8.26</v>
      </c>
      <c r="I2209" s="265" t="s">
        <v>76</v>
      </c>
      <c r="J2209" s="265" t="s">
        <v>102</v>
      </c>
      <c r="K2209" s="265" t="s">
        <v>4357</v>
      </c>
      <c r="L2209" s="265" t="s">
        <v>4358</v>
      </c>
      <c r="M2209" s="265" t="s">
        <v>4359</v>
      </c>
      <c r="N2209" s="347">
        <v>0.10100000000000001</v>
      </c>
      <c r="O2209" s="348">
        <v>25</v>
      </c>
      <c r="P2209" s="348">
        <v>12.73</v>
      </c>
      <c r="Q2209" s="348">
        <v>0.8</v>
      </c>
    </row>
    <row r="2210" spans="1:17" ht="15" hidden="1" customHeight="1">
      <c r="A2210" s="163">
        <v>2205</v>
      </c>
      <c r="B2210" s="53" t="s">
        <v>39</v>
      </c>
      <c r="C2210" s="53" t="s">
        <v>4364</v>
      </c>
      <c r="D2210" s="53">
        <v>100026337</v>
      </c>
      <c r="E2210" s="55" t="s">
        <v>4365</v>
      </c>
      <c r="F2210" s="129">
        <v>25</v>
      </c>
      <c r="G2210" s="129">
        <v>6750</v>
      </c>
      <c r="H2210" s="512">
        <v>17.920000000000002</v>
      </c>
      <c r="I2210" s="265" t="s">
        <v>76</v>
      </c>
      <c r="J2210" s="265" t="s">
        <v>102</v>
      </c>
      <c r="K2210" s="265" t="s">
        <v>4366</v>
      </c>
      <c r="L2210" s="348" t="s">
        <v>1205</v>
      </c>
      <c r="M2210" s="265" t="s">
        <v>4368</v>
      </c>
      <c r="N2210" s="347">
        <v>0.192</v>
      </c>
      <c r="O2210" s="348" t="s">
        <v>1205</v>
      </c>
      <c r="P2210" s="348">
        <v>5.4749999999999996</v>
      </c>
      <c r="Q2210" s="348">
        <v>0.31</v>
      </c>
    </row>
    <row r="2211" spans="1:17" ht="15" hidden="1" customHeight="1">
      <c r="A2211" s="163">
        <v>2206</v>
      </c>
      <c r="B2211" s="53" t="s">
        <v>39</v>
      </c>
      <c r="C2211" s="53" t="s">
        <v>4369</v>
      </c>
      <c r="D2211" s="53">
        <v>100026341</v>
      </c>
      <c r="E2211" s="55" t="s">
        <v>4370</v>
      </c>
      <c r="F2211" s="129">
        <v>20</v>
      </c>
      <c r="G2211" s="129">
        <v>5400</v>
      </c>
      <c r="H2211" s="512">
        <v>17.760000000000002</v>
      </c>
      <c r="I2211" s="265" t="s">
        <v>76</v>
      </c>
      <c r="J2211" s="265" t="s">
        <v>102</v>
      </c>
      <c r="K2211" s="265" t="s">
        <v>4371</v>
      </c>
      <c r="L2211" s="348" t="s">
        <v>1205</v>
      </c>
      <c r="M2211" s="265" t="s">
        <v>4373</v>
      </c>
      <c r="N2211" s="347">
        <v>0.26200000000000001</v>
      </c>
      <c r="O2211" s="348" t="s">
        <v>1205</v>
      </c>
      <c r="P2211" s="348">
        <v>4.4249999999999998</v>
      </c>
      <c r="Q2211" s="348">
        <v>0.31</v>
      </c>
    </row>
    <row r="2212" spans="1:17" ht="15" hidden="1" customHeight="1">
      <c r="A2212" s="163">
        <v>2207</v>
      </c>
      <c r="B2212" s="53" t="s">
        <v>39</v>
      </c>
      <c r="C2212" s="53" t="s">
        <v>4374</v>
      </c>
      <c r="D2212" s="53">
        <v>100026338</v>
      </c>
      <c r="E2212" s="55" t="s">
        <v>4375</v>
      </c>
      <c r="F2212" s="129">
        <v>25</v>
      </c>
      <c r="G2212" s="129">
        <v>3000</v>
      </c>
      <c r="H2212" s="512">
        <v>35.01</v>
      </c>
      <c r="I2212" s="265" t="s">
        <v>76</v>
      </c>
      <c r="J2212" s="265" t="s">
        <v>102</v>
      </c>
      <c r="K2212" s="265" t="s">
        <v>4376</v>
      </c>
      <c r="L2212" s="348" t="s">
        <v>1205</v>
      </c>
      <c r="M2212" s="265" t="s">
        <v>4378</v>
      </c>
      <c r="N2212" s="347">
        <v>0.34300000000000003</v>
      </c>
      <c r="O2212" s="348" t="s">
        <v>1205</v>
      </c>
      <c r="P2212" s="348">
        <v>9.3249999999999993</v>
      </c>
      <c r="Q2212" s="348">
        <v>0.65</v>
      </c>
    </row>
    <row r="2213" spans="1:17" ht="15" hidden="1" customHeight="1">
      <c r="A2213" s="163">
        <v>2208</v>
      </c>
      <c r="B2213" s="53" t="s">
        <v>39</v>
      </c>
      <c r="C2213" s="53" t="s">
        <v>4379</v>
      </c>
      <c r="D2213" s="53">
        <v>100026339</v>
      </c>
      <c r="E2213" s="55" t="s">
        <v>4380</v>
      </c>
      <c r="F2213" s="129">
        <v>25</v>
      </c>
      <c r="G2213" s="129">
        <v>2250</v>
      </c>
      <c r="H2213" s="512">
        <v>52.5</v>
      </c>
      <c r="I2213" s="265" t="s">
        <v>76</v>
      </c>
      <c r="J2213" s="265" t="s">
        <v>102</v>
      </c>
      <c r="K2213" s="265" t="s">
        <v>4381</v>
      </c>
      <c r="L2213" s="348" t="s">
        <v>1205</v>
      </c>
      <c r="M2213" s="265" t="s">
        <v>4383</v>
      </c>
      <c r="N2213" s="347">
        <v>0.49399999999999999</v>
      </c>
      <c r="O2213" s="348" t="s">
        <v>1205</v>
      </c>
      <c r="P2213" s="348">
        <v>13.35</v>
      </c>
      <c r="Q2213" s="348">
        <v>0.8</v>
      </c>
    </row>
    <row r="2214" spans="1:17" ht="15" hidden="1" customHeight="1">
      <c r="A2214" s="163">
        <v>2209</v>
      </c>
      <c r="B2214" s="53" t="s">
        <v>39</v>
      </c>
      <c r="C2214" s="53" t="s">
        <v>4384</v>
      </c>
      <c r="D2214" s="53">
        <v>100026340</v>
      </c>
      <c r="E2214" s="55" t="s">
        <v>4385</v>
      </c>
      <c r="F2214" s="129">
        <v>25</v>
      </c>
      <c r="G2214" s="129">
        <v>1875</v>
      </c>
      <c r="H2214" s="512">
        <v>69.86</v>
      </c>
      <c r="I2214" s="265" t="s">
        <v>76</v>
      </c>
      <c r="J2214" s="265" t="s">
        <v>102</v>
      </c>
      <c r="K2214" s="265" t="s">
        <v>4386</v>
      </c>
      <c r="L2214" s="348" t="s">
        <v>1205</v>
      </c>
      <c r="M2214" s="265" t="s">
        <v>4388</v>
      </c>
      <c r="N2214" s="347">
        <v>0.64300000000000002</v>
      </c>
      <c r="O2214" s="348" t="s">
        <v>1205</v>
      </c>
      <c r="P2214" s="348">
        <v>17.23</v>
      </c>
      <c r="Q2214" s="348">
        <v>1.1000000000000001</v>
      </c>
    </row>
    <row r="2215" spans="1:17" ht="15" hidden="1" customHeight="1">
      <c r="A2215" s="163">
        <v>2210</v>
      </c>
      <c r="B2215" s="53" t="s">
        <v>39</v>
      </c>
      <c r="C2215" s="53" t="s">
        <v>4389</v>
      </c>
      <c r="D2215" s="53">
        <v>100026342</v>
      </c>
      <c r="E2215" s="55" t="s">
        <v>4390</v>
      </c>
      <c r="F2215" s="129">
        <v>25</v>
      </c>
      <c r="G2215" s="129">
        <v>6750</v>
      </c>
      <c r="H2215" s="512">
        <v>15.32</v>
      </c>
      <c r="I2215" s="265" t="s">
        <v>76</v>
      </c>
      <c r="J2215" s="265" t="s">
        <v>102</v>
      </c>
      <c r="K2215" s="265" t="s">
        <v>4391</v>
      </c>
      <c r="L2215" s="348" t="s">
        <v>1205</v>
      </c>
      <c r="M2215" s="265" t="s">
        <v>4393</v>
      </c>
      <c r="N2215" s="347">
        <v>0.128</v>
      </c>
      <c r="O2215" s="348" t="s">
        <v>1205</v>
      </c>
      <c r="P2215" s="348">
        <v>3.65</v>
      </c>
      <c r="Q2215" s="348">
        <v>0.31</v>
      </c>
    </row>
    <row r="2216" spans="1:17" ht="15" hidden="1" customHeight="1">
      <c r="A2216" s="163">
        <v>2211</v>
      </c>
      <c r="B2216" s="53" t="s">
        <v>39</v>
      </c>
      <c r="C2216" s="53" t="s">
        <v>4394</v>
      </c>
      <c r="D2216" s="53">
        <v>100026343</v>
      </c>
      <c r="E2216" s="55" t="s">
        <v>4395</v>
      </c>
      <c r="F2216" s="129">
        <v>25</v>
      </c>
      <c r="G2216" s="129">
        <v>6750</v>
      </c>
      <c r="H2216" s="512">
        <v>16.899999999999999</v>
      </c>
      <c r="I2216" s="265" t="s">
        <v>76</v>
      </c>
      <c r="J2216" s="265" t="s">
        <v>102</v>
      </c>
      <c r="K2216" s="265" t="s">
        <v>4396</v>
      </c>
      <c r="L2216" s="348" t="s">
        <v>1205</v>
      </c>
      <c r="M2216" s="265" t="s">
        <v>4398</v>
      </c>
      <c r="N2216" s="347">
        <v>0.156</v>
      </c>
      <c r="O2216" s="348" t="s">
        <v>1205</v>
      </c>
      <c r="P2216" s="348">
        <v>4.4249999999999998</v>
      </c>
      <c r="Q2216" s="348">
        <v>0.31</v>
      </c>
    </row>
    <row r="2217" spans="1:17" ht="15" hidden="1" customHeight="1">
      <c r="A2217" s="163">
        <v>2212</v>
      </c>
      <c r="B2217" s="53" t="s">
        <v>39</v>
      </c>
      <c r="C2217" s="53" t="s">
        <v>4399</v>
      </c>
      <c r="D2217" s="53">
        <v>100026344</v>
      </c>
      <c r="E2217" s="55" t="s">
        <v>4400</v>
      </c>
      <c r="F2217" s="129">
        <v>25</v>
      </c>
      <c r="G2217" s="129">
        <v>6750</v>
      </c>
      <c r="H2217" s="512">
        <v>14.75</v>
      </c>
      <c r="I2217" s="265" t="s">
        <v>76</v>
      </c>
      <c r="J2217" s="265" t="s">
        <v>102</v>
      </c>
      <c r="K2217" s="265" t="s">
        <v>4401</v>
      </c>
      <c r="L2217" s="348" t="s">
        <v>1205</v>
      </c>
      <c r="M2217" s="265" t="s">
        <v>4403</v>
      </c>
      <c r="N2217" s="347">
        <v>0.218</v>
      </c>
      <c r="O2217" s="348" t="s">
        <v>1205</v>
      </c>
      <c r="P2217" s="348">
        <v>4.4249999999999998</v>
      </c>
      <c r="Q2217" s="348">
        <v>0.31</v>
      </c>
    </row>
    <row r="2218" spans="1:17" ht="15" hidden="1" customHeight="1">
      <c r="A2218" s="163">
        <v>2213</v>
      </c>
      <c r="B2218" s="53" t="s">
        <v>39</v>
      </c>
      <c r="C2218" s="53" t="s">
        <v>4404</v>
      </c>
      <c r="D2218" s="53">
        <v>100026345</v>
      </c>
      <c r="E2218" s="55" t="s">
        <v>4405</v>
      </c>
      <c r="F2218" s="129">
        <v>15</v>
      </c>
      <c r="G2218" s="129">
        <v>4050</v>
      </c>
      <c r="H2218" s="512">
        <v>23.79</v>
      </c>
      <c r="I2218" s="265" t="s">
        <v>76</v>
      </c>
      <c r="J2218" s="265" t="s">
        <v>102</v>
      </c>
      <c r="K2218" s="265" t="s">
        <v>4406</v>
      </c>
      <c r="L2218" s="348" t="s">
        <v>1205</v>
      </c>
      <c r="M2218" s="265" t="s">
        <v>4408</v>
      </c>
      <c r="N2218" s="347">
        <v>0.248</v>
      </c>
      <c r="O2218" s="348" t="s">
        <v>1205</v>
      </c>
      <c r="P2218" s="348">
        <v>4.37</v>
      </c>
      <c r="Q2218" s="348">
        <v>0.31</v>
      </c>
    </row>
    <row r="2219" spans="1:17" ht="15" hidden="1" customHeight="1">
      <c r="A2219" s="163">
        <v>2214</v>
      </c>
      <c r="B2219" s="53" t="s">
        <v>39</v>
      </c>
      <c r="C2219" s="53" t="s">
        <v>4409</v>
      </c>
      <c r="D2219" s="53">
        <v>100026347</v>
      </c>
      <c r="E2219" s="55" t="s">
        <v>4410</v>
      </c>
      <c r="F2219" s="129">
        <v>50</v>
      </c>
      <c r="G2219" s="129">
        <v>13500</v>
      </c>
      <c r="H2219" s="512">
        <v>10.37</v>
      </c>
      <c r="I2219" s="265" t="s">
        <v>359</v>
      </c>
      <c r="J2219" s="265" t="s">
        <v>102</v>
      </c>
      <c r="K2219" s="265" t="s">
        <v>4411</v>
      </c>
      <c r="L2219" s="348" t="s">
        <v>1205</v>
      </c>
      <c r="M2219" s="265" t="s">
        <v>4413</v>
      </c>
      <c r="N2219" s="347">
        <v>0.106</v>
      </c>
      <c r="O2219" s="348" t="s">
        <v>1205</v>
      </c>
      <c r="P2219" s="348">
        <v>5.7249999999999996</v>
      </c>
      <c r="Q2219" s="348">
        <v>0.31</v>
      </c>
    </row>
    <row r="2220" spans="1:17" ht="15" hidden="1" customHeight="1">
      <c r="A2220" s="163">
        <v>2215</v>
      </c>
      <c r="B2220" s="53" t="s">
        <v>39</v>
      </c>
      <c r="C2220" s="53" t="s">
        <v>4414</v>
      </c>
      <c r="D2220" s="53">
        <v>100026349</v>
      </c>
      <c r="E2220" s="55" t="s">
        <v>4415</v>
      </c>
      <c r="F2220" s="129">
        <v>50</v>
      </c>
      <c r="G2220" s="129">
        <v>13500</v>
      </c>
      <c r="H2220" s="512">
        <v>12.72</v>
      </c>
      <c r="I2220" s="265" t="s">
        <v>76</v>
      </c>
      <c r="J2220" s="265" t="s">
        <v>102</v>
      </c>
      <c r="K2220" s="265" t="s">
        <v>4416</v>
      </c>
      <c r="L2220" s="348" t="s">
        <v>1205</v>
      </c>
      <c r="M2220" s="265" t="s">
        <v>4418</v>
      </c>
      <c r="N2220" s="347">
        <v>0.13</v>
      </c>
      <c r="O2220" s="348" t="s">
        <v>1205</v>
      </c>
      <c r="P2220" s="348">
        <v>6.9249999999999998</v>
      </c>
      <c r="Q2220" s="348">
        <v>0.31</v>
      </c>
    </row>
    <row r="2221" spans="1:17" ht="15" hidden="1" customHeight="1">
      <c r="A2221" s="163">
        <v>2216</v>
      </c>
      <c r="B2221" s="53" t="s">
        <v>39</v>
      </c>
      <c r="C2221" s="53" t="s">
        <v>4419</v>
      </c>
      <c r="D2221" s="53">
        <v>100026350</v>
      </c>
      <c r="E2221" s="55" t="s">
        <v>4420</v>
      </c>
      <c r="F2221" s="129">
        <v>40</v>
      </c>
      <c r="G2221" s="129">
        <v>10800</v>
      </c>
      <c r="H2221" s="512">
        <v>10.37</v>
      </c>
      <c r="I2221" s="265" t="s">
        <v>76</v>
      </c>
      <c r="J2221" s="265" t="s">
        <v>102</v>
      </c>
      <c r="K2221" s="265" t="s">
        <v>4421</v>
      </c>
      <c r="L2221" s="265" t="s">
        <v>4422</v>
      </c>
      <c r="M2221" s="265" t="s">
        <v>4423</v>
      </c>
      <c r="N2221" s="347">
        <v>0.11899999999999999</v>
      </c>
      <c r="O2221" s="348" t="s">
        <v>1205</v>
      </c>
      <c r="P2221" s="348">
        <v>5.4249999999999998</v>
      </c>
      <c r="Q2221" s="348">
        <v>0.31</v>
      </c>
    </row>
    <row r="2222" spans="1:17" ht="15" hidden="1" customHeight="1">
      <c r="A2222" s="163">
        <v>2217</v>
      </c>
      <c r="B2222" s="53" t="s">
        <v>39</v>
      </c>
      <c r="C2222" s="53" t="s">
        <v>4424</v>
      </c>
      <c r="D2222" s="53">
        <v>100026353</v>
      </c>
      <c r="E2222" s="55" t="s">
        <v>4425</v>
      </c>
      <c r="F2222" s="129">
        <v>50</v>
      </c>
      <c r="G2222" s="129">
        <v>13500</v>
      </c>
      <c r="H2222" s="512">
        <v>11.67</v>
      </c>
      <c r="I2222" s="265" t="s">
        <v>76</v>
      </c>
      <c r="J2222" s="265" t="s">
        <v>102</v>
      </c>
      <c r="K2222" s="265" t="s">
        <v>4426</v>
      </c>
      <c r="L2222" s="265" t="s">
        <v>4427</v>
      </c>
      <c r="M2222" s="265" t="s">
        <v>4428</v>
      </c>
      <c r="N2222" s="347">
        <v>0.108</v>
      </c>
      <c r="O2222" s="348">
        <v>25</v>
      </c>
      <c r="P2222" s="348">
        <v>6.1749999999999998</v>
      </c>
      <c r="Q2222" s="348">
        <v>0.31</v>
      </c>
    </row>
    <row r="2223" spans="1:17" ht="15" hidden="1" customHeight="1">
      <c r="A2223" s="163">
        <v>2218</v>
      </c>
      <c r="B2223" s="53" t="s">
        <v>39</v>
      </c>
      <c r="C2223" s="53" t="s">
        <v>4429</v>
      </c>
      <c r="D2223" s="53">
        <v>100026356</v>
      </c>
      <c r="E2223" s="55" t="s">
        <v>4430</v>
      </c>
      <c r="F2223" s="129">
        <v>50</v>
      </c>
      <c r="G2223" s="129">
        <v>13500</v>
      </c>
      <c r="H2223" s="512">
        <v>11.24</v>
      </c>
      <c r="I2223" s="265" t="s">
        <v>76</v>
      </c>
      <c r="J2223" s="265" t="s">
        <v>102</v>
      </c>
      <c r="K2223" s="265" t="s">
        <v>4431</v>
      </c>
      <c r="L2223" s="265" t="s">
        <v>4432</v>
      </c>
      <c r="M2223" s="265" t="s">
        <v>4433</v>
      </c>
      <c r="N2223" s="347">
        <v>9.2999999999999999E-2</v>
      </c>
      <c r="O2223" s="348">
        <v>25</v>
      </c>
      <c r="P2223" s="348">
        <v>5.125</v>
      </c>
      <c r="Q2223" s="348">
        <v>0.31</v>
      </c>
    </row>
    <row r="2224" spans="1:17" ht="15" hidden="1" customHeight="1">
      <c r="A2224" s="163">
        <v>2219</v>
      </c>
      <c r="B2224" s="53" t="s">
        <v>39</v>
      </c>
      <c r="C2224" s="53" t="s">
        <v>4434</v>
      </c>
      <c r="D2224" s="53">
        <v>100026359</v>
      </c>
      <c r="E2224" s="55" t="s">
        <v>4435</v>
      </c>
      <c r="F2224" s="129">
        <v>50</v>
      </c>
      <c r="G2224" s="129">
        <v>13500</v>
      </c>
      <c r="H2224" s="512">
        <v>9.6999999999999993</v>
      </c>
      <c r="I2224" s="265" t="s">
        <v>76</v>
      </c>
      <c r="J2224" s="265" t="s">
        <v>102</v>
      </c>
      <c r="K2224" s="265" t="s">
        <v>4436</v>
      </c>
      <c r="L2224" s="265" t="s">
        <v>4437</v>
      </c>
      <c r="M2224" s="265" t="s">
        <v>4438</v>
      </c>
      <c r="N2224" s="347">
        <v>8.8999999999999996E-2</v>
      </c>
      <c r="O2224" s="348">
        <v>25</v>
      </c>
      <c r="P2224" s="348">
        <v>4.9249999999999998</v>
      </c>
      <c r="Q2224" s="348">
        <v>0.31</v>
      </c>
    </row>
    <row r="2225" spans="1:17" ht="15" hidden="1" customHeight="1">
      <c r="A2225" s="163">
        <v>2220</v>
      </c>
      <c r="B2225" s="53" t="s">
        <v>39</v>
      </c>
      <c r="C2225" s="53" t="s">
        <v>4439</v>
      </c>
      <c r="D2225" s="53">
        <v>100026360</v>
      </c>
      <c r="E2225" s="55" t="s">
        <v>4440</v>
      </c>
      <c r="F2225" s="129">
        <v>50</v>
      </c>
      <c r="G2225" s="129">
        <v>13500</v>
      </c>
      <c r="H2225" s="512">
        <v>9.8699999999999992</v>
      </c>
      <c r="I2225" s="265" t="s">
        <v>76</v>
      </c>
      <c r="J2225" s="265" t="s">
        <v>102</v>
      </c>
      <c r="K2225" s="265" t="s">
        <v>4441</v>
      </c>
      <c r="L2225" s="265" t="s">
        <v>4442</v>
      </c>
      <c r="M2225" s="265" t="s">
        <v>4443</v>
      </c>
      <c r="N2225" s="347">
        <v>0.109</v>
      </c>
      <c r="O2225" s="348">
        <v>25</v>
      </c>
      <c r="P2225" s="348">
        <v>5.9249999999999998</v>
      </c>
      <c r="Q2225" s="348">
        <v>0.31</v>
      </c>
    </row>
    <row r="2226" spans="1:17" ht="15" hidden="1" customHeight="1">
      <c r="A2226" s="163">
        <v>2221</v>
      </c>
      <c r="B2226" s="53" t="s">
        <v>39</v>
      </c>
      <c r="C2226" s="53" t="s">
        <v>4444</v>
      </c>
      <c r="D2226" s="53">
        <v>100026361</v>
      </c>
      <c r="E2226" s="55" t="s">
        <v>4445</v>
      </c>
      <c r="F2226" s="129">
        <v>100</v>
      </c>
      <c r="G2226" s="129">
        <v>27000</v>
      </c>
      <c r="H2226" s="512">
        <v>3.92</v>
      </c>
      <c r="I2226" s="265" t="s">
        <v>76</v>
      </c>
      <c r="J2226" s="265" t="s">
        <v>102</v>
      </c>
      <c r="K2226" s="265" t="s">
        <v>4446</v>
      </c>
      <c r="L2226" s="265" t="s">
        <v>4447</v>
      </c>
      <c r="M2226" s="265" t="s">
        <v>4448</v>
      </c>
      <c r="N2226" s="347">
        <v>6.4000000000000001E-2</v>
      </c>
      <c r="O2226" s="348">
        <v>25</v>
      </c>
      <c r="P2226" s="348">
        <v>6.4249999999999998</v>
      </c>
      <c r="Q2226" s="348">
        <v>0.31</v>
      </c>
    </row>
    <row r="2227" spans="1:17" ht="15" hidden="1" customHeight="1">
      <c r="A2227" s="163">
        <v>2222</v>
      </c>
      <c r="B2227" s="53" t="s">
        <v>39</v>
      </c>
      <c r="C2227" s="53" t="s">
        <v>4449</v>
      </c>
      <c r="D2227" s="53">
        <v>100026333</v>
      </c>
      <c r="E2227" s="55" t="s">
        <v>4450</v>
      </c>
      <c r="F2227" s="129">
        <v>75</v>
      </c>
      <c r="G2227" s="129">
        <v>20250</v>
      </c>
      <c r="H2227" s="512">
        <v>4.1399999999999997</v>
      </c>
      <c r="I2227" s="265" t="s">
        <v>76</v>
      </c>
      <c r="J2227" s="265" t="s">
        <v>102</v>
      </c>
      <c r="K2227" s="265" t="s">
        <v>4451</v>
      </c>
      <c r="L2227" s="265" t="s">
        <v>4451</v>
      </c>
      <c r="M2227" s="265" t="s">
        <v>4452</v>
      </c>
      <c r="N2227" s="347">
        <v>7.0999999999999994E-2</v>
      </c>
      <c r="O2227" s="348">
        <v>25</v>
      </c>
      <c r="P2227" s="348">
        <v>6.05</v>
      </c>
      <c r="Q2227" s="348">
        <v>0.31</v>
      </c>
    </row>
    <row r="2228" spans="1:17" ht="15" hidden="1" customHeight="1">
      <c r="A2228" s="163">
        <v>2223</v>
      </c>
      <c r="B2228" s="53" t="s">
        <v>39</v>
      </c>
      <c r="C2228" s="53" t="s">
        <v>4453</v>
      </c>
      <c r="D2228" s="53">
        <v>100026334</v>
      </c>
      <c r="E2228" s="55" t="s">
        <v>4454</v>
      </c>
      <c r="F2228" s="129">
        <v>75</v>
      </c>
      <c r="G2228" s="129">
        <v>20250</v>
      </c>
      <c r="H2228" s="512">
        <v>4.63</v>
      </c>
      <c r="I2228" s="265" t="s">
        <v>76</v>
      </c>
      <c r="J2228" s="265" t="s">
        <v>102</v>
      </c>
      <c r="K2228" s="265" t="s">
        <v>4455</v>
      </c>
      <c r="L2228" s="265" t="s">
        <v>4456</v>
      </c>
      <c r="M2228" s="265" t="s">
        <v>4457</v>
      </c>
      <c r="N2228" s="347">
        <v>7.0999999999999994E-2</v>
      </c>
      <c r="O2228" s="348">
        <v>25</v>
      </c>
      <c r="P2228" s="348">
        <v>5.3</v>
      </c>
      <c r="Q2228" s="348">
        <v>0.31</v>
      </c>
    </row>
    <row r="2229" spans="1:17" ht="15" hidden="1" customHeight="1">
      <c r="A2229" s="163">
        <v>2224</v>
      </c>
      <c r="B2229" s="53" t="s">
        <v>39</v>
      </c>
      <c r="C2229" s="53" t="s">
        <v>4459</v>
      </c>
      <c r="D2229" s="53">
        <v>100026354</v>
      </c>
      <c r="E2229" s="55" t="s">
        <v>4460</v>
      </c>
      <c r="F2229" s="129">
        <v>20</v>
      </c>
      <c r="G2229" s="129">
        <v>5400</v>
      </c>
      <c r="H2229" s="512">
        <v>18.420000000000002</v>
      </c>
      <c r="I2229" s="265" t="s">
        <v>76</v>
      </c>
      <c r="J2229" s="265" t="s">
        <v>102</v>
      </c>
      <c r="K2229" s="265" t="s">
        <v>4461</v>
      </c>
      <c r="L2229" s="348" t="s">
        <v>1205</v>
      </c>
      <c r="M2229" s="265" t="s">
        <v>4463</v>
      </c>
      <c r="N2229" s="347">
        <v>0.20100000000000001</v>
      </c>
      <c r="O2229" s="348" t="s">
        <v>1205</v>
      </c>
      <c r="P2229" s="348">
        <v>4.0250000000000004</v>
      </c>
      <c r="Q2229" s="348">
        <v>0.31</v>
      </c>
    </row>
    <row r="2230" spans="1:17" ht="15" hidden="1" customHeight="1">
      <c r="A2230" s="163">
        <v>2225</v>
      </c>
      <c r="B2230" s="53" t="s">
        <v>39</v>
      </c>
      <c r="C2230" s="53" t="s">
        <v>4464</v>
      </c>
      <c r="D2230" s="53">
        <v>100026355</v>
      </c>
      <c r="E2230" s="55" t="s">
        <v>4465</v>
      </c>
      <c r="F2230" s="129">
        <v>20</v>
      </c>
      <c r="G2230" s="129">
        <v>5400</v>
      </c>
      <c r="H2230" s="512">
        <v>22.99</v>
      </c>
      <c r="I2230" s="265" t="s">
        <v>76</v>
      </c>
      <c r="J2230" s="265" t="s">
        <v>102</v>
      </c>
      <c r="K2230" s="265" t="s">
        <v>4466</v>
      </c>
      <c r="L2230" s="348" t="s">
        <v>1205</v>
      </c>
      <c r="M2230" s="265" t="s">
        <v>4468</v>
      </c>
      <c r="N2230" s="347">
        <v>0.27600000000000002</v>
      </c>
      <c r="O2230" s="348" t="s">
        <v>1205</v>
      </c>
      <c r="P2230" s="348">
        <v>5.5250000000000004</v>
      </c>
      <c r="Q2230" s="348">
        <v>0.31</v>
      </c>
    </row>
    <row r="2231" spans="1:17" ht="15" hidden="1" customHeight="1">
      <c r="A2231" s="163">
        <v>2226</v>
      </c>
      <c r="B2231" s="53" t="s">
        <v>39</v>
      </c>
      <c r="C2231" s="53" t="s">
        <v>4469</v>
      </c>
      <c r="D2231" s="53">
        <v>100026362</v>
      </c>
      <c r="E2231" s="55" t="s">
        <v>4470</v>
      </c>
      <c r="F2231" s="129">
        <v>25</v>
      </c>
      <c r="G2231" s="129">
        <v>6750</v>
      </c>
      <c r="H2231" s="512">
        <v>5.31</v>
      </c>
      <c r="I2231" s="265" t="s">
        <v>76</v>
      </c>
      <c r="J2231" s="265" t="s">
        <v>102</v>
      </c>
      <c r="K2231" s="265" t="s">
        <v>4471</v>
      </c>
      <c r="L2231" s="265" t="s">
        <v>4472</v>
      </c>
      <c r="M2231" s="265" t="s">
        <v>4473</v>
      </c>
      <c r="N2231" s="347">
        <v>0.122</v>
      </c>
      <c r="O2231" s="348">
        <v>5</v>
      </c>
      <c r="P2231" s="348">
        <v>3.05</v>
      </c>
      <c r="Q2231" s="348">
        <v>0.31</v>
      </c>
    </row>
    <row r="2232" spans="1:17" ht="15" hidden="1" customHeight="1">
      <c r="A2232" s="163">
        <v>2227</v>
      </c>
      <c r="B2232" s="53" t="s">
        <v>39</v>
      </c>
      <c r="C2232" s="53" t="s">
        <v>4474</v>
      </c>
      <c r="D2232" s="53">
        <v>100026363</v>
      </c>
      <c r="E2232" s="55" t="s">
        <v>4475</v>
      </c>
      <c r="F2232" s="129">
        <v>25</v>
      </c>
      <c r="G2232" s="129">
        <v>6750</v>
      </c>
      <c r="H2232" s="512">
        <v>5.87</v>
      </c>
      <c r="I2232" s="265" t="s">
        <v>359</v>
      </c>
      <c r="J2232" s="265" t="s">
        <v>102</v>
      </c>
      <c r="K2232" s="265" t="s">
        <v>4476</v>
      </c>
      <c r="L2232" s="265" t="s">
        <v>4477</v>
      </c>
      <c r="M2232" s="265" t="s">
        <v>4478</v>
      </c>
      <c r="N2232" s="347">
        <v>0.16700000000000001</v>
      </c>
      <c r="O2232" s="348">
        <v>5</v>
      </c>
      <c r="P2232" s="348">
        <v>4.1749999999999998</v>
      </c>
      <c r="Q2232" s="348">
        <v>0.31</v>
      </c>
    </row>
    <row r="2233" spans="1:17" ht="15" hidden="1" customHeight="1">
      <c r="A2233" s="163">
        <v>2228</v>
      </c>
      <c r="B2233" s="53" t="s">
        <v>40</v>
      </c>
      <c r="C2233" s="53" t="s">
        <v>4482</v>
      </c>
      <c r="D2233" s="53">
        <v>100026151</v>
      </c>
      <c r="E2233" s="55" t="s">
        <v>4483</v>
      </c>
      <c r="F2233" s="129">
        <v>20</v>
      </c>
      <c r="G2233" s="129" t="s">
        <v>2803</v>
      </c>
      <c r="H2233" s="512">
        <v>12.53</v>
      </c>
      <c r="I2233" s="265" t="s">
        <v>76</v>
      </c>
      <c r="J2233" s="265" t="s">
        <v>102</v>
      </c>
      <c r="K2233" s="265" t="s">
        <v>4484</v>
      </c>
      <c r="L2233" s="348" t="s">
        <v>1205</v>
      </c>
      <c r="M2233" s="265" t="s">
        <v>4485</v>
      </c>
      <c r="N2233" s="347">
        <v>0.34399999999999997</v>
      </c>
      <c r="O2233" s="348" t="s">
        <v>1205</v>
      </c>
      <c r="P2233" s="348">
        <v>7.3860000000000001</v>
      </c>
      <c r="Q2233" s="348">
        <v>0.27</v>
      </c>
    </row>
    <row r="2234" spans="1:17" ht="15" hidden="1" customHeight="1">
      <c r="A2234" s="163">
        <v>2229</v>
      </c>
      <c r="B2234" s="53" t="s">
        <v>40</v>
      </c>
      <c r="C2234" s="53" t="s">
        <v>4486</v>
      </c>
      <c r="D2234" s="53">
        <v>100026153</v>
      </c>
      <c r="E2234" s="55" t="s">
        <v>4487</v>
      </c>
      <c r="F2234" s="129">
        <v>12</v>
      </c>
      <c r="G2234" s="129" t="s">
        <v>2803</v>
      </c>
      <c r="H2234" s="512">
        <v>15.06</v>
      </c>
      <c r="I2234" s="265" t="s">
        <v>76</v>
      </c>
      <c r="J2234" s="265" t="s">
        <v>102</v>
      </c>
      <c r="K2234" s="265" t="s">
        <v>4488</v>
      </c>
      <c r="L2234" s="348" t="s">
        <v>1205</v>
      </c>
      <c r="M2234" s="265" t="s">
        <v>4489</v>
      </c>
      <c r="N2234" s="347">
        <v>0.47099999999999997</v>
      </c>
      <c r="O2234" s="348" t="s">
        <v>1205</v>
      </c>
      <c r="P2234" s="348">
        <v>5.9050000000000002</v>
      </c>
      <c r="Q2234" s="348">
        <v>0.27</v>
      </c>
    </row>
    <row r="2235" spans="1:17" ht="15" hidden="1" customHeight="1">
      <c r="A2235" s="163">
        <v>2230</v>
      </c>
      <c r="B2235" s="53" t="s">
        <v>40</v>
      </c>
      <c r="C2235" s="53" t="s">
        <v>4490</v>
      </c>
      <c r="D2235" s="53">
        <v>100026155</v>
      </c>
      <c r="E2235" s="55" t="s">
        <v>4491</v>
      </c>
      <c r="F2235" s="129">
        <v>9</v>
      </c>
      <c r="G2235" s="129" t="s">
        <v>2803</v>
      </c>
      <c r="H2235" s="512">
        <v>18.84</v>
      </c>
      <c r="I2235" s="265" t="s">
        <v>76</v>
      </c>
      <c r="J2235" s="265" t="s">
        <v>102</v>
      </c>
      <c r="K2235" s="265" t="s">
        <v>4492</v>
      </c>
      <c r="L2235" s="348" t="s">
        <v>1205</v>
      </c>
      <c r="M2235" s="265" t="s">
        <v>4493</v>
      </c>
      <c r="N2235" s="347">
        <v>0.81799999999999995</v>
      </c>
      <c r="O2235" s="348" t="s">
        <v>1205</v>
      </c>
      <c r="P2235" s="348">
        <v>7.8890000000000002</v>
      </c>
      <c r="Q2235" s="348">
        <v>0.27</v>
      </c>
    </row>
    <row r="2236" spans="1:17" ht="15" hidden="1" customHeight="1">
      <c r="A2236" s="163">
        <v>2231</v>
      </c>
      <c r="B2236" s="53" t="s">
        <v>11327</v>
      </c>
      <c r="C2236" s="53" t="s">
        <v>4497</v>
      </c>
      <c r="D2236" s="53">
        <v>100026145</v>
      </c>
      <c r="E2236" s="55" t="s">
        <v>4498</v>
      </c>
      <c r="F2236" s="129">
        <v>25</v>
      </c>
      <c r="G2236" s="129">
        <v>6750</v>
      </c>
      <c r="H2236" s="512">
        <v>13.55</v>
      </c>
      <c r="I2236" s="265" t="s">
        <v>76</v>
      </c>
      <c r="J2236" s="265" t="s">
        <v>102</v>
      </c>
      <c r="K2236" s="265" t="s">
        <v>4499</v>
      </c>
      <c r="L2236" s="348" t="s">
        <v>1205</v>
      </c>
      <c r="M2236" s="265" t="s">
        <v>4500</v>
      </c>
      <c r="N2236" s="347">
        <v>0.222</v>
      </c>
      <c r="O2236" s="348" t="s">
        <v>1205</v>
      </c>
      <c r="P2236" s="348">
        <v>5.55</v>
      </c>
      <c r="Q2236" s="348">
        <v>0.31</v>
      </c>
    </row>
    <row r="2237" spans="1:17" ht="15" hidden="1" customHeight="1">
      <c r="A2237" s="163">
        <v>2232</v>
      </c>
      <c r="B2237" s="53" t="s">
        <v>11327</v>
      </c>
      <c r="C2237" s="53" t="s">
        <v>4501</v>
      </c>
      <c r="D2237" s="53">
        <v>100026146</v>
      </c>
      <c r="E2237" s="55" t="s">
        <v>4502</v>
      </c>
      <c r="F2237" s="129">
        <v>25</v>
      </c>
      <c r="G2237" s="129">
        <v>6750</v>
      </c>
      <c r="H2237" s="512">
        <v>15.03</v>
      </c>
      <c r="I2237" s="265" t="s">
        <v>76</v>
      </c>
      <c r="J2237" s="265" t="s">
        <v>102</v>
      </c>
      <c r="K2237" s="265" t="s">
        <v>4503</v>
      </c>
      <c r="L2237" s="348" t="s">
        <v>1205</v>
      </c>
      <c r="M2237" s="265" t="s">
        <v>4504</v>
      </c>
      <c r="N2237" s="347">
        <v>0.29199999999999998</v>
      </c>
      <c r="O2237" s="348" t="s">
        <v>1205</v>
      </c>
      <c r="P2237" s="348">
        <v>7.29</v>
      </c>
      <c r="Q2237" s="348">
        <v>0.31</v>
      </c>
    </row>
    <row r="2238" spans="1:17" ht="15" hidden="1" customHeight="1">
      <c r="A2238" s="163">
        <v>2233</v>
      </c>
      <c r="B2238" s="53" t="s">
        <v>11327</v>
      </c>
      <c r="C2238" s="53" t="s">
        <v>4505</v>
      </c>
      <c r="D2238" s="53">
        <v>100026147</v>
      </c>
      <c r="E2238" s="55" t="s">
        <v>4506</v>
      </c>
      <c r="F2238" s="129">
        <v>25</v>
      </c>
      <c r="G2238" s="129">
        <v>3750</v>
      </c>
      <c r="H2238" s="512">
        <v>17.600000000000001</v>
      </c>
      <c r="I2238" s="265" t="s">
        <v>76</v>
      </c>
      <c r="J2238" s="265" t="s">
        <v>102</v>
      </c>
      <c r="K2238" s="265" t="s">
        <v>4507</v>
      </c>
      <c r="L2238" s="348" t="s">
        <v>1205</v>
      </c>
      <c r="M2238" s="265" t="s">
        <v>4508</v>
      </c>
      <c r="N2238" s="347">
        <v>0.39500000000000002</v>
      </c>
      <c r="O2238" s="348" t="s">
        <v>1205</v>
      </c>
      <c r="P2238" s="348">
        <v>9.8800000000000008</v>
      </c>
      <c r="Q2238" s="348">
        <v>0.5</v>
      </c>
    </row>
    <row r="2239" spans="1:17" ht="15" hidden="1" customHeight="1">
      <c r="A2239" s="163">
        <v>2234</v>
      </c>
      <c r="B2239" s="53" t="s">
        <v>11327</v>
      </c>
      <c r="C2239" s="53" t="s">
        <v>4509</v>
      </c>
      <c r="D2239" s="53">
        <v>100026148</v>
      </c>
      <c r="E2239" s="55" t="s">
        <v>4510</v>
      </c>
      <c r="F2239" s="129">
        <v>15</v>
      </c>
      <c r="G2239" s="129">
        <v>1800</v>
      </c>
      <c r="H2239" s="512">
        <v>33.11</v>
      </c>
      <c r="I2239" s="265" t="s">
        <v>76</v>
      </c>
      <c r="J2239" s="265" t="s">
        <v>102</v>
      </c>
      <c r="K2239" s="265" t="s">
        <v>4511</v>
      </c>
      <c r="L2239" s="348" t="s">
        <v>1205</v>
      </c>
      <c r="M2239" s="265" t="s">
        <v>4512</v>
      </c>
      <c r="N2239" s="347">
        <v>0.64800000000000002</v>
      </c>
      <c r="O2239" s="348" t="s">
        <v>1205</v>
      </c>
      <c r="P2239" s="348">
        <v>9.7200000000000006</v>
      </c>
      <c r="Q2239" s="348">
        <v>0.65</v>
      </c>
    </row>
    <row r="2240" spans="1:17" ht="15" hidden="1" customHeight="1">
      <c r="A2240" s="163">
        <v>2235</v>
      </c>
      <c r="B2240" s="53" t="s">
        <v>11327</v>
      </c>
      <c r="C2240" s="53" t="s">
        <v>4513</v>
      </c>
      <c r="D2240" s="53">
        <v>100026149</v>
      </c>
      <c r="E2240" s="55" t="s">
        <v>4514</v>
      </c>
      <c r="F2240" s="129">
        <v>15</v>
      </c>
      <c r="G2240" s="129">
        <v>1800</v>
      </c>
      <c r="H2240" s="512">
        <v>33.130000000000003</v>
      </c>
      <c r="I2240" s="265" t="s">
        <v>76</v>
      </c>
      <c r="J2240" s="265" t="s">
        <v>102</v>
      </c>
      <c r="K2240" s="265" t="s">
        <v>4515</v>
      </c>
      <c r="L2240" s="348" t="s">
        <v>1205</v>
      </c>
      <c r="M2240" s="265" t="s">
        <v>4516</v>
      </c>
      <c r="N2240" s="347">
        <v>0.67200000000000004</v>
      </c>
      <c r="O2240" s="348" t="s">
        <v>1205</v>
      </c>
      <c r="P2240" s="348">
        <v>9.15</v>
      </c>
      <c r="Q2240" s="348">
        <v>0.65</v>
      </c>
    </row>
    <row r="2241" spans="1:17" ht="15" hidden="1" customHeight="1">
      <c r="A2241" s="163">
        <v>2236</v>
      </c>
      <c r="B2241" s="53" t="s">
        <v>11327</v>
      </c>
      <c r="C2241" s="53" t="s">
        <v>4517</v>
      </c>
      <c r="D2241" s="53">
        <v>100026150</v>
      </c>
      <c r="E2241" s="55" t="s">
        <v>4518</v>
      </c>
      <c r="F2241" s="129">
        <v>10</v>
      </c>
      <c r="G2241" s="129">
        <v>900</v>
      </c>
      <c r="H2241" s="512">
        <v>55.82</v>
      </c>
      <c r="I2241" s="265" t="s">
        <v>76</v>
      </c>
      <c r="J2241" s="265" t="s">
        <v>102</v>
      </c>
      <c r="K2241" s="265" t="s">
        <v>4519</v>
      </c>
      <c r="L2241" s="348" t="s">
        <v>1205</v>
      </c>
      <c r="M2241" s="265" t="s">
        <v>4520</v>
      </c>
      <c r="N2241" s="347">
        <v>1.34</v>
      </c>
      <c r="O2241" s="348" t="s">
        <v>1205</v>
      </c>
      <c r="P2241" s="348">
        <v>13.4</v>
      </c>
      <c r="Q2241" s="348">
        <v>0.8</v>
      </c>
    </row>
    <row r="2242" spans="1:17" ht="15" hidden="1" customHeight="1">
      <c r="A2242" s="163">
        <v>2237</v>
      </c>
      <c r="B2242" s="53" t="s">
        <v>42</v>
      </c>
      <c r="C2242" s="53" t="s">
        <v>4523</v>
      </c>
      <c r="D2242" s="53">
        <v>100026070</v>
      </c>
      <c r="E2242" s="55" t="s">
        <v>4524</v>
      </c>
      <c r="F2242" s="129">
        <v>4</v>
      </c>
      <c r="G2242" s="129">
        <v>0</v>
      </c>
      <c r="H2242" s="512">
        <v>91.74</v>
      </c>
      <c r="I2242" s="265" t="s">
        <v>359</v>
      </c>
      <c r="J2242" s="265" t="s">
        <v>77</v>
      </c>
      <c r="K2242" s="265" t="s">
        <v>4525</v>
      </c>
      <c r="L2242" s="348" t="s">
        <v>1205</v>
      </c>
      <c r="M2242" s="265" t="s">
        <v>4526</v>
      </c>
      <c r="N2242" s="347">
        <v>2.2000000000000002</v>
      </c>
      <c r="O2242" s="348" t="s">
        <v>1205</v>
      </c>
      <c r="P2242" s="348">
        <v>12.9</v>
      </c>
      <c r="Q2242" s="348">
        <v>0.87</v>
      </c>
    </row>
    <row r="2243" spans="1:17" ht="15" hidden="1" customHeight="1">
      <c r="A2243" s="163">
        <v>2238</v>
      </c>
      <c r="B2243" s="53" t="s">
        <v>42</v>
      </c>
      <c r="C2243" s="53" t="s">
        <v>4527</v>
      </c>
      <c r="D2243" s="53">
        <v>100026071</v>
      </c>
      <c r="E2243" s="55" t="s">
        <v>4528</v>
      </c>
      <c r="F2243" s="129">
        <v>2</v>
      </c>
      <c r="G2243" s="129">
        <v>0</v>
      </c>
      <c r="H2243" s="512">
        <v>137.38</v>
      </c>
      <c r="I2243" s="265" t="s">
        <v>359</v>
      </c>
      <c r="J2243" s="265" t="s">
        <v>77</v>
      </c>
      <c r="K2243" s="265" t="s">
        <v>4529</v>
      </c>
      <c r="L2243" s="348" t="s">
        <v>1205</v>
      </c>
      <c r="M2243" s="265" t="s">
        <v>4530</v>
      </c>
      <c r="N2243" s="347">
        <v>4.8689999999999998</v>
      </c>
      <c r="O2243" s="348" t="s">
        <v>1205</v>
      </c>
      <c r="P2243" s="348">
        <v>29.4</v>
      </c>
      <c r="Q2243" s="348">
        <v>0.71</v>
      </c>
    </row>
    <row r="2244" spans="1:17" ht="15" hidden="1" customHeight="1">
      <c r="A2244" s="163">
        <v>2239</v>
      </c>
      <c r="B2244" s="53" t="s">
        <v>42</v>
      </c>
      <c r="C2244" s="53" t="s">
        <v>4531</v>
      </c>
      <c r="D2244" s="53">
        <v>100026069</v>
      </c>
      <c r="E2244" s="55" t="s">
        <v>4532</v>
      </c>
      <c r="F2244" s="129">
        <v>10</v>
      </c>
      <c r="G2244" s="129">
        <v>0</v>
      </c>
      <c r="H2244" s="512">
        <v>70.03</v>
      </c>
      <c r="I2244" s="265" t="s">
        <v>359</v>
      </c>
      <c r="J2244" s="265" t="s">
        <v>77</v>
      </c>
      <c r="K2244" s="265" t="s">
        <v>4533</v>
      </c>
      <c r="L2244" s="348" t="s">
        <v>1205</v>
      </c>
      <c r="M2244" s="265" t="s">
        <v>4534</v>
      </c>
      <c r="N2244" s="347">
        <v>2.3290000000000002</v>
      </c>
      <c r="O2244" s="348" t="s">
        <v>1205</v>
      </c>
      <c r="P2244" s="348">
        <v>23.29</v>
      </c>
      <c r="Q2244" s="348">
        <v>1.38</v>
      </c>
    </row>
    <row r="2245" spans="1:17" ht="15" hidden="1" customHeight="1">
      <c r="A2245" s="163">
        <v>2240</v>
      </c>
      <c r="B2245" s="53" t="s">
        <v>42</v>
      </c>
      <c r="C2245" s="53" t="s">
        <v>4535</v>
      </c>
      <c r="D2245" s="53">
        <v>100026068</v>
      </c>
      <c r="E2245" s="55" t="s">
        <v>4536</v>
      </c>
      <c r="F2245" s="129">
        <v>20</v>
      </c>
      <c r="G2245" s="129">
        <v>0</v>
      </c>
      <c r="H2245" s="512">
        <v>32.79</v>
      </c>
      <c r="I2245" s="265" t="s">
        <v>359</v>
      </c>
      <c r="J2245" s="265" t="s">
        <v>77</v>
      </c>
      <c r="K2245" s="265" t="s">
        <v>4537</v>
      </c>
      <c r="L2245" s="348" t="s">
        <v>1205</v>
      </c>
      <c r="M2245" s="265" t="s">
        <v>4538</v>
      </c>
      <c r="N2245" s="347">
        <v>2.2549999999999999</v>
      </c>
      <c r="O2245" s="348" t="s">
        <v>1205</v>
      </c>
      <c r="P2245" s="348">
        <v>24.7</v>
      </c>
      <c r="Q2245" s="348">
        <v>1.45</v>
      </c>
    </row>
    <row r="2246" spans="1:17" ht="15" hidden="1" customHeight="1">
      <c r="A2246" s="163">
        <v>2241</v>
      </c>
      <c r="B2246" s="53" t="s">
        <v>42</v>
      </c>
      <c r="C2246" s="53" t="s">
        <v>4539</v>
      </c>
      <c r="D2246" s="53">
        <v>100026072</v>
      </c>
      <c r="E2246" s="55" t="s">
        <v>4540</v>
      </c>
      <c r="F2246" s="129">
        <v>6</v>
      </c>
      <c r="G2246" s="129">
        <v>0</v>
      </c>
      <c r="H2246" s="512">
        <v>295.75</v>
      </c>
      <c r="I2246" s="265" t="s">
        <v>359</v>
      </c>
      <c r="J2246" s="265" t="s">
        <v>77</v>
      </c>
      <c r="K2246" s="265" t="s">
        <v>4541</v>
      </c>
      <c r="L2246" s="348" t="s">
        <v>1205</v>
      </c>
      <c r="M2246" s="265" t="s">
        <v>4542</v>
      </c>
      <c r="N2246" s="347">
        <v>7.3570000000000002</v>
      </c>
      <c r="O2246" s="348" t="s">
        <v>1205</v>
      </c>
      <c r="P2246" s="348">
        <v>44.14</v>
      </c>
      <c r="Q2246" s="348">
        <v>3.51</v>
      </c>
    </row>
    <row r="2247" spans="1:17" ht="15" hidden="1" customHeight="1">
      <c r="A2247" s="163">
        <v>2242</v>
      </c>
      <c r="B2247" s="53" t="s">
        <v>42</v>
      </c>
      <c r="C2247" s="53" t="s">
        <v>4543</v>
      </c>
      <c r="D2247" s="53">
        <v>100026064</v>
      </c>
      <c r="E2247" s="55" t="s">
        <v>4544</v>
      </c>
      <c r="F2247" s="129">
        <v>120</v>
      </c>
      <c r="G2247" s="129">
        <v>0</v>
      </c>
      <c r="H2247" s="512">
        <v>10.34</v>
      </c>
      <c r="I2247" s="265" t="s">
        <v>369</v>
      </c>
      <c r="J2247" s="265" t="s">
        <v>77</v>
      </c>
      <c r="K2247" s="265" t="s">
        <v>4545</v>
      </c>
      <c r="L2247" s="348" t="s">
        <v>1205</v>
      </c>
      <c r="M2247" s="265" t="s">
        <v>4546</v>
      </c>
      <c r="N2247" s="347">
        <v>0.36199999999999999</v>
      </c>
      <c r="O2247" s="348" t="s">
        <v>1205</v>
      </c>
      <c r="P2247" s="348">
        <v>31.24</v>
      </c>
      <c r="Q2247" s="348">
        <v>1.38</v>
      </c>
    </row>
    <row r="2248" spans="1:17" ht="15" hidden="1" customHeight="1">
      <c r="A2248" s="163">
        <v>2243</v>
      </c>
      <c r="B2248" s="53" t="s">
        <v>42</v>
      </c>
      <c r="C2248" s="53" t="s">
        <v>4547</v>
      </c>
      <c r="D2248" s="53">
        <v>100026067</v>
      </c>
      <c r="E2248" s="55" t="s">
        <v>4548</v>
      </c>
      <c r="F2248" s="129">
        <v>54</v>
      </c>
      <c r="G2248" s="129">
        <v>0</v>
      </c>
      <c r="H2248" s="512">
        <v>23.14</v>
      </c>
      <c r="I2248" s="265" t="s">
        <v>369</v>
      </c>
      <c r="J2248" s="265" t="s">
        <v>77</v>
      </c>
      <c r="K2248" s="265" t="s">
        <v>4549</v>
      </c>
      <c r="L2248" s="348" t="s">
        <v>1205</v>
      </c>
      <c r="M2248" s="265" t="s">
        <v>4550</v>
      </c>
      <c r="N2248" s="347">
        <v>0.877</v>
      </c>
      <c r="O2248" s="348" t="s">
        <v>1205</v>
      </c>
      <c r="P2248" s="348">
        <v>47.375</v>
      </c>
      <c r="Q2248" s="348" t="s">
        <v>1205</v>
      </c>
    </row>
    <row r="2249" spans="1:17" ht="15" hidden="1" customHeight="1">
      <c r="A2249" s="163">
        <v>2244</v>
      </c>
      <c r="B2249" s="53" t="s">
        <v>42</v>
      </c>
      <c r="C2249" s="53" t="s">
        <v>4551</v>
      </c>
      <c r="D2249" s="53">
        <v>100026065</v>
      </c>
      <c r="E2249" s="55" t="s">
        <v>4552</v>
      </c>
      <c r="F2249" s="129">
        <v>120</v>
      </c>
      <c r="G2249" s="129">
        <v>0</v>
      </c>
      <c r="H2249" s="512">
        <v>13.76</v>
      </c>
      <c r="I2249" s="265" t="s">
        <v>369</v>
      </c>
      <c r="J2249" s="265" t="s">
        <v>77</v>
      </c>
      <c r="K2249" s="265" t="s">
        <v>4553</v>
      </c>
      <c r="L2249" s="348" t="s">
        <v>1205</v>
      </c>
      <c r="M2249" s="265" t="s">
        <v>4554</v>
      </c>
      <c r="N2249" s="347">
        <v>0.47599999999999998</v>
      </c>
      <c r="O2249" s="348" t="s">
        <v>1205</v>
      </c>
      <c r="P2249" s="348">
        <v>28.99</v>
      </c>
      <c r="Q2249" s="348">
        <v>1.35</v>
      </c>
    </row>
    <row r="2250" spans="1:17" ht="15" hidden="1" customHeight="1">
      <c r="A2250" s="163">
        <v>2245</v>
      </c>
      <c r="B2250" s="53" t="s">
        <v>43</v>
      </c>
      <c r="C2250" s="53" t="s">
        <v>4557</v>
      </c>
      <c r="D2250" s="53">
        <v>100026255</v>
      </c>
      <c r="E2250" s="55" t="s">
        <v>4558</v>
      </c>
      <c r="F2250" s="129">
        <v>200</v>
      </c>
      <c r="G2250" s="129">
        <v>24000</v>
      </c>
      <c r="H2250" s="512">
        <v>6.5</v>
      </c>
      <c r="I2250" s="265" t="s">
        <v>76</v>
      </c>
      <c r="J2250" s="265" t="s">
        <v>102</v>
      </c>
      <c r="K2250" s="265" t="s">
        <v>4559</v>
      </c>
      <c r="L2250" s="265" t="s">
        <v>4560</v>
      </c>
      <c r="M2250" s="265" t="s">
        <v>4561</v>
      </c>
      <c r="N2250" s="347">
        <v>0.08</v>
      </c>
      <c r="O2250" s="348">
        <v>25</v>
      </c>
      <c r="P2250" s="348">
        <v>11.7</v>
      </c>
      <c r="Q2250" s="348">
        <v>0.65</v>
      </c>
    </row>
    <row r="2251" spans="1:17" ht="15" hidden="1" customHeight="1">
      <c r="A2251" s="163">
        <v>2246</v>
      </c>
      <c r="B2251" s="53" t="s">
        <v>43</v>
      </c>
      <c r="C2251" s="53" t="s">
        <v>4562</v>
      </c>
      <c r="D2251" s="53">
        <v>100026256</v>
      </c>
      <c r="E2251" s="55" t="s">
        <v>4563</v>
      </c>
      <c r="F2251" s="129">
        <v>200</v>
      </c>
      <c r="G2251" s="129">
        <v>24000</v>
      </c>
      <c r="H2251" s="512">
        <v>6.63</v>
      </c>
      <c r="I2251" s="265" t="s">
        <v>76</v>
      </c>
      <c r="J2251" s="265" t="s">
        <v>102</v>
      </c>
      <c r="K2251" s="265" t="s">
        <v>4564</v>
      </c>
      <c r="L2251" s="265" t="s">
        <v>4565</v>
      </c>
      <c r="M2251" s="265" t="s">
        <v>4566</v>
      </c>
      <c r="N2251" s="347">
        <v>8.5000000000000006E-2</v>
      </c>
      <c r="O2251" s="348">
        <v>25</v>
      </c>
      <c r="P2251" s="348">
        <v>12.65</v>
      </c>
      <c r="Q2251" s="348">
        <v>0.65</v>
      </c>
    </row>
    <row r="2252" spans="1:17" ht="15" hidden="1" customHeight="1">
      <c r="A2252" s="163">
        <v>2247</v>
      </c>
      <c r="B2252" s="53" t="s">
        <v>43</v>
      </c>
      <c r="C2252" s="53" t="s">
        <v>4567</v>
      </c>
      <c r="D2252" s="53">
        <v>100026257</v>
      </c>
      <c r="E2252" s="55" t="s">
        <v>4568</v>
      </c>
      <c r="F2252" s="129">
        <v>200</v>
      </c>
      <c r="G2252" s="129">
        <v>18000</v>
      </c>
      <c r="H2252" s="512">
        <v>6.68</v>
      </c>
      <c r="I2252" s="265" t="s">
        <v>76</v>
      </c>
      <c r="J2252" s="265" t="s">
        <v>102</v>
      </c>
      <c r="K2252" s="265" t="s">
        <v>4569</v>
      </c>
      <c r="L2252" s="265" t="s">
        <v>4570</v>
      </c>
      <c r="M2252" s="265" t="s">
        <v>4571</v>
      </c>
      <c r="N2252" s="347">
        <v>0.1</v>
      </c>
      <c r="O2252" s="348">
        <v>25</v>
      </c>
      <c r="P2252" s="348">
        <v>16.2</v>
      </c>
      <c r="Q2252" s="348">
        <v>0.8</v>
      </c>
    </row>
    <row r="2253" spans="1:17" ht="15" hidden="1" customHeight="1">
      <c r="A2253" s="163">
        <v>2248</v>
      </c>
      <c r="B2253" s="53" t="s">
        <v>43</v>
      </c>
      <c r="C2253" s="53" t="s">
        <v>4572</v>
      </c>
      <c r="D2253" s="53">
        <v>100026259</v>
      </c>
      <c r="E2253" s="55" t="s">
        <v>4573</v>
      </c>
      <c r="F2253" s="129">
        <v>200</v>
      </c>
      <c r="G2253" s="129">
        <v>30000</v>
      </c>
      <c r="H2253" s="512">
        <v>4.3499999999999996</v>
      </c>
      <c r="I2253" s="265" t="s">
        <v>76</v>
      </c>
      <c r="J2253" s="265" t="s">
        <v>102</v>
      </c>
      <c r="K2253" s="265" t="s">
        <v>4574</v>
      </c>
      <c r="L2253" s="265" t="s">
        <v>4575</v>
      </c>
      <c r="M2253" s="265" t="s">
        <v>4576</v>
      </c>
      <c r="N2253" s="347">
        <v>4.2000000000000003E-2</v>
      </c>
      <c r="O2253" s="348">
        <v>25</v>
      </c>
      <c r="P2253" s="348">
        <v>8.42</v>
      </c>
      <c r="Q2253" s="348">
        <v>0.5</v>
      </c>
    </row>
    <row r="2254" spans="1:17" ht="15" hidden="1" customHeight="1">
      <c r="A2254" s="163">
        <v>2249</v>
      </c>
      <c r="B2254" s="53" t="s">
        <v>43</v>
      </c>
      <c r="C2254" s="53" t="s">
        <v>4577</v>
      </c>
      <c r="D2254" s="53">
        <v>100026260</v>
      </c>
      <c r="E2254" s="55" t="s">
        <v>4578</v>
      </c>
      <c r="F2254" s="129">
        <v>200</v>
      </c>
      <c r="G2254" s="129">
        <v>24000</v>
      </c>
      <c r="H2254" s="512">
        <v>4.5599999999999996</v>
      </c>
      <c r="I2254" s="265" t="s">
        <v>76</v>
      </c>
      <c r="J2254" s="265" t="s">
        <v>102</v>
      </c>
      <c r="K2254" s="265" t="s">
        <v>4579</v>
      </c>
      <c r="L2254" s="265" t="s">
        <v>4580</v>
      </c>
      <c r="M2254" s="265" t="s">
        <v>4581</v>
      </c>
      <c r="N2254" s="347">
        <v>4.5999999999999999E-2</v>
      </c>
      <c r="O2254" s="348">
        <v>25</v>
      </c>
      <c r="P2254" s="348">
        <v>9.2799999999999994</v>
      </c>
      <c r="Q2254" s="348">
        <v>0.65</v>
      </c>
    </row>
    <row r="2255" spans="1:17" ht="15" hidden="1" customHeight="1">
      <c r="A2255" s="163">
        <v>2250</v>
      </c>
      <c r="B2255" s="53" t="s">
        <v>43</v>
      </c>
      <c r="C2255" s="53" t="s">
        <v>4582</v>
      </c>
      <c r="D2255" s="53">
        <v>100026262</v>
      </c>
      <c r="E2255" s="55" t="s">
        <v>4583</v>
      </c>
      <c r="F2255" s="129">
        <v>200</v>
      </c>
      <c r="G2255" s="129">
        <v>30000</v>
      </c>
      <c r="H2255" s="512">
        <v>2.8</v>
      </c>
      <c r="I2255" s="265" t="s">
        <v>76</v>
      </c>
      <c r="J2255" s="265" t="s">
        <v>102</v>
      </c>
      <c r="K2255" s="265" t="s">
        <v>4584</v>
      </c>
      <c r="L2255" s="265" t="s">
        <v>4585</v>
      </c>
      <c r="M2255" s="265" t="s">
        <v>4586</v>
      </c>
      <c r="N2255" s="347">
        <v>3.5999999999999997E-2</v>
      </c>
      <c r="O2255" s="348">
        <v>25</v>
      </c>
      <c r="P2255" s="348">
        <v>8.11</v>
      </c>
      <c r="Q2255" s="348">
        <v>0.5</v>
      </c>
    </row>
    <row r="2256" spans="1:17" ht="15" hidden="1" customHeight="1">
      <c r="A2256" s="163">
        <v>2251</v>
      </c>
      <c r="B2256" s="53" t="s">
        <v>43</v>
      </c>
      <c r="C2256" s="53" t="s">
        <v>4587</v>
      </c>
      <c r="D2256" s="53">
        <v>100026263</v>
      </c>
      <c r="E2256" s="55" t="s">
        <v>4588</v>
      </c>
      <c r="F2256" s="129">
        <v>200</v>
      </c>
      <c r="G2256" s="129">
        <v>30000</v>
      </c>
      <c r="H2256" s="512">
        <v>2.8</v>
      </c>
      <c r="I2256" s="265" t="s">
        <v>76</v>
      </c>
      <c r="J2256" s="265" t="s">
        <v>102</v>
      </c>
      <c r="K2256" s="265" t="s">
        <v>4589</v>
      </c>
      <c r="L2256" s="265" t="s">
        <v>4590</v>
      </c>
      <c r="M2256" s="265" t="s">
        <v>4591</v>
      </c>
      <c r="N2256" s="347">
        <v>4.1000000000000002E-2</v>
      </c>
      <c r="O2256" s="348">
        <v>25</v>
      </c>
      <c r="P2256" s="348">
        <v>8.39</v>
      </c>
      <c r="Q2256" s="348">
        <v>0.5</v>
      </c>
    </row>
    <row r="2257" spans="1:17" ht="15" hidden="1" customHeight="1">
      <c r="A2257" s="163">
        <v>2252</v>
      </c>
      <c r="B2257" s="53" t="s">
        <v>43</v>
      </c>
      <c r="C2257" s="53" t="s">
        <v>4592</v>
      </c>
      <c r="D2257" s="53">
        <v>100026264</v>
      </c>
      <c r="E2257" s="55" t="s">
        <v>4593</v>
      </c>
      <c r="F2257" s="129">
        <v>200</v>
      </c>
      <c r="G2257" s="129">
        <v>24000</v>
      </c>
      <c r="H2257" s="512">
        <v>5.0199999999999996</v>
      </c>
      <c r="I2257" s="265" t="s">
        <v>76</v>
      </c>
      <c r="J2257" s="265" t="s">
        <v>102</v>
      </c>
      <c r="K2257" s="265" t="s">
        <v>4594</v>
      </c>
      <c r="L2257" s="265" t="s">
        <v>4595</v>
      </c>
      <c r="M2257" s="265" t="s">
        <v>4596</v>
      </c>
      <c r="N2257" s="347">
        <v>5.5E-2</v>
      </c>
      <c r="O2257" s="348">
        <v>25</v>
      </c>
      <c r="P2257" s="348">
        <v>11.18</v>
      </c>
      <c r="Q2257" s="348">
        <v>0.65</v>
      </c>
    </row>
    <row r="2258" spans="1:17" ht="15" hidden="1" customHeight="1">
      <c r="A2258" s="163">
        <v>2253</v>
      </c>
      <c r="B2258" s="53" t="s">
        <v>43</v>
      </c>
      <c r="C2258" s="53" t="s">
        <v>4597</v>
      </c>
      <c r="D2258" s="53">
        <v>100026270</v>
      </c>
      <c r="E2258" s="55" t="s">
        <v>4598</v>
      </c>
      <c r="F2258" s="129">
        <v>200</v>
      </c>
      <c r="G2258" s="129">
        <v>15000</v>
      </c>
      <c r="H2258" s="512">
        <v>5.0199999999999996</v>
      </c>
      <c r="I2258" s="265" t="s">
        <v>359</v>
      </c>
      <c r="J2258" s="265" t="s">
        <v>102</v>
      </c>
      <c r="K2258" s="265" t="s">
        <v>4599</v>
      </c>
      <c r="L2258" s="265" t="s">
        <v>4600</v>
      </c>
      <c r="M2258" s="265" t="s">
        <v>4601</v>
      </c>
      <c r="N2258" s="347">
        <v>8.5000000000000006E-2</v>
      </c>
      <c r="O2258" s="348">
        <v>25</v>
      </c>
      <c r="P2258" s="348">
        <v>17.14</v>
      </c>
      <c r="Q2258" s="348">
        <v>0.95</v>
      </c>
    </row>
    <row r="2259" spans="1:17" ht="15" hidden="1" customHeight="1">
      <c r="A2259" s="163">
        <v>2254</v>
      </c>
      <c r="B2259" s="53" t="s">
        <v>43</v>
      </c>
      <c r="C2259" s="53" t="s">
        <v>4602</v>
      </c>
      <c r="D2259" s="53">
        <v>100026272</v>
      </c>
      <c r="E2259" s="55" t="s">
        <v>4603</v>
      </c>
      <c r="F2259" s="129">
        <v>200</v>
      </c>
      <c r="G2259" s="129">
        <v>15000</v>
      </c>
      <c r="H2259" s="512">
        <v>5.85</v>
      </c>
      <c r="I2259" s="265" t="s">
        <v>76</v>
      </c>
      <c r="J2259" s="265" t="s">
        <v>102</v>
      </c>
      <c r="K2259" s="265" t="s">
        <v>4604</v>
      </c>
      <c r="L2259" s="265" t="s">
        <v>4605</v>
      </c>
      <c r="M2259" s="265" t="s">
        <v>4606</v>
      </c>
      <c r="N2259" s="347">
        <v>0.08</v>
      </c>
      <c r="O2259" s="348">
        <v>25</v>
      </c>
      <c r="P2259" s="348">
        <v>17.149999999999999</v>
      </c>
      <c r="Q2259" s="348">
        <v>0.95</v>
      </c>
    </row>
    <row r="2260" spans="1:17" ht="15" hidden="1" customHeight="1">
      <c r="A2260" s="163">
        <v>2255</v>
      </c>
      <c r="B2260" s="53" t="s">
        <v>43</v>
      </c>
      <c r="C2260" s="53" t="s">
        <v>4607</v>
      </c>
      <c r="D2260" s="53">
        <v>100026275</v>
      </c>
      <c r="E2260" s="55" t="s">
        <v>4608</v>
      </c>
      <c r="F2260" s="129">
        <v>200</v>
      </c>
      <c r="G2260" s="129">
        <v>0</v>
      </c>
      <c r="H2260" s="512">
        <v>11.11</v>
      </c>
      <c r="I2260" s="265" t="s">
        <v>76</v>
      </c>
      <c r="J2260" s="265" t="s">
        <v>102</v>
      </c>
      <c r="K2260" s="265" t="s">
        <v>4609</v>
      </c>
      <c r="L2260" s="265" t="s">
        <v>4610</v>
      </c>
      <c r="M2260" s="265" t="s">
        <v>4611</v>
      </c>
      <c r="N2260" s="347">
        <v>0.13500000000000001</v>
      </c>
      <c r="O2260" s="348">
        <v>25</v>
      </c>
      <c r="P2260" s="348">
        <v>17.149999999999999</v>
      </c>
      <c r="Q2260" s="348" t="s">
        <v>1205</v>
      </c>
    </row>
    <row r="2261" spans="1:17" ht="15" hidden="1" customHeight="1">
      <c r="A2261" s="163">
        <v>2256</v>
      </c>
      <c r="B2261" s="53" t="s">
        <v>43</v>
      </c>
      <c r="C2261" s="53" t="s">
        <v>4612</v>
      </c>
      <c r="D2261" s="53">
        <v>100026278</v>
      </c>
      <c r="E2261" s="55" t="s">
        <v>4613</v>
      </c>
      <c r="F2261" s="129">
        <v>200</v>
      </c>
      <c r="G2261" s="129">
        <v>24000</v>
      </c>
      <c r="H2261" s="512">
        <v>5.14</v>
      </c>
      <c r="I2261" s="265" t="s">
        <v>76</v>
      </c>
      <c r="J2261" s="265" t="s">
        <v>102</v>
      </c>
      <c r="K2261" s="265" t="s">
        <v>4614</v>
      </c>
      <c r="L2261" s="265" t="s">
        <v>4615</v>
      </c>
      <c r="M2261" s="265" t="s">
        <v>4616</v>
      </c>
      <c r="N2261" s="347">
        <v>7.0000000000000007E-2</v>
      </c>
      <c r="O2261" s="348">
        <v>25</v>
      </c>
      <c r="P2261" s="348">
        <v>10.6</v>
      </c>
      <c r="Q2261" s="348">
        <v>0.65</v>
      </c>
    </row>
    <row r="2262" spans="1:17" ht="15" hidden="1" customHeight="1">
      <c r="A2262" s="163">
        <v>2257</v>
      </c>
      <c r="B2262" s="53" t="s">
        <v>43</v>
      </c>
      <c r="C2262" s="53" t="s">
        <v>4617</v>
      </c>
      <c r="D2262" s="53">
        <v>100026279</v>
      </c>
      <c r="E2262" s="55" t="s">
        <v>4618</v>
      </c>
      <c r="F2262" s="129">
        <v>200</v>
      </c>
      <c r="G2262" s="129">
        <v>24000</v>
      </c>
      <c r="H2262" s="512">
        <v>5.14</v>
      </c>
      <c r="I2262" s="265" t="s">
        <v>76</v>
      </c>
      <c r="J2262" s="265" t="s">
        <v>102</v>
      </c>
      <c r="K2262" s="265" t="s">
        <v>4619</v>
      </c>
      <c r="L2262" s="265" t="s">
        <v>4620</v>
      </c>
      <c r="M2262" s="265" t="s">
        <v>4621</v>
      </c>
      <c r="N2262" s="347">
        <v>0.08</v>
      </c>
      <c r="O2262" s="348">
        <v>25</v>
      </c>
      <c r="P2262" s="348">
        <v>12.7</v>
      </c>
      <c r="Q2262" s="348">
        <v>0.65</v>
      </c>
    </row>
    <row r="2263" spans="1:17" ht="15" hidden="1" customHeight="1">
      <c r="A2263" s="163">
        <v>2258</v>
      </c>
      <c r="B2263" s="53" t="s">
        <v>43</v>
      </c>
      <c r="C2263" s="53" t="s">
        <v>4622</v>
      </c>
      <c r="D2263" s="53">
        <v>100026280</v>
      </c>
      <c r="E2263" s="55" t="s">
        <v>4623</v>
      </c>
      <c r="F2263" s="129">
        <v>200</v>
      </c>
      <c r="G2263" s="129">
        <v>24000</v>
      </c>
      <c r="H2263" s="512">
        <v>5.14</v>
      </c>
      <c r="I2263" s="265" t="s">
        <v>76</v>
      </c>
      <c r="J2263" s="265" t="s">
        <v>102</v>
      </c>
      <c r="K2263" s="265" t="s">
        <v>4624</v>
      </c>
      <c r="L2263" s="265" t="s">
        <v>4625</v>
      </c>
      <c r="M2263" s="265" t="s">
        <v>4626</v>
      </c>
      <c r="N2263" s="347">
        <v>8.2000000000000003E-2</v>
      </c>
      <c r="O2263" s="348">
        <v>25</v>
      </c>
      <c r="P2263" s="348">
        <v>12.6</v>
      </c>
      <c r="Q2263" s="348">
        <v>0.65</v>
      </c>
    </row>
    <row r="2264" spans="1:17" ht="15" hidden="1" customHeight="1">
      <c r="A2264" s="163">
        <v>2259</v>
      </c>
      <c r="B2264" s="53" t="s">
        <v>43</v>
      </c>
      <c r="C2264" s="53" t="s">
        <v>4627</v>
      </c>
      <c r="D2264" s="53">
        <v>100026282</v>
      </c>
      <c r="E2264" s="55" t="s">
        <v>4628</v>
      </c>
      <c r="F2264" s="129">
        <v>200</v>
      </c>
      <c r="G2264" s="129">
        <v>30000</v>
      </c>
      <c r="H2264" s="512">
        <v>4.5599999999999996</v>
      </c>
      <c r="I2264" s="265" t="s">
        <v>76</v>
      </c>
      <c r="J2264" s="265" t="s">
        <v>102</v>
      </c>
      <c r="K2264" s="265" t="s">
        <v>4629</v>
      </c>
      <c r="L2264" s="265" t="s">
        <v>4630</v>
      </c>
      <c r="M2264" s="265" t="s">
        <v>4631</v>
      </c>
      <c r="N2264" s="347">
        <v>4.7E-2</v>
      </c>
      <c r="O2264" s="348">
        <v>25</v>
      </c>
      <c r="P2264" s="348">
        <v>10.08</v>
      </c>
      <c r="Q2264" s="348">
        <v>0.5</v>
      </c>
    </row>
    <row r="2265" spans="1:17" ht="15" hidden="1" customHeight="1">
      <c r="A2265" s="163">
        <v>2260</v>
      </c>
      <c r="B2265" s="53" t="s">
        <v>43</v>
      </c>
      <c r="C2265" s="53" t="s">
        <v>4632</v>
      </c>
      <c r="D2265" s="53">
        <v>100026283</v>
      </c>
      <c r="E2265" s="55" t="s">
        <v>4633</v>
      </c>
      <c r="F2265" s="129">
        <v>200</v>
      </c>
      <c r="G2265" s="129">
        <v>24000</v>
      </c>
      <c r="H2265" s="512">
        <v>5.14</v>
      </c>
      <c r="I2265" s="265" t="s">
        <v>76</v>
      </c>
      <c r="J2265" s="265" t="s">
        <v>102</v>
      </c>
      <c r="K2265" s="265" t="s">
        <v>4634</v>
      </c>
      <c r="L2265" s="265" t="s">
        <v>4635</v>
      </c>
      <c r="M2265" s="265" t="s">
        <v>4636</v>
      </c>
      <c r="N2265" s="347">
        <v>0.108</v>
      </c>
      <c r="O2265" s="348">
        <v>25</v>
      </c>
      <c r="P2265" s="348">
        <v>11.6</v>
      </c>
      <c r="Q2265" s="348">
        <v>0.65</v>
      </c>
    </row>
    <row r="2266" spans="1:17" ht="15" hidden="1" customHeight="1">
      <c r="A2266" s="163">
        <v>2261</v>
      </c>
      <c r="B2266" s="53" t="s">
        <v>43</v>
      </c>
      <c r="C2266" s="53" t="s">
        <v>4637</v>
      </c>
      <c r="D2266" s="53">
        <v>100026284</v>
      </c>
      <c r="E2266" s="55" t="s">
        <v>4638</v>
      </c>
      <c r="F2266" s="129">
        <v>200</v>
      </c>
      <c r="G2266" s="129">
        <v>24000</v>
      </c>
      <c r="H2266" s="512">
        <v>5.14</v>
      </c>
      <c r="I2266" s="265" t="s">
        <v>76</v>
      </c>
      <c r="J2266" s="265" t="s">
        <v>102</v>
      </c>
      <c r="K2266" s="265" t="s">
        <v>4639</v>
      </c>
      <c r="L2266" s="265" t="s">
        <v>4640</v>
      </c>
      <c r="M2266" s="265" t="s">
        <v>4641</v>
      </c>
      <c r="N2266" s="347">
        <v>8.2000000000000003E-2</v>
      </c>
      <c r="O2266" s="348">
        <v>25</v>
      </c>
      <c r="P2266" s="348">
        <v>12.6</v>
      </c>
      <c r="Q2266" s="348">
        <v>0.65</v>
      </c>
    </row>
    <row r="2267" spans="1:17" ht="15" hidden="1" customHeight="1">
      <c r="A2267" s="163">
        <v>2262</v>
      </c>
      <c r="B2267" s="53" t="s">
        <v>43</v>
      </c>
      <c r="C2267" s="53" t="s">
        <v>4642</v>
      </c>
      <c r="D2267" s="53">
        <v>100026286</v>
      </c>
      <c r="E2267" s="55" t="s">
        <v>4643</v>
      </c>
      <c r="F2267" s="129">
        <v>200</v>
      </c>
      <c r="G2267" s="129">
        <v>24000</v>
      </c>
      <c r="H2267" s="512">
        <v>4.78</v>
      </c>
      <c r="I2267" s="265" t="s">
        <v>359</v>
      </c>
      <c r="J2267" s="265" t="s">
        <v>102</v>
      </c>
      <c r="K2267" s="265" t="s">
        <v>4644</v>
      </c>
      <c r="L2267" s="265" t="s">
        <v>4645</v>
      </c>
      <c r="M2267" s="265" t="s">
        <v>4646</v>
      </c>
      <c r="N2267" s="347">
        <v>7.8E-2</v>
      </c>
      <c r="O2267" s="348">
        <v>25</v>
      </c>
      <c r="P2267" s="348">
        <v>11.6</v>
      </c>
      <c r="Q2267" s="348">
        <v>0.65</v>
      </c>
    </row>
    <row r="2268" spans="1:17" ht="15" hidden="1" customHeight="1">
      <c r="A2268" s="163">
        <v>2263</v>
      </c>
      <c r="B2268" s="53" t="s">
        <v>43</v>
      </c>
      <c r="C2268" s="53" t="s">
        <v>4647</v>
      </c>
      <c r="D2268" s="53">
        <v>100026288</v>
      </c>
      <c r="E2268" s="55" t="s">
        <v>4648</v>
      </c>
      <c r="F2268" s="129">
        <v>200</v>
      </c>
      <c r="G2268" s="129">
        <v>18000</v>
      </c>
      <c r="H2268" s="512">
        <v>5.14</v>
      </c>
      <c r="I2268" s="265" t="s">
        <v>76</v>
      </c>
      <c r="J2268" s="265" t="s">
        <v>102</v>
      </c>
      <c r="K2268" s="265" t="s">
        <v>4649</v>
      </c>
      <c r="L2268" s="265" t="s">
        <v>4650</v>
      </c>
      <c r="M2268" s="265" t="s">
        <v>4651</v>
      </c>
      <c r="N2268" s="347">
        <v>9.5000000000000001E-2</v>
      </c>
      <c r="O2268" s="348">
        <v>25</v>
      </c>
      <c r="P2268" s="348">
        <v>14.75</v>
      </c>
      <c r="Q2268" s="348">
        <v>0.8</v>
      </c>
    </row>
    <row r="2269" spans="1:17" ht="15" hidden="1" customHeight="1">
      <c r="A2269" s="163">
        <v>2264</v>
      </c>
      <c r="B2269" s="53" t="s">
        <v>43</v>
      </c>
      <c r="C2269" s="53" t="s">
        <v>4652</v>
      </c>
      <c r="D2269" s="53">
        <v>100026290</v>
      </c>
      <c r="E2269" s="55" t="s">
        <v>4653</v>
      </c>
      <c r="F2269" s="129">
        <v>200</v>
      </c>
      <c r="G2269" s="129">
        <v>24000</v>
      </c>
      <c r="H2269" s="512">
        <v>4.5599999999999996</v>
      </c>
      <c r="I2269" s="265" t="s">
        <v>76</v>
      </c>
      <c r="J2269" s="265" t="s">
        <v>102</v>
      </c>
      <c r="K2269" s="265" t="s">
        <v>4654</v>
      </c>
      <c r="L2269" s="265" t="s">
        <v>4655</v>
      </c>
      <c r="M2269" s="265" t="s">
        <v>4656</v>
      </c>
      <c r="N2269" s="347">
        <v>6.0999999999999999E-2</v>
      </c>
      <c r="O2269" s="348">
        <v>25</v>
      </c>
      <c r="P2269" s="348">
        <v>12.35</v>
      </c>
      <c r="Q2269" s="348">
        <v>0.65</v>
      </c>
    </row>
    <row r="2270" spans="1:17" ht="15" hidden="1" customHeight="1">
      <c r="A2270" s="163">
        <v>2265</v>
      </c>
      <c r="B2270" s="53" t="s">
        <v>43</v>
      </c>
      <c r="C2270" s="53" t="s">
        <v>4657</v>
      </c>
      <c r="D2270" s="53">
        <v>100026291</v>
      </c>
      <c r="E2270" s="55" t="s">
        <v>4658</v>
      </c>
      <c r="F2270" s="129">
        <v>125</v>
      </c>
      <c r="G2270" s="129">
        <v>11250</v>
      </c>
      <c r="H2270" s="512">
        <v>5.0199999999999996</v>
      </c>
      <c r="I2270" s="265" t="s">
        <v>76</v>
      </c>
      <c r="J2270" s="265" t="s">
        <v>102</v>
      </c>
      <c r="K2270" s="265" t="s">
        <v>4659</v>
      </c>
      <c r="L2270" s="265" t="s">
        <v>4660</v>
      </c>
      <c r="M2270" s="265" t="s">
        <v>4661</v>
      </c>
      <c r="N2270" s="347">
        <v>9.4E-2</v>
      </c>
      <c r="O2270" s="348">
        <v>25</v>
      </c>
      <c r="P2270" s="348">
        <v>12.47</v>
      </c>
      <c r="Q2270" s="348">
        <v>0.8</v>
      </c>
    </row>
    <row r="2271" spans="1:17" ht="15" hidden="1" customHeight="1">
      <c r="A2271" s="163">
        <v>2266</v>
      </c>
      <c r="B2271" s="53" t="s">
        <v>43</v>
      </c>
      <c r="C2271" s="53" t="s">
        <v>4662</v>
      </c>
      <c r="D2271" s="53">
        <v>100026293</v>
      </c>
      <c r="E2271" s="55" t="s">
        <v>4663</v>
      </c>
      <c r="F2271" s="129">
        <v>200</v>
      </c>
      <c r="G2271" s="129">
        <v>54000</v>
      </c>
      <c r="H2271" s="512">
        <v>2.33</v>
      </c>
      <c r="I2271" s="265" t="s">
        <v>76</v>
      </c>
      <c r="J2271" s="265" t="s">
        <v>102</v>
      </c>
      <c r="K2271" s="265" t="s">
        <v>4664</v>
      </c>
      <c r="L2271" s="265" t="s">
        <v>4665</v>
      </c>
      <c r="M2271" s="265" t="s">
        <v>4666</v>
      </c>
      <c r="N2271" s="347">
        <v>0.08</v>
      </c>
      <c r="O2271" s="348">
        <v>25</v>
      </c>
      <c r="P2271" s="348">
        <v>7.3</v>
      </c>
      <c r="Q2271" s="348">
        <v>0.31</v>
      </c>
    </row>
    <row r="2272" spans="1:17" ht="15" hidden="1" customHeight="1">
      <c r="A2272" s="163">
        <v>2280</v>
      </c>
      <c r="B2272" s="53" t="s">
        <v>44</v>
      </c>
      <c r="C2272" s="53" t="s">
        <v>4670</v>
      </c>
      <c r="D2272" s="53">
        <v>100024858</v>
      </c>
      <c r="E2272" s="55" t="s">
        <v>4671</v>
      </c>
      <c r="F2272" s="129">
        <v>10</v>
      </c>
      <c r="G2272" s="129">
        <v>750</v>
      </c>
      <c r="H2272" s="512">
        <v>102.64</v>
      </c>
      <c r="I2272" s="265" t="s">
        <v>359</v>
      </c>
      <c r="J2272" s="265" t="s">
        <v>102</v>
      </c>
      <c r="K2272" s="265" t="s">
        <v>4672</v>
      </c>
      <c r="L2272" s="348" t="s">
        <v>1205</v>
      </c>
      <c r="M2272" s="265" t="s">
        <v>4673</v>
      </c>
      <c r="N2272" s="347">
        <v>1.2490000000000001</v>
      </c>
      <c r="O2272" s="348" t="s">
        <v>1205</v>
      </c>
      <c r="P2272" s="348">
        <v>12.66</v>
      </c>
      <c r="Q2272" s="348">
        <v>1.1000000000000001</v>
      </c>
    </row>
    <row r="2273" spans="1:17" ht="15" hidden="1" customHeight="1">
      <c r="A2273" s="163">
        <v>2281</v>
      </c>
      <c r="B2273" s="53" t="s">
        <v>44</v>
      </c>
      <c r="C2273" s="53" t="s">
        <v>4674</v>
      </c>
      <c r="D2273" s="53">
        <v>100023760</v>
      </c>
      <c r="E2273" s="55" t="s">
        <v>4675</v>
      </c>
      <c r="F2273" s="129">
        <v>10</v>
      </c>
      <c r="G2273" s="129">
        <v>600</v>
      </c>
      <c r="H2273" s="512">
        <v>113.76</v>
      </c>
      <c r="I2273" s="265" t="s">
        <v>359</v>
      </c>
      <c r="J2273" s="265" t="s">
        <v>102</v>
      </c>
      <c r="K2273" s="265" t="s">
        <v>4676</v>
      </c>
      <c r="L2273" s="348" t="s">
        <v>1205</v>
      </c>
      <c r="M2273" s="265" t="s">
        <v>4677</v>
      </c>
      <c r="N2273" s="347">
        <v>1.4279999999999999</v>
      </c>
      <c r="O2273" s="348" t="s">
        <v>1205</v>
      </c>
      <c r="P2273" s="348">
        <v>14.68</v>
      </c>
      <c r="Q2273" s="348">
        <v>1.41</v>
      </c>
    </row>
    <row r="2274" spans="1:17" ht="15" hidden="1" customHeight="1">
      <c r="A2274" s="163">
        <v>2282</v>
      </c>
      <c r="B2274" s="53" t="s">
        <v>44</v>
      </c>
      <c r="C2274" s="53" t="s">
        <v>4678</v>
      </c>
      <c r="D2274" s="53">
        <v>100029615</v>
      </c>
      <c r="E2274" s="55" t="s">
        <v>4679</v>
      </c>
      <c r="F2274" s="129">
        <v>1000</v>
      </c>
      <c r="G2274" s="129">
        <v>75000</v>
      </c>
      <c r="H2274" s="512">
        <v>102.64</v>
      </c>
      <c r="I2274" s="265" t="s">
        <v>359</v>
      </c>
      <c r="J2274" s="265" t="s">
        <v>102</v>
      </c>
      <c r="K2274" s="265" t="s">
        <v>4680</v>
      </c>
      <c r="L2274" s="348" t="s">
        <v>1205</v>
      </c>
      <c r="M2274" s="265" t="s">
        <v>4681</v>
      </c>
      <c r="N2274" s="347">
        <v>1.2290000000000001</v>
      </c>
      <c r="O2274" s="348" t="s">
        <v>1205</v>
      </c>
      <c r="P2274" s="348">
        <v>12.8</v>
      </c>
      <c r="Q2274" s="348">
        <v>0.95</v>
      </c>
    </row>
    <row r="2275" spans="1:17" ht="15" hidden="1" customHeight="1">
      <c r="A2275" s="163">
        <v>2283</v>
      </c>
      <c r="B2275" s="53" t="s">
        <v>44</v>
      </c>
      <c r="C2275" s="53" t="s">
        <v>4682</v>
      </c>
      <c r="D2275" s="53">
        <v>100023761</v>
      </c>
      <c r="E2275" s="55" t="s">
        <v>4683</v>
      </c>
      <c r="F2275" s="129">
        <v>10</v>
      </c>
      <c r="G2275" s="129">
        <v>750</v>
      </c>
      <c r="H2275" s="512">
        <v>102.64</v>
      </c>
      <c r="I2275" s="265" t="s">
        <v>359</v>
      </c>
      <c r="J2275" s="265" t="s">
        <v>102</v>
      </c>
      <c r="K2275" s="265" t="s">
        <v>4684</v>
      </c>
      <c r="L2275" s="348" t="s">
        <v>1205</v>
      </c>
      <c r="M2275" s="265" t="s">
        <v>4685</v>
      </c>
      <c r="N2275" s="347">
        <v>1.23</v>
      </c>
      <c r="O2275" s="348" t="s">
        <v>1205</v>
      </c>
      <c r="P2275" s="348">
        <v>12.565</v>
      </c>
      <c r="Q2275" s="348">
        <v>0.95</v>
      </c>
    </row>
    <row r="2276" spans="1:17" ht="15" hidden="1" customHeight="1">
      <c r="A2276" s="163">
        <v>2284</v>
      </c>
      <c r="B2276" s="53" t="s">
        <v>44</v>
      </c>
      <c r="C2276" s="53" t="s">
        <v>4686</v>
      </c>
      <c r="D2276" s="53">
        <v>100024859</v>
      </c>
      <c r="E2276" s="55" t="s">
        <v>4687</v>
      </c>
      <c r="F2276" s="129">
        <v>10</v>
      </c>
      <c r="G2276" s="129">
        <v>600</v>
      </c>
      <c r="H2276" s="512">
        <v>113.76</v>
      </c>
      <c r="I2276" s="265" t="s">
        <v>359</v>
      </c>
      <c r="J2276" s="265" t="s">
        <v>102</v>
      </c>
      <c r="K2276" s="265" t="s">
        <v>4688</v>
      </c>
      <c r="L2276" s="348" t="s">
        <v>1205</v>
      </c>
      <c r="M2276" s="265" t="s">
        <v>4689</v>
      </c>
      <c r="N2276" s="347">
        <v>1.409</v>
      </c>
      <c r="O2276" s="348" t="s">
        <v>1205</v>
      </c>
      <c r="P2276" s="348">
        <v>14.68</v>
      </c>
      <c r="Q2276" s="348">
        <v>1.41</v>
      </c>
    </row>
    <row r="2277" spans="1:17" ht="15" hidden="1" customHeight="1">
      <c r="A2277" s="163">
        <v>2285</v>
      </c>
      <c r="B2277" s="53" t="s">
        <v>44</v>
      </c>
      <c r="C2277" s="53" t="s">
        <v>4690</v>
      </c>
      <c r="D2277" s="53">
        <v>100024862</v>
      </c>
      <c r="E2277" s="55" t="s">
        <v>4691</v>
      </c>
      <c r="F2277" s="129">
        <v>10</v>
      </c>
      <c r="G2277" s="129">
        <v>750</v>
      </c>
      <c r="H2277" s="512">
        <v>102.64</v>
      </c>
      <c r="I2277" s="265" t="s">
        <v>359</v>
      </c>
      <c r="J2277" s="265" t="s">
        <v>102</v>
      </c>
      <c r="K2277" s="265" t="s">
        <v>4692</v>
      </c>
      <c r="L2277" s="348" t="s">
        <v>1205</v>
      </c>
      <c r="M2277" s="265" t="s">
        <v>4693</v>
      </c>
      <c r="N2277" s="347">
        <v>1.292</v>
      </c>
      <c r="O2277" s="348" t="s">
        <v>1205</v>
      </c>
      <c r="P2277" s="348">
        <v>12.85</v>
      </c>
      <c r="Q2277" s="348">
        <v>1.1000000000000001</v>
      </c>
    </row>
    <row r="2278" spans="1:17" ht="15" hidden="1" customHeight="1">
      <c r="A2278" s="163">
        <v>2286</v>
      </c>
      <c r="B2278" s="53" t="s">
        <v>44</v>
      </c>
      <c r="C2278" s="53" t="s">
        <v>4694</v>
      </c>
      <c r="D2278" s="53">
        <v>100030779</v>
      </c>
      <c r="E2278" s="55" t="s">
        <v>4695</v>
      </c>
      <c r="F2278" s="129">
        <v>10</v>
      </c>
      <c r="G2278" s="129">
        <v>600</v>
      </c>
      <c r="H2278" s="512">
        <v>113.76</v>
      </c>
      <c r="I2278" s="265" t="s">
        <v>359</v>
      </c>
      <c r="J2278" s="265" t="s">
        <v>102</v>
      </c>
      <c r="K2278" s="265" t="s">
        <v>4696</v>
      </c>
      <c r="L2278" s="348" t="s">
        <v>1205</v>
      </c>
      <c r="M2278" s="265" t="s">
        <v>4697</v>
      </c>
      <c r="N2278" s="347">
        <v>1.4710000000000001</v>
      </c>
      <c r="O2278" s="348" t="s">
        <v>1205</v>
      </c>
      <c r="P2278" s="348">
        <v>15.1</v>
      </c>
      <c r="Q2278" s="348">
        <v>1.41</v>
      </c>
    </row>
    <row r="2279" spans="1:17" ht="15" hidden="1" customHeight="1">
      <c r="A2279" s="163">
        <v>2287</v>
      </c>
      <c r="B2279" s="53" t="s">
        <v>44</v>
      </c>
      <c r="C2279" s="53" t="s">
        <v>4698</v>
      </c>
      <c r="D2279" s="53">
        <v>100024865</v>
      </c>
      <c r="E2279" s="55" t="s">
        <v>4699</v>
      </c>
      <c r="F2279" s="129">
        <v>10</v>
      </c>
      <c r="G2279" s="129">
        <v>750</v>
      </c>
      <c r="H2279" s="512">
        <v>102.64</v>
      </c>
      <c r="I2279" s="265" t="s">
        <v>359</v>
      </c>
      <c r="J2279" s="265" t="s">
        <v>102</v>
      </c>
      <c r="K2279" s="265" t="s">
        <v>4700</v>
      </c>
      <c r="L2279" s="348" t="s">
        <v>1205</v>
      </c>
      <c r="M2279" s="265" t="s">
        <v>4701</v>
      </c>
      <c r="N2279" s="347">
        <v>1.272</v>
      </c>
      <c r="O2279" s="348" t="s">
        <v>1205</v>
      </c>
      <c r="P2279" s="348">
        <v>12.855</v>
      </c>
      <c r="Q2279" s="348">
        <v>1.1000000000000001</v>
      </c>
    </row>
    <row r="2280" spans="1:17" ht="15" hidden="1" customHeight="1">
      <c r="A2280" s="163">
        <v>2288</v>
      </c>
      <c r="B2280" s="53" t="s">
        <v>44</v>
      </c>
      <c r="C2280" s="53" t="s">
        <v>4702</v>
      </c>
      <c r="D2280" s="53">
        <v>100023764</v>
      </c>
      <c r="E2280" s="55" t="s">
        <v>4703</v>
      </c>
      <c r="F2280" s="129">
        <v>10</v>
      </c>
      <c r="G2280" s="129">
        <v>240</v>
      </c>
      <c r="H2280" s="512">
        <v>1.26</v>
      </c>
      <c r="I2280" s="265" t="s">
        <v>359</v>
      </c>
      <c r="J2280" s="265" t="s">
        <v>102</v>
      </c>
      <c r="K2280" s="265" t="s">
        <v>4704</v>
      </c>
      <c r="L2280" s="348" t="s">
        <v>1205</v>
      </c>
      <c r="M2280" s="265" t="s">
        <v>4705</v>
      </c>
      <c r="N2280" s="347">
        <v>1.901</v>
      </c>
      <c r="O2280" s="348" t="s">
        <v>1205</v>
      </c>
      <c r="P2280" s="348">
        <v>23.58</v>
      </c>
      <c r="Q2280" s="348">
        <v>2.77</v>
      </c>
    </row>
    <row r="2281" spans="1:17" ht="15" hidden="1" customHeight="1">
      <c r="A2281" s="163">
        <v>2289</v>
      </c>
      <c r="B2281" s="53" t="s">
        <v>44</v>
      </c>
      <c r="C2281" s="53" t="s">
        <v>4706</v>
      </c>
      <c r="D2281" s="53">
        <v>100024867</v>
      </c>
      <c r="E2281" s="55" t="s">
        <v>4707</v>
      </c>
      <c r="F2281" s="129">
        <v>10</v>
      </c>
      <c r="G2281" s="129">
        <v>750</v>
      </c>
      <c r="H2281" s="512">
        <v>102.64</v>
      </c>
      <c r="I2281" s="265" t="s">
        <v>359</v>
      </c>
      <c r="J2281" s="265" t="s">
        <v>102</v>
      </c>
      <c r="K2281" s="265" t="s">
        <v>4708</v>
      </c>
      <c r="L2281" s="348" t="s">
        <v>1205</v>
      </c>
      <c r="M2281" s="265" t="s">
        <v>4709</v>
      </c>
      <c r="N2281" s="347">
        <v>1.2290000000000001</v>
      </c>
      <c r="O2281" s="348" t="s">
        <v>1205</v>
      </c>
      <c r="P2281" s="348">
        <v>12.565</v>
      </c>
      <c r="Q2281" s="348">
        <v>0.95</v>
      </c>
    </row>
    <row r="2282" spans="1:17" ht="15" hidden="1" customHeight="1">
      <c r="A2282" s="163">
        <v>2290</v>
      </c>
      <c r="B2282" s="53" t="s">
        <v>44</v>
      </c>
      <c r="C2282" s="53" t="s">
        <v>4710</v>
      </c>
      <c r="D2282" s="53">
        <v>100023766</v>
      </c>
      <c r="E2282" s="55" t="s">
        <v>4711</v>
      </c>
      <c r="F2282" s="129">
        <v>10</v>
      </c>
      <c r="G2282" s="129">
        <v>600</v>
      </c>
      <c r="H2282" s="512">
        <v>113.76</v>
      </c>
      <c r="I2282" s="265" t="s">
        <v>359</v>
      </c>
      <c r="J2282" s="265" t="s">
        <v>102</v>
      </c>
      <c r="K2282" s="265" t="s">
        <v>4712</v>
      </c>
      <c r="L2282" s="348" t="s">
        <v>1205</v>
      </c>
      <c r="M2282" s="265" t="s">
        <v>4713</v>
      </c>
      <c r="N2282" s="347">
        <v>1.3380000000000001</v>
      </c>
      <c r="O2282" s="348" t="s">
        <v>1205</v>
      </c>
      <c r="P2282" s="348">
        <v>14.4</v>
      </c>
      <c r="Q2282" s="348">
        <v>1.25</v>
      </c>
    </row>
    <row r="2283" spans="1:17" ht="15" hidden="1" customHeight="1">
      <c r="A2283" s="163">
        <v>2291</v>
      </c>
      <c r="B2283" s="53" t="s">
        <v>44</v>
      </c>
      <c r="C2283" s="53" t="s">
        <v>4714</v>
      </c>
      <c r="D2283" s="53">
        <v>100024868</v>
      </c>
      <c r="E2283" s="55" t="s">
        <v>4715</v>
      </c>
      <c r="F2283" s="129">
        <v>10</v>
      </c>
      <c r="G2283" s="129">
        <v>600</v>
      </c>
      <c r="H2283" s="512">
        <v>113.76</v>
      </c>
      <c r="I2283" s="265" t="s">
        <v>359</v>
      </c>
      <c r="J2283" s="265" t="s">
        <v>102</v>
      </c>
      <c r="K2283" s="265" t="s">
        <v>4716</v>
      </c>
      <c r="L2283" s="348" t="s">
        <v>1205</v>
      </c>
      <c r="M2283" s="265" t="s">
        <v>4717</v>
      </c>
      <c r="N2283" s="347">
        <v>1.4079999999999999</v>
      </c>
      <c r="O2283" s="348" t="s">
        <v>1205</v>
      </c>
      <c r="P2283" s="348">
        <v>14.8</v>
      </c>
      <c r="Q2283" s="348">
        <v>1.41</v>
      </c>
    </row>
    <row r="2284" spans="1:17" ht="15" hidden="1" customHeight="1">
      <c r="A2284" s="163">
        <v>2292</v>
      </c>
      <c r="B2284" s="53" t="s">
        <v>44</v>
      </c>
      <c r="C2284" s="53" t="s">
        <v>4718</v>
      </c>
      <c r="D2284" s="53">
        <v>100024869</v>
      </c>
      <c r="E2284" s="55" t="s">
        <v>4719</v>
      </c>
      <c r="F2284" s="129">
        <v>10</v>
      </c>
      <c r="G2284" s="129">
        <v>750</v>
      </c>
      <c r="H2284" s="512">
        <v>102.64</v>
      </c>
      <c r="I2284" s="265" t="s">
        <v>359</v>
      </c>
      <c r="J2284" s="265" t="s">
        <v>102</v>
      </c>
      <c r="K2284" s="265" t="s">
        <v>4720</v>
      </c>
      <c r="L2284" s="348" t="s">
        <v>1205</v>
      </c>
      <c r="M2284" s="265" t="s">
        <v>4721</v>
      </c>
      <c r="N2284" s="347">
        <v>1.246</v>
      </c>
      <c r="O2284" s="348" t="s">
        <v>1205</v>
      </c>
      <c r="P2284" s="348">
        <v>12.755000000000001</v>
      </c>
      <c r="Q2284" s="348">
        <v>1.1000000000000001</v>
      </c>
    </row>
    <row r="2285" spans="1:17" ht="15" hidden="1" customHeight="1">
      <c r="A2285" s="163">
        <v>2293</v>
      </c>
      <c r="B2285" s="53" t="s">
        <v>44</v>
      </c>
      <c r="C2285" s="53" t="s">
        <v>4722</v>
      </c>
      <c r="D2285" s="53">
        <v>100023767</v>
      </c>
      <c r="E2285" s="55" t="s">
        <v>4723</v>
      </c>
      <c r="F2285" s="129">
        <v>10</v>
      </c>
      <c r="G2285" s="129">
        <v>750</v>
      </c>
      <c r="H2285" s="512">
        <v>102.64</v>
      </c>
      <c r="I2285" s="265" t="s">
        <v>359</v>
      </c>
      <c r="J2285" s="265" t="s">
        <v>102</v>
      </c>
      <c r="K2285" s="265" t="s">
        <v>4724</v>
      </c>
      <c r="L2285" s="348" t="s">
        <v>1205</v>
      </c>
      <c r="M2285" s="265" t="s">
        <v>4725</v>
      </c>
      <c r="N2285" s="347">
        <v>1.2709999999999999</v>
      </c>
      <c r="O2285" s="348" t="s">
        <v>1205</v>
      </c>
      <c r="P2285" s="348">
        <v>12.77</v>
      </c>
      <c r="Q2285" s="348">
        <v>0.95</v>
      </c>
    </row>
    <row r="2286" spans="1:17" ht="15" hidden="1" customHeight="1">
      <c r="A2286" s="163">
        <v>2294</v>
      </c>
      <c r="B2286" s="53" t="s">
        <v>44</v>
      </c>
      <c r="C2286" s="53" t="s">
        <v>4726</v>
      </c>
      <c r="D2286" s="53">
        <v>100024870</v>
      </c>
      <c r="E2286" s="55" t="s">
        <v>4727</v>
      </c>
      <c r="F2286" s="129">
        <v>10</v>
      </c>
      <c r="G2286" s="129">
        <v>750</v>
      </c>
      <c r="H2286" s="512">
        <v>102.64</v>
      </c>
      <c r="I2286" s="265" t="s">
        <v>76</v>
      </c>
      <c r="J2286" s="265" t="s">
        <v>102</v>
      </c>
      <c r="K2286" s="265" t="s">
        <v>4728</v>
      </c>
      <c r="L2286" s="348" t="s">
        <v>1205</v>
      </c>
      <c r="M2286" s="265" t="s">
        <v>4729</v>
      </c>
      <c r="N2286" s="347">
        <v>1.208</v>
      </c>
      <c r="O2286" s="348" t="s">
        <v>1205</v>
      </c>
      <c r="P2286" s="348">
        <v>12.565</v>
      </c>
      <c r="Q2286" s="348">
        <v>0.95</v>
      </c>
    </row>
    <row r="2287" spans="1:17" ht="15" hidden="1" customHeight="1">
      <c r="A2287" s="163">
        <v>2295</v>
      </c>
      <c r="B2287" s="53" t="s">
        <v>44</v>
      </c>
      <c r="C2287" s="53" t="s">
        <v>4730</v>
      </c>
      <c r="D2287" s="53">
        <v>100023768</v>
      </c>
      <c r="E2287" s="55" t="s">
        <v>4731</v>
      </c>
      <c r="F2287" s="129">
        <v>10</v>
      </c>
      <c r="G2287" s="129">
        <v>600</v>
      </c>
      <c r="H2287" s="512">
        <v>113.76</v>
      </c>
      <c r="I2287" s="265" t="s">
        <v>76</v>
      </c>
      <c r="J2287" s="265" t="s">
        <v>102</v>
      </c>
      <c r="K2287" s="265" t="s">
        <v>4732</v>
      </c>
      <c r="L2287" s="348" t="s">
        <v>1205</v>
      </c>
      <c r="M2287" s="265" t="s">
        <v>4733</v>
      </c>
      <c r="N2287" s="347">
        <v>1.3169999999999999</v>
      </c>
      <c r="O2287" s="348" t="s">
        <v>1205</v>
      </c>
      <c r="P2287" s="348">
        <v>13.98</v>
      </c>
      <c r="Q2287" s="348">
        <v>1.41</v>
      </c>
    </row>
    <row r="2288" spans="1:17" ht="15" hidden="1" customHeight="1">
      <c r="A2288" s="163">
        <v>2296</v>
      </c>
      <c r="B2288" s="53" t="s">
        <v>44</v>
      </c>
      <c r="C2288" s="53" t="s">
        <v>4734</v>
      </c>
      <c r="D2288" s="53">
        <v>100024871</v>
      </c>
      <c r="E2288" s="55" t="s">
        <v>4735</v>
      </c>
      <c r="F2288" s="129">
        <v>10</v>
      </c>
      <c r="G2288" s="129">
        <v>600</v>
      </c>
      <c r="H2288" s="512">
        <v>113.76</v>
      </c>
      <c r="I2288" s="265" t="s">
        <v>359</v>
      </c>
      <c r="J2288" s="265" t="s">
        <v>102</v>
      </c>
      <c r="K2288" s="265" t="s">
        <v>4736</v>
      </c>
      <c r="L2288" s="348" t="s">
        <v>1205</v>
      </c>
      <c r="M2288" s="265" t="s">
        <v>4737</v>
      </c>
      <c r="N2288" s="347">
        <v>1.387</v>
      </c>
      <c r="O2288" s="348" t="s">
        <v>1205</v>
      </c>
      <c r="P2288" s="348">
        <v>14.68</v>
      </c>
      <c r="Q2288" s="348">
        <v>1.41</v>
      </c>
    </row>
    <row r="2289" spans="1:17" ht="15" hidden="1" customHeight="1">
      <c r="A2289" s="163">
        <v>2297</v>
      </c>
      <c r="B2289" s="53" t="s">
        <v>44</v>
      </c>
      <c r="C2289" s="53" t="s">
        <v>4738</v>
      </c>
      <c r="D2289" s="53">
        <v>100024872</v>
      </c>
      <c r="E2289" s="55" t="s">
        <v>4739</v>
      </c>
      <c r="F2289" s="129">
        <v>10</v>
      </c>
      <c r="G2289" s="129">
        <v>900</v>
      </c>
      <c r="H2289" s="512">
        <v>91.56</v>
      </c>
      <c r="I2289" s="265" t="s">
        <v>76</v>
      </c>
      <c r="J2289" s="265" t="s">
        <v>102</v>
      </c>
      <c r="K2289" s="265" t="s">
        <v>4740</v>
      </c>
      <c r="L2289" s="348" t="s">
        <v>1205</v>
      </c>
      <c r="M2289" s="265" t="s">
        <v>4741</v>
      </c>
      <c r="N2289" s="347">
        <v>1.0549999999999999</v>
      </c>
      <c r="O2289" s="348" t="s">
        <v>1205</v>
      </c>
      <c r="P2289" s="348">
        <v>11.2</v>
      </c>
      <c r="Q2289" s="348">
        <v>0.8</v>
      </c>
    </row>
    <row r="2290" spans="1:17" ht="15" hidden="1" customHeight="1">
      <c r="A2290" s="163">
        <v>2298</v>
      </c>
      <c r="B2290" s="53" t="s">
        <v>44</v>
      </c>
      <c r="C2290" s="53" t="s">
        <v>4742</v>
      </c>
      <c r="D2290" s="53">
        <v>100023769</v>
      </c>
      <c r="E2290" s="55" t="s">
        <v>4743</v>
      </c>
      <c r="F2290" s="129">
        <v>10</v>
      </c>
      <c r="G2290" s="129">
        <v>900</v>
      </c>
      <c r="H2290" s="512">
        <v>102.64</v>
      </c>
      <c r="I2290" s="265" t="s">
        <v>359</v>
      </c>
      <c r="J2290" s="265" t="s">
        <v>102</v>
      </c>
      <c r="K2290" s="265" t="s">
        <v>4744</v>
      </c>
      <c r="L2290" s="348" t="s">
        <v>1205</v>
      </c>
      <c r="M2290" s="265" t="s">
        <v>4745</v>
      </c>
      <c r="N2290" s="347">
        <v>1.07</v>
      </c>
      <c r="O2290" s="348" t="s">
        <v>1205</v>
      </c>
      <c r="P2290" s="348">
        <v>10.7</v>
      </c>
      <c r="Q2290" s="348">
        <v>0.8</v>
      </c>
    </row>
    <row r="2291" spans="1:17" ht="15" hidden="1" customHeight="1">
      <c r="A2291" s="163">
        <v>2299</v>
      </c>
      <c r="B2291" s="53" t="s">
        <v>44</v>
      </c>
      <c r="C2291" s="53" t="s">
        <v>4746</v>
      </c>
      <c r="D2291" s="53">
        <v>100023773</v>
      </c>
      <c r="E2291" s="55" t="s">
        <v>4747</v>
      </c>
      <c r="F2291" s="129">
        <v>10</v>
      </c>
      <c r="G2291" s="129">
        <v>900</v>
      </c>
      <c r="H2291" s="512">
        <v>102.64</v>
      </c>
      <c r="I2291" s="265" t="s">
        <v>359</v>
      </c>
      <c r="J2291" s="265" t="s">
        <v>102</v>
      </c>
      <c r="K2291" s="265" t="s">
        <v>4748</v>
      </c>
      <c r="L2291" s="348" t="s">
        <v>1205</v>
      </c>
      <c r="M2291" s="265" t="s">
        <v>4749</v>
      </c>
      <c r="N2291" s="347">
        <v>1.0880000000000001</v>
      </c>
      <c r="O2291" s="348" t="s">
        <v>1205</v>
      </c>
      <c r="P2291" s="348">
        <v>11.45</v>
      </c>
      <c r="Q2291" s="348">
        <v>0.8</v>
      </c>
    </row>
    <row r="2292" spans="1:17" ht="15" hidden="1" customHeight="1">
      <c r="A2292" s="163">
        <v>2300</v>
      </c>
      <c r="B2292" s="53" t="s">
        <v>44</v>
      </c>
      <c r="C2292" s="53" t="s">
        <v>4750</v>
      </c>
      <c r="D2292" s="53">
        <v>100023774</v>
      </c>
      <c r="E2292" s="55" t="s">
        <v>4751</v>
      </c>
      <c r="F2292" s="129">
        <v>10</v>
      </c>
      <c r="G2292" s="129">
        <v>600</v>
      </c>
      <c r="H2292" s="512">
        <v>113.76</v>
      </c>
      <c r="I2292" s="265" t="s">
        <v>359</v>
      </c>
      <c r="J2292" s="265" t="s">
        <v>102</v>
      </c>
      <c r="K2292" s="265" t="s">
        <v>4752</v>
      </c>
      <c r="L2292" s="348" t="s">
        <v>1205</v>
      </c>
      <c r="M2292" s="265" t="s">
        <v>4753</v>
      </c>
      <c r="N2292" s="347">
        <v>1.2170000000000001</v>
      </c>
      <c r="O2292" s="348" t="s">
        <v>1205</v>
      </c>
      <c r="P2292" s="348">
        <v>12.17</v>
      </c>
      <c r="Q2292" s="348">
        <v>1.25</v>
      </c>
    </row>
    <row r="2293" spans="1:17" ht="15" hidden="1" customHeight="1">
      <c r="A2293" s="163">
        <v>2301</v>
      </c>
      <c r="B2293" s="53" t="s">
        <v>44</v>
      </c>
      <c r="C2293" s="53" t="s">
        <v>4754</v>
      </c>
      <c r="D2293" s="53">
        <v>100023777</v>
      </c>
      <c r="E2293" s="55" t="s">
        <v>4755</v>
      </c>
      <c r="F2293" s="129">
        <v>10</v>
      </c>
      <c r="G2293" s="129">
        <v>600</v>
      </c>
      <c r="H2293" s="512">
        <v>113.76</v>
      </c>
      <c r="I2293" s="265" t="s">
        <v>359</v>
      </c>
      <c r="J2293" s="265" t="s">
        <v>102</v>
      </c>
      <c r="K2293" s="265" t="s">
        <v>4756</v>
      </c>
      <c r="L2293" s="348" t="s">
        <v>1205</v>
      </c>
      <c r="M2293" s="265" t="s">
        <v>4757</v>
      </c>
      <c r="N2293" s="347">
        <v>1.2669999999999999</v>
      </c>
      <c r="O2293" s="348" t="s">
        <v>1205</v>
      </c>
      <c r="P2293" s="348">
        <v>13.47</v>
      </c>
      <c r="Q2293" s="348">
        <v>1.41</v>
      </c>
    </row>
    <row r="2294" spans="1:17" ht="15" hidden="1" customHeight="1">
      <c r="A2294" s="163">
        <v>2302</v>
      </c>
      <c r="B2294" s="53" t="s">
        <v>44</v>
      </c>
      <c r="C2294" s="53" t="s">
        <v>4758</v>
      </c>
      <c r="D2294" s="53">
        <v>100023784</v>
      </c>
      <c r="E2294" s="55" t="s">
        <v>4759</v>
      </c>
      <c r="F2294" s="129">
        <v>10</v>
      </c>
      <c r="G2294" s="129">
        <v>1200</v>
      </c>
      <c r="H2294" s="512">
        <v>91.56</v>
      </c>
      <c r="I2294" s="265" t="s">
        <v>359</v>
      </c>
      <c r="J2294" s="265" t="s">
        <v>102</v>
      </c>
      <c r="K2294" s="265" t="s">
        <v>4760</v>
      </c>
      <c r="L2294" s="348" t="s">
        <v>1205</v>
      </c>
      <c r="M2294" s="265" t="s">
        <v>4761</v>
      </c>
      <c r="N2294" s="347">
        <v>0.92500000000000004</v>
      </c>
      <c r="O2294" s="348" t="s">
        <v>1205</v>
      </c>
      <c r="P2294" s="348">
        <v>9.25</v>
      </c>
      <c r="Q2294" s="348">
        <v>0.65</v>
      </c>
    </row>
    <row r="2295" spans="1:17" ht="15" hidden="1" customHeight="1">
      <c r="A2295" s="163">
        <v>2303</v>
      </c>
      <c r="B2295" s="53" t="s">
        <v>44</v>
      </c>
      <c r="C2295" s="53" t="s">
        <v>4762</v>
      </c>
      <c r="D2295" s="53">
        <v>100023785</v>
      </c>
      <c r="E2295" s="55" t="s">
        <v>4763</v>
      </c>
      <c r="F2295" s="129">
        <v>10</v>
      </c>
      <c r="G2295" s="129">
        <v>1200</v>
      </c>
      <c r="H2295" s="512">
        <v>91.56</v>
      </c>
      <c r="I2295" s="265" t="s">
        <v>359</v>
      </c>
      <c r="J2295" s="265" t="s">
        <v>102</v>
      </c>
      <c r="K2295" s="265" t="s">
        <v>4764</v>
      </c>
      <c r="L2295" s="348" t="s">
        <v>1205</v>
      </c>
      <c r="M2295" s="265" t="s">
        <v>4765</v>
      </c>
      <c r="N2295" s="347">
        <v>0.995</v>
      </c>
      <c r="O2295" s="348" t="s">
        <v>1205</v>
      </c>
      <c r="P2295" s="348">
        <v>9.9499999999999993</v>
      </c>
      <c r="Q2295" s="348">
        <v>0.65</v>
      </c>
    </row>
    <row r="2296" spans="1:17" ht="15" hidden="1" customHeight="1">
      <c r="A2296" s="163">
        <v>2304</v>
      </c>
      <c r="B2296" s="53" t="s">
        <v>44</v>
      </c>
      <c r="C2296" s="53" t="s">
        <v>4766</v>
      </c>
      <c r="D2296" s="53">
        <v>100023791</v>
      </c>
      <c r="E2296" s="55" t="s">
        <v>4767</v>
      </c>
      <c r="F2296" s="129">
        <v>10</v>
      </c>
      <c r="G2296" s="129">
        <v>900</v>
      </c>
      <c r="H2296" s="512">
        <v>102.64</v>
      </c>
      <c r="I2296" s="265" t="s">
        <v>359</v>
      </c>
      <c r="J2296" s="265" t="s">
        <v>102</v>
      </c>
      <c r="K2296" s="265" t="s">
        <v>4768</v>
      </c>
      <c r="L2296" s="348" t="s">
        <v>1205</v>
      </c>
      <c r="M2296" s="265" t="s">
        <v>4769</v>
      </c>
      <c r="N2296" s="347">
        <v>1.03</v>
      </c>
      <c r="O2296" s="348" t="s">
        <v>1205</v>
      </c>
      <c r="P2296" s="348">
        <v>10.6</v>
      </c>
      <c r="Q2296" s="348">
        <v>0.8</v>
      </c>
    </row>
    <row r="2297" spans="1:17" ht="15" hidden="1" customHeight="1">
      <c r="A2297" s="163">
        <v>2305</v>
      </c>
      <c r="B2297" s="53" t="s">
        <v>44</v>
      </c>
      <c r="C2297" s="53" t="s">
        <v>4770</v>
      </c>
      <c r="D2297" s="53">
        <v>100024875</v>
      </c>
      <c r="E2297" s="55" t="s">
        <v>4771</v>
      </c>
      <c r="F2297" s="129">
        <v>10</v>
      </c>
      <c r="G2297" s="129">
        <v>900</v>
      </c>
      <c r="H2297" s="512">
        <v>102.64</v>
      </c>
      <c r="I2297" s="265" t="s">
        <v>76</v>
      </c>
      <c r="J2297" s="265" t="s">
        <v>102</v>
      </c>
      <c r="K2297" s="265" t="s">
        <v>4772</v>
      </c>
      <c r="L2297" s="348" t="s">
        <v>1205</v>
      </c>
      <c r="M2297" s="265" t="s">
        <v>4773</v>
      </c>
      <c r="N2297" s="347">
        <v>1.1060000000000001</v>
      </c>
      <c r="O2297" s="348" t="s">
        <v>1205</v>
      </c>
      <c r="P2297" s="348">
        <v>11.35</v>
      </c>
      <c r="Q2297" s="348">
        <v>0.8</v>
      </c>
    </row>
    <row r="2298" spans="1:17" ht="15" hidden="1" customHeight="1">
      <c r="A2298" s="163">
        <v>2306</v>
      </c>
      <c r="B2298" s="53" t="s">
        <v>44</v>
      </c>
      <c r="C2298" s="53" t="s">
        <v>4774</v>
      </c>
      <c r="D2298" s="53">
        <v>100023792</v>
      </c>
      <c r="E2298" s="55" t="s">
        <v>4775</v>
      </c>
      <c r="F2298" s="129">
        <v>10</v>
      </c>
      <c r="G2298" s="129">
        <v>600</v>
      </c>
      <c r="H2298" s="512">
        <v>113.76</v>
      </c>
      <c r="I2298" s="265" t="s">
        <v>359</v>
      </c>
      <c r="J2298" s="265" t="s">
        <v>102</v>
      </c>
      <c r="K2298" s="265" t="s">
        <v>4776</v>
      </c>
      <c r="L2298" s="348" t="s">
        <v>1205</v>
      </c>
      <c r="M2298" s="265" t="s">
        <v>4777</v>
      </c>
      <c r="N2298" s="347">
        <v>1.1499999999999999</v>
      </c>
      <c r="O2298" s="348" t="s">
        <v>1205</v>
      </c>
      <c r="P2298" s="348">
        <v>12.07</v>
      </c>
      <c r="Q2298" s="348">
        <v>1.25</v>
      </c>
    </row>
    <row r="2299" spans="1:17" ht="15" hidden="1" customHeight="1">
      <c r="A2299" s="163">
        <v>2307</v>
      </c>
      <c r="B2299" s="53" t="s">
        <v>44</v>
      </c>
      <c r="C2299" s="53" t="s">
        <v>4778</v>
      </c>
      <c r="D2299" s="53">
        <v>100023793</v>
      </c>
      <c r="E2299" s="55" t="s">
        <v>4779</v>
      </c>
      <c r="F2299" s="129">
        <v>10</v>
      </c>
      <c r="G2299" s="129">
        <v>600</v>
      </c>
      <c r="H2299" s="512">
        <v>113.76</v>
      </c>
      <c r="I2299" s="265" t="s">
        <v>359</v>
      </c>
      <c r="J2299" s="265" t="s">
        <v>102</v>
      </c>
      <c r="K2299" s="265" t="s">
        <v>4780</v>
      </c>
      <c r="L2299" s="348" t="s">
        <v>1205</v>
      </c>
      <c r="M2299" s="265" t="s">
        <v>4781</v>
      </c>
      <c r="N2299" s="347">
        <v>1.2150000000000001</v>
      </c>
      <c r="O2299" s="348" t="s">
        <v>1205</v>
      </c>
      <c r="P2299" s="348">
        <v>12.78</v>
      </c>
      <c r="Q2299" s="348">
        <v>1.41</v>
      </c>
    </row>
    <row r="2300" spans="1:17" ht="15" hidden="1" customHeight="1">
      <c r="A2300" s="163">
        <v>2308</v>
      </c>
      <c r="B2300" s="53" t="s">
        <v>44</v>
      </c>
      <c r="C2300" s="53" t="s">
        <v>4782</v>
      </c>
      <c r="D2300" s="53">
        <v>100024876</v>
      </c>
      <c r="E2300" s="55" t="s">
        <v>4783</v>
      </c>
      <c r="F2300" s="129">
        <v>10</v>
      </c>
      <c r="G2300" s="129">
        <v>600</v>
      </c>
      <c r="H2300" s="512">
        <v>113.76</v>
      </c>
      <c r="I2300" s="265" t="s">
        <v>359</v>
      </c>
      <c r="J2300" s="265" t="s">
        <v>102</v>
      </c>
      <c r="K2300" s="265" t="s">
        <v>4784</v>
      </c>
      <c r="L2300" s="348" t="s">
        <v>1205</v>
      </c>
      <c r="M2300" s="265" t="s">
        <v>4785</v>
      </c>
      <c r="N2300" s="347">
        <v>1.2849999999999999</v>
      </c>
      <c r="O2300" s="348" t="s">
        <v>1205</v>
      </c>
      <c r="P2300" s="348">
        <v>13.48</v>
      </c>
      <c r="Q2300" s="348">
        <v>1.41</v>
      </c>
    </row>
    <row r="2301" spans="1:17" ht="15" hidden="1" customHeight="1">
      <c r="A2301" s="163">
        <v>2309</v>
      </c>
      <c r="B2301" s="53" t="s">
        <v>44</v>
      </c>
      <c r="C2301" s="53" t="s">
        <v>4786</v>
      </c>
      <c r="D2301" s="53">
        <v>100023797</v>
      </c>
      <c r="E2301" s="55" t="s">
        <v>4787</v>
      </c>
      <c r="F2301" s="129">
        <v>10</v>
      </c>
      <c r="G2301" s="129">
        <v>1200</v>
      </c>
      <c r="H2301" s="512">
        <v>91.56</v>
      </c>
      <c r="I2301" s="265" t="s">
        <v>359</v>
      </c>
      <c r="J2301" s="265" t="s">
        <v>102</v>
      </c>
      <c r="K2301" s="265" t="s">
        <v>4788</v>
      </c>
      <c r="L2301" s="348" t="s">
        <v>1205</v>
      </c>
      <c r="M2301" s="265" t="s">
        <v>4789</v>
      </c>
      <c r="N2301" s="347">
        <v>0.88900000000000001</v>
      </c>
      <c r="O2301" s="348" t="s">
        <v>1205</v>
      </c>
      <c r="P2301" s="348">
        <v>9.3000000000000007</v>
      </c>
      <c r="Q2301" s="348">
        <v>0.65</v>
      </c>
    </row>
    <row r="2302" spans="1:17" ht="15" hidden="1" customHeight="1">
      <c r="A2302" s="163">
        <v>2310</v>
      </c>
      <c r="B2302" s="53" t="s">
        <v>44</v>
      </c>
      <c r="C2302" s="53" t="s">
        <v>4790</v>
      </c>
      <c r="D2302" s="53">
        <v>100024888</v>
      </c>
      <c r="E2302" s="55" t="s">
        <v>4791</v>
      </c>
      <c r="F2302" s="129">
        <v>10</v>
      </c>
      <c r="G2302" s="129">
        <v>900</v>
      </c>
      <c r="H2302" s="512">
        <v>102.64</v>
      </c>
      <c r="I2302" s="265" t="s">
        <v>359</v>
      </c>
      <c r="J2302" s="265" t="s">
        <v>102</v>
      </c>
      <c r="K2302" s="265" t="s">
        <v>4792</v>
      </c>
      <c r="L2302" s="348" t="s">
        <v>1205</v>
      </c>
      <c r="M2302" s="265" t="s">
        <v>4793</v>
      </c>
      <c r="N2302" s="347">
        <v>1.123</v>
      </c>
      <c r="O2302" s="348" t="s">
        <v>1205</v>
      </c>
      <c r="P2302" s="348">
        <v>11.45</v>
      </c>
      <c r="Q2302" s="348">
        <v>0.8</v>
      </c>
    </row>
    <row r="2303" spans="1:17" ht="15" hidden="1" customHeight="1">
      <c r="A2303" s="163">
        <v>2311</v>
      </c>
      <c r="B2303" s="53" t="s">
        <v>44</v>
      </c>
      <c r="C2303" s="53" t="s">
        <v>4794</v>
      </c>
      <c r="D2303" s="53">
        <v>100023811</v>
      </c>
      <c r="E2303" s="55" t="s">
        <v>4795</v>
      </c>
      <c r="F2303" s="129">
        <v>10</v>
      </c>
      <c r="G2303" s="129">
        <v>600</v>
      </c>
      <c r="H2303" s="512">
        <v>113.76</v>
      </c>
      <c r="I2303" s="265" t="s">
        <v>359</v>
      </c>
      <c r="J2303" s="265" t="s">
        <v>102</v>
      </c>
      <c r="K2303" s="265" t="s">
        <v>4796</v>
      </c>
      <c r="L2303" s="348" t="s">
        <v>1205</v>
      </c>
      <c r="M2303" s="265" t="s">
        <v>4797</v>
      </c>
      <c r="N2303" s="347">
        <v>1.302</v>
      </c>
      <c r="O2303" s="348" t="s">
        <v>1205</v>
      </c>
      <c r="P2303" s="348">
        <v>13.7</v>
      </c>
      <c r="Q2303" s="348">
        <v>1.41</v>
      </c>
    </row>
    <row r="2304" spans="1:17" ht="15" hidden="1" customHeight="1">
      <c r="A2304" s="163">
        <v>2312</v>
      </c>
      <c r="B2304" s="53" t="s">
        <v>44</v>
      </c>
      <c r="C2304" s="53" t="s">
        <v>4798</v>
      </c>
      <c r="D2304" s="53">
        <v>100023818</v>
      </c>
      <c r="E2304" s="55" t="s">
        <v>4799</v>
      </c>
      <c r="F2304" s="129">
        <v>10</v>
      </c>
      <c r="G2304" s="129">
        <v>900</v>
      </c>
      <c r="H2304" s="512">
        <v>102.64</v>
      </c>
      <c r="I2304" s="265" t="s">
        <v>76</v>
      </c>
      <c r="J2304" s="265" t="s">
        <v>102</v>
      </c>
      <c r="K2304" s="265" t="s">
        <v>4800</v>
      </c>
      <c r="L2304" s="348" t="s">
        <v>1205</v>
      </c>
      <c r="M2304" s="265" t="s">
        <v>4801</v>
      </c>
      <c r="N2304" s="347">
        <v>1.1479999999999999</v>
      </c>
      <c r="O2304" s="348" t="s">
        <v>1205</v>
      </c>
      <c r="P2304" s="348">
        <v>11.6</v>
      </c>
      <c r="Q2304" s="348">
        <v>0.8</v>
      </c>
    </row>
    <row r="2305" spans="1:17" ht="15" hidden="1" customHeight="1">
      <c r="A2305" s="163">
        <v>2313</v>
      </c>
      <c r="B2305" s="53" t="s">
        <v>44</v>
      </c>
      <c r="C2305" s="53" t="s">
        <v>4802</v>
      </c>
      <c r="D2305" s="53">
        <v>100023819</v>
      </c>
      <c r="E2305" s="55" t="s">
        <v>4803</v>
      </c>
      <c r="F2305" s="129">
        <v>10</v>
      </c>
      <c r="G2305" s="129">
        <v>600</v>
      </c>
      <c r="H2305" s="512">
        <v>113.76</v>
      </c>
      <c r="I2305" s="265" t="s">
        <v>359</v>
      </c>
      <c r="J2305" s="265" t="s">
        <v>102</v>
      </c>
      <c r="K2305" s="265" t="s">
        <v>4804</v>
      </c>
      <c r="L2305" s="348" t="s">
        <v>1205</v>
      </c>
      <c r="M2305" s="265" t="s">
        <v>4805</v>
      </c>
      <c r="N2305" s="347">
        <v>1.2569999999999999</v>
      </c>
      <c r="O2305" s="348" t="s">
        <v>1205</v>
      </c>
      <c r="P2305" s="348">
        <v>12.98</v>
      </c>
      <c r="Q2305" s="348">
        <v>1.41</v>
      </c>
    </row>
    <row r="2306" spans="1:17" ht="15" hidden="1" customHeight="1">
      <c r="A2306" s="163">
        <v>2314</v>
      </c>
      <c r="B2306" s="53" t="s">
        <v>44</v>
      </c>
      <c r="C2306" s="53" t="s">
        <v>4806</v>
      </c>
      <c r="D2306" s="53">
        <v>100023826</v>
      </c>
      <c r="E2306" s="55" t="s">
        <v>4807</v>
      </c>
      <c r="F2306" s="129">
        <v>10</v>
      </c>
      <c r="G2306" s="129">
        <v>600</v>
      </c>
      <c r="H2306" s="512">
        <v>102.64</v>
      </c>
      <c r="I2306" s="265" t="s">
        <v>359</v>
      </c>
      <c r="J2306" s="265" t="s">
        <v>102</v>
      </c>
      <c r="K2306" s="265" t="s">
        <v>4808</v>
      </c>
      <c r="L2306" s="348" t="s">
        <v>1205</v>
      </c>
      <c r="M2306" s="265" t="s">
        <v>4809</v>
      </c>
      <c r="N2306" s="347">
        <v>1.0549999999999999</v>
      </c>
      <c r="O2306" s="348" t="s">
        <v>1205</v>
      </c>
      <c r="P2306" s="348">
        <v>10.55</v>
      </c>
      <c r="Q2306" s="348">
        <v>1.25</v>
      </c>
    </row>
    <row r="2307" spans="1:17" ht="15" hidden="1" customHeight="1">
      <c r="A2307" s="163">
        <v>2315</v>
      </c>
      <c r="B2307" s="53" t="s">
        <v>44</v>
      </c>
      <c r="C2307" s="53" t="s">
        <v>4810</v>
      </c>
      <c r="D2307" s="53">
        <v>100023827</v>
      </c>
      <c r="E2307" s="55" t="s">
        <v>4811</v>
      </c>
      <c r="F2307" s="129">
        <v>10</v>
      </c>
      <c r="G2307" s="129">
        <v>900</v>
      </c>
      <c r="H2307" s="512">
        <v>102.64</v>
      </c>
      <c r="I2307" s="265" t="s">
        <v>76</v>
      </c>
      <c r="J2307" s="265" t="s">
        <v>102</v>
      </c>
      <c r="K2307" s="265" t="s">
        <v>4812</v>
      </c>
      <c r="L2307" s="348" t="s">
        <v>1205</v>
      </c>
      <c r="M2307" s="265" t="s">
        <v>4813</v>
      </c>
      <c r="N2307" s="347">
        <v>1.1020000000000001</v>
      </c>
      <c r="O2307" s="348" t="s">
        <v>1205</v>
      </c>
      <c r="P2307" s="348">
        <v>11.65</v>
      </c>
      <c r="Q2307" s="348">
        <v>0.8</v>
      </c>
    </row>
    <row r="2308" spans="1:17" ht="15" hidden="1" customHeight="1">
      <c r="A2308" s="163">
        <v>2316</v>
      </c>
      <c r="B2308" s="53" t="s">
        <v>44</v>
      </c>
      <c r="C2308" s="53" t="s">
        <v>4814</v>
      </c>
      <c r="D2308" s="53">
        <v>100023828</v>
      </c>
      <c r="E2308" s="55" t="s">
        <v>4815</v>
      </c>
      <c r="F2308" s="129">
        <v>10</v>
      </c>
      <c r="G2308" s="129">
        <v>600</v>
      </c>
      <c r="H2308" s="512">
        <v>113.76</v>
      </c>
      <c r="I2308" s="265" t="s">
        <v>76</v>
      </c>
      <c r="J2308" s="265" t="s">
        <v>102</v>
      </c>
      <c r="K2308" s="265">
        <v>0</v>
      </c>
      <c r="L2308" s="348" t="s">
        <v>1205</v>
      </c>
      <c r="M2308" s="265" t="s">
        <v>4816</v>
      </c>
      <c r="N2308" s="347">
        <v>1.2809999999999999</v>
      </c>
      <c r="O2308" s="348" t="s">
        <v>1205</v>
      </c>
      <c r="P2308" s="348">
        <v>13.8</v>
      </c>
      <c r="Q2308" s="348">
        <v>1.41</v>
      </c>
    </row>
    <row r="2309" spans="1:17" ht="15" hidden="1" customHeight="1">
      <c r="A2309" s="163">
        <v>2317</v>
      </c>
      <c r="B2309" s="53" t="s">
        <v>44</v>
      </c>
      <c r="C2309" s="53" t="s">
        <v>4817</v>
      </c>
      <c r="D2309" s="53">
        <v>100024892</v>
      </c>
      <c r="E2309" s="55" t="s">
        <v>4818</v>
      </c>
      <c r="F2309" s="129">
        <v>10</v>
      </c>
      <c r="G2309" s="129">
        <v>900</v>
      </c>
      <c r="H2309" s="512">
        <v>102.64</v>
      </c>
      <c r="I2309" s="265" t="s">
        <v>76</v>
      </c>
      <c r="J2309" s="265" t="s">
        <v>102</v>
      </c>
      <c r="K2309" s="265" t="s">
        <v>4819</v>
      </c>
      <c r="L2309" s="348" t="s">
        <v>1205</v>
      </c>
      <c r="M2309" s="265" t="s">
        <v>4820</v>
      </c>
      <c r="N2309" s="347">
        <v>1.01</v>
      </c>
      <c r="O2309" s="348" t="s">
        <v>1205</v>
      </c>
      <c r="P2309" s="348">
        <v>10.65</v>
      </c>
      <c r="Q2309" s="348">
        <v>0.8</v>
      </c>
    </row>
    <row r="2310" spans="1:17" ht="15" hidden="1" customHeight="1">
      <c r="A2310" s="163">
        <v>2318</v>
      </c>
      <c r="B2310" s="53" t="s">
        <v>44</v>
      </c>
      <c r="C2310" s="53" t="s">
        <v>4821</v>
      </c>
      <c r="D2310" s="53">
        <v>100024895</v>
      </c>
      <c r="E2310" s="55" t="s">
        <v>4822</v>
      </c>
      <c r="F2310" s="129">
        <v>10</v>
      </c>
      <c r="G2310" s="129">
        <v>900</v>
      </c>
      <c r="H2310" s="512">
        <v>102.64</v>
      </c>
      <c r="I2310" s="265" t="s">
        <v>76</v>
      </c>
      <c r="J2310" s="265" t="s">
        <v>102</v>
      </c>
      <c r="K2310" s="265" t="s">
        <v>4823</v>
      </c>
      <c r="L2310" s="348" t="s">
        <v>1205</v>
      </c>
      <c r="M2310" s="265" t="s">
        <v>4824</v>
      </c>
      <c r="N2310" s="347">
        <v>1.0860000000000001</v>
      </c>
      <c r="O2310" s="348" t="s">
        <v>1205</v>
      </c>
      <c r="P2310" s="348">
        <v>11.54</v>
      </c>
      <c r="Q2310" s="348">
        <v>0.8</v>
      </c>
    </row>
    <row r="2311" spans="1:17" ht="15" hidden="1" customHeight="1">
      <c r="A2311" s="163">
        <v>2319</v>
      </c>
      <c r="B2311" s="53" t="s">
        <v>44</v>
      </c>
      <c r="C2311" s="53" t="s">
        <v>4825</v>
      </c>
      <c r="D2311" s="53">
        <v>100023850</v>
      </c>
      <c r="E2311" s="55" t="s">
        <v>4826</v>
      </c>
      <c r="F2311" s="129">
        <v>10</v>
      </c>
      <c r="G2311" s="129">
        <v>240</v>
      </c>
      <c r="H2311" s="512">
        <v>113.76</v>
      </c>
      <c r="I2311" s="265" t="s">
        <v>359</v>
      </c>
      <c r="J2311" s="265" t="s">
        <v>102</v>
      </c>
      <c r="K2311" s="265" t="s">
        <v>4827</v>
      </c>
      <c r="L2311" s="348" t="s">
        <v>1205</v>
      </c>
      <c r="M2311" s="265" t="s">
        <v>4828</v>
      </c>
      <c r="N2311" s="347">
        <v>1.1299999999999999</v>
      </c>
      <c r="O2311" s="348" t="s">
        <v>1205</v>
      </c>
      <c r="P2311" s="348">
        <v>11.41</v>
      </c>
      <c r="Q2311" s="348">
        <v>2.77</v>
      </c>
    </row>
    <row r="2312" spans="1:17" ht="15" hidden="1" customHeight="1">
      <c r="A2312" s="163">
        <v>2320</v>
      </c>
      <c r="B2312" s="53" t="s">
        <v>44</v>
      </c>
      <c r="C2312" s="53" t="s">
        <v>4829</v>
      </c>
      <c r="D2312" s="53">
        <v>100023851</v>
      </c>
      <c r="E2312" s="55" t="s">
        <v>4830</v>
      </c>
      <c r="F2312" s="129">
        <v>10</v>
      </c>
      <c r="G2312" s="129">
        <v>600</v>
      </c>
      <c r="H2312" s="512">
        <v>113.76</v>
      </c>
      <c r="I2312" s="265" t="s">
        <v>359</v>
      </c>
      <c r="J2312" s="265" t="s">
        <v>102</v>
      </c>
      <c r="K2312" s="265" t="s">
        <v>4831</v>
      </c>
      <c r="L2312" s="348" t="s">
        <v>1205</v>
      </c>
      <c r="M2312" s="265" t="s">
        <v>4832</v>
      </c>
      <c r="N2312" s="347">
        <v>1.1950000000000001</v>
      </c>
      <c r="O2312" s="348" t="s">
        <v>1205</v>
      </c>
      <c r="P2312" s="348">
        <v>12.67</v>
      </c>
      <c r="Q2312" s="348">
        <v>1.25</v>
      </c>
    </row>
    <row r="2313" spans="1:17" ht="15" hidden="1" customHeight="1">
      <c r="A2313" s="163">
        <v>2321</v>
      </c>
      <c r="B2313" s="53" t="s">
        <v>44</v>
      </c>
      <c r="C2313" s="53" t="s">
        <v>4833</v>
      </c>
      <c r="D2313" s="53">
        <v>100024896</v>
      </c>
      <c r="E2313" s="55" t="s">
        <v>4834</v>
      </c>
      <c r="F2313" s="129">
        <v>10</v>
      </c>
      <c r="G2313" s="129">
        <v>600</v>
      </c>
      <c r="H2313" s="512">
        <v>113.76</v>
      </c>
      <c r="I2313" s="265" t="s">
        <v>76</v>
      </c>
      <c r="J2313" s="265" t="s">
        <v>102</v>
      </c>
      <c r="K2313" s="265" t="s">
        <v>4835</v>
      </c>
      <c r="L2313" s="348" t="s">
        <v>1205</v>
      </c>
      <c r="M2313" s="265" t="s">
        <v>4836</v>
      </c>
      <c r="N2313" s="347">
        <v>1.2649999999999999</v>
      </c>
      <c r="O2313" s="348" t="s">
        <v>1205</v>
      </c>
      <c r="P2313" s="348">
        <v>13.5</v>
      </c>
      <c r="Q2313" s="348">
        <v>1.41</v>
      </c>
    </row>
    <row r="2314" spans="1:17" ht="15" hidden="1" customHeight="1">
      <c r="A2314" s="163">
        <v>2322</v>
      </c>
      <c r="B2314" s="53" t="s">
        <v>44</v>
      </c>
      <c r="C2314" s="53" t="s">
        <v>4837</v>
      </c>
      <c r="D2314" s="53">
        <v>100024898</v>
      </c>
      <c r="E2314" s="55" t="s">
        <v>4838</v>
      </c>
      <c r="F2314" s="129">
        <v>10</v>
      </c>
      <c r="G2314" s="129">
        <v>1200</v>
      </c>
      <c r="H2314" s="512">
        <v>91.56</v>
      </c>
      <c r="I2314" s="265" t="s">
        <v>359</v>
      </c>
      <c r="J2314" s="265" t="s">
        <v>102</v>
      </c>
      <c r="K2314" s="265" t="s">
        <v>4839</v>
      </c>
      <c r="L2314" s="348" t="s">
        <v>1205</v>
      </c>
      <c r="M2314" s="265" t="s">
        <v>4840</v>
      </c>
      <c r="N2314" s="347">
        <v>0.86899999999999999</v>
      </c>
      <c r="O2314" s="348" t="s">
        <v>1205</v>
      </c>
      <c r="P2314" s="348">
        <v>9.15</v>
      </c>
      <c r="Q2314" s="348">
        <v>0.65</v>
      </c>
    </row>
    <row r="2315" spans="1:17" ht="15" hidden="1" customHeight="1">
      <c r="A2315" s="163">
        <v>2323</v>
      </c>
      <c r="B2315" s="53" t="s">
        <v>44</v>
      </c>
      <c r="C2315" s="53" t="s">
        <v>4841</v>
      </c>
      <c r="D2315" s="53">
        <v>100024899</v>
      </c>
      <c r="E2315" s="55" t="s">
        <v>4842</v>
      </c>
      <c r="F2315" s="129">
        <v>10</v>
      </c>
      <c r="G2315" s="129">
        <v>1200</v>
      </c>
      <c r="H2315" s="512">
        <v>91.56</v>
      </c>
      <c r="I2315" s="265" t="s">
        <v>76</v>
      </c>
      <c r="J2315" s="265" t="s">
        <v>102</v>
      </c>
      <c r="K2315" s="265" t="s">
        <v>4843</v>
      </c>
      <c r="L2315" s="348" t="s">
        <v>1205</v>
      </c>
      <c r="M2315" s="265" t="s">
        <v>4844</v>
      </c>
      <c r="N2315" s="347">
        <v>0.93300000000000005</v>
      </c>
      <c r="O2315" s="348" t="s">
        <v>1205</v>
      </c>
      <c r="P2315" s="348">
        <v>9.9499999999999993</v>
      </c>
      <c r="Q2315" s="348">
        <v>0.65</v>
      </c>
    </row>
    <row r="2316" spans="1:17" ht="15" hidden="1" customHeight="1">
      <c r="A2316" s="163">
        <v>2324</v>
      </c>
      <c r="B2316" s="53" t="s">
        <v>44</v>
      </c>
      <c r="C2316" s="53" t="s">
        <v>4845</v>
      </c>
      <c r="D2316" s="53">
        <v>100023890</v>
      </c>
      <c r="E2316" s="55" t="s">
        <v>4846</v>
      </c>
      <c r="F2316" s="129">
        <v>10</v>
      </c>
      <c r="G2316" s="129">
        <v>900</v>
      </c>
      <c r="H2316" s="512">
        <v>102.64</v>
      </c>
      <c r="I2316" s="265" t="s">
        <v>359</v>
      </c>
      <c r="J2316" s="265" t="s">
        <v>102</v>
      </c>
      <c r="K2316" s="265" t="s">
        <v>4847</v>
      </c>
      <c r="L2316" s="348" t="s">
        <v>1205</v>
      </c>
      <c r="M2316" s="265" t="s">
        <v>4848</v>
      </c>
      <c r="N2316" s="347">
        <v>1.1419999999999999</v>
      </c>
      <c r="O2316" s="348" t="s">
        <v>1205</v>
      </c>
      <c r="P2316" s="348">
        <v>11.9</v>
      </c>
      <c r="Q2316" s="348">
        <v>0.8</v>
      </c>
    </row>
    <row r="2317" spans="1:17" ht="15" hidden="1" customHeight="1">
      <c r="A2317" s="163">
        <v>2325</v>
      </c>
      <c r="B2317" s="53" t="s">
        <v>44</v>
      </c>
      <c r="C2317" s="53" t="s">
        <v>4849</v>
      </c>
      <c r="D2317" s="53">
        <v>100023892</v>
      </c>
      <c r="E2317" s="55" t="s">
        <v>4850</v>
      </c>
      <c r="F2317" s="129">
        <v>10</v>
      </c>
      <c r="G2317" s="129">
        <v>600</v>
      </c>
      <c r="H2317" s="512">
        <v>113.76</v>
      </c>
      <c r="I2317" s="265" t="s">
        <v>359</v>
      </c>
      <c r="J2317" s="265" t="s">
        <v>102</v>
      </c>
      <c r="K2317" s="265" t="s">
        <v>4851</v>
      </c>
      <c r="L2317" s="348" t="s">
        <v>1205</v>
      </c>
      <c r="M2317" s="265" t="s">
        <v>4852</v>
      </c>
      <c r="N2317" s="347">
        <v>1.321</v>
      </c>
      <c r="O2317" s="348" t="s">
        <v>1205</v>
      </c>
      <c r="P2317" s="348">
        <v>14.2</v>
      </c>
      <c r="Q2317" s="348">
        <v>1.41</v>
      </c>
    </row>
    <row r="2318" spans="1:17" ht="15" hidden="1" customHeight="1">
      <c r="A2318" s="163">
        <v>2326</v>
      </c>
      <c r="B2318" s="53" t="s">
        <v>44</v>
      </c>
      <c r="C2318" s="53" t="s">
        <v>4853</v>
      </c>
      <c r="D2318" s="53">
        <v>100024913</v>
      </c>
      <c r="E2318" s="55" t="s">
        <v>4854</v>
      </c>
      <c r="F2318" s="129">
        <v>10</v>
      </c>
      <c r="G2318" s="129">
        <v>900</v>
      </c>
      <c r="H2318" s="512">
        <v>102.64</v>
      </c>
      <c r="I2318" s="265" t="s">
        <v>359</v>
      </c>
      <c r="J2318" s="265" t="s">
        <v>102</v>
      </c>
      <c r="K2318" s="265" t="s">
        <v>4855</v>
      </c>
      <c r="L2318" s="348" t="s">
        <v>1205</v>
      </c>
      <c r="M2318" s="265" t="s">
        <v>4856</v>
      </c>
      <c r="N2318" s="347">
        <v>1.1259999999999999</v>
      </c>
      <c r="O2318" s="348" t="s">
        <v>1205</v>
      </c>
      <c r="P2318" s="348">
        <v>11.8</v>
      </c>
      <c r="Q2318" s="348">
        <v>0.8</v>
      </c>
    </row>
    <row r="2319" spans="1:17" ht="15" hidden="1" customHeight="1">
      <c r="A2319" s="163">
        <v>2327</v>
      </c>
      <c r="B2319" s="53" t="s">
        <v>44</v>
      </c>
      <c r="C2319" s="53" t="s">
        <v>4857</v>
      </c>
      <c r="D2319" s="53">
        <v>100023939</v>
      </c>
      <c r="E2319" s="55" t="s">
        <v>4858</v>
      </c>
      <c r="F2319" s="129">
        <v>10</v>
      </c>
      <c r="G2319" s="129">
        <v>600</v>
      </c>
      <c r="H2319" s="512">
        <v>102.64</v>
      </c>
      <c r="I2319" s="265" t="s">
        <v>359</v>
      </c>
      <c r="J2319" s="265" t="s">
        <v>102</v>
      </c>
      <c r="K2319" s="265" t="s">
        <v>4859</v>
      </c>
      <c r="L2319" s="348" t="s">
        <v>1205</v>
      </c>
      <c r="M2319" s="265" t="s">
        <v>4860</v>
      </c>
      <c r="N2319" s="347">
        <v>1.034</v>
      </c>
      <c r="O2319" s="348" t="s">
        <v>1205</v>
      </c>
      <c r="P2319" s="348">
        <v>10.35</v>
      </c>
      <c r="Q2319" s="348">
        <v>1.25</v>
      </c>
    </row>
    <row r="2320" spans="1:17" ht="15" hidden="1" customHeight="1">
      <c r="A2320" s="163">
        <v>2328</v>
      </c>
      <c r="B2320" s="53" t="s">
        <v>44</v>
      </c>
      <c r="C2320" s="53" t="s">
        <v>4861</v>
      </c>
      <c r="D2320" s="53">
        <v>100024915</v>
      </c>
      <c r="E2320" s="55" t="s">
        <v>4862</v>
      </c>
      <c r="F2320" s="129">
        <v>10</v>
      </c>
      <c r="G2320" s="129">
        <v>600</v>
      </c>
      <c r="H2320" s="512">
        <v>102.64</v>
      </c>
      <c r="I2320" s="265" t="s">
        <v>359</v>
      </c>
      <c r="J2320" s="265" t="s">
        <v>102</v>
      </c>
      <c r="K2320" s="265" t="s">
        <v>4863</v>
      </c>
      <c r="L2320" s="348" t="s">
        <v>1205</v>
      </c>
      <c r="M2320" s="265" t="s">
        <v>4864</v>
      </c>
      <c r="N2320" s="347">
        <v>1.1100000000000001</v>
      </c>
      <c r="O2320" s="348" t="s">
        <v>1205</v>
      </c>
      <c r="P2320" s="348">
        <v>11.01</v>
      </c>
      <c r="Q2320" s="348">
        <v>1.41</v>
      </c>
    </row>
    <row r="2321" spans="1:17" ht="15" hidden="1" customHeight="1">
      <c r="A2321" s="163">
        <v>2329</v>
      </c>
      <c r="B2321" s="53" t="s">
        <v>44</v>
      </c>
      <c r="C2321" s="53" t="s">
        <v>4865</v>
      </c>
      <c r="D2321" s="53">
        <v>100023941</v>
      </c>
      <c r="E2321" s="55" t="s">
        <v>4866</v>
      </c>
      <c r="F2321" s="129">
        <v>10</v>
      </c>
      <c r="G2321" s="129">
        <v>600</v>
      </c>
      <c r="H2321" s="512">
        <v>113.76</v>
      </c>
      <c r="I2321" s="265" t="s">
        <v>359</v>
      </c>
      <c r="J2321" s="265" t="s">
        <v>102</v>
      </c>
      <c r="K2321" s="265" t="s">
        <v>4867</v>
      </c>
      <c r="L2321" s="348" t="s">
        <v>1205</v>
      </c>
      <c r="M2321" s="265" t="s">
        <v>4868</v>
      </c>
      <c r="N2321" s="347">
        <v>1.2190000000000001</v>
      </c>
      <c r="O2321" s="348" t="s">
        <v>1205</v>
      </c>
      <c r="P2321" s="348">
        <v>14.1</v>
      </c>
      <c r="Q2321" s="348">
        <v>1.25</v>
      </c>
    </row>
    <row r="2322" spans="1:17" ht="15" hidden="1" customHeight="1">
      <c r="A2322" s="163">
        <v>2330</v>
      </c>
      <c r="B2322" s="53" t="s">
        <v>44</v>
      </c>
      <c r="C2322" s="53" t="s">
        <v>4869</v>
      </c>
      <c r="D2322" s="53">
        <v>100023942</v>
      </c>
      <c r="E2322" s="55" t="s">
        <v>4870</v>
      </c>
      <c r="F2322" s="129">
        <v>10</v>
      </c>
      <c r="G2322" s="129">
        <v>240</v>
      </c>
      <c r="H2322" s="512">
        <v>113.76</v>
      </c>
      <c r="I2322" s="265" t="s">
        <v>359</v>
      </c>
      <c r="J2322" s="265" t="s">
        <v>102</v>
      </c>
      <c r="K2322" s="265" t="s">
        <v>4871</v>
      </c>
      <c r="L2322" s="348" t="s">
        <v>1205</v>
      </c>
      <c r="M2322" s="265" t="s">
        <v>4872</v>
      </c>
      <c r="N2322" s="347">
        <v>1.2889999999999999</v>
      </c>
      <c r="O2322" s="348" t="s">
        <v>1205</v>
      </c>
      <c r="P2322" s="348">
        <v>22.11</v>
      </c>
      <c r="Q2322" s="348">
        <v>2.77</v>
      </c>
    </row>
    <row r="2323" spans="1:17" ht="15" hidden="1" customHeight="1">
      <c r="A2323" s="163">
        <v>2331</v>
      </c>
      <c r="B2323" s="53" t="s">
        <v>44</v>
      </c>
      <c r="C2323" s="53" t="s">
        <v>4873</v>
      </c>
      <c r="D2323" s="53">
        <v>100023943</v>
      </c>
      <c r="E2323" s="55" t="s">
        <v>4874</v>
      </c>
      <c r="F2323" s="129">
        <v>10</v>
      </c>
      <c r="G2323" s="129">
        <v>750</v>
      </c>
      <c r="H2323" s="512">
        <v>91.56</v>
      </c>
      <c r="I2323" s="265" t="s">
        <v>359</v>
      </c>
      <c r="J2323" s="265" t="s">
        <v>102</v>
      </c>
      <c r="K2323" s="265" t="s">
        <v>4875</v>
      </c>
      <c r="L2323" s="348" t="s">
        <v>1205</v>
      </c>
      <c r="M2323" s="265" t="s">
        <v>4876</v>
      </c>
      <c r="N2323" s="347">
        <v>0.89300000000000002</v>
      </c>
      <c r="O2323" s="348" t="s">
        <v>1205</v>
      </c>
      <c r="P2323" s="348">
        <v>8.8699999999999992</v>
      </c>
      <c r="Q2323" s="348">
        <v>0.95</v>
      </c>
    </row>
    <row r="2324" spans="1:17" ht="15" hidden="1" customHeight="1">
      <c r="A2324" s="163">
        <v>2332</v>
      </c>
      <c r="B2324" s="53" t="s">
        <v>44</v>
      </c>
      <c r="C2324" s="53" t="s">
        <v>4877</v>
      </c>
      <c r="D2324" s="53">
        <v>100023944</v>
      </c>
      <c r="E2324" s="55" t="s">
        <v>4878</v>
      </c>
      <c r="F2324" s="129">
        <v>10</v>
      </c>
      <c r="G2324" s="129">
        <v>1200</v>
      </c>
      <c r="H2324" s="512">
        <v>91.56</v>
      </c>
      <c r="I2324" s="265" t="s">
        <v>359</v>
      </c>
      <c r="J2324" s="265" t="s">
        <v>102</v>
      </c>
      <c r="K2324" s="265" t="s">
        <v>4879</v>
      </c>
      <c r="L2324" s="348" t="s">
        <v>1205</v>
      </c>
      <c r="M2324" s="265" t="s">
        <v>4880</v>
      </c>
      <c r="N2324" s="347">
        <v>0.95699999999999996</v>
      </c>
      <c r="O2324" s="348" t="s">
        <v>1205</v>
      </c>
      <c r="P2324" s="348">
        <v>10.1</v>
      </c>
      <c r="Q2324" s="348">
        <v>0.65</v>
      </c>
    </row>
    <row r="2325" spans="1:17" ht="15" hidden="1" customHeight="1">
      <c r="A2325" s="163">
        <v>2333</v>
      </c>
      <c r="B2325" s="53" t="s">
        <v>44</v>
      </c>
      <c r="C2325" s="53" t="s">
        <v>4881</v>
      </c>
      <c r="D2325" s="53">
        <v>100023973</v>
      </c>
      <c r="E2325" s="55" t="s">
        <v>4882</v>
      </c>
      <c r="F2325" s="129">
        <v>10</v>
      </c>
      <c r="G2325" s="129">
        <v>240</v>
      </c>
      <c r="H2325" s="512">
        <v>113.76</v>
      </c>
      <c r="I2325" s="265" t="s">
        <v>359</v>
      </c>
      <c r="J2325" s="265" t="s">
        <v>102</v>
      </c>
      <c r="K2325" s="265" t="s">
        <v>4883</v>
      </c>
      <c r="L2325" s="348" t="s">
        <v>1205</v>
      </c>
      <c r="M2325" s="265" t="s">
        <v>4884</v>
      </c>
      <c r="N2325" s="347">
        <v>1.2170000000000001</v>
      </c>
      <c r="O2325" s="348" t="s">
        <v>1205</v>
      </c>
      <c r="P2325" s="348">
        <v>22.25</v>
      </c>
      <c r="Q2325" s="348">
        <v>2.77</v>
      </c>
    </row>
    <row r="2326" spans="1:17" ht="15" hidden="1" customHeight="1">
      <c r="A2326" s="163">
        <v>2334</v>
      </c>
      <c r="B2326" s="53" t="s">
        <v>44</v>
      </c>
      <c r="C2326" s="53" t="s">
        <v>4885</v>
      </c>
      <c r="D2326" s="53">
        <v>100023978</v>
      </c>
      <c r="E2326" s="55" t="s">
        <v>4886</v>
      </c>
      <c r="F2326" s="129">
        <v>10</v>
      </c>
      <c r="G2326" s="129">
        <v>900</v>
      </c>
      <c r="H2326" s="512">
        <v>102.64</v>
      </c>
      <c r="I2326" s="265" t="s">
        <v>359</v>
      </c>
      <c r="J2326" s="265" t="s">
        <v>102</v>
      </c>
      <c r="K2326" s="265" t="s">
        <v>4887</v>
      </c>
      <c r="L2326" s="348" t="s">
        <v>1205</v>
      </c>
      <c r="M2326" s="265" t="s">
        <v>4888</v>
      </c>
      <c r="N2326" s="347">
        <v>1.052</v>
      </c>
      <c r="O2326" s="348" t="s">
        <v>1205</v>
      </c>
      <c r="P2326" s="348">
        <v>11.85</v>
      </c>
      <c r="Q2326" s="348">
        <v>0.8</v>
      </c>
    </row>
    <row r="2327" spans="1:17" ht="15" hidden="1" customHeight="1">
      <c r="A2327" s="163">
        <v>2335</v>
      </c>
      <c r="B2327" s="53" t="s">
        <v>44</v>
      </c>
      <c r="C2327" s="53" t="s">
        <v>4889</v>
      </c>
      <c r="D2327" s="53">
        <v>100023979</v>
      </c>
      <c r="E2327" s="55" t="s">
        <v>4890</v>
      </c>
      <c r="F2327" s="129">
        <v>10</v>
      </c>
      <c r="G2327" s="129">
        <v>600</v>
      </c>
      <c r="H2327" s="512">
        <v>113.76</v>
      </c>
      <c r="I2327" s="265" t="s">
        <v>359</v>
      </c>
      <c r="J2327" s="265" t="s">
        <v>102</v>
      </c>
      <c r="K2327" s="265" t="s">
        <v>4891</v>
      </c>
      <c r="L2327" s="348" t="s">
        <v>1205</v>
      </c>
      <c r="M2327" s="265" t="s">
        <v>4892</v>
      </c>
      <c r="N2327" s="347">
        <v>1.2310000000000001</v>
      </c>
      <c r="O2327" s="348" t="s">
        <v>1205</v>
      </c>
      <c r="P2327" s="348">
        <v>14.1</v>
      </c>
      <c r="Q2327" s="348">
        <v>1.41</v>
      </c>
    </row>
    <row r="2328" spans="1:17" ht="15" hidden="1" customHeight="1">
      <c r="A2328" s="163">
        <v>2336</v>
      </c>
      <c r="B2328" s="53" t="s">
        <v>44</v>
      </c>
      <c r="C2328" s="53" t="s">
        <v>4893</v>
      </c>
      <c r="D2328" s="53">
        <v>100023980</v>
      </c>
      <c r="E2328" s="55" t="s">
        <v>4894</v>
      </c>
      <c r="F2328" s="129">
        <v>10</v>
      </c>
      <c r="G2328" s="129">
        <v>1200</v>
      </c>
      <c r="H2328" s="512">
        <v>91.56</v>
      </c>
      <c r="I2328" s="265" t="s">
        <v>359</v>
      </c>
      <c r="J2328" s="265" t="s">
        <v>102</v>
      </c>
      <c r="K2328" s="265" t="s">
        <v>4895</v>
      </c>
      <c r="L2328" s="348" t="s">
        <v>1205</v>
      </c>
      <c r="M2328" s="265" t="s">
        <v>4896</v>
      </c>
      <c r="N2328" s="347">
        <v>0.99</v>
      </c>
      <c r="O2328" s="348" t="s">
        <v>1205</v>
      </c>
      <c r="P2328" s="348">
        <v>9.9</v>
      </c>
      <c r="Q2328" s="348">
        <v>0.65</v>
      </c>
    </row>
    <row r="2329" spans="1:17" ht="15" hidden="1" customHeight="1">
      <c r="A2329" s="163">
        <v>2337</v>
      </c>
      <c r="B2329" s="53" t="s">
        <v>44</v>
      </c>
      <c r="C2329" s="53" t="s">
        <v>4897</v>
      </c>
      <c r="D2329" s="53">
        <v>100023983</v>
      </c>
      <c r="E2329" s="55" t="s">
        <v>4898</v>
      </c>
      <c r="F2329" s="129">
        <v>10</v>
      </c>
      <c r="G2329" s="129">
        <v>600</v>
      </c>
      <c r="H2329" s="512">
        <v>102.64</v>
      </c>
      <c r="I2329" s="265" t="s">
        <v>359</v>
      </c>
      <c r="J2329" s="265" t="s">
        <v>102</v>
      </c>
      <c r="K2329" s="265" t="s">
        <v>4899</v>
      </c>
      <c r="L2329" s="348" t="s">
        <v>1205</v>
      </c>
      <c r="M2329" s="265" t="s">
        <v>4900</v>
      </c>
      <c r="N2329" s="347">
        <v>0.96</v>
      </c>
      <c r="O2329" s="348" t="s">
        <v>1205</v>
      </c>
      <c r="P2329" s="348">
        <v>10.29</v>
      </c>
      <c r="Q2329" s="348">
        <v>1.25</v>
      </c>
    </row>
    <row r="2330" spans="1:17" ht="15" hidden="1" customHeight="1">
      <c r="A2330" s="163">
        <v>2338</v>
      </c>
      <c r="B2330" s="53" t="s">
        <v>44</v>
      </c>
      <c r="C2330" s="53" t="s">
        <v>4901</v>
      </c>
      <c r="D2330" s="53">
        <v>100023985</v>
      </c>
      <c r="E2330" s="55" t="s">
        <v>4902</v>
      </c>
      <c r="F2330" s="129">
        <v>10</v>
      </c>
      <c r="G2330" s="129">
        <v>600</v>
      </c>
      <c r="H2330" s="512">
        <v>102.64</v>
      </c>
      <c r="I2330" s="265" t="s">
        <v>359</v>
      </c>
      <c r="J2330" s="265" t="s">
        <v>102</v>
      </c>
      <c r="K2330" s="265" t="s">
        <v>4903</v>
      </c>
      <c r="L2330" s="348" t="s">
        <v>1205</v>
      </c>
      <c r="M2330" s="265" t="s">
        <v>4904</v>
      </c>
      <c r="N2330" s="347">
        <v>1.036</v>
      </c>
      <c r="O2330" s="348" t="s">
        <v>1205</v>
      </c>
      <c r="P2330" s="348">
        <v>10.95</v>
      </c>
      <c r="Q2330" s="348">
        <v>1.41</v>
      </c>
    </row>
    <row r="2331" spans="1:17" ht="15" hidden="1" customHeight="1">
      <c r="A2331" s="163">
        <v>2339</v>
      </c>
      <c r="B2331" s="53" t="s">
        <v>44</v>
      </c>
      <c r="C2331" s="53" t="s">
        <v>4905</v>
      </c>
      <c r="D2331" s="53">
        <v>100024925</v>
      </c>
      <c r="E2331" s="55" t="s">
        <v>4906</v>
      </c>
      <c r="F2331" s="129">
        <v>10</v>
      </c>
      <c r="G2331" s="129">
        <v>900</v>
      </c>
      <c r="H2331" s="512">
        <v>102.64</v>
      </c>
      <c r="I2331" s="265" t="s">
        <v>359</v>
      </c>
      <c r="J2331" s="265" t="s">
        <v>102</v>
      </c>
      <c r="K2331" s="265" t="s">
        <v>4907</v>
      </c>
      <c r="L2331" s="348" t="s">
        <v>1205</v>
      </c>
      <c r="M2331" s="265" t="s">
        <v>4908</v>
      </c>
      <c r="N2331" s="347">
        <v>1.2070000000000001</v>
      </c>
      <c r="O2331" s="348" t="s">
        <v>1205</v>
      </c>
      <c r="P2331" s="348">
        <v>12.35</v>
      </c>
      <c r="Q2331" s="348">
        <v>0.8</v>
      </c>
    </row>
    <row r="2332" spans="1:17" ht="15" hidden="1" customHeight="1">
      <c r="A2332" s="163">
        <v>2340</v>
      </c>
      <c r="B2332" s="53" t="s">
        <v>44</v>
      </c>
      <c r="C2332" s="53" t="s">
        <v>4909</v>
      </c>
      <c r="D2332" s="53">
        <v>100024024</v>
      </c>
      <c r="E2332" s="55" t="s">
        <v>4910</v>
      </c>
      <c r="F2332" s="129">
        <v>10</v>
      </c>
      <c r="G2332" s="129">
        <v>900</v>
      </c>
      <c r="H2332" s="512">
        <v>102.64</v>
      </c>
      <c r="I2332" s="265" t="s">
        <v>359</v>
      </c>
      <c r="J2332" s="265" t="s">
        <v>102</v>
      </c>
      <c r="K2332" s="265" t="s">
        <v>4911</v>
      </c>
      <c r="L2332" s="348" t="s">
        <v>1205</v>
      </c>
      <c r="M2332" s="265" t="s">
        <v>4912</v>
      </c>
      <c r="N2332" s="347">
        <v>1.224</v>
      </c>
      <c r="O2332" s="348" t="s">
        <v>1205</v>
      </c>
      <c r="P2332" s="348">
        <v>12.45</v>
      </c>
      <c r="Q2332" s="348">
        <v>0.8</v>
      </c>
    </row>
    <row r="2333" spans="1:17" ht="15" hidden="1" customHeight="1">
      <c r="A2333" s="163">
        <v>2341</v>
      </c>
      <c r="B2333" s="53" t="s">
        <v>44</v>
      </c>
      <c r="C2333" s="53" t="s">
        <v>4913</v>
      </c>
      <c r="D2333" s="53">
        <v>100024029</v>
      </c>
      <c r="E2333" s="55" t="s">
        <v>4914</v>
      </c>
      <c r="F2333" s="129">
        <v>10</v>
      </c>
      <c r="G2333" s="129">
        <v>900</v>
      </c>
      <c r="H2333" s="512">
        <v>102.64</v>
      </c>
      <c r="I2333" s="265" t="s">
        <v>76</v>
      </c>
      <c r="J2333" s="265" t="s">
        <v>102</v>
      </c>
      <c r="K2333" s="265" t="s">
        <v>4915</v>
      </c>
      <c r="L2333" s="348" t="s">
        <v>1205</v>
      </c>
      <c r="M2333" s="265" t="s">
        <v>4916</v>
      </c>
      <c r="N2333" s="347">
        <v>1.0629999999999999</v>
      </c>
      <c r="O2333" s="348" t="s">
        <v>1205</v>
      </c>
      <c r="P2333" s="348">
        <v>12.35</v>
      </c>
      <c r="Q2333" s="348">
        <v>0.8</v>
      </c>
    </row>
    <row r="2334" spans="1:17" ht="15" hidden="1" customHeight="1">
      <c r="A2334" s="163">
        <v>2342</v>
      </c>
      <c r="B2334" s="53" t="s">
        <v>44</v>
      </c>
      <c r="C2334" s="53" t="s">
        <v>4917</v>
      </c>
      <c r="D2334" s="53">
        <v>100024030</v>
      </c>
      <c r="E2334" s="55" t="s">
        <v>4918</v>
      </c>
      <c r="F2334" s="129">
        <v>10</v>
      </c>
      <c r="G2334" s="129">
        <v>1200</v>
      </c>
      <c r="H2334" s="512">
        <v>113.76</v>
      </c>
      <c r="I2334" s="265" t="s">
        <v>359</v>
      </c>
      <c r="J2334" s="265" t="s">
        <v>102</v>
      </c>
      <c r="K2334" s="265" t="s">
        <v>4919</v>
      </c>
      <c r="L2334" s="348" t="s">
        <v>1205</v>
      </c>
      <c r="M2334" s="265" t="s">
        <v>4920</v>
      </c>
      <c r="N2334" s="347">
        <v>1.242</v>
      </c>
      <c r="O2334" s="348" t="s">
        <v>1205</v>
      </c>
      <c r="P2334" s="348">
        <v>14.9</v>
      </c>
      <c r="Q2334" s="348">
        <v>0.65</v>
      </c>
    </row>
    <row r="2335" spans="1:17" ht="15" hidden="1" customHeight="1">
      <c r="A2335" s="163">
        <v>2343</v>
      </c>
      <c r="B2335" s="53" t="s">
        <v>44</v>
      </c>
      <c r="C2335" s="53" t="s">
        <v>4921</v>
      </c>
      <c r="D2335" s="53">
        <v>100024928</v>
      </c>
      <c r="E2335" s="55" t="s">
        <v>4922</v>
      </c>
      <c r="F2335" s="129">
        <v>10</v>
      </c>
      <c r="G2335" s="129">
        <v>900</v>
      </c>
      <c r="H2335" s="512">
        <v>102.64</v>
      </c>
      <c r="I2335" s="265" t="s">
        <v>359</v>
      </c>
      <c r="J2335" s="265" t="s">
        <v>102</v>
      </c>
      <c r="K2335" s="265" t="s">
        <v>4923</v>
      </c>
      <c r="L2335" s="348" t="s">
        <v>1205</v>
      </c>
      <c r="M2335" s="265" t="s">
        <v>4924</v>
      </c>
      <c r="N2335" s="347">
        <v>1.1870000000000001</v>
      </c>
      <c r="O2335" s="348" t="s">
        <v>1205</v>
      </c>
      <c r="P2335" s="348">
        <v>12.35</v>
      </c>
      <c r="Q2335" s="348">
        <v>0.8</v>
      </c>
    </row>
    <row r="2336" spans="1:17" ht="15" hidden="1" customHeight="1">
      <c r="A2336" s="163">
        <v>2344</v>
      </c>
      <c r="B2336" s="53" t="s">
        <v>44</v>
      </c>
      <c r="C2336" s="53" t="s">
        <v>4925</v>
      </c>
      <c r="D2336" s="53">
        <v>100024034</v>
      </c>
      <c r="E2336" s="55" t="s">
        <v>4926</v>
      </c>
      <c r="F2336" s="129">
        <v>10</v>
      </c>
      <c r="G2336" s="129">
        <v>240</v>
      </c>
      <c r="H2336" s="512">
        <v>113.76</v>
      </c>
      <c r="I2336" s="265" t="s">
        <v>359</v>
      </c>
      <c r="J2336" s="265" t="s">
        <v>102</v>
      </c>
      <c r="K2336" s="265" t="s">
        <v>4927</v>
      </c>
      <c r="L2336" s="348" t="s">
        <v>1205</v>
      </c>
      <c r="M2336" s="265" t="s">
        <v>4928</v>
      </c>
      <c r="N2336" s="347">
        <v>1.2310000000000001</v>
      </c>
      <c r="O2336" s="348" t="s">
        <v>1205</v>
      </c>
      <c r="P2336" s="348">
        <v>14.5</v>
      </c>
      <c r="Q2336" s="348">
        <v>2.77</v>
      </c>
    </row>
    <row r="2337" spans="1:17" ht="15" hidden="1" customHeight="1">
      <c r="A2337" s="163">
        <v>2345</v>
      </c>
      <c r="B2337" s="53" t="s">
        <v>44</v>
      </c>
      <c r="C2337" s="53" t="s">
        <v>4929</v>
      </c>
      <c r="D2337" s="53">
        <v>100024035</v>
      </c>
      <c r="E2337" s="55" t="s">
        <v>4930</v>
      </c>
      <c r="F2337" s="129">
        <v>10</v>
      </c>
      <c r="G2337" s="129">
        <v>600</v>
      </c>
      <c r="H2337" s="512">
        <v>113.76</v>
      </c>
      <c r="I2337" s="265" t="s">
        <v>359</v>
      </c>
      <c r="J2337" s="265" t="s">
        <v>102</v>
      </c>
      <c r="K2337" s="265" t="s">
        <v>4931</v>
      </c>
      <c r="L2337" s="348" t="s">
        <v>1205</v>
      </c>
      <c r="M2337" s="265" t="s">
        <v>4932</v>
      </c>
      <c r="N2337" s="347">
        <v>1.296</v>
      </c>
      <c r="O2337" s="348" t="s">
        <v>1205</v>
      </c>
      <c r="P2337" s="348">
        <v>13.78</v>
      </c>
      <c r="Q2337" s="348">
        <v>1.41</v>
      </c>
    </row>
    <row r="2338" spans="1:17" ht="15" hidden="1" customHeight="1">
      <c r="A2338" s="163">
        <v>2346</v>
      </c>
      <c r="B2338" s="53" t="s">
        <v>44</v>
      </c>
      <c r="C2338" s="53" t="s">
        <v>4933</v>
      </c>
      <c r="D2338" s="53">
        <v>100024929</v>
      </c>
      <c r="E2338" s="55" t="s">
        <v>4934</v>
      </c>
      <c r="F2338" s="129">
        <v>10</v>
      </c>
      <c r="G2338" s="129">
        <v>240</v>
      </c>
      <c r="H2338" s="512">
        <v>113.76</v>
      </c>
      <c r="I2338" s="265" t="s">
        <v>359</v>
      </c>
      <c r="J2338" s="265" t="s">
        <v>102</v>
      </c>
      <c r="K2338" s="265" t="s">
        <v>4935</v>
      </c>
      <c r="L2338" s="348" t="s">
        <v>1205</v>
      </c>
      <c r="M2338" s="265" t="s">
        <v>4936</v>
      </c>
      <c r="N2338" s="347">
        <v>1.3660000000000001</v>
      </c>
      <c r="O2338" s="348" t="s">
        <v>1205</v>
      </c>
      <c r="P2338" s="348">
        <v>15.5</v>
      </c>
      <c r="Q2338" s="348">
        <v>2.77</v>
      </c>
    </row>
    <row r="2339" spans="1:17" ht="15" hidden="1" customHeight="1">
      <c r="A2339" s="163">
        <v>2347</v>
      </c>
      <c r="B2339" s="53" t="s">
        <v>44</v>
      </c>
      <c r="C2339" s="53" t="s">
        <v>4937</v>
      </c>
      <c r="D2339" s="53">
        <v>100024933</v>
      </c>
      <c r="E2339" s="55" t="s">
        <v>4938</v>
      </c>
      <c r="F2339" s="129">
        <v>10</v>
      </c>
      <c r="G2339" s="129">
        <v>750</v>
      </c>
      <c r="H2339" s="512">
        <v>132.65</v>
      </c>
      <c r="I2339" s="265" t="s">
        <v>359</v>
      </c>
      <c r="J2339" s="265" t="s">
        <v>102</v>
      </c>
      <c r="K2339" s="265" t="s">
        <v>4939</v>
      </c>
      <c r="L2339" s="348" t="s">
        <v>1205</v>
      </c>
      <c r="M2339" s="265" t="s">
        <v>4940</v>
      </c>
      <c r="N2339" s="347">
        <v>1.5469999999999999</v>
      </c>
      <c r="O2339" s="348" t="s">
        <v>1205</v>
      </c>
      <c r="P2339" s="348">
        <v>14.1</v>
      </c>
      <c r="Q2339" s="348">
        <v>1.1000000000000001</v>
      </c>
    </row>
    <row r="2340" spans="1:17" ht="15" hidden="1" customHeight="1">
      <c r="A2340" s="163">
        <v>2348</v>
      </c>
      <c r="B2340" s="53" t="s">
        <v>44</v>
      </c>
      <c r="C2340" s="53" t="s">
        <v>4941</v>
      </c>
      <c r="D2340" s="53">
        <v>100024934</v>
      </c>
      <c r="E2340" s="55" t="s">
        <v>4942</v>
      </c>
      <c r="F2340" s="129">
        <v>10</v>
      </c>
      <c r="G2340" s="129">
        <v>900</v>
      </c>
      <c r="H2340" s="512">
        <v>121.5</v>
      </c>
      <c r="I2340" s="265" t="s">
        <v>359</v>
      </c>
      <c r="J2340" s="265" t="s">
        <v>102</v>
      </c>
      <c r="K2340" s="265" t="s">
        <v>4943</v>
      </c>
      <c r="L2340" s="348" t="s">
        <v>1205</v>
      </c>
      <c r="M2340" s="265" t="s">
        <v>4944</v>
      </c>
      <c r="N2340" s="347">
        <v>1.3939999999999999</v>
      </c>
      <c r="O2340" s="348" t="s">
        <v>1205</v>
      </c>
      <c r="P2340" s="348">
        <v>12.1</v>
      </c>
      <c r="Q2340" s="348">
        <v>0.8</v>
      </c>
    </row>
    <row r="2341" spans="1:17" ht="15" hidden="1" customHeight="1">
      <c r="A2341" s="163">
        <v>2349</v>
      </c>
      <c r="B2341" s="53" t="s">
        <v>44</v>
      </c>
      <c r="C2341" s="53" t="s">
        <v>4945</v>
      </c>
      <c r="D2341" s="53">
        <v>100024047</v>
      </c>
      <c r="E2341" s="55" t="s">
        <v>4946</v>
      </c>
      <c r="F2341" s="129">
        <v>10</v>
      </c>
      <c r="G2341" s="129">
        <v>600</v>
      </c>
      <c r="H2341" s="512">
        <v>102.64</v>
      </c>
      <c r="I2341" s="265" t="s">
        <v>359</v>
      </c>
      <c r="J2341" s="265" t="s">
        <v>102</v>
      </c>
      <c r="K2341" s="265" t="s">
        <v>4947</v>
      </c>
      <c r="L2341" s="348" t="s">
        <v>1205</v>
      </c>
      <c r="M2341" s="265" t="s">
        <v>4948</v>
      </c>
      <c r="N2341" s="347">
        <v>1.0880000000000001</v>
      </c>
      <c r="O2341" s="348" t="s">
        <v>1205</v>
      </c>
      <c r="P2341" s="348">
        <v>11</v>
      </c>
      <c r="Q2341" s="348">
        <v>1.41</v>
      </c>
    </row>
    <row r="2342" spans="1:17" ht="15" hidden="1" customHeight="1">
      <c r="A2342" s="163">
        <v>2350</v>
      </c>
      <c r="B2342" s="53" t="s">
        <v>44</v>
      </c>
      <c r="C2342" s="53" t="s">
        <v>4949</v>
      </c>
      <c r="D2342" s="53">
        <v>100024938</v>
      </c>
      <c r="E2342" s="55" t="s">
        <v>4707</v>
      </c>
      <c r="F2342" s="129">
        <v>10</v>
      </c>
      <c r="G2342" s="129">
        <v>900</v>
      </c>
      <c r="H2342" s="512">
        <v>102.64</v>
      </c>
      <c r="I2342" s="265" t="s">
        <v>359</v>
      </c>
      <c r="J2342" s="265" t="s">
        <v>102</v>
      </c>
      <c r="K2342" s="265" t="s">
        <v>4950</v>
      </c>
      <c r="L2342" s="348" t="s">
        <v>1205</v>
      </c>
      <c r="M2342" s="265" t="s">
        <v>4951</v>
      </c>
      <c r="N2342" s="347">
        <v>1.1060000000000001</v>
      </c>
      <c r="O2342" s="348" t="s">
        <v>1205</v>
      </c>
      <c r="P2342" s="348">
        <v>11.35</v>
      </c>
      <c r="Q2342" s="348">
        <v>0.8</v>
      </c>
    </row>
    <row r="2343" spans="1:17" ht="15" hidden="1" customHeight="1">
      <c r="A2343" s="163">
        <v>2351</v>
      </c>
      <c r="B2343" s="53" t="s">
        <v>44</v>
      </c>
      <c r="C2343" s="53" t="s">
        <v>4952</v>
      </c>
      <c r="D2343" s="53">
        <v>100024051</v>
      </c>
      <c r="E2343" s="55" t="s">
        <v>4711</v>
      </c>
      <c r="F2343" s="129">
        <v>10</v>
      </c>
      <c r="G2343" s="129">
        <v>600</v>
      </c>
      <c r="H2343" s="512">
        <v>113.76</v>
      </c>
      <c r="I2343" s="265" t="s">
        <v>359</v>
      </c>
      <c r="J2343" s="265" t="s">
        <v>102</v>
      </c>
      <c r="K2343" s="265" t="s">
        <v>4953</v>
      </c>
      <c r="L2343" s="348" t="s">
        <v>1205</v>
      </c>
      <c r="M2343" s="265" t="s">
        <v>4954</v>
      </c>
      <c r="N2343" s="347">
        <v>1.2150000000000001</v>
      </c>
      <c r="O2343" s="348" t="s">
        <v>1205</v>
      </c>
      <c r="P2343" s="348">
        <v>12.7</v>
      </c>
      <c r="Q2343" s="348">
        <v>1.25</v>
      </c>
    </row>
    <row r="2344" spans="1:17" ht="15" hidden="1" customHeight="1">
      <c r="A2344" s="163">
        <v>2352</v>
      </c>
      <c r="B2344" s="53" t="s">
        <v>44</v>
      </c>
      <c r="C2344" s="53" t="s">
        <v>4955</v>
      </c>
      <c r="D2344" s="53">
        <v>100024939</v>
      </c>
      <c r="E2344" s="55" t="s">
        <v>4956</v>
      </c>
      <c r="F2344" s="129">
        <v>10</v>
      </c>
      <c r="G2344" s="129">
        <v>600</v>
      </c>
      <c r="H2344" s="512">
        <v>113.76</v>
      </c>
      <c r="I2344" s="265" t="s">
        <v>359</v>
      </c>
      <c r="J2344" s="265" t="s">
        <v>102</v>
      </c>
      <c r="K2344" s="265" t="s">
        <v>4957</v>
      </c>
      <c r="L2344" s="348" t="s">
        <v>1205</v>
      </c>
      <c r="M2344" s="265" t="s">
        <v>4958</v>
      </c>
      <c r="N2344" s="347">
        <v>1.2849999999999999</v>
      </c>
      <c r="O2344" s="348" t="s">
        <v>1205</v>
      </c>
      <c r="P2344" s="348">
        <v>13.48</v>
      </c>
      <c r="Q2344" s="348">
        <v>1.41</v>
      </c>
    </row>
    <row r="2345" spans="1:17" ht="15" hidden="1" customHeight="1">
      <c r="A2345" s="163">
        <v>2353</v>
      </c>
      <c r="B2345" s="53" t="s">
        <v>44</v>
      </c>
      <c r="C2345" s="53" t="s">
        <v>4959</v>
      </c>
      <c r="D2345" s="53">
        <v>100024054</v>
      </c>
      <c r="E2345" s="55" t="s">
        <v>4960</v>
      </c>
      <c r="F2345" s="129">
        <v>10</v>
      </c>
      <c r="G2345" s="129" t="s">
        <v>2803</v>
      </c>
      <c r="H2345" s="512">
        <v>102.64</v>
      </c>
      <c r="I2345" s="265" t="s">
        <v>76</v>
      </c>
      <c r="J2345" s="265" t="s">
        <v>102</v>
      </c>
      <c r="K2345" s="265" t="s">
        <v>4961</v>
      </c>
      <c r="L2345" s="348" t="s">
        <v>1205</v>
      </c>
      <c r="M2345" s="265" t="s">
        <v>4962</v>
      </c>
      <c r="N2345" s="347">
        <v>1.0469999999999999</v>
      </c>
      <c r="O2345" s="348" t="s">
        <v>1205</v>
      </c>
      <c r="P2345" s="348">
        <v>10.95</v>
      </c>
      <c r="Q2345" s="348" t="s">
        <v>1205</v>
      </c>
    </row>
    <row r="2346" spans="1:17" ht="15" hidden="1" customHeight="1">
      <c r="A2346" s="163">
        <v>2354</v>
      </c>
      <c r="B2346" s="53" t="s">
        <v>44</v>
      </c>
      <c r="C2346" s="53" t="s">
        <v>4963</v>
      </c>
      <c r="D2346" s="53">
        <v>100024055</v>
      </c>
      <c r="E2346" s="55" t="s">
        <v>4964</v>
      </c>
      <c r="F2346" s="129">
        <v>10</v>
      </c>
      <c r="G2346" s="129">
        <v>900</v>
      </c>
      <c r="H2346" s="512">
        <v>102.64</v>
      </c>
      <c r="I2346" s="265" t="s">
        <v>359</v>
      </c>
      <c r="J2346" s="265" t="s">
        <v>102</v>
      </c>
      <c r="K2346" s="265" t="s">
        <v>4965</v>
      </c>
      <c r="L2346" s="348" t="s">
        <v>1205</v>
      </c>
      <c r="M2346" s="265" t="s">
        <v>4966</v>
      </c>
      <c r="N2346" s="347">
        <v>1.123</v>
      </c>
      <c r="O2346" s="348" t="s">
        <v>1205</v>
      </c>
      <c r="P2346" s="348">
        <v>11.45</v>
      </c>
      <c r="Q2346" s="348">
        <v>0.8</v>
      </c>
    </row>
    <row r="2347" spans="1:17" ht="15" hidden="1" customHeight="1">
      <c r="A2347" s="163">
        <v>2355</v>
      </c>
      <c r="B2347" s="53" t="s">
        <v>44</v>
      </c>
      <c r="C2347" s="53" t="s">
        <v>4967</v>
      </c>
      <c r="D2347" s="53">
        <v>100024058</v>
      </c>
      <c r="E2347" s="55" t="s">
        <v>4968</v>
      </c>
      <c r="F2347" s="129">
        <v>10</v>
      </c>
      <c r="G2347" s="129">
        <v>1200</v>
      </c>
      <c r="H2347" s="512">
        <v>91.56</v>
      </c>
      <c r="I2347" s="265" t="s">
        <v>359</v>
      </c>
      <c r="J2347" s="265" t="s">
        <v>102</v>
      </c>
      <c r="K2347" s="265" t="s">
        <v>4969</v>
      </c>
      <c r="L2347" s="348" t="s">
        <v>1205</v>
      </c>
      <c r="M2347" s="265" t="s">
        <v>4970</v>
      </c>
      <c r="N2347" s="347">
        <v>0.90600000000000003</v>
      </c>
      <c r="O2347" s="348" t="s">
        <v>1205</v>
      </c>
      <c r="P2347" s="348">
        <v>9.25</v>
      </c>
      <c r="Q2347" s="348">
        <v>0.65</v>
      </c>
    </row>
    <row r="2348" spans="1:17" ht="15" hidden="1" customHeight="1">
      <c r="A2348" s="163">
        <v>2356</v>
      </c>
      <c r="B2348" s="53" t="s">
        <v>44</v>
      </c>
      <c r="C2348" s="53" t="s">
        <v>4971</v>
      </c>
      <c r="D2348" s="53">
        <v>100024061</v>
      </c>
      <c r="E2348" s="55" t="s">
        <v>4972</v>
      </c>
      <c r="F2348" s="129">
        <v>10</v>
      </c>
      <c r="G2348" s="129">
        <v>900</v>
      </c>
      <c r="H2348" s="512">
        <v>102.64</v>
      </c>
      <c r="I2348" s="265" t="s">
        <v>359</v>
      </c>
      <c r="J2348" s="265" t="s">
        <v>102</v>
      </c>
      <c r="K2348" s="265" t="s">
        <v>4973</v>
      </c>
      <c r="L2348" s="348" t="s">
        <v>1205</v>
      </c>
      <c r="M2348" s="265" t="s">
        <v>4974</v>
      </c>
      <c r="N2348" s="347">
        <v>1.1479999999999999</v>
      </c>
      <c r="O2348" s="348" t="s">
        <v>1205</v>
      </c>
      <c r="P2348" s="348">
        <v>11.55</v>
      </c>
      <c r="Q2348" s="348">
        <v>0.8</v>
      </c>
    </row>
    <row r="2349" spans="1:17" ht="15" hidden="1" customHeight="1">
      <c r="A2349" s="163">
        <v>2357</v>
      </c>
      <c r="B2349" s="53" t="s">
        <v>44</v>
      </c>
      <c r="C2349" s="53" t="s">
        <v>4975</v>
      </c>
      <c r="D2349" s="53">
        <v>100024062</v>
      </c>
      <c r="E2349" s="55" t="s">
        <v>4976</v>
      </c>
      <c r="F2349" s="129">
        <v>10</v>
      </c>
      <c r="G2349" s="129">
        <v>1200</v>
      </c>
      <c r="H2349" s="512">
        <v>91.56</v>
      </c>
      <c r="I2349" s="265" t="s">
        <v>359</v>
      </c>
      <c r="J2349" s="265" t="s">
        <v>102</v>
      </c>
      <c r="K2349" s="265" t="s">
        <v>4977</v>
      </c>
      <c r="L2349" s="348" t="s">
        <v>1205</v>
      </c>
      <c r="M2349" s="265" t="s">
        <v>4978</v>
      </c>
      <c r="N2349" s="347">
        <v>0.93100000000000005</v>
      </c>
      <c r="O2349" s="348" t="s">
        <v>1205</v>
      </c>
      <c r="P2349" s="348">
        <v>9.35</v>
      </c>
      <c r="Q2349" s="348">
        <v>0.65</v>
      </c>
    </row>
    <row r="2350" spans="1:17" ht="15" hidden="1" customHeight="1">
      <c r="A2350" s="163">
        <v>2358</v>
      </c>
      <c r="B2350" s="53" t="s">
        <v>44</v>
      </c>
      <c r="C2350" s="53" t="s">
        <v>4979</v>
      </c>
      <c r="D2350" s="53">
        <v>100024942</v>
      </c>
      <c r="E2350" s="55" t="s">
        <v>4727</v>
      </c>
      <c r="F2350" s="129">
        <v>10</v>
      </c>
      <c r="G2350" s="129">
        <v>900</v>
      </c>
      <c r="H2350" s="512">
        <v>102.64</v>
      </c>
      <c r="I2350" s="265" t="s">
        <v>76</v>
      </c>
      <c r="J2350" s="265" t="s">
        <v>102</v>
      </c>
      <c r="K2350" s="265" t="s">
        <v>4980</v>
      </c>
      <c r="L2350" s="348" t="s">
        <v>1205</v>
      </c>
      <c r="M2350" s="265" t="s">
        <v>4981</v>
      </c>
      <c r="N2350" s="347">
        <v>1.085</v>
      </c>
      <c r="O2350" s="348" t="s">
        <v>1205</v>
      </c>
      <c r="P2350" s="348">
        <v>11</v>
      </c>
      <c r="Q2350" s="348">
        <v>0.8</v>
      </c>
    </row>
    <row r="2351" spans="1:17" ht="15" hidden="1" customHeight="1">
      <c r="A2351" s="163">
        <v>2359</v>
      </c>
      <c r="B2351" s="53" t="s">
        <v>44</v>
      </c>
      <c r="C2351" s="53" t="s">
        <v>4982</v>
      </c>
      <c r="D2351" s="53">
        <v>100024069</v>
      </c>
      <c r="E2351" s="55" t="s">
        <v>4983</v>
      </c>
      <c r="F2351" s="129">
        <v>10</v>
      </c>
      <c r="G2351" s="129">
        <v>750</v>
      </c>
      <c r="H2351" s="512">
        <v>113.76</v>
      </c>
      <c r="I2351" s="265" t="s">
        <v>359</v>
      </c>
      <c r="J2351" s="265" t="s">
        <v>102</v>
      </c>
      <c r="K2351" s="265" t="s">
        <v>4984</v>
      </c>
      <c r="L2351" s="348" t="s">
        <v>1205</v>
      </c>
      <c r="M2351" s="265" t="s">
        <v>4985</v>
      </c>
      <c r="N2351" s="347">
        <v>1.129</v>
      </c>
      <c r="O2351" s="348" t="s">
        <v>1205</v>
      </c>
      <c r="P2351" s="348">
        <v>12.055</v>
      </c>
      <c r="Q2351" s="348">
        <v>1.1000000000000001</v>
      </c>
    </row>
    <row r="2352" spans="1:17" ht="15" hidden="1" customHeight="1">
      <c r="A2352" s="163">
        <v>2360</v>
      </c>
      <c r="B2352" s="53" t="s">
        <v>44</v>
      </c>
      <c r="C2352" s="53" t="s">
        <v>4986</v>
      </c>
      <c r="D2352" s="53">
        <v>100024070</v>
      </c>
      <c r="E2352" s="55" t="s">
        <v>4731</v>
      </c>
      <c r="F2352" s="129">
        <v>10</v>
      </c>
      <c r="G2352" s="129">
        <v>600</v>
      </c>
      <c r="H2352" s="512">
        <v>113.76</v>
      </c>
      <c r="I2352" s="265" t="s">
        <v>359</v>
      </c>
      <c r="J2352" s="265" t="s">
        <v>102</v>
      </c>
      <c r="K2352" s="265" t="s">
        <v>4987</v>
      </c>
      <c r="L2352" s="348" t="s">
        <v>1205</v>
      </c>
      <c r="M2352" s="265" t="s">
        <v>4988</v>
      </c>
      <c r="N2352" s="347">
        <v>1.194</v>
      </c>
      <c r="O2352" s="348" t="s">
        <v>1205</v>
      </c>
      <c r="P2352" s="348">
        <v>12.67</v>
      </c>
      <c r="Q2352" s="348">
        <v>1.25</v>
      </c>
    </row>
    <row r="2353" spans="1:17" ht="15" hidden="1" customHeight="1">
      <c r="A2353" s="163">
        <v>2361</v>
      </c>
      <c r="B2353" s="53" t="s">
        <v>44</v>
      </c>
      <c r="C2353" s="53" t="s">
        <v>4989</v>
      </c>
      <c r="D2353" s="53">
        <v>100024943</v>
      </c>
      <c r="E2353" s="55" t="s">
        <v>4990</v>
      </c>
      <c r="F2353" s="129">
        <v>10</v>
      </c>
      <c r="G2353" s="129">
        <v>600</v>
      </c>
      <c r="H2353" s="512">
        <v>113.76</v>
      </c>
      <c r="I2353" s="265" t="s">
        <v>359</v>
      </c>
      <c r="J2353" s="265" t="s">
        <v>102</v>
      </c>
      <c r="K2353" s="265" t="s">
        <v>4991</v>
      </c>
      <c r="L2353" s="348" t="s">
        <v>1205</v>
      </c>
      <c r="M2353" s="265" t="s">
        <v>4992</v>
      </c>
      <c r="N2353" s="347">
        <v>1.264</v>
      </c>
      <c r="O2353" s="348" t="s">
        <v>1205</v>
      </c>
      <c r="P2353" s="348">
        <v>13.48</v>
      </c>
      <c r="Q2353" s="348">
        <v>1.41</v>
      </c>
    </row>
    <row r="2354" spans="1:17" ht="15" hidden="1" customHeight="1">
      <c r="A2354" s="163">
        <v>2362</v>
      </c>
      <c r="B2354" s="53" t="s">
        <v>44</v>
      </c>
      <c r="C2354" s="53" t="s">
        <v>4993</v>
      </c>
      <c r="D2354" s="53">
        <v>100024944</v>
      </c>
      <c r="E2354" s="55" t="s">
        <v>4994</v>
      </c>
      <c r="F2354" s="129">
        <v>10</v>
      </c>
      <c r="G2354" s="129">
        <v>1200</v>
      </c>
      <c r="H2354" s="512">
        <v>91.56</v>
      </c>
      <c r="I2354" s="265" t="s">
        <v>76</v>
      </c>
      <c r="J2354" s="265" t="s">
        <v>102</v>
      </c>
      <c r="K2354" s="265" t="s">
        <v>4995</v>
      </c>
      <c r="L2354" s="348" t="s">
        <v>1205</v>
      </c>
      <c r="M2354" s="265" t="s">
        <v>4996</v>
      </c>
      <c r="N2354" s="347">
        <v>0.86799999999999999</v>
      </c>
      <c r="O2354" s="348" t="s">
        <v>1205</v>
      </c>
      <c r="P2354" s="348">
        <v>9.35</v>
      </c>
      <c r="Q2354" s="348">
        <v>0.65</v>
      </c>
    </row>
    <row r="2355" spans="1:17" ht="15" hidden="1" customHeight="1">
      <c r="A2355" s="163">
        <v>2363</v>
      </c>
      <c r="B2355" s="53" t="s">
        <v>44</v>
      </c>
      <c r="C2355" s="53" t="s">
        <v>4997</v>
      </c>
      <c r="D2355" s="53">
        <v>100024945</v>
      </c>
      <c r="E2355" s="55" t="s">
        <v>4998</v>
      </c>
      <c r="F2355" s="129">
        <v>10</v>
      </c>
      <c r="G2355" s="129">
        <v>1200</v>
      </c>
      <c r="H2355" s="512">
        <v>91.56</v>
      </c>
      <c r="I2355" s="265" t="s">
        <v>359</v>
      </c>
      <c r="J2355" s="265" t="s">
        <v>102</v>
      </c>
      <c r="K2355" s="265" t="s">
        <v>4999</v>
      </c>
      <c r="L2355" s="348" t="s">
        <v>1205</v>
      </c>
      <c r="M2355" s="265" t="s">
        <v>5000</v>
      </c>
      <c r="N2355" s="347">
        <v>0.93200000000000005</v>
      </c>
      <c r="O2355" s="348" t="s">
        <v>1205</v>
      </c>
      <c r="P2355" s="348">
        <v>9.85</v>
      </c>
      <c r="Q2355" s="348">
        <v>0.65</v>
      </c>
    </row>
    <row r="2356" spans="1:17" ht="15" hidden="1" customHeight="1">
      <c r="A2356" s="163">
        <v>2364</v>
      </c>
      <c r="B2356" s="53" t="s">
        <v>44</v>
      </c>
      <c r="C2356" s="53" t="s">
        <v>5001</v>
      </c>
      <c r="D2356" s="53">
        <v>100024079</v>
      </c>
      <c r="E2356" s="55" t="s">
        <v>5002</v>
      </c>
      <c r="F2356" s="129">
        <v>10</v>
      </c>
      <c r="G2356" s="129">
        <v>900</v>
      </c>
      <c r="H2356" s="512">
        <v>102.64</v>
      </c>
      <c r="I2356" s="265" t="s">
        <v>359</v>
      </c>
      <c r="J2356" s="265" t="s">
        <v>102</v>
      </c>
      <c r="K2356" s="265" t="s">
        <v>5003</v>
      </c>
      <c r="L2356" s="348" t="s">
        <v>1205</v>
      </c>
      <c r="M2356" s="265" t="s">
        <v>5004</v>
      </c>
      <c r="N2356" s="347">
        <v>1.157</v>
      </c>
      <c r="O2356" s="348" t="s">
        <v>1205</v>
      </c>
      <c r="P2356" s="348">
        <v>11.9</v>
      </c>
      <c r="Q2356" s="348">
        <v>0.8</v>
      </c>
    </row>
    <row r="2357" spans="1:17" ht="15" hidden="1" customHeight="1">
      <c r="A2357" s="163">
        <v>2365</v>
      </c>
      <c r="B2357" s="53" t="s">
        <v>44</v>
      </c>
      <c r="C2357" s="53" t="s">
        <v>5005</v>
      </c>
      <c r="D2357" s="53">
        <v>100024947</v>
      </c>
      <c r="E2357" s="55" t="s">
        <v>5006</v>
      </c>
      <c r="F2357" s="129">
        <v>10</v>
      </c>
      <c r="G2357" s="129">
        <v>900</v>
      </c>
      <c r="H2357" s="512">
        <v>102.64</v>
      </c>
      <c r="I2357" s="265" t="s">
        <v>359</v>
      </c>
      <c r="J2357" s="265" t="s">
        <v>102</v>
      </c>
      <c r="K2357" s="265" t="s">
        <v>5007</v>
      </c>
      <c r="L2357" s="348" t="s">
        <v>1205</v>
      </c>
      <c r="M2357" s="265" t="s">
        <v>5008</v>
      </c>
      <c r="N2357" s="347">
        <v>1.0860000000000001</v>
      </c>
      <c r="O2357" s="348" t="s">
        <v>1205</v>
      </c>
      <c r="P2357" s="348">
        <v>11.35</v>
      </c>
      <c r="Q2357" s="348">
        <v>0.8</v>
      </c>
    </row>
    <row r="2358" spans="1:17" ht="15" hidden="1" customHeight="1">
      <c r="A2358" s="163">
        <v>2366</v>
      </c>
      <c r="B2358" s="53" t="s">
        <v>44</v>
      </c>
      <c r="C2358" s="53" t="s">
        <v>5009</v>
      </c>
      <c r="D2358" s="53">
        <v>100024091</v>
      </c>
      <c r="E2358" s="55" t="s">
        <v>5010</v>
      </c>
      <c r="F2358" s="129">
        <v>10</v>
      </c>
      <c r="G2358" s="129">
        <v>900</v>
      </c>
      <c r="H2358" s="512">
        <v>102.64</v>
      </c>
      <c r="I2358" s="265" t="s">
        <v>359</v>
      </c>
      <c r="J2358" s="265" t="s">
        <v>102</v>
      </c>
      <c r="K2358" s="265" t="s">
        <v>5011</v>
      </c>
      <c r="L2358" s="348" t="s">
        <v>1205</v>
      </c>
      <c r="M2358" s="265" t="s">
        <v>5012</v>
      </c>
      <c r="N2358" s="347">
        <v>1.1100000000000001</v>
      </c>
      <c r="O2358" s="348" t="s">
        <v>1205</v>
      </c>
      <c r="P2358" s="348">
        <v>11.6</v>
      </c>
      <c r="Q2358" s="348">
        <v>0.8</v>
      </c>
    </row>
    <row r="2359" spans="1:17" ht="15" hidden="1" customHeight="1">
      <c r="A2359" s="163">
        <v>2367</v>
      </c>
      <c r="B2359" s="53" t="s">
        <v>44</v>
      </c>
      <c r="C2359" s="53" t="s">
        <v>5013</v>
      </c>
      <c r="D2359" s="53">
        <v>100024095</v>
      </c>
      <c r="E2359" s="55" t="s">
        <v>5014</v>
      </c>
      <c r="F2359" s="129">
        <v>10</v>
      </c>
      <c r="G2359" s="129">
        <v>900</v>
      </c>
      <c r="H2359" s="512">
        <v>102.64</v>
      </c>
      <c r="I2359" s="265" t="s">
        <v>359</v>
      </c>
      <c r="J2359" s="265" t="s">
        <v>102</v>
      </c>
      <c r="K2359" s="265" t="s">
        <v>5015</v>
      </c>
      <c r="L2359" s="348" t="s">
        <v>1205</v>
      </c>
      <c r="M2359" s="265" t="s">
        <v>5016</v>
      </c>
      <c r="N2359" s="347">
        <v>1.127</v>
      </c>
      <c r="O2359" s="348" t="s">
        <v>1205</v>
      </c>
      <c r="P2359" s="348">
        <v>11.7</v>
      </c>
      <c r="Q2359" s="348">
        <v>0.8</v>
      </c>
    </row>
    <row r="2360" spans="1:17" ht="15" hidden="1" customHeight="1">
      <c r="A2360" s="163">
        <v>2368</v>
      </c>
      <c r="B2360" s="53" t="s">
        <v>44</v>
      </c>
      <c r="C2360" s="53" t="s">
        <v>5017</v>
      </c>
      <c r="D2360" s="53">
        <v>100024096</v>
      </c>
      <c r="E2360" s="55" t="s">
        <v>5018</v>
      </c>
      <c r="F2360" s="129">
        <v>10</v>
      </c>
      <c r="G2360" s="129">
        <v>900</v>
      </c>
      <c r="H2360" s="512">
        <v>102.64</v>
      </c>
      <c r="I2360" s="265" t="s">
        <v>359</v>
      </c>
      <c r="J2360" s="265" t="s">
        <v>102</v>
      </c>
      <c r="K2360" s="265" t="s">
        <v>5019</v>
      </c>
      <c r="L2360" s="348" t="s">
        <v>1205</v>
      </c>
      <c r="M2360" s="265" t="s">
        <v>5020</v>
      </c>
      <c r="N2360" s="347">
        <v>0.96599999999999997</v>
      </c>
      <c r="O2360" s="348" t="s">
        <v>1205</v>
      </c>
      <c r="P2360" s="348">
        <v>11.6</v>
      </c>
      <c r="Q2360" s="348">
        <v>0.8</v>
      </c>
    </row>
    <row r="2361" spans="1:17" ht="15" hidden="1" customHeight="1">
      <c r="A2361" s="163">
        <v>2369</v>
      </c>
      <c r="B2361" s="53" t="s">
        <v>44</v>
      </c>
      <c r="C2361" s="53" t="s">
        <v>5021</v>
      </c>
      <c r="D2361" s="53">
        <v>100024099</v>
      </c>
      <c r="E2361" s="55" t="s">
        <v>5022</v>
      </c>
      <c r="F2361" s="129">
        <v>10</v>
      </c>
      <c r="G2361" s="129">
        <v>900</v>
      </c>
      <c r="H2361" s="512">
        <v>102.64</v>
      </c>
      <c r="I2361" s="265" t="s">
        <v>359</v>
      </c>
      <c r="J2361" s="265" t="s">
        <v>102</v>
      </c>
      <c r="K2361" s="265" t="s">
        <v>5023</v>
      </c>
      <c r="L2361" s="348" t="s">
        <v>1205</v>
      </c>
      <c r="M2361" s="265" t="s">
        <v>5024</v>
      </c>
      <c r="N2361" s="347">
        <v>1.161</v>
      </c>
      <c r="O2361" s="348" t="s">
        <v>1205</v>
      </c>
      <c r="P2361" s="348">
        <v>12.15</v>
      </c>
      <c r="Q2361" s="348">
        <v>0.8</v>
      </c>
    </row>
    <row r="2362" spans="1:17" ht="15" hidden="1" customHeight="1">
      <c r="A2362" s="163">
        <v>2370</v>
      </c>
      <c r="B2362" s="53" t="s">
        <v>44</v>
      </c>
      <c r="C2362" s="53" t="s">
        <v>5025</v>
      </c>
      <c r="D2362" s="53">
        <v>100024100</v>
      </c>
      <c r="E2362" s="55" t="s">
        <v>5026</v>
      </c>
      <c r="F2362" s="129">
        <v>10</v>
      </c>
      <c r="G2362" s="129">
        <v>900</v>
      </c>
      <c r="H2362" s="512">
        <v>102.64</v>
      </c>
      <c r="I2362" s="265" t="s">
        <v>359</v>
      </c>
      <c r="J2362" s="265" t="s">
        <v>102</v>
      </c>
      <c r="K2362" s="265" t="s">
        <v>5027</v>
      </c>
      <c r="L2362" s="348" t="s">
        <v>1205</v>
      </c>
      <c r="M2362" s="265" t="s">
        <v>5028</v>
      </c>
      <c r="N2362" s="347">
        <v>1.0900000000000001</v>
      </c>
      <c r="O2362" s="348" t="s">
        <v>1205</v>
      </c>
      <c r="P2362" s="348">
        <v>11.6</v>
      </c>
      <c r="Q2362" s="348">
        <v>0.8</v>
      </c>
    </row>
    <row r="2363" spans="1:17" ht="15" hidden="1" customHeight="1">
      <c r="A2363" s="163">
        <v>2371</v>
      </c>
      <c r="B2363" s="53" t="s">
        <v>44</v>
      </c>
      <c r="C2363" s="53" t="s">
        <v>5029</v>
      </c>
      <c r="D2363" s="53">
        <v>100024953</v>
      </c>
      <c r="E2363" s="55" t="s">
        <v>5030</v>
      </c>
      <c r="F2363" s="129">
        <v>10</v>
      </c>
      <c r="G2363" s="129">
        <v>900</v>
      </c>
      <c r="H2363" s="512">
        <v>102.64</v>
      </c>
      <c r="I2363" s="265" t="s">
        <v>359</v>
      </c>
      <c r="J2363" s="265" t="s">
        <v>102</v>
      </c>
      <c r="K2363" s="265" t="s">
        <v>5031</v>
      </c>
      <c r="L2363" s="348" t="s">
        <v>1205</v>
      </c>
      <c r="M2363" s="265" t="s">
        <v>5032</v>
      </c>
      <c r="N2363" s="347">
        <v>1.1140000000000001</v>
      </c>
      <c r="O2363" s="348" t="s">
        <v>1205</v>
      </c>
      <c r="P2363" s="348">
        <v>11.65</v>
      </c>
      <c r="Q2363" s="348">
        <v>0.8</v>
      </c>
    </row>
    <row r="2364" spans="1:17" ht="15" hidden="1" customHeight="1">
      <c r="A2364" s="163">
        <v>2372</v>
      </c>
      <c r="B2364" s="53" t="s">
        <v>44</v>
      </c>
      <c r="C2364" s="53" t="s">
        <v>5033</v>
      </c>
      <c r="D2364" s="53">
        <v>100024112</v>
      </c>
      <c r="E2364" s="55" t="s">
        <v>5034</v>
      </c>
      <c r="F2364" s="129">
        <v>10</v>
      </c>
      <c r="G2364" s="129">
        <v>900</v>
      </c>
      <c r="H2364" s="512">
        <v>102.64</v>
      </c>
      <c r="I2364" s="265" t="s">
        <v>359</v>
      </c>
      <c r="J2364" s="265" t="s">
        <v>102</v>
      </c>
      <c r="K2364" s="265" t="s">
        <v>5035</v>
      </c>
      <c r="L2364" s="348" t="s">
        <v>1205</v>
      </c>
      <c r="M2364" s="265" t="s">
        <v>5036</v>
      </c>
      <c r="N2364" s="347">
        <v>1.093</v>
      </c>
      <c r="O2364" s="348" t="s">
        <v>1205</v>
      </c>
      <c r="P2364" s="348">
        <v>11.65</v>
      </c>
      <c r="Q2364" s="348">
        <v>0.8</v>
      </c>
    </row>
    <row r="2365" spans="1:17" ht="15" hidden="1" customHeight="1">
      <c r="A2365" s="163">
        <v>2373</v>
      </c>
      <c r="B2365" s="53" t="s">
        <v>44</v>
      </c>
      <c r="C2365" s="53" t="s">
        <v>5037</v>
      </c>
      <c r="D2365" s="53">
        <v>100024113</v>
      </c>
      <c r="E2365" s="55" t="s">
        <v>5038</v>
      </c>
      <c r="F2365" s="129">
        <v>10</v>
      </c>
      <c r="G2365" s="129">
        <v>600</v>
      </c>
      <c r="H2365" s="512">
        <v>102.64</v>
      </c>
      <c r="I2365" s="265" t="s">
        <v>359</v>
      </c>
      <c r="J2365" s="265" t="s">
        <v>102</v>
      </c>
      <c r="K2365" s="265" t="s">
        <v>5039</v>
      </c>
      <c r="L2365" s="348" t="s">
        <v>1205</v>
      </c>
      <c r="M2365" s="265" t="s">
        <v>5040</v>
      </c>
      <c r="N2365" s="347">
        <v>1.0940000000000001</v>
      </c>
      <c r="O2365" s="348" t="s">
        <v>1205</v>
      </c>
      <c r="P2365" s="348">
        <v>11.01</v>
      </c>
      <c r="Q2365" s="348">
        <v>1.41</v>
      </c>
    </row>
    <row r="2366" spans="1:17" ht="15" hidden="1" customHeight="1">
      <c r="A2366" s="163">
        <v>2374</v>
      </c>
      <c r="B2366" s="53" t="s">
        <v>44</v>
      </c>
      <c r="C2366" s="53" t="s">
        <v>5041</v>
      </c>
      <c r="D2366" s="53">
        <v>100024114</v>
      </c>
      <c r="E2366" s="55" t="s">
        <v>5042</v>
      </c>
      <c r="F2366" s="129">
        <v>10</v>
      </c>
      <c r="G2366" s="129" t="s">
        <v>2803</v>
      </c>
      <c r="H2366" s="512">
        <v>136.21</v>
      </c>
      <c r="I2366" s="265" t="s">
        <v>359</v>
      </c>
      <c r="J2366" s="265" t="s">
        <v>102</v>
      </c>
      <c r="K2366" s="265" t="s">
        <v>5043</v>
      </c>
      <c r="L2366" s="348" t="s">
        <v>1205</v>
      </c>
      <c r="M2366" s="265" t="s">
        <v>5044</v>
      </c>
      <c r="N2366" s="347">
        <v>1.7789999999999999</v>
      </c>
      <c r="O2366" s="348" t="s">
        <v>1205</v>
      </c>
      <c r="P2366" s="348">
        <v>17.43</v>
      </c>
      <c r="Q2366" s="348" t="s">
        <v>1205</v>
      </c>
    </row>
    <row r="2367" spans="1:17" ht="15" hidden="1" customHeight="1">
      <c r="A2367" s="163">
        <v>2375</v>
      </c>
      <c r="B2367" s="53" t="s">
        <v>44</v>
      </c>
      <c r="C2367" s="53" t="s">
        <v>5045</v>
      </c>
      <c r="D2367" s="53">
        <v>100024954</v>
      </c>
      <c r="E2367" s="55" t="s">
        <v>5046</v>
      </c>
      <c r="F2367" s="129">
        <v>10</v>
      </c>
      <c r="G2367" s="129">
        <v>600</v>
      </c>
      <c r="H2367" s="512">
        <v>136.21</v>
      </c>
      <c r="I2367" s="265" t="s">
        <v>359</v>
      </c>
      <c r="J2367" s="265" t="s">
        <v>102</v>
      </c>
      <c r="K2367" s="265" t="s">
        <v>5047</v>
      </c>
      <c r="L2367" s="348" t="s">
        <v>1205</v>
      </c>
      <c r="M2367" s="265" t="s">
        <v>5048</v>
      </c>
      <c r="N2367" s="347">
        <v>1.8109999999999999</v>
      </c>
      <c r="O2367" s="348" t="s">
        <v>1205</v>
      </c>
      <c r="P2367" s="348">
        <v>17.78</v>
      </c>
      <c r="Q2367" s="348">
        <v>1.41</v>
      </c>
    </row>
    <row r="2368" spans="1:17" ht="15" hidden="1" customHeight="1">
      <c r="A2368" s="163">
        <v>2376</v>
      </c>
      <c r="B2368" s="53" t="s">
        <v>44</v>
      </c>
      <c r="C2368" s="53" t="s">
        <v>5049</v>
      </c>
      <c r="D2368" s="53">
        <v>100024115</v>
      </c>
      <c r="E2368" s="55" t="s">
        <v>5050</v>
      </c>
      <c r="F2368" s="129">
        <v>10</v>
      </c>
      <c r="G2368" s="129">
        <v>1200</v>
      </c>
      <c r="H2368" s="512">
        <v>147.31</v>
      </c>
      <c r="I2368" s="265" t="s">
        <v>359</v>
      </c>
      <c r="J2368" s="265" t="s">
        <v>102</v>
      </c>
      <c r="K2368" s="265" t="s">
        <v>5051</v>
      </c>
      <c r="L2368" s="348" t="s">
        <v>1205</v>
      </c>
      <c r="M2368" s="265" t="s">
        <v>5052</v>
      </c>
      <c r="N2368" s="347">
        <v>2.085</v>
      </c>
      <c r="O2368" s="348" t="s">
        <v>1205</v>
      </c>
      <c r="P2368" s="348">
        <v>21.7</v>
      </c>
      <c r="Q2368" s="348">
        <v>0.65</v>
      </c>
    </row>
    <row r="2369" spans="1:17" ht="15" hidden="1" customHeight="1">
      <c r="A2369" s="163">
        <v>2377</v>
      </c>
      <c r="B2369" s="53" t="s">
        <v>44</v>
      </c>
      <c r="C2369" s="53" t="s">
        <v>5053</v>
      </c>
      <c r="D2369" s="53">
        <v>100024958</v>
      </c>
      <c r="E2369" s="55" t="s">
        <v>5054</v>
      </c>
      <c r="F2369" s="129">
        <v>10</v>
      </c>
      <c r="G2369" s="129">
        <v>600</v>
      </c>
      <c r="H2369" s="512">
        <v>136.21</v>
      </c>
      <c r="I2369" s="265" t="s">
        <v>76</v>
      </c>
      <c r="J2369" s="265" t="s">
        <v>102</v>
      </c>
      <c r="K2369" s="265" t="s">
        <v>5055</v>
      </c>
      <c r="L2369" s="348" t="s">
        <v>1205</v>
      </c>
      <c r="M2369" s="265" t="s">
        <v>5056</v>
      </c>
      <c r="N2369" s="347">
        <v>1.766</v>
      </c>
      <c r="O2369" s="348" t="s">
        <v>1205</v>
      </c>
      <c r="P2369" s="348">
        <v>17.399999999999999</v>
      </c>
      <c r="Q2369" s="348">
        <v>1.41</v>
      </c>
    </row>
    <row r="2370" spans="1:17" ht="15" hidden="1" customHeight="1">
      <c r="A2370" s="163">
        <v>2378</v>
      </c>
      <c r="B2370" s="53" t="s">
        <v>44</v>
      </c>
      <c r="C2370" s="53" t="s">
        <v>5057</v>
      </c>
      <c r="D2370" s="53">
        <v>100024116</v>
      </c>
      <c r="E2370" s="55" t="s">
        <v>5058</v>
      </c>
      <c r="F2370" s="129">
        <v>10</v>
      </c>
      <c r="G2370" s="129">
        <v>600</v>
      </c>
      <c r="H2370" s="512">
        <v>136.21</v>
      </c>
      <c r="I2370" s="265" t="s">
        <v>359</v>
      </c>
      <c r="J2370" s="265" t="s">
        <v>102</v>
      </c>
      <c r="K2370" s="265" t="s">
        <v>5059</v>
      </c>
      <c r="L2370" s="348" t="s">
        <v>1205</v>
      </c>
      <c r="M2370" s="265" t="s">
        <v>5060</v>
      </c>
      <c r="N2370" s="347">
        <v>1.742</v>
      </c>
      <c r="O2370" s="348" t="s">
        <v>1205</v>
      </c>
      <c r="P2370" s="348">
        <v>17.12</v>
      </c>
      <c r="Q2370" s="348">
        <v>1.25</v>
      </c>
    </row>
    <row r="2371" spans="1:17" ht="15" hidden="1" customHeight="1">
      <c r="A2371" s="163">
        <v>2379</v>
      </c>
      <c r="B2371" s="53" t="s">
        <v>44</v>
      </c>
      <c r="C2371" s="53" t="s">
        <v>5061</v>
      </c>
      <c r="D2371" s="53">
        <v>100024959</v>
      </c>
      <c r="E2371" s="55" t="s">
        <v>5062</v>
      </c>
      <c r="F2371" s="129">
        <v>10</v>
      </c>
      <c r="G2371" s="129">
        <v>600</v>
      </c>
      <c r="H2371" s="512">
        <v>136.21</v>
      </c>
      <c r="I2371" s="265" t="s">
        <v>76</v>
      </c>
      <c r="J2371" s="265" t="s">
        <v>102</v>
      </c>
      <c r="K2371" s="265" t="s">
        <v>5063</v>
      </c>
      <c r="L2371" s="348" t="s">
        <v>1205</v>
      </c>
      <c r="M2371" s="265" t="s">
        <v>5064</v>
      </c>
      <c r="N2371" s="347">
        <v>1.774</v>
      </c>
      <c r="O2371" s="348" t="s">
        <v>1205</v>
      </c>
      <c r="P2371" s="348">
        <v>17.47</v>
      </c>
      <c r="Q2371" s="348">
        <v>1.25</v>
      </c>
    </row>
    <row r="2372" spans="1:17" ht="15" hidden="1" customHeight="1">
      <c r="A2372" s="163">
        <v>2380</v>
      </c>
      <c r="B2372" s="53" t="s">
        <v>44</v>
      </c>
      <c r="C2372" s="53" t="s">
        <v>5065</v>
      </c>
      <c r="D2372" s="53">
        <v>100024960</v>
      </c>
      <c r="E2372" s="55" t="s">
        <v>5066</v>
      </c>
      <c r="F2372" s="129">
        <v>10</v>
      </c>
      <c r="G2372" s="129">
        <v>600</v>
      </c>
      <c r="H2372" s="512">
        <v>136.21</v>
      </c>
      <c r="I2372" s="265" t="s">
        <v>76</v>
      </c>
      <c r="J2372" s="265" t="s">
        <v>102</v>
      </c>
      <c r="K2372" s="265" t="s">
        <v>5067</v>
      </c>
      <c r="L2372" s="348" t="s">
        <v>1205</v>
      </c>
      <c r="M2372" s="265" t="s">
        <v>5068</v>
      </c>
      <c r="N2372" s="347">
        <v>1.7290000000000001</v>
      </c>
      <c r="O2372" s="348" t="s">
        <v>1205</v>
      </c>
      <c r="P2372" s="348">
        <v>16.97</v>
      </c>
      <c r="Q2372" s="348">
        <v>1.25</v>
      </c>
    </row>
    <row r="2373" spans="1:17" ht="15" hidden="1" customHeight="1">
      <c r="A2373" s="163">
        <v>2381</v>
      </c>
      <c r="B2373" s="53" t="s">
        <v>44</v>
      </c>
      <c r="C2373" s="53" t="s">
        <v>5069</v>
      </c>
      <c r="D2373" s="53">
        <v>100024961</v>
      </c>
      <c r="E2373" s="55" t="s">
        <v>5070</v>
      </c>
      <c r="F2373" s="129">
        <v>10</v>
      </c>
      <c r="G2373" s="129">
        <v>750</v>
      </c>
      <c r="H2373" s="512">
        <v>136.21</v>
      </c>
      <c r="I2373" s="265" t="s">
        <v>359</v>
      </c>
      <c r="J2373" s="265" t="s">
        <v>102</v>
      </c>
      <c r="K2373" s="265" t="s">
        <v>5071</v>
      </c>
      <c r="L2373" s="348" t="s">
        <v>1205</v>
      </c>
      <c r="M2373" s="265" t="s">
        <v>5072</v>
      </c>
      <c r="N2373" s="347">
        <v>1.593</v>
      </c>
      <c r="O2373" s="348" t="s">
        <v>1205</v>
      </c>
      <c r="P2373" s="348">
        <v>15.81</v>
      </c>
      <c r="Q2373" s="348">
        <v>1.1000000000000001</v>
      </c>
    </row>
    <row r="2374" spans="1:17" ht="15" hidden="1" customHeight="1">
      <c r="A2374" s="163">
        <v>2382</v>
      </c>
      <c r="B2374" s="53" t="s">
        <v>44</v>
      </c>
      <c r="C2374" s="53" t="s">
        <v>5073</v>
      </c>
      <c r="D2374" s="53">
        <v>100024962</v>
      </c>
      <c r="E2374" s="55" t="s">
        <v>5074</v>
      </c>
      <c r="F2374" s="129">
        <v>10</v>
      </c>
      <c r="G2374" s="129">
        <v>240</v>
      </c>
      <c r="H2374" s="512">
        <v>147.31</v>
      </c>
      <c r="I2374" s="265" t="s">
        <v>359</v>
      </c>
      <c r="J2374" s="265" t="s">
        <v>102</v>
      </c>
      <c r="K2374" s="265" t="s">
        <v>5075</v>
      </c>
      <c r="L2374" s="348" t="s">
        <v>1205</v>
      </c>
      <c r="M2374" s="265" t="s">
        <v>5076</v>
      </c>
      <c r="N2374" s="347">
        <v>1.867</v>
      </c>
      <c r="O2374" s="348" t="s">
        <v>1205</v>
      </c>
      <c r="P2374" s="348">
        <v>19.55</v>
      </c>
      <c r="Q2374" s="348">
        <v>2.77</v>
      </c>
    </row>
    <row r="2375" spans="1:17" ht="15" hidden="1" customHeight="1">
      <c r="A2375" s="163">
        <v>2383</v>
      </c>
      <c r="B2375" s="53" t="s">
        <v>44</v>
      </c>
      <c r="C2375" s="53" t="s">
        <v>5077</v>
      </c>
      <c r="D2375" s="53">
        <v>100024963</v>
      </c>
      <c r="E2375" s="55" t="s">
        <v>5078</v>
      </c>
      <c r="F2375" s="129">
        <v>10</v>
      </c>
      <c r="G2375" s="129">
        <v>750</v>
      </c>
      <c r="H2375" s="512">
        <v>136.21</v>
      </c>
      <c r="I2375" s="265" t="s">
        <v>359</v>
      </c>
      <c r="J2375" s="265" t="s">
        <v>102</v>
      </c>
      <c r="K2375" s="265" t="s">
        <v>5079</v>
      </c>
      <c r="L2375" s="348" t="s">
        <v>1205</v>
      </c>
      <c r="M2375" s="265" t="s">
        <v>5080</v>
      </c>
      <c r="N2375" s="347">
        <v>1.569</v>
      </c>
      <c r="O2375" s="348" t="s">
        <v>1205</v>
      </c>
      <c r="P2375" s="348">
        <v>15.75</v>
      </c>
      <c r="Q2375" s="348">
        <v>1.1000000000000001</v>
      </c>
    </row>
    <row r="2376" spans="1:17" ht="15" hidden="1" customHeight="1">
      <c r="A2376" s="163">
        <v>2384</v>
      </c>
      <c r="B2376" s="53" t="s">
        <v>44</v>
      </c>
      <c r="C2376" s="53" t="s">
        <v>5081</v>
      </c>
      <c r="D2376" s="53">
        <v>100024125</v>
      </c>
      <c r="E2376" s="55" t="s">
        <v>5082</v>
      </c>
      <c r="F2376" s="129">
        <v>10</v>
      </c>
      <c r="G2376" s="129">
        <v>240</v>
      </c>
      <c r="H2376" s="512">
        <v>147.31</v>
      </c>
      <c r="I2376" s="265" t="s">
        <v>359</v>
      </c>
      <c r="J2376" s="265" t="s">
        <v>102</v>
      </c>
      <c r="K2376" s="265" t="s">
        <v>5083</v>
      </c>
      <c r="L2376" s="348" t="s">
        <v>1205</v>
      </c>
      <c r="M2376" s="265" t="s">
        <v>5084</v>
      </c>
      <c r="N2376" s="347">
        <v>1.843</v>
      </c>
      <c r="O2376" s="348" t="s">
        <v>1205</v>
      </c>
      <c r="P2376" s="348">
        <v>19.5</v>
      </c>
      <c r="Q2376" s="348">
        <v>2.77</v>
      </c>
    </row>
    <row r="2377" spans="1:17" ht="15" hidden="1" customHeight="1">
      <c r="A2377" s="163">
        <v>2385</v>
      </c>
      <c r="B2377" s="53" t="s">
        <v>44</v>
      </c>
      <c r="C2377" s="53" t="s">
        <v>5085</v>
      </c>
      <c r="D2377" s="53">
        <v>100024964</v>
      </c>
      <c r="E2377" s="55" t="s">
        <v>5086</v>
      </c>
      <c r="F2377" s="129">
        <v>10</v>
      </c>
      <c r="G2377" s="129">
        <v>750</v>
      </c>
      <c r="H2377" s="512">
        <v>136.21</v>
      </c>
      <c r="I2377" s="265" t="s">
        <v>359</v>
      </c>
      <c r="J2377" s="265" t="s">
        <v>102</v>
      </c>
      <c r="K2377" s="265" t="s">
        <v>5087</v>
      </c>
      <c r="L2377" s="348" t="s">
        <v>1205</v>
      </c>
      <c r="M2377" s="265" t="s">
        <v>5088</v>
      </c>
      <c r="N2377" s="347">
        <v>1.601</v>
      </c>
      <c r="O2377" s="348" t="s">
        <v>1205</v>
      </c>
      <c r="P2377" s="348">
        <v>16.100000000000001</v>
      </c>
      <c r="Q2377" s="348">
        <v>1.1000000000000001</v>
      </c>
    </row>
    <row r="2378" spans="1:17" ht="15" hidden="1" customHeight="1">
      <c r="A2378" s="163">
        <v>2386</v>
      </c>
      <c r="B2378" s="53" t="s">
        <v>44</v>
      </c>
      <c r="C2378" s="53" t="s">
        <v>5089</v>
      </c>
      <c r="D2378" s="53">
        <v>100024130</v>
      </c>
      <c r="E2378" s="55" t="s">
        <v>5090</v>
      </c>
      <c r="F2378" s="129">
        <v>10</v>
      </c>
      <c r="G2378" s="129">
        <v>240</v>
      </c>
      <c r="H2378" s="512">
        <v>147.31</v>
      </c>
      <c r="I2378" s="265" t="s">
        <v>359</v>
      </c>
      <c r="J2378" s="265" t="s">
        <v>102</v>
      </c>
      <c r="K2378" s="265" t="s">
        <v>5091</v>
      </c>
      <c r="L2378" s="348" t="s">
        <v>1205</v>
      </c>
      <c r="M2378" s="265" t="s">
        <v>5092</v>
      </c>
      <c r="N2378" s="347">
        <v>1.875</v>
      </c>
      <c r="O2378" s="348" t="s">
        <v>1205</v>
      </c>
      <c r="P2378" s="348">
        <v>19.899999999999999</v>
      </c>
      <c r="Q2378" s="348">
        <v>2.77</v>
      </c>
    </row>
    <row r="2379" spans="1:17" ht="15" hidden="1" customHeight="1">
      <c r="A2379" s="163">
        <v>2387</v>
      </c>
      <c r="B2379" s="53" t="s">
        <v>44</v>
      </c>
      <c r="C2379" s="53" t="s">
        <v>5093</v>
      </c>
      <c r="D2379" s="53">
        <v>100024137</v>
      </c>
      <c r="E2379" s="55" t="s">
        <v>5094</v>
      </c>
      <c r="F2379" s="129">
        <v>10</v>
      </c>
      <c r="G2379" s="129" t="s">
        <v>2803</v>
      </c>
      <c r="H2379" s="512">
        <v>136.21</v>
      </c>
      <c r="I2379" s="265" t="s">
        <v>359</v>
      </c>
      <c r="J2379" s="265" t="s">
        <v>102</v>
      </c>
      <c r="K2379" s="265" t="s">
        <v>5095</v>
      </c>
      <c r="L2379" s="348" t="s">
        <v>1205</v>
      </c>
      <c r="M2379" s="265" t="s">
        <v>5096</v>
      </c>
      <c r="N2379" s="347">
        <v>1.1659999999999999</v>
      </c>
      <c r="O2379" s="348" t="s">
        <v>1205</v>
      </c>
      <c r="P2379" s="348">
        <v>14.55</v>
      </c>
      <c r="Q2379" s="348" t="s">
        <v>1205</v>
      </c>
    </row>
    <row r="2380" spans="1:17" ht="15" hidden="1" customHeight="1">
      <c r="A2380" s="163">
        <v>2388</v>
      </c>
      <c r="B2380" s="53" t="s">
        <v>44</v>
      </c>
      <c r="C2380" s="53" t="s">
        <v>5097</v>
      </c>
      <c r="D2380" s="53">
        <v>100024965</v>
      </c>
      <c r="E2380" s="55" t="s">
        <v>5098</v>
      </c>
      <c r="F2380" s="129">
        <v>10</v>
      </c>
      <c r="G2380" s="129" t="s">
        <v>2803</v>
      </c>
      <c r="H2380" s="512">
        <v>136.21</v>
      </c>
      <c r="I2380" s="265" t="s">
        <v>76</v>
      </c>
      <c r="J2380" s="265" t="s">
        <v>102</v>
      </c>
      <c r="K2380" s="265" t="s">
        <v>5099</v>
      </c>
      <c r="L2380" s="348" t="s">
        <v>1205</v>
      </c>
      <c r="M2380" s="265" t="s">
        <v>5100</v>
      </c>
      <c r="N2380" s="347">
        <v>1.5529999999999999</v>
      </c>
      <c r="O2380" s="348" t="s">
        <v>1205</v>
      </c>
      <c r="P2380" s="348">
        <v>15.44</v>
      </c>
      <c r="Q2380" s="348">
        <v>2.11</v>
      </c>
    </row>
    <row r="2381" spans="1:17" ht="15" hidden="1" customHeight="1">
      <c r="A2381" s="163">
        <v>2389</v>
      </c>
      <c r="B2381" s="53" t="s">
        <v>44</v>
      </c>
      <c r="C2381" s="53" t="s">
        <v>5101</v>
      </c>
      <c r="D2381" s="53">
        <v>100024140</v>
      </c>
      <c r="E2381" s="55" t="s">
        <v>5102</v>
      </c>
      <c r="F2381" s="129">
        <v>10</v>
      </c>
      <c r="G2381" s="129">
        <v>240</v>
      </c>
      <c r="H2381" s="512">
        <v>147.31</v>
      </c>
      <c r="I2381" s="265" t="s">
        <v>359</v>
      </c>
      <c r="J2381" s="265" t="s">
        <v>102</v>
      </c>
      <c r="K2381" s="265" t="s">
        <v>5103</v>
      </c>
      <c r="L2381" s="348" t="s">
        <v>1205</v>
      </c>
      <c r="M2381" s="265" t="s">
        <v>5104</v>
      </c>
      <c r="N2381" s="347">
        <v>1.827</v>
      </c>
      <c r="O2381" s="348" t="s">
        <v>1205</v>
      </c>
      <c r="P2381" s="348">
        <v>19.350000000000001</v>
      </c>
      <c r="Q2381" s="348">
        <v>2.77</v>
      </c>
    </row>
    <row r="2382" spans="1:17" ht="15" hidden="1" customHeight="1">
      <c r="A2382" s="163">
        <v>2390</v>
      </c>
      <c r="B2382" s="53" t="s">
        <v>44</v>
      </c>
      <c r="C2382" s="53" t="s">
        <v>5105</v>
      </c>
      <c r="D2382" s="53">
        <v>100024142</v>
      </c>
      <c r="E2382" s="55" t="s">
        <v>5106</v>
      </c>
      <c r="F2382" s="129">
        <v>10</v>
      </c>
      <c r="G2382" s="129">
        <v>750</v>
      </c>
      <c r="H2382" s="512">
        <v>125</v>
      </c>
      <c r="I2382" s="265" t="s">
        <v>359</v>
      </c>
      <c r="J2382" s="265" t="s">
        <v>102</v>
      </c>
      <c r="K2382" s="265" t="s">
        <v>5107</v>
      </c>
      <c r="L2382" s="348" t="s">
        <v>1205</v>
      </c>
      <c r="M2382" s="265" t="s">
        <v>5108</v>
      </c>
      <c r="N2382" s="347">
        <v>1.371</v>
      </c>
      <c r="O2382" s="348" t="s">
        <v>1205</v>
      </c>
      <c r="P2382" s="348">
        <v>13.57</v>
      </c>
      <c r="Q2382" s="348">
        <v>0.95</v>
      </c>
    </row>
    <row r="2383" spans="1:17" ht="15" hidden="1" customHeight="1">
      <c r="A2383" s="163">
        <v>2391</v>
      </c>
      <c r="B2383" s="53" t="s">
        <v>44</v>
      </c>
      <c r="C2383" s="53" t="s">
        <v>5109</v>
      </c>
      <c r="D2383" s="53">
        <v>100024966</v>
      </c>
      <c r="E2383" s="55" t="s">
        <v>5110</v>
      </c>
      <c r="F2383" s="129">
        <v>10</v>
      </c>
      <c r="G2383" s="129">
        <v>750</v>
      </c>
      <c r="H2383" s="512">
        <v>136.21</v>
      </c>
      <c r="I2383" s="265" t="s">
        <v>359</v>
      </c>
      <c r="J2383" s="265" t="s">
        <v>102</v>
      </c>
      <c r="K2383" s="265" t="s">
        <v>5111</v>
      </c>
      <c r="L2383" s="348" t="s">
        <v>1205</v>
      </c>
      <c r="M2383" s="265" t="s">
        <v>5112</v>
      </c>
      <c r="N2383" s="347">
        <v>1.631</v>
      </c>
      <c r="O2383" s="348" t="s">
        <v>1205</v>
      </c>
      <c r="P2383" s="348">
        <v>16.36</v>
      </c>
      <c r="Q2383" s="348">
        <v>1.1000000000000001</v>
      </c>
    </row>
    <row r="2384" spans="1:17" ht="15" hidden="1" customHeight="1">
      <c r="A2384" s="163">
        <v>2392</v>
      </c>
      <c r="B2384" s="53" t="s">
        <v>44</v>
      </c>
      <c r="C2384" s="53" t="s">
        <v>5113</v>
      </c>
      <c r="D2384" s="53">
        <v>100024152</v>
      </c>
      <c r="E2384" s="55" t="s">
        <v>5114</v>
      </c>
      <c r="F2384" s="129">
        <v>10</v>
      </c>
      <c r="G2384" s="129">
        <v>240</v>
      </c>
      <c r="H2384" s="512">
        <v>147.31</v>
      </c>
      <c r="I2384" s="265" t="s">
        <v>359</v>
      </c>
      <c r="J2384" s="265" t="s">
        <v>102</v>
      </c>
      <c r="K2384" s="265" t="s">
        <v>5115</v>
      </c>
      <c r="L2384" s="348" t="s">
        <v>1205</v>
      </c>
      <c r="M2384" s="265" t="s">
        <v>5116</v>
      </c>
      <c r="N2384" s="347">
        <v>1.905</v>
      </c>
      <c r="O2384" s="348" t="s">
        <v>1205</v>
      </c>
      <c r="P2384" s="348">
        <v>20.5</v>
      </c>
      <c r="Q2384" s="348">
        <v>2.77</v>
      </c>
    </row>
    <row r="2385" spans="1:17" ht="15" hidden="1" customHeight="1">
      <c r="A2385" s="163">
        <v>2393</v>
      </c>
      <c r="B2385" s="53" t="s">
        <v>44</v>
      </c>
      <c r="C2385" s="53" t="s">
        <v>5117</v>
      </c>
      <c r="D2385" s="53">
        <v>100024156</v>
      </c>
      <c r="E2385" s="55" t="s">
        <v>5118</v>
      </c>
      <c r="F2385" s="129">
        <v>10</v>
      </c>
      <c r="G2385" s="129">
        <v>750</v>
      </c>
      <c r="H2385" s="512">
        <v>136.21</v>
      </c>
      <c r="I2385" s="265" t="s">
        <v>359</v>
      </c>
      <c r="J2385" s="265" t="s">
        <v>102</v>
      </c>
      <c r="K2385" s="265">
        <v>0</v>
      </c>
      <c r="L2385" s="348" t="s">
        <v>1205</v>
      </c>
      <c r="M2385" s="265">
        <v>0</v>
      </c>
      <c r="N2385" s="347">
        <v>1.173</v>
      </c>
      <c r="O2385" s="348" t="s">
        <v>1205</v>
      </c>
      <c r="P2385" s="348">
        <v>14.57</v>
      </c>
      <c r="Q2385" s="348">
        <v>0.95</v>
      </c>
    </row>
    <row r="2386" spans="1:17" ht="15" hidden="1" customHeight="1">
      <c r="A2386" s="163">
        <v>2394</v>
      </c>
      <c r="B2386" s="53" t="s">
        <v>44</v>
      </c>
      <c r="C2386" s="53" t="s">
        <v>5119</v>
      </c>
      <c r="D2386" s="53">
        <v>100024967</v>
      </c>
      <c r="E2386" s="55" t="s">
        <v>5120</v>
      </c>
      <c r="F2386" s="129">
        <v>10</v>
      </c>
      <c r="G2386" s="129">
        <v>750</v>
      </c>
      <c r="H2386" s="512">
        <v>136.21</v>
      </c>
      <c r="I2386" s="265" t="s">
        <v>359</v>
      </c>
      <c r="J2386" s="265" t="s">
        <v>102</v>
      </c>
      <c r="K2386" s="265" t="s">
        <v>5121</v>
      </c>
      <c r="L2386" s="348" t="s">
        <v>1205</v>
      </c>
      <c r="M2386" s="265" t="s">
        <v>5122</v>
      </c>
      <c r="N2386" s="347">
        <v>1.56</v>
      </c>
      <c r="O2386" s="348" t="s">
        <v>1205</v>
      </c>
      <c r="P2386" s="348">
        <v>15.75</v>
      </c>
      <c r="Q2386" s="348">
        <v>1.1000000000000001</v>
      </c>
    </row>
    <row r="2387" spans="1:17" ht="15" hidden="1" customHeight="1">
      <c r="A2387" s="163">
        <v>2395</v>
      </c>
      <c r="B2387" s="53" t="s">
        <v>44</v>
      </c>
      <c r="C2387" s="53" t="s">
        <v>5123</v>
      </c>
      <c r="D2387" s="53">
        <v>100024157</v>
      </c>
      <c r="E2387" s="55" t="s">
        <v>5124</v>
      </c>
      <c r="F2387" s="129">
        <v>10</v>
      </c>
      <c r="G2387" s="129" t="s">
        <v>2803</v>
      </c>
      <c r="H2387" s="512">
        <v>147.31</v>
      </c>
      <c r="I2387" s="265" t="s">
        <v>359</v>
      </c>
      <c r="J2387" s="265" t="s">
        <v>102</v>
      </c>
      <c r="K2387" s="265" t="s">
        <v>5125</v>
      </c>
      <c r="L2387" s="348" t="s">
        <v>1205</v>
      </c>
      <c r="M2387" s="265" t="s">
        <v>5126</v>
      </c>
      <c r="N2387" s="347">
        <v>1.599</v>
      </c>
      <c r="O2387" s="348" t="s">
        <v>1205</v>
      </c>
      <c r="P2387" s="348">
        <v>33.22</v>
      </c>
      <c r="Q2387" s="348">
        <v>2.11</v>
      </c>
    </row>
    <row r="2388" spans="1:17" ht="15" hidden="1" customHeight="1">
      <c r="A2388" s="163">
        <v>2396</v>
      </c>
      <c r="B2388" s="53" t="s">
        <v>44</v>
      </c>
      <c r="C2388" s="53" t="s">
        <v>5127</v>
      </c>
      <c r="D2388" s="53">
        <v>100024158</v>
      </c>
      <c r="E2388" s="55" t="s">
        <v>5128</v>
      </c>
      <c r="F2388" s="129">
        <v>10</v>
      </c>
      <c r="G2388" s="129">
        <v>180</v>
      </c>
      <c r="H2388" s="512">
        <v>147.31</v>
      </c>
      <c r="I2388" s="265" t="s">
        <v>359</v>
      </c>
      <c r="J2388" s="265" t="s">
        <v>102</v>
      </c>
      <c r="K2388" s="265" t="s">
        <v>5129</v>
      </c>
      <c r="L2388" s="348" t="s">
        <v>1205</v>
      </c>
      <c r="M2388" s="265" t="s">
        <v>5130</v>
      </c>
      <c r="N2388" s="347">
        <v>1.8340000000000001</v>
      </c>
      <c r="O2388" s="348" t="s">
        <v>1205</v>
      </c>
      <c r="P2388" s="348">
        <v>18.100000000000001</v>
      </c>
      <c r="Q2388" s="348">
        <v>2.65</v>
      </c>
    </row>
    <row r="2389" spans="1:17" ht="15" hidden="1" customHeight="1">
      <c r="A2389" s="163">
        <v>2397</v>
      </c>
      <c r="B2389" s="53" t="s">
        <v>44</v>
      </c>
      <c r="C2389" s="53" t="s">
        <v>5131</v>
      </c>
      <c r="D2389" s="53">
        <v>100024164</v>
      </c>
      <c r="E2389" s="55" t="s">
        <v>5132</v>
      </c>
      <c r="F2389" s="129">
        <v>10</v>
      </c>
      <c r="G2389" s="129">
        <v>750</v>
      </c>
      <c r="H2389" s="512">
        <v>136.21</v>
      </c>
      <c r="I2389" s="265" t="s">
        <v>359</v>
      </c>
      <c r="J2389" s="265" t="s">
        <v>102</v>
      </c>
      <c r="K2389" s="265" t="s">
        <v>5133</v>
      </c>
      <c r="L2389" s="348" t="s">
        <v>1205</v>
      </c>
      <c r="M2389" s="265" t="s">
        <v>5134</v>
      </c>
      <c r="N2389" s="347">
        <v>1.6180000000000001</v>
      </c>
      <c r="O2389" s="348" t="s">
        <v>1205</v>
      </c>
      <c r="P2389" s="348">
        <v>16.11</v>
      </c>
      <c r="Q2389" s="348">
        <v>1.1000000000000001</v>
      </c>
    </row>
    <row r="2390" spans="1:17" ht="15" hidden="1" customHeight="1">
      <c r="A2390" s="163">
        <v>2398</v>
      </c>
      <c r="B2390" s="53" t="s">
        <v>44</v>
      </c>
      <c r="C2390" s="53" t="s">
        <v>5135</v>
      </c>
      <c r="D2390" s="53">
        <v>100024174</v>
      </c>
      <c r="E2390" s="55" t="s">
        <v>5136</v>
      </c>
      <c r="F2390" s="129">
        <v>10</v>
      </c>
      <c r="G2390" s="129">
        <v>750</v>
      </c>
      <c r="H2390" s="512">
        <v>136.21</v>
      </c>
      <c r="I2390" s="265" t="s">
        <v>359</v>
      </c>
      <c r="J2390" s="265" t="s">
        <v>102</v>
      </c>
      <c r="K2390" s="265" t="s">
        <v>5137</v>
      </c>
      <c r="L2390" s="348" t="s">
        <v>1205</v>
      </c>
      <c r="M2390" s="265" t="s">
        <v>5138</v>
      </c>
      <c r="N2390" s="347">
        <v>1.5940000000000001</v>
      </c>
      <c r="O2390" s="348" t="s">
        <v>1205</v>
      </c>
      <c r="P2390" s="348">
        <v>16.055</v>
      </c>
      <c r="Q2390" s="348">
        <v>1.1000000000000001</v>
      </c>
    </row>
    <row r="2391" spans="1:17" ht="15" hidden="1" customHeight="1">
      <c r="A2391" s="163">
        <v>2399</v>
      </c>
      <c r="B2391" s="53" t="s">
        <v>44</v>
      </c>
      <c r="C2391" s="53" t="s">
        <v>5139</v>
      </c>
      <c r="D2391" s="53">
        <v>100024206</v>
      </c>
      <c r="E2391" s="55" t="s">
        <v>5140</v>
      </c>
      <c r="F2391" s="129">
        <v>10</v>
      </c>
      <c r="G2391" s="129" t="s">
        <v>2803</v>
      </c>
      <c r="H2391" s="512">
        <v>136.21</v>
      </c>
      <c r="I2391" s="265" t="s">
        <v>359</v>
      </c>
      <c r="J2391" s="265" t="s">
        <v>102</v>
      </c>
      <c r="K2391" s="265" t="s">
        <v>5141</v>
      </c>
      <c r="L2391" s="348" t="s">
        <v>1205</v>
      </c>
      <c r="M2391" s="265" t="s">
        <v>5142</v>
      </c>
      <c r="N2391" s="347">
        <v>1.5780000000000001</v>
      </c>
      <c r="O2391" s="348" t="s">
        <v>1205</v>
      </c>
      <c r="P2391" s="348">
        <v>16.18</v>
      </c>
      <c r="Q2391" s="348">
        <v>2.11</v>
      </c>
    </row>
    <row r="2392" spans="1:17" ht="15" hidden="1" customHeight="1">
      <c r="A2392" s="163">
        <v>2400</v>
      </c>
      <c r="B2392" s="53" t="s">
        <v>44</v>
      </c>
      <c r="C2392" s="53" t="s">
        <v>5143</v>
      </c>
      <c r="D2392" s="53">
        <v>100024208</v>
      </c>
      <c r="E2392" s="55" t="s">
        <v>5144</v>
      </c>
      <c r="F2392" s="129">
        <v>10</v>
      </c>
      <c r="G2392" s="129" t="s">
        <v>2803</v>
      </c>
      <c r="H2392" s="512">
        <v>125</v>
      </c>
      <c r="I2392" s="265" t="s">
        <v>359</v>
      </c>
      <c r="J2392" s="265" t="s">
        <v>102</v>
      </c>
      <c r="K2392" s="265" t="s">
        <v>5145</v>
      </c>
      <c r="L2392" s="348" t="s">
        <v>1205</v>
      </c>
      <c r="M2392" s="265" t="s">
        <v>5146</v>
      </c>
      <c r="N2392" s="347">
        <v>1.3959999999999999</v>
      </c>
      <c r="O2392" s="348" t="s">
        <v>1205</v>
      </c>
      <c r="P2392" s="348">
        <v>28.35</v>
      </c>
      <c r="Q2392" s="348">
        <v>2.11</v>
      </c>
    </row>
    <row r="2393" spans="1:17" ht="15" hidden="1" customHeight="1">
      <c r="A2393" s="163">
        <v>2401</v>
      </c>
      <c r="B2393" s="53" t="s">
        <v>44</v>
      </c>
      <c r="C2393" s="53" t="s">
        <v>5147</v>
      </c>
      <c r="D2393" s="53">
        <v>100024239</v>
      </c>
      <c r="E2393" s="55" t="s">
        <v>5148</v>
      </c>
      <c r="F2393" s="129">
        <v>10</v>
      </c>
      <c r="G2393" s="129">
        <v>240</v>
      </c>
      <c r="H2393" s="512">
        <v>147.31</v>
      </c>
      <c r="I2393" s="265" t="s">
        <v>359</v>
      </c>
      <c r="J2393" s="265" t="s">
        <v>102</v>
      </c>
      <c r="K2393" s="265" t="s">
        <v>5149</v>
      </c>
      <c r="L2393" s="348" t="s">
        <v>1205</v>
      </c>
      <c r="M2393" s="265" t="s">
        <v>5150</v>
      </c>
      <c r="N2393" s="347">
        <v>1.859</v>
      </c>
      <c r="O2393" s="348" t="s">
        <v>1205</v>
      </c>
      <c r="P2393" s="348">
        <v>19.8</v>
      </c>
      <c r="Q2393" s="348">
        <v>2.77</v>
      </c>
    </row>
    <row r="2394" spans="1:17" ht="15" hidden="1" customHeight="1">
      <c r="A2394" s="163">
        <v>2402</v>
      </c>
      <c r="B2394" s="53" t="s">
        <v>44</v>
      </c>
      <c r="C2394" s="53" t="s">
        <v>5151</v>
      </c>
      <c r="D2394" s="53">
        <v>100024253</v>
      </c>
      <c r="E2394" s="55" t="s">
        <v>5152</v>
      </c>
      <c r="F2394" s="129">
        <v>10</v>
      </c>
      <c r="G2394" s="129">
        <v>750</v>
      </c>
      <c r="H2394" s="512">
        <v>136.21</v>
      </c>
      <c r="I2394" s="265" t="s">
        <v>359</v>
      </c>
      <c r="J2394" s="265" t="s">
        <v>102</v>
      </c>
      <c r="K2394" s="265" t="s">
        <v>5153</v>
      </c>
      <c r="L2394" s="348" t="s">
        <v>1205</v>
      </c>
      <c r="M2394" s="265" t="s">
        <v>5154</v>
      </c>
      <c r="N2394" s="347">
        <v>1.61</v>
      </c>
      <c r="O2394" s="348" t="s">
        <v>1205</v>
      </c>
      <c r="P2394" s="348">
        <v>16.899999999999999</v>
      </c>
      <c r="Q2394" s="348">
        <v>1.1000000000000001</v>
      </c>
    </row>
    <row r="2395" spans="1:17" ht="15" hidden="1" customHeight="1">
      <c r="A2395" s="163">
        <v>2403</v>
      </c>
      <c r="B2395" s="53" t="s">
        <v>44</v>
      </c>
      <c r="C2395" s="53" t="s">
        <v>5155</v>
      </c>
      <c r="D2395" s="53">
        <v>100024255</v>
      </c>
      <c r="E2395" s="55" t="s">
        <v>5156</v>
      </c>
      <c r="F2395" s="129">
        <v>10</v>
      </c>
      <c r="G2395" s="129">
        <v>750</v>
      </c>
      <c r="H2395" s="512">
        <v>136.21</v>
      </c>
      <c r="I2395" s="265" t="s">
        <v>359</v>
      </c>
      <c r="J2395" s="265" t="s">
        <v>102</v>
      </c>
      <c r="K2395" s="265" t="s">
        <v>5157</v>
      </c>
      <c r="L2395" s="348" t="s">
        <v>1205</v>
      </c>
      <c r="M2395" s="265" t="s">
        <v>5158</v>
      </c>
      <c r="N2395" s="347">
        <v>1.623</v>
      </c>
      <c r="O2395" s="348" t="s">
        <v>1205</v>
      </c>
      <c r="P2395" s="348">
        <v>16.5</v>
      </c>
      <c r="Q2395" s="348">
        <v>1.1000000000000001</v>
      </c>
    </row>
    <row r="2396" spans="1:17" ht="15" hidden="1" customHeight="1">
      <c r="A2396" s="163">
        <v>2404</v>
      </c>
      <c r="B2396" s="53" t="s">
        <v>44</v>
      </c>
      <c r="C2396" s="53" t="s">
        <v>5159</v>
      </c>
      <c r="D2396" s="53">
        <v>100024981</v>
      </c>
      <c r="E2396" s="55" t="s">
        <v>5160</v>
      </c>
      <c r="F2396" s="129">
        <v>10</v>
      </c>
      <c r="G2396" s="129">
        <v>600</v>
      </c>
      <c r="H2396" s="512">
        <v>136.21</v>
      </c>
      <c r="I2396" s="265" t="s">
        <v>359</v>
      </c>
      <c r="J2396" s="265" t="s">
        <v>102</v>
      </c>
      <c r="K2396" s="265" t="s">
        <v>5161</v>
      </c>
      <c r="L2396" s="348" t="s">
        <v>1205</v>
      </c>
      <c r="M2396" s="265" t="s">
        <v>5162</v>
      </c>
      <c r="N2396" s="347">
        <v>1.724</v>
      </c>
      <c r="O2396" s="348" t="s">
        <v>1205</v>
      </c>
      <c r="P2396" s="348">
        <v>17.18</v>
      </c>
      <c r="Q2396" s="348">
        <v>1.41</v>
      </c>
    </row>
    <row r="2397" spans="1:17" ht="15" hidden="1" customHeight="1">
      <c r="A2397" s="163">
        <v>2405</v>
      </c>
      <c r="B2397" s="53" t="s">
        <v>44</v>
      </c>
      <c r="C2397" s="53" t="s">
        <v>5163</v>
      </c>
      <c r="D2397" s="53">
        <v>100024982</v>
      </c>
      <c r="E2397" s="55" t="s">
        <v>5164</v>
      </c>
      <c r="F2397" s="129">
        <v>10</v>
      </c>
      <c r="G2397" s="129">
        <v>240</v>
      </c>
      <c r="H2397" s="512">
        <v>147.31</v>
      </c>
      <c r="I2397" s="265" t="s">
        <v>359</v>
      </c>
      <c r="J2397" s="265" t="s">
        <v>102</v>
      </c>
      <c r="K2397" s="265" t="s">
        <v>5165</v>
      </c>
      <c r="L2397" s="348" t="s">
        <v>1205</v>
      </c>
      <c r="M2397" s="265" t="s">
        <v>5166</v>
      </c>
      <c r="N2397" s="347">
        <v>1.998</v>
      </c>
      <c r="O2397" s="348" t="s">
        <v>1205</v>
      </c>
      <c r="P2397" s="348">
        <v>20.8</v>
      </c>
      <c r="Q2397" s="348">
        <v>2.77</v>
      </c>
    </row>
    <row r="2398" spans="1:17" ht="15" hidden="1" customHeight="1">
      <c r="A2398" s="163">
        <v>2406</v>
      </c>
      <c r="B2398" s="53" t="s">
        <v>44</v>
      </c>
      <c r="C2398" s="53" t="s">
        <v>5167</v>
      </c>
      <c r="D2398" s="53">
        <v>100024297</v>
      </c>
      <c r="E2398" s="55" t="s">
        <v>5168</v>
      </c>
      <c r="F2398" s="129">
        <v>10</v>
      </c>
      <c r="G2398" s="129">
        <v>900</v>
      </c>
      <c r="H2398" s="512">
        <v>136.21</v>
      </c>
      <c r="I2398" s="265" t="s">
        <v>359</v>
      </c>
      <c r="J2398" s="265" t="s">
        <v>102</v>
      </c>
      <c r="K2398" s="265" t="s">
        <v>5169</v>
      </c>
      <c r="L2398" s="348" t="s">
        <v>1205</v>
      </c>
      <c r="M2398" s="265" t="s">
        <v>5170</v>
      </c>
      <c r="N2398" s="347">
        <v>1.7</v>
      </c>
      <c r="O2398" s="348" t="s">
        <v>1205</v>
      </c>
      <c r="P2398" s="348">
        <v>34</v>
      </c>
      <c r="Q2398" s="348">
        <v>0.8</v>
      </c>
    </row>
    <row r="2399" spans="1:17" ht="15" hidden="1" customHeight="1">
      <c r="A2399" s="163">
        <v>2407</v>
      </c>
      <c r="B2399" s="53" t="s">
        <v>44</v>
      </c>
      <c r="C2399" s="53" t="s">
        <v>5171</v>
      </c>
      <c r="D2399" s="53">
        <v>100024300</v>
      </c>
      <c r="E2399" s="55" t="s">
        <v>5172</v>
      </c>
      <c r="F2399" s="129">
        <v>10</v>
      </c>
      <c r="G2399" s="129">
        <v>600</v>
      </c>
      <c r="H2399" s="512">
        <v>136.21</v>
      </c>
      <c r="I2399" s="265" t="s">
        <v>359</v>
      </c>
      <c r="J2399" s="265" t="s">
        <v>102</v>
      </c>
      <c r="K2399" s="265" t="s">
        <v>5173</v>
      </c>
      <c r="L2399" s="348" t="s">
        <v>1205</v>
      </c>
      <c r="M2399" s="265" t="s">
        <v>5174</v>
      </c>
      <c r="N2399" s="347">
        <v>1.732</v>
      </c>
      <c r="O2399" s="348" t="s">
        <v>1205</v>
      </c>
      <c r="P2399" s="348">
        <v>17.48</v>
      </c>
      <c r="Q2399" s="348">
        <v>1.41</v>
      </c>
    </row>
    <row r="2400" spans="1:17" ht="15" hidden="1" customHeight="1">
      <c r="A2400" s="163">
        <v>2408</v>
      </c>
      <c r="B2400" s="53" t="s">
        <v>44</v>
      </c>
      <c r="C2400" s="53" t="s">
        <v>5175</v>
      </c>
      <c r="D2400" s="53">
        <v>100024304</v>
      </c>
      <c r="E2400" s="55" t="s">
        <v>5176</v>
      </c>
      <c r="F2400" s="129">
        <v>10</v>
      </c>
      <c r="G2400" s="129" t="s">
        <v>2803</v>
      </c>
      <c r="H2400" s="512">
        <v>136.21</v>
      </c>
      <c r="I2400" s="265" t="s">
        <v>359</v>
      </c>
      <c r="J2400" s="265" t="s">
        <v>102</v>
      </c>
      <c r="K2400" s="265" t="s">
        <v>5177</v>
      </c>
      <c r="L2400" s="348" t="s">
        <v>1205</v>
      </c>
      <c r="M2400" s="265" t="s">
        <v>5178</v>
      </c>
      <c r="N2400" s="347">
        <v>1.2969999999999999</v>
      </c>
      <c r="O2400" s="348" t="s">
        <v>1205</v>
      </c>
      <c r="P2400" s="348">
        <v>16</v>
      </c>
      <c r="Q2400" s="348">
        <v>2.11</v>
      </c>
    </row>
    <row r="2401" spans="1:17" ht="15" hidden="1" customHeight="1">
      <c r="A2401" s="163">
        <v>2409</v>
      </c>
      <c r="B2401" s="53" t="s">
        <v>44</v>
      </c>
      <c r="C2401" s="53" t="s">
        <v>5179</v>
      </c>
      <c r="D2401" s="53">
        <v>100024305</v>
      </c>
      <c r="E2401" s="55" t="s">
        <v>5180</v>
      </c>
      <c r="F2401" s="129">
        <v>10</v>
      </c>
      <c r="G2401" s="129" t="s">
        <v>2803</v>
      </c>
      <c r="H2401" s="512">
        <v>136.21</v>
      </c>
      <c r="I2401" s="265" t="s">
        <v>359</v>
      </c>
      <c r="J2401" s="265" t="s">
        <v>102</v>
      </c>
      <c r="K2401" s="265" t="s">
        <v>5181</v>
      </c>
      <c r="L2401" s="348" t="s">
        <v>1205</v>
      </c>
      <c r="M2401" s="265" t="s">
        <v>5182</v>
      </c>
      <c r="N2401" s="347">
        <v>1.6839999999999999</v>
      </c>
      <c r="O2401" s="348" t="s">
        <v>1205</v>
      </c>
      <c r="P2401" s="348">
        <v>16.5</v>
      </c>
      <c r="Q2401" s="348" t="s">
        <v>1205</v>
      </c>
    </row>
    <row r="2402" spans="1:17" ht="15" hidden="1" customHeight="1">
      <c r="A2402" s="163">
        <v>2410</v>
      </c>
      <c r="B2402" s="53" t="s">
        <v>44</v>
      </c>
      <c r="C2402" s="53" t="s">
        <v>5183</v>
      </c>
      <c r="D2402" s="53">
        <v>100024986</v>
      </c>
      <c r="E2402" s="55" t="s">
        <v>4922</v>
      </c>
      <c r="F2402" s="129">
        <v>10</v>
      </c>
      <c r="G2402" s="129">
        <v>180</v>
      </c>
      <c r="H2402" s="512">
        <v>136.21</v>
      </c>
      <c r="I2402" s="265" t="s">
        <v>359</v>
      </c>
      <c r="J2402" s="265" t="s">
        <v>102</v>
      </c>
      <c r="K2402" s="265" t="s">
        <v>5184</v>
      </c>
      <c r="L2402" s="348" t="s">
        <v>1205</v>
      </c>
      <c r="M2402" s="265" t="s">
        <v>5185</v>
      </c>
      <c r="N2402" s="347">
        <v>1.6910000000000001</v>
      </c>
      <c r="O2402" s="348" t="s">
        <v>1205</v>
      </c>
      <c r="P2402" s="348">
        <v>17.739999999999998</v>
      </c>
      <c r="Q2402" s="348">
        <v>2.65</v>
      </c>
    </row>
    <row r="2403" spans="1:17" ht="15" hidden="1" customHeight="1">
      <c r="A2403" s="163">
        <v>2411</v>
      </c>
      <c r="B2403" s="53" t="s">
        <v>44</v>
      </c>
      <c r="C2403" s="53" t="s">
        <v>5186</v>
      </c>
      <c r="D2403" s="53">
        <v>100024988</v>
      </c>
      <c r="E2403" s="55" t="s">
        <v>4938</v>
      </c>
      <c r="F2403" s="129">
        <v>10</v>
      </c>
      <c r="G2403" s="129">
        <v>600</v>
      </c>
      <c r="H2403" s="512">
        <v>173.7</v>
      </c>
      <c r="I2403" s="265" t="s">
        <v>359</v>
      </c>
      <c r="J2403" s="265" t="s">
        <v>102</v>
      </c>
      <c r="K2403" s="265" t="s">
        <v>5187</v>
      </c>
      <c r="L2403" s="348" t="s">
        <v>1205</v>
      </c>
      <c r="M2403" s="265" t="s">
        <v>5188</v>
      </c>
      <c r="N2403" s="347">
        <v>2.1040000000000001</v>
      </c>
      <c r="O2403" s="348" t="s">
        <v>1205</v>
      </c>
      <c r="P2403" s="348">
        <v>17.2</v>
      </c>
      <c r="Q2403" s="348">
        <v>1.41</v>
      </c>
    </row>
    <row r="2404" spans="1:17" ht="15" hidden="1" customHeight="1">
      <c r="A2404" s="163">
        <v>2412</v>
      </c>
      <c r="B2404" s="53" t="s">
        <v>44</v>
      </c>
      <c r="C2404" s="53" t="s">
        <v>5189</v>
      </c>
      <c r="D2404" s="53">
        <v>100024989</v>
      </c>
      <c r="E2404" s="55" t="s">
        <v>4942</v>
      </c>
      <c r="F2404" s="129">
        <v>10</v>
      </c>
      <c r="G2404" s="129">
        <v>750</v>
      </c>
      <c r="H2404" s="512">
        <v>162.63</v>
      </c>
      <c r="I2404" s="265" t="s">
        <v>359</v>
      </c>
      <c r="J2404" s="265" t="s">
        <v>102</v>
      </c>
      <c r="K2404" s="265" t="s">
        <v>5190</v>
      </c>
      <c r="L2404" s="348" t="s">
        <v>1205</v>
      </c>
      <c r="M2404" s="265" t="s">
        <v>5191</v>
      </c>
      <c r="N2404" s="347">
        <v>1.9219999999999999</v>
      </c>
      <c r="O2404" s="348" t="s">
        <v>1205</v>
      </c>
      <c r="P2404" s="348">
        <v>15.1</v>
      </c>
      <c r="Q2404" s="348">
        <v>1.1000000000000001</v>
      </c>
    </row>
    <row r="2405" spans="1:17" ht="15" hidden="1" customHeight="1">
      <c r="A2405" s="163">
        <v>2413</v>
      </c>
      <c r="B2405" s="53" t="s">
        <v>44</v>
      </c>
      <c r="C2405" s="53" t="s">
        <v>5192</v>
      </c>
      <c r="D2405" s="53">
        <v>100024990</v>
      </c>
      <c r="E2405" s="55" t="s">
        <v>5193</v>
      </c>
      <c r="F2405" s="129">
        <v>10</v>
      </c>
      <c r="G2405" s="129">
        <v>180</v>
      </c>
      <c r="H2405" s="512">
        <v>237.55</v>
      </c>
      <c r="I2405" s="265" t="s">
        <v>359</v>
      </c>
      <c r="J2405" s="265" t="s">
        <v>102</v>
      </c>
      <c r="K2405" s="265" t="s">
        <v>5194</v>
      </c>
      <c r="L2405" s="348" t="s">
        <v>1205</v>
      </c>
      <c r="M2405" s="265" t="s">
        <v>5195</v>
      </c>
      <c r="N2405" s="347">
        <v>2.1040000000000001</v>
      </c>
      <c r="O2405" s="348" t="s">
        <v>1205</v>
      </c>
      <c r="P2405" s="348">
        <v>24.7</v>
      </c>
      <c r="Q2405" s="348">
        <v>2.65</v>
      </c>
    </row>
    <row r="2406" spans="1:17" ht="15" hidden="1" customHeight="1">
      <c r="A2406" s="163">
        <v>2414</v>
      </c>
      <c r="B2406" s="53" t="s">
        <v>44</v>
      </c>
      <c r="C2406" s="53" t="s">
        <v>5196</v>
      </c>
      <c r="D2406" s="53">
        <v>100024991</v>
      </c>
      <c r="E2406" s="55" t="s">
        <v>5197</v>
      </c>
      <c r="F2406" s="129">
        <v>10</v>
      </c>
      <c r="G2406" s="129">
        <v>180</v>
      </c>
      <c r="H2406" s="512">
        <v>226.46</v>
      </c>
      <c r="I2406" s="265" t="s">
        <v>359</v>
      </c>
      <c r="J2406" s="265" t="s">
        <v>102</v>
      </c>
      <c r="K2406" s="265" t="s">
        <v>5198</v>
      </c>
      <c r="L2406" s="348" t="s">
        <v>1205</v>
      </c>
      <c r="M2406" s="265" t="s">
        <v>5199</v>
      </c>
      <c r="N2406" s="347">
        <v>2.698</v>
      </c>
      <c r="O2406" s="348" t="s">
        <v>1205</v>
      </c>
      <c r="P2406" s="348">
        <v>22.7</v>
      </c>
      <c r="Q2406" s="348">
        <v>2.65</v>
      </c>
    </row>
    <row r="2407" spans="1:17" ht="15" hidden="1" customHeight="1">
      <c r="A2407" s="163">
        <v>2415</v>
      </c>
      <c r="B2407" s="53" t="s">
        <v>44</v>
      </c>
      <c r="C2407" s="53" t="s">
        <v>5200</v>
      </c>
      <c r="D2407" s="53">
        <v>100024992</v>
      </c>
      <c r="E2407" s="55" t="s">
        <v>5201</v>
      </c>
      <c r="F2407" s="129">
        <v>10</v>
      </c>
      <c r="G2407" s="129" t="s">
        <v>2803</v>
      </c>
      <c r="H2407" s="512">
        <v>136.21</v>
      </c>
      <c r="I2407" s="265" t="s">
        <v>359</v>
      </c>
      <c r="J2407" s="265" t="s">
        <v>102</v>
      </c>
      <c r="K2407" s="265" t="s">
        <v>5202</v>
      </c>
      <c r="L2407" s="348" t="s">
        <v>1205</v>
      </c>
      <c r="M2407" s="265" t="s">
        <v>5203</v>
      </c>
      <c r="N2407" s="347">
        <v>1.595</v>
      </c>
      <c r="O2407" s="348" t="s">
        <v>1205</v>
      </c>
      <c r="P2407" s="348" t="s">
        <v>1205</v>
      </c>
      <c r="Q2407" s="348" t="s">
        <v>1205</v>
      </c>
    </row>
    <row r="2408" spans="1:17" ht="15" hidden="1" customHeight="1">
      <c r="A2408" s="163">
        <v>2416</v>
      </c>
      <c r="B2408" s="53" t="s">
        <v>44</v>
      </c>
      <c r="C2408" s="53" t="s">
        <v>5204</v>
      </c>
      <c r="D2408" s="53">
        <v>100024316</v>
      </c>
      <c r="E2408" s="55" t="s">
        <v>5205</v>
      </c>
      <c r="F2408" s="129">
        <v>10</v>
      </c>
      <c r="G2408" s="129">
        <v>750</v>
      </c>
      <c r="H2408" s="512">
        <v>136.21</v>
      </c>
      <c r="I2408" s="265" t="s">
        <v>359</v>
      </c>
      <c r="J2408" s="265" t="s">
        <v>102</v>
      </c>
      <c r="K2408" s="265" t="s">
        <v>5206</v>
      </c>
      <c r="L2408" s="348" t="s">
        <v>1205</v>
      </c>
      <c r="M2408" s="265" t="s">
        <v>5207</v>
      </c>
      <c r="N2408" s="347">
        <v>1.571</v>
      </c>
      <c r="O2408" s="348" t="s">
        <v>1205</v>
      </c>
      <c r="P2408" s="348">
        <v>15.755000000000001</v>
      </c>
      <c r="Q2408" s="348">
        <v>1.1000000000000001</v>
      </c>
    </row>
    <row r="2409" spans="1:17" ht="15" hidden="1" customHeight="1">
      <c r="A2409" s="163">
        <v>2417</v>
      </c>
      <c r="B2409" s="53" t="s">
        <v>44</v>
      </c>
      <c r="C2409" s="53" t="s">
        <v>5208</v>
      </c>
      <c r="D2409" s="53">
        <v>100024318</v>
      </c>
      <c r="E2409" s="55" t="s">
        <v>5062</v>
      </c>
      <c r="F2409" s="129">
        <v>10</v>
      </c>
      <c r="G2409" s="129">
        <v>750</v>
      </c>
      <c r="H2409" s="512">
        <v>136.21</v>
      </c>
      <c r="I2409" s="265" t="s">
        <v>359</v>
      </c>
      <c r="J2409" s="265" t="s">
        <v>102</v>
      </c>
      <c r="K2409" s="265" t="s">
        <v>5209</v>
      </c>
      <c r="L2409" s="348" t="s">
        <v>1205</v>
      </c>
      <c r="M2409" s="265" t="s">
        <v>5210</v>
      </c>
      <c r="N2409" s="347">
        <v>1.603</v>
      </c>
      <c r="O2409" s="348" t="s">
        <v>1205</v>
      </c>
      <c r="P2409" s="348">
        <v>16.105</v>
      </c>
      <c r="Q2409" s="348">
        <v>1.1000000000000001</v>
      </c>
    </row>
    <row r="2410" spans="1:17" ht="15" hidden="1" customHeight="1">
      <c r="A2410" s="163">
        <v>2418</v>
      </c>
      <c r="B2410" s="53" t="s">
        <v>44</v>
      </c>
      <c r="C2410" s="53" t="s">
        <v>5211</v>
      </c>
      <c r="D2410" s="53">
        <v>100024321</v>
      </c>
      <c r="E2410" s="55" t="s">
        <v>5212</v>
      </c>
      <c r="F2410" s="129">
        <v>10</v>
      </c>
      <c r="G2410" s="129">
        <v>750</v>
      </c>
      <c r="H2410" s="512">
        <v>136.21</v>
      </c>
      <c r="I2410" s="265" t="s">
        <v>76</v>
      </c>
      <c r="J2410" s="265" t="s">
        <v>102</v>
      </c>
      <c r="K2410" s="265" t="s">
        <v>5213</v>
      </c>
      <c r="L2410" s="348" t="s">
        <v>1205</v>
      </c>
      <c r="M2410" s="265" t="s">
        <v>5214</v>
      </c>
      <c r="N2410" s="347">
        <v>1.5580000000000001</v>
      </c>
      <c r="O2410" s="348" t="s">
        <v>1205</v>
      </c>
      <c r="P2410" s="348">
        <v>15.61</v>
      </c>
      <c r="Q2410" s="348">
        <v>1.1000000000000001</v>
      </c>
    </row>
    <row r="2411" spans="1:17" ht="15" hidden="1" customHeight="1">
      <c r="A2411" s="163">
        <v>2419</v>
      </c>
      <c r="B2411" s="53" t="s">
        <v>44</v>
      </c>
      <c r="C2411" s="53" t="s">
        <v>5215</v>
      </c>
      <c r="D2411" s="53">
        <v>100024326</v>
      </c>
      <c r="E2411" s="55" t="s">
        <v>5216</v>
      </c>
      <c r="F2411" s="129">
        <v>10</v>
      </c>
      <c r="G2411" s="129">
        <v>750</v>
      </c>
      <c r="H2411" s="512">
        <v>136.21</v>
      </c>
      <c r="I2411" s="265" t="s">
        <v>359</v>
      </c>
      <c r="J2411" s="265" t="s">
        <v>102</v>
      </c>
      <c r="K2411" s="265" t="s">
        <v>5217</v>
      </c>
      <c r="L2411" s="348" t="s">
        <v>1205</v>
      </c>
      <c r="M2411" s="265" t="s">
        <v>5218</v>
      </c>
      <c r="N2411" s="347">
        <v>1.38</v>
      </c>
      <c r="O2411" s="348" t="s">
        <v>1205</v>
      </c>
      <c r="P2411" s="348">
        <v>16.399999999999999</v>
      </c>
      <c r="Q2411" s="348">
        <v>1.1000000000000001</v>
      </c>
    </row>
    <row r="2412" spans="1:17" ht="15" hidden="1" customHeight="1">
      <c r="A2412" s="163">
        <v>2420</v>
      </c>
      <c r="B2412" s="53" t="s">
        <v>44</v>
      </c>
      <c r="C2412" s="53" t="s">
        <v>5219</v>
      </c>
      <c r="D2412" s="53">
        <v>100024328</v>
      </c>
      <c r="E2412" s="55" t="s">
        <v>5220</v>
      </c>
      <c r="F2412" s="129">
        <v>10</v>
      </c>
      <c r="G2412" s="129">
        <v>750</v>
      </c>
      <c r="H2412" s="512">
        <v>136.21</v>
      </c>
      <c r="I2412" s="265" t="s">
        <v>359</v>
      </c>
      <c r="J2412" s="265" t="s">
        <v>102</v>
      </c>
      <c r="K2412" s="265" t="s">
        <v>5221</v>
      </c>
      <c r="L2412" s="348" t="s">
        <v>1205</v>
      </c>
      <c r="M2412" s="265" t="s">
        <v>5222</v>
      </c>
      <c r="N2412" s="347">
        <v>1.54</v>
      </c>
      <c r="O2412" s="348" t="s">
        <v>1205</v>
      </c>
      <c r="P2412" s="348">
        <v>15.76</v>
      </c>
      <c r="Q2412" s="348">
        <v>1.1000000000000001</v>
      </c>
    </row>
    <row r="2413" spans="1:17" ht="15" hidden="1" customHeight="1">
      <c r="A2413" s="163">
        <v>2421</v>
      </c>
      <c r="B2413" s="53" t="s">
        <v>44</v>
      </c>
      <c r="C2413" s="53" t="s">
        <v>5223</v>
      </c>
      <c r="D2413" s="53">
        <v>100024335</v>
      </c>
      <c r="E2413" s="55" t="s">
        <v>5224</v>
      </c>
      <c r="F2413" s="129">
        <v>10</v>
      </c>
      <c r="G2413" s="129">
        <v>750</v>
      </c>
      <c r="H2413" s="512">
        <v>136.21</v>
      </c>
      <c r="I2413" s="265" t="s">
        <v>359</v>
      </c>
      <c r="J2413" s="265" t="s">
        <v>102</v>
      </c>
      <c r="K2413" s="265" t="s">
        <v>5225</v>
      </c>
      <c r="L2413" s="348" t="s">
        <v>1205</v>
      </c>
      <c r="M2413" s="265" t="s">
        <v>5226</v>
      </c>
      <c r="N2413" s="347">
        <v>1.569</v>
      </c>
      <c r="O2413" s="348" t="s">
        <v>1205</v>
      </c>
      <c r="P2413" s="348">
        <v>15.9</v>
      </c>
      <c r="Q2413" s="348">
        <v>1.1000000000000001</v>
      </c>
    </row>
    <row r="2414" spans="1:17" ht="15" hidden="1" customHeight="1">
      <c r="A2414" s="163">
        <v>2422</v>
      </c>
      <c r="B2414" s="53" t="s">
        <v>44</v>
      </c>
      <c r="C2414" s="53" t="s">
        <v>5227</v>
      </c>
      <c r="D2414" s="53">
        <v>100024996</v>
      </c>
      <c r="E2414" s="55" t="s">
        <v>5228</v>
      </c>
      <c r="F2414" s="129">
        <v>10</v>
      </c>
      <c r="G2414" s="129">
        <v>180</v>
      </c>
      <c r="H2414" s="512">
        <v>165.57</v>
      </c>
      <c r="I2414" s="265" t="s">
        <v>359</v>
      </c>
      <c r="J2414" s="265" t="s">
        <v>102</v>
      </c>
      <c r="K2414" s="265" t="s">
        <v>5229</v>
      </c>
      <c r="L2414" s="348" t="s">
        <v>1205</v>
      </c>
      <c r="M2414" s="265" t="s">
        <v>5230</v>
      </c>
      <c r="N2414" s="347">
        <v>2.1989999999999998</v>
      </c>
      <c r="O2414" s="348" t="s">
        <v>1205</v>
      </c>
      <c r="P2414" s="348">
        <v>22.59</v>
      </c>
      <c r="Q2414" s="348">
        <v>2.65</v>
      </c>
    </row>
    <row r="2415" spans="1:17" ht="15" hidden="1" customHeight="1">
      <c r="A2415" s="163">
        <v>2423</v>
      </c>
      <c r="B2415" s="53" t="s">
        <v>44</v>
      </c>
      <c r="C2415" s="53" t="s">
        <v>5231</v>
      </c>
      <c r="D2415" s="53">
        <v>100024997</v>
      </c>
      <c r="E2415" s="55" t="s">
        <v>5232</v>
      </c>
      <c r="F2415" s="129">
        <v>10</v>
      </c>
      <c r="G2415" s="129">
        <v>240</v>
      </c>
      <c r="H2415" s="512">
        <v>176.71</v>
      </c>
      <c r="I2415" s="265" t="s">
        <v>359</v>
      </c>
      <c r="J2415" s="265" t="s">
        <v>102</v>
      </c>
      <c r="K2415" s="265" t="s">
        <v>5233</v>
      </c>
      <c r="L2415" s="348" t="s">
        <v>1205</v>
      </c>
      <c r="M2415" s="265" t="s">
        <v>5234</v>
      </c>
      <c r="N2415" s="347">
        <v>2.5129999999999999</v>
      </c>
      <c r="O2415" s="348" t="s">
        <v>1205</v>
      </c>
      <c r="P2415" s="348">
        <v>28.5</v>
      </c>
      <c r="Q2415" s="348">
        <v>2.77</v>
      </c>
    </row>
    <row r="2416" spans="1:17" ht="15" hidden="1" customHeight="1">
      <c r="A2416" s="163">
        <v>2424</v>
      </c>
      <c r="B2416" s="53" t="s">
        <v>44</v>
      </c>
      <c r="C2416" s="53" t="s">
        <v>5235</v>
      </c>
      <c r="D2416" s="53">
        <v>100024998</v>
      </c>
      <c r="E2416" s="55" t="s">
        <v>5236</v>
      </c>
      <c r="F2416" s="129">
        <v>10</v>
      </c>
      <c r="G2416" s="129">
        <v>600</v>
      </c>
      <c r="H2416" s="512">
        <v>154.49</v>
      </c>
      <c r="I2416" s="265" t="s">
        <v>359</v>
      </c>
      <c r="J2416" s="265" t="s">
        <v>102</v>
      </c>
      <c r="K2416" s="265" t="s">
        <v>5237</v>
      </c>
      <c r="L2416" s="348" t="s">
        <v>1205</v>
      </c>
      <c r="M2416" s="265" t="s">
        <v>5238</v>
      </c>
      <c r="N2416" s="347">
        <v>1.988</v>
      </c>
      <c r="O2416" s="348" t="s">
        <v>1205</v>
      </c>
      <c r="P2416" s="348">
        <v>19.68</v>
      </c>
      <c r="Q2416" s="348">
        <v>1.41</v>
      </c>
    </row>
    <row r="2417" spans="1:17" ht="15" hidden="1" customHeight="1">
      <c r="A2417" s="163">
        <v>2425</v>
      </c>
      <c r="B2417" s="53" t="s">
        <v>44</v>
      </c>
      <c r="C2417" s="53" t="s">
        <v>5239</v>
      </c>
      <c r="D2417" s="53">
        <v>100025000</v>
      </c>
      <c r="E2417" s="55" t="s">
        <v>5240</v>
      </c>
      <c r="F2417" s="129">
        <v>10</v>
      </c>
      <c r="G2417" s="129">
        <v>180</v>
      </c>
      <c r="H2417" s="512">
        <v>165.57</v>
      </c>
      <c r="I2417" s="265" t="s">
        <v>359</v>
      </c>
      <c r="J2417" s="265" t="s">
        <v>102</v>
      </c>
      <c r="K2417" s="265" t="s">
        <v>5241</v>
      </c>
      <c r="L2417" s="348" t="s">
        <v>1205</v>
      </c>
      <c r="M2417" s="265" t="s">
        <v>5242</v>
      </c>
      <c r="N2417" s="347">
        <v>2.149</v>
      </c>
      <c r="O2417" s="348" t="s">
        <v>1205</v>
      </c>
      <c r="P2417" s="348">
        <v>22.7</v>
      </c>
      <c r="Q2417" s="348">
        <v>2.65</v>
      </c>
    </row>
    <row r="2418" spans="1:17" ht="15" hidden="1" customHeight="1">
      <c r="A2418" s="163">
        <v>2426</v>
      </c>
      <c r="B2418" s="53" t="s">
        <v>44</v>
      </c>
      <c r="C2418" s="53" t="s">
        <v>5243</v>
      </c>
      <c r="D2418" s="53">
        <v>100025001</v>
      </c>
      <c r="E2418" s="55" t="s">
        <v>5244</v>
      </c>
      <c r="F2418" s="129">
        <v>10</v>
      </c>
      <c r="G2418" s="129">
        <v>180</v>
      </c>
      <c r="H2418" s="512">
        <v>165.57</v>
      </c>
      <c r="I2418" s="265" t="s">
        <v>359</v>
      </c>
      <c r="J2418" s="265" t="s">
        <v>102</v>
      </c>
      <c r="K2418" s="265" t="s">
        <v>5245</v>
      </c>
      <c r="L2418" s="348" t="s">
        <v>1205</v>
      </c>
      <c r="M2418" s="265" t="s">
        <v>5246</v>
      </c>
      <c r="N2418" s="347">
        <v>2.1440000000000001</v>
      </c>
      <c r="O2418" s="348" t="s">
        <v>1205</v>
      </c>
      <c r="P2418" s="348">
        <v>22.9</v>
      </c>
      <c r="Q2418" s="348">
        <v>2.65</v>
      </c>
    </row>
    <row r="2419" spans="1:17" ht="15" hidden="1" customHeight="1">
      <c r="A2419" s="163">
        <v>2427</v>
      </c>
      <c r="B2419" s="53" t="s">
        <v>44</v>
      </c>
      <c r="C2419" s="53" t="s">
        <v>5247</v>
      </c>
      <c r="D2419" s="53">
        <v>100025003</v>
      </c>
      <c r="E2419" s="55" t="s">
        <v>5248</v>
      </c>
      <c r="F2419" s="129">
        <v>10</v>
      </c>
      <c r="G2419" s="129">
        <v>180</v>
      </c>
      <c r="H2419" s="512">
        <v>320.88</v>
      </c>
      <c r="I2419" s="265" t="s">
        <v>359</v>
      </c>
      <c r="J2419" s="265" t="s">
        <v>102</v>
      </c>
      <c r="K2419" s="265" t="s">
        <v>5249</v>
      </c>
      <c r="L2419" s="348" t="s">
        <v>1205</v>
      </c>
      <c r="M2419" s="265" t="s">
        <v>5250</v>
      </c>
      <c r="N2419" s="347">
        <v>2.9079999999999999</v>
      </c>
      <c r="O2419" s="348" t="s">
        <v>1205</v>
      </c>
      <c r="P2419" s="348">
        <v>30.1</v>
      </c>
      <c r="Q2419" s="348">
        <v>2.65</v>
      </c>
    </row>
    <row r="2420" spans="1:17" ht="15" hidden="1" customHeight="1">
      <c r="A2420" s="163">
        <v>2428</v>
      </c>
      <c r="B2420" s="53" t="s">
        <v>44</v>
      </c>
      <c r="C2420" s="53" t="s">
        <v>5251</v>
      </c>
      <c r="D2420" s="53">
        <v>100025004</v>
      </c>
      <c r="E2420" s="55" t="s">
        <v>5252</v>
      </c>
      <c r="F2420" s="129">
        <v>10</v>
      </c>
      <c r="G2420" s="129" t="s">
        <v>2803</v>
      </c>
      <c r="H2420" s="512">
        <v>335.89</v>
      </c>
      <c r="I2420" s="265" t="s">
        <v>359</v>
      </c>
      <c r="J2420" s="265" t="s">
        <v>102</v>
      </c>
      <c r="K2420" s="265" t="s">
        <v>5253</v>
      </c>
      <c r="L2420" s="348" t="s">
        <v>1205</v>
      </c>
      <c r="M2420" s="265" t="s">
        <v>5254</v>
      </c>
      <c r="N2420" s="347">
        <v>3.2229999999999999</v>
      </c>
      <c r="O2420" s="348" t="s">
        <v>1205</v>
      </c>
      <c r="P2420" s="348">
        <v>31</v>
      </c>
      <c r="Q2420" s="348" t="s">
        <v>1205</v>
      </c>
    </row>
    <row r="2421" spans="1:17" ht="15" hidden="1" customHeight="1">
      <c r="A2421" s="163">
        <v>2429</v>
      </c>
      <c r="B2421" s="53" t="s">
        <v>44</v>
      </c>
      <c r="C2421" s="53" t="s">
        <v>5255</v>
      </c>
      <c r="D2421" s="53">
        <v>100025005</v>
      </c>
      <c r="E2421" s="55" t="s">
        <v>5256</v>
      </c>
      <c r="F2421" s="129">
        <v>10</v>
      </c>
      <c r="G2421" s="129">
        <v>180</v>
      </c>
      <c r="H2421" s="512">
        <v>165.57</v>
      </c>
      <c r="I2421" s="265" t="s">
        <v>359</v>
      </c>
      <c r="J2421" s="265" t="s">
        <v>102</v>
      </c>
      <c r="K2421" s="265" t="s">
        <v>5257</v>
      </c>
      <c r="L2421" s="348" t="s">
        <v>1205</v>
      </c>
      <c r="M2421" s="265" t="s">
        <v>5258</v>
      </c>
      <c r="N2421" s="347">
        <v>2.149</v>
      </c>
      <c r="O2421" s="348" t="s">
        <v>1205</v>
      </c>
      <c r="P2421" s="348">
        <v>22.64</v>
      </c>
      <c r="Q2421" s="348">
        <v>2.65</v>
      </c>
    </row>
    <row r="2422" spans="1:17" ht="15" hidden="1" customHeight="1">
      <c r="A2422" s="163">
        <v>2430</v>
      </c>
      <c r="B2422" s="53" t="s">
        <v>44</v>
      </c>
      <c r="C2422" s="53" t="s">
        <v>5259</v>
      </c>
      <c r="D2422" s="53">
        <v>100024342</v>
      </c>
      <c r="E2422" s="55" t="s">
        <v>5260</v>
      </c>
      <c r="F2422" s="129">
        <v>10</v>
      </c>
      <c r="G2422" s="129">
        <v>240</v>
      </c>
      <c r="H2422" s="512">
        <v>176.71</v>
      </c>
      <c r="I2422" s="265" t="s">
        <v>359</v>
      </c>
      <c r="J2422" s="265" t="s">
        <v>102</v>
      </c>
      <c r="K2422" s="265" t="s">
        <v>5261</v>
      </c>
      <c r="L2422" s="348" t="s">
        <v>1205</v>
      </c>
      <c r="M2422" s="265" t="s">
        <v>5262</v>
      </c>
      <c r="N2422" s="347">
        <v>2.3679999999999999</v>
      </c>
      <c r="O2422" s="348" t="s">
        <v>1205</v>
      </c>
      <c r="P2422" s="348">
        <v>25.1</v>
      </c>
      <c r="Q2422" s="348">
        <v>2.77</v>
      </c>
    </row>
    <row r="2423" spans="1:17" ht="15" hidden="1" customHeight="1">
      <c r="A2423" s="163">
        <v>2431</v>
      </c>
      <c r="B2423" s="53" t="s">
        <v>44</v>
      </c>
      <c r="C2423" s="53" t="s">
        <v>5263</v>
      </c>
      <c r="D2423" s="53">
        <v>100025006</v>
      </c>
      <c r="E2423" s="55" t="s">
        <v>5264</v>
      </c>
      <c r="F2423" s="129">
        <v>10</v>
      </c>
      <c r="G2423" s="129">
        <v>240</v>
      </c>
      <c r="H2423" s="512">
        <v>176.71</v>
      </c>
      <c r="I2423" s="265" t="s">
        <v>359</v>
      </c>
      <c r="J2423" s="265" t="s">
        <v>102</v>
      </c>
      <c r="K2423" s="265" t="s">
        <v>5265</v>
      </c>
      <c r="L2423" s="348" t="s">
        <v>1205</v>
      </c>
      <c r="M2423" s="265" t="s">
        <v>5266</v>
      </c>
      <c r="N2423" s="347">
        <v>2.464</v>
      </c>
      <c r="O2423" s="348" t="s">
        <v>1205</v>
      </c>
      <c r="P2423" s="348">
        <v>25.3</v>
      </c>
      <c r="Q2423" s="348">
        <v>2.77</v>
      </c>
    </row>
    <row r="2424" spans="1:17" ht="15" hidden="1" customHeight="1">
      <c r="A2424" s="163">
        <v>2432</v>
      </c>
      <c r="B2424" s="53" t="s">
        <v>44</v>
      </c>
      <c r="C2424" s="53" t="s">
        <v>5267</v>
      </c>
      <c r="D2424" s="53">
        <v>100025007</v>
      </c>
      <c r="E2424" s="55" t="s">
        <v>5268</v>
      </c>
      <c r="F2424" s="129">
        <v>10</v>
      </c>
      <c r="G2424" s="129">
        <v>180</v>
      </c>
      <c r="H2424" s="512">
        <v>165.57</v>
      </c>
      <c r="I2424" s="265" t="s">
        <v>76</v>
      </c>
      <c r="J2424" s="265" t="s">
        <v>102</v>
      </c>
      <c r="K2424" s="265" t="s">
        <v>5269</v>
      </c>
      <c r="L2424" s="348" t="s">
        <v>1205</v>
      </c>
      <c r="M2424" s="265" t="s">
        <v>5270</v>
      </c>
      <c r="N2424" s="347">
        <v>2.0990000000000002</v>
      </c>
      <c r="O2424" s="348" t="s">
        <v>1205</v>
      </c>
      <c r="P2424" s="348">
        <v>22.69</v>
      </c>
      <c r="Q2424" s="348">
        <v>2.65</v>
      </c>
    </row>
    <row r="2425" spans="1:17" ht="15" hidden="1" customHeight="1">
      <c r="A2425" s="163">
        <v>2433</v>
      </c>
      <c r="B2425" s="53" t="s">
        <v>44</v>
      </c>
      <c r="C2425" s="53" t="s">
        <v>5271</v>
      </c>
      <c r="D2425" s="53">
        <v>100024344</v>
      </c>
      <c r="E2425" s="55" t="s">
        <v>5272</v>
      </c>
      <c r="F2425" s="129">
        <v>10</v>
      </c>
      <c r="G2425" s="129">
        <v>180</v>
      </c>
      <c r="H2425" s="512">
        <v>165.57</v>
      </c>
      <c r="I2425" s="265" t="s">
        <v>359</v>
      </c>
      <c r="J2425" s="265" t="s">
        <v>102</v>
      </c>
      <c r="K2425" s="265" t="s">
        <v>5273</v>
      </c>
      <c r="L2425" s="348" t="s">
        <v>1205</v>
      </c>
      <c r="M2425" s="265" t="s">
        <v>5274</v>
      </c>
      <c r="N2425" s="347">
        <v>2.1640000000000001</v>
      </c>
      <c r="O2425" s="348" t="s">
        <v>1205</v>
      </c>
      <c r="P2425" s="348">
        <v>23.2</v>
      </c>
      <c r="Q2425" s="348">
        <v>2.65</v>
      </c>
    </row>
    <row r="2426" spans="1:17" ht="15" hidden="1" customHeight="1">
      <c r="A2426" s="163">
        <v>2434</v>
      </c>
      <c r="B2426" s="53" t="s">
        <v>44</v>
      </c>
      <c r="C2426" s="53" t="s">
        <v>5275</v>
      </c>
      <c r="D2426" s="53">
        <v>100024351</v>
      </c>
      <c r="E2426" s="55" t="s">
        <v>5276</v>
      </c>
      <c r="F2426" s="129">
        <v>10</v>
      </c>
      <c r="G2426" s="129" t="s">
        <v>2803</v>
      </c>
      <c r="H2426" s="512">
        <v>165.57</v>
      </c>
      <c r="I2426" s="265" t="s">
        <v>359</v>
      </c>
      <c r="J2426" s="265" t="s">
        <v>102</v>
      </c>
      <c r="K2426" s="265" t="s">
        <v>5277</v>
      </c>
      <c r="L2426" s="348" t="s">
        <v>1205</v>
      </c>
      <c r="M2426" s="265" t="s">
        <v>5278</v>
      </c>
      <c r="N2426" s="347">
        <v>1.994</v>
      </c>
      <c r="O2426" s="348" t="s">
        <v>1205</v>
      </c>
      <c r="P2426" s="348" t="s">
        <v>1205</v>
      </c>
      <c r="Q2426" s="348" t="s">
        <v>1205</v>
      </c>
    </row>
    <row r="2427" spans="1:17" ht="15" hidden="1" customHeight="1">
      <c r="A2427" s="163">
        <v>2435</v>
      </c>
      <c r="B2427" s="53" t="s">
        <v>44</v>
      </c>
      <c r="C2427" s="53" t="s">
        <v>5279</v>
      </c>
      <c r="D2427" s="53">
        <v>100024354</v>
      </c>
      <c r="E2427" s="55" t="s">
        <v>5280</v>
      </c>
      <c r="F2427" s="129">
        <v>10</v>
      </c>
      <c r="G2427" s="129">
        <v>600</v>
      </c>
      <c r="H2427" s="512">
        <v>165.57</v>
      </c>
      <c r="I2427" s="265" t="s">
        <v>359</v>
      </c>
      <c r="J2427" s="265" t="s">
        <v>102</v>
      </c>
      <c r="K2427" s="265" t="s">
        <v>5281</v>
      </c>
      <c r="L2427" s="348" t="s">
        <v>1205</v>
      </c>
      <c r="M2427" s="265" t="s">
        <v>5282</v>
      </c>
      <c r="N2427" s="347">
        <v>1.927</v>
      </c>
      <c r="O2427" s="348" t="s">
        <v>1205</v>
      </c>
      <c r="P2427" s="348">
        <v>20.48</v>
      </c>
      <c r="Q2427" s="348">
        <v>1.41</v>
      </c>
    </row>
    <row r="2428" spans="1:17" ht="15" hidden="1" customHeight="1">
      <c r="A2428" s="163">
        <v>2436</v>
      </c>
      <c r="B2428" s="53" t="s">
        <v>44</v>
      </c>
      <c r="C2428" s="53" t="s">
        <v>5283</v>
      </c>
      <c r="D2428" s="53">
        <v>100025008</v>
      </c>
      <c r="E2428" s="55" t="s">
        <v>5284</v>
      </c>
      <c r="F2428" s="129">
        <v>10</v>
      </c>
      <c r="G2428" s="129">
        <v>600</v>
      </c>
      <c r="H2428" s="512">
        <v>165.57</v>
      </c>
      <c r="I2428" s="265" t="s">
        <v>76</v>
      </c>
      <c r="J2428" s="265" t="s">
        <v>102</v>
      </c>
      <c r="K2428" s="265" t="s">
        <v>5285</v>
      </c>
      <c r="L2428" s="348" t="s">
        <v>1205</v>
      </c>
      <c r="M2428" s="265" t="s">
        <v>5286</v>
      </c>
      <c r="N2428" s="347">
        <v>1.966</v>
      </c>
      <c r="O2428" s="348" t="s">
        <v>1205</v>
      </c>
      <c r="P2428" s="348">
        <v>20.2</v>
      </c>
      <c r="Q2428" s="348">
        <v>1.41</v>
      </c>
    </row>
    <row r="2429" spans="1:17" ht="15" hidden="1" customHeight="1">
      <c r="A2429" s="163">
        <v>2437</v>
      </c>
      <c r="B2429" s="53" t="s">
        <v>44</v>
      </c>
      <c r="C2429" s="53" t="s">
        <v>5287</v>
      </c>
      <c r="D2429" s="53">
        <v>100024368</v>
      </c>
      <c r="E2429" s="55" t="s">
        <v>5288</v>
      </c>
      <c r="F2429" s="129">
        <v>10</v>
      </c>
      <c r="G2429" s="129">
        <v>240</v>
      </c>
      <c r="H2429" s="512">
        <v>176.71</v>
      </c>
      <c r="I2429" s="265" t="s">
        <v>359</v>
      </c>
      <c r="J2429" s="265" t="s">
        <v>102</v>
      </c>
      <c r="K2429" s="265" t="s">
        <v>5289</v>
      </c>
      <c r="L2429" s="348" t="s">
        <v>1205</v>
      </c>
      <c r="M2429" s="265" t="s">
        <v>5290</v>
      </c>
      <c r="N2429" s="347">
        <v>2.1850000000000001</v>
      </c>
      <c r="O2429" s="348" t="s">
        <v>1205</v>
      </c>
      <c r="P2429" s="348">
        <v>23.1</v>
      </c>
      <c r="Q2429" s="348">
        <v>2.77</v>
      </c>
    </row>
    <row r="2430" spans="1:17" ht="15" hidden="1" customHeight="1">
      <c r="A2430" s="163">
        <v>2438</v>
      </c>
      <c r="B2430" s="53" t="s">
        <v>44</v>
      </c>
      <c r="C2430" s="53" t="s">
        <v>5291</v>
      </c>
      <c r="D2430" s="53">
        <v>100025010</v>
      </c>
      <c r="E2430" s="55" t="s">
        <v>5292</v>
      </c>
      <c r="F2430" s="129">
        <v>10</v>
      </c>
      <c r="G2430" s="129">
        <v>240</v>
      </c>
      <c r="H2430" s="512">
        <v>176.71</v>
      </c>
      <c r="I2430" s="265" t="s">
        <v>359</v>
      </c>
      <c r="J2430" s="265" t="s">
        <v>102</v>
      </c>
      <c r="K2430" s="265" t="s">
        <v>5293</v>
      </c>
      <c r="L2430" s="348" t="s">
        <v>1205</v>
      </c>
      <c r="M2430" s="265" t="s">
        <v>5294</v>
      </c>
      <c r="N2430" s="347">
        <v>2.2810000000000001</v>
      </c>
      <c r="O2430" s="348" t="s">
        <v>1205</v>
      </c>
      <c r="P2430" s="348">
        <v>24.35</v>
      </c>
      <c r="Q2430" s="348">
        <v>2.77</v>
      </c>
    </row>
    <row r="2431" spans="1:17" ht="15" hidden="1" customHeight="1">
      <c r="A2431" s="163">
        <v>2439</v>
      </c>
      <c r="B2431" s="53" t="s">
        <v>44</v>
      </c>
      <c r="C2431" s="53" t="s">
        <v>5295</v>
      </c>
      <c r="D2431" s="53">
        <v>100024372</v>
      </c>
      <c r="E2431" s="55" t="s">
        <v>5296</v>
      </c>
      <c r="F2431" s="129">
        <v>10</v>
      </c>
      <c r="G2431" s="129">
        <v>750</v>
      </c>
      <c r="H2431" s="512">
        <v>154.49</v>
      </c>
      <c r="I2431" s="265" t="s">
        <v>359</v>
      </c>
      <c r="J2431" s="265" t="s">
        <v>102</v>
      </c>
      <c r="K2431" s="265" t="s">
        <v>5297</v>
      </c>
      <c r="L2431" s="348" t="s">
        <v>1205</v>
      </c>
      <c r="M2431" s="265" t="s">
        <v>5298</v>
      </c>
      <c r="N2431" s="347">
        <v>1.645</v>
      </c>
      <c r="O2431" s="348" t="s">
        <v>1205</v>
      </c>
      <c r="P2431" s="348">
        <v>16.86</v>
      </c>
      <c r="Q2431" s="348">
        <v>1.1000000000000001</v>
      </c>
    </row>
    <row r="2432" spans="1:17" ht="15" hidden="1" customHeight="1">
      <c r="A2432" s="163">
        <v>2440</v>
      </c>
      <c r="B2432" s="53" t="s">
        <v>44</v>
      </c>
      <c r="C2432" s="53" t="s">
        <v>5299</v>
      </c>
      <c r="D2432" s="53">
        <v>100024389</v>
      </c>
      <c r="E2432" s="55" t="s">
        <v>5300</v>
      </c>
      <c r="F2432" s="129">
        <v>10</v>
      </c>
      <c r="G2432" s="129">
        <v>180</v>
      </c>
      <c r="H2432" s="512">
        <v>165.57</v>
      </c>
      <c r="I2432" s="265" t="s">
        <v>359</v>
      </c>
      <c r="J2432" s="265" t="s">
        <v>102</v>
      </c>
      <c r="K2432" s="265" t="s">
        <v>5301</v>
      </c>
      <c r="L2432" s="348" t="s">
        <v>1205</v>
      </c>
      <c r="M2432" s="265" t="s">
        <v>5302</v>
      </c>
      <c r="N2432" s="347">
        <v>1.8049999999999999</v>
      </c>
      <c r="O2432" s="348" t="s">
        <v>1205</v>
      </c>
      <c r="P2432" s="348">
        <v>19</v>
      </c>
      <c r="Q2432" s="348">
        <v>2.65</v>
      </c>
    </row>
    <row r="2433" spans="1:17" ht="15" hidden="1" customHeight="1">
      <c r="A2433" s="163">
        <v>2441</v>
      </c>
      <c r="B2433" s="53" t="s">
        <v>44</v>
      </c>
      <c r="C2433" s="53" t="s">
        <v>5303</v>
      </c>
      <c r="D2433" s="53">
        <v>100025014</v>
      </c>
      <c r="E2433" s="55" t="s">
        <v>5304</v>
      </c>
      <c r="F2433" s="129">
        <v>10</v>
      </c>
      <c r="G2433" s="129">
        <v>600</v>
      </c>
      <c r="H2433" s="512">
        <v>165.57</v>
      </c>
      <c r="I2433" s="265" t="s">
        <v>76</v>
      </c>
      <c r="J2433" s="265" t="s">
        <v>102</v>
      </c>
      <c r="K2433" s="265" t="s">
        <v>5305</v>
      </c>
      <c r="L2433" s="348" t="s">
        <v>1205</v>
      </c>
      <c r="M2433" s="265" t="s">
        <v>5306</v>
      </c>
      <c r="N2433" s="347">
        <v>1.911</v>
      </c>
      <c r="O2433" s="348" t="s">
        <v>1205</v>
      </c>
      <c r="P2433" s="348">
        <v>20.399999999999999</v>
      </c>
      <c r="Q2433" s="348">
        <v>1.41</v>
      </c>
    </row>
    <row r="2434" spans="1:17" ht="15" hidden="1" customHeight="1">
      <c r="A2434" s="163">
        <v>2442</v>
      </c>
      <c r="B2434" s="53" t="s">
        <v>44</v>
      </c>
      <c r="C2434" s="53" t="s">
        <v>5307</v>
      </c>
      <c r="D2434" s="53">
        <v>100024390</v>
      </c>
      <c r="E2434" s="55" t="s">
        <v>5308</v>
      </c>
      <c r="F2434" s="129">
        <v>10</v>
      </c>
      <c r="G2434" s="129">
        <v>180</v>
      </c>
      <c r="H2434" s="512">
        <v>176.71</v>
      </c>
      <c r="I2434" s="265" t="s">
        <v>359</v>
      </c>
      <c r="J2434" s="265" t="s">
        <v>102</v>
      </c>
      <c r="K2434" s="265" t="s">
        <v>5309</v>
      </c>
      <c r="L2434" s="348" t="s">
        <v>1205</v>
      </c>
      <c r="M2434" s="265" t="s">
        <v>5310</v>
      </c>
      <c r="N2434" s="347">
        <v>2</v>
      </c>
      <c r="O2434" s="348" t="s">
        <v>1205</v>
      </c>
      <c r="P2434" s="348">
        <v>21.15</v>
      </c>
      <c r="Q2434" s="348">
        <v>2.65</v>
      </c>
    </row>
    <row r="2435" spans="1:17" ht="15" hidden="1" customHeight="1">
      <c r="A2435" s="163">
        <v>2443</v>
      </c>
      <c r="B2435" s="53" t="s">
        <v>44</v>
      </c>
      <c r="C2435" s="53" t="s">
        <v>5311</v>
      </c>
      <c r="D2435" s="53">
        <v>100024391</v>
      </c>
      <c r="E2435" s="55" t="s">
        <v>5312</v>
      </c>
      <c r="F2435" s="129">
        <v>10</v>
      </c>
      <c r="G2435" s="129">
        <v>180</v>
      </c>
      <c r="H2435" s="512">
        <v>176.71</v>
      </c>
      <c r="I2435" s="265" t="s">
        <v>359</v>
      </c>
      <c r="J2435" s="265" t="s">
        <v>102</v>
      </c>
      <c r="K2435" s="265" t="s">
        <v>5313</v>
      </c>
      <c r="L2435" s="348" t="s">
        <v>1205</v>
      </c>
      <c r="M2435" s="265" t="s">
        <v>5314</v>
      </c>
      <c r="N2435" s="347">
        <v>2.13</v>
      </c>
      <c r="O2435" s="348" t="s">
        <v>1205</v>
      </c>
      <c r="P2435" s="348">
        <v>22.45</v>
      </c>
      <c r="Q2435" s="348">
        <v>4.38</v>
      </c>
    </row>
    <row r="2436" spans="1:17" ht="15" hidden="1" customHeight="1">
      <c r="A2436" s="163">
        <v>2444</v>
      </c>
      <c r="B2436" s="53" t="s">
        <v>44</v>
      </c>
      <c r="C2436" s="53" t="s">
        <v>5315</v>
      </c>
      <c r="D2436" s="53">
        <v>100025015</v>
      </c>
      <c r="E2436" s="55" t="s">
        <v>5316</v>
      </c>
      <c r="F2436" s="129">
        <v>10</v>
      </c>
      <c r="G2436" s="129">
        <v>240</v>
      </c>
      <c r="H2436" s="512">
        <v>176.71</v>
      </c>
      <c r="I2436" s="265" t="s">
        <v>359</v>
      </c>
      <c r="J2436" s="265" t="s">
        <v>102</v>
      </c>
      <c r="K2436" s="265" t="s">
        <v>5317</v>
      </c>
      <c r="L2436" s="348" t="s">
        <v>1205</v>
      </c>
      <c r="M2436" s="265" t="s">
        <v>5318</v>
      </c>
      <c r="N2436" s="347">
        <v>2.226</v>
      </c>
      <c r="O2436" s="348" t="s">
        <v>1205</v>
      </c>
      <c r="P2436" s="348">
        <v>24.5</v>
      </c>
      <c r="Q2436" s="348">
        <v>2.77</v>
      </c>
    </row>
    <row r="2437" spans="1:17" ht="15" hidden="1" customHeight="1">
      <c r="A2437" s="163">
        <v>2445</v>
      </c>
      <c r="B2437" s="53" t="s">
        <v>44</v>
      </c>
      <c r="C2437" s="53" t="s">
        <v>5319</v>
      </c>
      <c r="D2437" s="53">
        <v>100024393</v>
      </c>
      <c r="E2437" s="55" t="s">
        <v>5320</v>
      </c>
      <c r="F2437" s="129">
        <v>10</v>
      </c>
      <c r="G2437" s="129">
        <v>180</v>
      </c>
      <c r="H2437" s="512">
        <v>154.49</v>
      </c>
      <c r="I2437" s="265" t="s">
        <v>359</v>
      </c>
      <c r="J2437" s="265" t="s">
        <v>102</v>
      </c>
      <c r="K2437" s="265" t="s">
        <v>5321</v>
      </c>
      <c r="L2437" s="348" t="s">
        <v>1205</v>
      </c>
      <c r="M2437" s="265" t="s">
        <v>5322</v>
      </c>
      <c r="N2437" s="347">
        <v>1.7</v>
      </c>
      <c r="O2437" s="348" t="s">
        <v>1205</v>
      </c>
      <c r="P2437" s="348">
        <v>17.8</v>
      </c>
      <c r="Q2437" s="348">
        <v>2.65</v>
      </c>
    </row>
    <row r="2438" spans="1:17" ht="15" hidden="1" customHeight="1">
      <c r="A2438" s="163">
        <v>2446</v>
      </c>
      <c r="B2438" s="53" t="s">
        <v>44</v>
      </c>
      <c r="C2438" s="53" t="s">
        <v>5323</v>
      </c>
      <c r="D2438" s="53">
        <v>100024404</v>
      </c>
      <c r="E2438" s="55" t="s">
        <v>5324</v>
      </c>
      <c r="F2438" s="129">
        <v>10</v>
      </c>
      <c r="G2438" s="129" t="s">
        <v>2803</v>
      </c>
      <c r="H2438" s="512">
        <v>165.57</v>
      </c>
      <c r="I2438" s="265" t="s">
        <v>359</v>
      </c>
      <c r="J2438" s="265" t="s">
        <v>102</v>
      </c>
      <c r="K2438" s="265" t="s">
        <v>5325</v>
      </c>
      <c r="L2438" s="348" t="s">
        <v>1205</v>
      </c>
      <c r="M2438" s="265" t="s">
        <v>5326</v>
      </c>
      <c r="N2438" s="347">
        <v>1.9259999999999999</v>
      </c>
      <c r="O2438" s="348" t="s">
        <v>1205</v>
      </c>
      <c r="P2438" s="348" t="s">
        <v>1205</v>
      </c>
      <c r="Q2438" s="348" t="s">
        <v>1205</v>
      </c>
    </row>
    <row r="2439" spans="1:17" ht="15" hidden="1" customHeight="1">
      <c r="A2439" s="163">
        <v>2447</v>
      </c>
      <c r="B2439" s="53" t="s">
        <v>44</v>
      </c>
      <c r="C2439" s="53" t="s">
        <v>5327</v>
      </c>
      <c r="D2439" s="53">
        <v>100024409</v>
      </c>
      <c r="E2439" s="55" t="s">
        <v>5328</v>
      </c>
      <c r="F2439" s="129">
        <v>10</v>
      </c>
      <c r="G2439" s="129">
        <v>180</v>
      </c>
      <c r="H2439" s="512">
        <v>165.57</v>
      </c>
      <c r="I2439" s="265" t="s">
        <v>359</v>
      </c>
      <c r="J2439" s="265" t="s">
        <v>102</v>
      </c>
      <c r="K2439" s="265" t="s">
        <v>5329</v>
      </c>
      <c r="L2439" s="348" t="s">
        <v>1205</v>
      </c>
      <c r="M2439" s="265" t="s">
        <v>5330</v>
      </c>
      <c r="N2439" s="347">
        <v>1.9359999999999999</v>
      </c>
      <c r="O2439" s="348" t="s">
        <v>1205</v>
      </c>
      <c r="P2439" s="348">
        <v>19.899999999999999</v>
      </c>
      <c r="Q2439" s="348">
        <v>2.65</v>
      </c>
    </row>
    <row r="2440" spans="1:17" ht="15" hidden="1" customHeight="1">
      <c r="A2440" s="163">
        <v>2448</v>
      </c>
      <c r="B2440" s="53" t="s">
        <v>44</v>
      </c>
      <c r="C2440" s="53" t="s">
        <v>5331</v>
      </c>
      <c r="D2440" s="53">
        <v>100024411</v>
      </c>
      <c r="E2440" s="55" t="s">
        <v>5332</v>
      </c>
      <c r="F2440" s="129">
        <v>10</v>
      </c>
      <c r="G2440" s="129">
        <v>180</v>
      </c>
      <c r="H2440" s="512">
        <v>176.71</v>
      </c>
      <c r="I2440" s="265" t="s">
        <v>359</v>
      </c>
      <c r="J2440" s="265" t="s">
        <v>102</v>
      </c>
      <c r="K2440" s="265" t="s">
        <v>5333</v>
      </c>
      <c r="L2440" s="348" t="s">
        <v>1205</v>
      </c>
      <c r="M2440" s="265" t="s">
        <v>5334</v>
      </c>
      <c r="N2440" s="347">
        <v>2.2509999999999999</v>
      </c>
      <c r="O2440" s="348" t="s">
        <v>1205</v>
      </c>
      <c r="P2440" s="348">
        <v>24.62</v>
      </c>
      <c r="Q2440" s="348">
        <v>4.38</v>
      </c>
    </row>
    <row r="2441" spans="1:17" ht="15" hidden="1" customHeight="1">
      <c r="A2441" s="163">
        <v>2449</v>
      </c>
      <c r="B2441" s="53" t="s">
        <v>44</v>
      </c>
      <c r="C2441" s="53" t="s">
        <v>5335</v>
      </c>
      <c r="D2441" s="53">
        <v>100025019</v>
      </c>
      <c r="E2441" s="55" t="s">
        <v>5336</v>
      </c>
      <c r="F2441" s="129">
        <v>10</v>
      </c>
      <c r="G2441" s="129" t="s">
        <v>2803</v>
      </c>
      <c r="H2441" s="512">
        <v>165.57</v>
      </c>
      <c r="I2441" s="265" t="s">
        <v>359</v>
      </c>
      <c r="J2441" s="265" t="s">
        <v>102</v>
      </c>
      <c r="K2441" s="265" t="s">
        <v>5337</v>
      </c>
      <c r="L2441" s="348" t="s">
        <v>1205</v>
      </c>
      <c r="M2441" s="265" t="s">
        <v>5338</v>
      </c>
      <c r="N2441" s="347">
        <v>1.984</v>
      </c>
      <c r="O2441" s="348" t="s">
        <v>1205</v>
      </c>
      <c r="P2441" s="348">
        <v>19</v>
      </c>
      <c r="Q2441" s="348" t="s">
        <v>1205</v>
      </c>
    </row>
    <row r="2442" spans="1:17" ht="15" hidden="1" customHeight="1">
      <c r="A2442" s="163">
        <v>2450</v>
      </c>
      <c r="B2442" s="53" t="s">
        <v>44</v>
      </c>
      <c r="C2442" s="53" t="s">
        <v>5339</v>
      </c>
      <c r="D2442" s="53">
        <v>100025020</v>
      </c>
      <c r="E2442" s="55" t="s">
        <v>5340</v>
      </c>
      <c r="F2442" s="129">
        <v>10</v>
      </c>
      <c r="G2442" s="129">
        <v>180</v>
      </c>
      <c r="H2442" s="512">
        <v>165.57</v>
      </c>
      <c r="I2442" s="265" t="s">
        <v>359</v>
      </c>
      <c r="J2442" s="265" t="s">
        <v>102</v>
      </c>
      <c r="K2442" s="265" t="s">
        <v>5341</v>
      </c>
      <c r="L2442" s="348" t="s">
        <v>1205</v>
      </c>
      <c r="M2442" s="265" t="s">
        <v>5342</v>
      </c>
      <c r="N2442" s="347">
        <v>1.929</v>
      </c>
      <c r="O2442" s="348" t="s">
        <v>1205</v>
      </c>
      <c r="P2442" s="348">
        <v>20.27</v>
      </c>
      <c r="Q2442" s="348">
        <v>2.65</v>
      </c>
    </row>
    <row r="2443" spans="1:17" ht="15" hidden="1" customHeight="1">
      <c r="A2443" s="163">
        <v>2451</v>
      </c>
      <c r="B2443" s="53" t="s">
        <v>44</v>
      </c>
      <c r="C2443" s="53" t="s">
        <v>5343</v>
      </c>
      <c r="D2443" s="53">
        <v>100024429</v>
      </c>
      <c r="E2443" s="55" t="s">
        <v>5344</v>
      </c>
      <c r="F2443" s="129">
        <v>10</v>
      </c>
      <c r="G2443" s="129">
        <v>180</v>
      </c>
      <c r="H2443" s="512">
        <v>176.71</v>
      </c>
      <c r="I2443" s="265" t="s">
        <v>359</v>
      </c>
      <c r="J2443" s="265" t="s">
        <v>102</v>
      </c>
      <c r="K2443" s="265" t="s">
        <v>5345</v>
      </c>
      <c r="L2443" s="348" t="s">
        <v>1205</v>
      </c>
      <c r="M2443" s="265" t="s">
        <v>5346</v>
      </c>
      <c r="N2443" s="347">
        <v>2.2440000000000002</v>
      </c>
      <c r="O2443" s="348" t="s">
        <v>1205</v>
      </c>
      <c r="P2443" s="348">
        <v>24</v>
      </c>
      <c r="Q2443" s="348">
        <v>4.38</v>
      </c>
    </row>
    <row r="2444" spans="1:17" ht="15" hidden="1" customHeight="1">
      <c r="A2444" s="163">
        <v>2452</v>
      </c>
      <c r="B2444" s="53" t="s">
        <v>44</v>
      </c>
      <c r="C2444" s="53" t="s">
        <v>5347</v>
      </c>
      <c r="D2444" s="53">
        <v>100025021</v>
      </c>
      <c r="E2444" s="55" t="s">
        <v>5348</v>
      </c>
      <c r="F2444" s="129">
        <v>10</v>
      </c>
      <c r="G2444" s="129">
        <v>600</v>
      </c>
      <c r="H2444" s="512">
        <v>165.57</v>
      </c>
      <c r="I2444" s="265" t="s">
        <v>359</v>
      </c>
      <c r="J2444" s="265" t="s">
        <v>102</v>
      </c>
      <c r="K2444" s="265" t="s">
        <v>5349</v>
      </c>
      <c r="L2444" s="348" t="s">
        <v>1205</v>
      </c>
      <c r="M2444" s="265" t="s">
        <v>5350</v>
      </c>
      <c r="N2444" s="347">
        <v>1.8340000000000001</v>
      </c>
      <c r="O2444" s="348" t="s">
        <v>1205</v>
      </c>
      <c r="P2444" s="348">
        <v>20.8</v>
      </c>
      <c r="Q2444" s="348">
        <v>1.41</v>
      </c>
    </row>
    <row r="2445" spans="1:17" ht="15" hidden="1" customHeight="1">
      <c r="A2445" s="163">
        <v>2453</v>
      </c>
      <c r="B2445" s="53" t="s">
        <v>44</v>
      </c>
      <c r="C2445" s="53" t="s">
        <v>5351</v>
      </c>
      <c r="D2445" s="53">
        <v>100024469</v>
      </c>
      <c r="E2445" s="55" t="s">
        <v>5352</v>
      </c>
      <c r="F2445" s="129">
        <v>10</v>
      </c>
      <c r="G2445" s="129">
        <v>180</v>
      </c>
      <c r="H2445" s="512">
        <v>165.57</v>
      </c>
      <c r="I2445" s="265" t="s">
        <v>359</v>
      </c>
      <c r="J2445" s="265" t="s">
        <v>102</v>
      </c>
      <c r="K2445" s="265" t="s">
        <v>5353</v>
      </c>
      <c r="L2445" s="348" t="s">
        <v>1205</v>
      </c>
      <c r="M2445" s="265" t="s">
        <v>5354</v>
      </c>
      <c r="N2445" s="347">
        <v>1.7789999999999999</v>
      </c>
      <c r="O2445" s="348" t="s">
        <v>1205</v>
      </c>
      <c r="P2445" s="348">
        <v>20.350000000000001</v>
      </c>
      <c r="Q2445" s="348">
        <v>2.65</v>
      </c>
    </row>
    <row r="2446" spans="1:17" ht="15" hidden="1" customHeight="1">
      <c r="A2446" s="163">
        <v>2454</v>
      </c>
      <c r="B2446" s="53" t="s">
        <v>44</v>
      </c>
      <c r="C2446" s="53" t="s">
        <v>5355</v>
      </c>
      <c r="D2446" s="53">
        <v>100024501</v>
      </c>
      <c r="E2446" s="55" t="s">
        <v>5356</v>
      </c>
      <c r="F2446" s="129">
        <v>10</v>
      </c>
      <c r="G2446" s="129" t="s">
        <v>2803</v>
      </c>
      <c r="H2446" s="512">
        <v>176.71</v>
      </c>
      <c r="I2446" s="265" t="s">
        <v>359</v>
      </c>
      <c r="J2446" s="265" t="s">
        <v>102</v>
      </c>
      <c r="K2446" s="265" t="s">
        <v>5357</v>
      </c>
      <c r="L2446" s="348" t="s">
        <v>1205</v>
      </c>
      <c r="M2446" s="265" t="s">
        <v>5358</v>
      </c>
      <c r="N2446" s="347">
        <v>2.339</v>
      </c>
      <c r="O2446" s="348" t="s">
        <v>1205</v>
      </c>
      <c r="P2446" s="348">
        <v>13.1</v>
      </c>
      <c r="Q2446" s="348" t="s">
        <v>1205</v>
      </c>
    </row>
    <row r="2447" spans="1:17" ht="15" hidden="1" customHeight="1">
      <c r="A2447" s="163">
        <v>2455</v>
      </c>
      <c r="B2447" s="53" t="s">
        <v>44</v>
      </c>
      <c r="C2447" s="53" t="s">
        <v>5359</v>
      </c>
      <c r="D2447" s="53">
        <v>100024507</v>
      </c>
      <c r="E2447" s="55" t="s">
        <v>5360</v>
      </c>
      <c r="F2447" s="129">
        <v>10</v>
      </c>
      <c r="G2447" s="129">
        <v>600</v>
      </c>
      <c r="H2447" s="512">
        <v>165.57</v>
      </c>
      <c r="I2447" s="265" t="s">
        <v>359</v>
      </c>
      <c r="J2447" s="265" t="s">
        <v>102</v>
      </c>
      <c r="K2447" s="265" t="s">
        <v>5361</v>
      </c>
      <c r="L2447" s="348" t="s">
        <v>1205</v>
      </c>
      <c r="M2447" s="265" t="s">
        <v>5362</v>
      </c>
      <c r="N2447" s="347">
        <v>1.944</v>
      </c>
      <c r="O2447" s="348" t="s">
        <v>1205</v>
      </c>
      <c r="P2447" s="348">
        <v>20.58</v>
      </c>
      <c r="Q2447" s="348">
        <v>1.41</v>
      </c>
    </row>
    <row r="2448" spans="1:17" ht="15" hidden="1" customHeight="1">
      <c r="A2448" s="163">
        <v>2456</v>
      </c>
      <c r="B2448" s="53" t="s">
        <v>44</v>
      </c>
      <c r="C2448" s="53" t="s">
        <v>5363</v>
      </c>
      <c r="D2448" s="53">
        <v>100024520</v>
      </c>
      <c r="E2448" s="55" t="s">
        <v>5364</v>
      </c>
      <c r="F2448" s="129">
        <v>10</v>
      </c>
      <c r="G2448" s="129">
        <v>600</v>
      </c>
      <c r="H2448" s="512">
        <v>165.57</v>
      </c>
      <c r="I2448" s="265" t="s">
        <v>359</v>
      </c>
      <c r="J2448" s="265" t="s">
        <v>102</v>
      </c>
      <c r="K2448" s="265" t="s">
        <v>5365</v>
      </c>
      <c r="L2448" s="348" t="s">
        <v>1205</v>
      </c>
      <c r="M2448" s="265" t="s">
        <v>5366</v>
      </c>
      <c r="N2448" s="347">
        <v>2.0089999999999999</v>
      </c>
      <c r="O2448" s="348" t="s">
        <v>1205</v>
      </c>
      <c r="P2448" s="348">
        <v>20.63</v>
      </c>
      <c r="Q2448" s="348">
        <v>1.41</v>
      </c>
    </row>
    <row r="2449" spans="1:17" ht="15" hidden="1" customHeight="1">
      <c r="A2449" s="163">
        <v>2457</v>
      </c>
      <c r="B2449" s="53" t="s">
        <v>44</v>
      </c>
      <c r="C2449" s="53" t="s">
        <v>5367</v>
      </c>
      <c r="D2449" s="53">
        <v>100025034</v>
      </c>
      <c r="E2449" s="55" t="s">
        <v>5172</v>
      </c>
      <c r="F2449" s="129">
        <v>10</v>
      </c>
      <c r="G2449" s="129">
        <v>180</v>
      </c>
      <c r="H2449" s="512">
        <v>165.57</v>
      </c>
      <c r="I2449" s="265" t="s">
        <v>359</v>
      </c>
      <c r="J2449" s="265" t="s">
        <v>102</v>
      </c>
      <c r="K2449" s="265" t="s">
        <v>5368</v>
      </c>
      <c r="L2449" s="348" t="s">
        <v>1205</v>
      </c>
      <c r="M2449" s="265" t="s">
        <v>5369</v>
      </c>
      <c r="N2449" s="347">
        <v>2.0990000000000002</v>
      </c>
      <c r="O2449" s="348" t="s">
        <v>1205</v>
      </c>
      <c r="P2449" s="348">
        <v>21.94</v>
      </c>
      <c r="Q2449" s="348">
        <v>2.65</v>
      </c>
    </row>
    <row r="2450" spans="1:17" ht="15" hidden="1" customHeight="1">
      <c r="A2450" s="163">
        <v>2458</v>
      </c>
      <c r="B2450" s="53" t="s">
        <v>44</v>
      </c>
      <c r="C2450" s="53" t="s">
        <v>5370</v>
      </c>
      <c r="D2450" s="53">
        <v>100024534</v>
      </c>
      <c r="E2450" s="55" t="s">
        <v>5371</v>
      </c>
      <c r="F2450" s="129">
        <v>10</v>
      </c>
      <c r="G2450" s="129">
        <v>240</v>
      </c>
      <c r="H2450" s="512">
        <v>176.71</v>
      </c>
      <c r="I2450" s="265" t="s">
        <v>359</v>
      </c>
      <c r="J2450" s="265" t="s">
        <v>102</v>
      </c>
      <c r="K2450" s="265" t="s">
        <v>5372</v>
      </c>
      <c r="L2450" s="348" t="s">
        <v>1205</v>
      </c>
      <c r="M2450" s="265" t="s">
        <v>5373</v>
      </c>
      <c r="N2450" s="347">
        <v>2.4140000000000001</v>
      </c>
      <c r="O2450" s="348" t="s">
        <v>1205</v>
      </c>
      <c r="P2450" s="348">
        <v>25.55</v>
      </c>
      <c r="Q2450" s="348">
        <v>2.77</v>
      </c>
    </row>
    <row r="2451" spans="1:17" ht="15" hidden="1" customHeight="1">
      <c r="A2451" s="163">
        <v>2459</v>
      </c>
      <c r="B2451" s="53" t="s">
        <v>44</v>
      </c>
      <c r="C2451" s="53" t="s">
        <v>5374</v>
      </c>
      <c r="D2451" s="53">
        <v>100025036</v>
      </c>
      <c r="E2451" s="55" t="s">
        <v>5375</v>
      </c>
      <c r="F2451" s="129">
        <v>10</v>
      </c>
      <c r="G2451" s="129">
        <v>180</v>
      </c>
      <c r="H2451" s="512">
        <v>165.57</v>
      </c>
      <c r="I2451" s="265" t="s">
        <v>359</v>
      </c>
      <c r="J2451" s="265" t="s">
        <v>102</v>
      </c>
      <c r="K2451" s="265" t="s">
        <v>5376</v>
      </c>
      <c r="L2451" s="348" t="s">
        <v>1205</v>
      </c>
      <c r="M2451" s="265" t="s">
        <v>5377</v>
      </c>
      <c r="N2451" s="347">
        <v>2.044</v>
      </c>
      <c r="O2451" s="348" t="s">
        <v>1205</v>
      </c>
      <c r="P2451" s="348">
        <v>22.5</v>
      </c>
      <c r="Q2451" s="348">
        <v>2.65</v>
      </c>
    </row>
    <row r="2452" spans="1:17" ht="15" hidden="1" customHeight="1">
      <c r="A2452" s="163">
        <v>2460</v>
      </c>
      <c r="B2452" s="53" t="s">
        <v>44</v>
      </c>
      <c r="C2452" s="53" t="s">
        <v>5378</v>
      </c>
      <c r="D2452" s="53">
        <v>100024539</v>
      </c>
      <c r="E2452" s="55" t="s">
        <v>5379</v>
      </c>
      <c r="F2452" s="129">
        <v>10</v>
      </c>
      <c r="G2452" s="129">
        <v>240</v>
      </c>
      <c r="H2452" s="512">
        <v>176.71</v>
      </c>
      <c r="I2452" s="265" t="s">
        <v>359</v>
      </c>
      <c r="J2452" s="265" t="s">
        <v>102</v>
      </c>
      <c r="K2452" s="265" t="s">
        <v>5380</v>
      </c>
      <c r="L2452" s="348" t="s">
        <v>1205</v>
      </c>
      <c r="M2452" s="265" t="s">
        <v>5381</v>
      </c>
      <c r="N2452" s="347">
        <v>2.133</v>
      </c>
      <c r="O2452" s="348" t="s">
        <v>1205</v>
      </c>
      <c r="P2452" s="348">
        <v>23.3</v>
      </c>
      <c r="Q2452" s="348">
        <v>2.77</v>
      </c>
    </row>
    <row r="2453" spans="1:17" ht="15" hidden="1" customHeight="1">
      <c r="A2453" s="163">
        <v>2461</v>
      </c>
      <c r="B2453" s="53" t="s">
        <v>44</v>
      </c>
      <c r="C2453" s="53" t="s">
        <v>5382</v>
      </c>
      <c r="D2453" s="53">
        <v>100024540</v>
      </c>
      <c r="E2453" s="55" t="s">
        <v>5383</v>
      </c>
      <c r="F2453" s="129">
        <v>10</v>
      </c>
      <c r="G2453" s="129">
        <v>240</v>
      </c>
      <c r="H2453" s="512">
        <v>176.71</v>
      </c>
      <c r="I2453" s="265" t="s">
        <v>359</v>
      </c>
      <c r="J2453" s="265" t="s">
        <v>102</v>
      </c>
      <c r="K2453" s="265" t="s">
        <v>5384</v>
      </c>
      <c r="L2453" s="348" t="s">
        <v>1205</v>
      </c>
      <c r="M2453" s="265" t="s">
        <v>5385</v>
      </c>
      <c r="N2453" s="347">
        <v>2.2629999999999999</v>
      </c>
      <c r="O2453" s="348" t="s">
        <v>1205</v>
      </c>
      <c r="P2453" s="348">
        <v>24.3</v>
      </c>
      <c r="Q2453" s="348">
        <v>2.77</v>
      </c>
    </row>
    <row r="2454" spans="1:17" ht="15" hidden="1" customHeight="1">
      <c r="A2454" s="163">
        <v>2462</v>
      </c>
      <c r="B2454" s="53" t="s">
        <v>44</v>
      </c>
      <c r="C2454" s="53" t="s">
        <v>5386</v>
      </c>
      <c r="D2454" s="53">
        <v>100024541</v>
      </c>
      <c r="E2454" s="55" t="s">
        <v>5387</v>
      </c>
      <c r="F2454" s="129">
        <v>10</v>
      </c>
      <c r="G2454" s="129">
        <v>240</v>
      </c>
      <c r="H2454" s="512">
        <v>176.71</v>
      </c>
      <c r="I2454" s="265" t="s">
        <v>359</v>
      </c>
      <c r="J2454" s="265" t="s">
        <v>102</v>
      </c>
      <c r="K2454" s="265" t="s">
        <v>5388</v>
      </c>
      <c r="L2454" s="348" t="s">
        <v>1205</v>
      </c>
      <c r="M2454" s="265" t="s">
        <v>5389</v>
      </c>
      <c r="N2454" s="347">
        <v>2.359</v>
      </c>
      <c r="O2454" s="348" t="s">
        <v>1205</v>
      </c>
      <c r="P2454" s="348">
        <v>25.6</v>
      </c>
      <c r="Q2454" s="348">
        <v>2.77</v>
      </c>
    </row>
    <row r="2455" spans="1:17" ht="15" hidden="1" customHeight="1">
      <c r="A2455" s="163">
        <v>2463</v>
      </c>
      <c r="B2455" s="53" t="s">
        <v>44</v>
      </c>
      <c r="C2455" s="53" t="s">
        <v>5390</v>
      </c>
      <c r="D2455" s="53">
        <v>100025048</v>
      </c>
      <c r="E2455" s="55" t="s">
        <v>5391</v>
      </c>
      <c r="F2455" s="129">
        <v>10</v>
      </c>
      <c r="G2455" s="129">
        <v>180</v>
      </c>
      <c r="H2455" s="512">
        <v>210.6</v>
      </c>
      <c r="I2455" s="265" t="s">
        <v>359</v>
      </c>
      <c r="J2455" s="265" t="s">
        <v>102</v>
      </c>
      <c r="K2455" s="265" t="s">
        <v>5392</v>
      </c>
      <c r="L2455" s="348" t="s">
        <v>1205</v>
      </c>
      <c r="M2455" s="265" t="s">
        <v>5393</v>
      </c>
      <c r="N2455" s="347">
        <v>2.444</v>
      </c>
      <c r="O2455" s="348" t="s">
        <v>1205</v>
      </c>
      <c r="P2455" s="348">
        <v>20.9</v>
      </c>
      <c r="Q2455" s="348">
        <v>2.65</v>
      </c>
    </row>
    <row r="2456" spans="1:17" ht="15" hidden="1" customHeight="1">
      <c r="A2456" s="163">
        <v>2464</v>
      </c>
      <c r="B2456" s="53" t="s">
        <v>44</v>
      </c>
      <c r="C2456" s="53" t="s">
        <v>5394</v>
      </c>
      <c r="D2456" s="53">
        <v>100025049</v>
      </c>
      <c r="E2456" s="55" t="s">
        <v>5395</v>
      </c>
      <c r="F2456" s="129">
        <v>10</v>
      </c>
      <c r="G2456" s="129">
        <v>180</v>
      </c>
      <c r="H2456" s="512">
        <v>343.34</v>
      </c>
      <c r="I2456" s="265" t="s">
        <v>359</v>
      </c>
      <c r="J2456" s="265" t="s">
        <v>102</v>
      </c>
      <c r="K2456" s="265" t="s">
        <v>5396</v>
      </c>
      <c r="L2456" s="348" t="s">
        <v>1205</v>
      </c>
      <c r="M2456" s="265" t="s">
        <v>5397</v>
      </c>
      <c r="N2456" s="347">
        <v>3.153</v>
      </c>
      <c r="O2456" s="348" t="s">
        <v>1205</v>
      </c>
      <c r="P2456" s="348">
        <v>29.1</v>
      </c>
      <c r="Q2456" s="348">
        <v>2.65</v>
      </c>
    </row>
    <row r="2457" spans="1:17" ht="15" hidden="1" customHeight="1">
      <c r="A2457" s="163">
        <v>2465</v>
      </c>
      <c r="B2457" s="53" t="s">
        <v>44</v>
      </c>
      <c r="C2457" s="53" t="s">
        <v>5398</v>
      </c>
      <c r="D2457" s="53">
        <v>100025050</v>
      </c>
      <c r="E2457" s="55" t="s">
        <v>5399</v>
      </c>
      <c r="F2457" s="129">
        <v>10</v>
      </c>
      <c r="G2457" s="129">
        <v>240</v>
      </c>
      <c r="H2457" s="512">
        <v>358.21</v>
      </c>
      <c r="I2457" s="265" t="s">
        <v>359</v>
      </c>
      <c r="J2457" s="265" t="s">
        <v>102</v>
      </c>
      <c r="K2457" s="265" t="s">
        <v>5400</v>
      </c>
      <c r="L2457" s="348" t="s">
        <v>1205</v>
      </c>
      <c r="M2457" s="265" t="s">
        <v>5401</v>
      </c>
      <c r="N2457" s="347">
        <v>3.468</v>
      </c>
      <c r="O2457" s="348" t="s">
        <v>1205</v>
      </c>
      <c r="P2457" s="348">
        <v>32.799999999999997</v>
      </c>
      <c r="Q2457" s="348">
        <v>2.77</v>
      </c>
    </row>
    <row r="2458" spans="1:17" ht="15" hidden="1" customHeight="1">
      <c r="A2458" s="163">
        <v>2466</v>
      </c>
      <c r="B2458" s="53" t="s">
        <v>44</v>
      </c>
      <c r="C2458" s="53" t="s">
        <v>5402</v>
      </c>
      <c r="D2458" s="53">
        <v>100025051</v>
      </c>
      <c r="E2458" s="55" t="s">
        <v>5403</v>
      </c>
      <c r="F2458" s="129">
        <v>10</v>
      </c>
      <c r="G2458" s="129">
        <v>600</v>
      </c>
      <c r="H2458" s="512">
        <v>199.54</v>
      </c>
      <c r="I2458" s="265" t="s">
        <v>359</v>
      </c>
      <c r="J2458" s="265" t="s">
        <v>102</v>
      </c>
      <c r="K2458" s="265" t="s">
        <v>5404</v>
      </c>
      <c r="L2458" s="348" t="s">
        <v>1205</v>
      </c>
      <c r="M2458" s="265" t="s">
        <v>5405</v>
      </c>
      <c r="N2458" s="347">
        <v>2.2330000000000001</v>
      </c>
      <c r="O2458" s="348" t="s">
        <v>1205</v>
      </c>
      <c r="P2458" s="348">
        <v>18.100000000000001</v>
      </c>
      <c r="Q2458" s="348">
        <v>1.41</v>
      </c>
    </row>
    <row r="2459" spans="1:17" ht="15" hidden="1" customHeight="1">
      <c r="A2459" s="163">
        <v>2467</v>
      </c>
      <c r="B2459" s="53" t="s">
        <v>44</v>
      </c>
      <c r="C2459" s="53" t="s">
        <v>5406</v>
      </c>
      <c r="D2459" s="53">
        <v>100024562</v>
      </c>
      <c r="E2459" s="55" t="s">
        <v>5407</v>
      </c>
      <c r="F2459" s="129">
        <v>10</v>
      </c>
      <c r="G2459" s="129">
        <v>600</v>
      </c>
      <c r="H2459" s="512">
        <v>165.57</v>
      </c>
      <c r="I2459" s="265" t="s">
        <v>359</v>
      </c>
      <c r="J2459" s="265" t="s">
        <v>102</v>
      </c>
      <c r="K2459" s="265" t="s">
        <v>5408</v>
      </c>
      <c r="L2459" s="348" t="s">
        <v>1205</v>
      </c>
      <c r="M2459" s="265" t="s">
        <v>5409</v>
      </c>
      <c r="N2459" s="347">
        <v>1.99</v>
      </c>
      <c r="O2459" s="348" t="s">
        <v>1205</v>
      </c>
      <c r="P2459" s="348">
        <v>20.18</v>
      </c>
      <c r="Q2459" s="348">
        <v>1.41</v>
      </c>
    </row>
    <row r="2460" spans="1:17" ht="15" hidden="1" customHeight="1">
      <c r="A2460" s="163">
        <v>2468</v>
      </c>
      <c r="B2460" s="53" t="s">
        <v>44</v>
      </c>
      <c r="C2460" s="53" t="s">
        <v>5410</v>
      </c>
      <c r="D2460" s="53">
        <v>100024563</v>
      </c>
      <c r="E2460" s="55" t="s">
        <v>5411</v>
      </c>
      <c r="F2460" s="129">
        <v>10</v>
      </c>
      <c r="G2460" s="129">
        <v>600</v>
      </c>
      <c r="H2460" s="512">
        <v>165.57</v>
      </c>
      <c r="I2460" s="265" t="s">
        <v>359</v>
      </c>
      <c r="J2460" s="265" t="s">
        <v>102</v>
      </c>
      <c r="K2460" s="265" t="s">
        <v>5412</v>
      </c>
      <c r="L2460" s="348" t="s">
        <v>1205</v>
      </c>
      <c r="M2460" s="265" t="s">
        <v>5413</v>
      </c>
      <c r="N2460" s="347">
        <v>1.923</v>
      </c>
      <c r="O2460" s="348" t="s">
        <v>1205</v>
      </c>
      <c r="P2460" s="348">
        <v>20.58</v>
      </c>
      <c r="Q2460" s="348">
        <v>1.41</v>
      </c>
    </row>
    <row r="2461" spans="1:17" ht="15" hidden="1" customHeight="1">
      <c r="A2461" s="163">
        <v>2469</v>
      </c>
      <c r="B2461" s="53" t="s">
        <v>44</v>
      </c>
      <c r="C2461" s="53" t="s">
        <v>5414</v>
      </c>
      <c r="D2461" s="53">
        <v>100024564</v>
      </c>
      <c r="E2461" s="55" t="s">
        <v>5415</v>
      </c>
      <c r="F2461" s="129">
        <v>10</v>
      </c>
      <c r="G2461" s="129">
        <v>750</v>
      </c>
      <c r="H2461" s="512">
        <v>154.49</v>
      </c>
      <c r="I2461" s="265" t="s">
        <v>359</v>
      </c>
      <c r="J2461" s="265" t="s">
        <v>102</v>
      </c>
      <c r="K2461" s="265" t="s">
        <v>5416</v>
      </c>
      <c r="L2461" s="348" t="s">
        <v>1205</v>
      </c>
      <c r="M2461" s="265" t="s">
        <v>5417</v>
      </c>
      <c r="N2461" s="347">
        <v>1.6020000000000001</v>
      </c>
      <c r="O2461" s="348" t="s">
        <v>1205</v>
      </c>
      <c r="P2461" s="348">
        <v>17.21</v>
      </c>
      <c r="Q2461" s="348">
        <v>1.1000000000000001</v>
      </c>
    </row>
    <row r="2462" spans="1:17" ht="15" hidden="1" customHeight="1">
      <c r="A2462" s="163">
        <v>2470</v>
      </c>
      <c r="B2462" s="53" t="s">
        <v>44</v>
      </c>
      <c r="C2462" s="53" t="s">
        <v>5418</v>
      </c>
      <c r="D2462" s="53">
        <v>100025054</v>
      </c>
      <c r="E2462" s="55" t="s">
        <v>5419</v>
      </c>
      <c r="F2462" s="129">
        <v>10</v>
      </c>
      <c r="G2462" s="129">
        <v>600</v>
      </c>
      <c r="H2462" s="512">
        <v>165.57</v>
      </c>
      <c r="I2462" s="265" t="s">
        <v>359</v>
      </c>
      <c r="J2462" s="265" t="s">
        <v>102</v>
      </c>
      <c r="K2462" s="265" t="s">
        <v>5420</v>
      </c>
      <c r="L2462" s="348" t="s">
        <v>1205</v>
      </c>
      <c r="M2462" s="265" t="s">
        <v>5421</v>
      </c>
      <c r="N2462" s="347">
        <v>1.962</v>
      </c>
      <c r="O2462" s="348" t="s">
        <v>1205</v>
      </c>
      <c r="P2462" s="348">
        <v>20.58</v>
      </c>
      <c r="Q2462" s="348">
        <v>1.41</v>
      </c>
    </row>
    <row r="2463" spans="1:17" ht="15" hidden="1" customHeight="1">
      <c r="A2463" s="163">
        <v>2471</v>
      </c>
      <c r="B2463" s="53" t="s">
        <v>44</v>
      </c>
      <c r="C2463" s="53" t="s">
        <v>5422</v>
      </c>
      <c r="D2463" s="53">
        <v>100024568</v>
      </c>
      <c r="E2463" s="55" t="s">
        <v>5423</v>
      </c>
      <c r="F2463" s="129">
        <v>10</v>
      </c>
      <c r="G2463" s="129">
        <v>180</v>
      </c>
      <c r="H2463" s="512">
        <v>176.71</v>
      </c>
      <c r="I2463" s="265" t="s">
        <v>359</v>
      </c>
      <c r="J2463" s="265" t="s">
        <v>102</v>
      </c>
      <c r="K2463" s="265" t="s">
        <v>5424</v>
      </c>
      <c r="L2463" s="348" t="s">
        <v>1205</v>
      </c>
      <c r="M2463" s="265" t="s">
        <v>5425</v>
      </c>
      <c r="N2463" s="347">
        <v>2.0510000000000002</v>
      </c>
      <c r="O2463" s="348" t="s">
        <v>1205</v>
      </c>
      <c r="P2463" s="348">
        <v>21.65</v>
      </c>
      <c r="Q2463" s="348">
        <v>2.65</v>
      </c>
    </row>
    <row r="2464" spans="1:17" ht="15" hidden="1" customHeight="1">
      <c r="A2464" s="163">
        <v>2472</v>
      </c>
      <c r="B2464" s="53" t="s">
        <v>44</v>
      </c>
      <c r="C2464" s="53" t="s">
        <v>5426</v>
      </c>
      <c r="D2464" s="53">
        <v>100024569</v>
      </c>
      <c r="E2464" s="55" t="s">
        <v>5260</v>
      </c>
      <c r="F2464" s="129">
        <v>10</v>
      </c>
      <c r="G2464" s="129">
        <v>240</v>
      </c>
      <c r="H2464" s="512">
        <v>176.71</v>
      </c>
      <c r="I2464" s="265" t="s">
        <v>359</v>
      </c>
      <c r="J2464" s="265" t="s">
        <v>102</v>
      </c>
      <c r="K2464" s="265" t="s">
        <v>5427</v>
      </c>
      <c r="L2464" s="348" t="s">
        <v>1205</v>
      </c>
      <c r="M2464" s="265" t="s">
        <v>5428</v>
      </c>
      <c r="N2464" s="347">
        <v>2.181</v>
      </c>
      <c r="O2464" s="348" t="s">
        <v>1205</v>
      </c>
      <c r="P2464" s="348">
        <v>23.3</v>
      </c>
      <c r="Q2464" s="348">
        <v>2.77</v>
      </c>
    </row>
    <row r="2465" spans="1:17" ht="15" hidden="1" customHeight="1">
      <c r="A2465" s="163">
        <v>2473</v>
      </c>
      <c r="B2465" s="53" t="s">
        <v>44</v>
      </c>
      <c r="C2465" s="53" t="s">
        <v>5429</v>
      </c>
      <c r="D2465" s="53">
        <v>100025055</v>
      </c>
      <c r="E2465" s="55" t="s">
        <v>5430</v>
      </c>
      <c r="F2465" s="129">
        <v>10</v>
      </c>
      <c r="G2465" s="129">
        <v>240</v>
      </c>
      <c r="H2465" s="512">
        <v>176.71</v>
      </c>
      <c r="I2465" s="265" t="s">
        <v>359</v>
      </c>
      <c r="J2465" s="265" t="s">
        <v>102</v>
      </c>
      <c r="K2465" s="265" t="s">
        <v>5431</v>
      </c>
      <c r="L2465" s="348" t="s">
        <v>1205</v>
      </c>
      <c r="M2465" s="265" t="s">
        <v>5432</v>
      </c>
      <c r="N2465" s="347">
        <v>2.2770000000000001</v>
      </c>
      <c r="O2465" s="348" t="s">
        <v>1205</v>
      </c>
      <c r="P2465" s="348">
        <v>24.41</v>
      </c>
      <c r="Q2465" s="348">
        <v>2.77</v>
      </c>
    </row>
    <row r="2466" spans="1:17" ht="15" hidden="1" customHeight="1">
      <c r="A2466" s="163">
        <v>2474</v>
      </c>
      <c r="B2466" s="53" t="s">
        <v>44</v>
      </c>
      <c r="C2466" s="53" t="s">
        <v>5433</v>
      </c>
      <c r="D2466" s="53">
        <v>100024571</v>
      </c>
      <c r="E2466" s="55" t="s">
        <v>5434</v>
      </c>
      <c r="F2466" s="129">
        <v>10</v>
      </c>
      <c r="G2466" s="129">
        <v>750</v>
      </c>
      <c r="H2466" s="512">
        <v>154.49</v>
      </c>
      <c r="I2466" s="265" t="s">
        <v>359</v>
      </c>
      <c r="J2466" s="265" t="s">
        <v>102</v>
      </c>
      <c r="K2466" s="265" t="s">
        <v>5435</v>
      </c>
      <c r="L2466" s="348" t="s">
        <v>1205</v>
      </c>
      <c r="M2466" s="265" t="s">
        <v>5436</v>
      </c>
      <c r="N2466" s="347">
        <v>1.641</v>
      </c>
      <c r="O2466" s="348" t="s">
        <v>1205</v>
      </c>
      <c r="P2466" s="348">
        <v>16.91</v>
      </c>
      <c r="Q2466" s="348">
        <v>1.1000000000000001</v>
      </c>
    </row>
    <row r="2467" spans="1:17" ht="15" hidden="1" customHeight="1">
      <c r="A2467" s="163">
        <v>2475</v>
      </c>
      <c r="B2467" s="53" t="s">
        <v>44</v>
      </c>
      <c r="C2467" s="53" t="s">
        <v>5437</v>
      </c>
      <c r="D2467" s="53">
        <v>100025059</v>
      </c>
      <c r="E2467" s="55" t="s">
        <v>5438</v>
      </c>
      <c r="F2467" s="129">
        <v>10</v>
      </c>
      <c r="G2467" s="129">
        <v>600</v>
      </c>
      <c r="H2467" s="512">
        <v>165.57</v>
      </c>
      <c r="I2467" s="265" t="s">
        <v>76</v>
      </c>
      <c r="J2467" s="265" t="s">
        <v>102</v>
      </c>
      <c r="K2467" s="265" t="s">
        <v>5439</v>
      </c>
      <c r="L2467" s="348" t="s">
        <v>1205</v>
      </c>
      <c r="M2467" s="265" t="s">
        <v>5440</v>
      </c>
      <c r="N2467" s="347">
        <v>1.9119999999999999</v>
      </c>
      <c r="O2467" s="348" t="s">
        <v>1205</v>
      </c>
      <c r="P2467" s="348">
        <v>20.18</v>
      </c>
      <c r="Q2467" s="348">
        <v>1.41</v>
      </c>
    </row>
    <row r="2468" spans="1:17" ht="15" hidden="1" customHeight="1">
      <c r="A2468" s="163">
        <v>2476</v>
      </c>
      <c r="B2468" s="53" t="s">
        <v>44</v>
      </c>
      <c r="C2468" s="53" t="s">
        <v>5441</v>
      </c>
      <c r="D2468" s="53">
        <v>100024575</v>
      </c>
      <c r="E2468" s="55" t="s">
        <v>5442</v>
      </c>
      <c r="F2468" s="129">
        <v>10</v>
      </c>
      <c r="G2468" s="129">
        <v>240</v>
      </c>
      <c r="H2468" s="512">
        <v>176.71</v>
      </c>
      <c r="I2468" s="265" t="s">
        <v>359</v>
      </c>
      <c r="J2468" s="265" t="s">
        <v>102</v>
      </c>
      <c r="K2468" s="265" t="s">
        <v>5443</v>
      </c>
      <c r="L2468" s="348" t="s">
        <v>1205</v>
      </c>
      <c r="M2468" s="265" t="s">
        <v>5444</v>
      </c>
      <c r="N2468" s="347">
        <v>2.1309999999999998</v>
      </c>
      <c r="O2468" s="348" t="s">
        <v>1205</v>
      </c>
      <c r="P2468" s="348">
        <v>23.15</v>
      </c>
      <c r="Q2468" s="348">
        <v>2.77</v>
      </c>
    </row>
    <row r="2469" spans="1:17" ht="15" hidden="1" customHeight="1">
      <c r="A2469" s="163">
        <v>2477</v>
      </c>
      <c r="B2469" s="53" t="s">
        <v>44</v>
      </c>
      <c r="C2469" s="53" t="s">
        <v>5445</v>
      </c>
      <c r="D2469" s="53">
        <v>100025060</v>
      </c>
      <c r="E2469" s="55" t="s">
        <v>5446</v>
      </c>
      <c r="F2469" s="129">
        <v>10</v>
      </c>
      <c r="G2469" s="129">
        <v>240</v>
      </c>
      <c r="H2469" s="512">
        <v>176.71</v>
      </c>
      <c r="I2469" s="265" t="s">
        <v>76</v>
      </c>
      <c r="J2469" s="265" t="s">
        <v>102</v>
      </c>
      <c r="K2469" s="265" t="s">
        <v>5447</v>
      </c>
      <c r="L2469" s="348" t="s">
        <v>1205</v>
      </c>
      <c r="M2469" s="265" t="s">
        <v>5448</v>
      </c>
      <c r="N2469" s="347">
        <v>2.2269999999999999</v>
      </c>
      <c r="O2469" s="348" t="s">
        <v>1205</v>
      </c>
      <c r="P2469" s="348">
        <v>24.4</v>
      </c>
      <c r="Q2469" s="348">
        <v>2.77</v>
      </c>
    </row>
    <row r="2470" spans="1:17" ht="15" hidden="1" customHeight="1">
      <c r="A2470" s="163">
        <v>2478</v>
      </c>
      <c r="B2470" s="53" t="s">
        <v>44</v>
      </c>
      <c r="C2470" s="53" t="s">
        <v>5449</v>
      </c>
      <c r="D2470" s="53">
        <v>100024576</v>
      </c>
      <c r="E2470" s="55" t="s">
        <v>5450</v>
      </c>
      <c r="F2470" s="129">
        <v>10</v>
      </c>
      <c r="G2470" s="129">
        <v>750</v>
      </c>
      <c r="H2470" s="512">
        <v>154.49</v>
      </c>
      <c r="I2470" s="265" t="s">
        <v>359</v>
      </c>
      <c r="J2470" s="265" t="s">
        <v>102</v>
      </c>
      <c r="K2470" s="265" t="s">
        <v>5451</v>
      </c>
      <c r="L2470" s="348" t="s">
        <v>1205</v>
      </c>
      <c r="M2470" s="265" t="s">
        <v>5452</v>
      </c>
      <c r="N2470" s="347">
        <v>1.591</v>
      </c>
      <c r="O2470" s="348" t="s">
        <v>1205</v>
      </c>
      <c r="P2470" s="348">
        <v>16.905000000000001</v>
      </c>
      <c r="Q2470" s="348">
        <v>1.1000000000000001</v>
      </c>
    </row>
    <row r="2471" spans="1:17" ht="15" hidden="1" customHeight="1">
      <c r="A2471" s="163">
        <v>2479</v>
      </c>
      <c r="B2471" s="53" t="s">
        <v>44</v>
      </c>
      <c r="C2471" s="53" t="s">
        <v>5453</v>
      </c>
      <c r="D2471" s="53">
        <v>100025061</v>
      </c>
      <c r="E2471" s="55" t="s">
        <v>5454</v>
      </c>
      <c r="F2471" s="129">
        <v>10</v>
      </c>
      <c r="G2471" s="129">
        <v>180</v>
      </c>
      <c r="H2471" s="512">
        <v>154.49</v>
      </c>
      <c r="I2471" s="265" t="s">
        <v>359</v>
      </c>
      <c r="J2471" s="265" t="s">
        <v>102</v>
      </c>
      <c r="K2471" s="265" t="s">
        <v>5455</v>
      </c>
      <c r="L2471" s="348" t="s">
        <v>1205</v>
      </c>
      <c r="M2471" s="265" t="s">
        <v>5456</v>
      </c>
      <c r="N2471" s="347">
        <v>1.7010000000000001</v>
      </c>
      <c r="O2471" s="348" t="s">
        <v>1205</v>
      </c>
      <c r="P2471" s="348">
        <v>35.6</v>
      </c>
      <c r="Q2471" s="348">
        <v>2.65</v>
      </c>
    </row>
    <row r="2472" spans="1:17" ht="15" hidden="1" customHeight="1">
      <c r="A2472" s="163">
        <v>2480</v>
      </c>
      <c r="B2472" s="53" t="s">
        <v>44</v>
      </c>
      <c r="C2472" s="53" t="s">
        <v>5457</v>
      </c>
      <c r="D2472" s="53">
        <v>100024585</v>
      </c>
      <c r="E2472" s="55" t="s">
        <v>5458</v>
      </c>
      <c r="F2472" s="129">
        <v>10</v>
      </c>
      <c r="G2472" s="129">
        <v>750</v>
      </c>
      <c r="H2472" s="512">
        <v>154.49</v>
      </c>
      <c r="I2472" s="265" t="s">
        <v>359</v>
      </c>
      <c r="J2472" s="265" t="s">
        <v>102</v>
      </c>
      <c r="K2472" s="265" t="s">
        <v>5459</v>
      </c>
      <c r="L2472" s="348" t="s">
        <v>1205</v>
      </c>
      <c r="M2472" s="265" t="s">
        <v>5460</v>
      </c>
      <c r="N2472" s="347">
        <v>1.79</v>
      </c>
      <c r="O2472" s="348" t="s">
        <v>1205</v>
      </c>
      <c r="P2472" s="348">
        <v>17.899999999999999</v>
      </c>
      <c r="Q2472" s="348">
        <v>1.1000000000000001</v>
      </c>
    </row>
    <row r="2473" spans="1:17" ht="15" hidden="1" customHeight="1">
      <c r="A2473" s="163">
        <v>2481</v>
      </c>
      <c r="B2473" s="53" t="s">
        <v>44</v>
      </c>
      <c r="C2473" s="53" t="s">
        <v>5461</v>
      </c>
      <c r="D2473" s="53">
        <v>100024587</v>
      </c>
      <c r="E2473" s="55" t="s">
        <v>5462</v>
      </c>
      <c r="F2473" s="129">
        <v>10</v>
      </c>
      <c r="G2473" s="129">
        <v>180</v>
      </c>
      <c r="H2473" s="512">
        <v>165.57</v>
      </c>
      <c r="I2473" s="265" t="s">
        <v>359</v>
      </c>
      <c r="J2473" s="265" t="s">
        <v>102</v>
      </c>
      <c r="K2473" s="265" t="s">
        <v>5463</v>
      </c>
      <c r="L2473" s="348" t="s">
        <v>1205</v>
      </c>
      <c r="M2473" s="265" t="s">
        <v>5464</v>
      </c>
      <c r="N2473" s="347">
        <v>1.907</v>
      </c>
      <c r="O2473" s="348" t="s">
        <v>1205</v>
      </c>
      <c r="P2473" s="348">
        <v>20</v>
      </c>
      <c r="Q2473" s="348">
        <v>2.65</v>
      </c>
    </row>
    <row r="2474" spans="1:17" ht="15" hidden="1" customHeight="1">
      <c r="A2474" s="163">
        <v>2482</v>
      </c>
      <c r="B2474" s="53" t="s">
        <v>44</v>
      </c>
      <c r="C2474" s="53" t="s">
        <v>5465</v>
      </c>
      <c r="D2474" s="53">
        <v>100024588</v>
      </c>
      <c r="E2474" s="55" t="s">
        <v>5466</v>
      </c>
      <c r="F2474" s="129">
        <v>10</v>
      </c>
      <c r="G2474" s="129" t="s">
        <v>2803</v>
      </c>
      <c r="H2474" s="512">
        <v>176.71</v>
      </c>
      <c r="I2474" s="265" t="s">
        <v>359</v>
      </c>
      <c r="J2474" s="265" t="s">
        <v>102</v>
      </c>
      <c r="K2474" s="265" t="s">
        <v>5467</v>
      </c>
      <c r="L2474" s="348" t="s">
        <v>1205</v>
      </c>
      <c r="M2474" s="265" t="s">
        <v>5468</v>
      </c>
      <c r="N2474" s="347">
        <v>2.222</v>
      </c>
      <c r="O2474" s="348" t="s">
        <v>1205</v>
      </c>
      <c r="P2474" s="348">
        <v>19.100000000000001</v>
      </c>
      <c r="Q2474" s="348" t="s">
        <v>1205</v>
      </c>
    </row>
    <row r="2475" spans="1:17" ht="15" hidden="1" customHeight="1">
      <c r="A2475" s="163">
        <v>2483</v>
      </c>
      <c r="B2475" s="53" t="s">
        <v>44</v>
      </c>
      <c r="C2475" s="53" t="s">
        <v>5469</v>
      </c>
      <c r="D2475" s="53">
        <v>100024591</v>
      </c>
      <c r="E2475" s="55" t="s">
        <v>5470</v>
      </c>
      <c r="F2475" s="129">
        <v>10</v>
      </c>
      <c r="G2475" s="129">
        <v>600</v>
      </c>
      <c r="H2475" s="512">
        <v>165.57</v>
      </c>
      <c r="I2475" s="265" t="s">
        <v>359</v>
      </c>
      <c r="J2475" s="265" t="s">
        <v>102</v>
      </c>
      <c r="K2475" s="265" t="s">
        <v>5471</v>
      </c>
      <c r="L2475" s="348" t="s">
        <v>1205</v>
      </c>
      <c r="M2475" s="265" t="s">
        <v>5472</v>
      </c>
      <c r="N2475" s="347">
        <v>1.9830000000000001</v>
      </c>
      <c r="O2475" s="348" t="s">
        <v>1205</v>
      </c>
      <c r="P2475" s="348">
        <v>20.43</v>
      </c>
      <c r="Q2475" s="348">
        <v>1.41</v>
      </c>
    </row>
    <row r="2476" spans="1:17" ht="15" hidden="1" customHeight="1">
      <c r="A2476" s="163">
        <v>2484</v>
      </c>
      <c r="B2476" s="53" t="s">
        <v>44</v>
      </c>
      <c r="C2476" s="53" t="s">
        <v>5473</v>
      </c>
      <c r="D2476" s="53">
        <v>100024598</v>
      </c>
      <c r="E2476" s="55" t="s">
        <v>5474</v>
      </c>
      <c r="F2476" s="129">
        <v>10</v>
      </c>
      <c r="G2476" s="129">
        <v>180</v>
      </c>
      <c r="H2476" s="512">
        <v>165.57</v>
      </c>
      <c r="I2476" s="265" t="s">
        <v>359</v>
      </c>
      <c r="J2476" s="265" t="s">
        <v>102</v>
      </c>
      <c r="K2476" s="265" t="s">
        <v>5475</v>
      </c>
      <c r="L2476" s="348" t="s">
        <v>1205</v>
      </c>
      <c r="M2476" s="265" t="s">
        <v>5476</v>
      </c>
      <c r="N2476" s="347">
        <v>1.9279999999999999</v>
      </c>
      <c r="O2476" s="348" t="s">
        <v>1205</v>
      </c>
      <c r="P2476" s="348">
        <v>20.260000000000002</v>
      </c>
      <c r="Q2476" s="348">
        <v>2.65</v>
      </c>
    </row>
    <row r="2477" spans="1:17" ht="15" hidden="1" customHeight="1">
      <c r="A2477" s="163">
        <v>2485</v>
      </c>
      <c r="B2477" s="53" t="s">
        <v>44</v>
      </c>
      <c r="C2477" s="53" t="s">
        <v>5477</v>
      </c>
      <c r="D2477" s="53">
        <v>100025063</v>
      </c>
      <c r="E2477" s="55" t="s">
        <v>5478</v>
      </c>
      <c r="F2477" s="129">
        <v>10</v>
      </c>
      <c r="G2477" s="129">
        <v>600</v>
      </c>
      <c r="H2477" s="512">
        <v>165.57</v>
      </c>
      <c r="I2477" s="265" t="s">
        <v>359</v>
      </c>
      <c r="J2477" s="265" t="s">
        <v>102</v>
      </c>
      <c r="K2477" s="265" t="s">
        <v>5479</v>
      </c>
      <c r="L2477" s="348" t="s">
        <v>1205</v>
      </c>
      <c r="M2477" s="265" t="s">
        <v>5480</v>
      </c>
      <c r="N2477" s="347">
        <v>2.0190000000000001</v>
      </c>
      <c r="O2477" s="348" t="s">
        <v>1205</v>
      </c>
      <c r="P2477" s="348">
        <v>20.53</v>
      </c>
      <c r="Q2477" s="348">
        <v>1.41</v>
      </c>
    </row>
    <row r="2478" spans="1:17" ht="15" hidden="1" customHeight="1">
      <c r="A2478" s="163">
        <v>2486</v>
      </c>
      <c r="B2478" s="53" t="s">
        <v>44</v>
      </c>
      <c r="C2478" s="53" t="s">
        <v>5481</v>
      </c>
      <c r="D2478" s="53">
        <v>100024606</v>
      </c>
      <c r="E2478" s="55" t="s">
        <v>5482</v>
      </c>
      <c r="F2478" s="129">
        <v>10</v>
      </c>
      <c r="G2478" s="129">
        <v>600</v>
      </c>
      <c r="H2478" s="512">
        <v>165.57</v>
      </c>
      <c r="I2478" s="265" t="s">
        <v>359</v>
      </c>
      <c r="J2478" s="265" t="s">
        <v>102</v>
      </c>
      <c r="K2478" s="265" t="s">
        <v>5483</v>
      </c>
      <c r="L2478" s="348" t="s">
        <v>1205</v>
      </c>
      <c r="M2478" s="265" t="s">
        <v>5484</v>
      </c>
      <c r="N2478" s="347">
        <v>1.958</v>
      </c>
      <c r="O2478" s="348" t="s">
        <v>1205</v>
      </c>
      <c r="P2478" s="348">
        <v>20.58</v>
      </c>
      <c r="Q2478" s="348">
        <v>1.41</v>
      </c>
    </row>
    <row r="2479" spans="1:17" ht="15" hidden="1" customHeight="1">
      <c r="A2479" s="163">
        <v>2487</v>
      </c>
      <c r="B2479" s="53" t="s">
        <v>44</v>
      </c>
      <c r="C2479" s="53" t="s">
        <v>5486</v>
      </c>
      <c r="D2479" s="53">
        <v>100023783</v>
      </c>
      <c r="E2479" s="55" t="s">
        <v>5487</v>
      </c>
      <c r="F2479" s="129">
        <v>10</v>
      </c>
      <c r="G2479" s="129">
        <v>1200</v>
      </c>
      <c r="H2479" s="512">
        <v>85.85</v>
      </c>
      <c r="I2479" s="265" t="s">
        <v>359</v>
      </c>
      <c r="J2479" s="265" t="s">
        <v>102</v>
      </c>
      <c r="K2479" s="265" t="s">
        <v>5488</v>
      </c>
      <c r="L2479" s="348" t="s">
        <v>1205</v>
      </c>
      <c r="M2479" s="265" t="s">
        <v>5489</v>
      </c>
      <c r="N2479" s="347">
        <v>0.82199999999999995</v>
      </c>
      <c r="O2479" s="348" t="s">
        <v>1205</v>
      </c>
      <c r="P2479" s="348">
        <v>8.6</v>
      </c>
      <c r="Q2479" s="348">
        <v>0.65</v>
      </c>
    </row>
    <row r="2480" spans="1:17" ht="15" hidden="1" customHeight="1">
      <c r="A2480" s="163">
        <v>2488</v>
      </c>
      <c r="B2480" s="53" t="s">
        <v>44</v>
      </c>
      <c r="C2480" s="53" t="s">
        <v>5490</v>
      </c>
      <c r="D2480" s="53">
        <v>100024877</v>
      </c>
      <c r="E2480" s="55" t="s">
        <v>5491</v>
      </c>
      <c r="F2480" s="129">
        <v>10</v>
      </c>
      <c r="G2480" s="129">
        <v>900</v>
      </c>
      <c r="H2480" s="512">
        <v>93.54</v>
      </c>
      <c r="I2480" s="265" t="s">
        <v>76</v>
      </c>
      <c r="J2480" s="265" t="s">
        <v>102</v>
      </c>
      <c r="K2480" s="265" t="s">
        <v>5492</v>
      </c>
      <c r="L2480" s="348" t="s">
        <v>1205</v>
      </c>
      <c r="M2480" s="265" t="s">
        <v>5493</v>
      </c>
      <c r="N2480" s="347">
        <v>0.99199999999999999</v>
      </c>
      <c r="O2480" s="348" t="s">
        <v>1205</v>
      </c>
      <c r="P2480" s="348">
        <v>10.23</v>
      </c>
      <c r="Q2480" s="348">
        <v>0.8</v>
      </c>
    </row>
    <row r="2481" spans="1:17" ht="15" hidden="1" customHeight="1">
      <c r="A2481" s="163">
        <v>2489</v>
      </c>
      <c r="B2481" s="53" t="s">
        <v>44</v>
      </c>
      <c r="C2481" s="53" t="s">
        <v>5494</v>
      </c>
      <c r="D2481" s="53">
        <v>100024878</v>
      </c>
      <c r="E2481" s="55" t="s">
        <v>5495</v>
      </c>
      <c r="F2481" s="129">
        <v>10</v>
      </c>
      <c r="G2481" s="129">
        <v>600</v>
      </c>
      <c r="H2481" s="512">
        <v>104.64</v>
      </c>
      <c r="I2481" s="265" t="s">
        <v>359</v>
      </c>
      <c r="J2481" s="265" t="s">
        <v>102</v>
      </c>
      <c r="K2481" s="265" t="s">
        <v>5496</v>
      </c>
      <c r="L2481" s="348" t="s">
        <v>1205</v>
      </c>
      <c r="M2481" s="265" t="s">
        <v>5497</v>
      </c>
      <c r="N2481" s="347">
        <v>1.171</v>
      </c>
      <c r="O2481" s="348" t="s">
        <v>1205</v>
      </c>
      <c r="P2481" s="348">
        <v>12.13</v>
      </c>
      <c r="Q2481" s="348">
        <v>1.41</v>
      </c>
    </row>
    <row r="2482" spans="1:17" ht="15" hidden="1" customHeight="1">
      <c r="A2482" s="163">
        <v>2490</v>
      </c>
      <c r="B2482" s="53" t="s">
        <v>44</v>
      </c>
      <c r="C2482" s="53" t="s">
        <v>5498</v>
      </c>
      <c r="D2482" s="53">
        <v>100023822</v>
      </c>
      <c r="E2482" s="55" t="s">
        <v>5499</v>
      </c>
      <c r="F2482" s="129">
        <v>10</v>
      </c>
      <c r="G2482" s="129">
        <v>900</v>
      </c>
      <c r="H2482" s="512">
        <v>93.54</v>
      </c>
      <c r="I2482" s="265" t="s">
        <v>359</v>
      </c>
      <c r="J2482" s="265" t="s">
        <v>102</v>
      </c>
      <c r="K2482" s="265" t="s">
        <v>5500</v>
      </c>
      <c r="L2482" s="348" t="s">
        <v>1205</v>
      </c>
      <c r="M2482" s="265" t="s">
        <v>5501</v>
      </c>
      <c r="N2482" s="347">
        <v>1.0349999999999999</v>
      </c>
      <c r="O2482" s="348" t="s">
        <v>1205</v>
      </c>
      <c r="P2482" s="348">
        <v>9.3000000000000007</v>
      </c>
      <c r="Q2482" s="348">
        <v>0.8</v>
      </c>
    </row>
    <row r="2483" spans="1:17" ht="15" hidden="1" customHeight="1">
      <c r="A2483" s="163">
        <v>2491</v>
      </c>
      <c r="B2483" s="53" t="s">
        <v>44</v>
      </c>
      <c r="C2483" s="53" t="s">
        <v>5502</v>
      </c>
      <c r="D2483" s="53">
        <v>100024897</v>
      </c>
      <c r="E2483" s="55" t="s">
        <v>5503</v>
      </c>
      <c r="F2483" s="129">
        <v>10</v>
      </c>
      <c r="G2483" s="129">
        <v>900</v>
      </c>
      <c r="H2483" s="512">
        <v>93.54</v>
      </c>
      <c r="I2483" s="265" t="s">
        <v>359</v>
      </c>
      <c r="J2483" s="265" t="s">
        <v>102</v>
      </c>
      <c r="K2483" s="265" t="s">
        <v>5504</v>
      </c>
      <c r="L2483" s="348" t="s">
        <v>1205</v>
      </c>
      <c r="M2483" s="265" t="s">
        <v>5505</v>
      </c>
      <c r="N2483" s="347">
        <v>0.97299999999999998</v>
      </c>
      <c r="O2483" s="348" t="s">
        <v>1205</v>
      </c>
      <c r="P2483" s="348">
        <v>10</v>
      </c>
      <c r="Q2483" s="348">
        <v>0.8</v>
      </c>
    </row>
    <row r="2484" spans="1:17" ht="15" hidden="1" customHeight="1">
      <c r="A2484" s="163">
        <v>2492</v>
      </c>
      <c r="B2484" s="53" t="s">
        <v>44</v>
      </c>
      <c r="C2484" s="53" t="s">
        <v>5506</v>
      </c>
      <c r="D2484" s="53">
        <v>100023858</v>
      </c>
      <c r="E2484" s="55" t="s">
        <v>4687</v>
      </c>
      <c r="F2484" s="129">
        <v>10</v>
      </c>
      <c r="G2484" s="129">
        <v>600</v>
      </c>
      <c r="H2484" s="512">
        <v>104.64</v>
      </c>
      <c r="I2484" s="265" t="s">
        <v>359</v>
      </c>
      <c r="J2484" s="265" t="s">
        <v>102</v>
      </c>
      <c r="K2484" s="265" t="s">
        <v>5507</v>
      </c>
      <c r="L2484" s="348" t="s">
        <v>1205</v>
      </c>
      <c r="M2484" s="265" t="s">
        <v>5508</v>
      </c>
      <c r="N2484" s="347">
        <v>1.1519999999999999</v>
      </c>
      <c r="O2484" s="348" t="s">
        <v>1205</v>
      </c>
      <c r="P2484" s="348">
        <v>12.13</v>
      </c>
      <c r="Q2484" s="348">
        <v>1.41</v>
      </c>
    </row>
    <row r="2485" spans="1:17" ht="15" hidden="1" customHeight="1">
      <c r="A2485" s="163">
        <v>2493</v>
      </c>
      <c r="B2485" s="53" t="s">
        <v>44</v>
      </c>
      <c r="C2485" s="53" t="s">
        <v>5509</v>
      </c>
      <c r="D2485" s="53">
        <v>100024904</v>
      </c>
      <c r="E2485" s="55" t="s">
        <v>5510</v>
      </c>
      <c r="F2485" s="129">
        <v>10</v>
      </c>
      <c r="G2485" s="129">
        <v>750</v>
      </c>
      <c r="H2485" s="512">
        <v>191.49</v>
      </c>
      <c r="I2485" s="265" t="s">
        <v>359</v>
      </c>
      <c r="J2485" s="265" t="s">
        <v>102</v>
      </c>
      <c r="K2485" s="265" t="s">
        <v>5511</v>
      </c>
      <c r="L2485" s="348" t="s">
        <v>1205</v>
      </c>
      <c r="M2485" s="265" t="s">
        <v>5512</v>
      </c>
      <c r="N2485" s="347">
        <v>1.643</v>
      </c>
      <c r="O2485" s="348" t="s">
        <v>1205</v>
      </c>
      <c r="P2485" s="348">
        <v>17.309999999999999</v>
      </c>
      <c r="Q2485" s="348">
        <v>1.1000000000000001</v>
      </c>
    </row>
    <row r="2486" spans="1:17" ht="15" hidden="1" customHeight="1">
      <c r="A2486" s="163">
        <v>2494</v>
      </c>
      <c r="B2486" s="53" t="s">
        <v>44</v>
      </c>
      <c r="C2486" s="53" t="s">
        <v>5513</v>
      </c>
      <c r="D2486" s="53">
        <v>100024905</v>
      </c>
      <c r="E2486" s="55" t="s">
        <v>5514</v>
      </c>
      <c r="F2486" s="129">
        <v>10</v>
      </c>
      <c r="G2486" s="129">
        <v>240</v>
      </c>
      <c r="H2486" s="512">
        <v>198.47</v>
      </c>
      <c r="I2486" s="265" t="s">
        <v>359</v>
      </c>
      <c r="J2486" s="265" t="s">
        <v>102</v>
      </c>
      <c r="K2486" s="265" t="s">
        <v>5515</v>
      </c>
      <c r="L2486" s="348" t="s">
        <v>1205</v>
      </c>
      <c r="M2486" s="265" t="s">
        <v>5516</v>
      </c>
      <c r="N2486" s="347">
        <v>1.8220000000000001</v>
      </c>
      <c r="O2486" s="348" t="s">
        <v>1205</v>
      </c>
      <c r="P2486" s="348">
        <v>20.350000000000001</v>
      </c>
      <c r="Q2486" s="348">
        <v>2.77</v>
      </c>
    </row>
    <row r="2487" spans="1:17" ht="15" hidden="1" customHeight="1">
      <c r="A2487" s="163">
        <v>2495</v>
      </c>
      <c r="B2487" s="53" t="s">
        <v>44</v>
      </c>
      <c r="C2487" s="53" t="s">
        <v>5517</v>
      </c>
      <c r="D2487" s="53">
        <v>100023960</v>
      </c>
      <c r="E2487" s="55" t="s">
        <v>5046</v>
      </c>
      <c r="F2487" s="129">
        <v>10</v>
      </c>
      <c r="G2487" s="129">
        <v>900</v>
      </c>
      <c r="H2487" s="512">
        <v>93.54</v>
      </c>
      <c r="I2487" s="265" t="s">
        <v>359</v>
      </c>
      <c r="J2487" s="265" t="s">
        <v>102</v>
      </c>
      <c r="K2487" s="265" t="s">
        <v>5518</v>
      </c>
      <c r="L2487" s="348" t="s">
        <v>1205</v>
      </c>
      <c r="M2487" s="265" t="s">
        <v>5519</v>
      </c>
      <c r="N2487" s="347">
        <v>1.0349999999999999</v>
      </c>
      <c r="O2487" s="348" t="s">
        <v>1205</v>
      </c>
      <c r="P2487" s="348">
        <v>10.199999999999999</v>
      </c>
      <c r="Q2487" s="348">
        <v>0.8</v>
      </c>
    </row>
    <row r="2488" spans="1:17" ht="15" hidden="1" customHeight="1">
      <c r="A2488" s="163">
        <v>2496</v>
      </c>
      <c r="B2488" s="53" t="s">
        <v>44</v>
      </c>
      <c r="C2488" s="53" t="s">
        <v>5520</v>
      </c>
      <c r="D2488" s="53">
        <v>100024918</v>
      </c>
      <c r="E2488" s="55" t="s">
        <v>5521</v>
      </c>
      <c r="F2488" s="129">
        <v>10</v>
      </c>
      <c r="G2488" s="129">
        <v>900</v>
      </c>
      <c r="H2488" s="512">
        <v>93.54</v>
      </c>
      <c r="I2488" s="265" t="s">
        <v>76</v>
      </c>
      <c r="J2488" s="265" t="s">
        <v>102</v>
      </c>
      <c r="K2488" s="265" t="s">
        <v>5522</v>
      </c>
      <c r="L2488" s="348" t="s">
        <v>1205</v>
      </c>
      <c r="M2488" s="265" t="s">
        <v>5523</v>
      </c>
      <c r="N2488" s="347">
        <v>1.0349999999999999</v>
      </c>
      <c r="O2488" s="348" t="s">
        <v>1205</v>
      </c>
      <c r="P2488" s="348">
        <v>10.97</v>
      </c>
      <c r="Q2488" s="348">
        <v>0.8</v>
      </c>
    </row>
    <row r="2489" spans="1:17" ht="15" hidden="1" customHeight="1">
      <c r="A2489" s="163">
        <v>2497</v>
      </c>
      <c r="B2489" s="53" t="s">
        <v>44</v>
      </c>
      <c r="C2489" s="53" t="s">
        <v>5524</v>
      </c>
      <c r="D2489" s="53">
        <v>100024919</v>
      </c>
      <c r="E2489" s="55" t="s">
        <v>5050</v>
      </c>
      <c r="F2489" s="129">
        <v>10</v>
      </c>
      <c r="G2489" s="129">
        <v>600</v>
      </c>
      <c r="H2489" s="512">
        <v>104.64</v>
      </c>
      <c r="I2489" s="265" t="s">
        <v>359</v>
      </c>
      <c r="J2489" s="265" t="s">
        <v>102</v>
      </c>
      <c r="K2489" s="265" t="s">
        <v>5525</v>
      </c>
      <c r="L2489" s="348" t="s">
        <v>1205</v>
      </c>
      <c r="M2489" s="265" t="s">
        <v>5526</v>
      </c>
      <c r="N2489" s="347">
        <v>1.214</v>
      </c>
      <c r="O2489" s="348" t="s">
        <v>1205</v>
      </c>
      <c r="P2489" s="348">
        <v>13</v>
      </c>
      <c r="Q2489" s="348">
        <v>1.41</v>
      </c>
    </row>
    <row r="2490" spans="1:17" ht="15" hidden="1" customHeight="1">
      <c r="A2490" s="163">
        <v>2498</v>
      </c>
      <c r="B2490" s="53" t="s">
        <v>44</v>
      </c>
      <c r="C2490" s="53" t="s">
        <v>5527</v>
      </c>
      <c r="D2490" s="53">
        <v>100024005</v>
      </c>
      <c r="E2490" s="55" t="s">
        <v>5528</v>
      </c>
      <c r="F2490" s="129">
        <v>10</v>
      </c>
      <c r="G2490" s="129">
        <v>1200</v>
      </c>
      <c r="H2490" s="512">
        <v>85.85</v>
      </c>
      <c r="I2490" s="265" t="s">
        <v>359</v>
      </c>
      <c r="J2490" s="265" t="s">
        <v>102</v>
      </c>
      <c r="K2490" s="265" t="s">
        <v>5529</v>
      </c>
      <c r="L2490" s="348" t="s">
        <v>1205</v>
      </c>
      <c r="M2490" s="265" t="s">
        <v>5530</v>
      </c>
      <c r="N2490" s="347">
        <v>0.88200000000000001</v>
      </c>
      <c r="O2490" s="348" t="s">
        <v>1205</v>
      </c>
      <c r="P2490" s="348">
        <v>8.6999999999999993</v>
      </c>
      <c r="Q2490" s="348">
        <v>0.65</v>
      </c>
    </row>
    <row r="2491" spans="1:17" ht="15" hidden="1" customHeight="1">
      <c r="A2491" s="163">
        <v>2499</v>
      </c>
      <c r="B2491" s="53" t="s">
        <v>44</v>
      </c>
      <c r="C2491" s="53" t="s">
        <v>5531</v>
      </c>
      <c r="D2491" s="53">
        <v>100024920</v>
      </c>
      <c r="E2491" s="55" t="s">
        <v>5532</v>
      </c>
      <c r="F2491" s="129">
        <v>10</v>
      </c>
      <c r="G2491" s="129">
        <v>900</v>
      </c>
      <c r="H2491" s="512">
        <v>93.54</v>
      </c>
      <c r="I2491" s="265" t="s">
        <v>359</v>
      </c>
      <c r="J2491" s="265" t="s">
        <v>102</v>
      </c>
      <c r="K2491" s="265" t="s">
        <v>5533</v>
      </c>
      <c r="L2491" s="348" t="s">
        <v>1205</v>
      </c>
      <c r="M2491" s="265" t="s">
        <v>5534</v>
      </c>
      <c r="N2491" s="347">
        <v>1.0149999999999999</v>
      </c>
      <c r="O2491" s="348" t="s">
        <v>1205</v>
      </c>
      <c r="P2491" s="348">
        <v>10.199999999999999</v>
      </c>
      <c r="Q2491" s="348">
        <v>0.8</v>
      </c>
    </row>
    <row r="2492" spans="1:17" ht="15" hidden="1" customHeight="1">
      <c r="A2492" s="163">
        <v>2500</v>
      </c>
      <c r="B2492" s="53" t="s">
        <v>44</v>
      </c>
      <c r="C2492" s="53" t="s">
        <v>5535</v>
      </c>
      <c r="D2492" s="53">
        <v>100024009</v>
      </c>
      <c r="E2492" s="55" t="s">
        <v>5536</v>
      </c>
      <c r="F2492" s="129">
        <v>10</v>
      </c>
      <c r="G2492" s="129">
        <v>600</v>
      </c>
      <c r="H2492" s="512">
        <v>104.64</v>
      </c>
      <c r="I2492" s="265" t="s">
        <v>76</v>
      </c>
      <c r="J2492" s="265" t="s">
        <v>102</v>
      </c>
      <c r="K2492" s="265" t="s">
        <v>5537</v>
      </c>
      <c r="L2492" s="348" t="s">
        <v>1205</v>
      </c>
      <c r="M2492" s="265" t="s">
        <v>5538</v>
      </c>
      <c r="N2492" s="347">
        <v>1.194</v>
      </c>
      <c r="O2492" s="348" t="s">
        <v>1205</v>
      </c>
      <c r="P2492" s="348">
        <v>12.33</v>
      </c>
      <c r="Q2492" s="348">
        <v>1.41</v>
      </c>
    </row>
    <row r="2493" spans="1:17" ht="15" hidden="1" customHeight="1">
      <c r="A2493" s="163">
        <v>2501</v>
      </c>
      <c r="B2493" s="53" t="s">
        <v>44</v>
      </c>
      <c r="C2493" s="53" t="s">
        <v>5539</v>
      </c>
      <c r="D2493" s="53">
        <v>100024921</v>
      </c>
      <c r="E2493" s="55" t="s">
        <v>5540</v>
      </c>
      <c r="F2493" s="129">
        <v>10</v>
      </c>
      <c r="G2493" s="129">
        <v>750</v>
      </c>
      <c r="H2493" s="512">
        <v>191.49</v>
      </c>
      <c r="I2493" s="265" t="s">
        <v>359</v>
      </c>
      <c r="J2493" s="265" t="s">
        <v>102</v>
      </c>
      <c r="K2493" s="265" t="s">
        <v>5541</v>
      </c>
      <c r="L2493" s="348" t="s">
        <v>1205</v>
      </c>
      <c r="M2493" s="265" t="s">
        <v>5542</v>
      </c>
      <c r="N2493" s="347">
        <v>1.6850000000000001</v>
      </c>
      <c r="O2493" s="348" t="s">
        <v>1205</v>
      </c>
      <c r="P2493" s="348">
        <v>17.510000000000002</v>
      </c>
      <c r="Q2493" s="348">
        <v>1.1000000000000001</v>
      </c>
    </row>
    <row r="2494" spans="1:17" ht="15" hidden="1" customHeight="1">
      <c r="A2494" s="163">
        <v>2502</v>
      </c>
      <c r="B2494" s="53" t="s">
        <v>44</v>
      </c>
      <c r="C2494" s="53" t="s">
        <v>5543</v>
      </c>
      <c r="D2494" s="53">
        <v>100024922</v>
      </c>
      <c r="E2494" s="55" t="s">
        <v>5544</v>
      </c>
      <c r="F2494" s="129">
        <v>10</v>
      </c>
      <c r="G2494" s="129">
        <v>240</v>
      </c>
      <c r="H2494" s="512">
        <v>198.47</v>
      </c>
      <c r="I2494" s="265" t="s">
        <v>359</v>
      </c>
      <c r="J2494" s="265" t="s">
        <v>102</v>
      </c>
      <c r="K2494" s="265" t="s">
        <v>5545</v>
      </c>
      <c r="L2494" s="348" t="s">
        <v>1205</v>
      </c>
      <c r="M2494" s="265" t="s">
        <v>5546</v>
      </c>
      <c r="N2494" s="347">
        <v>1.8640000000000001</v>
      </c>
      <c r="O2494" s="348" t="s">
        <v>1205</v>
      </c>
      <c r="P2494" s="348">
        <v>20.55</v>
      </c>
      <c r="Q2494" s="348">
        <v>2.77</v>
      </c>
    </row>
    <row r="2495" spans="1:17" ht="15" hidden="1" customHeight="1">
      <c r="A2495" s="163">
        <v>2503</v>
      </c>
      <c r="B2495" s="53" t="s">
        <v>44</v>
      </c>
      <c r="C2495" s="53" t="s">
        <v>5547</v>
      </c>
      <c r="D2495" s="53">
        <v>100024257</v>
      </c>
      <c r="E2495" s="55" t="s">
        <v>5548</v>
      </c>
      <c r="F2495" s="129">
        <v>10</v>
      </c>
      <c r="G2495" s="129">
        <v>750</v>
      </c>
      <c r="H2495" s="512">
        <v>129.27000000000001</v>
      </c>
      <c r="I2495" s="265" t="s">
        <v>359</v>
      </c>
      <c r="J2495" s="265" t="s">
        <v>102</v>
      </c>
      <c r="K2495" s="265" t="s">
        <v>5549</v>
      </c>
      <c r="L2495" s="348" t="s">
        <v>1205</v>
      </c>
      <c r="M2495" s="265" t="s">
        <v>5550</v>
      </c>
      <c r="N2495" s="347">
        <v>1.423</v>
      </c>
      <c r="O2495" s="348" t="s">
        <v>1205</v>
      </c>
      <c r="P2495" s="348">
        <v>13.1</v>
      </c>
      <c r="Q2495" s="348">
        <v>1.1000000000000001</v>
      </c>
    </row>
    <row r="2496" spans="1:17" ht="15" hidden="1" customHeight="1">
      <c r="A2496" s="163">
        <v>2504</v>
      </c>
      <c r="B2496" s="53" t="s">
        <v>44</v>
      </c>
      <c r="C2496" s="53" t="s">
        <v>5551</v>
      </c>
      <c r="D2496" s="53">
        <v>100024262</v>
      </c>
      <c r="E2496" s="55" t="s">
        <v>5552</v>
      </c>
      <c r="F2496" s="129">
        <v>10</v>
      </c>
      <c r="G2496" s="129">
        <v>750</v>
      </c>
      <c r="H2496" s="512">
        <v>129.27000000000001</v>
      </c>
      <c r="I2496" s="265" t="s">
        <v>359</v>
      </c>
      <c r="J2496" s="265" t="s">
        <v>102</v>
      </c>
      <c r="K2496" s="265" t="s">
        <v>5553</v>
      </c>
      <c r="L2496" s="348" t="s">
        <v>1205</v>
      </c>
      <c r="M2496" s="265" t="s">
        <v>5554</v>
      </c>
      <c r="N2496" s="347">
        <v>1.391</v>
      </c>
      <c r="O2496" s="348" t="s">
        <v>1205</v>
      </c>
      <c r="P2496" s="348">
        <v>13.904999999999999</v>
      </c>
      <c r="Q2496" s="348">
        <v>1.1000000000000001</v>
      </c>
    </row>
    <row r="2497" spans="1:17" ht="15" hidden="1" customHeight="1">
      <c r="A2497" s="163">
        <v>2505</v>
      </c>
      <c r="B2497" s="53" t="s">
        <v>44</v>
      </c>
      <c r="C2497" s="53" t="s">
        <v>5555</v>
      </c>
      <c r="D2497" s="53">
        <v>100024267</v>
      </c>
      <c r="E2497" s="55" t="s">
        <v>5556</v>
      </c>
      <c r="F2497" s="129">
        <v>10</v>
      </c>
      <c r="G2497" s="129">
        <v>750</v>
      </c>
      <c r="H2497" s="512">
        <v>129.27000000000001</v>
      </c>
      <c r="I2497" s="265" t="s">
        <v>359</v>
      </c>
      <c r="J2497" s="265" t="s">
        <v>102</v>
      </c>
      <c r="K2497" s="265" t="s">
        <v>5557</v>
      </c>
      <c r="L2497" s="348" t="s">
        <v>1205</v>
      </c>
      <c r="M2497" s="265" t="s">
        <v>5558</v>
      </c>
      <c r="N2497" s="347">
        <v>1.3660000000000001</v>
      </c>
      <c r="O2497" s="348" t="s">
        <v>1205</v>
      </c>
      <c r="P2497" s="348">
        <v>13.85</v>
      </c>
      <c r="Q2497" s="348">
        <v>1.1000000000000001</v>
      </c>
    </row>
    <row r="2498" spans="1:17" ht="15" hidden="1" customHeight="1">
      <c r="A2498" s="163">
        <v>2506</v>
      </c>
      <c r="B2498" s="53" t="s">
        <v>44</v>
      </c>
      <c r="C2498" s="53" t="s">
        <v>5559</v>
      </c>
      <c r="D2498" s="53">
        <v>100024273</v>
      </c>
      <c r="E2498" s="55" t="s">
        <v>5560</v>
      </c>
      <c r="F2498" s="129">
        <v>10</v>
      </c>
      <c r="G2498" s="129">
        <v>750</v>
      </c>
      <c r="H2498" s="512">
        <v>129.27000000000001</v>
      </c>
      <c r="I2498" s="265" t="s">
        <v>359</v>
      </c>
      <c r="J2498" s="265" t="s">
        <v>102</v>
      </c>
      <c r="K2498" s="265" t="s">
        <v>5561</v>
      </c>
      <c r="L2498" s="348" t="s">
        <v>1205</v>
      </c>
      <c r="M2498" s="265" t="s">
        <v>5562</v>
      </c>
      <c r="N2498" s="347">
        <v>1.399</v>
      </c>
      <c r="O2498" s="348" t="s">
        <v>1205</v>
      </c>
      <c r="P2498" s="348">
        <v>13</v>
      </c>
      <c r="Q2498" s="348">
        <v>1.1000000000000001</v>
      </c>
    </row>
    <row r="2499" spans="1:17" ht="15" hidden="1" customHeight="1">
      <c r="A2499" s="163">
        <v>2507</v>
      </c>
      <c r="B2499" s="53" t="s">
        <v>44</v>
      </c>
      <c r="C2499" s="53" t="s">
        <v>5563</v>
      </c>
      <c r="D2499" s="53">
        <v>100024277</v>
      </c>
      <c r="E2499" s="55" t="s">
        <v>5564</v>
      </c>
      <c r="F2499" s="129">
        <v>10</v>
      </c>
      <c r="G2499" s="129">
        <v>750</v>
      </c>
      <c r="H2499" s="512">
        <v>129.27000000000001</v>
      </c>
      <c r="I2499" s="265" t="s">
        <v>359</v>
      </c>
      <c r="J2499" s="265" t="s">
        <v>102</v>
      </c>
      <c r="K2499" s="265" t="s">
        <v>5565</v>
      </c>
      <c r="L2499" s="348" t="s">
        <v>1205</v>
      </c>
      <c r="M2499" s="265" t="s">
        <v>5566</v>
      </c>
      <c r="N2499" s="347">
        <v>1.351</v>
      </c>
      <c r="O2499" s="348" t="s">
        <v>1205</v>
      </c>
      <c r="P2499" s="348">
        <v>16.8</v>
      </c>
      <c r="Q2499" s="348">
        <v>1.1000000000000001</v>
      </c>
    </row>
    <row r="2500" spans="1:17" ht="15" hidden="1" customHeight="1">
      <c r="A2500" s="163">
        <v>2508</v>
      </c>
      <c r="B2500" s="53" t="s">
        <v>44</v>
      </c>
      <c r="C2500" s="53" t="s">
        <v>5567</v>
      </c>
      <c r="D2500" s="53">
        <v>100024975</v>
      </c>
      <c r="E2500" s="55" t="s">
        <v>5521</v>
      </c>
      <c r="F2500" s="129">
        <v>10</v>
      </c>
      <c r="G2500" s="129">
        <v>750</v>
      </c>
      <c r="H2500" s="512">
        <v>129.27000000000001</v>
      </c>
      <c r="I2500" s="265" t="s">
        <v>76</v>
      </c>
      <c r="J2500" s="265" t="s">
        <v>102</v>
      </c>
      <c r="K2500" s="265" t="s">
        <v>5568</v>
      </c>
      <c r="L2500" s="348" t="s">
        <v>1205</v>
      </c>
      <c r="M2500" s="265" t="s">
        <v>5569</v>
      </c>
      <c r="N2500" s="347">
        <v>1.423</v>
      </c>
      <c r="O2500" s="348" t="s">
        <v>1205</v>
      </c>
      <c r="P2500" s="348">
        <v>14.255000000000001</v>
      </c>
      <c r="Q2500" s="348">
        <v>1.1000000000000001</v>
      </c>
    </row>
    <row r="2501" spans="1:17" ht="15" hidden="1" customHeight="1">
      <c r="A2501" s="163">
        <v>2509</v>
      </c>
      <c r="B2501" s="53" t="s">
        <v>44</v>
      </c>
      <c r="C2501" s="53" t="s">
        <v>5570</v>
      </c>
      <c r="D2501" s="53">
        <v>100024976</v>
      </c>
      <c r="E2501" s="55" t="s">
        <v>5050</v>
      </c>
      <c r="F2501" s="129">
        <v>10</v>
      </c>
      <c r="G2501" s="129">
        <v>240</v>
      </c>
      <c r="H2501" s="512">
        <v>140.13</v>
      </c>
      <c r="I2501" s="265" t="s">
        <v>359</v>
      </c>
      <c r="J2501" s="265" t="s">
        <v>102</v>
      </c>
      <c r="K2501" s="265" t="s">
        <v>5571</v>
      </c>
      <c r="L2501" s="348" t="s">
        <v>1205</v>
      </c>
      <c r="M2501" s="265" t="s">
        <v>5572</v>
      </c>
      <c r="N2501" s="347">
        <v>1.6970000000000001</v>
      </c>
      <c r="O2501" s="348" t="s">
        <v>1205</v>
      </c>
      <c r="P2501" s="348">
        <v>17.8</v>
      </c>
      <c r="Q2501" s="348">
        <v>2.77</v>
      </c>
    </row>
    <row r="2502" spans="1:17" ht="15" hidden="1" customHeight="1">
      <c r="A2502" s="163">
        <v>2510</v>
      </c>
      <c r="B2502" s="53" t="s">
        <v>44</v>
      </c>
      <c r="C2502" s="53" t="s">
        <v>5573</v>
      </c>
      <c r="D2502" s="53">
        <v>100024290</v>
      </c>
      <c r="E2502" s="55" t="s">
        <v>5574</v>
      </c>
      <c r="F2502" s="129">
        <v>10</v>
      </c>
      <c r="G2502" s="129">
        <v>900</v>
      </c>
      <c r="H2502" s="512">
        <v>95.77</v>
      </c>
      <c r="I2502" s="265" t="s">
        <v>359</v>
      </c>
      <c r="J2502" s="265" t="s">
        <v>102</v>
      </c>
      <c r="K2502" s="265" t="s">
        <v>5575</v>
      </c>
      <c r="L2502" s="348" t="s">
        <v>1205</v>
      </c>
      <c r="M2502" s="265" t="s">
        <v>5576</v>
      </c>
      <c r="N2502" s="347">
        <v>1.2410000000000001</v>
      </c>
      <c r="O2502" s="348" t="s">
        <v>1205</v>
      </c>
      <c r="P2502" s="348">
        <v>12.75</v>
      </c>
      <c r="Q2502" s="348">
        <v>0.8</v>
      </c>
    </row>
    <row r="2503" spans="1:17" ht="15" hidden="1" customHeight="1">
      <c r="A2503" s="163">
        <v>2511</v>
      </c>
      <c r="B2503" s="53" t="s">
        <v>44</v>
      </c>
      <c r="C2503" s="53" t="s">
        <v>5577</v>
      </c>
      <c r="D2503" s="53">
        <v>100024292</v>
      </c>
      <c r="E2503" s="55" t="s">
        <v>5228</v>
      </c>
      <c r="F2503" s="129">
        <v>10</v>
      </c>
      <c r="G2503" s="129">
        <v>750</v>
      </c>
      <c r="H2503" s="512">
        <v>129.27000000000001</v>
      </c>
      <c r="I2503" s="265" t="s">
        <v>359</v>
      </c>
      <c r="J2503" s="265" t="s">
        <v>102</v>
      </c>
      <c r="K2503" s="265" t="s">
        <v>5578</v>
      </c>
      <c r="L2503" s="348" t="s">
        <v>1205</v>
      </c>
      <c r="M2503" s="265" t="s">
        <v>5579</v>
      </c>
      <c r="N2503" s="347">
        <v>1.028</v>
      </c>
      <c r="O2503" s="348" t="s">
        <v>1205</v>
      </c>
      <c r="P2503" s="348">
        <v>13.3</v>
      </c>
      <c r="Q2503" s="348">
        <v>1.1000000000000001</v>
      </c>
    </row>
    <row r="2504" spans="1:17" ht="15" hidden="1" customHeight="1">
      <c r="A2504" s="163">
        <v>2512</v>
      </c>
      <c r="B2504" s="53" t="s">
        <v>44</v>
      </c>
      <c r="C2504" s="53" t="s">
        <v>5580</v>
      </c>
      <c r="D2504" s="53">
        <v>100024980</v>
      </c>
      <c r="E2504" s="55" t="s">
        <v>5581</v>
      </c>
      <c r="F2504" s="129">
        <v>10</v>
      </c>
      <c r="G2504" s="129">
        <v>750</v>
      </c>
      <c r="H2504" s="512">
        <v>129.27000000000001</v>
      </c>
      <c r="I2504" s="265" t="s">
        <v>359</v>
      </c>
      <c r="J2504" s="265" t="s">
        <v>102</v>
      </c>
      <c r="K2504" s="265" t="s">
        <v>5582</v>
      </c>
      <c r="L2504" s="348" t="s">
        <v>1205</v>
      </c>
      <c r="M2504" s="265" t="s">
        <v>5583</v>
      </c>
      <c r="N2504" s="347">
        <v>1.39</v>
      </c>
      <c r="O2504" s="348" t="s">
        <v>1205</v>
      </c>
      <c r="P2504" s="348">
        <v>14.25</v>
      </c>
      <c r="Q2504" s="348">
        <v>1.1000000000000001</v>
      </c>
    </row>
    <row r="2505" spans="1:17" ht="15" hidden="1" customHeight="1">
      <c r="A2505" s="163">
        <v>2513</v>
      </c>
      <c r="B2505" s="53" t="s">
        <v>44</v>
      </c>
      <c r="C2505" s="53" t="s">
        <v>5584</v>
      </c>
      <c r="D2505" s="53">
        <v>100024498</v>
      </c>
      <c r="E2505" s="55" t="s">
        <v>5585</v>
      </c>
      <c r="F2505" s="129">
        <v>1</v>
      </c>
      <c r="G2505" s="129">
        <v>180</v>
      </c>
      <c r="H2505" s="512">
        <v>290.89999999999998</v>
      </c>
      <c r="I2505" s="265" t="s">
        <v>359</v>
      </c>
      <c r="J2505" s="265" t="s">
        <v>102</v>
      </c>
      <c r="K2505" s="265" t="s">
        <v>5586</v>
      </c>
      <c r="L2505" s="348" t="s">
        <v>1205</v>
      </c>
      <c r="M2505" s="265" t="s">
        <v>5587</v>
      </c>
      <c r="N2505" s="347">
        <v>2.782</v>
      </c>
      <c r="O2505" s="348" t="s">
        <v>1205</v>
      </c>
      <c r="P2505" s="348" t="s">
        <v>1205</v>
      </c>
      <c r="Q2505" s="348" t="s">
        <v>1205</v>
      </c>
    </row>
    <row r="2506" spans="1:17" ht="15" hidden="1" customHeight="1">
      <c r="A2506" s="163">
        <v>2514</v>
      </c>
      <c r="B2506" s="53" t="s">
        <v>44</v>
      </c>
      <c r="C2506" s="53" t="s">
        <v>5588</v>
      </c>
      <c r="D2506" s="53">
        <v>100024530</v>
      </c>
      <c r="E2506" s="55" t="s">
        <v>5548</v>
      </c>
      <c r="F2506" s="129">
        <v>10</v>
      </c>
      <c r="G2506" s="129">
        <v>600</v>
      </c>
      <c r="H2506" s="512">
        <v>156.46</v>
      </c>
      <c r="I2506" s="265" t="s">
        <v>359</v>
      </c>
      <c r="J2506" s="265" t="s">
        <v>102</v>
      </c>
      <c r="K2506" s="265" t="s">
        <v>5589</v>
      </c>
      <c r="L2506" s="348" t="s">
        <v>1205</v>
      </c>
      <c r="M2506" s="265" t="s">
        <v>5590</v>
      </c>
      <c r="N2506" s="347">
        <v>1.758</v>
      </c>
      <c r="O2506" s="348" t="s">
        <v>1205</v>
      </c>
      <c r="P2506" s="348">
        <v>18</v>
      </c>
      <c r="Q2506" s="348">
        <v>1.41</v>
      </c>
    </row>
    <row r="2507" spans="1:17" ht="15" hidden="1" customHeight="1">
      <c r="A2507" s="163">
        <v>2515</v>
      </c>
      <c r="B2507" s="53" t="s">
        <v>44</v>
      </c>
      <c r="C2507" s="53" t="s">
        <v>5591</v>
      </c>
      <c r="D2507" s="53">
        <v>100025038</v>
      </c>
      <c r="E2507" s="55" t="s">
        <v>5046</v>
      </c>
      <c r="F2507" s="129">
        <v>10</v>
      </c>
      <c r="G2507" s="129">
        <v>600</v>
      </c>
      <c r="H2507" s="512">
        <v>156.46</v>
      </c>
      <c r="I2507" s="265" t="s">
        <v>359</v>
      </c>
      <c r="J2507" s="265" t="s">
        <v>102</v>
      </c>
      <c r="K2507" s="265" t="s">
        <v>5592</v>
      </c>
      <c r="L2507" s="348" t="s">
        <v>1205</v>
      </c>
      <c r="M2507" s="265" t="s">
        <v>5593</v>
      </c>
      <c r="N2507" s="347">
        <v>1.758</v>
      </c>
      <c r="O2507" s="348" t="s">
        <v>1205</v>
      </c>
      <c r="P2507" s="348">
        <v>18.3</v>
      </c>
      <c r="Q2507" s="348">
        <v>1.41</v>
      </c>
    </row>
    <row r="2508" spans="1:17" ht="15" hidden="1" customHeight="1">
      <c r="A2508" s="163">
        <v>2516</v>
      </c>
      <c r="B2508" s="53" t="s">
        <v>44</v>
      </c>
      <c r="C2508" s="53" t="s">
        <v>5594</v>
      </c>
      <c r="D2508" s="53">
        <v>100024544</v>
      </c>
      <c r="E2508" s="55" t="s">
        <v>5595</v>
      </c>
      <c r="F2508" s="129">
        <v>10</v>
      </c>
      <c r="G2508" s="129">
        <v>180</v>
      </c>
      <c r="H2508" s="512">
        <v>156.46</v>
      </c>
      <c r="I2508" s="265" t="s">
        <v>359</v>
      </c>
      <c r="J2508" s="265" t="s">
        <v>102</v>
      </c>
      <c r="K2508" s="265" t="s">
        <v>5596</v>
      </c>
      <c r="L2508" s="348" t="s">
        <v>1205</v>
      </c>
      <c r="M2508" s="265" t="s">
        <v>5597</v>
      </c>
      <c r="N2508" s="347">
        <v>1.6910000000000001</v>
      </c>
      <c r="O2508" s="348" t="s">
        <v>1205</v>
      </c>
      <c r="P2508" s="348">
        <v>17.48</v>
      </c>
      <c r="Q2508" s="348">
        <v>2.65</v>
      </c>
    </row>
    <row r="2509" spans="1:17" ht="15" hidden="1" customHeight="1">
      <c r="A2509" s="163">
        <v>2517</v>
      </c>
      <c r="B2509" s="53" t="s">
        <v>44</v>
      </c>
      <c r="C2509" s="53" t="s">
        <v>5598</v>
      </c>
      <c r="D2509" s="53">
        <v>100025040</v>
      </c>
      <c r="E2509" s="55" t="s">
        <v>5228</v>
      </c>
      <c r="F2509" s="129">
        <v>10</v>
      </c>
      <c r="G2509" s="129">
        <v>600</v>
      </c>
      <c r="H2509" s="512">
        <v>156.46</v>
      </c>
      <c r="I2509" s="265" t="s">
        <v>76</v>
      </c>
      <c r="J2509" s="265" t="s">
        <v>102</v>
      </c>
      <c r="K2509" s="265" t="s">
        <v>5599</v>
      </c>
      <c r="L2509" s="348" t="s">
        <v>1205</v>
      </c>
      <c r="M2509" s="265" t="s">
        <v>5600</v>
      </c>
      <c r="N2509" s="347">
        <v>1.73</v>
      </c>
      <c r="O2509" s="348" t="s">
        <v>1205</v>
      </c>
      <c r="P2509" s="348">
        <v>20.5</v>
      </c>
      <c r="Q2509" s="348">
        <v>1.41</v>
      </c>
    </row>
    <row r="2510" spans="1:17" ht="15" hidden="1" customHeight="1">
      <c r="A2510" s="163">
        <v>2518</v>
      </c>
      <c r="B2510" s="53" t="s">
        <v>44</v>
      </c>
      <c r="C2510" s="53" t="s">
        <v>5601</v>
      </c>
      <c r="D2510" s="53">
        <v>100025041</v>
      </c>
      <c r="E2510" s="55" t="s">
        <v>5232</v>
      </c>
      <c r="F2510" s="129">
        <v>10</v>
      </c>
      <c r="G2510" s="129">
        <v>240</v>
      </c>
      <c r="H2510" s="512">
        <v>167.52</v>
      </c>
      <c r="I2510" s="265" t="s">
        <v>359</v>
      </c>
      <c r="J2510" s="265" t="s">
        <v>102</v>
      </c>
      <c r="K2510" s="265" t="s">
        <v>5602</v>
      </c>
      <c r="L2510" s="348" t="s">
        <v>1205</v>
      </c>
      <c r="M2510" s="265" t="s">
        <v>5603</v>
      </c>
      <c r="N2510" s="347">
        <v>2.044</v>
      </c>
      <c r="O2510" s="348" t="s">
        <v>1205</v>
      </c>
      <c r="P2510" s="348">
        <v>22.15</v>
      </c>
      <c r="Q2510" s="348">
        <v>2.77</v>
      </c>
    </row>
    <row r="2511" spans="1:17" ht="15" hidden="1" customHeight="1">
      <c r="A2511" s="163">
        <v>2519</v>
      </c>
      <c r="B2511" s="53" t="s">
        <v>44</v>
      </c>
      <c r="C2511" s="53" t="s">
        <v>5604</v>
      </c>
      <c r="D2511" s="53">
        <v>100024550</v>
      </c>
      <c r="E2511" s="55" t="s">
        <v>5236</v>
      </c>
      <c r="F2511" s="129">
        <v>10</v>
      </c>
      <c r="G2511" s="129">
        <v>750</v>
      </c>
      <c r="H2511" s="512">
        <v>145.36000000000001</v>
      </c>
      <c r="I2511" s="265" t="s">
        <v>359</v>
      </c>
      <c r="J2511" s="265" t="s">
        <v>102</v>
      </c>
      <c r="K2511" s="265" t="s">
        <v>5605</v>
      </c>
      <c r="L2511" s="348" t="s">
        <v>1205</v>
      </c>
      <c r="M2511" s="265" t="s">
        <v>5606</v>
      </c>
      <c r="N2511" s="347">
        <v>1.518</v>
      </c>
      <c r="O2511" s="348" t="s">
        <v>1205</v>
      </c>
      <c r="P2511" s="348">
        <v>15.3</v>
      </c>
      <c r="Q2511" s="348">
        <v>1.1000000000000001</v>
      </c>
    </row>
    <row r="2512" spans="1:17" ht="15" hidden="1" customHeight="1">
      <c r="A2512" s="163">
        <v>2520</v>
      </c>
      <c r="B2512" s="53" t="s">
        <v>44</v>
      </c>
      <c r="C2512" s="53" t="s">
        <v>5607</v>
      </c>
      <c r="D2512" s="53">
        <v>100024553</v>
      </c>
      <c r="E2512" s="55" t="s">
        <v>5608</v>
      </c>
      <c r="F2512" s="129">
        <v>10</v>
      </c>
      <c r="G2512" s="129">
        <v>600</v>
      </c>
      <c r="H2512" s="512">
        <v>156.46</v>
      </c>
      <c r="I2512" s="265" t="s">
        <v>359</v>
      </c>
      <c r="J2512" s="265" t="s">
        <v>102</v>
      </c>
      <c r="K2512" s="265" t="s">
        <v>5609</v>
      </c>
      <c r="L2512" s="348" t="s">
        <v>1205</v>
      </c>
      <c r="M2512" s="265" t="s">
        <v>5610</v>
      </c>
      <c r="N2512" s="347">
        <v>1.68</v>
      </c>
      <c r="O2512" s="348" t="s">
        <v>1205</v>
      </c>
      <c r="P2512" s="348">
        <v>17.32</v>
      </c>
      <c r="Q2512" s="348">
        <v>1.41</v>
      </c>
    </row>
    <row r="2513" spans="1:17" ht="15" hidden="1" customHeight="1">
      <c r="A2513" s="163">
        <v>2521</v>
      </c>
      <c r="B2513" s="53" t="s">
        <v>44</v>
      </c>
      <c r="C2513" s="53" t="s">
        <v>5611</v>
      </c>
      <c r="D2513" s="53">
        <v>100025043</v>
      </c>
      <c r="E2513" s="55" t="s">
        <v>5244</v>
      </c>
      <c r="F2513" s="129">
        <v>10</v>
      </c>
      <c r="G2513" s="129">
        <v>600</v>
      </c>
      <c r="H2513" s="512">
        <v>156.46</v>
      </c>
      <c r="I2513" s="265" t="s">
        <v>76</v>
      </c>
      <c r="J2513" s="265" t="s">
        <v>102</v>
      </c>
      <c r="K2513" s="265" t="s">
        <v>5612</v>
      </c>
      <c r="L2513" s="348" t="s">
        <v>1205</v>
      </c>
      <c r="M2513" s="265" t="s">
        <v>5613</v>
      </c>
      <c r="N2513" s="347">
        <v>1.675</v>
      </c>
      <c r="O2513" s="348" t="s">
        <v>1205</v>
      </c>
      <c r="P2513" s="348">
        <v>17.329999999999998</v>
      </c>
      <c r="Q2513" s="348">
        <v>1.41</v>
      </c>
    </row>
    <row r="2514" spans="1:17" ht="15" hidden="1" customHeight="1">
      <c r="A2514" s="163">
        <v>2522</v>
      </c>
      <c r="B2514" s="53" t="s">
        <v>44</v>
      </c>
      <c r="C2514" s="53" t="s">
        <v>5614</v>
      </c>
      <c r="D2514" s="53">
        <v>100024557</v>
      </c>
      <c r="E2514" s="55" t="s">
        <v>5615</v>
      </c>
      <c r="F2514" s="129">
        <v>10</v>
      </c>
      <c r="G2514" s="129">
        <v>600</v>
      </c>
      <c r="H2514" s="512">
        <v>167.52</v>
      </c>
      <c r="I2514" s="265" t="s">
        <v>359</v>
      </c>
      <c r="J2514" s="265" t="s">
        <v>102</v>
      </c>
      <c r="K2514" s="265" t="s">
        <v>5616</v>
      </c>
      <c r="L2514" s="348" t="s">
        <v>1205</v>
      </c>
      <c r="M2514" s="265" t="s">
        <v>5617</v>
      </c>
      <c r="N2514" s="347">
        <v>1.99</v>
      </c>
      <c r="O2514" s="348" t="s">
        <v>1205</v>
      </c>
      <c r="P2514" s="348">
        <v>21.2</v>
      </c>
      <c r="Q2514" s="348">
        <v>1.41</v>
      </c>
    </row>
    <row r="2515" spans="1:17" ht="15" hidden="1" customHeight="1">
      <c r="A2515" s="163">
        <v>2523</v>
      </c>
      <c r="B2515" s="53" t="s">
        <v>44</v>
      </c>
      <c r="C2515" s="53" t="s">
        <v>5618</v>
      </c>
      <c r="D2515" s="53">
        <v>100024558</v>
      </c>
      <c r="E2515" s="55" t="s">
        <v>5619</v>
      </c>
      <c r="F2515" s="129">
        <v>10</v>
      </c>
      <c r="G2515" s="129">
        <v>750</v>
      </c>
      <c r="H2515" s="512">
        <v>145.36000000000001</v>
      </c>
      <c r="I2515" s="265" t="s">
        <v>359</v>
      </c>
      <c r="J2515" s="265" t="s">
        <v>102</v>
      </c>
      <c r="K2515" s="265" t="s">
        <v>5620</v>
      </c>
      <c r="L2515" s="348" t="s">
        <v>1205</v>
      </c>
      <c r="M2515" s="265" t="s">
        <v>5621</v>
      </c>
      <c r="N2515" s="347">
        <v>1.464</v>
      </c>
      <c r="O2515" s="348" t="s">
        <v>1205</v>
      </c>
      <c r="P2515" s="348">
        <v>15.1</v>
      </c>
      <c r="Q2515" s="348">
        <v>1.1000000000000001</v>
      </c>
    </row>
    <row r="2516" spans="1:17" ht="15" hidden="1" customHeight="1">
      <c r="A2516" s="163">
        <v>2524</v>
      </c>
      <c r="B2516" s="53" t="s">
        <v>44</v>
      </c>
      <c r="C2516" s="53" t="s">
        <v>5622</v>
      </c>
      <c r="D2516" s="53">
        <v>100024560</v>
      </c>
      <c r="E2516" s="55" t="s">
        <v>5581</v>
      </c>
      <c r="F2516" s="129">
        <v>10</v>
      </c>
      <c r="G2516" s="129">
        <v>600</v>
      </c>
      <c r="H2516" s="512">
        <v>156.46</v>
      </c>
      <c r="I2516" s="265" t="s">
        <v>359</v>
      </c>
      <c r="J2516" s="265" t="s">
        <v>102</v>
      </c>
      <c r="K2516" s="265" t="s">
        <v>5623</v>
      </c>
      <c r="L2516" s="348" t="s">
        <v>1205</v>
      </c>
      <c r="M2516" s="265" t="s">
        <v>5624</v>
      </c>
      <c r="N2516" s="347">
        <v>1.69</v>
      </c>
      <c r="O2516" s="348" t="s">
        <v>1205</v>
      </c>
      <c r="P2516" s="348">
        <v>17.38</v>
      </c>
      <c r="Q2516" s="348">
        <v>1.41</v>
      </c>
    </row>
    <row r="2517" spans="1:17" ht="15" hidden="1" customHeight="1">
      <c r="A2517" s="163">
        <v>2525</v>
      </c>
      <c r="B2517" s="53" t="s">
        <v>44</v>
      </c>
      <c r="C2517" s="53" t="s">
        <v>5625</v>
      </c>
      <c r="D2517" s="53">
        <v>100025046</v>
      </c>
      <c r="E2517" s="55" t="s">
        <v>5626</v>
      </c>
      <c r="F2517" s="129">
        <v>10</v>
      </c>
      <c r="G2517" s="129">
        <v>180</v>
      </c>
      <c r="H2517" s="512">
        <v>298.91000000000003</v>
      </c>
      <c r="I2517" s="265" t="s">
        <v>359</v>
      </c>
      <c r="J2517" s="265" t="s">
        <v>102</v>
      </c>
      <c r="K2517" s="265" t="s">
        <v>5627</v>
      </c>
      <c r="L2517" s="348" t="s">
        <v>1205</v>
      </c>
      <c r="M2517" s="265" t="s">
        <v>5628</v>
      </c>
      <c r="N2517" s="347">
        <v>2.4390000000000001</v>
      </c>
      <c r="O2517" s="348" t="s">
        <v>1205</v>
      </c>
      <c r="P2517" s="348">
        <v>26.29</v>
      </c>
      <c r="Q2517" s="348">
        <v>2.65</v>
      </c>
    </row>
    <row r="2518" spans="1:17" ht="15" hidden="1" customHeight="1">
      <c r="A2518" s="163">
        <v>2526</v>
      </c>
      <c r="B2518" s="53" t="s">
        <v>44</v>
      </c>
      <c r="C2518" s="53" t="s">
        <v>5629</v>
      </c>
      <c r="D2518" s="53">
        <v>100025047</v>
      </c>
      <c r="E2518" s="55" t="s">
        <v>5630</v>
      </c>
      <c r="F2518" s="129">
        <v>10</v>
      </c>
      <c r="G2518" s="129">
        <v>240</v>
      </c>
      <c r="H2518" s="512">
        <v>290.89999999999998</v>
      </c>
      <c r="I2518" s="265" t="s">
        <v>359</v>
      </c>
      <c r="J2518" s="265" t="s">
        <v>102</v>
      </c>
      <c r="K2518" s="265" t="s">
        <v>5631</v>
      </c>
      <c r="L2518" s="348" t="s">
        <v>1205</v>
      </c>
      <c r="M2518" s="265" t="s">
        <v>5632</v>
      </c>
      <c r="N2518" s="347">
        <v>2.754</v>
      </c>
      <c r="O2518" s="348" t="s">
        <v>1205</v>
      </c>
      <c r="P2518" s="348">
        <v>27.7</v>
      </c>
      <c r="Q2518" s="348">
        <v>2.77</v>
      </c>
    </row>
    <row r="2519" spans="1:17" ht="15" hidden="1" customHeight="1">
      <c r="A2519" s="163">
        <v>2527</v>
      </c>
      <c r="B2519" s="53" t="s">
        <v>44</v>
      </c>
      <c r="C2519" s="53" t="s">
        <v>5634</v>
      </c>
      <c r="D2519" s="53">
        <v>100029467</v>
      </c>
      <c r="E2519" s="55" t="s">
        <v>5635</v>
      </c>
      <c r="F2519" s="129">
        <v>10</v>
      </c>
      <c r="G2519" s="129">
        <v>750</v>
      </c>
      <c r="H2519" s="512">
        <v>184.23</v>
      </c>
      <c r="I2519" s="265" t="s">
        <v>359</v>
      </c>
      <c r="J2519" s="265" t="s">
        <v>102</v>
      </c>
      <c r="K2519" s="265" t="s">
        <v>5636</v>
      </c>
      <c r="L2519" s="348" t="s">
        <v>1205</v>
      </c>
      <c r="M2519" s="265" t="s">
        <v>5637</v>
      </c>
      <c r="N2519" s="347">
        <v>1.764</v>
      </c>
      <c r="O2519" s="348" t="s">
        <v>1205</v>
      </c>
      <c r="P2519" s="348">
        <v>17.899999999999999</v>
      </c>
      <c r="Q2519" s="348">
        <v>1.1000000000000001</v>
      </c>
    </row>
    <row r="2520" spans="1:17" ht="15" hidden="1" customHeight="1">
      <c r="A2520" s="163">
        <v>2528</v>
      </c>
      <c r="B2520" s="53" t="s">
        <v>44</v>
      </c>
      <c r="C2520" s="53" t="s">
        <v>5638</v>
      </c>
      <c r="D2520" s="53">
        <v>100024864</v>
      </c>
      <c r="E2520" s="55" t="s">
        <v>5639</v>
      </c>
      <c r="F2520" s="129">
        <v>10</v>
      </c>
      <c r="G2520" s="129">
        <v>600</v>
      </c>
      <c r="H2520" s="512">
        <v>159.15</v>
      </c>
      <c r="I2520" s="265" t="s">
        <v>359</v>
      </c>
      <c r="J2520" s="265" t="s">
        <v>102</v>
      </c>
      <c r="K2520" s="265" t="s">
        <v>5640</v>
      </c>
      <c r="L2520" s="348" t="s">
        <v>1205</v>
      </c>
      <c r="M2520" s="265" t="s">
        <v>5641</v>
      </c>
      <c r="N2520" s="347">
        <v>1.806</v>
      </c>
      <c r="O2520" s="348" t="s">
        <v>1205</v>
      </c>
      <c r="P2520" s="348">
        <v>18.079999999999998</v>
      </c>
      <c r="Q2520" s="348">
        <v>1.41</v>
      </c>
    </row>
    <row r="2521" spans="1:17" ht="15" hidden="1" customHeight="1">
      <c r="A2521" s="163">
        <v>2529</v>
      </c>
      <c r="B2521" s="53" t="s">
        <v>44</v>
      </c>
      <c r="C2521" s="53" t="s">
        <v>5642</v>
      </c>
      <c r="D2521" s="53">
        <v>100024883</v>
      </c>
      <c r="E2521" s="55" t="s">
        <v>5643</v>
      </c>
      <c r="F2521" s="129">
        <v>10</v>
      </c>
      <c r="G2521" s="129">
        <v>750</v>
      </c>
      <c r="H2521" s="512">
        <v>159.15</v>
      </c>
      <c r="I2521" s="265" t="s">
        <v>76</v>
      </c>
      <c r="J2521" s="265" t="s">
        <v>102</v>
      </c>
      <c r="K2521" s="265" t="s">
        <v>5644</v>
      </c>
      <c r="L2521" s="348" t="s">
        <v>1205</v>
      </c>
      <c r="M2521" s="265" t="s">
        <v>5645</v>
      </c>
      <c r="N2521" s="347">
        <v>1.62</v>
      </c>
      <c r="O2521" s="348" t="s">
        <v>1205</v>
      </c>
      <c r="P2521" s="348">
        <v>16.649999999999999</v>
      </c>
      <c r="Q2521" s="348">
        <v>1.1000000000000001</v>
      </c>
    </row>
    <row r="2522" spans="1:17" ht="15" hidden="1" customHeight="1">
      <c r="A2522" s="163">
        <v>2530</v>
      </c>
      <c r="B2522" s="53" t="s">
        <v>44</v>
      </c>
      <c r="C2522" s="53" t="s">
        <v>5646</v>
      </c>
      <c r="D2522" s="53">
        <v>100023870</v>
      </c>
      <c r="E2522" s="55" t="s">
        <v>5647</v>
      </c>
      <c r="F2522" s="129">
        <v>10</v>
      </c>
      <c r="G2522" s="129">
        <v>750</v>
      </c>
      <c r="H2522" s="512">
        <v>159.15</v>
      </c>
      <c r="I2522" s="265" t="s">
        <v>359</v>
      </c>
      <c r="J2522" s="265" t="s">
        <v>102</v>
      </c>
      <c r="K2522" s="265" t="s">
        <v>5648</v>
      </c>
      <c r="L2522" s="348" t="s">
        <v>1205</v>
      </c>
      <c r="M2522" s="265" t="s">
        <v>5649</v>
      </c>
      <c r="N2522" s="347">
        <v>1.524</v>
      </c>
      <c r="O2522" s="348" t="s">
        <v>1205</v>
      </c>
      <c r="P2522" s="348">
        <v>15.2</v>
      </c>
      <c r="Q2522" s="348">
        <v>1.1000000000000001</v>
      </c>
    </row>
    <row r="2523" spans="1:17" ht="15" hidden="1" customHeight="1">
      <c r="A2523" s="163">
        <v>2531</v>
      </c>
      <c r="B2523" s="53" t="s">
        <v>44</v>
      </c>
      <c r="C2523" s="53" t="s">
        <v>5650</v>
      </c>
      <c r="D2523" s="53">
        <v>100024901</v>
      </c>
      <c r="E2523" s="55" t="s">
        <v>5651</v>
      </c>
      <c r="F2523" s="129">
        <v>10</v>
      </c>
      <c r="G2523" s="129">
        <v>750</v>
      </c>
      <c r="H2523" s="512">
        <v>159.15</v>
      </c>
      <c r="I2523" s="265" t="s">
        <v>76</v>
      </c>
      <c r="J2523" s="265" t="s">
        <v>102</v>
      </c>
      <c r="K2523" s="265" t="s">
        <v>5652</v>
      </c>
      <c r="L2523" s="348" t="s">
        <v>1205</v>
      </c>
      <c r="M2523" s="265" t="s">
        <v>5653</v>
      </c>
      <c r="N2523" s="347">
        <v>1.6</v>
      </c>
      <c r="O2523" s="348" t="s">
        <v>1205</v>
      </c>
      <c r="P2523" s="348">
        <v>16.559999999999999</v>
      </c>
      <c r="Q2523" s="348">
        <v>1.1000000000000001</v>
      </c>
    </row>
    <row r="2524" spans="1:17" ht="15" hidden="1" customHeight="1">
      <c r="A2524" s="163">
        <v>2532</v>
      </c>
      <c r="B2524" s="53" t="s">
        <v>44</v>
      </c>
      <c r="C2524" s="53" t="s">
        <v>5654</v>
      </c>
      <c r="D2524" s="53">
        <v>100024902</v>
      </c>
      <c r="E2524" s="55" t="s">
        <v>5655</v>
      </c>
      <c r="F2524" s="129">
        <v>10</v>
      </c>
      <c r="G2524" s="129">
        <v>240</v>
      </c>
      <c r="H2524" s="512">
        <v>170.28</v>
      </c>
      <c r="I2524" s="265" t="s">
        <v>359</v>
      </c>
      <c r="J2524" s="265" t="s">
        <v>102</v>
      </c>
      <c r="K2524" s="265" t="s">
        <v>5656</v>
      </c>
      <c r="L2524" s="348" t="s">
        <v>1205</v>
      </c>
      <c r="M2524" s="265" t="s">
        <v>5657</v>
      </c>
      <c r="N2524" s="347">
        <v>1.7789999999999999</v>
      </c>
      <c r="O2524" s="348" t="s">
        <v>1205</v>
      </c>
      <c r="P2524" s="348">
        <v>20</v>
      </c>
      <c r="Q2524" s="348">
        <v>2.77</v>
      </c>
    </row>
    <row r="2525" spans="1:17" ht="15" hidden="1" customHeight="1">
      <c r="A2525" s="163">
        <v>2533</v>
      </c>
      <c r="B2525" s="53" t="s">
        <v>44</v>
      </c>
      <c r="C2525" s="53" t="s">
        <v>5658</v>
      </c>
      <c r="D2525" s="53">
        <v>100023873</v>
      </c>
      <c r="E2525" s="55" t="s">
        <v>5659</v>
      </c>
      <c r="F2525" s="129">
        <v>10</v>
      </c>
      <c r="G2525" s="129">
        <v>900</v>
      </c>
      <c r="H2525" s="512">
        <v>148.18</v>
      </c>
      <c r="I2525" s="265" t="s">
        <v>359</v>
      </c>
      <c r="J2525" s="265" t="s">
        <v>102</v>
      </c>
      <c r="K2525" s="265" t="s">
        <v>5660</v>
      </c>
      <c r="L2525" s="348" t="s">
        <v>1205</v>
      </c>
      <c r="M2525" s="265" t="s">
        <v>5661</v>
      </c>
      <c r="N2525" s="347">
        <v>1.383</v>
      </c>
      <c r="O2525" s="348" t="s">
        <v>1205</v>
      </c>
      <c r="P2525" s="348">
        <v>14.4</v>
      </c>
      <c r="Q2525" s="348">
        <v>0.8</v>
      </c>
    </row>
    <row r="2526" spans="1:17" ht="15" hidden="1" customHeight="1">
      <c r="A2526" s="163">
        <v>2534</v>
      </c>
      <c r="B2526" s="53" t="s">
        <v>44</v>
      </c>
      <c r="C2526" s="53" t="s">
        <v>5662</v>
      </c>
      <c r="D2526" s="53">
        <v>100023874</v>
      </c>
      <c r="E2526" s="55" t="s">
        <v>5663</v>
      </c>
      <c r="F2526" s="129">
        <v>10</v>
      </c>
      <c r="G2526" s="129">
        <v>750</v>
      </c>
      <c r="H2526" s="512">
        <v>148.18</v>
      </c>
      <c r="I2526" s="265" t="s">
        <v>359</v>
      </c>
      <c r="J2526" s="265" t="s">
        <v>102</v>
      </c>
      <c r="K2526" s="265" t="s">
        <v>5664</v>
      </c>
      <c r="L2526" s="348" t="s">
        <v>1205</v>
      </c>
      <c r="M2526" s="265" t="s">
        <v>5665</v>
      </c>
      <c r="N2526" s="347">
        <v>1.4470000000000001</v>
      </c>
      <c r="O2526" s="348" t="s">
        <v>1205</v>
      </c>
      <c r="P2526" s="348">
        <v>15.12</v>
      </c>
      <c r="Q2526" s="348">
        <v>0.95</v>
      </c>
    </row>
    <row r="2527" spans="1:17" ht="15" hidden="1" customHeight="1">
      <c r="A2527" s="163">
        <v>2535</v>
      </c>
      <c r="B2527" s="53" t="s">
        <v>44</v>
      </c>
      <c r="C2527" s="53" t="s">
        <v>5666</v>
      </c>
      <c r="D2527" s="53">
        <v>100023919</v>
      </c>
      <c r="E2527" s="55" t="s">
        <v>5667</v>
      </c>
      <c r="F2527" s="129">
        <v>10</v>
      </c>
      <c r="G2527" s="129">
        <v>750</v>
      </c>
      <c r="H2527" s="512">
        <v>159.15</v>
      </c>
      <c r="I2527" s="265" t="s">
        <v>359</v>
      </c>
      <c r="J2527" s="265" t="s">
        <v>102</v>
      </c>
      <c r="K2527" s="265" t="s">
        <v>5668</v>
      </c>
      <c r="L2527" s="348" t="s">
        <v>1205</v>
      </c>
      <c r="M2527" s="265" t="s">
        <v>5669</v>
      </c>
      <c r="N2527" s="347">
        <v>1.6439999999999999</v>
      </c>
      <c r="O2527" s="348" t="s">
        <v>1205</v>
      </c>
      <c r="P2527" s="348">
        <v>16.805</v>
      </c>
      <c r="Q2527" s="348">
        <v>1.1000000000000001</v>
      </c>
    </row>
    <row r="2528" spans="1:17" ht="15" hidden="1" customHeight="1">
      <c r="A2528" s="163">
        <v>2536</v>
      </c>
      <c r="B2528" s="53" t="s">
        <v>44</v>
      </c>
      <c r="C2528" s="53" t="s">
        <v>5670</v>
      </c>
      <c r="D2528" s="53">
        <v>100023946</v>
      </c>
      <c r="E2528" s="55" t="s">
        <v>5671</v>
      </c>
      <c r="F2528" s="129">
        <v>10</v>
      </c>
      <c r="G2528" s="129">
        <v>750</v>
      </c>
      <c r="H2528" s="512">
        <v>159.15</v>
      </c>
      <c r="I2528" s="265" t="s">
        <v>359</v>
      </c>
      <c r="J2528" s="265" t="s">
        <v>102</v>
      </c>
      <c r="K2528" s="265" t="s">
        <v>5672</v>
      </c>
      <c r="L2528" s="348" t="s">
        <v>1205</v>
      </c>
      <c r="M2528" s="265" t="s">
        <v>5673</v>
      </c>
      <c r="N2528" s="347">
        <v>1.6240000000000001</v>
      </c>
      <c r="O2528" s="348" t="s">
        <v>1205</v>
      </c>
      <c r="P2528" s="348">
        <v>16</v>
      </c>
      <c r="Q2528" s="348">
        <v>1.1000000000000001</v>
      </c>
    </row>
    <row r="2529" spans="1:17" ht="15" hidden="1" customHeight="1">
      <c r="A2529" s="163">
        <v>2537</v>
      </c>
      <c r="B2529" s="53" t="s">
        <v>44</v>
      </c>
      <c r="C2529" s="53" t="s">
        <v>5674</v>
      </c>
      <c r="D2529" s="53">
        <v>100023947</v>
      </c>
      <c r="E2529" s="55" t="s">
        <v>5675</v>
      </c>
      <c r="F2529" s="129">
        <v>10</v>
      </c>
      <c r="G2529" s="129">
        <v>600</v>
      </c>
      <c r="H2529" s="512">
        <v>170.28</v>
      </c>
      <c r="I2529" s="265" t="s">
        <v>359</v>
      </c>
      <c r="J2529" s="265" t="s">
        <v>102</v>
      </c>
      <c r="K2529" s="265" t="s">
        <v>5676</v>
      </c>
      <c r="L2529" s="348" t="s">
        <v>1205</v>
      </c>
      <c r="M2529" s="265" t="s">
        <v>5677</v>
      </c>
      <c r="N2529" s="347">
        <v>1.6679999999999999</v>
      </c>
      <c r="O2529" s="348" t="s">
        <v>1205</v>
      </c>
      <c r="P2529" s="348">
        <v>15.1</v>
      </c>
      <c r="Q2529" s="348">
        <v>1.41</v>
      </c>
    </row>
    <row r="2530" spans="1:17" ht="15" hidden="1" customHeight="1">
      <c r="A2530" s="163">
        <v>2538</v>
      </c>
      <c r="B2530" s="53" t="s">
        <v>44</v>
      </c>
      <c r="C2530" s="53" t="s">
        <v>5678</v>
      </c>
      <c r="D2530" s="53">
        <v>100023976</v>
      </c>
      <c r="E2530" s="55" t="s">
        <v>5679</v>
      </c>
      <c r="F2530" s="129">
        <v>10</v>
      </c>
      <c r="G2530" s="129">
        <v>750</v>
      </c>
      <c r="H2530" s="512">
        <v>159.15</v>
      </c>
      <c r="I2530" s="265" t="s">
        <v>359</v>
      </c>
      <c r="J2530" s="265" t="s">
        <v>102</v>
      </c>
      <c r="K2530" s="265" t="s">
        <v>5680</v>
      </c>
      <c r="L2530" s="348" t="s">
        <v>1205</v>
      </c>
      <c r="M2530" s="265" t="s">
        <v>5681</v>
      </c>
      <c r="N2530" s="347">
        <v>1.552</v>
      </c>
      <c r="O2530" s="348" t="s">
        <v>1205</v>
      </c>
      <c r="P2530" s="348">
        <v>16.28</v>
      </c>
      <c r="Q2530" s="348">
        <v>1.1000000000000001</v>
      </c>
    </row>
    <row r="2531" spans="1:17" ht="15" hidden="1" customHeight="1">
      <c r="A2531" s="163">
        <v>2539</v>
      </c>
      <c r="B2531" s="53" t="s">
        <v>44</v>
      </c>
      <c r="C2531" s="53" t="s">
        <v>5682</v>
      </c>
      <c r="D2531" s="53">
        <v>100023990</v>
      </c>
      <c r="E2531" s="55" t="s">
        <v>5683</v>
      </c>
      <c r="F2531" s="129">
        <v>10</v>
      </c>
      <c r="G2531" s="129">
        <v>750</v>
      </c>
      <c r="H2531" s="512">
        <v>159.15</v>
      </c>
      <c r="I2531" s="265" t="s">
        <v>359</v>
      </c>
      <c r="J2531" s="265" t="s">
        <v>102</v>
      </c>
      <c r="K2531" s="265" t="s">
        <v>5684</v>
      </c>
      <c r="L2531" s="348" t="s">
        <v>1205</v>
      </c>
      <c r="M2531" s="265" t="s">
        <v>5685</v>
      </c>
      <c r="N2531" s="347">
        <v>1.55</v>
      </c>
      <c r="O2531" s="348" t="s">
        <v>1205</v>
      </c>
      <c r="P2531" s="348">
        <v>16.559999999999999</v>
      </c>
      <c r="Q2531" s="348">
        <v>1.1000000000000001</v>
      </c>
    </row>
    <row r="2532" spans="1:17" ht="15" hidden="1" customHeight="1">
      <c r="A2532" s="163">
        <v>2540</v>
      </c>
      <c r="B2532" s="53" t="s">
        <v>44</v>
      </c>
      <c r="C2532" s="53" t="s">
        <v>5686</v>
      </c>
      <c r="D2532" s="53">
        <v>100023991</v>
      </c>
      <c r="E2532" s="55" t="s">
        <v>5687</v>
      </c>
      <c r="F2532" s="129">
        <v>10</v>
      </c>
      <c r="G2532" s="129">
        <v>600</v>
      </c>
      <c r="H2532" s="512">
        <v>170.28</v>
      </c>
      <c r="I2532" s="265" t="s">
        <v>359</v>
      </c>
      <c r="J2532" s="265" t="s">
        <v>102</v>
      </c>
      <c r="K2532" s="265" t="s">
        <v>5688</v>
      </c>
      <c r="L2532" s="348" t="s">
        <v>1205</v>
      </c>
      <c r="M2532" s="265" t="s">
        <v>5689</v>
      </c>
      <c r="N2532" s="347">
        <v>1.5940000000000001</v>
      </c>
      <c r="O2532" s="348" t="s">
        <v>1205</v>
      </c>
      <c r="P2532" s="348">
        <v>15.3</v>
      </c>
      <c r="Q2532" s="348">
        <v>1.41</v>
      </c>
    </row>
    <row r="2533" spans="1:17" ht="15" hidden="1" customHeight="1">
      <c r="A2533" s="163">
        <v>2541</v>
      </c>
      <c r="B2533" s="53" t="s">
        <v>44</v>
      </c>
      <c r="C2533" s="53" t="s">
        <v>5690</v>
      </c>
      <c r="D2533" s="53">
        <v>100024023</v>
      </c>
      <c r="E2533" s="55" t="s">
        <v>5691</v>
      </c>
      <c r="F2533" s="129">
        <v>10</v>
      </c>
      <c r="G2533" s="129" t="s">
        <v>2803</v>
      </c>
      <c r="H2533" s="512">
        <v>148.18</v>
      </c>
      <c r="I2533" s="265" t="s">
        <v>359</v>
      </c>
      <c r="J2533" s="265" t="s">
        <v>102</v>
      </c>
      <c r="K2533" s="265" t="s">
        <v>5692</v>
      </c>
      <c r="L2533" s="348" t="s">
        <v>1205</v>
      </c>
      <c r="M2533" s="265" t="s">
        <v>5693</v>
      </c>
      <c r="N2533" s="347">
        <v>1.5680000000000001</v>
      </c>
      <c r="O2533" s="348" t="s">
        <v>1205</v>
      </c>
      <c r="P2533" s="348">
        <v>15.5</v>
      </c>
      <c r="Q2533" s="348" t="s">
        <v>1205</v>
      </c>
    </row>
    <row r="2534" spans="1:17" ht="15" hidden="1" customHeight="1">
      <c r="A2534" s="163">
        <v>2542</v>
      </c>
      <c r="B2534" s="53" t="s">
        <v>44</v>
      </c>
      <c r="C2534" s="53" t="s">
        <v>5694</v>
      </c>
      <c r="D2534" s="53">
        <v>100024930</v>
      </c>
      <c r="E2534" s="55" t="s">
        <v>5695</v>
      </c>
      <c r="F2534" s="129">
        <v>10</v>
      </c>
      <c r="G2534" s="129">
        <v>750</v>
      </c>
      <c r="H2534" s="512">
        <v>159.15</v>
      </c>
      <c r="I2534" s="265" t="s">
        <v>359</v>
      </c>
      <c r="J2534" s="265" t="s">
        <v>102</v>
      </c>
      <c r="K2534" s="265" t="s">
        <v>5696</v>
      </c>
      <c r="L2534" s="348" t="s">
        <v>1205</v>
      </c>
      <c r="M2534" s="265" t="s">
        <v>5697</v>
      </c>
      <c r="N2534" s="347">
        <v>1.7010000000000001</v>
      </c>
      <c r="O2534" s="348" t="s">
        <v>1205</v>
      </c>
      <c r="P2534" s="348">
        <v>17.55</v>
      </c>
      <c r="Q2534" s="348">
        <v>1.1000000000000001</v>
      </c>
    </row>
    <row r="2535" spans="1:17" ht="15" hidden="1" customHeight="1">
      <c r="A2535" s="163">
        <v>2543</v>
      </c>
      <c r="B2535" s="53" t="s">
        <v>44</v>
      </c>
      <c r="C2535" s="53" t="s">
        <v>5698</v>
      </c>
      <c r="D2535" s="53">
        <v>100024940</v>
      </c>
      <c r="E2535" s="55" t="s">
        <v>5699</v>
      </c>
      <c r="F2535" s="129">
        <v>10</v>
      </c>
      <c r="G2535" s="129">
        <v>750</v>
      </c>
      <c r="H2535" s="512">
        <v>159.15</v>
      </c>
      <c r="I2535" s="265" t="s">
        <v>359</v>
      </c>
      <c r="J2535" s="265" t="s">
        <v>102</v>
      </c>
      <c r="K2535" s="265" t="s">
        <v>5700</v>
      </c>
      <c r="L2535" s="348" t="s">
        <v>1205</v>
      </c>
      <c r="M2535" s="265" t="s">
        <v>5701</v>
      </c>
      <c r="N2535" s="347">
        <v>1.62</v>
      </c>
      <c r="O2535" s="348" t="s">
        <v>1205</v>
      </c>
      <c r="P2535" s="348">
        <v>16.55</v>
      </c>
      <c r="Q2535" s="348">
        <v>1.1000000000000001</v>
      </c>
    </row>
    <row r="2536" spans="1:17" ht="15" hidden="1" customHeight="1">
      <c r="A2536" s="163">
        <v>2544</v>
      </c>
      <c r="B2536" s="53" t="s">
        <v>44</v>
      </c>
      <c r="C2536" s="53" t="s">
        <v>5702</v>
      </c>
      <c r="D2536" s="53">
        <v>100024053</v>
      </c>
      <c r="E2536" s="55" t="s">
        <v>5703</v>
      </c>
      <c r="F2536" s="129">
        <v>10</v>
      </c>
      <c r="G2536" s="129">
        <v>240</v>
      </c>
      <c r="H2536" s="512">
        <v>170.28</v>
      </c>
      <c r="I2536" s="265" t="s">
        <v>359</v>
      </c>
      <c r="J2536" s="265" t="s">
        <v>102</v>
      </c>
      <c r="K2536" s="265" t="s">
        <v>5704</v>
      </c>
      <c r="L2536" s="348" t="s">
        <v>1205</v>
      </c>
      <c r="M2536" s="265" t="s">
        <v>5705</v>
      </c>
      <c r="N2536" s="347">
        <v>1.7989999999999999</v>
      </c>
      <c r="O2536" s="348" t="s">
        <v>1205</v>
      </c>
      <c r="P2536" s="348">
        <v>19.7</v>
      </c>
      <c r="Q2536" s="348">
        <v>2.77</v>
      </c>
    </row>
    <row r="2537" spans="1:17" ht="15" hidden="1" customHeight="1">
      <c r="A2537" s="163">
        <v>2545</v>
      </c>
      <c r="B2537" s="53" t="s">
        <v>44</v>
      </c>
      <c r="C2537" s="53" t="s">
        <v>5706</v>
      </c>
      <c r="D2537" s="53">
        <v>100024946</v>
      </c>
      <c r="E2537" s="55" t="s">
        <v>5707</v>
      </c>
      <c r="F2537" s="129">
        <v>10</v>
      </c>
      <c r="G2537" s="129">
        <v>750</v>
      </c>
      <c r="H2537" s="512">
        <v>159.15</v>
      </c>
      <c r="I2537" s="265" t="s">
        <v>359</v>
      </c>
      <c r="J2537" s="265" t="s">
        <v>102</v>
      </c>
      <c r="K2537" s="265" t="s">
        <v>5708</v>
      </c>
      <c r="L2537" s="348" t="s">
        <v>1205</v>
      </c>
      <c r="M2537" s="265" t="s">
        <v>5709</v>
      </c>
      <c r="N2537" s="347">
        <v>1.6020000000000001</v>
      </c>
      <c r="O2537" s="348" t="s">
        <v>1205</v>
      </c>
      <c r="P2537" s="348">
        <v>16.559999999999999</v>
      </c>
      <c r="Q2537" s="348">
        <v>1.1000000000000001</v>
      </c>
    </row>
    <row r="2538" spans="1:17" ht="15" hidden="1" customHeight="1">
      <c r="A2538" s="163">
        <v>2546</v>
      </c>
      <c r="B2538" s="53" t="s">
        <v>44</v>
      </c>
      <c r="C2538" s="53" t="s">
        <v>5710</v>
      </c>
      <c r="D2538" s="53">
        <v>100024074</v>
      </c>
      <c r="E2538" s="55" t="s">
        <v>5711</v>
      </c>
      <c r="F2538" s="129">
        <v>10</v>
      </c>
      <c r="G2538" s="129">
        <v>240</v>
      </c>
      <c r="H2538" s="512">
        <v>170.28</v>
      </c>
      <c r="I2538" s="265" t="s">
        <v>359</v>
      </c>
      <c r="J2538" s="265" t="s">
        <v>102</v>
      </c>
      <c r="K2538" s="265" t="s">
        <v>5712</v>
      </c>
      <c r="L2538" s="348" t="s">
        <v>1205</v>
      </c>
      <c r="M2538" s="265" t="s">
        <v>5713</v>
      </c>
      <c r="N2538" s="347">
        <v>1.778</v>
      </c>
      <c r="O2538" s="348" t="s">
        <v>1205</v>
      </c>
      <c r="P2538" s="348">
        <v>19</v>
      </c>
      <c r="Q2538" s="348">
        <v>2.77</v>
      </c>
    </row>
    <row r="2539" spans="1:17" ht="15" hidden="1" customHeight="1">
      <c r="A2539" s="163">
        <v>2547</v>
      </c>
      <c r="B2539" s="53" t="s">
        <v>44</v>
      </c>
      <c r="C2539" s="53" t="s">
        <v>5714</v>
      </c>
      <c r="D2539" s="53">
        <v>100024105</v>
      </c>
      <c r="E2539" s="55" t="s">
        <v>5715</v>
      </c>
      <c r="F2539" s="129">
        <v>10</v>
      </c>
      <c r="G2539" s="129">
        <v>750</v>
      </c>
      <c r="H2539" s="512">
        <v>159.15</v>
      </c>
      <c r="I2539" s="265" t="s">
        <v>359</v>
      </c>
      <c r="J2539" s="265" t="s">
        <v>102</v>
      </c>
      <c r="K2539" s="265" t="s">
        <v>5716</v>
      </c>
      <c r="L2539" s="348" t="s">
        <v>1205</v>
      </c>
      <c r="M2539" s="265" t="s">
        <v>5717</v>
      </c>
      <c r="N2539" s="347">
        <v>1.5580000000000001</v>
      </c>
      <c r="O2539" s="348" t="s">
        <v>1205</v>
      </c>
      <c r="P2539" s="348">
        <v>16.86</v>
      </c>
      <c r="Q2539" s="348">
        <v>1.1000000000000001</v>
      </c>
    </row>
    <row r="2540" spans="1:17" ht="15" hidden="1" customHeight="1">
      <c r="A2540" s="163">
        <v>2548</v>
      </c>
      <c r="B2540" s="53" t="s">
        <v>44</v>
      </c>
      <c r="C2540" s="53" t="s">
        <v>5718</v>
      </c>
      <c r="D2540" s="53">
        <v>100024110</v>
      </c>
      <c r="E2540" s="55" t="s">
        <v>5719</v>
      </c>
      <c r="F2540" s="129">
        <v>10</v>
      </c>
      <c r="G2540" s="129">
        <v>750</v>
      </c>
      <c r="H2540" s="512">
        <v>159.15</v>
      </c>
      <c r="I2540" s="265" t="s">
        <v>359</v>
      </c>
      <c r="J2540" s="265" t="s">
        <v>102</v>
      </c>
      <c r="K2540" s="265" t="s">
        <v>5720</v>
      </c>
      <c r="L2540" s="348" t="s">
        <v>1205</v>
      </c>
      <c r="M2540" s="265" t="s">
        <v>5721</v>
      </c>
      <c r="N2540" s="347">
        <v>1.6279999999999999</v>
      </c>
      <c r="O2540" s="348" t="s">
        <v>1205</v>
      </c>
      <c r="P2540" s="348">
        <v>16.86</v>
      </c>
      <c r="Q2540" s="348">
        <v>1.1000000000000001</v>
      </c>
    </row>
    <row r="2541" spans="1:17" ht="15" hidden="1" customHeight="1">
      <c r="A2541" s="163">
        <v>2549</v>
      </c>
      <c r="B2541" s="53" t="s">
        <v>44</v>
      </c>
      <c r="C2541" s="53" t="s">
        <v>5722</v>
      </c>
      <c r="D2541" s="53">
        <v>100024956</v>
      </c>
      <c r="E2541" s="55" t="s">
        <v>5639</v>
      </c>
      <c r="F2541" s="129">
        <v>10</v>
      </c>
      <c r="G2541" s="129">
        <v>180</v>
      </c>
      <c r="H2541" s="512">
        <v>200.04</v>
      </c>
      <c r="I2541" s="265" t="s">
        <v>359</v>
      </c>
      <c r="J2541" s="265" t="s">
        <v>102</v>
      </c>
      <c r="K2541" s="265" t="s">
        <v>5723</v>
      </c>
      <c r="L2541" s="348" t="s">
        <v>1205</v>
      </c>
      <c r="M2541" s="265" t="s">
        <v>5724</v>
      </c>
      <c r="N2541" s="347">
        <v>2.5870000000000002</v>
      </c>
      <c r="O2541" s="348" t="s">
        <v>1205</v>
      </c>
      <c r="P2541" s="348">
        <v>25.3</v>
      </c>
      <c r="Q2541" s="348">
        <v>2.65</v>
      </c>
    </row>
    <row r="2542" spans="1:17" ht="15" hidden="1" customHeight="1">
      <c r="A2542" s="163">
        <v>2550</v>
      </c>
      <c r="B2542" s="53" t="s">
        <v>44</v>
      </c>
      <c r="C2542" s="53" t="s">
        <v>5725</v>
      </c>
      <c r="D2542" s="53">
        <v>100024957</v>
      </c>
      <c r="E2542" s="55" t="s">
        <v>5726</v>
      </c>
      <c r="F2542" s="129">
        <v>10</v>
      </c>
      <c r="G2542" s="129">
        <v>600</v>
      </c>
      <c r="H2542" s="512">
        <v>188.94</v>
      </c>
      <c r="I2542" s="265" t="s">
        <v>359</v>
      </c>
      <c r="J2542" s="265" t="s">
        <v>102</v>
      </c>
      <c r="K2542" s="265" t="s">
        <v>5727</v>
      </c>
      <c r="L2542" s="348" t="s">
        <v>1205</v>
      </c>
      <c r="M2542" s="265" t="s">
        <v>5728</v>
      </c>
      <c r="N2542" s="347">
        <v>2.4049999999999998</v>
      </c>
      <c r="O2542" s="348" t="s">
        <v>1205</v>
      </c>
      <c r="P2542" s="348">
        <v>23.25</v>
      </c>
      <c r="Q2542" s="348">
        <v>1.41</v>
      </c>
    </row>
    <row r="2543" spans="1:17" ht="15" hidden="1" customHeight="1">
      <c r="A2543" s="163">
        <v>2551</v>
      </c>
      <c r="B2543" s="53" t="s">
        <v>44</v>
      </c>
      <c r="C2543" s="53" t="s">
        <v>5729</v>
      </c>
      <c r="D2543" s="53">
        <v>100024128</v>
      </c>
      <c r="E2543" s="55" t="s">
        <v>5730</v>
      </c>
      <c r="F2543" s="129">
        <v>10</v>
      </c>
      <c r="G2543" s="129">
        <v>180</v>
      </c>
      <c r="H2543" s="512">
        <v>200.04</v>
      </c>
      <c r="I2543" s="265" t="s">
        <v>359</v>
      </c>
      <c r="J2543" s="265" t="s">
        <v>102</v>
      </c>
      <c r="K2543" s="265" t="s">
        <v>5731</v>
      </c>
      <c r="L2543" s="348" t="s">
        <v>1205</v>
      </c>
      <c r="M2543" s="265" t="s">
        <v>5732</v>
      </c>
      <c r="N2543" s="347">
        <v>2.3450000000000002</v>
      </c>
      <c r="O2543" s="348" t="s">
        <v>1205</v>
      </c>
      <c r="P2543" s="348">
        <v>23.3</v>
      </c>
      <c r="Q2543" s="348">
        <v>2.65</v>
      </c>
    </row>
    <row r="2544" spans="1:17" ht="15" hidden="1" customHeight="1">
      <c r="A2544" s="163">
        <v>2552</v>
      </c>
      <c r="B2544" s="53" t="s">
        <v>44</v>
      </c>
      <c r="C2544" s="53" t="s">
        <v>5733</v>
      </c>
      <c r="D2544" s="53">
        <v>100024132</v>
      </c>
      <c r="E2544" s="55" t="s">
        <v>5734</v>
      </c>
      <c r="F2544" s="129">
        <v>10</v>
      </c>
      <c r="G2544" s="129">
        <v>600</v>
      </c>
      <c r="H2544" s="512">
        <v>200.04</v>
      </c>
      <c r="I2544" s="265" t="s">
        <v>359</v>
      </c>
      <c r="J2544" s="265" t="s">
        <v>102</v>
      </c>
      <c r="K2544" s="265" t="s">
        <v>5735</v>
      </c>
      <c r="L2544" s="348" t="s">
        <v>1205</v>
      </c>
      <c r="M2544" s="265" t="s">
        <v>5736</v>
      </c>
      <c r="N2544" s="347">
        <v>2.3769999999999998</v>
      </c>
      <c r="O2544" s="348" t="s">
        <v>1205</v>
      </c>
      <c r="P2544" s="348">
        <v>20.2</v>
      </c>
      <c r="Q2544" s="348">
        <v>1.41</v>
      </c>
    </row>
    <row r="2545" spans="1:17" ht="15" hidden="1" customHeight="1">
      <c r="A2545" s="163">
        <v>2553</v>
      </c>
      <c r="B2545" s="53" t="s">
        <v>44</v>
      </c>
      <c r="C2545" s="53" t="s">
        <v>5737</v>
      </c>
      <c r="D2545" s="53">
        <v>100024144</v>
      </c>
      <c r="E2545" s="55" t="s">
        <v>5738</v>
      </c>
      <c r="F2545" s="129">
        <v>10</v>
      </c>
      <c r="G2545" s="129">
        <v>600</v>
      </c>
      <c r="H2545" s="512">
        <v>200.04</v>
      </c>
      <c r="I2545" s="265" t="s">
        <v>359</v>
      </c>
      <c r="J2545" s="265" t="s">
        <v>102</v>
      </c>
      <c r="K2545" s="265" t="s">
        <v>5739</v>
      </c>
      <c r="L2545" s="348" t="s">
        <v>1205</v>
      </c>
      <c r="M2545" s="265" t="s">
        <v>5740</v>
      </c>
      <c r="N2545" s="347">
        <v>2.3290000000000002</v>
      </c>
      <c r="O2545" s="348" t="s">
        <v>1205</v>
      </c>
      <c r="P2545" s="348">
        <v>22.92</v>
      </c>
      <c r="Q2545" s="348">
        <v>1.41</v>
      </c>
    </row>
    <row r="2546" spans="1:17" ht="15" hidden="1" customHeight="1">
      <c r="A2546" s="163">
        <v>2554</v>
      </c>
      <c r="B2546" s="53" t="s">
        <v>44</v>
      </c>
      <c r="C2546" s="53" t="s">
        <v>5741</v>
      </c>
      <c r="D2546" s="53">
        <v>100024147</v>
      </c>
      <c r="E2546" s="55" t="s">
        <v>5742</v>
      </c>
      <c r="F2546" s="129">
        <v>10</v>
      </c>
      <c r="G2546" s="129">
        <v>600</v>
      </c>
      <c r="H2546" s="512">
        <v>188.94</v>
      </c>
      <c r="I2546" s="265" t="s">
        <v>359</v>
      </c>
      <c r="J2546" s="265" t="s">
        <v>102</v>
      </c>
      <c r="K2546" s="265" t="s">
        <v>5743</v>
      </c>
      <c r="L2546" s="348" t="s">
        <v>1205</v>
      </c>
      <c r="M2546" s="265" t="s">
        <v>5744</v>
      </c>
      <c r="N2546" s="347">
        <v>2.1469999999999998</v>
      </c>
      <c r="O2546" s="348" t="s">
        <v>1205</v>
      </c>
      <c r="P2546" s="348">
        <v>20.94</v>
      </c>
      <c r="Q2546" s="348">
        <v>1.25</v>
      </c>
    </row>
    <row r="2547" spans="1:17" ht="15" hidden="1" customHeight="1">
      <c r="A2547" s="163">
        <v>2555</v>
      </c>
      <c r="B2547" s="53" t="s">
        <v>44</v>
      </c>
      <c r="C2547" s="53" t="s">
        <v>5745</v>
      </c>
      <c r="D2547" s="53">
        <v>100024212</v>
      </c>
      <c r="E2547" s="55" t="s">
        <v>5746</v>
      </c>
      <c r="F2547" s="129">
        <v>10</v>
      </c>
      <c r="G2547" s="129">
        <v>180</v>
      </c>
      <c r="H2547" s="512">
        <v>200.04</v>
      </c>
      <c r="I2547" s="265" t="s">
        <v>359</v>
      </c>
      <c r="J2547" s="265" t="s">
        <v>102</v>
      </c>
      <c r="K2547" s="265" t="s">
        <v>5747</v>
      </c>
      <c r="L2547" s="348" t="s">
        <v>1205</v>
      </c>
      <c r="M2547" s="265" t="s">
        <v>5748</v>
      </c>
      <c r="N2547" s="347">
        <v>2.3540000000000001</v>
      </c>
      <c r="O2547" s="348" t="s">
        <v>1205</v>
      </c>
      <c r="P2547" s="348">
        <v>23.45</v>
      </c>
      <c r="Q2547" s="348">
        <v>2.65</v>
      </c>
    </row>
    <row r="2548" spans="1:17" ht="15" hidden="1" customHeight="1">
      <c r="A2548" s="163">
        <v>2556</v>
      </c>
      <c r="B2548" s="53" t="s">
        <v>44</v>
      </c>
      <c r="C2548" s="53" t="s">
        <v>5749</v>
      </c>
      <c r="D2548" s="53">
        <v>100024232</v>
      </c>
      <c r="E2548" s="55" t="s">
        <v>5750</v>
      </c>
      <c r="F2548" s="129">
        <v>10</v>
      </c>
      <c r="G2548" s="129">
        <v>180</v>
      </c>
      <c r="H2548" s="512">
        <v>200.04</v>
      </c>
      <c r="I2548" s="265" t="s">
        <v>359</v>
      </c>
      <c r="J2548" s="265" t="s">
        <v>102</v>
      </c>
      <c r="K2548" s="265" t="s">
        <v>5751</v>
      </c>
      <c r="L2548" s="348" t="s">
        <v>1205</v>
      </c>
      <c r="M2548" s="265" t="s">
        <v>5752</v>
      </c>
      <c r="N2548" s="347">
        <v>2.4319999999999999</v>
      </c>
      <c r="O2548" s="348" t="s">
        <v>1205</v>
      </c>
      <c r="P2548" s="348">
        <v>24.2</v>
      </c>
      <c r="Q2548" s="348">
        <v>2.65</v>
      </c>
    </row>
    <row r="2549" spans="1:17" ht="15" hidden="1" customHeight="1">
      <c r="A2549" s="163">
        <v>2557</v>
      </c>
      <c r="B2549" s="53" t="s">
        <v>44</v>
      </c>
      <c r="C2549" s="53" t="s">
        <v>5753</v>
      </c>
      <c r="D2549" s="53">
        <v>100024247</v>
      </c>
      <c r="E2549" s="55" t="s">
        <v>5754</v>
      </c>
      <c r="F2549" s="129">
        <v>10</v>
      </c>
      <c r="G2549" s="129">
        <v>600</v>
      </c>
      <c r="H2549" s="512">
        <v>200.04</v>
      </c>
      <c r="I2549" s="265" t="s">
        <v>359</v>
      </c>
      <c r="J2549" s="265" t="s">
        <v>102</v>
      </c>
      <c r="K2549" s="265" t="s">
        <v>5755</v>
      </c>
      <c r="L2549" s="348" t="s">
        <v>1205</v>
      </c>
      <c r="M2549" s="265" t="s">
        <v>5756</v>
      </c>
      <c r="N2549" s="347">
        <v>2.3610000000000002</v>
      </c>
      <c r="O2549" s="348" t="s">
        <v>1205</v>
      </c>
      <c r="P2549" s="348">
        <v>24.44</v>
      </c>
      <c r="Q2549" s="348">
        <v>1.41</v>
      </c>
    </row>
    <row r="2550" spans="1:17" ht="15" hidden="1" customHeight="1">
      <c r="A2550" s="163">
        <v>2558</v>
      </c>
      <c r="B2550" s="53" t="s">
        <v>44</v>
      </c>
      <c r="C2550" s="53" t="s">
        <v>5757</v>
      </c>
      <c r="D2550" s="53">
        <v>100024983</v>
      </c>
      <c r="E2550" s="55" t="s">
        <v>5758</v>
      </c>
      <c r="F2550" s="129">
        <v>10</v>
      </c>
      <c r="G2550" s="129">
        <v>180</v>
      </c>
      <c r="H2550" s="512">
        <v>200.04</v>
      </c>
      <c r="I2550" s="265" t="s">
        <v>359</v>
      </c>
      <c r="J2550" s="265" t="s">
        <v>102</v>
      </c>
      <c r="K2550" s="265" t="s">
        <v>5759</v>
      </c>
      <c r="L2550" s="348" t="s">
        <v>1205</v>
      </c>
      <c r="M2550" s="265" t="s">
        <v>5760</v>
      </c>
      <c r="N2550" s="347">
        <v>2.5</v>
      </c>
      <c r="O2550" s="348" t="s">
        <v>1205</v>
      </c>
      <c r="P2550" s="348">
        <v>24.59</v>
      </c>
      <c r="Q2550" s="348">
        <v>2.65</v>
      </c>
    </row>
    <row r="2551" spans="1:17" ht="15" hidden="1" customHeight="1">
      <c r="A2551" s="163">
        <v>2559</v>
      </c>
      <c r="B2551" s="53" t="s">
        <v>44</v>
      </c>
      <c r="C2551" s="53" t="s">
        <v>5761</v>
      </c>
      <c r="D2551" s="53">
        <v>100024295</v>
      </c>
      <c r="E2551" s="55" t="s">
        <v>5762</v>
      </c>
      <c r="F2551" s="129">
        <v>10</v>
      </c>
      <c r="G2551" s="129">
        <v>240</v>
      </c>
      <c r="H2551" s="512">
        <v>211.05</v>
      </c>
      <c r="I2551" s="265" t="s">
        <v>359</v>
      </c>
      <c r="J2551" s="265" t="s">
        <v>102</v>
      </c>
      <c r="K2551" s="265" t="s">
        <v>5763</v>
      </c>
      <c r="L2551" s="348" t="s">
        <v>1205</v>
      </c>
      <c r="M2551" s="265" t="s">
        <v>5764</v>
      </c>
      <c r="N2551" s="347">
        <v>2.774</v>
      </c>
      <c r="O2551" s="348" t="s">
        <v>1205</v>
      </c>
      <c r="P2551" s="348">
        <v>27.6</v>
      </c>
      <c r="Q2551" s="348">
        <v>2.77</v>
      </c>
    </row>
    <row r="2552" spans="1:17" ht="15" hidden="1" customHeight="1">
      <c r="A2552" s="163">
        <v>2560</v>
      </c>
      <c r="B2552" s="53" t="s">
        <v>44</v>
      </c>
      <c r="C2552" s="53" t="s">
        <v>5765</v>
      </c>
      <c r="D2552" s="53">
        <v>100024994</v>
      </c>
      <c r="E2552" s="55" t="s">
        <v>5766</v>
      </c>
      <c r="F2552" s="129">
        <v>10</v>
      </c>
      <c r="G2552" s="129">
        <v>600</v>
      </c>
      <c r="H2552" s="512">
        <v>200.04</v>
      </c>
      <c r="I2552" s="265" t="s">
        <v>359</v>
      </c>
      <c r="J2552" s="265" t="s">
        <v>102</v>
      </c>
      <c r="K2552" s="265" t="s">
        <v>5767</v>
      </c>
      <c r="L2552" s="348" t="s">
        <v>1205</v>
      </c>
      <c r="M2552" s="265" t="s">
        <v>5768</v>
      </c>
      <c r="N2552" s="347">
        <v>2.371</v>
      </c>
      <c r="O2552" s="348" t="s">
        <v>1205</v>
      </c>
      <c r="P2552" s="348">
        <v>22.1</v>
      </c>
      <c r="Q2552" s="348">
        <v>1.41</v>
      </c>
    </row>
    <row r="2553" spans="1:17" ht="15" hidden="1" customHeight="1">
      <c r="A2553" s="163">
        <v>2561</v>
      </c>
      <c r="B2553" s="53" t="s">
        <v>44</v>
      </c>
      <c r="C2553" s="53" t="s">
        <v>5769</v>
      </c>
      <c r="D2553" s="53">
        <v>100024999</v>
      </c>
      <c r="E2553" s="55" t="s">
        <v>5770</v>
      </c>
      <c r="F2553" s="129">
        <v>10</v>
      </c>
      <c r="G2553" s="129">
        <v>180</v>
      </c>
      <c r="H2553" s="512">
        <v>275.58</v>
      </c>
      <c r="I2553" s="265" t="s">
        <v>359</v>
      </c>
      <c r="J2553" s="265" t="s">
        <v>102</v>
      </c>
      <c r="K2553" s="265" t="s">
        <v>5771</v>
      </c>
      <c r="L2553" s="348" t="s">
        <v>1205</v>
      </c>
      <c r="M2553" s="265" t="s">
        <v>5772</v>
      </c>
      <c r="N2553" s="347">
        <v>3.1360000000000001</v>
      </c>
      <c r="O2553" s="348" t="s">
        <v>1205</v>
      </c>
      <c r="P2553" s="348">
        <v>32</v>
      </c>
      <c r="Q2553" s="348">
        <v>2.65</v>
      </c>
    </row>
    <row r="2554" spans="1:17" ht="15" hidden="1" customHeight="1">
      <c r="A2554" s="163">
        <v>2562</v>
      </c>
      <c r="B2554" s="53" t="s">
        <v>44</v>
      </c>
      <c r="C2554" s="53" t="s">
        <v>5773</v>
      </c>
      <c r="D2554" s="53">
        <v>100024338</v>
      </c>
      <c r="E2554" s="55" t="s">
        <v>5774</v>
      </c>
      <c r="F2554" s="129">
        <v>10</v>
      </c>
      <c r="G2554" s="129">
        <v>180</v>
      </c>
      <c r="H2554" s="512">
        <v>229.35</v>
      </c>
      <c r="I2554" s="265" t="s">
        <v>359</v>
      </c>
      <c r="J2554" s="265" t="s">
        <v>102</v>
      </c>
      <c r="K2554" s="265" t="s">
        <v>5775</v>
      </c>
      <c r="L2554" s="348" t="s">
        <v>1205</v>
      </c>
      <c r="M2554" s="265" t="s">
        <v>5776</v>
      </c>
      <c r="N2554" s="347">
        <v>2.9249999999999998</v>
      </c>
      <c r="O2554" s="348" t="s">
        <v>1205</v>
      </c>
      <c r="P2554" s="348">
        <v>30</v>
      </c>
      <c r="Q2554" s="348">
        <v>2.65</v>
      </c>
    </row>
    <row r="2555" spans="1:17" ht="15" hidden="1" customHeight="1">
      <c r="A2555" s="163">
        <v>2563</v>
      </c>
      <c r="B2555" s="53" t="s">
        <v>44</v>
      </c>
      <c r="C2555" s="53" t="s">
        <v>5777</v>
      </c>
      <c r="D2555" s="53">
        <v>100024340</v>
      </c>
      <c r="E2555" s="55" t="s">
        <v>5778</v>
      </c>
      <c r="F2555" s="129">
        <v>10</v>
      </c>
      <c r="G2555" s="129">
        <v>180</v>
      </c>
      <c r="H2555" s="512">
        <v>275.58</v>
      </c>
      <c r="I2555" s="265" t="s">
        <v>359</v>
      </c>
      <c r="J2555" s="265" t="s">
        <v>102</v>
      </c>
      <c r="K2555" s="265" t="s">
        <v>5779</v>
      </c>
      <c r="L2555" s="348" t="s">
        <v>1205</v>
      </c>
      <c r="M2555" s="265" t="s">
        <v>5780</v>
      </c>
      <c r="N2555" s="347">
        <v>3.0819999999999999</v>
      </c>
      <c r="O2555" s="348" t="s">
        <v>1205</v>
      </c>
      <c r="P2555" s="348">
        <v>27.5</v>
      </c>
      <c r="Q2555" s="348">
        <v>2.65</v>
      </c>
    </row>
    <row r="2556" spans="1:17" ht="15" hidden="1" customHeight="1">
      <c r="A2556" s="163">
        <v>2564</v>
      </c>
      <c r="B2556" s="53" t="s">
        <v>44</v>
      </c>
      <c r="C2556" s="53" t="s">
        <v>5781</v>
      </c>
      <c r="D2556" s="53">
        <v>100025012</v>
      </c>
      <c r="E2556" s="55" t="s">
        <v>5782</v>
      </c>
      <c r="F2556" s="129">
        <v>10</v>
      </c>
      <c r="G2556" s="129">
        <v>180</v>
      </c>
      <c r="H2556" s="512">
        <v>240.47</v>
      </c>
      <c r="I2556" s="265" t="s">
        <v>76</v>
      </c>
      <c r="J2556" s="265" t="s">
        <v>102</v>
      </c>
      <c r="K2556" s="265" t="s">
        <v>5783</v>
      </c>
      <c r="L2556" s="348" t="s">
        <v>1205</v>
      </c>
      <c r="M2556" s="265" t="s">
        <v>5784</v>
      </c>
      <c r="N2556" s="347">
        <v>2.9039999999999999</v>
      </c>
      <c r="O2556" s="348" t="s">
        <v>1205</v>
      </c>
      <c r="P2556" s="348">
        <v>30.3</v>
      </c>
      <c r="Q2556" s="348">
        <v>2.65</v>
      </c>
    </row>
    <row r="2557" spans="1:17" ht="15" hidden="1" customHeight="1">
      <c r="A2557" s="163">
        <v>2565</v>
      </c>
      <c r="B2557" s="53" t="s">
        <v>44</v>
      </c>
      <c r="C2557" s="53" t="s">
        <v>5785</v>
      </c>
      <c r="D2557" s="53">
        <v>100025013</v>
      </c>
      <c r="E2557" s="55" t="s">
        <v>5786</v>
      </c>
      <c r="F2557" s="129">
        <v>10</v>
      </c>
      <c r="G2557" s="129">
        <v>240</v>
      </c>
      <c r="H2557" s="512">
        <v>251.51</v>
      </c>
      <c r="I2557" s="265" t="s">
        <v>359</v>
      </c>
      <c r="J2557" s="265" t="s">
        <v>102</v>
      </c>
      <c r="K2557" s="265" t="s">
        <v>5787</v>
      </c>
      <c r="L2557" s="348" t="s">
        <v>1205</v>
      </c>
      <c r="M2557" s="265" t="s">
        <v>5788</v>
      </c>
      <c r="N2557" s="347">
        <v>3.2189999999999999</v>
      </c>
      <c r="O2557" s="348" t="s">
        <v>1205</v>
      </c>
      <c r="P2557" s="348">
        <v>33.75</v>
      </c>
      <c r="Q2557" s="348">
        <v>2.77</v>
      </c>
    </row>
    <row r="2558" spans="1:17" ht="15" hidden="1" customHeight="1">
      <c r="A2558" s="163">
        <v>2566</v>
      </c>
      <c r="B2558" s="53" t="s">
        <v>44</v>
      </c>
      <c r="C2558" s="53" t="s">
        <v>5789</v>
      </c>
      <c r="D2558" s="53">
        <v>100024381</v>
      </c>
      <c r="E2558" s="55" t="s">
        <v>5790</v>
      </c>
      <c r="F2558" s="129">
        <v>10</v>
      </c>
      <c r="G2558" s="129">
        <v>900</v>
      </c>
      <c r="H2558" s="512">
        <v>229.35</v>
      </c>
      <c r="I2558" s="265" t="s">
        <v>359</v>
      </c>
      <c r="J2558" s="265" t="s">
        <v>102</v>
      </c>
      <c r="K2558" s="265" t="s">
        <v>5791</v>
      </c>
      <c r="L2558" s="348" t="s">
        <v>1205</v>
      </c>
      <c r="M2558" s="265" t="s">
        <v>5792</v>
      </c>
      <c r="N2558" s="347">
        <v>2.6930000000000001</v>
      </c>
      <c r="O2558" s="348" t="s">
        <v>1205</v>
      </c>
      <c r="P2558" s="348">
        <v>27.6</v>
      </c>
      <c r="Q2558" s="348">
        <v>0.8</v>
      </c>
    </row>
    <row r="2559" spans="1:17" ht="15" hidden="1" customHeight="1">
      <c r="A2559" s="163">
        <v>2567</v>
      </c>
      <c r="B2559" s="53" t="s">
        <v>44</v>
      </c>
      <c r="C2559" s="53" t="s">
        <v>5793</v>
      </c>
      <c r="D2559" s="53">
        <v>100024394</v>
      </c>
      <c r="E2559" s="55" t="s">
        <v>5794</v>
      </c>
      <c r="F2559" s="129">
        <v>10</v>
      </c>
      <c r="G2559" s="129">
        <v>180</v>
      </c>
      <c r="H2559" s="512">
        <v>240.47</v>
      </c>
      <c r="I2559" s="265" t="s">
        <v>359</v>
      </c>
      <c r="J2559" s="265" t="s">
        <v>102</v>
      </c>
      <c r="K2559" s="265" t="s">
        <v>5795</v>
      </c>
      <c r="L2559" s="348" t="s">
        <v>1205</v>
      </c>
      <c r="M2559" s="265" t="s">
        <v>5796</v>
      </c>
      <c r="N2559" s="347">
        <v>2.7429999999999999</v>
      </c>
      <c r="O2559" s="348" t="s">
        <v>1205</v>
      </c>
      <c r="P2559" s="348">
        <v>25</v>
      </c>
      <c r="Q2559" s="348">
        <v>2.65</v>
      </c>
    </row>
    <row r="2560" spans="1:17" ht="15" hidden="1" customHeight="1">
      <c r="A2560" s="163">
        <v>2568</v>
      </c>
      <c r="B2560" s="53" t="s">
        <v>44</v>
      </c>
      <c r="C2560" s="53" t="s">
        <v>5797</v>
      </c>
      <c r="D2560" s="53">
        <v>100025016</v>
      </c>
      <c r="E2560" s="55" t="s">
        <v>5798</v>
      </c>
      <c r="F2560" s="129">
        <v>10</v>
      </c>
      <c r="G2560" s="129">
        <v>180</v>
      </c>
      <c r="H2560" s="512">
        <v>240.47</v>
      </c>
      <c r="I2560" s="265" t="s">
        <v>359</v>
      </c>
      <c r="J2560" s="265" t="s">
        <v>102</v>
      </c>
      <c r="K2560" s="265" t="s">
        <v>5799</v>
      </c>
      <c r="L2560" s="348" t="s">
        <v>1205</v>
      </c>
      <c r="M2560" s="265" t="s">
        <v>5800</v>
      </c>
      <c r="N2560" s="347">
        <v>2.8490000000000002</v>
      </c>
      <c r="O2560" s="348" t="s">
        <v>1205</v>
      </c>
      <c r="P2560" s="348">
        <v>30.14</v>
      </c>
      <c r="Q2560" s="348">
        <v>2.65</v>
      </c>
    </row>
    <row r="2561" spans="1:17" ht="15" hidden="1" customHeight="1">
      <c r="A2561" s="163">
        <v>2569</v>
      </c>
      <c r="B2561" s="53" t="s">
        <v>44</v>
      </c>
      <c r="C2561" s="53" t="s">
        <v>5801</v>
      </c>
      <c r="D2561" s="53">
        <v>100024395</v>
      </c>
      <c r="E2561" s="55" t="s">
        <v>5802</v>
      </c>
      <c r="F2561" s="129">
        <v>10</v>
      </c>
      <c r="G2561" s="129">
        <v>180</v>
      </c>
      <c r="H2561" s="512">
        <v>251.51</v>
      </c>
      <c r="I2561" s="265" t="s">
        <v>359</v>
      </c>
      <c r="J2561" s="265" t="s">
        <v>102</v>
      </c>
      <c r="K2561" s="265" t="s">
        <v>5803</v>
      </c>
      <c r="L2561" s="348" t="s">
        <v>1205</v>
      </c>
      <c r="M2561" s="265" t="s">
        <v>5804</v>
      </c>
      <c r="N2561" s="347">
        <v>2.9380000000000002</v>
      </c>
      <c r="O2561" s="348" t="s">
        <v>1205</v>
      </c>
      <c r="P2561" s="348">
        <v>32</v>
      </c>
      <c r="Q2561" s="348">
        <v>2.65</v>
      </c>
    </row>
    <row r="2562" spans="1:17" ht="15" hidden="1" customHeight="1">
      <c r="A2562" s="163">
        <v>2570</v>
      </c>
      <c r="B2562" s="53" t="s">
        <v>44</v>
      </c>
      <c r="C2562" s="53" t="s">
        <v>5805</v>
      </c>
      <c r="D2562" s="53">
        <v>100024396</v>
      </c>
      <c r="E2562" s="55" t="s">
        <v>5806</v>
      </c>
      <c r="F2562" s="129">
        <v>10</v>
      </c>
      <c r="G2562" s="129">
        <v>180</v>
      </c>
      <c r="H2562" s="512">
        <v>251.51</v>
      </c>
      <c r="I2562" s="265" t="s">
        <v>359</v>
      </c>
      <c r="J2562" s="265" t="s">
        <v>102</v>
      </c>
      <c r="K2562" s="265" t="s">
        <v>5807</v>
      </c>
      <c r="L2562" s="348" t="s">
        <v>1205</v>
      </c>
      <c r="M2562" s="265" t="s">
        <v>5808</v>
      </c>
      <c r="N2562" s="347">
        <v>3.0680000000000001</v>
      </c>
      <c r="O2562" s="348" t="s">
        <v>1205</v>
      </c>
      <c r="P2562" s="348">
        <v>32.700000000000003</v>
      </c>
      <c r="Q2562" s="348">
        <v>4.38</v>
      </c>
    </row>
    <row r="2563" spans="1:17" ht="15" hidden="1" customHeight="1">
      <c r="A2563" s="163">
        <v>2571</v>
      </c>
      <c r="B2563" s="53" t="s">
        <v>44</v>
      </c>
      <c r="C2563" s="53" t="s">
        <v>5809</v>
      </c>
      <c r="D2563" s="53">
        <v>100025017</v>
      </c>
      <c r="E2563" s="55" t="s">
        <v>5810</v>
      </c>
      <c r="F2563" s="129">
        <v>10</v>
      </c>
      <c r="G2563" s="129">
        <v>180</v>
      </c>
      <c r="H2563" s="512">
        <v>251.51</v>
      </c>
      <c r="I2563" s="265" t="s">
        <v>359</v>
      </c>
      <c r="J2563" s="265" t="s">
        <v>102</v>
      </c>
      <c r="K2563" s="265" t="s">
        <v>5811</v>
      </c>
      <c r="L2563" s="348" t="s">
        <v>1205</v>
      </c>
      <c r="M2563" s="265" t="s">
        <v>5812</v>
      </c>
      <c r="N2563" s="347">
        <v>3.1640000000000001</v>
      </c>
      <c r="O2563" s="348" t="s">
        <v>1205</v>
      </c>
      <c r="P2563" s="348">
        <v>33.44</v>
      </c>
      <c r="Q2563" s="348">
        <v>4.38</v>
      </c>
    </row>
    <row r="2564" spans="1:17" ht="15" hidden="1" customHeight="1">
      <c r="A2564" s="163">
        <v>2572</v>
      </c>
      <c r="B2564" s="53" t="s">
        <v>44</v>
      </c>
      <c r="C2564" s="53" t="s">
        <v>5813</v>
      </c>
      <c r="D2564" s="53">
        <v>100025018</v>
      </c>
      <c r="E2564" s="55" t="s">
        <v>5814</v>
      </c>
      <c r="F2564" s="129">
        <v>10</v>
      </c>
      <c r="G2564" s="129">
        <v>180</v>
      </c>
      <c r="H2564" s="512">
        <v>240.47</v>
      </c>
      <c r="I2564" s="265" t="s">
        <v>359</v>
      </c>
      <c r="J2564" s="265" t="s">
        <v>102</v>
      </c>
      <c r="K2564" s="265" t="s">
        <v>5815</v>
      </c>
      <c r="L2564" s="348" t="s">
        <v>1205</v>
      </c>
      <c r="M2564" s="265" t="s">
        <v>5816</v>
      </c>
      <c r="N2564" s="347">
        <v>2.8639999999999999</v>
      </c>
      <c r="O2564" s="348" t="s">
        <v>1205</v>
      </c>
      <c r="P2564" s="348">
        <v>29.7</v>
      </c>
      <c r="Q2564" s="348">
        <v>2.65</v>
      </c>
    </row>
    <row r="2565" spans="1:17" ht="15" hidden="1" customHeight="1">
      <c r="A2565" s="163">
        <v>2573</v>
      </c>
      <c r="B2565" s="53" t="s">
        <v>44</v>
      </c>
      <c r="C2565" s="53" t="s">
        <v>5817</v>
      </c>
      <c r="D2565" s="53">
        <v>100024421</v>
      </c>
      <c r="E2565" s="55" t="s">
        <v>5818</v>
      </c>
      <c r="F2565" s="129">
        <v>10</v>
      </c>
      <c r="G2565" s="129">
        <v>180</v>
      </c>
      <c r="H2565" s="512">
        <v>240.47</v>
      </c>
      <c r="I2565" s="265" t="s">
        <v>359</v>
      </c>
      <c r="J2565" s="265" t="s">
        <v>102</v>
      </c>
      <c r="K2565" s="265" t="s">
        <v>5819</v>
      </c>
      <c r="L2565" s="348" t="s">
        <v>1205</v>
      </c>
      <c r="M2565" s="265" t="s">
        <v>5820</v>
      </c>
      <c r="N2565" s="347">
        <v>2.9220000000000002</v>
      </c>
      <c r="O2565" s="348" t="s">
        <v>1205</v>
      </c>
      <c r="P2565" s="348">
        <v>30.1</v>
      </c>
      <c r="Q2565" s="348">
        <v>2.65</v>
      </c>
    </row>
    <row r="2566" spans="1:17" ht="15" hidden="1" customHeight="1">
      <c r="A2566" s="163">
        <v>2574</v>
      </c>
      <c r="B2566" s="53" t="s">
        <v>44</v>
      </c>
      <c r="C2566" s="53" t="s">
        <v>5821</v>
      </c>
      <c r="D2566" s="53">
        <v>100024432</v>
      </c>
      <c r="E2566" s="55" t="s">
        <v>5822</v>
      </c>
      <c r="F2566" s="129">
        <v>10</v>
      </c>
      <c r="G2566" s="129">
        <v>180</v>
      </c>
      <c r="H2566" s="512">
        <v>240.47</v>
      </c>
      <c r="I2566" s="265" t="s">
        <v>359</v>
      </c>
      <c r="J2566" s="265" t="s">
        <v>102</v>
      </c>
      <c r="K2566" s="265" t="s">
        <v>5823</v>
      </c>
      <c r="L2566" s="348" t="s">
        <v>1205</v>
      </c>
      <c r="M2566" s="265" t="s">
        <v>5824</v>
      </c>
      <c r="N2566" s="347">
        <v>2.7610000000000001</v>
      </c>
      <c r="O2566" s="348" t="s">
        <v>1205</v>
      </c>
      <c r="P2566" s="348">
        <v>29.42</v>
      </c>
      <c r="Q2566" s="348">
        <v>2.65</v>
      </c>
    </row>
    <row r="2567" spans="1:17" ht="15" hidden="1" customHeight="1">
      <c r="A2567" s="163">
        <v>2575</v>
      </c>
      <c r="B2567" s="53" t="s">
        <v>44</v>
      </c>
      <c r="C2567" s="53" t="s">
        <v>5825</v>
      </c>
      <c r="D2567" s="53">
        <v>100024433</v>
      </c>
      <c r="E2567" s="55" t="s">
        <v>5826</v>
      </c>
      <c r="F2567" s="129">
        <v>10</v>
      </c>
      <c r="G2567" s="129">
        <v>180</v>
      </c>
      <c r="H2567" s="512">
        <v>240.47</v>
      </c>
      <c r="I2567" s="265" t="s">
        <v>359</v>
      </c>
      <c r="J2567" s="265" t="s">
        <v>102</v>
      </c>
      <c r="K2567" s="265" t="s">
        <v>5827</v>
      </c>
      <c r="L2567" s="348" t="s">
        <v>1205</v>
      </c>
      <c r="M2567" s="265" t="s">
        <v>5828</v>
      </c>
      <c r="N2567" s="347">
        <v>2.867</v>
      </c>
      <c r="O2567" s="348" t="s">
        <v>1205</v>
      </c>
      <c r="P2567" s="348">
        <v>31</v>
      </c>
      <c r="Q2567" s="348">
        <v>2.65</v>
      </c>
    </row>
    <row r="2568" spans="1:17" ht="15" hidden="1" customHeight="1">
      <c r="A2568" s="163">
        <v>2576</v>
      </c>
      <c r="B2568" s="53" t="s">
        <v>44</v>
      </c>
      <c r="C2568" s="53" t="s">
        <v>5829</v>
      </c>
      <c r="D2568" s="53">
        <v>100024480</v>
      </c>
      <c r="E2568" s="55" t="s">
        <v>5830</v>
      </c>
      <c r="F2568" s="129">
        <v>10</v>
      </c>
      <c r="G2568" s="129">
        <v>180</v>
      </c>
      <c r="H2568" s="512">
        <v>240.47</v>
      </c>
      <c r="I2568" s="265" t="s">
        <v>359</v>
      </c>
      <c r="J2568" s="265" t="s">
        <v>102</v>
      </c>
      <c r="K2568" s="265" t="s">
        <v>5831</v>
      </c>
      <c r="L2568" s="348" t="s">
        <v>1205</v>
      </c>
      <c r="M2568" s="265" t="s">
        <v>5832</v>
      </c>
      <c r="N2568" s="347">
        <v>2.7170000000000001</v>
      </c>
      <c r="O2568" s="348" t="s">
        <v>1205</v>
      </c>
      <c r="P2568" s="348">
        <v>30</v>
      </c>
      <c r="Q2568" s="348">
        <v>2.65</v>
      </c>
    </row>
    <row r="2569" spans="1:17" ht="15" hidden="1" customHeight="1">
      <c r="A2569" s="163">
        <v>2577</v>
      </c>
      <c r="B2569" s="53" t="s">
        <v>44</v>
      </c>
      <c r="C2569" s="53" t="s">
        <v>5833</v>
      </c>
      <c r="D2569" s="53">
        <v>100024481</v>
      </c>
      <c r="E2569" s="55" t="s">
        <v>5834</v>
      </c>
      <c r="F2569" s="129">
        <v>10</v>
      </c>
      <c r="G2569" s="129" t="s">
        <v>2803</v>
      </c>
      <c r="H2569" s="512">
        <v>251.51</v>
      </c>
      <c r="I2569" s="265" t="s">
        <v>359</v>
      </c>
      <c r="J2569" s="265" t="s">
        <v>102</v>
      </c>
      <c r="K2569" s="265" t="s">
        <v>5835</v>
      </c>
      <c r="L2569" s="348" t="s">
        <v>1205</v>
      </c>
      <c r="M2569" s="265" t="s">
        <v>5836</v>
      </c>
      <c r="N2569" s="347">
        <v>3.032</v>
      </c>
      <c r="O2569" s="348" t="s">
        <v>1205</v>
      </c>
      <c r="P2569" s="348">
        <v>34</v>
      </c>
      <c r="Q2569" s="348" t="s">
        <v>1205</v>
      </c>
    </row>
    <row r="2570" spans="1:17" ht="15" hidden="1" customHeight="1">
      <c r="A2570" s="163">
        <v>2578</v>
      </c>
      <c r="B2570" s="53" t="s">
        <v>44</v>
      </c>
      <c r="C2570" s="53" t="s">
        <v>5837</v>
      </c>
      <c r="D2570" s="53">
        <v>100024502</v>
      </c>
      <c r="E2570" s="55" t="s">
        <v>5838</v>
      </c>
      <c r="F2570" s="129">
        <v>10</v>
      </c>
      <c r="G2570" s="129">
        <v>180</v>
      </c>
      <c r="H2570" s="512">
        <v>251.51</v>
      </c>
      <c r="I2570" s="265" t="s">
        <v>359</v>
      </c>
      <c r="J2570" s="265" t="s">
        <v>102</v>
      </c>
      <c r="K2570" s="265" t="s">
        <v>5839</v>
      </c>
      <c r="L2570" s="348" t="s">
        <v>1205</v>
      </c>
      <c r="M2570" s="265" t="s">
        <v>5840</v>
      </c>
      <c r="N2570" s="347">
        <v>3.2770000000000001</v>
      </c>
      <c r="O2570" s="348" t="s">
        <v>1205</v>
      </c>
      <c r="P2570" s="348">
        <v>35</v>
      </c>
      <c r="Q2570" s="348">
        <v>4.38</v>
      </c>
    </row>
    <row r="2571" spans="1:17" ht="15" hidden="1" customHeight="1">
      <c r="A2571" s="163">
        <v>2579</v>
      </c>
      <c r="B2571" s="53" t="s">
        <v>44</v>
      </c>
      <c r="C2571" s="53" t="s">
        <v>5841</v>
      </c>
      <c r="D2571" s="53">
        <v>100024511</v>
      </c>
      <c r="E2571" s="55" t="s">
        <v>5842</v>
      </c>
      <c r="F2571" s="129">
        <v>10</v>
      </c>
      <c r="G2571" s="129">
        <v>180</v>
      </c>
      <c r="H2571" s="512">
        <v>240.47</v>
      </c>
      <c r="I2571" s="265" t="s">
        <v>359</v>
      </c>
      <c r="J2571" s="265" t="s">
        <v>102</v>
      </c>
      <c r="K2571" s="265" t="s">
        <v>5843</v>
      </c>
      <c r="L2571" s="348" t="s">
        <v>1205</v>
      </c>
      <c r="M2571" s="265" t="s">
        <v>5844</v>
      </c>
      <c r="N2571" s="347">
        <v>2.8820000000000001</v>
      </c>
      <c r="O2571" s="348" t="s">
        <v>1205</v>
      </c>
      <c r="P2571" s="348">
        <v>30.6</v>
      </c>
      <c r="Q2571" s="348">
        <v>2.65</v>
      </c>
    </row>
    <row r="2572" spans="1:17" ht="15" hidden="1" customHeight="1">
      <c r="A2572" s="163">
        <v>2580</v>
      </c>
      <c r="B2572" s="53" t="s">
        <v>44</v>
      </c>
      <c r="C2572" s="53" t="s">
        <v>5845</v>
      </c>
      <c r="D2572" s="53">
        <v>100024512</v>
      </c>
      <c r="E2572" s="55" t="s">
        <v>5846</v>
      </c>
      <c r="F2572" s="129">
        <v>10</v>
      </c>
      <c r="G2572" s="129" t="s">
        <v>2803</v>
      </c>
      <c r="H2572" s="512">
        <v>251.51</v>
      </c>
      <c r="I2572" s="265" t="s">
        <v>359</v>
      </c>
      <c r="J2572" s="265" t="s">
        <v>102</v>
      </c>
      <c r="K2572" s="265" t="s">
        <v>5847</v>
      </c>
      <c r="L2572" s="348" t="s">
        <v>1205</v>
      </c>
      <c r="M2572" s="265" t="s">
        <v>5848</v>
      </c>
      <c r="N2572" s="347">
        <v>3.101</v>
      </c>
      <c r="O2572" s="348" t="s">
        <v>1205</v>
      </c>
      <c r="P2572" s="348">
        <v>32.700000000000003</v>
      </c>
      <c r="Q2572" s="348" t="s">
        <v>1205</v>
      </c>
    </row>
    <row r="2573" spans="1:17" ht="15" hidden="1" customHeight="1">
      <c r="A2573" s="163">
        <v>2581</v>
      </c>
      <c r="B2573" s="53" t="s">
        <v>44</v>
      </c>
      <c r="C2573" s="53" t="s">
        <v>5849</v>
      </c>
      <c r="D2573" s="53">
        <v>100025035</v>
      </c>
      <c r="E2573" s="55" t="s">
        <v>5850</v>
      </c>
      <c r="F2573" s="129">
        <v>10</v>
      </c>
      <c r="G2573" s="129">
        <v>180</v>
      </c>
      <c r="H2573" s="512">
        <v>240.47</v>
      </c>
      <c r="I2573" s="265" t="s">
        <v>359</v>
      </c>
      <c r="J2573" s="265" t="s">
        <v>102</v>
      </c>
      <c r="K2573" s="265" t="s">
        <v>5851</v>
      </c>
      <c r="L2573" s="348" t="s">
        <v>1205</v>
      </c>
      <c r="M2573" s="265" t="s">
        <v>5852</v>
      </c>
      <c r="N2573" s="347">
        <v>3.0369999999999999</v>
      </c>
      <c r="O2573" s="348" t="s">
        <v>1205</v>
      </c>
      <c r="P2573" s="348">
        <v>31.35</v>
      </c>
      <c r="Q2573" s="348">
        <v>2.65</v>
      </c>
    </row>
    <row r="2574" spans="1:17" ht="15" hidden="1" customHeight="1">
      <c r="A2574" s="163">
        <v>2582</v>
      </c>
      <c r="B2574" s="53" t="s">
        <v>44</v>
      </c>
      <c r="C2574" s="53" t="s">
        <v>5853</v>
      </c>
      <c r="D2574" s="53">
        <v>100024536</v>
      </c>
      <c r="E2574" s="55" t="s">
        <v>5854</v>
      </c>
      <c r="F2574" s="129">
        <v>10</v>
      </c>
      <c r="G2574" s="129">
        <v>240</v>
      </c>
      <c r="H2574" s="512">
        <v>251.51</v>
      </c>
      <c r="I2574" s="265" t="s">
        <v>359</v>
      </c>
      <c r="J2574" s="265" t="s">
        <v>102</v>
      </c>
      <c r="K2574" s="265" t="s">
        <v>5855</v>
      </c>
      <c r="L2574" s="348" t="s">
        <v>1205</v>
      </c>
      <c r="M2574" s="265" t="s">
        <v>5856</v>
      </c>
      <c r="N2574" s="347">
        <v>3.3519999999999999</v>
      </c>
      <c r="O2574" s="348" t="s">
        <v>1205</v>
      </c>
      <c r="P2574" s="348">
        <v>34.5</v>
      </c>
      <c r="Q2574" s="348">
        <v>2.77</v>
      </c>
    </row>
    <row r="2575" spans="1:17" ht="15" hidden="1" customHeight="1">
      <c r="A2575" s="163">
        <v>2583</v>
      </c>
      <c r="B2575" s="53" t="s">
        <v>44</v>
      </c>
      <c r="C2575" s="53" t="s">
        <v>5857</v>
      </c>
      <c r="D2575" s="53">
        <v>100025037</v>
      </c>
      <c r="E2575" s="55" t="s">
        <v>5858</v>
      </c>
      <c r="F2575" s="129">
        <v>10</v>
      </c>
      <c r="G2575" s="129">
        <v>180</v>
      </c>
      <c r="H2575" s="512">
        <v>240.47</v>
      </c>
      <c r="I2575" s="265" t="s">
        <v>359</v>
      </c>
      <c r="J2575" s="265" t="s">
        <v>102</v>
      </c>
      <c r="K2575" s="265" t="s">
        <v>5859</v>
      </c>
      <c r="L2575" s="348" t="s">
        <v>1205</v>
      </c>
      <c r="M2575" s="265" t="s">
        <v>5860</v>
      </c>
      <c r="N2575" s="347">
        <v>2.9820000000000002</v>
      </c>
      <c r="O2575" s="348" t="s">
        <v>1205</v>
      </c>
      <c r="P2575" s="348">
        <v>22</v>
      </c>
      <c r="Q2575" s="348">
        <v>2.65</v>
      </c>
    </row>
    <row r="2576" spans="1:17" ht="15" hidden="1" customHeight="1">
      <c r="A2576" s="163">
        <v>2584</v>
      </c>
      <c r="B2576" s="53" t="s">
        <v>44</v>
      </c>
      <c r="C2576" s="53" t="s">
        <v>5861</v>
      </c>
      <c r="D2576" s="53">
        <v>100024542</v>
      </c>
      <c r="E2576" s="55" t="s">
        <v>5862</v>
      </c>
      <c r="F2576" s="129">
        <v>10</v>
      </c>
      <c r="G2576" s="129">
        <v>240</v>
      </c>
      <c r="H2576" s="512">
        <v>251.51</v>
      </c>
      <c r="I2576" s="265" t="s">
        <v>359</v>
      </c>
      <c r="J2576" s="265" t="s">
        <v>102</v>
      </c>
      <c r="K2576" s="265" t="s">
        <v>5863</v>
      </c>
      <c r="L2576" s="348" t="s">
        <v>1205</v>
      </c>
      <c r="M2576" s="265" t="s">
        <v>5864</v>
      </c>
      <c r="N2576" s="347">
        <v>3.2970000000000002</v>
      </c>
      <c r="O2576" s="348" t="s">
        <v>1205</v>
      </c>
      <c r="P2576" s="348">
        <v>35</v>
      </c>
      <c r="Q2576" s="348">
        <v>2.77</v>
      </c>
    </row>
    <row r="2577" spans="1:17" ht="15" hidden="1" customHeight="1">
      <c r="A2577" s="163">
        <v>2585</v>
      </c>
      <c r="B2577" s="53" t="s">
        <v>44</v>
      </c>
      <c r="C2577" s="53" t="s">
        <v>5865</v>
      </c>
      <c r="D2577" s="53">
        <v>100025057</v>
      </c>
      <c r="E2577" s="55" t="s">
        <v>5866</v>
      </c>
      <c r="F2577" s="129">
        <v>10</v>
      </c>
      <c r="G2577" s="129">
        <v>180</v>
      </c>
      <c r="H2577" s="512">
        <v>240.47</v>
      </c>
      <c r="I2577" s="265" t="s">
        <v>359</v>
      </c>
      <c r="J2577" s="265" t="s">
        <v>102</v>
      </c>
      <c r="K2577" s="265" t="s">
        <v>5867</v>
      </c>
      <c r="L2577" s="348" t="s">
        <v>1205</v>
      </c>
      <c r="M2577" s="265" t="s">
        <v>5868</v>
      </c>
      <c r="N2577" s="347">
        <v>2.9</v>
      </c>
      <c r="O2577" s="348" t="s">
        <v>1205</v>
      </c>
      <c r="P2577" s="348">
        <v>30.15</v>
      </c>
      <c r="Q2577" s="348">
        <v>2.65</v>
      </c>
    </row>
    <row r="2578" spans="1:17" ht="15" hidden="1" customHeight="1">
      <c r="A2578" s="163">
        <v>2586</v>
      </c>
      <c r="B2578" s="53" t="s">
        <v>44</v>
      </c>
      <c r="C2578" s="53" t="s">
        <v>5869</v>
      </c>
      <c r="D2578" s="53">
        <v>100024572</v>
      </c>
      <c r="E2578" s="55" t="s">
        <v>5870</v>
      </c>
      <c r="F2578" s="129">
        <v>10</v>
      </c>
      <c r="G2578" s="129">
        <v>240</v>
      </c>
      <c r="H2578" s="512">
        <v>251.51</v>
      </c>
      <c r="I2578" s="265" t="s">
        <v>359</v>
      </c>
      <c r="J2578" s="265" t="s">
        <v>102</v>
      </c>
      <c r="K2578" s="265" t="s">
        <v>5871</v>
      </c>
      <c r="L2578" s="348" t="s">
        <v>1205</v>
      </c>
      <c r="M2578" s="265" t="s">
        <v>5872</v>
      </c>
      <c r="N2578" s="347">
        <v>3.2149999999999999</v>
      </c>
      <c r="O2578" s="348" t="s">
        <v>1205</v>
      </c>
      <c r="P2578" s="348">
        <v>33.799999999999997</v>
      </c>
      <c r="Q2578" s="348">
        <v>2.77</v>
      </c>
    </row>
    <row r="2579" spans="1:17" ht="15" hidden="1" customHeight="1">
      <c r="A2579" s="163">
        <v>2587</v>
      </c>
      <c r="B2579" s="53" t="s">
        <v>44</v>
      </c>
      <c r="C2579" s="53" t="s">
        <v>5873</v>
      </c>
      <c r="D2579" s="53">
        <v>100025062</v>
      </c>
      <c r="E2579" s="55" t="s">
        <v>5874</v>
      </c>
      <c r="F2579" s="129">
        <v>10</v>
      </c>
      <c r="G2579" s="129">
        <v>180</v>
      </c>
      <c r="H2579" s="512">
        <v>240.47</v>
      </c>
      <c r="I2579" s="265" t="s">
        <v>76</v>
      </c>
      <c r="J2579" s="265" t="s">
        <v>102</v>
      </c>
      <c r="K2579" s="265" t="s">
        <v>5875</v>
      </c>
      <c r="L2579" s="348" t="s">
        <v>1205</v>
      </c>
      <c r="M2579" s="265" t="s">
        <v>5876</v>
      </c>
      <c r="N2579" s="347">
        <v>2.85</v>
      </c>
      <c r="O2579" s="348" t="s">
        <v>1205</v>
      </c>
      <c r="P2579" s="348">
        <v>30.2</v>
      </c>
      <c r="Q2579" s="348">
        <v>2.65</v>
      </c>
    </row>
    <row r="2580" spans="1:17" ht="15" hidden="1" customHeight="1">
      <c r="A2580" s="163">
        <v>2588</v>
      </c>
      <c r="B2580" s="53" t="s">
        <v>44</v>
      </c>
      <c r="C2580" s="53" t="s">
        <v>5877</v>
      </c>
      <c r="D2580" s="53">
        <v>100024580</v>
      </c>
      <c r="E2580" s="55" t="s">
        <v>5878</v>
      </c>
      <c r="F2580" s="129">
        <v>10</v>
      </c>
      <c r="G2580" s="129" t="s">
        <v>2803</v>
      </c>
      <c r="H2580" s="512">
        <v>251.51</v>
      </c>
      <c r="I2580" s="265" t="s">
        <v>359</v>
      </c>
      <c r="J2580" s="265" t="s">
        <v>102</v>
      </c>
      <c r="K2580" s="265" t="s">
        <v>5879</v>
      </c>
      <c r="L2580" s="348" t="s">
        <v>1205</v>
      </c>
      <c r="M2580" s="265" t="s">
        <v>5880</v>
      </c>
      <c r="N2580" s="347">
        <v>3.1320000000000001</v>
      </c>
      <c r="O2580" s="348" t="s">
        <v>1205</v>
      </c>
      <c r="P2580" s="348" t="s">
        <v>1205</v>
      </c>
      <c r="Q2580" s="348" t="s">
        <v>1205</v>
      </c>
    </row>
    <row r="2581" spans="1:17" ht="15" hidden="1" customHeight="1">
      <c r="A2581" s="163">
        <v>2589</v>
      </c>
      <c r="B2581" s="53" t="s">
        <v>44</v>
      </c>
      <c r="C2581" s="53" t="s">
        <v>5881</v>
      </c>
      <c r="D2581" s="53">
        <v>100024605</v>
      </c>
      <c r="E2581" s="55" t="s">
        <v>5882</v>
      </c>
      <c r="F2581" s="129">
        <v>10</v>
      </c>
      <c r="G2581" s="129">
        <v>180</v>
      </c>
      <c r="H2581" s="512">
        <v>240.47</v>
      </c>
      <c r="I2581" s="265" t="s">
        <v>359</v>
      </c>
      <c r="J2581" s="265" t="s">
        <v>102</v>
      </c>
      <c r="K2581" s="265" t="s">
        <v>5883</v>
      </c>
      <c r="L2581" s="348" t="s">
        <v>1205</v>
      </c>
      <c r="M2581" s="265" t="s">
        <v>5884</v>
      </c>
      <c r="N2581" s="347">
        <v>2.9569999999999999</v>
      </c>
      <c r="O2581" s="348" t="s">
        <v>1205</v>
      </c>
      <c r="P2581" s="348">
        <v>30.55</v>
      </c>
      <c r="Q2581" s="348">
        <v>2.65</v>
      </c>
    </row>
    <row r="2582" spans="1:17" ht="15" hidden="1" customHeight="1">
      <c r="A2582" s="163">
        <v>2590</v>
      </c>
      <c r="B2582" s="53" t="s">
        <v>44</v>
      </c>
      <c r="C2582" s="53" t="s">
        <v>5886</v>
      </c>
      <c r="D2582" s="53">
        <v>100024608</v>
      </c>
      <c r="E2582" s="55" t="s">
        <v>5887</v>
      </c>
      <c r="F2582" s="129">
        <v>1</v>
      </c>
      <c r="G2582" s="129" t="s">
        <v>2803</v>
      </c>
      <c r="H2582" s="512">
        <v>49.13</v>
      </c>
      <c r="I2582" s="265" t="s">
        <v>359</v>
      </c>
      <c r="J2582" s="265" t="s">
        <v>102</v>
      </c>
      <c r="K2582" s="265" t="s">
        <v>5888</v>
      </c>
      <c r="L2582" s="348" t="s">
        <v>1205</v>
      </c>
      <c r="M2582" s="265" t="s">
        <v>5889</v>
      </c>
      <c r="N2582" s="347">
        <v>0.255</v>
      </c>
      <c r="O2582" s="348" t="s">
        <v>1205</v>
      </c>
      <c r="P2582" s="348">
        <v>0.255</v>
      </c>
      <c r="Q2582" s="348" t="s">
        <v>1205</v>
      </c>
    </row>
    <row r="2583" spans="1:17" ht="15" hidden="1" customHeight="1">
      <c r="A2583" s="163">
        <v>2591</v>
      </c>
      <c r="B2583" s="53" t="s">
        <v>44</v>
      </c>
      <c r="C2583" s="53" t="s">
        <v>5890</v>
      </c>
      <c r="D2583" s="53">
        <v>100024609</v>
      </c>
      <c r="E2583" s="55" t="s">
        <v>5891</v>
      </c>
      <c r="F2583" s="129">
        <v>25</v>
      </c>
      <c r="G2583" s="129">
        <v>2250</v>
      </c>
      <c r="H2583" s="512">
        <v>58.63</v>
      </c>
      <c r="I2583" s="265" t="s">
        <v>359</v>
      </c>
      <c r="J2583" s="265" t="s">
        <v>102</v>
      </c>
      <c r="K2583" s="265" t="s">
        <v>5892</v>
      </c>
      <c r="L2583" s="348" t="s">
        <v>1205</v>
      </c>
      <c r="M2583" s="265" t="s">
        <v>5893</v>
      </c>
      <c r="N2583" s="347">
        <v>0.41899999999999998</v>
      </c>
      <c r="O2583" s="348" t="s">
        <v>1205</v>
      </c>
      <c r="P2583" s="348">
        <v>11.24</v>
      </c>
      <c r="Q2583" s="348">
        <v>0.8</v>
      </c>
    </row>
    <row r="2584" spans="1:17" ht="15" hidden="1" customHeight="1">
      <c r="A2584" s="163">
        <v>2592</v>
      </c>
      <c r="B2584" s="53" t="s">
        <v>44</v>
      </c>
      <c r="C2584" s="53" t="s">
        <v>5894</v>
      </c>
      <c r="D2584" s="53">
        <v>100025064</v>
      </c>
      <c r="E2584" s="55" t="s">
        <v>5895</v>
      </c>
      <c r="F2584" s="129">
        <v>25</v>
      </c>
      <c r="G2584" s="129">
        <v>1875</v>
      </c>
      <c r="H2584" s="512">
        <v>60.52</v>
      </c>
      <c r="I2584" s="265" t="s">
        <v>359</v>
      </c>
      <c r="J2584" s="265" t="s">
        <v>102</v>
      </c>
      <c r="K2584" s="265" t="s">
        <v>5896</v>
      </c>
      <c r="L2584" s="348" t="s">
        <v>1205</v>
      </c>
      <c r="M2584" s="265" t="s">
        <v>5897</v>
      </c>
      <c r="N2584" s="347">
        <v>0.438</v>
      </c>
      <c r="O2584" s="348" t="s">
        <v>1205</v>
      </c>
      <c r="P2584" s="348">
        <v>12.02</v>
      </c>
      <c r="Q2584" s="348">
        <v>0.95</v>
      </c>
    </row>
    <row r="2585" spans="1:17" ht="15" hidden="1" customHeight="1">
      <c r="A2585" s="163">
        <v>2593</v>
      </c>
      <c r="B2585" s="53" t="s">
        <v>44</v>
      </c>
      <c r="C2585" s="53" t="s">
        <v>5898</v>
      </c>
      <c r="D2585" s="53">
        <v>100024610</v>
      </c>
      <c r="E2585" s="55" t="s">
        <v>5899</v>
      </c>
      <c r="F2585" s="129">
        <v>25</v>
      </c>
      <c r="G2585" s="129">
        <v>3750</v>
      </c>
      <c r="H2585" s="512">
        <v>53.17</v>
      </c>
      <c r="I2585" s="265" t="s">
        <v>359</v>
      </c>
      <c r="J2585" s="265" t="s">
        <v>102</v>
      </c>
      <c r="K2585" s="265" t="s">
        <v>5900</v>
      </c>
      <c r="L2585" s="348" t="s">
        <v>1205</v>
      </c>
      <c r="M2585" s="265" t="s">
        <v>5901</v>
      </c>
      <c r="N2585" s="347">
        <v>0.313</v>
      </c>
      <c r="O2585" s="348" t="s">
        <v>1205</v>
      </c>
      <c r="P2585" s="348">
        <v>3.65</v>
      </c>
      <c r="Q2585" s="348">
        <v>0.5</v>
      </c>
    </row>
    <row r="2586" spans="1:17" ht="15" hidden="1" customHeight="1">
      <c r="A2586" s="163">
        <v>2594</v>
      </c>
      <c r="B2586" s="53" t="s">
        <v>44</v>
      </c>
      <c r="C2586" s="53" t="s">
        <v>5902</v>
      </c>
      <c r="D2586" s="53">
        <v>100025065</v>
      </c>
      <c r="E2586" s="55" t="s">
        <v>5903</v>
      </c>
      <c r="F2586" s="129">
        <v>25</v>
      </c>
      <c r="G2586" s="129">
        <v>2250</v>
      </c>
      <c r="H2586" s="512">
        <v>58.63</v>
      </c>
      <c r="I2586" s="265" t="s">
        <v>359</v>
      </c>
      <c r="J2586" s="265" t="s">
        <v>102</v>
      </c>
      <c r="K2586" s="265" t="s">
        <v>5904</v>
      </c>
      <c r="L2586" s="348" t="s">
        <v>1205</v>
      </c>
      <c r="M2586" s="265" t="s">
        <v>5905</v>
      </c>
      <c r="N2586" s="347">
        <v>0.40400000000000003</v>
      </c>
      <c r="O2586" s="348" t="s">
        <v>1205</v>
      </c>
      <c r="P2586" s="348">
        <v>11.88</v>
      </c>
      <c r="Q2586" s="348">
        <v>0.8</v>
      </c>
    </row>
    <row r="2587" spans="1:17" ht="15" hidden="1" customHeight="1">
      <c r="A2587" s="163">
        <v>2595</v>
      </c>
      <c r="B2587" s="53" t="s">
        <v>44</v>
      </c>
      <c r="C2587" s="53" t="s">
        <v>5906</v>
      </c>
      <c r="D2587" s="53">
        <v>100025066</v>
      </c>
      <c r="E2587" s="55" t="s">
        <v>5907</v>
      </c>
      <c r="F2587" s="129">
        <v>25</v>
      </c>
      <c r="G2587" s="129">
        <v>1875</v>
      </c>
      <c r="H2587" s="512">
        <v>60.52</v>
      </c>
      <c r="I2587" s="265" t="s">
        <v>359</v>
      </c>
      <c r="J2587" s="265" t="s">
        <v>102</v>
      </c>
      <c r="K2587" s="265" t="s">
        <v>5908</v>
      </c>
      <c r="L2587" s="348" t="s">
        <v>1205</v>
      </c>
      <c r="M2587" s="265" t="s">
        <v>5909</v>
      </c>
      <c r="N2587" s="347">
        <v>0.42299999999999999</v>
      </c>
      <c r="O2587" s="348" t="s">
        <v>1205</v>
      </c>
      <c r="P2587" s="348">
        <v>11.515000000000001</v>
      </c>
      <c r="Q2587" s="348">
        <v>0.95</v>
      </c>
    </row>
    <row r="2588" spans="1:17" ht="15" hidden="1" customHeight="1">
      <c r="A2588" s="163">
        <v>2596</v>
      </c>
      <c r="B2588" s="53" t="s">
        <v>44</v>
      </c>
      <c r="C2588" s="53" t="s">
        <v>5910</v>
      </c>
      <c r="D2588" s="53">
        <v>100024612</v>
      </c>
      <c r="E2588" s="55" t="s">
        <v>5911</v>
      </c>
      <c r="F2588" s="129">
        <v>25</v>
      </c>
      <c r="G2588" s="129">
        <v>3750</v>
      </c>
      <c r="H2588" s="512">
        <v>53.17</v>
      </c>
      <c r="I2588" s="265" t="s">
        <v>359</v>
      </c>
      <c r="J2588" s="265" t="s">
        <v>102</v>
      </c>
      <c r="K2588" s="265" t="s">
        <v>5912</v>
      </c>
      <c r="L2588" s="348" t="s">
        <v>1205</v>
      </c>
      <c r="M2588" s="265" t="s">
        <v>5913</v>
      </c>
      <c r="N2588" s="347">
        <v>0.29799999999999999</v>
      </c>
      <c r="O2588" s="348" t="s">
        <v>1205</v>
      </c>
      <c r="P2588" s="348">
        <v>7.93</v>
      </c>
      <c r="Q2588" s="348">
        <v>0.5</v>
      </c>
    </row>
    <row r="2589" spans="1:17" ht="15" hidden="1" customHeight="1">
      <c r="A2589" s="163">
        <v>2597</v>
      </c>
      <c r="B2589" s="53" t="s">
        <v>44</v>
      </c>
      <c r="C2589" s="53" t="s">
        <v>5914</v>
      </c>
      <c r="D2589" s="53">
        <v>100025068</v>
      </c>
      <c r="E2589" s="55" t="s">
        <v>5915</v>
      </c>
      <c r="F2589" s="129">
        <v>25</v>
      </c>
      <c r="G2589" s="129">
        <v>2250</v>
      </c>
      <c r="H2589" s="512">
        <v>66.77</v>
      </c>
      <c r="I2589" s="265" t="s">
        <v>359</v>
      </c>
      <c r="J2589" s="265" t="s">
        <v>102</v>
      </c>
      <c r="K2589" s="265" t="s">
        <v>5916</v>
      </c>
      <c r="L2589" s="348" t="s">
        <v>1205</v>
      </c>
      <c r="M2589" s="265" t="s">
        <v>5917</v>
      </c>
      <c r="N2589" s="347">
        <v>0.56100000000000005</v>
      </c>
      <c r="O2589" s="348" t="s">
        <v>1205</v>
      </c>
      <c r="P2589" s="348">
        <v>14.02</v>
      </c>
      <c r="Q2589" s="348">
        <v>0.8</v>
      </c>
    </row>
    <row r="2590" spans="1:17" ht="15" hidden="1" customHeight="1">
      <c r="A2590" s="163">
        <v>2598</v>
      </c>
      <c r="B2590" s="53" t="s">
        <v>44</v>
      </c>
      <c r="C2590" s="53" t="s">
        <v>5918</v>
      </c>
      <c r="D2590" s="53">
        <v>100025069</v>
      </c>
      <c r="E2590" s="55" t="s">
        <v>5919</v>
      </c>
      <c r="F2590" s="129">
        <v>25</v>
      </c>
      <c r="G2590" s="129">
        <v>1875</v>
      </c>
      <c r="H2590" s="512">
        <v>68.98</v>
      </c>
      <c r="I2590" s="265" t="s">
        <v>359</v>
      </c>
      <c r="J2590" s="265" t="s">
        <v>102</v>
      </c>
      <c r="K2590" s="265" t="s">
        <v>5920</v>
      </c>
      <c r="L2590" s="348" t="s">
        <v>1205</v>
      </c>
      <c r="M2590" s="265" t="s">
        <v>5921</v>
      </c>
      <c r="N2590" s="347">
        <v>0.61399999999999999</v>
      </c>
      <c r="O2590" s="348" t="s">
        <v>1205</v>
      </c>
      <c r="P2590" s="348">
        <v>15.355</v>
      </c>
      <c r="Q2590" s="348">
        <v>1.1000000000000001</v>
      </c>
    </row>
    <row r="2591" spans="1:17" ht="15" hidden="1" customHeight="1">
      <c r="A2591" s="163">
        <v>2599</v>
      </c>
      <c r="B2591" s="53" t="s">
        <v>44</v>
      </c>
      <c r="C2591" s="53" t="s">
        <v>5922</v>
      </c>
      <c r="D2591" s="53">
        <v>100024614</v>
      </c>
      <c r="E2591" s="55" t="s">
        <v>5923</v>
      </c>
      <c r="F2591" s="129">
        <v>25</v>
      </c>
      <c r="G2591" s="129">
        <v>3000</v>
      </c>
      <c r="H2591" s="512">
        <v>60.04</v>
      </c>
      <c r="I2591" s="265" t="s">
        <v>359</v>
      </c>
      <c r="J2591" s="265" t="s">
        <v>102</v>
      </c>
      <c r="K2591" s="265" t="s">
        <v>5924</v>
      </c>
      <c r="L2591" s="348" t="s">
        <v>1205</v>
      </c>
      <c r="M2591" s="265" t="s">
        <v>5925</v>
      </c>
      <c r="N2591" s="347">
        <v>0.50600000000000001</v>
      </c>
      <c r="O2591" s="348" t="s">
        <v>1205</v>
      </c>
      <c r="P2591" s="348">
        <v>10.6</v>
      </c>
      <c r="Q2591" s="348">
        <v>0.65</v>
      </c>
    </row>
    <row r="2592" spans="1:17" ht="15" hidden="1" customHeight="1">
      <c r="A2592" s="163">
        <v>2600</v>
      </c>
      <c r="B2592" s="53" t="s">
        <v>44</v>
      </c>
      <c r="C2592" s="53" t="s">
        <v>5926</v>
      </c>
      <c r="D2592" s="53">
        <v>100025070</v>
      </c>
      <c r="E2592" s="55" t="s">
        <v>5927</v>
      </c>
      <c r="F2592" s="129">
        <v>25</v>
      </c>
      <c r="G2592" s="129">
        <v>2250</v>
      </c>
      <c r="H2592" s="512">
        <v>64.48</v>
      </c>
      <c r="I2592" s="265" t="s">
        <v>359</v>
      </c>
      <c r="J2592" s="265" t="s">
        <v>102</v>
      </c>
      <c r="K2592" s="265" t="s">
        <v>5928</v>
      </c>
      <c r="L2592" s="348" t="s">
        <v>1205</v>
      </c>
      <c r="M2592" s="265" t="s">
        <v>5929</v>
      </c>
      <c r="N2592" s="347">
        <v>0.52</v>
      </c>
      <c r="O2592" s="348" t="s">
        <v>1205</v>
      </c>
      <c r="P2592" s="348">
        <v>13</v>
      </c>
      <c r="Q2592" s="348">
        <v>0.8</v>
      </c>
    </row>
    <row r="2593" spans="1:17" ht="15" hidden="1" customHeight="1">
      <c r="A2593" s="163">
        <v>2601</v>
      </c>
      <c r="B2593" s="53" t="s">
        <v>44</v>
      </c>
      <c r="C2593" s="53" t="s">
        <v>5930</v>
      </c>
      <c r="D2593" s="53">
        <v>100024615</v>
      </c>
      <c r="E2593" s="55" t="s">
        <v>5931</v>
      </c>
      <c r="F2593" s="129">
        <v>1</v>
      </c>
      <c r="G2593" s="129" t="s">
        <v>2803</v>
      </c>
      <c r="H2593" s="512">
        <v>55.51</v>
      </c>
      <c r="I2593" s="265" t="s">
        <v>359</v>
      </c>
      <c r="J2593" s="265" t="s">
        <v>102</v>
      </c>
      <c r="K2593" s="265" t="s">
        <v>5932</v>
      </c>
      <c r="L2593" s="348" t="s">
        <v>1205</v>
      </c>
      <c r="M2593" s="265" t="s">
        <v>5933</v>
      </c>
      <c r="N2593" s="347">
        <v>0.307</v>
      </c>
      <c r="O2593" s="348" t="s">
        <v>1205</v>
      </c>
      <c r="P2593" s="348">
        <v>0.3</v>
      </c>
      <c r="Q2593" s="348" t="s">
        <v>1205</v>
      </c>
    </row>
    <row r="2594" spans="1:17" ht="15" hidden="1" customHeight="1">
      <c r="A2594" s="163">
        <v>2602</v>
      </c>
      <c r="B2594" s="53" t="s">
        <v>44</v>
      </c>
      <c r="C2594" s="53" t="s">
        <v>5934</v>
      </c>
      <c r="D2594" s="53">
        <v>100025071</v>
      </c>
      <c r="E2594" s="55" t="s">
        <v>5935</v>
      </c>
      <c r="F2594" s="129">
        <v>25</v>
      </c>
      <c r="G2594" s="129">
        <v>1875</v>
      </c>
      <c r="H2594" s="512">
        <v>66.77</v>
      </c>
      <c r="I2594" s="265" t="s">
        <v>359</v>
      </c>
      <c r="J2594" s="265" t="s">
        <v>102</v>
      </c>
      <c r="K2594" s="265" t="s">
        <v>5936</v>
      </c>
      <c r="L2594" s="348" t="s">
        <v>1205</v>
      </c>
      <c r="M2594" s="265" t="s">
        <v>5937</v>
      </c>
      <c r="N2594" s="347">
        <v>0.54</v>
      </c>
      <c r="O2594" s="348" t="s">
        <v>1205</v>
      </c>
      <c r="P2594" s="348">
        <v>13.5</v>
      </c>
      <c r="Q2594" s="348">
        <v>0.95</v>
      </c>
    </row>
    <row r="2595" spans="1:17" ht="15" hidden="1" customHeight="1">
      <c r="A2595" s="163">
        <v>2603</v>
      </c>
      <c r="B2595" s="53" t="s">
        <v>44</v>
      </c>
      <c r="C2595" s="53" t="s">
        <v>5938</v>
      </c>
      <c r="D2595" s="53">
        <v>100025072</v>
      </c>
      <c r="E2595" s="55" t="s">
        <v>5939</v>
      </c>
      <c r="F2595" s="129">
        <v>25</v>
      </c>
      <c r="G2595" s="129">
        <v>1875</v>
      </c>
      <c r="H2595" s="512">
        <v>68.98</v>
      </c>
      <c r="I2595" s="265" t="s">
        <v>76</v>
      </c>
      <c r="J2595" s="265" t="s">
        <v>102</v>
      </c>
      <c r="K2595" s="265" t="s">
        <v>5940</v>
      </c>
      <c r="L2595" s="348" t="s">
        <v>1205</v>
      </c>
      <c r="M2595" s="265" t="s">
        <v>5941</v>
      </c>
      <c r="N2595" s="347">
        <v>0.61599999999999999</v>
      </c>
      <c r="O2595" s="348" t="s">
        <v>1205</v>
      </c>
      <c r="P2595" s="348">
        <v>15.4</v>
      </c>
      <c r="Q2595" s="348">
        <v>1.1000000000000001</v>
      </c>
    </row>
    <row r="2596" spans="1:17" ht="15" hidden="1" customHeight="1">
      <c r="A2596" s="163">
        <v>2604</v>
      </c>
      <c r="B2596" s="53" t="s">
        <v>44</v>
      </c>
      <c r="C2596" s="53" t="s">
        <v>5942</v>
      </c>
      <c r="D2596" s="53">
        <v>100025073</v>
      </c>
      <c r="E2596" s="55" t="s">
        <v>5943</v>
      </c>
      <c r="F2596" s="129">
        <v>25</v>
      </c>
      <c r="G2596" s="129">
        <v>1875</v>
      </c>
      <c r="H2596" s="512">
        <v>68.98</v>
      </c>
      <c r="I2596" s="265" t="s">
        <v>76</v>
      </c>
      <c r="J2596" s="265" t="s">
        <v>102</v>
      </c>
      <c r="K2596" s="265" t="s">
        <v>5944</v>
      </c>
      <c r="L2596" s="348" t="s">
        <v>1205</v>
      </c>
      <c r="M2596" s="265" t="s">
        <v>5945</v>
      </c>
      <c r="N2596" s="347">
        <v>0.629</v>
      </c>
      <c r="O2596" s="348" t="s">
        <v>1205</v>
      </c>
      <c r="P2596" s="348">
        <v>15.73</v>
      </c>
      <c r="Q2596" s="348">
        <v>1.1000000000000001</v>
      </c>
    </row>
    <row r="2597" spans="1:17" ht="15" hidden="1" customHeight="1">
      <c r="A2597" s="163">
        <v>2605</v>
      </c>
      <c r="B2597" s="53" t="s">
        <v>44</v>
      </c>
      <c r="C2597" s="53" t="s">
        <v>5946</v>
      </c>
      <c r="D2597" s="53">
        <v>100024617</v>
      </c>
      <c r="E2597" s="55" t="s">
        <v>5947</v>
      </c>
      <c r="F2597" s="129">
        <v>25</v>
      </c>
      <c r="G2597" s="129">
        <v>3000</v>
      </c>
      <c r="H2597" s="512">
        <v>60.04</v>
      </c>
      <c r="I2597" s="265" t="s">
        <v>359</v>
      </c>
      <c r="J2597" s="265" t="s">
        <v>102</v>
      </c>
      <c r="K2597" s="265" t="s">
        <v>5948</v>
      </c>
      <c r="L2597" s="348" t="s">
        <v>1205</v>
      </c>
      <c r="M2597" s="265" t="s">
        <v>5949</v>
      </c>
      <c r="N2597" s="347">
        <v>0.48799999999999999</v>
      </c>
      <c r="O2597" s="348" t="s">
        <v>1205</v>
      </c>
      <c r="P2597" s="348">
        <v>10.050000000000001</v>
      </c>
      <c r="Q2597" s="348">
        <v>0.65</v>
      </c>
    </row>
    <row r="2598" spans="1:17" ht="15" hidden="1" customHeight="1">
      <c r="A2598" s="163">
        <v>2606</v>
      </c>
      <c r="B2598" s="53" t="s">
        <v>44</v>
      </c>
      <c r="C2598" s="53" t="s">
        <v>5950</v>
      </c>
      <c r="D2598" s="53">
        <v>100025074</v>
      </c>
      <c r="E2598" s="55" t="s">
        <v>5951</v>
      </c>
      <c r="F2598" s="129">
        <v>25</v>
      </c>
      <c r="G2598" s="129">
        <v>2250</v>
      </c>
      <c r="H2598" s="512">
        <v>64.48</v>
      </c>
      <c r="I2598" s="265" t="s">
        <v>76</v>
      </c>
      <c r="J2598" s="265" t="s">
        <v>102</v>
      </c>
      <c r="K2598" s="265" t="s">
        <v>5952</v>
      </c>
      <c r="L2598" s="348" t="s">
        <v>1205</v>
      </c>
      <c r="M2598" s="265" t="s">
        <v>5953</v>
      </c>
      <c r="N2598" s="347">
        <v>0.5</v>
      </c>
      <c r="O2598" s="348" t="s">
        <v>1205</v>
      </c>
      <c r="P2598" s="348">
        <v>12.5</v>
      </c>
      <c r="Q2598" s="348">
        <v>0.8</v>
      </c>
    </row>
    <row r="2599" spans="1:17" ht="15" hidden="1" customHeight="1">
      <c r="A2599" s="163">
        <v>2607</v>
      </c>
      <c r="B2599" s="53" t="s">
        <v>44</v>
      </c>
      <c r="C2599" s="53" t="s">
        <v>5955</v>
      </c>
      <c r="D2599" s="53">
        <v>100024880</v>
      </c>
      <c r="E2599" s="55" t="s">
        <v>5956</v>
      </c>
      <c r="F2599" s="129">
        <v>10</v>
      </c>
      <c r="G2599" s="129" t="s">
        <v>2803</v>
      </c>
      <c r="H2599" s="512">
        <v>159.97999999999999</v>
      </c>
      <c r="I2599" s="265" t="s">
        <v>359</v>
      </c>
      <c r="J2599" s="265" t="s">
        <v>102</v>
      </c>
      <c r="K2599" s="265" t="s">
        <v>5957</v>
      </c>
      <c r="L2599" s="348" t="s">
        <v>1205</v>
      </c>
      <c r="M2599" s="265" t="s">
        <v>5958</v>
      </c>
      <c r="N2599" s="347">
        <v>1.796</v>
      </c>
      <c r="O2599" s="348" t="s">
        <v>1205</v>
      </c>
      <c r="P2599" s="348" t="s">
        <v>1205</v>
      </c>
      <c r="Q2599" s="348" t="s">
        <v>1205</v>
      </c>
    </row>
    <row r="2600" spans="1:17" ht="15" hidden="1" customHeight="1">
      <c r="A2600" s="163">
        <v>2608</v>
      </c>
      <c r="B2600" s="53" t="s">
        <v>44</v>
      </c>
      <c r="C2600" s="53" t="s">
        <v>5959</v>
      </c>
      <c r="D2600" s="53">
        <v>100024881</v>
      </c>
      <c r="E2600" s="55" t="s">
        <v>5960</v>
      </c>
      <c r="F2600" s="129">
        <v>10</v>
      </c>
      <c r="G2600" s="129">
        <v>240</v>
      </c>
      <c r="H2600" s="512">
        <v>171.06</v>
      </c>
      <c r="I2600" s="265" t="s">
        <v>359</v>
      </c>
      <c r="J2600" s="265" t="s">
        <v>102</v>
      </c>
      <c r="K2600" s="265" t="s">
        <v>5961</v>
      </c>
      <c r="L2600" s="348" t="s">
        <v>1205</v>
      </c>
      <c r="M2600" s="265" t="s">
        <v>5962</v>
      </c>
      <c r="N2600" s="347">
        <v>1.9750000000000001</v>
      </c>
      <c r="O2600" s="348" t="s">
        <v>1205</v>
      </c>
      <c r="P2600" s="348">
        <v>22.5</v>
      </c>
      <c r="Q2600" s="348">
        <v>2.77</v>
      </c>
    </row>
    <row r="2601" spans="1:17" ht="15" hidden="1" customHeight="1">
      <c r="A2601" s="163">
        <v>2609</v>
      </c>
      <c r="B2601" s="53" t="s">
        <v>44</v>
      </c>
      <c r="C2601" s="53" t="s">
        <v>5963</v>
      </c>
      <c r="D2601" s="53">
        <v>100023833</v>
      </c>
      <c r="E2601" s="55" t="s">
        <v>5964</v>
      </c>
      <c r="F2601" s="129">
        <v>10</v>
      </c>
      <c r="G2601" s="129">
        <v>600</v>
      </c>
      <c r="H2601" s="512">
        <v>159.97999999999999</v>
      </c>
      <c r="I2601" s="265" t="s">
        <v>359</v>
      </c>
      <c r="J2601" s="265" t="s">
        <v>102</v>
      </c>
      <c r="K2601" s="265" t="s">
        <v>5965</v>
      </c>
      <c r="L2601" s="348" t="s">
        <v>1205</v>
      </c>
      <c r="M2601" s="265" t="s">
        <v>5966</v>
      </c>
      <c r="N2601" s="347">
        <v>1.9590000000000001</v>
      </c>
      <c r="O2601" s="348" t="s">
        <v>1205</v>
      </c>
      <c r="P2601" s="348">
        <v>19.59</v>
      </c>
      <c r="Q2601" s="348">
        <v>1.41</v>
      </c>
    </row>
    <row r="2602" spans="1:17" ht="15" hidden="1" customHeight="1">
      <c r="A2602" s="163">
        <v>2610</v>
      </c>
      <c r="B2602" s="53" t="s">
        <v>44</v>
      </c>
      <c r="C2602" s="53" t="s">
        <v>5967</v>
      </c>
      <c r="D2602" s="53">
        <v>100023834</v>
      </c>
      <c r="E2602" s="55" t="s">
        <v>5968</v>
      </c>
      <c r="F2602" s="129">
        <v>10</v>
      </c>
      <c r="G2602" s="129">
        <v>600</v>
      </c>
      <c r="H2602" s="512">
        <v>159.97999999999999</v>
      </c>
      <c r="I2602" s="265" t="s">
        <v>359</v>
      </c>
      <c r="J2602" s="265" t="s">
        <v>102</v>
      </c>
      <c r="K2602" s="265" t="s">
        <v>5969</v>
      </c>
      <c r="L2602" s="348" t="s">
        <v>1205</v>
      </c>
      <c r="M2602" s="265" t="s">
        <v>5970</v>
      </c>
      <c r="N2602" s="347">
        <v>1.792</v>
      </c>
      <c r="O2602" s="348" t="s">
        <v>1205</v>
      </c>
      <c r="P2602" s="348">
        <v>19.73</v>
      </c>
      <c r="Q2602" s="348">
        <v>1.41</v>
      </c>
    </row>
    <row r="2603" spans="1:17" ht="15" hidden="1" customHeight="1">
      <c r="A2603" s="163">
        <v>2611</v>
      </c>
      <c r="B2603" s="53" t="s">
        <v>44</v>
      </c>
      <c r="C2603" s="53" t="s">
        <v>5971</v>
      </c>
      <c r="D2603" s="53">
        <v>100024889</v>
      </c>
      <c r="E2603" s="55" t="s">
        <v>5972</v>
      </c>
      <c r="F2603" s="129">
        <v>10</v>
      </c>
      <c r="G2603" s="129">
        <v>600</v>
      </c>
      <c r="H2603" s="512">
        <v>148.88</v>
      </c>
      <c r="I2603" s="265" t="s">
        <v>359</v>
      </c>
      <c r="J2603" s="265" t="s">
        <v>102</v>
      </c>
      <c r="K2603" s="265" t="s">
        <v>5973</v>
      </c>
      <c r="L2603" s="348" t="s">
        <v>1205</v>
      </c>
      <c r="M2603" s="265" t="s">
        <v>5974</v>
      </c>
      <c r="N2603" s="347">
        <v>1.9</v>
      </c>
      <c r="O2603" s="348" t="s">
        <v>1205</v>
      </c>
      <c r="P2603" s="348">
        <v>19</v>
      </c>
      <c r="Q2603" s="348">
        <v>1.41</v>
      </c>
    </row>
    <row r="2604" spans="1:17" ht="15" hidden="1" customHeight="1">
      <c r="A2604" s="163">
        <v>2612</v>
      </c>
      <c r="B2604" s="53" t="s">
        <v>44</v>
      </c>
      <c r="C2604" s="53" t="s">
        <v>5975</v>
      </c>
      <c r="D2604" s="53">
        <v>100024900</v>
      </c>
      <c r="E2604" s="55" t="s">
        <v>5976</v>
      </c>
      <c r="F2604" s="129">
        <v>10</v>
      </c>
      <c r="G2604" s="129">
        <v>600</v>
      </c>
      <c r="H2604" s="512">
        <v>159.97999999999999</v>
      </c>
      <c r="I2604" s="265" t="s">
        <v>359</v>
      </c>
      <c r="J2604" s="265" t="s">
        <v>102</v>
      </c>
      <c r="K2604" s="265" t="s">
        <v>5977</v>
      </c>
      <c r="L2604" s="348" t="s">
        <v>1205</v>
      </c>
      <c r="M2604" s="265" t="s">
        <v>5978</v>
      </c>
      <c r="N2604" s="347">
        <v>1.776</v>
      </c>
      <c r="O2604" s="348" t="s">
        <v>1205</v>
      </c>
      <c r="P2604" s="348">
        <v>20.14</v>
      </c>
      <c r="Q2604" s="348">
        <v>1.41</v>
      </c>
    </row>
    <row r="2605" spans="1:17" ht="15" hidden="1" customHeight="1">
      <c r="A2605" s="163">
        <v>2613</v>
      </c>
      <c r="B2605" s="53" t="s">
        <v>44</v>
      </c>
      <c r="C2605" s="53" t="s">
        <v>5979</v>
      </c>
      <c r="D2605" s="53">
        <v>100023864</v>
      </c>
      <c r="E2605" s="55" t="s">
        <v>5980</v>
      </c>
      <c r="F2605" s="129">
        <v>10</v>
      </c>
      <c r="G2605" s="129">
        <v>240</v>
      </c>
      <c r="H2605" s="512">
        <v>171.06</v>
      </c>
      <c r="I2605" s="265" t="s">
        <v>359</v>
      </c>
      <c r="J2605" s="265" t="s">
        <v>102</v>
      </c>
      <c r="K2605" s="265" t="s">
        <v>5981</v>
      </c>
      <c r="L2605" s="348" t="s">
        <v>1205</v>
      </c>
      <c r="M2605" s="265" t="s">
        <v>5982</v>
      </c>
      <c r="N2605" s="347">
        <v>1.9550000000000001</v>
      </c>
      <c r="O2605" s="348" t="s">
        <v>1205</v>
      </c>
      <c r="P2605" s="348">
        <v>22.6</v>
      </c>
      <c r="Q2605" s="348">
        <v>2.77</v>
      </c>
    </row>
    <row r="2606" spans="1:17" ht="15" hidden="1" customHeight="1">
      <c r="A2606" s="163">
        <v>2614</v>
      </c>
      <c r="B2606" s="53" t="s">
        <v>44</v>
      </c>
      <c r="C2606" s="53" t="s">
        <v>5983</v>
      </c>
      <c r="D2606" s="53">
        <v>100023865</v>
      </c>
      <c r="E2606" s="55" t="s">
        <v>5984</v>
      </c>
      <c r="F2606" s="129">
        <v>10</v>
      </c>
      <c r="G2606" s="129">
        <v>600</v>
      </c>
      <c r="H2606" s="512">
        <v>148.88</v>
      </c>
      <c r="I2606" s="265" t="s">
        <v>359</v>
      </c>
      <c r="J2606" s="265" t="s">
        <v>102</v>
      </c>
      <c r="K2606" s="265" t="s">
        <v>5985</v>
      </c>
      <c r="L2606" s="348" t="s">
        <v>1205</v>
      </c>
      <c r="M2606" s="265" t="s">
        <v>5986</v>
      </c>
      <c r="N2606" s="347">
        <v>1.5589999999999999</v>
      </c>
      <c r="O2606" s="348" t="s">
        <v>1205</v>
      </c>
      <c r="P2606" s="348">
        <v>17.45</v>
      </c>
      <c r="Q2606" s="348">
        <v>1.41</v>
      </c>
    </row>
    <row r="2607" spans="1:17" ht="15" hidden="1" customHeight="1">
      <c r="A2607" s="163">
        <v>2615</v>
      </c>
      <c r="B2607" s="53" t="s">
        <v>44</v>
      </c>
      <c r="C2607" s="53" t="s">
        <v>5987</v>
      </c>
      <c r="D2607" s="53">
        <v>100023866</v>
      </c>
      <c r="E2607" s="55" t="s">
        <v>5988</v>
      </c>
      <c r="F2607" s="129">
        <v>10</v>
      </c>
      <c r="G2607" s="129">
        <v>240</v>
      </c>
      <c r="H2607" s="512">
        <v>148.88</v>
      </c>
      <c r="I2607" s="265" t="s">
        <v>359</v>
      </c>
      <c r="J2607" s="265" t="s">
        <v>102</v>
      </c>
      <c r="K2607" s="265" t="s">
        <v>5989</v>
      </c>
      <c r="L2607" s="348" t="s">
        <v>1205</v>
      </c>
      <c r="M2607" s="265" t="s">
        <v>5990</v>
      </c>
      <c r="N2607" s="347">
        <v>1.623</v>
      </c>
      <c r="O2607" s="348" t="s">
        <v>1205</v>
      </c>
      <c r="P2607" s="348">
        <v>19.100000000000001</v>
      </c>
      <c r="Q2607" s="348">
        <v>2.77</v>
      </c>
    </row>
    <row r="2608" spans="1:17" ht="15" hidden="1" customHeight="1">
      <c r="A2608" s="163">
        <v>2616</v>
      </c>
      <c r="B2608" s="53" t="s">
        <v>44</v>
      </c>
      <c r="C2608" s="53" t="s">
        <v>5991</v>
      </c>
      <c r="D2608" s="53">
        <v>100024906</v>
      </c>
      <c r="E2608" s="55" t="s">
        <v>5992</v>
      </c>
      <c r="F2608" s="129">
        <v>10</v>
      </c>
      <c r="G2608" s="129">
        <v>180</v>
      </c>
      <c r="H2608" s="512">
        <v>243.53</v>
      </c>
      <c r="I2608" s="265" t="s">
        <v>76</v>
      </c>
      <c r="J2608" s="265" t="s">
        <v>102</v>
      </c>
      <c r="K2608" s="265" t="s">
        <v>5993</v>
      </c>
      <c r="L2608" s="348" t="s">
        <v>1205</v>
      </c>
      <c r="M2608" s="265" t="s">
        <v>5994</v>
      </c>
      <c r="N2608" s="347">
        <v>2.4460000000000002</v>
      </c>
      <c r="O2608" s="348" t="s">
        <v>1205</v>
      </c>
      <c r="P2608" s="348">
        <v>27.34</v>
      </c>
      <c r="Q2608" s="348">
        <v>2.65</v>
      </c>
    </row>
    <row r="2609" spans="1:17" ht="15" hidden="1" customHeight="1">
      <c r="A2609" s="163">
        <v>2617</v>
      </c>
      <c r="B2609" s="53" t="s">
        <v>44</v>
      </c>
      <c r="C2609" s="53" t="s">
        <v>5995</v>
      </c>
      <c r="D2609" s="53">
        <v>100024907</v>
      </c>
      <c r="E2609" s="55" t="s">
        <v>5996</v>
      </c>
      <c r="F2609" s="129">
        <v>10</v>
      </c>
      <c r="G2609" s="129">
        <v>240</v>
      </c>
      <c r="H2609" s="512">
        <v>250.53</v>
      </c>
      <c r="I2609" s="265" t="s">
        <v>76</v>
      </c>
      <c r="J2609" s="265" t="s">
        <v>102</v>
      </c>
      <c r="K2609" s="265" t="s">
        <v>5997</v>
      </c>
      <c r="L2609" s="348" t="s">
        <v>1205</v>
      </c>
      <c r="M2609" s="265" t="s">
        <v>5998</v>
      </c>
      <c r="N2609" s="347">
        <v>2.6269999999999998</v>
      </c>
      <c r="O2609" s="348" t="s">
        <v>1205</v>
      </c>
      <c r="P2609" s="348">
        <v>29.65</v>
      </c>
      <c r="Q2609" s="348">
        <v>2.77</v>
      </c>
    </row>
    <row r="2610" spans="1:17" ht="15" hidden="1" customHeight="1">
      <c r="A2610" s="163">
        <v>2618</v>
      </c>
      <c r="B2610" s="53" t="s">
        <v>44</v>
      </c>
      <c r="C2610" s="53" t="s">
        <v>5999</v>
      </c>
      <c r="D2610" s="53">
        <v>100024948</v>
      </c>
      <c r="E2610" s="55" t="s">
        <v>6000</v>
      </c>
      <c r="F2610" s="129">
        <v>10</v>
      </c>
      <c r="G2610" s="129" t="s">
        <v>2803</v>
      </c>
      <c r="H2610" s="512">
        <v>159.97999999999999</v>
      </c>
      <c r="I2610" s="265" t="s">
        <v>359</v>
      </c>
      <c r="J2610" s="265" t="s">
        <v>102</v>
      </c>
      <c r="K2610" s="265" t="s">
        <v>6001</v>
      </c>
      <c r="L2610" s="348" t="s">
        <v>1205</v>
      </c>
      <c r="M2610" s="265" t="s">
        <v>6002</v>
      </c>
      <c r="N2610" s="347">
        <v>1.784</v>
      </c>
      <c r="O2610" s="348" t="s">
        <v>1205</v>
      </c>
      <c r="P2610" s="348" t="s">
        <v>1205</v>
      </c>
      <c r="Q2610" s="348" t="s">
        <v>1205</v>
      </c>
    </row>
    <row r="2611" spans="1:17" ht="15" hidden="1" customHeight="1">
      <c r="A2611" s="163">
        <v>2619</v>
      </c>
      <c r="B2611" s="53" t="s">
        <v>44</v>
      </c>
      <c r="C2611" s="53" t="s">
        <v>6003</v>
      </c>
      <c r="D2611" s="53">
        <v>100024949</v>
      </c>
      <c r="E2611" s="55" t="s">
        <v>6004</v>
      </c>
      <c r="F2611" s="129">
        <v>10</v>
      </c>
      <c r="G2611" s="129" t="s">
        <v>2803</v>
      </c>
      <c r="H2611" s="512">
        <v>171.06</v>
      </c>
      <c r="I2611" s="265" t="s">
        <v>359</v>
      </c>
      <c r="J2611" s="265" t="s">
        <v>102</v>
      </c>
      <c r="K2611" s="265" t="s">
        <v>6005</v>
      </c>
      <c r="L2611" s="348" t="s">
        <v>1205</v>
      </c>
      <c r="M2611" s="265" t="s">
        <v>6006</v>
      </c>
      <c r="N2611" s="347">
        <v>1.9630000000000001</v>
      </c>
      <c r="O2611" s="348" t="s">
        <v>1205</v>
      </c>
      <c r="P2611" s="348" t="s">
        <v>1205</v>
      </c>
      <c r="Q2611" s="348" t="s">
        <v>1205</v>
      </c>
    </row>
    <row r="2612" spans="1:17" ht="15" hidden="1" customHeight="1">
      <c r="A2612" s="163">
        <v>2620</v>
      </c>
      <c r="B2612" s="53" t="s">
        <v>44</v>
      </c>
      <c r="C2612" s="53" t="s">
        <v>6007</v>
      </c>
      <c r="D2612" s="53">
        <v>100024098</v>
      </c>
      <c r="E2612" s="55" t="s">
        <v>6008</v>
      </c>
      <c r="F2612" s="129">
        <v>10</v>
      </c>
      <c r="G2612" s="129">
        <v>240</v>
      </c>
      <c r="H2612" s="512">
        <v>171.06</v>
      </c>
      <c r="I2612" s="265" t="s">
        <v>359</v>
      </c>
      <c r="J2612" s="265" t="s">
        <v>102</v>
      </c>
      <c r="K2612" s="265" t="s">
        <v>6009</v>
      </c>
      <c r="L2612" s="348" t="s">
        <v>1205</v>
      </c>
      <c r="M2612" s="265" t="s">
        <v>6010</v>
      </c>
      <c r="N2612" s="347">
        <v>1.9419999999999999</v>
      </c>
      <c r="O2612" s="348" t="s">
        <v>1205</v>
      </c>
      <c r="P2612" s="348">
        <v>22.5</v>
      </c>
      <c r="Q2612" s="348">
        <v>2.77</v>
      </c>
    </row>
    <row r="2613" spans="1:17" ht="15" hidden="1" customHeight="1">
      <c r="A2613" s="163">
        <v>2621</v>
      </c>
      <c r="B2613" s="53" t="s">
        <v>44</v>
      </c>
      <c r="C2613" s="53" t="s">
        <v>6011</v>
      </c>
      <c r="D2613" s="53">
        <v>100024103</v>
      </c>
      <c r="E2613" s="55" t="s">
        <v>6012</v>
      </c>
      <c r="F2613" s="129">
        <v>10</v>
      </c>
      <c r="G2613" s="129">
        <v>240</v>
      </c>
      <c r="H2613" s="512">
        <v>4.42</v>
      </c>
      <c r="I2613" s="265" t="s">
        <v>359</v>
      </c>
      <c r="J2613" s="265" t="s">
        <v>102</v>
      </c>
      <c r="K2613" s="265" t="s">
        <v>6013</v>
      </c>
      <c r="L2613" s="348" t="s">
        <v>1205</v>
      </c>
      <c r="M2613" s="265" t="s">
        <v>6014</v>
      </c>
      <c r="N2613" s="347">
        <v>1.9430000000000001</v>
      </c>
      <c r="O2613" s="348" t="s">
        <v>1205</v>
      </c>
      <c r="P2613" s="348">
        <v>23</v>
      </c>
      <c r="Q2613" s="348">
        <v>2.77</v>
      </c>
    </row>
    <row r="2614" spans="1:17" ht="15" hidden="1" customHeight="1">
      <c r="A2614" s="163">
        <v>2622</v>
      </c>
      <c r="B2614" s="53" t="s">
        <v>44</v>
      </c>
      <c r="C2614" s="53" t="s">
        <v>6015</v>
      </c>
      <c r="D2614" s="53">
        <v>100024950</v>
      </c>
      <c r="E2614" s="55" t="s">
        <v>6016</v>
      </c>
      <c r="F2614" s="129">
        <v>10</v>
      </c>
      <c r="G2614" s="129">
        <v>180</v>
      </c>
      <c r="H2614" s="512">
        <v>243.53</v>
      </c>
      <c r="I2614" s="265" t="s">
        <v>359</v>
      </c>
      <c r="J2614" s="265" t="s">
        <v>102</v>
      </c>
      <c r="K2614" s="265" t="s">
        <v>6017</v>
      </c>
      <c r="L2614" s="348" t="s">
        <v>1205</v>
      </c>
      <c r="M2614" s="265" t="s">
        <v>6018</v>
      </c>
      <c r="N2614" s="347">
        <v>2.4340000000000002</v>
      </c>
      <c r="O2614" s="348" t="s">
        <v>1205</v>
      </c>
      <c r="P2614" s="348">
        <v>27.1</v>
      </c>
      <c r="Q2614" s="348">
        <v>2.65</v>
      </c>
    </row>
    <row r="2615" spans="1:17" ht="15" hidden="1" customHeight="1">
      <c r="A2615" s="163">
        <v>2623</v>
      </c>
      <c r="B2615" s="53" t="s">
        <v>44</v>
      </c>
      <c r="C2615" s="53" t="s">
        <v>6019</v>
      </c>
      <c r="D2615" s="53">
        <v>100024951</v>
      </c>
      <c r="E2615" s="55" t="s">
        <v>6020</v>
      </c>
      <c r="F2615" s="129">
        <v>10</v>
      </c>
      <c r="G2615" s="129">
        <v>240</v>
      </c>
      <c r="H2615" s="512">
        <v>250.53</v>
      </c>
      <c r="I2615" s="265" t="s">
        <v>359</v>
      </c>
      <c r="J2615" s="265" t="s">
        <v>102</v>
      </c>
      <c r="K2615" s="265" t="s">
        <v>6021</v>
      </c>
      <c r="L2615" s="348" t="s">
        <v>1205</v>
      </c>
      <c r="M2615" s="265" t="s">
        <v>6022</v>
      </c>
      <c r="N2615" s="347">
        <v>2.613</v>
      </c>
      <c r="O2615" s="348" t="s">
        <v>1205</v>
      </c>
      <c r="P2615" s="348">
        <v>29.8</v>
      </c>
      <c r="Q2615" s="348">
        <v>2.77</v>
      </c>
    </row>
    <row r="2616" spans="1:17" ht="15" hidden="1" customHeight="1">
      <c r="A2616" s="163">
        <v>2624</v>
      </c>
      <c r="B2616" s="53" t="s">
        <v>44</v>
      </c>
      <c r="C2616" s="53" t="s">
        <v>6023</v>
      </c>
      <c r="D2616" s="53">
        <v>100024968</v>
      </c>
      <c r="E2616" s="55" t="s">
        <v>6024</v>
      </c>
      <c r="F2616" s="129">
        <v>10</v>
      </c>
      <c r="G2616" s="129">
        <v>180</v>
      </c>
      <c r="H2616" s="512">
        <v>193.51</v>
      </c>
      <c r="I2616" s="265" t="s">
        <v>359</v>
      </c>
      <c r="J2616" s="265" t="s">
        <v>102</v>
      </c>
      <c r="K2616" s="265" t="s">
        <v>6025</v>
      </c>
      <c r="L2616" s="348" t="s">
        <v>1205</v>
      </c>
      <c r="M2616" s="265" t="s">
        <v>6026</v>
      </c>
      <c r="N2616" s="347">
        <v>2.3839999999999999</v>
      </c>
      <c r="O2616" s="348" t="s">
        <v>1205</v>
      </c>
      <c r="P2616" s="348">
        <v>25.5</v>
      </c>
      <c r="Q2616" s="348">
        <v>2.65</v>
      </c>
    </row>
    <row r="2617" spans="1:17" ht="15" hidden="1" customHeight="1">
      <c r="A2617" s="163">
        <v>2625</v>
      </c>
      <c r="B2617" s="53" t="s">
        <v>44</v>
      </c>
      <c r="C2617" s="53" t="s">
        <v>6027</v>
      </c>
      <c r="D2617" s="53">
        <v>100024969</v>
      </c>
      <c r="E2617" s="55" t="s">
        <v>6028</v>
      </c>
      <c r="F2617" s="129">
        <v>10</v>
      </c>
      <c r="G2617" s="129">
        <v>180</v>
      </c>
      <c r="H2617" s="512">
        <v>182.38</v>
      </c>
      <c r="I2617" s="265" t="s">
        <v>76</v>
      </c>
      <c r="J2617" s="265" t="s">
        <v>102</v>
      </c>
      <c r="K2617" s="265" t="s">
        <v>6029</v>
      </c>
      <c r="L2617" s="348" t="s">
        <v>1205</v>
      </c>
      <c r="M2617" s="265" t="s">
        <v>6030</v>
      </c>
      <c r="N2617" s="347">
        <v>2.202</v>
      </c>
      <c r="O2617" s="348" t="s">
        <v>1205</v>
      </c>
      <c r="P2617" s="348">
        <v>22.7</v>
      </c>
      <c r="Q2617" s="348">
        <v>2.65</v>
      </c>
    </row>
    <row r="2618" spans="1:17" ht="15" hidden="1" customHeight="1">
      <c r="A2618" s="163">
        <v>2626</v>
      </c>
      <c r="B2618" s="53" t="s">
        <v>44</v>
      </c>
      <c r="C2618" s="53" t="s">
        <v>6031</v>
      </c>
      <c r="D2618" s="53">
        <v>100024179</v>
      </c>
      <c r="E2618" s="55" t="s">
        <v>6032</v>
      </c>
      <c r="F2618" s="129">
        <v>10</v>
      </c>
      <c r="G2618" s="129">
        <v>180</v>
      </c>
      <c r="H2618" s="512">
        <v>193.51</v>
      </c>
      <c r="I2618" s="265" t="s">
        <v>359</v>
      </c>
      <c r="J2618" s="265" t="s">
        <v>102</v>
      </c>
      <c r="K2618" s="265" t="s">
        <v>6033</v>
      </c>
      <c r="L2618" s="348" t="s">
        <v>1205</v>
      </c>
      <c r="M2618" s="265" t="s">
        <v>6034</v>
      </c>
      <c r="N2618" s="347">
        <v>2.36</v>
      </c>
      <c r="O2618" s="348" t="s">
        <v>1205</v>
      </c>
      <c r="P2618" s="348">
        <v>25.9</v>
      </c>
      <c r="Q2618" s="348">
        <v>2.65</v>
      </c>
    </row>
    <row r="2619" spans="1:17" ht="15" hidden="1" customHeight="1">
      <c r="A2619" s="163">
        <v>2627</v>
      </c>
      <c r="B2619" s="53" t="s">
        <v>44</v>
      </c>
      <c r="C2619" s="53" t="s">
        <v>6035</v>
      </c>
      <c r="D2619" s="53">
        <v>100024180</v>
      </c>
      <c r="E2619" s="55" t="s">
        <v>6036</v>
      </c>
      <c r="F2619" s="129">
        <v>10</v>
      </c>
      <c r="G2619" s="129">
        <v>240</v>
      </c>
      <c r="H2619" s="512">
        <v>204.52</v>
      </c>
      <c r="I2619" s="265" t="s">
        <v>359</v>
      </c>
      <c r="J2619" s="265" t="s">
        <v>102</v>
      </c>
      <c r="K2619" s="265" t="s">
        <v>6037</v>
      </c>
      <c r="L2619" s="348" t="s">
        <v>1205</v>
      </c>
      <c r="M2619" s="265" t="s">
        <v>6038</v>
      </c>
      <c r="N2619" s="347">
        <v>2.6339999999999999</v>
      </c>
      <c r="O2619" s="348" t="s">
        <v>1205</v>
      </c>
      <c r="P2619" s="348">
        <v>29.1</v>
      </c>
      <c r="Q2619" s="348">
        <v>2.77</v>
      </c>
    </row>
    <row r="2620" spans="1:17" ht="15" hidden="1" customHeight="1">
      <c r="A2620" s="163">
        <v>2628</v>
      </c>
      <c r="B2620" s="53" t="s">
        <v>44</v>
      </c>
      <c r="C2620" s="53" t="s">
        <v>6039</v>
      </c>
      <c r="D2620" s="53">
        <v>100024188</v>
      </c>
      <c r="E2620" s="55" t="s">
        <v>6040</v>
      </c>
      <c r="F2620" s="129">
        <v>10</v>
      </c>
      <c r="G2620" s="129" t="s">
        <v>2803</v>
      </c>
      <c r="H2620" s="512">
        <v>193.51</v>
      </c>
      <c r="I2620" s="265" t="s">
        <v>359</v>
      </c>
      <c r="J2620" s="265" t="s">
        <v>102</v>
      </c>
      <c r="K2620" s="265" t="s">
        <v>6041</v>
      </c>
      <c r="L2620" s="348" t="s">
        <v>1205</v>
      </c>
      <c r="M2620" s="265" t="s">
        <v>6042</v>
      </c>
      <c r="N2620" s="347">
        <v>2.3919999999999999</v>
      </c>
      <c r="O2620" s="348" t="s">
        <v>1205</v>
      </c>
      <c r="P2620" s="348" t="s">
        <v>1205</v>
      </c>
      <c r="Q2620" s="348" t="s">
        <v>1205</v>
      </c>
    </row>
    <row r="2621" spans="1:17" ht="15" hidden="1" customHeight="1">
      <c r="A2621" s="163">
        <v>2629</v>
      </c>
      <c r="B2621" s="53" t="s">
        <v>44</v>
      </c>
      <c r="C2621" s="53" t="s">
        <v>6043</v>
      </c>
      <c r="D2621" s="53">
        <v>100024209</v>
      </c>
      <c r="E2621" s="55" t="s">
        <v>6044</v>
      </c>
      <c r="F2621" s="129">
        <v>10</v>
      </c>
      <c r="G2621" s="129">
        <v>180</v>
      </c>
      <c r="H2621" s="512">
        <v>193.51</v>
      </c>
      <c r="I2621" s="265" t="s">
        <v>359</v>
      </c>
      <c r="J2621" s="265" t="s">
        <v>102</v>
      </c>
      <c r="K2621" s="265" t="s">
        <v>6045</v>
      </c>
      <c r="L2621" s="348" t="s">
        <v>1205</v>
      </c>
      <c r="M2621" s="265" t="s">
        <v>6046</v>
      </c>
      <c r="N2621" s="347">
        <v>1.9570000000000001</v>
      </c>
      <c r="O2621" s="348" t="s">
        <v>1205</v>
      </c>
      <c r="P2621" s="348">
        <v>24.15</v>
      </c>
      <c r="Q2621" s="348">
        <v>2.65</v>
      </c>
    </row>
    <row r="2622" spans="1:17" ht="15" hidden="1" customHeight="1">
      <c r="A2622" s="163">
        <v>2630</v>
      </c>
      <c r="B2622" s="53" t="s">
        <v>44</v>
      </c>
      <c r="C2622" s="53" t="s">
        <v>6047</v>
      </c>
      <c r="D2622" s="53">
        <v>100024229</v>
      </c>
      <c r="E2622" s="55" t="s">
        <v>6048</v>
      </c>
      <c r="F2622" s="129">
        <v>10</v>
      </c>
      <c r="G2622" s="129" t="s">
        <v>2803</v>
      </c>
      <c r="H2622" s="512">
        <v>182.38</v>
      </c>
      <c r="I2622" s="265" t="s">
        <v>359</v>
      </c>
      <c r="J2622" s="265" t="s">
        <v>102</v>
      </c>
      <c r="K2622" s="265" t="s">
        <v>6049</v>
      </c>
      <c r="L2622" s="348" t="s">
        <v>1205</v>
      </c>
      <c r="M2622" s="265" t="s">
        <v>6050</v>
      </c>
      <c r="N2622" s="347">
        <v>2.1429999999999998</v>
      </c>
      <c r="O2622" s="348" t="s">
        <v>1205</v>
      </c>
      <c r="P2622" s="348">
        <v>22</v>
      </c>
      <c r="Q2622" s="348" t="s">
        <v>1205</v>
      </c>
    </row>
    <row r="2623" spans="1:17" ht="15" hidden="1" customHeight="1">
      <c r="A2623" s="163">
        <v>2631</v>
      </c>
      <c r="B2623" s="53" t="s">
        <v>44</v>
      </c>
      <c r="C2623" s="53" t="s">
        <v>6051</v>
      </c>
      <c r="D2623" s="53">
        <v>100024240</v>
      </c>
      <c r="E2623" s="55" t="s">
        <v>5976</v>
      </c>
      <c r="F2623" s="129">
        <v>10</v>
      </c>
      <c r="G2623" s="129">
        <v>180</v>
      </c>
      <c r="H2623" s="512">
        <v>193.51</v>
      </c>
      <c r="I2623" s="265" t="s">
        <v>359</v>
      </c>
      <c r="J2623" s="265" t="s">
        <v>102</v>
      </c>
      <c r="K2623" s="265" t="s">
        <v>6052</v>
      </c>
      <c r="L2623" s="348" t="s">
        <v>1205</v>
      </c>
      <c r="M2623" s="265" t="s">
        <v>6053</v>
      </c>
      <c r="N2623" s="347">
        <v>2.351</v>
      </c>
      <c r="O2623" s="348" t="s">
        <v>1205</v>
      </c>
      <c r="P2623" s="348">
        <v>28.5</v>
      </c>
      <c r="Q2623" s="348">
        <v>2.65</v>
      </c>
    </row>
    <row r="2624" spans="1:17" ht="15" hidden="1" customHeight="1">
      <c r="A2624" s="163">
        <v>2632</v>
      </c>
      <c r="B2624" s="53" t="s">
        <v>44</v>
      </c>
      <c r="C2624" s="53" t="s">
        <v>6054</v>
      </c>
      <c r="D2624" s="53">
        <v>100024243</v>
      </c>
      <c r="E2624" s="55" t="s">
        <v>6055</v>
      </c>
      <c r="F2624" s="129">
        <v>10</v>
      </c>
      <c r="G2624" s="129">
        <v>180</v>
      </c>
      <c r="H2624" s="512">
        <v>182.38</v>
      </c>
      <c r="I2624" s="265" t="s">
        <v>359</v>
      </c>
      <c r="J2624" s="265" t="s">
        <v>102</v>
      </c>
      <c r="K2624" s="265" t="s">
        <v>6056</v>
      </c>
      <c r="L2624" s="348" t="s">
        <v>1205</v>
      </c>
      <c r="M2624" s="265" t="s">
        <v>6057</v>
      </c>
      <c r="N2624" s="347">
        <v>2.169</v>
      </c>
      <c r="O2624" s="348" t="s">
        <v>1205</v>
      </c>
      <c r="P2624" s="348">
        <v>23.45</v>
      </c>
      <c r="Q2624" s="348">
        <v>2.65</v>
      </c>
    </row>
    <row r="2625" spans="1:17" ht="15" hidden="1" customHeight="1">
      <c r="A2625" s="163">
        <v>2633</v>
      </c>
      <c r="B2625" s="53" t="s">
        <v>44</v>
      </c>
      <c r="C2625" s="53" t="s">
        <v>6058</v>
      </c>
      <c r="D2625" s="53">
        <v>100024441</v>
      </c>
      <c r="E2625" s="55" t="s">
        <v>6059</v>
      </c>
      <c r="F2625" s="129">
        <v>10</v>
      </c>
      <c r="G2625" s="129">
        <v>180</v>
      </c>
      <c r="H2625" s="512">
        <v>222.84</v>
      </c>
      <c r="I2625" s="265" t="s">
        <v>359</v>
      </c>
      <c r="J2625" s="265" t="s">
        <v>102</v>
      </c>
      <c r="K2625" s="265" t="s">
        <v>6060</v>
      </c>
      <c r="L2625" s="348" t="s">
        <v>1205</v>
      </c>
      <c r="M2625" s="265" t="s">
        <v>6061</v>
      </c>
      <c r="N2625" s="347">
        <v>2.851</v>
      </c>
      <c r="O2625" s="348" t="s">
        <v>1205</v>
      </c>
      <c r="P2625" s="348">
        <v>31.2</v>
      </c>
      <c r="Q2625" s="348">
        <v>2.65</v>
      </c>
    </row>
    <row r="2626" spans="1:17" ht="15" hidden="1" customHeight="1">
      <c r="A2626" s="163">
        <v>2634</v>
      </c>
      <c r="B2626" s="53" t="s">
        <v>44</v>
      </c>
      <c r="C2626" s="53" t="s">
        <v>6062</v>
      </c>
      <c r="D2626" s="53">
        <v>100025022</v>
      </c>
      <c r="E2626" s="55" t="s">
        <v>6063</v>
      </c>
      <c r="F2626" s="129">
        <v>10</v>
      </c>
      <c r="G2626" s="129">
        <v>180</v>
      </c>
      <c r="H2626" s="512">
        <v>222.84</v>
      </c>
      <c r="I2626" s="265" t="s">
        <v>359</v>
      </c>
      <c r="J2626" s="265" t="s">
        <v>102</v>
      </c>
      <c r="K2626" s="265" t="s">
        <v>6064</v>
      </c>
      <c r="L2626" s="348" t="s">
        <v>1205</v>
      </c>
      <c r="M2626" s="265" t="s">
        <v>6065</v>
      </c>
      <c r="N2626" s="347">
        <v>2.8260000000000001</v>
      </c>
      <c r="O2626" s="348" t="s">
        <v>1205</v>
      </c>
      <c r="P2626" s="348">
        <v>30.35</v>
      </c>
      <c r="Q2626" s="348">
        <v>2.65</v>
      </c>
    </row>
    <row r="2627" spans="1:17" ht="15" hidden="1" customHeight="1">
      <c r="A2627" s="163">
        <v>2635</v>
      </c>
      <c r="B2627" s="53" t="s">
        <v>44</v>
      </c>
      <c r="C2627" s="53" t="s">
        <v>6066</v>
      </c>
      <c r="D2627" s="53">
        <v>100024456</v>
      </c>
      <c r="E2627" s="55" t="s">
        <v>6067</v>
      </c>
      <c r="F2627" s="129">
        <v>10</v>
      </c>
      <c r="G2627" s="129">
        <v>240</v>
      </c>
      <c r="H2627" s="512">
        <v>233.88</v>
      </c>
      <c r="I2627" s="265" t="s">
        <v>359</v>
      </c>
      <c r="J2627" s="265" t="s">
        <v>102</v>
      </c>
      <c r="K2627" s="265" t="s">
        <v>6068</v>
      </c>
      <c r="L2627" s="348" t="s">
        <v>1205</v>
      </c>
      <c r="M2627" s="265" t="s">
        <v>6069</v>
      </c>
      <c r="N2627" s="347">
        <v>3.141</v>
      </c>
      <c r="O2627" s="348" t="s">
        <v>1205</v>
      </c>
      <c r="P2627" s="348">
        <v>29.5</v>
      </c>
      <c r="Q2627" s="348">
        <v>2.77</v>
      </c>
    </row>
    <row r="2628" spans="1:17" ht="15" hidden="1" customHeight="1">
      <c r="A2628" s="163">
        <v>2636</v>
      </c>
      <c r="B2628" s="53" t="s">
        <v>44</v>
      </c>
      <c r="C2628" s="53" t="s">
        <v>6070</v>
      </c>
      <c r="D2628" s="53">
        <v>100025023</v>
      </c>
      <c r="E2628" s="55" t="s">
        <v>6071</v>
      </c>
      <c r="F2628" s="129">
        <v>10</v>
      </c>
      <c r="G2628" s="129">
        <v>180</v>
      </c>
      <c r="H2628" s="512">
        <v>211.78</v>
      </c>
      <c r="I2628" s="265" t="s">
        <v>359</v>
      </c>
      <c r="J2628" s="265" t="s">
        <v>102</v>
      </c>
      <c r="K2628" s="265" t="s">
        <v>6072</v>
      </c>
      <c r="L2628" s="348" t="s">
        <v>1205</v>
      </c>
      <c r="M2628" s="265" t="s">
        <v>6073</v>
      </c>
      <c r="N2628" s="347">
        <v>2.6150000000000002</v>
      </c>
      <c r="O2628" s="348" t="s">
        <v>1205</v>
      </c>
      <c r="P2628" s="348">
        <v>28.04</v>
      </c>
      <c r="Q2628" s="348">
        <v>2.65</v>
      </c>
    </row>
    <row r="2629" spans="1:17" ht="15" hidden="1" customHeight="1">
      <c r="A2629" s="163">
        <v>2637</v>
      </c>
      <c r="B2629" s="53" t="s">
        <v>44</v>
      </c>
      <c r="C2629" s="53" t="s">
        <v>6074</v>
      </c>
      <c r="D2629" s="53">
        <v>100024467</v>
      </c>
      <c r="E2629" s="55" t="s">
        <v>6075</v>
      </c>
      <c r="F2629" s="129">
        <v>10</v>
      </c>
      <c r="G2629" s="129">
        <v>900</v>
      </c>
      <c r="H2629" s="512">
        <v>211.78</v>
      </c>
      <c r="I2629" s="265" t="s">
        <v>359</v>
      </c>
      <c r="J2629" s="265" t="s">
        <v>102</v>
      </c>
      <c r="K2629" s="265" t="s">
        <v>6076</v>
      </c>
      <c r="L2629" s="348" t="s">
        <v>1205</v>
      </c>
      <c r="M2629" s="265" t="s">
        <v>6077</v>
      </c>
      <c r="N2629" s="347">
        <v>2.5649999999999999</v>
      </c>
      <c r="O2629" s="348" t="s">
        <v>1205</v>
      </c>
      <c r="P2629" s="348">
        <v>29.15</v>
      </c>
      <c r="Q2629" s="348">
        <v>0.8</v>
      </c>
    </row>
    <row r="2630" spans="1:17" ht="15" hidden="1" customHeight="1">
      <c r="A2630" s="163">
        <v>2638</v>
      </c>
      <c r="B2630" s="53" t="s">
        <v>44</v>
      </c>
      <c r="C2630" s="53" t="s">
        <v>6078</v>
      </c>
      <c r="D2630" s="53">
        <v>100025029</v>
      </c>
      <c r="E2630" s="55" t="s">
        <v>6079</v>
      </c>
      <c r="F2630" s="129">
        <v>10</v>
      </c>
      <c r="G2630" s="129">
        <v>180</v>
      </c>
      <c r="H2630" s="512">
        <v>222.84</v>
      </c>
      <c r="I2630" s="265" t="s">
        <v>359</v>
      </c>
      <c r="J2630" s="265" t="s">
        <v>102</v>
      </c>
      <c r="K2630" s="265" t="s">
        <v>6080</v>
      </c>
      <c r="L2630" s="348" t="s">
        <v>1205</v>
      </c>
      <c r="M2630" s="265" t="s">
        <v>6081</v>
      </c>
      <c r="N2630" s="347">
        <v>2.7709999999999999</v>
      </c>
      <c r="O2630" s="348" t="s">
        <v>1205</v>
      </c>
      <c r="P2630" s="348">
        <v>30.4</v>
      </c>
      <c r="Q2630" s="348">
        <v>2.65</v>
      </c>
    </row>
    <row r="2631" spans="1:17" ht="15" hidden="1" customHeight="1">
      <c r="A2631" s="163">
        <v>2639</v>
      </c>
      <c r="B2631" s="53" t="s">
        <v>44</v>
      </c>
      <c r="C2631" s="53" t="s">
        <v>6082</v>
      </c>
      <c r="D2631" s="53">
        <v>100024474</v>
      </c>
      <c r="E2631" s="55" t="s">
        <v>6083</v>
      </c>
      <c r="F2631" s="129">
        <v>10</v>
      </c>
      <c r="G2631" s="129">
        <v>180</v>
      </c>
      <c r="H2631" s="512">
        <v>211.78</v>
      </c>
      <c r="I2631" s="265" t="s">
        <v>359</v>
      </c>
      <c r="J2631" s="265" t="s">
        <v>102</v>
      </c>
      <c r="K2631" s="265" t="s">
        <v>6084</v>
      </c>
      <c r="L2631" s="348" t="s">
        <v>1205</v>
      </c>
      <c r="M2631" s="265" t="s">
        <v>6085</v>
      </c>
      <c r="N2631" s="347">
        <v>2.4500000000000002</v>
      </c>
      <c r="O2631" s="348" t="s">
        <v>1205</v>
      </c>
      <c r="P2631" s="348">
        <v>27.3</v>
      </c>
      <c r="Q2631" s="348">
        <v>2.65</v>
      </c>
    </row>
    <row r="2632" spans="1:17" ht="15" hidden="1" customHeight="1">
      <c r="A2632" s="163">
        <v>2640</v>
      </c>
      <c r="B2632" s="53" t="s">
        <v>44</v>
      </c>
      <c r="C2632" s="53" t="s">
        <v>6086</v>
      </c>
      <c r="D2632" s="53">
        <v>100024499</v>
      </c>
      <c r="E2632" s="55" t="s">
        <v>6087</v>
      </c>
      <c r="F2632" s="129">
        <v>10</v>
      </c>
      <c r="G2632" s="129">
        <v>180</v>
      </c>
      <c r="H2632" s="512">
        <v>363.61</v>
      </c>
      <c r="I2632" s="265" t="s">
        <v>359</v>
      </c>
      <c r="J2632" s="265" t="s">
        <v>102</v>
      </c>
      <c r="K2632" s="265" t="s">
        <v>6088</v>
      </c>
      <c r="L2632" s="348" t="s">
        <v>1205</v>
      </c>
      <c r="M2632" s="265" t="s">
        <v>6089</v>
      </c>
      <c r="N2632" s="347">
        <v>3.5350000000000001</v>
      </c>
      <c r="O2632" s="348" t="s">
        <v>1205</v>
      </c>
      <c r="P2632" s="348">
        <v>38.75</v>
      </c>
      <c r="Q2632" s="348">
        <v>2.65</v>
      </c>
    </row>
    <row r="2633" spans="1:17" ht="15" hidden="1" customHeight="1">
      <c r="A2633" s="163">
        <v>2641</v>
      </c>
      <c r="B2633" s="53" t="s">
        <v>44</v>
      </c>
      <c r="C2633" s="53" t="s">
        <v>6090</v>
      </c>
      <c r="D2633" s="53">
        <v>100024592</v>
      </c>
      <c r="E2633" s="55" t="s">
        <v>6091</v>
      </c>
      <c r="F2633" s="129">
        <v>10</v>
      </c>
      <c r="G2633" s="129" t="s">
        <v>2803</v>
      </c>
      <c r="H2633" s="512">
        <v>222.84</v>
      </c>
      <c r="I2633" s="265" t="s">
        <v>359</v>
      </c>
      <c r="J2633" s="265" t="s">
        <v>102</v>
      </c>
      <c r="K2633" s="265" t="s">
        <v>6092</v>
      </c>
      <c r="L2633" s="348" t="s">
        <v>1205</v>
      </c>
      <c r="M2633" s="265" t="s">
        <v>6093</v>
      </c>
      <c r="N2633" s="347">
        <v>2.8069999999999999</v>
      </c>
      <c r="O2633" s="348" t="s">
        <v>1205</v>
      </c>
      <c r="P2633" s="348" t="s">
        <v>1205</v>
      </c>
      <c r="Q2633" s="348" t="s">
        <v>1205</v>
      </c>
    </row>
    <row r="2634" spans="1:17" ht="15" hidden="1" customHeight="1">
      <c r="A2634" s="163">
        <v>2642</v>
      </c>
      <c r="B2634" s="53" t="s">
        <v>44</v>
      </c>
      <c r="C2634" s="53" t="s">
        <v>6094</v>
      </c>
      <c r="D2634" s="53">
        <v>100024593</v>
      </c>
      <c r="E2634" s="55" t="s">
        <v>6095</v>
      </c>
      <c r="F2634" s="129">
        <v>10</v>
      </c>
      <c r="G2634" s="129">
        <v>240</v>
      </c>
      <c r="H2634" s="512">
        <v>233.88</v>
      </c>
      <c r="I2634" s="265" t="s">
        <v>359</v>
      </c>
      <c r="J2634" s="265" t="s">
        <v>102</v>
      </c>
      <c r="K2634" s="265" t="s">
        <v>6096</v>
      </c>
      <c r="L2634" s="348" t="s">
        <v>1205</v>
      </c>
      <c r="M2634" s="265" t="s">
        <v>6097</v>
      </c>
      <c r="N2634" s="347">
        <v>3.1219999999999999</v>
      </c>
      <c r="O2634" s="348" t="s">
        <v>1205</v>
      </c>
      <c r="P2634" s="348">
        <v>34.200000000000003</v>
      </c>
      <c r="Q2634" s="348">
        <v>2.77</v>
      </c>
    </row>
    <row r="2635" spans="1:17" ht="15" hidden="1" customHeight="1">
      <c r="A2635" s="163">
        <v>2643</v>
      </c>
      <c r="B2635" s="53" t="s">
        <v>44</v>
      </c>
      <c r="C2635" s="53" t="s">
        <v>6098</v>
      </c>
      <c r="D2635" s="53">
        <v>100024596</v>
      </c>
      <c r="E2635" s="55" t="s">
        <v>6099</v>
      </c>
      <c r="F2635" s="129">
        <v>10</v>
      </c>
      <c r="G2635" s="129">
        <v>180</v>
      </c>
      <c r="H2635" s="512">
        <v>222.84</v>
      </c>
      <c r="I2635" s="265" t="s">
        <v>359</v>
      </c>
      <c r="J2635" s="265" t="s">
        <v>102</v>
      </c>
      <c r="K2635" s="265" t="s">
        <v>6100</v>
      </c>
      <c r="L2635" s="348" t="s">
        <v>1205</v>
      </c>
      <c r="M2635" s="265" t="s">
        <v>6101</v>
      </c>
      <c r="N2635" s="347">
        <v>2.7789999999999999</v>
      </c>
      <c r="O2635" s="348" t="s">
        <v>1205</v>
      </c>
      <c r="P2635" s="348">
        <v>30.4</v>
      </c>
      <c r="Q2635" s="348">
        <v>2.65</v>
      </c>
    </row>
    <row r="2636" spans="1:17" ht="15" hidden="1" customHeight="1">
      <c r="A2636" s="163">
        <v>2644</v>
      </c>
      <c r="B2636" s="53" t="s">
        <v>44</v>
      </c>
      <c r="C2636" s="53" t="s">
        <v>6103</v>
      </c>
      <c r="D2636" s="53">
        <v>100024857</v>
      </c>
      <c r="E2636" s="55" t="s">
        <v>6104</v>
      </c>
      <c r="F2636" s="129">
        <v>20</v>
      </c>
      <c r="G2636" s="129">
        <v>1200</v>
      </c>
      <c r="H2636" s="512">
        <v>191.49</v>
      </c>
      <c r="I2636" s="265" t="s">
        <v>359</v>
      </c>
      <c r="J2636" s="265" t="s">
        <v>102</v>
      </c>
      <c r="K2636" s="265" t="s">
        <v>6105</v>
      </c>
      <c r="L2636" s="348" t="s">
        <v>1205</v>
      </c>
      <c r="M2636" s="265" t="s">
        <v>6106</v>
      </c>
      <c r="N2636" s="347">
        <v>1.9</v>
      </c>
      <c r="O2636" s="348" t="s">
        <v>1205</v>
      </c>
      <c r="P2636" s="348">
        <v>19.899999999999999</v>
      </c>
      <c r="Q2636" s="348">
        <v>1.41</v>
      </c>
    </row>
    <row r="2637" spans="1:17" ht="15" hidden="1" customHeight="1">
      <c r="A2637" s="163">
        <v>2645</v>
      </c>
      <c r="B2637" s="53" t="s">
        <v>44</v>
      </c>
      <c r="C2637" s="53" t="s">
        <v>6107</v>
      </c>
      <c r="D2637" s="53">
        <v>100023759</v>
      </c>
      <c r="E2637" s="55" t="s">
        <v>6108</v>
      </c>
      <c r="F2637" s="129">
        <v>10</v>
      </c>
      <c r="G2637" s="129">
        <v>240</v>
      </c>
      <c r="H2637" s="512">
        <v>198.47</v>
      </c>
      <c r="I2637" s="265" t="s">
        <v>359</v>
      </c>
      <c r="J2637" s="265" t="s">
        <v>102</v>
      </c>
      <c r="K2637" s="265" t="s">
        <v>6109</v>
      </c>
      <c r="L2637" s="348" t="s">
        <v>1205</v>
      </c>
      <c r="M2637" s="265" t="s">
        <v>6110</v>
      </c>
      <c r="N2637" s="347">
        <v>2.0790000000000002</v>
      </c>
      <c r="O2637" s="348" t="s">
        <v>1205</v>
      </c>
      <c r="P2637" s="348">
        <v>24.1</v>
      </c>
      <c r="Q2637" s="348">
        <v>2.77</v>
      </c>
    </row>
    <row r="2638" spans="1:17" ht="15" hidden="1" customHeight="1">
      <c r="A2638" s="163">
        <v>2646</v>
      </c>
      <c r="B2638" s="53" t="s">
        <v>44</v>
      </c>
      <c r="C2638" s="53" t="s">
        <v>6111</v>
      </c>
      <c r="D2638" s="53">
        <v>100024860</v>
      </c>
      <c r="E2638" s="55" t="s">
        <v>6112</v>
      </c>
      <c r="F2638" s="129">
        <v>10</v>
      </c>
      <c r="G2638" s="129">
        <v>600</v>
      </c>
      <c r="H2638" s="512">
        <v>191.49</v>
      </c>
      <c r="I2638" s="265" t="s">
        <v>359</v>
      </c>
      <c r="J2638" s="265" t="s">
        <v>102</v>
      </c>
      <c r="K2638" s="265" t="s">
        <v>6113</v>
      </c>
      <c r="L2638" s="348" t="s">
        <v>1205</v>
      </c>
      <c r="M2638" s="265" t="s">
        <v>6114</v>
      </c>
      <c r="N2638" s="347">
        <v>1.9430000000000001</v>
      </c>
      <c r="O2638" s="348" t="s">
        <v>1205</v>
      </c>
      <c r="P2638" s="348">
        <v>17.98</v>
      </c>
      <c r="Q2638" s="348">
        <v>1.41</v>
      </c>
    </row>
    <row r="2639" spans="1:17" ht="15" hidden="1" customHeight="1">
      <c r="A2639" s="163">
        <v>2647</v>
      </c>
      <c r="B2639" s="53" t="s">
        <v>44</v>
      </c>
      <c r="C2639" s="53" t="s">
        <v>6115</v>
      </c>
      <c r="D2639" s="53">
        <v>100024866</v>
      </c>
      <c r="E2639" s="55" t="s">
        <v>6116</v>
      </c>
      <c r="F2639" s="129">
        <v>20</v>
      </c>
      <c r="G2639" s="129" t="s">
        <v>2803</v>
      </c>
      <c r="H2639" s="512">
        <v>191.49</v>
      </c>
      <c r="I2639" s="265" t="s">
        <v>76</v>
      </c>
      <c r="J2639" s="265" t="s">
        <v>102</v>
      </c>
      <c r="K2639" s="265" t="s">
        <v>6117</v>
      </c>
      <c r="L2639" s="348" t="s">
        <v>1205</v>
      </c>
      <c r="M2639" s="265" t="s">
        <v>6118</v>
      </c>
      <c r="N2639" s="347">
        <v>1.879</v>
      </c>
      <c r="O2639" s="348" t="s">
        <v>1205</v>
      </c>
      <c r="P2639" s="348" t="s">
        <v>1205</v>
      </c>
      <c r="Q2639" s="348" t="s">
        <v>1205</v>
      </c>
    </row>
    <row r="2640" spans="1:17" ht="15" hidden="1" customHeight="1">
      <c r="A2640" s="163">
        <v>2648</v>
      </c>
      <c r="B2640" s="53" t="s">
        <v>44</v>
      </c>
      <c r="C2640" s="53" t="s">
        <v>6119</v>
      </c>
      <c r="D2640" s="53">
        <v>100023770</v>
      </c>
      <c r="E2640" s="55" t="s">
        <v>6120</v>
      </c>
      <c r="F2640" s="129">
        <v>10</v>
      </c>
      <c r="G2640" s="129">
        <v>750</v>
      </c>
      <c r="H2640" s="512">
        <v>191.49</v>
      </c>
      <c r="I2640" s="265" t="s">
        <v>359</v>
      </c>
      <c r="J2640" s="265" t="s">
        <v>102</v>
      </c>
      <c r="K2640" s="265" t="s">
        <v>6121</v>
      </c>
      <c r="L2640" s="348" t="s">
        <v>1205</v>
      </c>
      <c r="M2640" s="265" t="s">
        <v>6122</v>
      </c>
      <c r="N2640" s="347">
        <v>1.79</v>
      </c>
      <c r="O2640" s="348" t="s">
        <v>1205</v>
      </c>
      <c r="P2640" s="348">
        <v>17.899999999999999</v>
      </c>
      <c r="Q2640" s="348">
        <v>1.1000000000000001</v>
      </c>
    </row>
    <row r="2641" spans="1:17" ht="15" hidden="1" customHeight="1">
      <c r="A2641" s="163">
        <v>2649</v>
      </c>
      <c r="B2641" s="53" t="s">
        <v>44</v>
      </c>
      <c r="C2641" s="53" t="s">
        <v>6123</v>
      </c>
      <c r="D2641" s="53">
        <v>100024873</v>
      </c>
      <c r="E2641" s="55" t="s">
        <v>6124</v>
      </c>
      <c r="F2641" s="129">
        <v>10</v>
      </c>
      <c r="G2641" s="129">
        <v>750</v>
      </c>
      <c r="H2641" s="512">
        <v>191.49</v>
      </c>
      <c r="I2641" s="265" t="s">
        <v>76</v>
      </c>
      <c r="J2641" s="265" t="s">
        <v>102</v>
      </c>
      <c r="K2641" s="265" t="s">
        <v>6125</v>
      </c>
      <c r="L2641" s="348" t="s">
        <v>1205</v>
      </c>
      <c r="M2641" s="265" t="s">
        <v>6126</v>
      </c>
      <c r="N2641" s="347">
        <v>1.756</v>
      </c>
      <c r="O2641" s="348" t="s">
        <v>1205</v>
      </c>
      <c r="P2641" s="348">
        <v>18.79</v>
      </c>
      <c r="Q2641" s="348">
        <v>1.1000000000000001</v>
      </c>
    </row>
    <row r="2642" spans="1:17" ht="15" hidden="1" customHeight="1">
      <c r="A2642" s="163">
        <v>2650</v>
      </c>
      <c r="B2642" s="53" t="s">
        <v>44</v>
      </c>
      <c r="C2642" s="53" t="s">
        <v>6127</v>
      </c>
      <c r="D2642" s="53">
        <v>100023771</v>
      </c>
      <c r="E2642" s="55" t="s">
        <v>6128</v>
      </c>
      <c r="F2642" s="129">
        <v>10</v>
      </c>
      <c r="G2642" s="129">
        <v>600</v>
      </c>
      <c r="H2642" s="512">
        <v>198.47</v>
      </c>
      <c r="I2642" s="265" t="s">
        <v>359</v>
      </c>
      <c r="J2642" s="265" t="s">
        <v>102</v>
      </c>
      <c r="K2642" s="265" t="s">
        <v>6129</v>
      </c>
      <c r="L2642" s="348" t="s">
        <v>1205</v>
      </c>
      <c r="M2642" s="265" t="s">
        <v>6130</v>
      </c>
      <c r="N2642" s="347">
        <v>1.9379999999999999</v>
      </c>
      <c r="O2642" s="348" t="s">
        <v>1205</v>
      </c>
      <c r="P2642" s="348">
        <v>19.38</v>
      </c>
      <c r="Q2642" s="348">
        <v>1.41</v>
      </c>
    </row>
    <row r="2643" spans="1:17" ht="15" hidden="1" customHeight="1">
      <c r="A2643" s="163">
        <v>2651</v>
      </c>
      <c r="B2643" s="53" t="s">
        <v>44</v>
      </c>
      <c r="C2643" s="53" t="s">
        <v>6131</v>
      </c>
      <c r="D2643" s="53">
        <v>100023772</v>
      </c>
      <c r="E2643" s="55" t="s">
        <v>6132</v>
      </c>
      <c r="F2643" s="129">
        <v>10</v>
      </c>
      <c r="G2643" s="129">
        <v>240</v>
      </c>
      <c r="H2643" s="512">
        <v>198.47</v>
      </c>
      <c r="I2643" s="265" t="s">
        <v>359</v>
      </c>
      <c r="J2643" s="265" t="s">
        <v>102</v>
      </c>
      <c r="K2643" s="265" t="s">
        <v>6133</v>
      </c>
      <c r="L2643" s="348" t="s">
        <v>1205</v>
      </c>
      <c r="M2643" s="265" t="s">
        <v>6134</v>
      </c>
      <c r="N2643" s="347">
        <v>2.1</v>
      </c>
      <c r="O2643" s="348" t="s">
        <v>1205</v>
      </c>
      <c r="P2643" s="348">
        <v>21</v>
      </c>
      <c r="Q2643" s="348">
        <v>2.77</v>
      </c>
    </row>
    <row r="2644" spans="1:17" ht="15" hidden="1" customHeight="1">
      <c r="A2644" s="163">
        <v>2652</v>
      </c>
      <c r="B2644" s="53" t="s">
        <v>44</v>
      </c>
      <c r="C2644" s="53" t="s">
        <v>6135</v>
      </c>
      <c r="D2644" s="53">
        <v>100024874</v>
      </c>
      <c r="E2644" s="55" t="s">
        <v>6136</v>
      </c>
      <c r="F2644" s="129">
        <v>10</v>
      </c>
      <c r="G2644" s="129">
        <v>240</v>
      </c>
      <c r="H2644" s="512">
        <v>198.47</v>
      </c>
      <c r="I2644" s="265" t="s">
        <v>76</v>
      </c>
      <c r="J2644" s="265" t="s">
        <v>102</v>
      </c>
      <c r="K2644" s="265" t="s">
        <v>6137</v>
      </c>
      <c r="L2644" s="348" t="s">
        <v>1205</v>
      </c>
      <c r="M2644" s="265" t="s">
        <v>6138</v>
      </c>
      <c r="N2644" s="347">
        <v>1.9350000000000001</v>
      </c>
      <c r="O2644" s="348" t="s">
        <v>1205</v>
      </c>
      <c r="P2644" s="348">
        <v>21.91</v>
      </c>
      <c r="Q2644" s="348">
        <v>2.77</v>
      </c>
    </row>
    <row r="2645" spans="1:17" ht="15" hidden="1" customHeight="1">
      <c r="A2645" s="163">
        <v>2653</v>
      </c>
      <c r="B2645" s="53" t="s">
        <v>44</v>
      </c>
      <c r="C2645" s="53" t="s">
        <v>6139</v>
      </c>
      <c r="D2645" s="53">
        <v>100023775</v>
      </c>
      <c r="E2645" s="55" t="s">
        <v>6140</v>
      </c>
      <c r="F2645" s="129">
        <v>10</v>
      </c>
      <c r="G2645" s="129">
        <v>750</v>
      </c>
      <c r="H2645" s="512">
        <v>180.98</v>
      </c>
      <c r="I2645" s="265" t="s">
        <v>359</v>
      </c>
      <c r="J2645" s="265" t="s">
        <v>102</v>
      </c>
      <c r="K2645" s="265" t="s">
        <v>6141</v>
      </c>
      <c r="L2645" s="348" t="s">
        <v>1205</v>
      </c>
      <c r="M2645" s="265" t="s">
        <v>6142</v>
      </c>
      <c r="N2645" s="347">
        <v>1.6519999999999999</v>
      </c>
      <c r="O2645" s="348" t="s">
        <v>1205</v>
      </c>
      <c r="P2645" s="348">
        <v>16.515000000000001</v>
      </c>
      <c r="Q2645" s="348">
        <v>0.95</v>
      </c>
    </row>
    <row r="2646" spans="1:17" ht="15" hidden="1" customHeight="1">
      <c r="A2646" s="163">
        <v>2654</v>
      </c>
      <c r="B2646" s="53" t="s">
        <v>44</v>
      </c>
      <c r="C2646" s="53" t="s">
        <v>6143</v>
      </c>
      <c r="D2646" s="53">
        <v>100023776</v>
      </c>
      <c r="E2646" s="55" t="s">
        <v>6144</v>
      </c>
      <c r="F2646" s="129">
        <v>10</v>
      </c>
      <c r="G2646" s="129">
        <v>750</v>
      </c>
      <c r="H2646" s="512">
        <v>180.98</v>
      </c>
      <c r="I2646" s="265" t="s">
        <v>76</v>
      </c>
      <c r="J2646" s="265" t="s">
        <v>102</v>
      </c>
      <c r="K2646" s="265" t="s">
        <v>6145</v>
      </c>
      <c r="L2646" s="348" t="s">
        <v>1205</v>
      </c>
      <c r="M2646" s="265" t="s">
        <v>6146</v>
      </c>
      <c r="N2646" s="347">
        <v>1.7310000000000001</v>
      </c>
      <c r="O2646" s="348" t="s">
        <v>1205</v>
      </c>
      <c r="P2646" s="348">
        <v>17.309999999999999</v>
      </c>
      <c r="Q2646" s="348">
        <v>1.1000000000000001</v>
      </c>
    </row>
    <row r="2647" spans="1:17" ht="15" hidden="1" customHeight="1">
      <c r="A2647" s="163">
        <v>2655</v>
      </c>
      <c r="B2647" s="53" t="s">
        <v>44</v>
      </c>
      <c r="C2647" s="53" t="s">
        <v>6147</v>
      </c>
      <c r="D2647" s="53">
        <v>100024893</v>
      </c>
      <c r="E2647" s="55" t="s">
        <v>6148</v>
      </c>
      <c r="F2647" s="129">
        <v>10</v>
      </c>
      <c r="G2647" s="129">
        <v>750</v>
      </c>
      <c r="H2647" s="512">
        <v>191.49</v>
      </c>
      <c r="I2647" s="265" t="s">
        <v>359</v>
      </c>
      <c r="J2647" s="265" t="s">
        <v>102</v>
      </c>
      <c r="K2647" s="265" t="s">
        <v>6149</v>
      </c>
      <c r="L2647" s="348" t="s">
        <v>1205</v>
      </c>
      <c r="M2647" s="265">
        <v>0</v>
      </c>
      <c r="N2647" s="347">
        <v>1.756</v>
      </c>
      <c r="O2647" s="348" t="s">
        <v>1205</v>
      </c>
      <c r="P2647" s="348">
        <v>17.355</v>
      </c>
      <c r="Q2647" s="348">
        <v>1.1000000000000001</v>
      </c>
    </row>
    <row r="2648" spans="1:17" ht="15" hidden="1" customHeight="1">
      <c r="A2648" s="163">
        <v>2656</v>
      </c>
      <c r="B2648" s="53" t="s">
        <v>44</v>
      </c>
      <c r="C2648" s="53" t="s">
        <v>6150</v>
      </c>
      <c r="D2648" s="53">
        <v>100023849</v>
      </c>
      <c r="E2648" s="55" t="s">
        <v>6151</v>
      </c>
      <c r="F2648" s="129">
        <v>10</v>
      </c>
      <c r="G2648" s="129">
        <v>180</v>
      </c>
      <c r="H2648" s="512">
        <v>198.47</v>
      </c>
      <c r="I2648" s="265" t="s">
        <v>359</v>
      </c>
      <c r="J2648" s="265" t="s">
        <v>102</v>
      </c>
      <c r="K2648" s="265" t="s">
        <v>6152</v>
      </c>
      <c r="L2648" s="348" t="s">
        <v>1205</v>
      </c>
      <c r="M2648" s="265" t="s">
        <v>6153</v>
      </c>
      <c r="N2648" s="347">
        <v>1.77</v>
      </c>
      <c r="O2648" s="348" t="s">
        <v>1205</v>
      </c>
      <c r="P2648" s="348">
        <v>17.7</v>
      </c>
      <c r="Q2648" s="348">
        <v>2.65</v>
      </c>
    </row>
    <row r="2649" spans="1:17" ht="15" hidden="1" customHeight="1">
      <c r="A2649" s="163">
        <v>2657</v>
      </c>
      <c r="B2649" s="53" t="s">
        <v>44</v>
      </c>
      <c r="C2649" s="53" t="s">
        <v>6154</v>
      </c>
      <c r="D2649" s="53">
        <v>100024894</v>
      </c>
      <c r="E2649" s="55" t="s">
        <v>6155</v>
      </c>
      <c r="F2649" s="129">
        <v>10</v>
      </c>
      <c r="G2649" s="129">
        <v>240</v>
      </c>
      <c r="H2649" s="512">
        <v>198.47</v>
      </c>
      <c r="I2649" s="265" t="s">
        <v>359</v>
      </c>
      <c r="J2649" s="265" t="s">
        <v>102</v>
      </c>
      <c r="K2649" s="265" t="s">
        <v>6156</v>
      </c>
      <c r="L2649" s="348" t="s">
        <v>1205</v>
      </c>
      <c r="M2649" s="265" t="s">
        <v>6157</v>
      </c>
      <c r="N2649" s="347">
        <v>1.9350000000000001</v>
      </c>
      <c r="O2649" s="348" t="s">
        <v>1205</v>
      </c>
      <c r="P2649" s="348">
        <v>21.9</v>
      </c>
      <c r="Q2649" s="348">
        <v>2.77</v>
      </c>
    </row>
    <row r="2650" spans="1:17" ht="15" hidden="1" customHeight="1">
      <c r="A2650" s="163">
        <v>2658</v>
      </c>
      <c r="B2650" s="53" t="s">
        <v>44</v>
      </c>
      <c r="C2650" s="53" t="s">
        <v>6158</v>
      </c>
      <c r="D2650" s="53">
        <v>100024910</v>
      </c>
      <c r="E2650" s="55" t="s">
        <v>6159</v>
      </c>
      <c r="F2650" s="129">
        <v>10</v>
      </c>
      <c r="G2650" s="129">
        <v>750</v>
      </c>
      <c r="H2650" s="512">
        <v>191.49</v>
      </c>
      <c r="I2650" s="265" t="s">
        <v>76</v>
      </c>
      <c r="J2650" s="265" t="s">
        <v>102</v>
      </c>
      <c r="K2650" s="265" t="s">
        <v>6160</v>
      </c>
      <c r="L2650" s="348" t="s">
        <v>1205</v>
      </c>
      <c r="M2650" s="265" t="s">
        <v>6161</v>
      </c>
      <c r="N2650" s="347">
        <v>1.8160000000000001</v>
      </c>
      <c r="O2650" s="348" t="s">
        <v>1205</v>
      </c>
      <c r="P2650" s="348">
        <v>18.16</v>
      </c>
      <c r="Q2650" s="348">
        <v>1.1000000000000001</v>
      </c>
    </row>
    <row r="2651" spans="1:17" ht="15" hidden="1" customHeight="1">
      <c r="A2651" s="163">
        <v>2659</v>
      </c>
      <c r="B2651" s="53" t="s">
        <v>44</v>
      </c>
      <c r="C2651" s="53" t="s">
        <v>6162</v>
      </c>
      <c r="D2651" s="53">
        <v>100024911</v>
      </c>
      <c r="E2651" s="55" t="s">
        <v>6163</v>
      </c>
      <c r="F2651" s="129">
        <v>10</v>
      </c>
      <c r="G2651" s="129">
        <v>750</v>
      </c>
      <c r="H2651" s="512">
        <v>191.49</v>
      </c>
      <c r="I2651" s="265" t="s">
        <v>359</v>
      </c>
      <c r="J2651" s="265" t="s">
        <v>102</v>
      </c>
      <c r="K2651" s="265" t="s">
        <v>6164</v>
      </c>
      <c r="L2651" s="348" t="s">
        <v>1205</v>
      </c>
      <c r="M2651" s="265" t="s">
        <v>6165</v>
      </c>
      <c r="N2651" s="347">
        <v>1.78</v>
      </c>
      <c r="O2651" s="348" t="s">
        <v>1205</v>
      </c>
      <c r="P2651" s="348">
        <v>18.91</v>
      </c>
      <c r="Q2651" s="348">
        <v>1.1000000000000001</v>
      </c>
    </row>
    <row r="2652" spans="1:17" ht="15" hidden="1" customHeight="1">
      <c r="A2652" s="163">
        <v>2660</v>
      </c>
      <c r="B2652" s="53" t="s">
        <v>44</v>
      </c>
      <c r="C2652" s="53" t="s">
        <v>6166</v>
      </c>
      <c r="D2652" s="53">
        <v>100024912</v>
      </c>
      <c r="E2652" s="55" t="s">
        <v>6167</v>
      </c>
      <c r="F2652" s="129">
        <v>10</v>
      </c>
      <c r="G2652" s="129">
        <v>240</v>
      </c>
      <c r="H2652" s="512">
        <v>198.47</v>
      </c>
      <c r="I2652" s="265" t="s">
        <v>359</v>
      </c>
      <c r="J2652" s="265" t="s">
        <v>102</v>
      </c>
      <c r="K2652" s="265" t="s">
        <v>6168</v>
      </c>
      <c r="L2652" s="348" t="s">
        <v>1205</v>
      </c>
      <c r="M2652" s="265" t="s">
        <v>6169</v>
      </c>
      <c r="N2652" s="347">
        <v>1.9590000000000001</v>
      </c>
      <c r="O2652" s="348" t="s">
        <v>1205</v>
      </c>
      <c r="P2652" s="348">
        <v>19.850000000000001</v>
      </c>
      <c r="Q2652" s="348">
        <v>2.77</v>
      </c>
    </row>
    <row r="2653" spans="1:17" ht="15" hidden="1" customHeight="1">
      <c r="A2653" s="163">
        <v>2661</v>
      </c>
      <c r="B2653" s="53" t="s">
        <v>44</v>
      </c>
      <c r="C2653" s="53" t="s">
        <v>6170</v>
      </c>
      <c r="D2653" s="53">
        <v>100023905</v>
      </c>
      <c r="E2653" s="55" t="s">
        <v>6171</v>
      </c>
      <c r="F2653" s="129">
        <v>10</v>
      </c>
      <c r="G2653" s="129">
        <v>750</v>
      </c>
      <c r="H2653" s="512">
        <v>180.98</v>
      </c>
      <c r="I2653" s="265" t="s">
        <v>359</v>
      </c>
      <c r="J2653" s="265" t="s">
        <v>102</v>
      </c>
      <c r="K2653" s="265" t="s">
        <v>6172</v>
      </c>
      <c r="L2653" s="348" t="s">
        <v>1205</v>
      </c>
      <c r="M2653" s="265" t="s">
        <v>6173</v>
      </c>
      <c r="N2653" s="347">
        <v>1.661</v>
      </c>
      <c r="O2653" s="348" t="s">
        <v>1205</v>
      </c>
      <c r="P2653" s="348">
        <v>16.605</v>
      </c>
      <c r="Q2653" s="348">
        <v>1.1000000000000001</v>
      </c>
    </row>
    <row r="2654" spans="1:17" ht="15" hidden="1" customHeight="1">
      <c r="A2654" s="163">
        <v>2662</v>
      </c>
      <c r="B2654" s="53" t="s">
        <v>44</v>
      </c>
      <c r="C2654" s="53" t="s">
        <v>6174</v>
      </c>
      <c r="D2654" s="53">
        <v>100023906</v>
      </c>
      <c r="E2654" s="55" t="s">
        <v>6175</v>
      </c>
      <c r="F2654" s="129">
        <v>20</v>
      </c>
      <c r="G2654" s="129" t="s">
        <v>2803</v>
      </c>
      <c r="H2654" s="512">
        <v>180.98</v>
      </c>
      <c r="I2654" s="265" t="s">
        <v>359</v>
      </c>
      <c r="J2654" s="265" t="s">
        <v>102</v>
      </c>
      <c r="K2654" s="265" t="s">
        <v>6176</v>
      </c>
      <c r="L2654" s="348" t="s">
        <v>1205</v>
      </c>
      <c r="M2654" s="265" t="s">
        <v>6177</v>
      </c>
      <c r="N2654" s="347">
        <v>1.55</v>
      </c>
      <c r="O2654" s="348" t="s">
        <v>1205</v>
      </c>
      <c r="P2654" s="348">
        <v>31</v>
      </c>
      <c r="Q2654" s="348" t="s">
        <v>1205</v>
      </c>
    </row>
    <row r="2655" spans="1:17" ht="15" hidden="1" customHeight="1">
      <c r="A2655" s="163">
        <v>2663</v>
      </c>
      <c r="B2655" s="53" t="s">
        <v>44</v>
      </c>
      <c r="C2655" s="53" t="s">
        <v>6178</v>
      </c>
      <c r="D2655" s="53">
        <v>100024914</v>
      </c>
      <c r="E2655" s="55" t="s">
        <v>6179</v>
      </c>
      <c r="F2655" s="129">
        <v>10</v>
      </c>
      <c r="G2655" s="129">
        <v>750</v>
      </c>
      <c r="H2655" s="512">
        <v>191.49</v>
      </c>
      <c r="I2655" s="265" t="s">
        <v>359</v>
      </c>
      <c r="J2655" s="265" t="s">
        <v>102</v>
      </c>
      <c r="K2655" s="265" t="s">
        <v>6180</v>
      </c>
      <c r="L2655" s="348" t="s">
        <v>1205</v>
      </c>
      <c r="M2655" s="265" t="s">
        <v>6181</v>
      </c>
      <c r="N2655" s="347">
        <v>1.78</v>
      </c>
      <c r="O2655" s="348" t="s">
        <v>1205</v>
      </c>
      <c r="P2655" s="348">
        <v>17.559999999999999</v>
      </c>
      <c r="Q2655" s="348">
        <v>1.1000000000000001</v>
      </c>
    </row>
    <row r="2656" spans="1:17" ht="15" hidden="1" customHeight="1">
      <c r="A2656" s="163">
        <v>2664</v>
      </c>
      <c r="B2656" s="53" t="s">
        <v>44</v>
      </c>
      <c r="C2656" s="53" t="s">
        <v>6182</v>
      </c>
      <c r="D2656" s="53">
        <v>100023968</v>
      </c>
      <c r="E2656" s="55" t="s">
        <v>6183</v>
      </c>
      <c r="F2656" s="129">
        <v>10</v>
      </c>
      <c r="G2656" s="129">
        <v>750</v>
      </c>
      <c r="H2656" s="512">
        <v>191.49</v>
      </c>
      <c r="I2656" s="265" t="s">
        <v>359</v>
      </c>
      <c r="J2656" s="265" t="s">
        <v>102</v>
      </c>
      <c r="K2656" s="265" t="s">
        <v>6184</v>
      </c>
      <c r="L2656" s="348" t="s">
        <v>1205</v>
      </c>
      <c r="M2656" s="265" t="s">
        <v>6185</v>
      </c>
      <c r="N2656" s="347">
        <v>1.706</v>
      </c>
      <c r="O2656" s="348" t="s">
        <v>1205</v>
      </c>
      <c r="P2656" s="348">
        <v>18.954999999999998</v>
      </c>
      <c r="Q2656" s="348">
        <v>1.1000000000000001</v>
      </c>
    </row>
    <row r="2657" spans="1:17" ht="15" hidden="1" customHeight="1">
      <c r="A2657" s="163">
        <v>2665</v>
      </c>
      <c r="B2657" s="53" t="s">
        <v>44</v>
      </c>
      <c r="C2657" s="53" t="s">
        <v>6186</v>
      </c>
      <c r="D2657" s="53">
        <v>100024917</v>
      </c>
      <c r="E2657" s="55" t="s">
        <v>6187</v>
      </c>
      <c r="F2657" s="129">
        <v>10</v>
      </c>
      <c r="G2657" s="129">
        <v>240</v>
      </c>
      <c r="H2657" s="512">
        <v>198.47</v>
      </c>
      <c r="I2657" s="265" t="s">
        <v>76</v>
      </c>
      <c r="J2657" s="265" t="s">
        <v>102</v>
      </c>
      <c r="K2657" s="265" t="s">
        <v>6188</v>
      </c>
      <c r="L2657" s="348" t="s">
        <v>1205</v>
      </c>
      <c r="M2657" s="265" t="s">
        <v>6189</v>
      </c>
      <c r="N2657" s="347">
        <v>1.885</v>
      </c>
      <c r="O2657" s="348" t="s">
        <v>1205</v>
      </c>
      <c r="P2657" s="348">
        <v>22</v>
      </c>
      <c r="Q2657" s="348">
        <v>2.77</v>
      </c>
    </row>
    <row r="2658" spans="1:17" ht="15" hidden="1" customHeight="1">
      <c r="A2658" s="163">
        <v>2666</v>
      </c>
      <c r="B2658" s="53" t="s">
        <v>44</v>
      </c>
      <c r="C2658" s="53" t="s">
        <v>6190</v>
      </c>
      <c r="D2658" s="53">
        <v>100023971</v>
      </c>
      <c r="E2658" s="55" t="s">
        <v>6191</v>
      </c>
      <c r="F2658" s="129">
        <v>20</v>
      </c>
      <c r="G2658" s="129" t="s">
        <v>2803</v>
      </c>
      <c r="H2658" s="512">
        <v>180.98</v>
      </c>
      <c r="I2658" s="265" t="s">
        <v>359</v>
      </c>
      <c r="J2658" s="265" t="s">
        <v>102</v>
      </c>
      <c r="K2658" s="265" t="s">
        <v>6192</v>
      </c>
      <c r="L2658" s="348" t="s">
        <v>1205</v>
      </c>
      <c r="M2658" s="265" t="s">
        <v>6193</v>
      </c>
      <c r="N2658" s="347">
        <v>1.5960000000000001</v>
      </c>
      <c r="O2658" s="348" t="s">
        <v>1205</v>
      </c>
      <c r="P2658" s="348">
        <v>31.92</v>
      </c>
      <c r="Q2658" s="348" t="s">
        <v>1205</v>
      </c>
    </row>
    <row r="2659" spans="1:17" ht="15" hidden="1" customHeight="1">
      <c r="A2659" s="163">
        <v>2667</v>
      </c>
      <c r="B2659" s="53" t="s">
        <v>44</v>
      </c>
      <c r="C2659" s="53" t="s">
        <v>6194</v>
      </c>
      <c r="D2659" s="53">
        <v>100024010</v>
      </c>
      <c r="E2659" s="55" t="s">
        <v>6195</v>
      </c>
      <c r="F2659" s="129">
        <v>10</v>
      </c>
      <c r="G2659" s="129">
        <v>600</v>
      </c>
      <c r="H2659" s="512">
        <v>191.49</v>
      </c>
      <c r="I2659" s="265" t="s">
        <v>359</v>
      </c>
      <c r="J2659" s="265" t="s">
        <v>102</v>
      </c>
      <c r="K2659" s="265" t="s">
        <v>6196</v>
      </c>
      <c r="L2659" s="348" t="s">
        <v>1205</v>
      </c>
      <c r="M2659" s="265" t="s">
        <v>6197</v>
      </c>
      <c r="N2659" s="347">
        <v>1.7809999999999999</v>
      </c>
      <c r="O2659" s="348" t="s">
        <v>1205</v>
      </c>
      <c r="P2659" s="348">
        <v>19</v>
      </c>
      <c r="Q2659" s="348">
        <v>1.41</v>
      </c>
    </row>
    <row r="2660" spans="1:17" ht="15" hidden="1" customHeight="1">
      <c r="A2660" s="163">
        <v>2668</v>
      </c>
      <c r="B2660" s="53" t="s">
        <v>44</v>
      </c>
      <c r="C2660" s="53" t="s">
        <v>6198</v>
      </c>
      <c r="D2660" s="53">
        <v>100024923</v>
      </c>
      <c r="E2660" s="55" t="s">
        <v>6199</v>
      </c>
      <c r="F2660" s="129">
        <v>10</v>
      </c>
      <c r="G2660" s="129">
        <v>180</v>
      </c>
      <c r="H2660" s="512">
        <v>191.49</v>
      </c>
      <c r="I2660" s="265" t="s">
        <v>359</v>
      </c>
      <c r="J2660" s="265" t="s">
        <v>102</v>
      </c>
      <c r="K2660" s="265" t="s">
        <v>6200</v>
      </c>
      <c r="L2660" s="348" t="s">
        <v>1205</v>
      </c>
      <c r="M2660" s="265" t="s">
        <v>6201</v>
      </c>
      <c r="N2660" s="347">
        <v>1.857</v>
      </c>
      <c r="O2660" s="348" t="s">
        <v>1205</v>
      </c>
      <c r="P2660" s="348">
        <v>20.39</v>
      </c>
      <c r="Q2660" s="348">
        <v>2.65</v>
      </c>
    </row>
    <row r="2661" spans="1:17" ht="15" hidden="1" customHeight="1">
      <c r="A2661" s="163">
        <v>2669</v>
      </c>
      <c r="B2661" s="53" t="s">
        <v>44</v>
      </c>
      <c r="C2661" s="53" t="s">
        <v>6202</v>
      </c>
      <c r="D2661" s="53">
        <v>100024924</v>
      </c>
      <c r="E2661" s="55" t="s">
        <v>6203</v>
      </c>
      <c r="F2661" s="129">
        <v>10</v>
      </c>
      <c r="G2661" s="129">
        <v>240</v>
      </c>
      <c r="H2661" s="512">
        <v>198.47</v>
      </c>
      <c r="I2661" s="265" t="s">
        <v>359</v>
      </c>
      <c r="J2661" s="265" t="s">
        <v>102</v>
      </c>
      <c r="K2661" s="265" t="s">
        <v>6204</v>
      </c>
      <c r="L2661" s="348" t="s">
        <v>1205</v>
      </c>
      <c r="M2661" s="265" t="s">
        <v>6205</v>
      </c>
      <c r="N2661" s="347">
        <v>2.036</v>
      </c>
      <c r="O2661" s="348" t="s">
        <v>1205</v>
      </c>
      <c r="P2661" s="348">
        <v>22.7</v>
      </c>
      <c r="Q2661" s="348">
        <v>2.77</v>
      </c>
    </row>
    <row r="2662" spans="1:17" ht="15" hidden="1" customHeight="1">
      <c r="A2662" s="163">
        <v>2670</v>
      </c>
      <c r="B2662" s="53" t="s">
        <v>44</v>
      </c>
      <c r="C2662" s="53" t="s">
        <v>6206</v>
      </c>
      <c r="D2662" s="53">
        <v>100024931</v>
      </c>
      <c r="E2662" s="55" t="s">
        <v>6207</v>
      </c>
      <c r="F2662" s="129">
        <v>10</v>
      </c>
      <c r="G2662" s="129">
        <v>600</v>
      </c>
      <c r="H2662" s="512">
        <v>222.22</v>
      </c>
      <c r="I2662" s="265" t="s">
        <v>76</v>
      </c>
      <c r="J2662" s="265" t="s">
        <v>102</v>
      </c>
      <c r="K2662" s="265" t="s">
        <v>6208</v>
      </c>
      <c r="L2662" s="348" t="s">
        <v>1205</v>
      </c>
      <c r="M2662" s="265" t="s">
        <v>6209</v>
      </c>
      <c r="N2662" s="347">
        <v>2.1970000000000001</v>
      </c>
      <c r="O2662" s="348" t="s">
        <v>1205</v>
      </c>
      <c r="P2662" s="348">
        <v>20.9</v>
      </c>
      <c r="Q2662" s="348">
        <v>1.41</v>
      </c>
    </row>
    <row r="2663" spans="1:17" ht="15" hidden="1" customHeight="1">
      <c r="A2663" s="163">
        <v>2671</v>
      </c>
      <c r="B2663" s="53" t="s">
        <v>44</v>
      </c>
      <c r="C2663" s="53" t="s">
        <v>6210</v>
      </c>
      <c r="D2663" s="53">
        <v>100024932</v>
      </c>
      <c r="E2663" s="55" t="s">
        <v>6211</v>
      </c>
      <c r="F2663" s="129">
        <v>10</v>
      </c>
      <c r="G2663" s="129">
        <v>240</v>
      </c>
      <c r="H2663" s="512">
        <v>229.21</v>
      </c>
      <c r="I2663" s="265" t="s">
        <v>359</v>
      </c>
      <c r="J2663" s="265" t="s">
        <v>102</v>
      </c>
      <c r="K2663" s="265" t="s">
        <v>6212</v>
      </c>
      <c r="L2663" s="348" t="s">
        <v>1205</v>
      </c>
      <c r="M2663" s="265" t="s">
        <v>6213</v>
      </c>
      <c r="N2663" s="347">
        <v>2.3759999999999999</v>
      </c>
      <c r="O2663" s="348" t="s">
        <v>1205</v>
      </c>
      <c r="P2663" s="348">
        <v>23.9</v>
      </c>
      <c r="Q2663" s="348">
        <v>2.77</v>
      </c>
    </row>
    <row r="2664" spans="1:17" ht="15" hidden="1" customHeight="1">
      <c r="A2664" s="163">
        <v>2672</v>
      </c>
      <c r="B2664" s="53" t="s">
        <v>44</v>
      </c>
      <c r="C2664" s="53" t="s">
        <v>6214</v>
      </c>
      <c r="D2664" s="53">
        <v>100024936</v>
      </c>
      <c r="E2664" s="55" t="s">
        <v>6215</v>
      </c>
      <c r="F2664" s="129">
        <v>20</v>
      </c>
      <c r="G2664" s="129">
        <v>1500</v>
      </c>
      <c r="H2664" s="512">
        <v>191.49</v>
      </c>
      <c r="I2664" s="265" t="s">
        <v>359</v>
      </c>
      <c r="J2664" s="265" t="s">
        <v>102</v>
      </c>
      <c r="K2664" s="265" t="s">
        <v>6216</v>
      </c>
      <c r="L2664" s="348" t="s">
        <v>1205</v>
      </c>
      <c r="M2664" s="265" t="s">
        <v>6217</v>
      </c>
      <c r="N2664" s="347">
        <v>1.756</v>
      </c>
      <c r="O2664" s="348" t="s">
        <v>1205</v>
      </c>
      <c r="P2664" s="348">
        <v>18.7</v>
      </c>
      <c r="Q2664" s="348">
        <v>1.1000000000000001</v>
      </c>
    </row>
    <row r="2665" spans="1:17" ht="15" hidden="1" customHeight="1">
      <c r="A2665" s="163">
        <v>2673</v>
      </c>
      <c r="B2665" s="53" t="s">
        <v>44</v>
      </c>
      <c r="C2665" s="53" t="s">
        <v>6218</v>
      </c>
      <c r="D2665" s="53">
        <v>100024937</v>
      </c>
      <c r="E2665" s="55" t="s">
        <v>6219</v>
      </c>
      <c r="F2665" s="129">
        <v>10</v>
      </c>
      <c r="G2665" s="129">
        <v>240</v>
      </c>
      <c r="H2665" s="512">
        <v>198.47</v>
      </c>
      <c r="I2665" s="265" t="s">
        <v>359</v>
      </c>
      <c r="J2665" s="265" t="s">
        <v>102</v>
      </c>
      <c r="K2665" s="265" t="s">
        <v>6220</v>
      </c>
      <c r="L2665" s="348" t="s">
        <v>1205</v>
      </c>
      <c r="M2665" s="265" t="s">
        <v>6221</v>
      </c>
      <c r="N2665" s="347">
        <v>1.9350000000000001</v>
      </c>
      <c r="O2665" s="348" t="s">
        <v>1205</v>
      </c>
      <c r="P2665" s="348">
        <v>21.7</v>
      </c>
      <c r="Q2665" s="348">
        <v>2.77</v>
      </c>
    </row>
    <row r="2666" spans="1:17" ht="15" hidden="1" customHeight="1">
      <c r="A2666" s="163">
        <v>2674</v>
      </c>
      <c r="B2666" s="53" t="s">
        <v>44</v>
      </c>
      <c r="C2666" s="53" t="s">
        <v>6222</v>
      </c>
      <c r="D2666" s="53">
        <v>100024104</v>
      </c>
      <c r="E2666" s="55" t="s">
        <v>6223</v>
      </c>
      <c r="F2666" s="129">
        <v>10</v>
      </c>
      <c r="G2666" s="129">
        <v>750</v>
      </c>
      <c r="H2666" s="512">
        <v>191.49</v>
      </c>
      <c r="I2666" s="265" t="s">
        <v>359</v>
      </c>
      <c r="J2666" s="265" t="s">
        <v>102</v>
      </c>
      <c r="K2666" s="265" t="s">
        <v>6224</v>
      </c>
      <c r="L2666" s="348" t="s">
        <v>1205</v>
      </c>
      <c r="M2666" s="265" t="s">
        <v>6225</v>
      </c>
      <c r="N2666" s="347">
        <v>1.694</v>
      </c>
      <c r="O2666" s="348" t="s">
        <v>1205</v>
      </c>
      <c r="P2666" s="348">
        <v>19.059999999999999</v>
      </c>
      <c r="Q2666" s="348">
        <v>1.1000000000000001</v>
      </c>
    </row>
    <row r="2667" spans="1:17" ht="15" hidden="1" customHeight="1">
      <c r="A2667" s="163">
        <v>2675</v>
      </c>
      <c r="B2667" s="53" t="s">
        <v>44</v>
      </c>
      <c r="C2667" s="53" t="s">
        <v>6226</v>
      </c>
      <c r="D2667" s="53">
        <v>100025009</v>
      </c>
      <c r="E2667" s="55" t="s">
        <v>6227</v>
      </c>
      <c r="F2667" s="129">
        <v>10</v>
      </c>
      <c r="G2667" s="129">
        <v>180</v>
      </c>
      <c r="H2667" s="512">
        <v>298.91000000000003</v>
      </c>
      <c r="I2667" s="265" t="s">
        <v>76</v>
      </c>
      <c r="J2667" s="265" t="s">
        <v>102</v>
      </c>
      <c r="K2667" s="265" t="s">
        <v>6228</v>
      </c>
      <c r="L2667" s="348" t="s">
        <v>1205</v>
      </c>
      <c r="M2667" s="265" t="s">
        <v>6229</v>
      </c>
      <c r="N2667" s="347">
        <v>2.6749999999999998</v>
      </c>
      <c r="O2667" s="348" t="s">
        <v>1205</v>
      </c>
      <c r="P2667" s="348">
        <v>29.2</v>
      </c>
      <c r="Q2667" s="348">
        <v>2.65</v>
      </c>
    </row>
    <row r="2668" spans="1:17" ht="15" hidden="1" customHeight="1">
      <c r="A2668" s="163">
        <v>2676</v>
      </c>
      <c r="B2668" s="53" t="s">
        <v>44</v>
      </c>
      <c r="C2668" s="53" t="s">
        <v>6230</v>
      </c>
      <c r="D2668" s="53">
        <v>100025011</v>
      </c>
      <c r="E2668" s="55" t="s">
        <v>6231</v>
      </c>
      <c r="F2668" s="129">
        <v>10</v>
      </c>
      <c r="G2668" s="129">
        <v>240</v>
      </c>
      <c r="H2668" s="512">
        <v>313.79000000000002</v>
      </c>
      <c r="I2668" s="265" t="s">
        <v>359</v>
      </c>
      <c r="J2668" s="265" t="s">
        <v>102</v>
      </c>
      <c r="K2668" s="265" t="s">
        <v>6232</v>
      </c>
      <c r="L2668" s="348" t="s">
        <v>1205</v>
      </c>
      <c r="M2668" s="265" t="s">
        <v>6233</v>
      </c>
      <c r="N2668" s="347">
        <v>2.99</v>
      </c>
      <c r="O2668" s="348" t="s">
        <v>1205</v>
      </c>
      <c r="P2668" s="348">
        <v>32.549999999999997</v>
      </c>
      <c r="Q2668" s="348">
        <v>2.77</v>
      </c>
    </row>
    <row r="2669" spans="1:17" ht="15" hidden="1" customHeight="1">
      <c r="A2669" s="163">
        <v>2677</v>
      </c>
      <c r="B2669" s="53" t="s">
        <v>44</v>
      </c>
      <c r="C2669" s="53" t="s">
        <v>6234</v>
      </c>
      <c r="D2669" s="53">
        <v>100024533</v>
      </c>
      <c r="E2669" s="55" t="s">
        <v>6235</v>
      </c>
      <c r="F2669" s="129">
        <v>10</v>
      </c>
      <c r="G2669" s="129">
        <v>180</v>
      </c>
      <c r="H2669" s="512">
        <v>298.91000000000003</v>
      </c>
      <c r="I2669" s="265" t="s">
        <v>359</v>
      </c>
      <c r="J2669" s="265" t="s">
        <v>102</v>
      </c>
      <c r="K2669" s="265" t="s">
        <v>6236</v>
      </c>
      <c r="L2669" s="348" t="s">
        <v>1205</v>
      </c>
      <c r="M2669" s="265" t="s">
        <v>6237</v>
      </c>
      <c r="N2669" s="347">
        <v>2.8079999999999998</v>
      </c>
      <c r="O2669" s="348" t="s">
        <v>1205</v>
      </c>
      <c r="P2669" s="348">
        <v>28.9</v>
      </c>
      <c r="Q2669" s="348">
        <v>2.65</v>
      </c>
    </row>
    <row r="2670" spans="1:17" ht="15" hidden="1" customHeight="1">
      <c r="A2670" s="163">
        <v>2678</v>
      </c>
      <c r="B2670" s="53" t="s">
        <v>44</v>
      </c>
      <c r="C2670" s="53" t="s">
        <v>6238</v>
      </c>
      <c r="D2670" s="53">
        <v>100024535</v>
      </c>
      <c r="E2670" s="55" t="s">
        <v>6239</v>
      </c>
      <c r="F2670" s="129">
        <v>10</v>
      </c>
      <c r="G2670" s="129">
        <v>240</v>
      </c>
      <c r="H2670" s="512">
        <v>313.79000000000002</v>
      </c>
      <c r="I2670" s="265" t="s">
        <v>359</v>
      </c>
      <c r="J2670" s="265" t="s">
        <v>102</v>
      </c>
      <c r="K2670" s="265" t="s">
        <v>6240</v>
      </c>
      <c r="L2670" s="348" t="s">
        <v>1205</v>
      </c>
      <c r="M2670" s="265" t="s">
        <v>6241</v>
      </c>
      <c r="N2670" s="347">
        <v>2.4140000000000001</v>
      </c>
      <c r="O2670" s="348" t="s">
        <v>1205</v>
      </c>
      <c r="P2670" s="348">
        <v>33.950000000000003</v>
      </c>
      <c r="Q2670" s="348">
        <v>2.77</v>
      </c>
    </row>
    <row r="2671" spans="1:17" ht="15" hidden="1" customHeight="1">
      <c r="A2671" s="163">
        <v>2679</v>
      </c>
      <c r="B2671" s="53" t="s">
        <v>44</v>
      </c>
      <c r="C2671" s="53" t="s">
        <v>6242</v>
      </c>
      <c r="D2671" s="53">
        <v>100024567</v>
      </c>
      <c r="E2671" s="55" t="s">
        <v>6243</v>
      </c>
      <c r="F2671" s="129">
        <v>10</v>
      </c>
      <c r="G2671" s="129">
        <v>180</v>
      </c>
      <c r="H2671" s="512">
        <v>298.91000000000003</v>
      </c>
      <c r="I2671" s="265" t="s">
        <v>359</v>
      </c>
      <c r="J2671" s="265" t="s">
        <v>102</v>
      </c>
      <c r="K2671" s="265" t="s">
        <v>6244</v>
      </c>
      <c r="L2671" s="348" t="s">
        <v>1205</v>
      </c>
      <c r="M2671" s="265" t="s">
        <v>6245</v>
      </c>
      <c r="N2671" s="347">
        <v>2.6709999999999998</v>
      </c>
      <c r="O2671" s="348" t="s">
        <v>1205</v>
      </c>
      <c r="P2671" s="348">
        <v>28.94</v>
      </c>
      <c r="Q2671" s="348">
        <v>2.65</v>
      </c>
    </row>
    <row r="2672" spans="1:17" ht="15" hidden="1" customHeight="1">
      <c r="A2672" s="163">
        <v>2680</v>
      </c>
      <c r="B2672" s="53" t="s">
        <v>44</v>
      </c>
      <c r="C2672" s="53" t="s">
        <v>6246</v>
      </c>
      <c r="D2672" s="53">
        <v>100024570</v>
      </c>
      <c r="E2672" s="55" t="s">
        <v>6247</v>
      </c>
      <c r="F2672" s="129">
        <v>10</v>
      </c>
      <c r="G2672" s="129">
        <v>240</v>
      </c>
      <c r="H2672" s="512">
        <v>313.79000000000002</v>
      </c>
      <c r="I2672" s="265" t="s">
        <v>359</v>
      </c>
      <c r="J2672" s="265" t="s">
        <v>102</v>
      </c>
      <c r="K2672" s="265" t="s">
        <v>6248</v>
      </c>
      <c r="L2672" s="348" t="s">
        <v>1205</v>
      </c>
      <c r="M2672" s="265" t="s">
        <v>6249</v>
      </c>
      <c r="N2672" s="347">
        <v>2.9860000000000002</v>
      </c>
      <c r="O2672" s="348" t="s">
        <v>1205</v>
      </c>
      <c r="P2672" s="348">
        <v>32.549999999999997</v>
      </c>
      <c r="Q2672" s="348">
        <v>2.77</v>
      </c>
    </row>
    <row r="2673" spans="1:17" ht="15" hidden="1" customHeight="1">
      <c r="A2673" s="163">
        <v>2681</v>
      </c>
      <c r="B2673" s="53" t="s">
        <v>44</v>
      </c>
      <c r="C2673" s="53" t="s">
        <v>6250</v>
      </c>
      <c r="D2673" s="53">
        <v>100024604</v>
      </c>
      <c r="E2673" s="55" t="s">
        <v>6251</v>
      </c>
      <c r="F2673" s="129">
        <v>10</v>
      </c>
      <c r="G2673" s="129">
        <v>180</v>
      </c>
      <c r="H2673" s="512">
        <v>298.91000000000003</v>
      </c>
      <c r="I2673" s="265" t="s">
        <v>359</v>
      </c>
      <c r="J2673" s="265" t="s">
        <v>102</v>
      </c>
      <c r="K2673" s="265" t="s">
        <v>6252</v>
      </c>
      <c r="L2673" s="348" t="s">
        <v>1205</v>
      </c>
      <c r="M2673" s="265" t="s">
        <v>6253</v>
      </c>
      <c r="N2673" s="347">
        <v>2.7280000000000002</v>
      </c>
      <c r="O2673" s="348" t="s">
        <v>1205</v>
      </c>
      <c r="P2673" s="348">
        <v>29.34</v>
      </c>
      <c r="Q2673" s="348">
        <v>2.65</v>
      </c>
    </row>
    <row r="2674" spans="1:17" ht="15" hidden="1" customHeight="1">
      <c r="A2674" s="163">
        <v>2682</v>
      </c>
      <c r="B2674" s="53" t="s">
        <v>44</v>
      </c>
      <c r="C2674" s="53" t="s">
        <v>6255</v>
      </c>
      <c r="D2674" s="106">
        <v>100028410</v>
      </c>
      <c r="E2674" s="55" t="s">
        <v>6256</v>
      </c>
      <c r="F2674" s="129">
        <v>50</v>
      </c>
      <c r="G2674" s="129">
        <v>3750</v>
      </c>
      <c r="H2674" s="512">
        <v>7.57</v>
      </c>
      <c r="I2674" s="265" t="s">
        <v>1693</v>
      </c>
      <c r="J2674" s="265" t="s">
        <v>77</v>
      </c>
      <c r="K2674" s="265" t="s">
        <v>6257</v>
      </c>
      <c r="L2674" s="348" t="s">
        <v>1205</v>
      </c>
      <c r="M2674" s="265" t="s">
        <v>6258</v>
      </c>
      <c r="N2674" s="347">
        <v>0.161</v>
      </c>
      <c r="O2674" s="348" t="s">
        <v>1205</v>
      </c>
      <c r="P2674" s="348">
        <v>8.06</v>
      </c>
      <c r="Q2674" s="348">
        <v>1.1000000000000001</v>
      </c>
    </row>
    <row r="2675" spans="1:17" ht="15" hidden="1" customHeight="1">
      <c r="A2675" s="163">
        <v>2683</v>
      </c>
      <c r="B2675" s="53" t="s">
        <v>44</v>
      </c>
      <c r="C2675" s="53" t="s">
        <v>6259</v>
      </c>
      <c r="D2675" s="171">
        <v>100028411</v>
      </c>
      <c r="E2675" s="55" t="s">
        <v>6260</v>
      </c>
      <c r="F2675" s="129">
        <v>50</v>
      </c>
      <c r="G2675" s="129">
        <v>3750</v>
      </c>
      <c r="H2675" s="512">
        <v>7.57</v>
      </c>
      <c r="I2675" s="265" t="s">
        <v>1693</v>
      </c>
      <c r="J2675" s="265" t="s">
        <v>77</v>
      </c>
      <c r="K2675" s="265" t="s">
        <v>6257</v>
      </c>
      <c r="L2675" s="348" t="s">
        <v>1205</v>
      </c>
      <c r="M2675" s="265" t="s">
        <v>6258</v>
      </c>
      <c r="N2675" s="347">
        <v>0.161</v>
      </c>
      <c r="O2675" s="348" t="s">
        <v>1205</v>
      </c>
      <c r="P2675" s="348">
        <v>8.06</v>
      </c>
      <c r="Q2675" s="348">
        <v>1.1000000000000001</v>
      </c>
    </row>
    <row r="2676" spans="1:17" ht="15" hidden="1" customHeight="1">
      <c r="A2676" s="163">
        <v>2684</v>
      </c>
      <c r="B2676" s="53" t="s">
        <v>44</v>
      </c>
      <c r="C2676" s="53" t="s">
        <v>6261</v>
      </c>
      <c r="D2676" s="171">
        <v>100028412</v>
      </c>
      <c r="E2676" s="55" t="s">
        <v>6262</v>
      </c>
      <c r="F2676" s="129">
        <v>50</v>
      </c>
      <c r="G2676" s="129">
        <v>6000</v>
      </c>
      <c r="H2676" s="512">
        <v>5.0199999999999996</v>
      </c>
      <c r="I2676" s="265" t="s">
        <v>1693</v>
      </c>
      <c r="J2676" s="265" t="s">
        <v>77</v>
      </c>
      <c r="K2676" s="265" t="s">
        <v>6257</v>
      </c>
      <c r="L2676" s="348" t="s">
        <v>1205</v>
      </c>
      <c r="M2676" s="265" t="s">
        <v>6258</v>
      </c>
      <c r="N2676" s="347">
        <v>0.161</v>
      </c>
      <c r="O2676" s="348" t="s">
        <v>1205</v>
      </c>
      <c r="P2676" s="348">
        <v>6.31</v>
      </c>
      <c r="Q2676" s="348">
        <v>0.65</v>
      </c>
    </row>
    <row r="2677" spans="1:17" ht="15" hidden="1" customHeight="1">
      <c r="A2677" s="163">
        <v>2685</v>
      </c>
      <c r="B2677" s="53" t="s">
        <v>44</v>
      </c>
      <c r="C2677" s="53" t="s">
        <v>6263</v>
      </c>
      <c r="D2677" s="171">
        <v>100028413</v>
      </c>
      <c r="E2677" s="55" t="s">
        <v>6264</v>
      </c>
      <c r="F2677" s="129">
        <v>50</v>
      </c>
      <c r="G2677" s="129">
        <v>6000</v>
      </c>
      <c r="H2677" s="512">
        <v>5.0199999999999996</v>
      </c>
      <c r="I2677" s="265" t="s">
        <v>1693</v>
      </c>
      <c r="J2677" s="265" t="s">
        <v>77</v>
      </c>
      <c r="K2677" s="265" t="s">
        <v>6257</v>
      </c>
      <c r="L2677" s="348" t="s">
        <v>1205</v>
      </c>
      <c r="M2677" s="265" t="s">
        <v>6258</v>
      </c>
      <c r="N2677" s="347">
        <v>0.161</v>
      </c>
      <c r="O2677" s="348" t="s">
        <v>1205</v>
      </c>
      <c r="P2677" s="348">
        <v>6.31</v>
      </c>
      <c r="Q2677" s="348">
        <v>0.65</v>
      </c>
    </row>
    <row r="2678" spans="1:17" ht="15" hidden="1" customHeight="1">
      <c r="A2678" s="163">
        <v>2686</v>
      </c>
      <c r="B2678" s="53" t="s">
        <v>44</v>
      </c>
      <c r="C2678" s="53" t="s">
        <v>6265</v>
      </c>
      <c r="D2678" s="171">
        <v>100031681</v>
      </c>
      <c r="E2678" s="55" t="s">
        <v>6266</v>
      </c>
      <c r="F2678" s="129">
        <v>50</v>
      </c>
      <c r="G2678" s="129">
        <v>3750</v>
      </c>
      <c r="H2678" s="512">
        <v>7.57</v>
      </c>
      <c r="I2678" s="265" t="s">
        <v>1693</v>
      </c>
      <c r="J2678" s="265" t="s">
        <v>77</v>
      </c>
      <c r="K2678" s="265" t="s">
        <v>6257</v>
      </c>
      <c r="L2678" s="348" t="s">
        <v>1205</v>
      </c>
      <c r="M2678" s="265" t="s">
        <v>6258</v>
      </c>
      <c r="N2678" s="347">
        <v>0.161</v>
      </c>
      <c r="O2678" s="348" t="s">
        <v>1205</v>
      </c>
      <c r="P2678" s="348">
        <v>9.17</v>
      </c>
      <c r="Q2678" s="348">
        <v>1.1000000000000001</v>
      </c>
    </row>
    <row r="2679" spans="1:17" ht="15" hidden="1" customHeight="1">
      <c r="A2679" s="163">
        <v>2687</v>
      </c>
      <c r="B2679" s="53" t="s">
        <v>44</v>
      </c>
      <c r="C2679" s="53" t="s">
        <v>6267</v>
      </c>
      <c r="D2679" s="106">
        <v>100028414</v>
      </c>
      <c r="E2679" s="55" t="s">
        <v>6268</v>
      </c>
      <c r="F2679" s="129">
        <v>50</v>
      </c>
      <c r="G2679" s="129">
        <v>4500</v>
      </c>
      <c r="H2679" s="512">
        <v>5.0199999999999996</v>
      </c>
      <c r="I2679" s="265" t="s">
        <v>1693</v>
      </c>
      <c r="J2679" s="265" t="s">
        <v>77</v>
      </c>
      <c r="K2679" s="265" t="s">
        <v>6257</v>
      </c>
      <c r="L2679" s="348" t="s">
        <v>1205</v>
      </c>
      <c r="M2679" s="265" t="s">
        <v>6258</v>
      </c>
      <c r="N2679" s="347">
        <v>0.161</v>
      </c>
      <c r="O2679" s="348" t="s">
        <v>1205</v>
      </c>
      <c r="P2679" s="348">
        <v>7.53</v>
      </c>
      <c r="Q2679" s="348">
        <v>0.8</v>
      </c>
    </row>
    <row r="2680" spans="1:17" ht="15" hidden="1" customHeight="1">
      <c r="A2680" s="163">
        <v>2688</v>
      </c>
      <c r="B2680" s="53" t="s">
        <v>44</v>
      </c>
      <c r="C2680" s="53" t="s">
        <v>6269</v>
      </c>
      <c r="D2680" s="106">
        <v>100025075</v>
      </c>
      <c r="E2680" s="55" t="s">
        <v>6270</v>
      </c>
      <c r="F2680" s="129">
        <v>50</v>
      </c>
      <c r="G2680" s="129">
        <v>1800</v>
      </c>
      <c r="H2680" s="512">
        <v>19.89</v>
      </c>
      <c r="I2680" s="265" t="s">
        <v>1693</v>
      </c>
      <c r="J2680" s="265" t="s">
        <v>77</v>
      </c>
      <c r="K2680" s="265" t="s">
        <v>6257</v>
      </c>
      <c r="L2680" s="348" t="s">
        <v>1205</v>
      </c>
      <c r="M2680" s="265" t="s">
        <v>6258</v>
      </c>
      <c r="N2680" s="347">
        <v>0.161</v>
      </c>
      <c r="O2680" s="348" t="s">
        <v>1205</v>
      </c>
      <c r="P2680" s="348">
        <v>27.1</v>
      </c>
      <c r="Q2680" s="348">
        <v>2.65</v>
      </c>
    </row>
    <row r="2681" spans="1:17" ht="15" hidden="1" customHeight="1">
      <c r="A2681" s="163">
        <v>2689</v>
      </c>
      <c r="B2681" s="53" t="s">
        <v>44</v>
      </c>
      <c r="C2681" s="53" t="s">
        <v>6271</v>
      </c>
      <c r="D2681" s="106">
        <v>100025076</v>
      </c>
      <c r="E2681" s="55" t="s">
        <v>6272</v>
      </c>
      <c r="F2681" s="129">
        <v>50</v>
      </c>
      <c r="G2681" s="129">
        <v>1800</v>
      </c>
      <c r="H2681" s="512">
        <v>19.89</v>
      </c>
      <c r="I2681" s="265" t="s">
        <v>1693</v>
      </c>
      <c r="J2681" s="265" t="s">
        <v>77</v>
      </c>
      <c r="K2681" s="265" t="s">
        <v>6257</v>
      </c>
      <c r="L2681" s="348" t="s">
        <v>1205</v>
      </c>
      <c r="M2681" s="265" t="s">
        <v>6258</v>
      </c>
      <c r="N2681" s="347">
        <v>0.161</v>
      </c>
      <c r="O2681" s="348" t="s">
        <v>1205</v>
      </c>
      <c r="P2681" s="348">
        <v>27.59</v>
      </c>
      <c r="Q2681" s="348">
        <v>2.65</v>
      </c>
    </row>
    <row r="2682" spans="1:17" ht="15" hidden="1" customHeight="1">
      <c r="A2682" s="163">
        <v>2690</v>
      </c>
      <c r="B2682" s="53" t="s">
        <v>44</v>
      </c>
      <c r="C2682" s="53" t="s">
        <v>6273</v>
      </c>
      <c r="D2682" s="106">
        <v>100024619</v>
      </c>
      <c r="E2682" s="55" t="s">
        <v>6274</v>
      </c>
      <c r="F2682" s="129">
        <v>50</v>
      </c>
      <c r="G2682" s="129">
        <v>1800</v>
      </c>
      <c r="H2682" s="512">
        <v>19.89</v>
      </c>
      <c r="I2682" s="265" t="s">
        <v>1693</v>
      </c>
      <c r="J2682" s="265" t="s">
        <v>77</v>
      </c>
      <c r="K2682" s="265" t="s">
        <v>6257</v>
      </c>
      <c r="L2682" s="348" t="s">
        <v>1205</v>
      </c>
      <c r="M2682" s="265" t="s">
        <v>6258</v>
      </c>
      <c r="N2682" s="347">
        <v>0.161</v>
      </c>
      <c r="O2682" s="348" t="s">
        <v>1205</v>
      </c>
      <c r="P2682" s="348">
        <v>26.4</v>
      </c>
      <c r="Q2682" s="348">
        <v>2.65</v>
      </c>
    </row>
    <row r="2683" spans="1:17" ht="15" hidden="1" customHeight="1">
      <c r="A2683" s="163">
        <v>2691</v>
      </c>
      <c r="B2683" s="53" t="s">
        <v>44</v>
      </c>
      <c r="C2683" s="53" t="s">
        <v>6275</v>
      </c>
      <c r="D2683" s="106">
        <v>100024620</v>
      </c>
      <c r="E2683" s="55" t="s">
        <v>6276</v>
      </c>
      <c r="F2683" s="129">
        <v>50</v>
      </c>
      <c r="G2683" s="129">
        <v>1800</v>
      </c>
      <c r="H2683" s="512">
        <v>19.89</v>
      </c>
      <c r="I2683" s="265" t="s">
        <v>1693</v>
      </c>
      <c r="J2683" s="265" t="s">
        <v>77</v>
      </c>
      <c r="K2683" s="265" t="s">
        <v>6257</v>
      </c>
      <c r="L2683" s="348" t="s">
        <v>1205</v>
      </c>
      <c r="M2683" s="265" t="s">
        <v>6258</v>
      </c>
      <c r="N2683" s="347">
        <v>0.161</v>
      </c>
      <c r="O2683" s="348" t="s">
        <v>1205</v>
      </c>
      <c r="P2683" s="348">
        <v>23.09</v>
      </c>
      <c r="Q2683" s="348">
        <v>2.65</v>
      </c>
    </row>
    <row r="2684" spans="1:17" ht="15" hidden="1" customHeight="1">
      <c r="A2684" s="163">
        <v>2692</v>
      </c>
      <c r="B2684" s="53" t="s">
        <v>44</v>
      </c>
      <c r="C2684" s="53" t="s">
        <v>6277</v>
      </c>
      <c r="D2684" s="106">
        <v>100024621</v>
      </c>
      <c r="E2684" s="55" t="s">
        <v>6278</v>
      </c>
      <c r="F2684" s="129">
        <v>50</v>
      </c>
      <c r="G2684" s="129">
        <v>1800</v>
      </c>
      <c r="H2684" s="512">
        <v>19.89</v>
      </c>
      <c r="I2684" s="265" t="s">
        <v>1693</v>
      </c>
      <c r="J2684" s="265" t="s">
        <v>77</v>
      </c>
      <c r="K2684" s="265" t="s">
        <v>6257</v>
      </c>
      <c r="L2684" s="348" t="s">
        <v>1205</v>
      </c>
      <c r="M2684" s="265" t="s">
        <v>6258</v>
      </c>
      <c r="N2684" s="347">
        <v>0.161</v>
      </c>
      <c r="O2684" s="348" t="s">
        <v>1205</v>
      </c>
      <c r="P2684" s="348">
        <v>27.1</v>
      </c>
      <c r="Q2684" s="348">
        <v>2.65</v>
      </c>
    </row>
    <row r="2685" spans="1:17" ht="15" hidden="1" customHeight="1">
      <c r="A2685" s="163">
        <v>2693</v>
      </c>
      <c r="B2685" s="53" t="s">
        <v>44</v>
      </c>
      <c r="C2685" s="53" t="s">
        <v>6279</v>
      </c>
      <c r="D2685" s="106">
        <v>100024622</v>
      </c>
      <c r="E2685" s="55" t="s">
        <v>6280</v>
      </c>
      <c r="F2685" s="129">
        <v>50</v>
      </c>
      <c r="G2685" s="129">
        <v>1800</v>
      </c>
      <c r="H2685" s="512">
        <v>19.89</v>
      </c>
      <c r="I2685" s="265" t="s">
        <v>1693</v>
      </c>
      <c r="J2685" s="265" t="s">
        <v>77</v>
      </c>
      <c r="K2685" s="265" t="s">
        <v>6257</v>
      </c>
      <c r="L2685" s="348" t="s">
        <v>1205</v>
      </c>
      <c r="M2685" s="265" t="s">
        <v>6258</v>
      </c>
      <c r="N2685" s="347">
        <v>0.161</v>
      </c>
      <c r="O2685" s="348" t="s">
        <v>1205</v>
      </c>
      <c r="P2685" s="348">
        <v>25.6</v>
      </c>
      <c r="Q2685" s="348">
        <v>2.65</v>
      </c>
    </row>
    <row r="2686" spans="1:17" ht="15" hidden="1" customHeight="1">
      <c r="A2686" s="163">
        <v>2694</v>
      </c>
      <c r="B2686" s="53" t="s">
        <v>44</v>
      </c>
      <c r="C2686" s="53" t="s">
        <v>6281</v>
      </c>
      <c r="D2686" s="106">
        <v>100024623</v>
      </c>
      <c r="E2686" s="55" t="s">
        <v>6276</v>
      </c>
      <c r="F2686" s="129">
        <v>50</v>
      </c>
      <c r="G2686" s="129">
        <v>1800</v>
      </c>
      <c r="H2686" s="512">
        <v>19.89</v>
      </c>
      <c r="I2686" s="265" t="s">
        <v>1693</v>
      </c>
      <c r="J2686" s="265" t="s">
        <v>77</v>
      </c>
      <c r="K2686" s="265" t="s">
        <v>6257</v>
      </c>
      <c r="L2686" s="348" t="s">
        <v>1205</v>
      </c>
      <c r="M2686" s="265" t="s">
        <v>6258</v>
      </c>
      <c r="N2686" s="347">
        <v>0.161</v>
      </c>
      <c r="O2686" s="348" t="s">
        <v>1205</v>
      </c>
      <c r="P2686" s="348">
        <v>27.09</v>
      </c>
      <c r="Q2686" s="348">
        <v>2.65</v>
      </c>
    </row>
    <row r="2687" spans="1:17" ht="15" hidden="1" customHeight="1">
      <c r="A2687" s="163">
        <v>2695</v>
      </c>
      <c r="B2687" s="53" t="s">
        <v>44</v>
      </c>
      <c r="C2687" s="53" t="s">
        <v>6282</v>
      </c>
      <c r="D2687" s="106">
        <v>100025077</v>
      </c>
      <c r="E2687" s="55" t="s">
        <v>6278</v>
      </c>
      <c r="F2687" s="129">
        <v>50</v>
      </c>
      <c r="G2687" s="129">
        <v>1800</v>
      </c>
      <c r="H2687" s="512">
        <v>19.89</v>
      </c>
      <c r="I2687" s="265" t="s">
        <v>1693</v>
      </c>
      <c r="J2687" s="265" t="s">
        <v>77</v>
      </c>
      <c r="K2687" s="265" t="s">
        <v>6257</v>
      </c>
      <c r="L2687" s="348" t="s">
        <v>1205</v>
      </c>
      <c r="M2687" s="265" t="s">
        <v>6258</v>
      </c>
      <c r="N2687" s="347">
        <v>0.161</v>
      </c>
      <c r="O2687" s="348" t="s">
        <v>1205</v>
      </c>
      <c r="P2687" s="348">
        <v>27.1</v>
      </c>
      <c r="Q2687" s="348">
        <v>2.65</v>
      </c>
    </row>
    <row r="2688" spans="1:17" ht="15" hidden="1" customHeight="1">
      <c r="A2688" s="163">
        <v>2696</v>
      </c>
      <c r="B2688" s="53" t="s">
        <v>44</v>
      </c>
      <c r="C2688" s="53" t="s">
        <v>6283</v>
      </c>
      <c r="D2688" s="106">
        <v>100025078</v>
      </c>
      <c r="E2688" s="55" t="s">
        <v>6280</v>
      </c>
      <c r="F2688" s="129">
        <v>50</v>
      </c>
      <c r="G2688" s="129">
        <v>1800</v>
      </c>
      <c r="H2688" s="512">
        <v>19.89</v>
      </c>
      <c r="I2688" s="265" t="s">
        <v>1693</v>
      </c>
      <c r="J2688" s="265" t="s">
        <v>77</v>
      </c>
      <c r="K2688" s="265" t="s">
        <v>6257</v>
      </c>
      <c r="L2688" s="348" t="s">
        <v>1205</v>
      </c>
      <c r="M2688" s="265" t="s">
        <v>6258</v>
      </c>
      <c r="N2688" s="347">
        <v>0.161</v>
      </c>
      <c r="O2688" s="348" t="s">
        <v>1205</v>
      </c>
      <c r="P2688" s="348">
        <v>27.6</v>
      </c>
      <c r="Q2688" s="348">
        <v>2.65</v>
      </c>
    </row>
    <row r="2689" spans="1:17" ht="15" hidden="1" customHeight="1">
      <c r="A2689" s="163">
        <v>2697</v>
      </c>
      <c r="B2689" s="53" t="s">
        <v>44</v>
      </c>
      <c r="C2689" s="53" t="s">
        <v>6284</v>
      </c>
      <c r="D2689" s="106">
        <v>100028741</v>
      </c>
      <c r="E2689" s="55" t="s">
        <v>6285</v>
      </c>
      <c r="F2689" s="129">
        <v>50</v>
      </c>
      <c r="G2689" s="129">
        <v>1800</v>
      </c>
      <c r="H2689" s="512">
        <v>19.89</v>
      </c>
      <c r="I2689" s="265" t="s">
        <v>1693</v>
      </c>
      <c r="J2689" s="265" t="s">
        <v>77</v>
      </c>
      <c r="K2689" s="265" t="s">
        <v>6257</v>
      </c>
      <c r="L2689" s="348" t="s">
        <v>1205</v>
      </c>
      <c r="M2689" s="265" t="s">
        <v>6258</v>
      </c>
      <c r="N2689" s="347">
        <v>0.161</v>
      </c>
      <c r="O2689" s="348" t="s">
        <v>1205</v>
      </c>
      <c r="P2689" s="348">
        <v>30.12</v>
      </c>
      <c r="Q2689" s="348">
        <v>2.65</v>
      </c>
    </row>
    <row r="2690" spans="1:17" ht="15" hidden="1" customHeight="1">
      <c r="A2690" s="163">
        <v>2698</v>
      </c>
      <c r="B2690" s="53" t="s">
        <v>44</v>
      </c>
      <c r="C2690" s="53" t="s">
        <v>6286</v>
      </c>
      <c r="D2690" s="106">
        <v>100025080</v>
      </c>
      <c r="E2690" s="55" t="s">
        <v>6287</v>
      </c>
      <c r="F2690" s="129">
        <v>50</v>
      </c>
      <c r="G2690" s="129">
        <v>1800</v>
      </c>
      <c r="H2690" s="512">
        <v>19.89</v>
      </c>
      <c r="I2690" s="265" t="s">
        <v>1693</v>
      </c>
      <c r="J2690" s="265" t="s">
        <v>77</v>
      </c>
      <c r="K2690" s="265" t="s">
        <v>6257</v>
      </c>
      <c r="L2690" s="348" t="s">
        <v>1205</v>
      </c>
      <c r="M2690" s="265" t="s">
        <v>6258</v>
      </c>
      <c r="N2690" s="347">
        <v>0.161</v>
      </c>
      <c r="O2690" s="348" t="s">
        <v>1205</v>
      </c>
      <c r="P2690" s="348">
        <v>28.59</v>
      </c>
      <c r="Q2690" s="348">
        <v>2.65</v>
      </c>
    </row>
    <row r="2691" spans="1:17" ht="15" hidden="1" customHeight="1">
      <c r="A2691" s="163">
        <v>2699</v>
      </c>
      <c r="B2691" s="53" t="s">
        <v>44</v>
      </c>
      <c r="C2691" s="53" t="s">
        <v>6288</v>
      </c>
      <c r="D2691" s="106">
        <v>100025082</v>
      </c>
      <c r="E2691" s="55" t="s">
        <v>6289</v>
      </c>
      <c r="F2691" s="129">
        <v>50</v>
      </c>
      <c r="G2691" s="129">
        <v>1800</v>
      </c>
      <c r="H2691" s="512">
        <v>19.89</v>
      </c>
      <c r="I2691" s="265" t="s">
        <v>1693</v>
      </c>
      <c r="J2691" s="265" t="s">
        <v>77</v>
      </c>
      <c r="K2691" s="265" t="s">
        <v>6257</v>
      </c>
      <c r="L2691" s="348" t="s">
        <v>1205</v>
      </c>
      <c r="M2691" s="265" t="s">
        <v>6258</v>
      </c>
      <c r="N2691" s="347">
        <v>0.161</v>
      </c>
      <c r="O2691" s="348" t="s">
        <v>1205</v>
      </c>
      <c r="P2691" s="348">
        <v>28.59</v>
      </c>
      <c r="Q2691" s="348">
        <v>2.65</v>
      </c>
    </row>
    <row r="2692" spans="1:17" ht="15" hidden="1" customHeight="1">
      <c r="A2692" s="163">
        <v>2700</v>
      </c>
      <c r="B2692" s="53" t="s">
        <v>44</v>
      </c>
      <c r="C2692" s="53" t="s">
        <v>6290</v>
      </c>
      <c r="D2692" s="106">
        <v>100024625</v>
      </c>
      <c r="E2692" s="55" t="s">
        <v>6291</v>
      </c>
      <c r="F2692" s="129">
        <v>50</v>
      </c>
      <c r="G2692" s="129">
        <v>1800</v>
      </c>
      <c r="H2692" s="512">
        <v>19.89</v>
      </c>
      <c r="I2692" s="265" t="s">
        <v>1693</v>
      </c>
      <c r="J2692" s="265" t="s">
        <v>77</v>
      </c>
      <c r="K2692" s="265" t="s">
        <v>6257</v>
      </c>
      <c r="L2692" s="348" t="s">
        <v>1205</v>
      </c>
      <c r="M2692" s="265" t="s">
        <v>6258</v>
      </c>
      <c r="N2692" s="347">
        <v>0.161</v>
      </c>
      <c r="O2692" s="348" t="s">
        <v>1205</v>
      </c>
      <c r="P2692" s="348">
        <v>28.1</v>
      </c>
      <c r="Q2692" s="348">
        <v>2.65</v>
      </c>
    </row>
    <row r="2693" spans="1:17" ht="15" hidden="1" customHeight="1">
      <c r="A2693" s="163">
        <v>2701</v>
      </c>
      <c r="B2693" s="53" t="s">
        <v>44</v>
      </c>
      <c r="C2693" s="53" t="s">
        <v>6292</v>
      </c>
      <c r="D2693" s="106">
        <v>100028742</v>
      </c>
      <c r="E2693" s="55" t="s">
        <v>6293</v>
      </c>
      <c r="F2693" s="129">
        <v>50</v>
      </c>
      <c r="G2693" s="129">
        <v>1800</v>
      </c>
      <c r="H2693" s="512">
        <v>19.89</v>
      </c>
      <c r="I2693" s="265" t="s">
        <v>1693</v>
      </c>
      <c r="J2693" s="265" t="s">
        <v>77</v>
      </c>
      <c r="K2693" s="265" t="s">
        <v>6257</v>
      </c>
      <c r="L2693" s="348" t="s">
        <v>1205</v>
      </c>
      <c r="M2693" s="265" t="s">
        <v>6258</v>
      </c>
      <c r="N2693" s="347">
        <v>0.161</v>
      </c>
      <c r="O2693" s="348" t="s">
        <v>1205</v>
      </c>
      <c r="P2693" s="348">
        <v>28.6</v>
      </c>
      <c r="Q2693" s="348">
        <v>2.65</v>
      </c>
    </row>
    <row r="2694" spans="1:17" ht="15" hidden="1" customHeight="1">
      <c r="A2694" s="163">
        <v>2702</v>
      </c>
      <c r="B2694" s="53" t="s">
        <v>44</v>
      </c>
      <c r="C2694" s="53" t="s">
        <v>6295</v>
      </c>
      <c r="D2694" s="53">
        <v>100023790</v>
      </c>
      <c r="E2694" s="55" t="s">
        <v>6296</v>
      </c>
      <c r="F2694" s="129">
        <v>10</v>
      </c>
      <c r="G2694" s="129">
        <v>1200</v>
      </c>
      <c r="H2694" s="512">
        <v>79.58</v>
      </c>
      <c r="I2694" s="265" t="s">
        <v>359</v>
      </c>
      <c r="J2694" s="265" t="s">
        <v>102</v>
      </c>
      <c r="K2694" s="265" t="s">
        <v>6297</v>
      </c>
      <c r="L2694" s="348" t="s">
        <v>1205</v>
      </c>
      <c r="M2694" s="265" t="s">
        <v>6298</v>
      </c>
      <c r="N2694" s="347">
        <v>1.085</v>
      </c>
      <c r="O2694" s="348" t="s">
        <v>1205</v>
      </c>
      <c r="P2694" s="348">
        <v>10.85</v>
      </c>
      <c r="Q2694" s="348">
        <v>0.65</v>
      </c>
    </row>
    <row r="2695" spans="1:17" ht="15" hidden="1" customHeight="1">
      <c r="A2695" s="163">
        <v>2703</v>
      </c>
      <c r="B2695" s="53" t="s">
        <v>44</v>
      </c>
      <c r="C2695" s="53" t="s">
        <v>6299</v>
      </c>
      <c r="D2695" s="53">
        <v>100024916</v>
      </c>
      <c r="E2695" s="55" t="s">
        <v>6300</v>
      </c>
      <c r="F2695" s="129">
        <v>10</v>
      </c>
      <c r="G2695" s="129">
        <v>1200</v>
      </c>
      <c r="H2695" s="512">
        <v>79.58</v>
      </c>
      <c r="I2695" s="265" t="s">
        <v>359</v>
      </c>
      <c r="J2695" s="265" t="s">
        <v>102</v>
      </c>
      <c r="K2695" s="265" t="s">
        <v>6301</v>
      </c>
      <c r="L2695" s="348" t="s">
        <v>1205</v>
      </c>
      <c r="M2695" s="265" t="s">
        <v>6302</v>
      </c>
      <c r="N2695" s="347">
        <v>0.91300000000000003</v>
      </c>
      <c r="O2695" s="348" t="s">
        <v>1205</v>
      </c>
      <c r="P2695" s="348">
        <v>10.55</v>
      </c>
      <c r="Q2695" s="348">
        <v>0.65</v>
      </c>
    </row>
    <row r="2696" spans="1:17" ht="15" hidden="1" customHeight="1">
      <c r="A2696" s="163">
        <v>2704</v>
      </c>
      <c r="B2696" s="53" t="s">
        <v>44</v>
      </c>
      <c r="C2696" s="53" t="s">
        <v>6303</v>
      </c>
      <c r="D2696" s="53">
        <v>100023956</v>
      </c>
      <c r="E2696" s="55" t="s">
        <v>6304</v>
      </c>
      <c r="F2696" s="129">
        <v>10</v>
      </c>
      <c r="G2696" s="129">
        <v>1200</v>
      </c>
      <c r="H2696" s="512">
        <v>79.58</v>
      </c>
      <c r="I2696" s="265" t="s">
        <v>359</v>
      </c>
      <c r="J2696" s="265" t="s">
        <v>102</v>
      </c>
      <c r="K2696" s="265" t="s">
        <v>6305</v>
      </c>
      <c r="L2696" s="348" t="s">
        <v>1205</v>
      </c>
      <c r="M2696" s="265" t="s">
        <v>6306</v>
      </c>
      <c r="N2696" s="347">
        <v>1.1200000000000001</v>
      </c>
      <c r="O2696" s="348" t="s">
        <v>1205</v>
      </c>
      <c r="P2696" s="348">
        <v>11.2</v>
      </c>
      <c r="Q2696" s="348">
        <v>0.65</v>
      </c>
    </row>
    <row r="2697" spans="1:17" ht="15" hidden="1" customHeight="1">
      <c r="A2697" s="163">
        <v>2705</v>
      </c>
      <c r="B2697" s="53" t="s">
        <v>44</v>
      </c>
      <c r="C2697" s="53" t="s">
        <v>6307</v>
      </c>
      <c r="D2697" s="53">
        <v>100024000</v>
      </c>
      <c r="E2697" s="55" t="s">
        <v>6308</v>
      </c>
      <c r="F2697" s="129">
        <v>10</v>
      </c>
      <c r="G2697" s="129">
        <v>1200</v>
      </c>
      <c r="H2697" s="512">
        <v>79.58</v>
      </c>
      <c r="I2697" s="265" t="s">
        <v>359</v>
      </c>
      <c r="J2697" s="265" t="s">
        <v>102</v>
      </c>
      <c r="K2697" s="265" t="s">
        <v>6309</v>
      </c>
      <c r="L2697" s="348" t="s">
        <v>1205</v>
      </c>
      <c r="M2697" s="265" t="s">
        <v>6310</v>
      </c>
      <c r="N2697" s="347">
        <v>1.08</v>
      </c>
      <c r="O2697" s="348" t="s">
        <v>1205</v>
      </c>
      <c r="P2697" s="348">
        <v>10.8</v>
      </c>
      <c r="Q2697" s="348">
        <v>0.65</v>
      </c>
    </row>
    <row r="2698" spans="1:17" ht="15" hidden="1" customHeight="1">
      <c r="A2698" s="163">
        <v>2706</v>
      </c>
      <c r="B2698" s="53" t="s">
        <v>44</v>
      </c>
      <c r="C2698" s="53" t="s">
        <v>6311</v>
      </c>
      <c r="D2698" s="53">
        <v>100024002</v>
      </c>
      <c r="E2698" s="55" t="s">
        <v>6312</v>
      </c>
      <c r="F2698" s="129">
        <v>10</v>
      </c>
      <c r="G2698" s="129">
        <v>1200</v>
      </c>
      <c r="H2698" s="512">
        <v>79.58</v>
      </c>
      <c r="I2698" s="265" t="s">
        <v>359</v>
      </c>
      <c r="J2698" s="265" t="s">
        <v>102</v>
      </c>
      <c r="K2698" s="265" t="s">
        <v>6313</v>
      </c>
      <c r="L2698" s="348" t="s">
        <v>1205</v>
      </c>
      <c r="M2698" s="265" t="s">
        <v>6314</v>
      </c>
      <c r="N2698" s="347">
        <v>0.91300000000000003</v>
      </c>
      <c r="O2698" s="348" t="s">
        <v>1205</v>
      </c>
      <c r="P2698" s="348">
        <v>10.6</v>
      </c>
      <c r="Q2698" s="348">
        <v>0.65</v>
      </c>
    </row>
    <row r="2699" spans="1:17" ht="15" hidden="1" customHeight="1">
      <c r="A2699" s="163">
        <v>2707</v>
      </c>
      <c r="B2699" s="53" t="s">
        <v>44</v>
      </c>
      <c r="C2699" s="53" t="s">
        <v>6315</v>
      </c>
      <c r="D2699" s="53">
        <v>100024119</v>
      </c>
      <c r="E2699" s="55" t="s">
        <v>6316</v>
      </c>
      <c r="F2699" s="129">
        <v>10</v>
      </c>
      <c r="G2699" s="129">
        <v>750</v>
      </c>
      <c r="H2699" s="512">
        <v>105.38</v>
      </c>
      <c r="I2699" s="265" t="s">
        <v>359</v>
      </c>
      <c r="J2699" s="265" t="s">
        <v>102</v>
      </c>
      <c r="K2699" s="265" t="s">
        <v>6317</v>
      </c>
      <c r="L2699" s="348" t="s">
        <v>1205</v>
      </c>
      <c r="M2699" s="265" t="s">
        <v>6318</v>
      </c>
      <c r="N2699" s="347">
        <v>1.1739999999999999</v>
      </c>
      <c r="O2699" s="348" t="s">
        <v>1205</v>
      </c>
      <c r="P2699" s="348">
        <v>16.3</v>
      </c>
      <c r="Q2699" s="348">
        <v>1.1000000000000001</v>
      </c>
    </row>
    <row r="2700" spans="1:17" ht="15" hidden="1" customHeight="1">
      <c r="A2700" s="163">
        <v>2708</v>
      </c>
      <c r="B2700" s="53" t="s">
        <v>44</v>
      </c>
      <c r="C2700" s="53" t="s">
        <v>6319</v>
      </c>
      <c r="D2700" s="53">
        <v>100024148</v>
      </c>
      <c r="E2700" s="55" t="s">
        <v>6320</v>
      </c>
      <c r="F2700" s="129">
        <v>10</v>
      </c>
      <c r="G2700" s="129">
        <v>750</v>
      </c>
      <c r="H2700" s="512">
        <v>105.38</v>
      </c>
      <c r="I2700" s="265" t="s">
        <v>359</v>
      </c>
      <c r="J2700" s="265" t="s">
        <v>102</v>
      </c>
      <c r="K2700" s="265" t="s">
        <v>6321</v>
      </c>
      <c r="L2700" s="348" t="s">
        <v>1205</v>
      </c>
      <c r="M2700" s="265" t="s">
        <v>6322</v>
      </c>
      <c r="N2700" s="347">
        <v>1.147</v>
      </c>
      <c r="O2700" s="348" t="s">
        <v>1205</v>
      </c>
      <c r="P2700" s="348">
        <v>14.42</v>
      </c>
      <c r="Q2700" s="348">
        <v>0.95</v>
      </c>
    </row>
    <row r="2701" spans="1:17" ht="15" hidden="1" customHeight="1">
      <c r="A2701" s="163">
        <v>2709</v>
      </c>
      <c r="B2701" s="53" t="s">
        <v>44</v>
      </c>
      <c r="C2701" s="53" t="s">
        <v>6323</v>
      </c>
      <c r="D2701" s="53">
        <v>100024284</v>
      </c>
      <c r="E2701" s="55" t="s">
        <v>6324</v>
      </c>
      <c r="F2701" s="129">
        <v>10</v>
      </c>
      <c r="G2701" s="129">
        <v>750</v>
      </c>
      <c r="H2701" s="512">
        <v>105.38</v>
      </c>
      <c r="I2701" s="265" t="s">
        <v>359</v>
      </c>
      <c r="J2701" s="265" t="s">
        <v>102</v>
      </c>
      <c r="K2701" s="265" t="s">
        <v>6325</v>
      </c>
      <c r="L2701" s="348" t="s">
        <v>1205</v>
      </c>
      <c r="M2701" s="265" t="s">
        <v>6326</v>
      </c>
      <c r="N2701" s="347">
        <v>1.204</v>
      </c>
      <c r="O2701" s="348" t="s">
        <v>1205</v>
      </c>
      <c r="P2701" s="348">
        <v>18.5</v>
      </c>
      <c r="Q2701" s="348">
        <v>1.1000000000000001</v>
      </c>
    </row>
    <row r="2702" spans="1:17" ht="15" hidden="1" customHeight="1">
      <c r="A2702" s="163">
        <v>2710</v>
      </c>
      <c r="B2702" s="53" t="s">
        <v>44</v>
      </c>
      <c r="C2702" s="53" t="s">
        <v>6327</v>
      </c>
      <c r="D2702" s="53">
        <v>100024349</v>
      </c>
      <c r="E2702" s="55" t="s">
        <v>6328</v>
      </c>
      <c r="F2702" s="129">
        <v>20</v>
      </c>
      <c r="G2702" s="129" t="s">
        <v>2803</v>
      </c>
      <c r="H2702" s="512">
        <v>131.11000000000001</v>
      </c>
      <c r="I2702" s="265" t="s">
        <v>359</v>
      </c>
      <c r="J2702" s="265" t="s">
        <v>102</v>
      </c>
      <c r="K2702" s="265" t="s">
        <v>6329</v>
      </c>
      <c r="L2702" s="348" t="s">
        <v>1205</v>
      </c>
      <c r="M2702" s="265" t="s">
        <v>6330</v>
      </c>
      <c r="N2702" s="347">
        <v>1.903</v>
      </c>
      <c r="O2702" s="348" t="s">
        <v>1205</v>
      </c>
      <c r="P2702" s="348">
        <v>40</v>
      </c>
      <c r="Q2702" s="348" t="s">
        <v>1205</v>
      </c>
    </row>
    <row r="2703" spans="1:17" ht="15" hidden="1" customHeight="1">
      <c r="A2703" s="163">
        <v>2711</v>
      </c>
      <c r="B2703" s="53" t="s">
        <v>44</v>
      </c>
      <c r="C2703" s="53" t="s">
        <v>6331</v>
      </c>
      <c r="D2703" s="53">
        <v>100024388</v>
      </c>
      <c r="E2703" s="55" t="s">
        <v>6332</v>
      </c>
      <c r="F2703" s="129">
        <v>10</v>
      </c>
      <c r="G2703" s="129">
        <v>750</v>
      </c>
      <c r="H2703" s="512">
        <v>131.11000000000001</v>
      </c>
      <c r="I2703" s="265" t="s">
        <v>359</v>
      </c>
      <c r="J2703" s="265" t="s">
        <v>102</v>
      </c>
      <c r="K2703" s="265" t="s">
        <v>6333</v>
      </c>
      <c r="L2703" s="348" t="s">
        <v>1205</v>
      </c>
      <c r="M2703" s="265" t="s">
        <v>6334</v>
      </c>
      <c r="N2703" s="347">
        <v>1.9279999999999999</v>
      </c>
      <c r="O2703" s="348" t="s">
        <v>1205</v>
      </c>
      <c r="P2703" s="348">
        <v>20.350000000000001</v>
      </c>
      <c r="Q2703" s="348">
        <v>1.1000000000000001</v>
      </c>
    </row>
    <row r="2704" spans="1:17" ht="15" hidden="1" customHeight="1">
      <c r="A2704" s="163">
        <v>2712</v>
      </c>
      <c r="B2704" s="53" t="s">
        <v>44</v>
      </c>
      <c r="C2704" s="53" t="s">
        <v>6335</v>
      </c>
      <c r="D2704" s="53">
        <v>100024399</v>
      </c>
      <c r="E2704" s="55" t="s">
        <v>6336</v>
      </c>
      <c r="F2704" s="129">
        <v>20</v>
      </c>
      <c r="G2704" s="129" t="s">
        <v>2803</v>
      </c>
      <c r="H2704" s="512">
        <v>131.11000000000001</v>
      </c>
      <c r="I2704" s="265" t="s">
        <v>359</v>
      </c>
      <c r="J2704" s="265" t="s">
        <v>102</v>
      </c>
      <c r="K2704" s="265" t="s">
        <v>6337</v>
      </c>
      <c r="L2704" s="348" t="s">
        <v>1205</v>
      </c>
      <c r="M2704" s="265" t="s">
        <v>6338</v>
      </c>
      <c r="N2704" s="347">
        <v>1.823</v>
      </c>
      <c r="O2704" s="348" t="s">
        <v>1205</v>
      </c>
      <c r="P2704" s="348">
        <v>39.5</v>
      </c>
      <c r="Q2704" s="348" t="s">
        <v>1205</v>
      </c>
    </row>
    <row r="2705" spans="1:17" ht="15" hidden="1" customHeight="1">
      <c r="A2705" s="163">
        <v>2713</v>
      </c>
      <c r="B2705" s="53" t="s">
        <v>44</v>
      </c>
      <c r="C2705" s="53" t="s">
        <v>6339</v>
      </c>
      <c r="D2705" s="53">
        <v>100024436</v>
      </c>
      <c r="E2705" s="55" t="s">
        <v>6340</v>
      </c>
      <c r="F2705" s="129">
        <v>10</v>
      </c>
      <c r="G2705" s="129">
        <v>750</v>
      </c>
      <c r="H2705" s="512">
        <v>131.11000000000001</v>
      </c>
      <c r="I2705" s="265" t="s">
        <v>359</v>
      </c>
      <c r="J2705" s="265" t="s">
        <v>102</v>
      </c>
      <c r="K2705" s="265" t="s">
        <v>6341</v>
      </c>
      <c r="L2705" s="348" t="s">
        <v>1205</v>
      </c>
      <c r="M2705" s="265" t="s">
        <v>6342</v>
      </c>
      <c r="N2705" s="347">
        <v>1.8129999999999999</v>
      </c>
      <c r="O2705" s="348" t="s">
        <v>1205</v>
      </c>
      <c r="P2705" s="348">
        <v>19.260000000000002</v>
      </c>
      <c r="Q2705" s="348">
        <v>1.1000000000000001</v>
      </c>
    </row>
    <row r="2706" spans="1:17" ht="15" hidden="1" customHeight="1">
      <c r="A2706" s="163">
        <v>2714</v>
      </c>
      <c r="B2706" s="53" t="s">
        <v>44</v>
      </c>
      <c r="C2706" s="53" t="s">
        <v>6343</v>
      </c>
      <c r="D2706" s="53">
        <v>100024522</v>
      </c>
      <c r="E2706" s="55" t="s">
        <v>6344</v>
      </c>
      <c r="F2706" s="129">
        <v>10</v>
      </c>
      <c r="G2706" s="129">
        <v>750</v>
      </c>
      <c r="H2706" s="512">
        <v>131.11000000000001</v>
      </c>
      <c r="I2706" s="265" t="s">
        <v>359</v>
      </c>
      <c r="J2706" s="265" t="s">
        <v>102</v>
      </c>
      <c r="K2706" s="265" t="s">
        <v>6345</v>
      </c>
      <c r="L2706" s="348" t="s">
        <v>1205</v>
      </c>
      <c r="M2706" s="265" t="s">
        <v>6346</v>
      </c>
      <c r="N2706" s="347">
        <v>1.893</v>
      </c>
      <c r="O2706" s="348" t="s">
        <v>1205</v>
      </c>
      <c r="P2706" s="348">
        <v>19.61</v>
      </c>
      <c r="Q2706" s="348">
        <v>1.1000000000000001</v>
      </c>
    </row>
    <row r="2707" spans="1:17" ht="15" hidden="1" customHeight="1">
      <c r="A2707" s="163">
        <v>2715</v>
      </c>
      <c r="B2707" s="53" t="s">
        <v>44</v>
      </c>
      <c r="C2707" s="53" t="s">
        <v>6347</v>
      </c>
      <c r="D2707" s="53">
        <v>100024527</v>
      </c>
      <c r="E2707" s="55" t="s">
        <v>6348</v>
      </c>
      <c r="F2707" s="129">
        <v>20</v>
      </c>
      <c r="G2707" s="129">
        <v>360</v>
      </c>
      <c r="H2707" s="512">
        <v>131.11000000000001</v>
      </c>
      <c r="I2707" s="265" t="s">
        <v>359</v>
      </c>
      <c r="J2707" s="265" t="s">
        <v>102</v>
      </c>
      <c r="K2707" s="265" t="s">
        <v>6349</v>
      </c>
      <c r="L2707" s="348" t="s">
        <v>1205</v>
      </c>
      <c r="M2707" s="265" t="s">
        <v>6350</v>
      </c>
      <c r="N2707" s="347">
        <v>1.8380000000000001</v>
      </c>
      <c r="O2707" s="348" t="s">
        <v>1205</v>
      </c>
      <c r="P2707" s="348">
        <v>38</v>
      </c>
      <c r="Q2707" s="348">
        <v>2.65</v>
      </c>
    </row>
    <row r="2708" spans="1:17" ht="15" hidden="1" customHeight="1">
      <c r="A2708" s="163">
        <v>2716</v>
      </c>
      <c r="B2708" s="53" t="s">
        <v>44</v>
      </c>
      <c r="C2708" s="53" t="s">
        <v>6352</v>
      </c>
      <c r="D2708" s="53">
        <v>100024885</v>
      </c>
      <c r="E2708" s="55" t="s">
        <v>6353</v>
      </c>
      <c r="F2708" s="129">
        <v>10</v>
      </c>
      <c r="G2708" s="129">
        <v>600</v>
      </c>
      <c r="H2708" s="512">
        <v>136.44999999999999</v>
      </c>
      <c r="I2708" s="265" t="s">
        <v>359</v>
      </c>
      <c r="J2708" s="265" t="s">
        <v>102</v>
      </c>
      <c r="K2708" s="265" t="s">
        <v>6354</v>
      </c>
      <c r="L2708" s="348" t="s">
        <v>1205</v>
      </c>
      <c r="M2708" s="265" t="s">
        <v>6355</v>
      </c>
      <c r="N2708" s="347">
        <v>1.4219999999999999</v>
      </c>
      <c r="O2708" s="348" t="s">
        <v>1205</v>
      </c>
      <c r="P2708" s="348">
        <v>17.78</v>
      </c>
      <c r="Q2708" s="348">
        <v>1.41</v>
      </c>
    </row>
    <row r="2709" spans="1:17" ht="15" hidden="1" customHeight="1">
      <c r="A2709" s="163">
        <v>2717</v>
      </c>
      <c r="B2709" s="53" t="s">
        <v>44</v>
      </c>
      <c r="C2709" s="53" t="s">
        <v>6356</v>
      </c>
      <c r="D2709" s="53">
        <v>100023804</v>
      </c>
      <c r="E2709" s="55" t="s">
        <v>6357</v>
      </c>
      <c r="F2709" s="129">
        <v>10</v>
      </c>
      <c r="G2709" s="129">
        <v>750</v>
      </c>
      <c r="H2709" s="512">
        <v>125.31</v>
      </c>
      <c r="I2709" s="265" t="s">
        <v>359</v>
      </c>
      <c r="J2709" s="265" t="s">
        <v>102</v>
      </c>
      <c r="K2709" s="265" t="s">
        <v>6358</v>
      </c>
      <c r="L2709" s="348" t="s">
        <v>1205</v>
      </c>
      <c r="M2709" s="265" t="s">
        <v>6359</v>
      </c>
      <c r="N2709" s="347">
        <v>1.2050000000000001</v>
      </c>
      <c r="O2709" s="348" t="s">
        <v>1205</v>
      </c>
      <c r="P2709" s="348">
        <v>13.05</v>
      </c>
      <c r="Q2709" s="348">
        <v>1.1000000000000001</v>
      </c>
    </row>
    <row r="2710" spans="1:17" ht="15" hidden="1" customHeight="1">
      <c r="A2710" s="163">
        <v>2718</v>
      </c>
      <c r="B2710" s="53" t="s">
        <v>44</v>
      </c>
      <c r="C2710" s="53" t="s">
        <v>6360</v>
      </c>
      <c r="D2710" s="53">
        <v>100023821</v>
      </c>
      <c r="E2710" s="55" t="s">
        <v>6361</v>
      </c>
      <c r="F2710" s="129">
        <v>10</v>
      </c>
      <c r="G2710" s="129">
        <v>600</v>
      </c>
      <c r="H2710" s="512">
        <v>136.44999999999999</v>
      </c>
      <c r="I2710" s="265" t="s">
        <v>359</v>
      </c>
      <c r="J2710" s="265" t="s">
        <v>102</v>
      </c>
      <c r="K2710" s="265" t="s">
        <v>6362</v>
      </c>
      <c r="L2710" s="348" t="s">
        <v>1205</v>
      </c>
      <c r="M2710" s="265" t="s">
        <v>6363</v>
      </c>
      <c r="N2710" s="347">
        <v>1.4039999999999999</v>
      </c>
      <c r="O2710" s="348" t="s">
        <v>1205</v>
      </c>
      <c r="P2710" s="348">
        <v>15.08</v>
      </c>
      <c r="Q2710" s="348">
        <v>1.41</v>
      </c>
    </row>
    <row r="2711" spans="1:17" ht="15" hidden="1" customHeight="1">
      <c r="A2711" s="163">
        <v>2719</v>
      </c>
      <c r="B2711" s="53" t="s">
        <v>44</v>
      </c>
      <c r="C2711" s="53" t="s">
        <v>6364</v>
      </c>
      <c r="D2711" s="53">
        <v>100023877</v>
      </c>
      <c r="E2711" s="55" t="s">
        <v>6365</v>
      </c>
      <c r="F2711" s="129">
        <v>10</v>
      </c>
      <c r="G2711" s="129">
        <v>600</v>
      </c>
      <c r="H2711" s="512">
        <v>136.44999999999999</v>
      </c>
      <c r="I2711" s="265" t="s">
        <v>359</v>
      </c>
      <c r="J2711" s="265" t="s">
        <v>102</v>
      </c>
      <c r="K2711" s="265" t="s">
        <v>6366</v>
      </c>
      <c r="L2711" s="348" t="s">
        <v>1205</v>
      </c>
      <c r="M2711" s="265" t="s">
        <v>6367</v>
      </c>
      <c r="N2711" s="347">
        <v>1.3260000000000001</v>
      </c>
      <c r="O2711" s="348" t="s">
        <v>1205</v>
      </c>
      <c r="P2711" s="348">
        <v>14.88</v>
      </c>
      <c r="Q2711" s="348">
        <v>1.25</v>
      </c>
    </row>
    <row r="2712" spans="1:17" ht="15" hidden="1" customHeight="1">
      <c r="A2712" s="163">
        <v>2720</v>
      </c>
      <c r="B2712" s="53" t="s">
        <v>44</v>
      </c>
      <c r="C2712" s="53" t="s">
        <v>6368</v>
      </c>
      <c r="D2712" s="53">
        <v>100023878</v>
      </c>
      <c r="E2712" s="55" t="s">
        <v>6369</v>
      </c>
      <c r="F2712" s="129">
        <v>10</v>
      </c>
      <c r="G2712" s="129">
        <v>600</v>
      </c>
      <c r="H2712" s="512">
        <v>136.44999999999999</v>
      </c>
      <c r="I2712" s="265" t="s">
        <v>359</v>
      </c>
      <c r="J2712" s="265" t="s">
        <v>102</v>
      </c>
      <c r="K2712" s="265" t="s">
        <v>6370</v>
      </c>
      <c r="L2712" s="348" t="s">
        <v>1205</v>
      </c>
      <c r="M2712" s="265" t="s">
        <v>6371</v>
      </c>
      <c r="N2712" s="347">
        <v>1.4019999999999999</v>
      </c>
      <c r="O2712" s="348" t="s">
        <v>1205</v>
      </c>
      <c r="P2712" s="348">
        <v>14.78</v>
      </c>
      <c r="Q2712" s="348">
        <v>1.41</v>
      </c>
    </row>
    <row r="2713" spans="1:17" ht="15" hidden="1" customHeight="1">
      <c r="A2713" s="163">
        <v>2721</v>
      </c>
      <c r="B2713" s="53" t="s">
        <v>44</v>
      </c>
      <c r="C2713" s="53" t="s">
        <v>6372</v>
      </c>
      <c r="D2713" s="53">
        <v>100023879</v>
      </c>
      <c r="E2713" s="55" t="s">
        <v>6373</v>
      </c>
      <c r="F2713" s="129">
        <v>10</v>
      </c>
      <c r="G2713" s="129" t="s">
        <v>2803</v>
      </c>
      <c r="H2713" s="512">
        <v>150.72999999999999</v>
      </c>
      <c r="I2713" s="265" t="s">
        <v>359</v>
      </c>
      <c r="J2713" s="265" t="s">
        <v>102</v>
      </c>
      <c r="K2713" s="265" t="s">
        <v>6374</v>
      </c>
      <c r="L2713" s="348" t="s">
        <v>1205</v>
      </c>
      <c r="M2713" s="265" t="s">
        <v>6375</v>
      </c>
      <c r="N2713" s="347">
        <v>1.446</v>
      </c>
      <c r="O2713" s="348" t="s">
        <v>1205</v>
      </c>
      <c r="P2713" s="348">
        <v>16.02</v>
      </c>
      <c r="Q2713" s="348" t="s">
        <v>1205</v>
      </c>
    </row>
    <row r="2714" spans="1:17" ht="15" hidden="1" customHeight="1">
      <c r="A2714" s="163">
        <v>2722</v>
      </c>
      <c r="B2714" s="53" t="s">
        <v>44</v>
      </c>
      <c r="C2714" s="53" t="s">
        <v>6376</v>
      </c>
      <c r="D2714" s="53">
        <v>100024903</v>
      </c>
      <c r="E2714" s="55" t="s">
        <v>6377</v>
      </c>
      <c r="F2714" s="129">
        <v>10</v>
      </c>
      <c r="G2714" s="129">
        <v>240</v>
      </c>
      <c r="H2714" s="512">
        <v>150.72999999999999</v>
      </c>
      <c r="I2714" s="265" t="s">
        <v>359</v>
      </c>
      <c r="J2714" s="265" t="s">
        <v>102</v>
      </c>
      <c r="K2714" s="265" t="s">
        <v>6378</v>
      </c>
      <c r="L2714" s="348" t="s">
        <v>1205</v>
      </c>
      <c r="M2714" s="265" t="s">
        <v>6379</v>
      </c>
      <c r="N2714" s="347">
        <v>1.581</v>
      </c>
      <c r="O2714" s="348" t="s">
        <v>1205</v>
      </c>
      <c r="P2714" s="348">
        <v>17.8</v>
      </c>
      <c r="Q2714" s="348">
        <v>2.77</v>
      </c>
    </row>
    <row r="2715" spans="1:17" ht="15" hidden="1" customHeight="1">
      <c r="A2715" s="163">
        <v>2723</v>
      </c>
      <c r="B2715" s="53" t="s">
        <v>44</v>
      </c>
      <c r="C2715" s="53" t="s">
        <v>6380</v>
      </c>
      <c r="D2715" s="53">
        <v>100023881</v>
      </c>
      <c r="E2715" s="55" t="s">
        <v>6381</v>
      </c>
      <c r="F2715" s="129">
        <v>10</v>
      </c>
      <c r="G2715" s="129">
        <v>750</v>
      </c>
      <c r="H2715" s="512">
        <v>125.31</v>
      </c>
      <c r="I2715" s="265" t="s">
        <v>359</v>
      </c>
      <c r="J2715" s="265" t="s">
        <v>102</v>
      </c>
      <c r="K2715" s="265" t="s">
        <v>6382</v>
      </c>
      <c r="L2715" s="348" t="s">
        <v>1205</v>
      </c>
      <c r="M2715" s="265" t="s">
        <v>6383</v>
      </c>
      <c r="N2715" s="347">
        <v>1.2490000000000001</v>
      </c>
      <c r="O2715" s="348" t="s">
        <v>1205</v>
      </c>
      <c r="P2715" s="348">
        <v>14.2</v>
      </c>
      <c r="Q2715" s="348">
        <v>1.1000000000000001</v>
      </c>
    </row>
    <row r="2716" spans="1:17" ht="15" hidden="1" customHeight="1">
      <c r="A2716" s="163">
        <v>2724</v>
      </c>
      <c r="B2716" s="53" t="s">
        <v>44</v>
      </c>
      <c r="C2716" s="53" t="s">
        <v>6384</v>
      </c>
      <c r="D2716" s="53">
        <v>100024908</v>
      </c>
      <c r="E2716" s="55" t="s">
        <v>6385</v>
      </c>
      <c r="F2716" s="129">
        <v>10</v>
      </c>
      <c r="G2716" s="129">
        <v>180</v>
      </c>
      <c r="H2716" s="512">
        <v>211.22</v>
      </c>
      <c r="I2716" s="265" t="s">
        <v>359</v>
      </c>
      <c r="J2716" s="265" t="s">
        <v>102</v>
      </c>
      <c r="K2716" s="265" t="s">
        <v>6386</v>
      </c>
      <c r="L2716" s="348" t="s">
        <v>1205</v>
      </c>
      <c r="M2716" s="265" t="s">
        <v>6387</v>
      </c>
      <c r="N2716" s="347">
        <v>2.0720000000000001</v>
      </c>
      <c r="O2716" s="348" t="s">
        <v>1205</v>
      </c>
      <c r="P2716" s="348">
        <v>22.6</v>
      </c>
      <c r="Q2716" s="348">
        <v>2.65</v>
      </c>
    </row>
    <row r="2717" spans="1:17" ht="15" hidden="1" customHeight="1">
      <c r="A2717" s="163">
        <v>2725</v>
      </c>
      <c r="B2717" s="53" t="s">
        <v>44</v>
      </c>
      <c r="C2717" s="53" t="s">
        <v>6388</v>
      </c>
      <c r="D2717" s="53">
        <v>100023900</v>
      </c>
      <c r="E2717" s="55" t="s">
        <v>6389</v>
      </c>
      <c r="F2717" s="129">
        <v>10</v>
      </c>
      <c r="G2717" s="129">
        <v>240</v>
      </c>
      <c r="H2717" s="512">
        <v>218.18</v>
      </c>
      <c r="I2717" s="265" t="s">
        <v>359</v>
      </c>
      <c r="J2717" s="265" t="s">
        <v>102</v>
      </c>
      <c r="K2717" s="265" t="s">
        <v>6390</v>
      </c>
      <c r="L2717" s="348" t="s">
        <v>1205</v>
      </c>
      <c r="M2717" s="265" t="s">
        <v>6391</v>
      </c>
      <c r="N2717" s="347">
        <v>2.2509999999999999</v>
      </c>
      <c r="O2717" s="348" t="s">
        <v>1205</v>
      </c>
      <c r="P2717" s="348">
        <v>24.9</v>
      </c>
      <c r="Q2717" s="348">
        <v>2.77</v>
      </c>
    </row>
    <row r="2718" spans="1:17" ht="15" hidden="1" customHeight="1">
      <c r="A2718" s="163">
        <v>2726</v>
      </c>
      <c r="B2718" s="53" t="s">
        <v>44</v>
      </c>
      <c r="C2718" s="53" t="s">
        <v>6392</v>
      </c>
      <c r="D2718" s="53">
        <v>100024971</v>
      </c>
      <c r="E2718" s="55" t="s">
        <v>6393</v>
      </c>
      <c r="F2718" s="129">
        <v>10</v>
      </c>
      <c r="G2718" s="129">
        <v>180</v>
      </c>
      <c r="H2718" s="512">
        <v>177.5</v>
      </c>
      <c r="I2718" s="265" t="s">
        <v>359</v>
      </c>
      <c r="J2718" s="265" t="s">
        <v>102</v>
      </c>
      <c r="K2718" s="265" t="s">
        <v>6394</v>
      </c>
      <c r="L2718" s="348" t="s">
        <v>1205</v>
      </c>
      <c r="M2718" s="265" t="s">
        <v>6395</v>
      </c>
      <c r="N2718" s="347">
        <v>1.8979999999999999</v>
      </c>
      <c r="O2718" s="348" t="s">
        <v>1205</v>
      </c>
      <c r="P2718" s="348">
        <v>19.690000000000001</v>
      </c>
      <c r="Q2718" s="348">
        <v>2.65</v>
      </c>
    </row>
    <row r="2719" spans="1:17" ht="15" hidden="1" customHeight="1">
      <c r="A2719" s="163">
        <v>2727</v>
      </c>
      <c r="B2719" s="53" t="s">
        <v>44</v>
      </c>
      <c r="C2719" s="53" t="s">
        <v>6396</v>
      </c>
      <c r="D2719" s="53">
        <v>100024216</v>
      </c>
      <c r="E2719" s="55" t="s">
        <v>6397</v>
      </c>
      <c r="F2719" s="129">
        <v>10</v>
      </c>
      <c r="G2719" s="129" t="s">
        <v>2803</v>
      </c>
      <c r="H2719" s="512">
        <v>177.5</v>
      </c>
      <c r="I2719" s="265" t="s">
        <v>359</v>
      </c>
      <c r="J2719" s="265" t="s">
        <v>102</v>
      </c>
      <c r="K2719" s="265" t="s">
        <v>6398</v>
      </c>
      <c r="L2719" s="348" t="s">
        <v>1205</v>
      </c>
      <c r="M2719" s="265" t="s">
        <v>6399</v>
      </c>
      <c r="N2719" s="347">
        <v>1.4710000000000001</v>
      </c>
      <c r="O2719" s="348" t="s">
        <v>1205</v>
      </c>
      <c r="P2719" s="348">
        <v>19.68</v>
      </c>
      <c r="Q2719" s="348">
        <v>2.11</v>
      </c>
    </row>
    <row r="2720" spans="1:17" ht="15" hidden="1" customHeight="1">
      <c r="A2720" s="163">
        <v>2728</v>
      </c>
      <c r="B2720" s="53" t="s">
        <v>44</v>
      </c>
      <c r="C2720" s="53" t="s">
        <v>6400</v>
      </c>
      <c r="D2720" s="53">
        <v>100024248</v>
      </c>
      <c r="E2720" s="55" t="s">
        <v>6369</v>
      </c>
      <c r="F2720" s="129">
        <v>10</v>
      </c>
      <c r="G2720" s="129">
        <v>180</v>
      </c>
      <c r="H2720" s="512">
        <v>177.5</v>
      </c>
      <c r="I2720" s="265" t="s">
        <v>359</v>
      </c>
      <c r="J2720" s="265" t="s">
        <v>102</v>
      </c>
      <c r="K2720" s="265" t="s">
        <v>6401</v>
      </c>
      <c r="L2720" s="348" t="s">
        <v>1205</v>
      </c>
      <c r="M2720" s="265" t="s">
        <v>6402</v>
      </c>
      <c r="N2720" s="347">
        <v>1.865</v>
      </c>
      <c r="O2720" s="348" t="s">
        <v>1205</v>
      </c>
      <c r="P2720" s="348">
        <v>20.5</v>
      </c>
      <c r="Q2720" s="348">
        <v>2.65</v>
      </c>
    </row>
    <row r="2721" spans="1:17" ht="15" hidden="1" customHeight="1">
      <c r="A2721" s="163">
        <v>2729</v>
      </c>
      <c r="B2721" s="53" t="s">
        <v>44</v>
      </c>
      <c r="C2721" s="53" t="s">
        <v>6403</v>
      </c>
      <c r="D2721" s="53">
        <v>100024249</v>
      </c>
      <c r="E2721" s="55" t="s">
        <v>6377</v>
      </c>
      <c r="F2721" s="129">
        <v>10</v>
      </c>
      <c r="G2721" s="129" t="s">
        <v>2803</v>
      </c>
      <c r="H2721" s="512">
        <v>188.57</v>
      </c>
      <c r="I2721" s="265" t="s">
        <v>359</v>
      </c>
      <c r="J2721" s="265" t="s">
        <v>102</v>
      </c>
      <c r="K2721" s="265" t="s">
        <v>6404</v>
      </c>
      <c r="L2721" s="348" t="s">
        <v>1205</v>
      </c>
      <c r="M2721" s="265" t="s">
        <v>6405</v>
      </c>
      <c r="N2721" s="347">
        <v>2.1389999999999998</v>
      </c>
      <c r="O2721" s="348" t="s">
        <v>1205</v>
      </c>
      <c r="P2721" s="348">
        <v>21</v>
      </c>
      <c r="Q2721" s="348" t="s">
        <v>1205</v>
      </c>
    </row>
    <row r="2722" spans="1:17" ht="15" hidden="1" customHeight="1">
      <c r="A2722" s="163">
        <v>2730</v>
      </c>
      <c r="B2722" s="53" t="s">
        <v>44</v>
      </c>
      <c r="C2722" s="53" t="s">
        <v>6406</v>
      </c>
      <c r="D2722" s="53">
        <v>100024401</v>
      </c>
      <c r="E2722" s="55" t="s">
        <v>6407</v>
      </c>
      <c r="F2722" s="129">
        <v>10</v>
      </c>
      <c r="G2722" s="129">
        <v>180</v>
      </c>
      <c r="H2722" s="512">
        <v>214.32</v>
      </c>
      <c r="I2722" s="265" t="s">
        <v>359</v>
      </c>
      <c r="J2722" s="265" t="s">
        <v>102</v>
      </c>
      <c r="K2722" s="265" t="s">
        <v>6408</v>
      </c>
      <c r="L2722" s="348" t="s">
        <v>1205</v>
      </c>
      <c r="M2722" s="265" t="s">
        <v>6409</v>
      </c>
      <c r="N2722" s="347">
        <v>2.234</v>
      </c>
      <c r="O2722" s="348" t="s">
        <v>1205</v>
      </c>
      <c r="P2722" s="348">
        <v>22.8</v>
      </c>
      <c r="Q2722" s="348">
        <v>2.65</v>
      </c>
    </row>
    <row r="2723" spans="1:17" ht="15" hidden="1" customHeight="1">
      <c r="A2723" s="163">
        <v>2731</v>
      </c>
      <c r="B2723" s="53" t="s">
        <v>44</v>
      </c>
      <c r="C2723" s="53" t="s">
        <v>6410</v>
      </c>
      <c r="D2723" s="53">
        <v>100025026</v>
      </c>
      <c r="E2723" s="55" t="s">
        <v>6411</v>
      </c>
      <c r="F2723" s="129">
        <v>10</v>
      </c>
      <c r="G2723" s="129">
        <v>180</v>
      </c>
      <c r="H2723" s="512">
        <v>214.32</v>
      </c>
      <c r="I2723" s="265" t="s">
        <v>76</v>
      </c>
      <c r="J2723" s="265" t="s">
        <v>102</v>
      </c>
      <c r="K2723" s="265" t="s">
        <v>6412</v>
      </c>
      <c r="L2723" s="348" t="s">
        <v>1205</v>
      </c>
      <c r="M2723" s="265" t="s">
        <v>6413</v>
      </c>
      <c r="N2723" s="347">
        <v>2.2890000000000001</v>
      </c>
      <c r="O2723" s="348" t="s">
        <v>1205</v>
      </c>
      <c r="P2723" s="348">
        <v>24.17</v>
      </c>
      <c r="Q2723" s="348">
        <v>2.65</v>
      </c>
    </row>
    <row r="2724" spans="1:17" ht="15" hidden="1" customHeight="1">
      <c r="A2724" s="163">
        <v>2732</v>
      </c>
      <c r="B2724" s="53" t="s">
        <v>44</v>
      </c>
      <c r="C2724" s="53" t="s">
        <v>6414</v>
      </c>
      <c r="D2724" s="53">
        <v>100024482</v>
      </c>
      <c r="E2724" s="55" t="s">
        <v>6415</v>
      </c>
      <c r="F2724" s="129">
        <v>10</v>
      </c>
      <c r="G2724" s="129">
        <v>180</v>
      </c>
      <c r="H2724" s="512">
        <v>214.32</v>
      </c>
      <c r="I2724" s="265" t="s">
        <v>359</v>
      </c>
      <c r="J2724" s="265" t="s">
        <v>102</v>
      </c>
      <c r="K2724" s="265" t="s">
        <v>6416</v>
      </c>
      <c r="L2724" s="348" t="s">
        <v>1205</v>
      </c>
      <c r="M2724" s="265" t="s">
        <v>6417</v>
      </c>
      <c r="N2724" s="347">
        <v>2.1280000000000001</v>
      </c>
      <c r="O2724" s="348" t="s">
        <v>1205</v>
      </c>
      <c r="P2724" s="348">
        <v>24.2</v>
      </c>
      <c r="Q2724" s="348">
        <v>2.65</v>
      </c>
    </row>
    <row r="2725" spans="1:17" ht="15" hidden="1" customHeight="1">
      <c r="A2725" s="163">
        <v>2733</v>
      </c>
      <c r="B2725" s="53" t="s">
        <v>44</v>
      </c>
      <c r="C2725" s="53" t="s">
        <v>6418</v>
      </c>
      <c r="D2725" s="53">
        <v>100025031</v>
      </c>
      <c r="E2725" s="55" t="s">
        <v>6419</v>
      </c>
      <c r="F2725" s="129">
        <v>10</v>
      </c>
      <c r="G2725" s="129">
        <v>180</v>
      </c>
      <c r="H2725" s="512">
        <v>214.32</v>
      </c>
      <c r="I2725" s="265" t="s">
        <v>359</v>
      </c>
      <c r="J2725" s="265" t="s">
        <v>102</v>
      </c>
      <c r="K2725" s="265" t="s">
        <v>6420</v>
      </c>
      <c r="L2725" s="348" t="s">
        <v>1205</v>
      </c>
      <c r="M2725" s="265" t="s">
        <v>6421</v>
      </c>
      <c r="N2725" s="347">
        <v>2.234</v>
      </c>
      <c r="O2725" s="348" t="s">
        <v>1205</v>
      </c>
      <c r="P2725" s="348">
        <v>25.2</v>
      </c>
      <c r="Q2725" s="348">
        <v>2.65</v>
      </c>
    </row>
    <row r="2726" spans="1:17" ht="15" hidden="1" customHeight="1">
      <c r="A2726" s="163">
        <v>2734</v>
      </c>
      <c r="B2726" s="53" t="s">
        <v>44</v>
      </c>
      <c r="C2726" s="53" t="s">
        <v>6422</v>
      </c>
      <c r="D2726" s="53">
        <v>100024483</v>
      </c>
      <c r="E2726" s="55" t="s">
        <v>6423</v>
      </c>
      <c r="F2726" s="129">
        <v>10</v>
      </c>
      <c r="G2726" s="129" t="s">
        <v>2803</v>
      </c>
      <c r="H2726" s="512">
        <v>225.4</v>
      </c>
      <c r="I2726" s="265" t="s">
        <v>359</v>
      </c>
      <c r="J2726" s="265" t="s">
        <v>102</v>
      </c>
      <c r="K2726" s="265" t="s">
        <v>6424</v>
      </c>
      <c r="L2726" s="348" t="s">
        <v>1205</v>
      </c>
      <c r="M2726" s="265" t="s">
        <v>6425</v>
      </c>
      <c r="N2726" s="347">
        <v>2.323</v>
      </c>
      <c r="O2726" s="348" t="s">
        <v>1205</v>
      </c>
      <c r="P2726" s="348">
        <v>12</v>
      </c>
      <c r="Q2726" s="348" t="s">
        <v>1205</v>
      </c>
    </row>
    <row r="2727" spans="1:17" ht="15" hidden="1" customHeight="1">
      <c r="A2727" s="163">
        <v>2735</v>
      </c>
      <c r="B2727" s="53" t="s">
        <v>44</v>
      </c>
      <c r="C2727" s="53" t="s">
        <v>6427</v>
      </c>
      <c r="D2727" s="53">
        <v>100024909</v>
      </c>
      <c r="E2727" s="55" t="s">
        <v>6428</v>
      </c>
      <c r="F2727" s="129">
        <v>10</v>
      </c>
      <c r="G2727" s="129">
        <v>240</v>
      </c>
      <c r="H2727" s="512">
        <v>215.18</v>
      </c>
      <c r="I2727" s="265" t="s">
        <v>359</v>
      </c>
      <c r="J2727" s="265" t="s">
        <v>102</v>
      </c>
      <c r="K2727" s="265" t="s">
        <v>6429</v>
      </c>
      <c r="L2727" s="348" t="s">
        <v>1205</v>
      </c>
      <c r="M2727" s="265" t="s">
        <v>6430</v>
      </c>
      <c r="N2727" s="347">
        <v>2.2999999999999998</v>
      </c>
      <c r="O2727" s="348" t="s">
        <v>1205</v>
      </c>
      <c r="P2727" s="348">
        <v>25.7</v>
      </c>
      <c r="Q2727" s="348">
        <v>2.77</v>
      </c>
    </row>
    <row r="2728" spans="1:17" ht="15" hidden="1" customHeight="1">
      <c r="A2728" s="163">
        <v>2736</v>
      </c>
      <c r="B2728" s="53" t="s">
        <v>44</v>
      </c>
      <c r="C2728" s="53" t="s">
        <v>6431</v>
      </c>
      <c r="D2728" s="53">
        <v>100024887</v>
      </c>
      <c r="E2728" s="55" t="s">
        <v>6432</v>
      </c>
      <c r="F2728" s="129">
        <v>10</v>
      </c>
      <c r="G2728" s="129">
        <v>750</v>
      </c>
      <c r="H2728" s="512">
        <v>132.65</v>
      </c>
      <c r="I2728" s="265" t="s">
        <v>359</v>
      </c>
      <c r="J2728" s="265" t="s">
        <v>102</v>
      </c>
      <c r="K2728" s="265" t="s">
        <v>6433</v>
      </c>
      <c r="L2728" s="348" t="s">
        <v>1205</v>
      </c>
      <c r="M2728" s="265" t="s">
        <v>6434</v>
      </c>
      <c r="N2728" s="347">
        <v>1.4710000000000001</v>
      </c>
      <c r="O2728" s="348" t="s">
        <v>1205</v>
      </c>
      <c r="P2728" s="348">
        <v>15.3</v>
      </c>
      <c r="Q2728" s="348">
        <v>1.1000000000000001</v>
      </c>
    </row>
    <row r="2729" spans="1:17" ht="15" hidden="1" customHeight="1">
      <c r="A2729" s="163">
        <v>2737</v>
      </c>
      <c r="B2729" s="53" t="s">
        <v>44</v>
      </c>
      <c r="C2729" s="53" t="s">
        <v>6435</v>
      </c>
      <c r="D2729" s="53">
        <v>100023885</v>
      </c>
      <c r="E2729" s="55" t="s">
        <v>6436</v>
      </c>
      <c r="F2729" s="129">
        <v>10</v>
      </c>
      <c r="G2729" s="129">
        <v>750</v>
      </c>
      <c r="H2729" s="512">
        <v>132.65</v>
      </c>
      <c r="I2729" s="265" t="s">
        <v>359</v>
      </c>
      <c r="J2729" s="265" t="s">
        <v>102</v>
      </c>
      <c r="K2729" s="265" t="s">
        <v>6437</v>
      </c>
      <c r="L2729" s="348" t="s">
        <v>1205</v>
      </c>
      <c r="M2729" s="265" t="s">
        <v>6438</v>
      </c>
      <c r="N2729" s="347">
        <v>1.4510000000000001</v>
      </c>
      <c r="O2729" s="348" t="s">
        <v>1205</v>
      </c>
      <c r="P2729" s="348">
        <v>14.6</v>
      </c>
      <c r="Q2729" s="348">
        <v>1.1000000000000001</v>
      </c>
    </row>
    <row r="2730" spans="1:17" ht="15" hidden="1" customHeight="1">
      <c r="A2730" s="163">
        <v>2738</v>
      </c>
      <c r="B2730" s="53" t="s">
        <v>44</v>
      </c>
      <c r="C2730" s="53" t="s">
        <v>6439</v>
      </c>
      <c r="D2730" s="53">
        <v>100023886</v>
      </c>
      <c r="E2730" s="55" t="s">
        <v>6440</v>
      </c>
      <c r="F2730" s="129">
        <v>10</v>
      </c>
      <c r="G2730" s="129" t="s">
        <v>2803</v>
      </c>
      <c r="H2730" s="512">
        <v>143.82</v>
      </c>
      <c r="I2730" s="265" t="s">
        <v>359</v>
      </c>
      <c r="J2730" s="265" t="s">
        <v>102</v>
      </c>
      <c r="K2730" s="265" t="s">
        <v>6441</v>
      </c>
      <c r="L2730" s="348" t="s">
        <v>1205</v>
      </c>
      <c r="M2730" s="265" t="s">
        <v>6442</v>
      </c>
      <c r="N2730" s="347">
        <v>1.4950000000000001</v>
      </c>
      <c r="O2730" s="348" t="s">
        <v>1205</v>
      </c>
      <c r="P2730" s="348">
        <v>15.3</v>
      </c>
      <c r="Q2730" s="348" t="s">
        <v>1205</v>
      </c>
    </row>
    <row r="2731" spans="1:17" ht="15" hidden="1" customHeight="1">
      <c r="A2731" s="163">
        <v>2739</v>
      </c>
      <c r="B2731" s="53" t="s">
        <v>44</v>
      </c>
      <c r="C2731" s="53" t="s">
        <v>6443</v>
      </c>
      <c r="D2731" s="53">
        <v>100023888</v>
      </c>
      <c r="E2731" s="55" t="s">
        <v>6444</v>
      </c>
      <c r="F2731" s="129">
        <v>10</v>
      </c>
      <c r="G2731" s="129">
        <v>750</v>
      </c>
      <c r="H2731" s="512">
        <v>121.5</v>
      </c>
      <c r="I2731" s="265" t="s">
        <v>359</v>
      </c>
      <c r="J2731" s="265" t="s">
        <v>102</v>
      </c>
      <c r="K2731" s="265" t="s">
        <v>6445</v>
      </c>
      <c r="L2731" s="348" t="s">
        <v>1205</v>
      </c>
      <c r="M2731" s="265" t="s">
        <v>6446</v>
      </c>
      <c r="N2731" s="347">
        <v>1.298</v>
      </c>
      <c r="O2731" s="348" t="s">
        <v>1205</v>
      </c>
      <c r="P2731" s="348">
        <v>13.3</v>
      </c>
      <c r="Q2731" s="348">
        <v>1.1000000000000001</v>
      </c>
    </row>
    <row r="2732" spans="1:17" ht="15" hidden="1" customHeight="1">
      <c r="A2732" s="163">
        <v>2740</v>
      </c>
      <c r="B2732" s="53" t="s">
        <v>44</v>
      </c>
      <c r="C2732" s="53" t="s">
        <v>6447</v>
      </c>
      <c r="D2732" s="53">
        <v>100024973</v>
      </c>
      <c r="E2732" s="55" t="s">
        <v>6448</v>
      </c>
      <c r="F2732" s="129">
        <v>10</v>
      </c>
      <c r="G2732" s="129">
        <v>180</v>
      </c>
      <c r="H2732" s="512">
        <v>173.7</v>
      </c>
      <c r="I2732" s="265" t="s">
        <v>359</v>
      </c>
      <c r="J2732" s="265" t="s">
        <v>102</v>
      </c>
      <c r="K2732" s="265" t="s">
        <v>6449</v>
      </c>
      <c r="L2732" s="348" t="s">
        <v>1205</v>
      </c>
      <c r="M2732" s="265" t="s">
        <v>6450</v>
      </c>
      <c r="N2732" s="347">
        <v>1.982</v>
      </c>
      <c r="O2732" s="348" t="s">
        <v>1205</v>
      </c>
      <c r="P2732" s="348">
        <v>20.100000000000001</v>
      </c>
      <c r="Q2732" s="348">
        <v>2.65</v>
      </c>
    </row>
    <row r="2733" spans="1:17" ht="15" hidden="1" customHeight="1">
      <c r="A2733" s="163">
        <v>2741</v>
      </c>
      <c r="B2733" s="53" t="s">
        <v>44</v>
      </c>
      <c r="C2733" s="53" t="s">
        <v>6451</v>
      </c>
      <c r="D2733" s="53">
        <v>100024220</v>
      </c>
      <c r="E2733" s="55" t="s">
        <v>6452</v>
      </c>
      <c r="F2733" s="129">
        <v>10</v>
      </c>
      <c r="G2733" s="129" t="s">
        <v>2803</v>
      </c>
      <c r="H2733" s="512">
        <v>173.7</v>
      </c>
      <c r="I2733" s="265" t="s">
        <v>359</v>
      </c>
      <c r="J2733" s="265" t="s">
        <v>102</v>
      </c>
      <c r="K2733" s="265" t="s">
        <v>6453</v>
      </c>
      <c r="L2733" s="348" t="s">
        <v>1205</v>
      </c>
      <c r="M2733" s="265" t="s">
        <v>6454</v>
      </c>
      <c r="N2733" s="347">
        <v>1.5549999999999999</v>
      </c>
      <c r="O2733" s="348" t="s">
        <v>1205</v>
      </c>
      <c r="P2733" s="348">
        <v>18.46</v>
      </c>
      <c r="Q2733" s="348">
        <v>2.11</v>
      </c>
    </row>
    <row r="2734" spans="1:17" ht="15" hidden="1" customHeight="1">
      <c r="A2734" s="163">
        <v>2742</v>
      </c>
      <c r="B2734" s="53" t="s">
        <v>44</v>
      </c>
      <c r="C2734" s="53" t="s">
        <v>6455</v>
      </c>
      <c r="D2734" s="53">
        <v>100024221</v>
      </c>
      <c r="E2734" s="55" t="s">
        <v>6456</v>
      </c>
      <c r="F2734" s="129">
        <v>10</v>
      </c>
      <c r="G2734" s="129" t="s">
        <v>2803</v>
      </c>
      <c r="H2734" s="512">
        <v>173.7</v>
      </c>
      <c r="I2734" s="265" t="s">
        <v>359</v>
      </c>
      <c r="J2734" s="265" t="s">
        <v>102</v>
      </c>
      <c r="K2734" s="265" t="s">
        <v>6457</v>
      </c>
      <c r="L2734" s="348" t="s">
        <v>1205</v>
      </c>
      <c r="M2734" s="265" t="s">
        <v>6458</v>
      </c>
      <c r="N2734" s="347">
        <v>1.9419999999999999</v>
      </c>
      <c r="O2734" s="348" t="s">
        <v>1205</v>
      </c>
      <c r="P2734" s="348">
        <v>19.3</v>
      </c>
      <c r="Q2734" s="348">
        <v>2.11</v>
      </c>
    </row>
    <row r="2735" spans="1:17" ht="15" hidden="1" customHeight="1">
      <c r="A2735" s="163">
        <v>2743</v>
      </c>
      <c r="B2735" s="53" t="s">
        <v>44</v>
      </c>
      <c r="C2735" s="53" t="s">
        <v>6459</v>
      </c>
      <c r="D2735" s="53">
        <v>100024402</v>
      </c>
      <c r="E2735" s="55" t="s">
        <v>6460</v>
      </c>
      <c r="F2735" s="129">
        <v>10</v>
      </c>
      <c r="G2735" s="129">
        <v>180</v>
      </c>
      <c r="H2735" s="512">
        <v>210.6</v>
      </c>
      <c r="I2735" s="265" t="s">
        <v>359</v>
      </c>
      <c r="J2735" s="265" t="s">
        <v>102</v>
      </c>
      <c r="K2735" s="265" t="s">
        <v>6461</v>
      </c>
      <c r="L2735" s="348" t="s">
        <v>1205</v>
      </c>
      <c r="M2735" s="265" t="s">
        <v>6462</v>
      </c>
      <c r="N2735" s="347">
        <v>2.2839999999999998</v>
      </c>
      <c r="O2735" s="348" t="s">
        <v>1205</v>
      </c>
      <c r="P2735" s="348">
        <v>24.04</v>
      </c>
      <c r="Q2735" s="348">
        <v>2.65</v>
      </c>
    </row>
    <row r="2736" spans="1:17" ht="15" hidden="1" customHeight="1">
      <c r="A2736" s="163">
        <v>2744</v>
      </c>
      <c r="B2736" s="53" t="s">
        <v>44</v>
      </c>
      <c r="C2736" s="53" t="s">
        <v>6463</v>
      </c>
      <c r="D2736" s="53">
        <v>100025028</v>
      </c>
      <c r="E2736" s="55" t="s">
        <v>6464</v>
      </c>
      <c r="F2736" s="129">
        <v>10</v>
      </c>
      <c r="G2736" s="129">
        <v>180</v>
      </c>
      <c r="H2736" s="512">
        <v>210.6</v>
      </c>
      <c r="I2736" s="265" t="s">
        <v>359</v>
      </c>
      <c r="J2736" s="265" t="s">
        <v>102</v>
      </c>
      <c r="K2736" s="265" t="s">
        <v>6465</v>
      </c>
      <c r="L2736" s="348" t="s">
        <v>1205</v>
      </c>
      <c r="M2736" s="265" t="s">
        <v>6466</v>
      </c>
      <c r="N2736" s="347">
        <v>2.339</v>
      </c>
      <c r="O2736" s="348" t="s">
        <v>1205</v>
      </c>
      <c r="P2736" s="348">
        <v>24.54</v>
      </c>
      <c r="Q2736" s="348">
        <v>2.65</v>
      </c>
    </row>
    <row r="2737" spans="1:17" ht="15" hidden="1" customHeight="1">
      <c r="A2737" s="163">
        <v>2745</v>
      </c>
      <c r="B2737" s="53" t="s">
        <v>44</v>
      </c>
      <c r="C2737" s="53" t="s">
        <v>6467</v>
      </c>
      <c r="D2737" s="53">
        <v>100024463</v>
      </c>
      <c r="E2737" s="55" t="s">
        <v>6468</v>
      </c>
      <c r="F2737" s="129">
        <v>1</v>
      </c>
      <c r="G2737" s="129">
        <v>60</v>
      </c>
      <c r="H2737" s="512">
        <v>199.54</v>
      </c>
      <c r="I2737" s="265" t="s">
        <v>359</v>
      </c>
      <c r="J2737" s="265" t="s">
        <v>102</v>
      </c>
      <c r="K2737" s="265" t="s">
        <v>6469</v>
      </c>
      <c r="L2737" s="348" t="s">
        <v>1205</v>
      </c>
      <c r="M2737" s="265" t="s">
        <v>6470</v>
      </c>
      <c r="N2737" s="347">
        <v>2.0179999999999998</v>
      </c>
      <c r="O2737" s="348" t="s">
        <v>1205</v>
      </c>
      <c r="P2737" s="348">
        <v>20.9</v>
      </c>
      <c r="Q2737" s="348">
        <v>1.41</v>
      </c>
    </row>
    <row r="2738" spans="1:17" ht="15" hidden="1" customHeight="1">
      <c r="A2738" s="163">
        <v>2746</v>
      </c>
      <c r="B2738" s="53" t="s">
        <v>44</v>
      </c>
      <c r="C2738" s="53" t="s">
        <v>6471</v>
      </c>
      <c r="D2738" s="53">
        <v>100024464</v>
      </c>
      <c r="E2738" s="55" t="s">
        <v>6472</v>
      </c>
      <c r="F2738" s="129">
        <v>10</v>
      </c>
      <c r="G2738" s="129">
        <v>600</v>
      </c>
      <c r="H2738" s="512">
        <v>199.54</v>
      </c>
      <c r="I2738" s="265" t="s">
        <v>359</v>
      </c>
      <c r="J2738" s="265" t="s">
        <v>102</v>
      </c>
      <c r="K2738" s="265" t="s">
        <v>6473</v>
      </c>
      <c r="L2738" s="348" t="s">
        <v>1205</v>
      </c>
      <c r="M2738" s="265" t="s">
        <v>6474</v>
      </c>
      <c r="N2738" s="347">
        <v>2.1280000000000001</v>
      </c>
      <c r="O2738" s="348" t="s">
        <v>1205</v>
      </c>
      <c r="P2738" s="348">
        <v>21.7</v>
      </c>
      <c r="Q2738" s="348">
        <v>1.41</v>
      </c>
    </row>
    <row r="2739" spans="1:17" ht="15" hidden="1" customHeight="1">
      <c r="A2739" s="163">
        <v>2747</v>
      </c>
      <c r="B2739" s="53" t="s">
        <v>44</v>
      </c>
      <c r="C2739" s="53" t="s">
        <v>6475</v>
      </c>
      <c r="D2739" s="53">
        <v>100024486</v>
      </c>
      <c r="E2739" s="55" t="s">
        <v>6476</v>
      </c>
      <c r="F2739" s="129">
        <v>10</v>
      </c>
      <c r="G2739" s="129" t="s">
        <v>2803</v>
      </c>
      <c r="H2739" s="512">
        <v>210.6</v>
      </c>
      <c r="I2739" s="265" t="s">
        <v>359</v>
      </c>
      <c r="J2739" s="265" t="s">
        <v>102</v>
      </c>
      <c r="K2739" s="265" t="s">
        <v>6477</v>
      </c>
      <c r="L2739" s="348" t="s">
        <v>1205</v>
      </c>
      <c r="M2739" s="265" t="s">
        <v>6478</v>
      </c>
      <c r="N2739" s="347">
        <v>2.1779999999999999</v>
      </c>
      <c r="O2739" s="348" t="s">
        <v>1205</v>
      </c>
      <c r="P2739" s="348">
        <v>23.3</v>
      </c>
      <c r="Q2739" s="348" t="s">
        <v>1205</v>
      </c>
    </row>
    <row r="2740" spans="1:17" ht="15" hidden="1" customHeight="1">
      <c r="A2740" s="163">
        <v>2748</v>
      </c>
      <c r="B2740" s="53" t="s">
        <v>44</v>
      </c>
      <c r="C2740" s="53" t="s">
        <v>6479</v>
      </c>
      <c r="D2740" s="53">
        <v>100024487</v>
      </c>
      <c r="E2740" s="55" t="s">
        <v>6480</v>
      </c>
      <c r="F2740" s="129">
        <v>10</v>
      </c>
      <c r="G2740" s="129" t="s">
        <v>2803</v>
      </c>
      <c r="H2740" s="512">
        <v>210.6</v>
      </c>
      <c r="I2740" s="265" t="s">
        <v>359</v>
      </c>
      <c r="J2740" s="265" t="s">
        <v>102</v>
      </c>
      <c r="K2740" s="265" t="s">
        <v>6481</v>
      </c>
      <c r="L2740" s="348" t="s">
        <v>1205</v>
      </c>
      <c r="M2740" s="265" t="s">
        <v>6482</v>
      </c>
      <c r="N2740" s="347">
        <v>2.2839999999999998</v>
      </c>
      <c r="O2740" s="348" t="s">
        <v>1205</v>
      </c>
      <c r="P2740" s="348">
        <v>24.6</v>
      </c>
      <c r="Q2740" s="348" t="s">
        <v>1205</v>
      </c>
    </row>
    <row r="2741" spans="1:17" ht="15" hidden="1" customHeight="1">
      <c r="A2741" s="163">
        <v>2749</v>
      </c>
      <c r="B2741" s="53" t="s">
        <v>44</v>
      </c>
      <c r="C2741" s="53" t="s">
        <v>6483</v>
      </c>
      <c r="D2741" s="53">
        <v>100024488</v>
      </c>
      <c r="E2741" s="55" t="s">
        <v>6484</v>
      </c>
      <c r="F2741" s="129">
        <v>10</v>
      </c>
      <c r="G2741" s="129" t="s">
        <v>2803</v>
      </c>
      <c r="H2741" s="512">
        <v>221.64</v>
      </c>
      <c r="I2741" s="265" t="s">
        <v>359</v>
      </c>
      <c r="J2741" s="265" t="s">
        <v>102</v>
      </c>
      <c r="K2741" s="265" t="s">
        <v>6485</v>
      </c>
      <c r="L2741" s="348" t="s">
        <v>1205</v>
      </c>
      <c r="M2741" s="265" t="s">
        <v>6486</v>
      </c>
      <c r="N2741" s="347">
        <v>2.3730000000000002</v>
      </c>
      <c r="O2741" s="348" t="s">
        <v>1205</v>
      </c>
      <c r="P2741" s="348">
        <v>12</v>
      </c>
      <c r="Q2741" s="348" t="s">
        <v>1205</v>
      </c>
    </row>
    <row r="2742" spans="1:17" ht="15" hidden="1" customHeight="1">
      <c r="A2742" s="163">
        <v>2750</v>
      </c>
      <c r="B2742" s="53" t="s">
        <v>44</v>
      </c>
      <c r="C2742" s="53" t="s">
        <v>6488</v>
      </c>
      <c r="D2742" s="53">
        <v>100024451</v>
      </c>
      <c r="E2742" s="55" t="s">
        <v>6489</v>
      </c>
      <c r="F2742" s="129">
        <v>10</v>
      </c>
      <c r="G2742" s="129">
        <v>180</v>
      </c>
      <c r="H2742" s="512">
        <v>302.60000000000002</v>
      </c>
      <c r="I2742" s="265" t="s">
        <v>359</v>
      </c>
      <c r="J2742" s="265" t="s">
        <v>102</v>
      </c>
      <c r="K2742" s="265" t="s">
        <v>6490</v>
      </c>
      <c r="L2742" s="348" t="s">
        <v>1205</v>
      </c>
      <c r="M2742" s="265" t="s">
        <v>6491</v>
      </c>
      <c r="N2742" s="347">
        <v>1.73</v>
      </c>
      <c r="O2742" s="348" t="s">
        <v>1205</v>
      </c>
      <c r="P2742" s="348">
        <v>33.799999999999997</v>
      </c>
      <c r="Q2742" s="348">
        <v>4.38</v>
      </c>
    </row>
    <row r="2743" spans="1:17" ht="15" hidden="1" customHeight="1">
      <c r="A2743" s="163">
        <v>2751</v>
      </c>
      <c r="B2743" s="53" t="s">
        <v>44</v>
      </c>
      <c r="C2743" s="53" t="s">
        <v>6493</v>
      </c>
      <c r="D2743" s="53">
        <v>100023782</v>
      </c>
      <c r="E2743" s="55" t="s">
        <v>6494</v>
      </c>
      <c r="F2743" s="129">
        <v>10</v>
      </c>
      <c r="G2743" s="129">
        <v>750</v>
      </c>
      <c r="H2743" s="512">
        <v>246.94</v>
      </c>
      <c r="I2743" s="265" t="s">
        <v>359</v>
      </c>
      <c r="J2743" s="265" t="s">
        <v>102</v>
      </c>
      <c r="K2743" s="265" t="s">
        <v>6495</v>
      </c>
      <c r="L2743" s="348" t="s">
        <v>1205</v>
      </c>
      <c r="M2743" s="265" t="s">
        <v>6496</v>
      </c>
      <c r="N2743" s="347">
        <v>2.23</v>
      </c>
      <c r="O2743" s="348" t="s">
        <v>1205</v>
      </c>
      <c r="P2743" s="348">
        <v>22.3</v>
      </c>
      <c r="Q2743" s="348">
        <v>1.1000000000000001</v>
      </c>
    </row>
    <row r="2744" spans="1:17" ht="15" hidden="1" customHeight="1">
      <c r="A2744" s="163">
        <v>2752</v>
      </c>
      <c r="B2744" s="53" t="s">
        <v>44</v>
      </c>
      <c r="C2744" s="53" t="s">
        <v>6497</v>
      </c>
      <c r="D2744" s="53">
        <v>100024001</v>
      </c>
      <c r="E2744" s="55" t="s">
        <v>6498</v>
      </c>
      <c r="F2744" s="129">
        <v>10</v>
      </c>
      <c r="G2744" s="129" t="s">
        <v>2803</v>
      </c>
      <c r="H2744" s="512">
        <v>136.44999999999999</v>
      </c>
      <c r="I2744" s="265" t="s">
        <v>359</v>
      </c>
      <c r="J2744" s="265" t="s">
        <v>102</v>
      </c>
      <c r="K2744" s="265" t="s">
        <v>6499</v>
      </c>
      <c r="L2744" s="348" t="s">
        <v>1205</v>
      </c>
      <c r="M2744" s="265" t="s">
        <v>6500</v>
      </c>
      <c r="N2744" s="347">
        <v>1.4330000000000001</v>
      </c>
      <c r="O2744" s="348" t="s">
        <v>1205</v>
      </c>
      <c r="P2744" s="348">
        <v>1.7</v>
      </c>
      <c r="Q2744" s="348">
        <v>17</v>
      </c>
    </row>
    <row r="2745" spans="1:17" ht="15" hidden="1" customHeight="1">
      <c r="A2745" s="163">
        <v>2753</v>
      </c>
      <c r="B2745" s="53" t="s">
        <v>44</v>
      </c>
      <c r="C2745" s="53" t="s">
        <v>6501</v>
      </c>
      <c r="D2745" s="53">
        <v>100024003</v>
      </c>
      <c r="E2745" s="55" t="s">
        <v>6502</v>
      </c>
      <c r="F2745" s="129">
        <v>10</v>
      </c>
      <c r="G2745" s="129">
        <v>900</v>
      </c>
      <c r="H2745" s="512">
        <v>136.44999999999999</v>
      </c>
      <c r="I2745" s="265" t="s">
        <v>359</v>
      </c>
      <c r="J2745" s="265" t="s">
        <v>102</v>
      </c>
      <c r="K2745" s="265" t="s">
        <v>6503</v>
      </c>
      <c r="L2745" s="348" t="s">
        <v>1205</v>
      </c>
      <c r="M2745" s="265" t="s">
        <v>6504</v>
      </c>
      <c r="N2745" s="347">
        <v>1.427</v>
      </c>
      <c r="O2745" s="348" t="s">
        <v>1205</v>
      </c>
      <c r="P2745" s="348">
        <v>15.8</v>
      </c>
      <c r="Q2745" s="348">
        <v>0.8</v>
      </c>
    </row>
    <row r="2746" spans="1:17" ht="15" hidden="1" customHeight="1">
      <c r="A2746" s="163">
        <v>2754</v>
      </c>
      <c r="B2746" s="53" t="s">
        <v>44</v>
      </c>
      <c r="C2746" s="53" t="s">
        <v>6505</v>
      </c>
      <c r="D2746" s="53">
        <v>100024272</v>
      </c>
      <c r="E2746" s="55" t="s">
        <v>6506</v>
      </c>
      <c r="F2746" s="129">
        <v>10</v>
      </c>
      <c r="G2746" s="129">
        <v>750</v>
      </c>
      <c r="H2746" s="512">
        <v>169.43</v>
      </c>
      <c r="I2746" s="265" t="s">
        <v>359</v>
      </c>
      <c r="J2746" s="265" t="s">
        <v>102</v>
      </c>
      <c r="K2746" s="265" t="s">
        <v>6507</v>
      </c>
      <c r="L2746" s="348" t="s">
        <v>1205</v>
      </c>
      <c r="M2746" s="265" t="s">
        <v>6508</v>
      </c>
      <c r="N2746" s="347">
        <v>1.9179999999999999</v>
      </c>
      <c r="O2746" s="348" t="s">
        <v>1205</v>
      </c>
      <c r="P2746" s="348">
        <v>21.26</v>
      </c>
      <c r="Q2746" s="348">
        <v>1.1000000000000001</v>
      </c>
    </row>
    <row r="2747" spans="1:17" ht="15" hidden="1" customHeight="1">
      <c r="A2747" s="163">
        <v>2755</v>
      </c>
      <c r="B2747" s="53" t="s">
        <v>44</v>
      </c>
      <c r="C2747" s="53" t="s">
        <v>6509</v>
      </c>
      <c r="D2747" s="53">
        <v>100024528</v>
      </c>
      <c r="E2747" s="55" t="s">
        <v>6510</v>
      </c>
      <c r="F2747" s="129">
        <v>10</v>
      </c>
      <c r="G2747" s="129">
        <v>180</v>
      </c>
      <c r="H2747" s="512">
        <v>205.79</v>
      </c>
      <c r="I2747" s="265" t="s">
        <v>359</v>
      </c>
      <c r="J2747" s="265" t="s">
        <v>102</v>
      </c>
      <c r="K2747" s="265" t="s">
        <v>6511</v>
      </c>
      <c r="L2747" s="348" t="s">
        <v>1205</v>
      </c>
      <c r="M2747" s="265" t="s">
        <v>6512</v>
      </c>
      <c r="N2747" s="347">
        <v>2.7759999999999998</v>
      </c>
      <c r="O2747" s="348" t="s">
        <v>1205</v>
      </c>
      <c r="P2747" s="348">
        <v>29.64</v>
      </c>
      <c r="Q2747" s="348">
        <v>2.65</v>
      </c>
    </row>
    <row r="2748" spans="1:17" ht="15" hidden="1" customHeight="1">
      <c r="A2748" s="163">
        <v>2756</v>
      </c>
      <c r="B2748" s="53" t="s">
        <v>45</v>
      </c>
      <c r="C2748" s="53" t="s">
        <v>6516</v>
      </c>
      <c r="D2748" s="53">
        <v>100028394</v>
      </c>
      <c r="E2748" s="55" t="s">
        <v>6517</v>
      </c>
      <c r="F2748" s="129">
        <v>1</v>
      </c>
      <c r="G2748" s="129" t="s">
        <v>2803</v>
      </c>
      <c r="H2748" s="512">
        <v>16.64</v>
      </c>
      <c r="I2748" s="265" t="s">
        <v>359</v>
      </c>
      <c r="J2748" s="265" t="s">
        <v>102</v>
      </c>
      <c r="K2748" s="265">
        <v>0</v>
      </c>
      <c r="L2748" s="348" t="s">
        <v>1205</v>
      </c>
      <c r="M2748" s="265">
        <v>0</v>
      </c>
      <c r="N2748" s="347">
        <v>0.124</v>
      </c>
      <c r="O2748" s="348" t="s">
        <v>1205</v>
      </c>
      <c r="P2748" s="348">
        <v>0.124</v>
      </c>
      <c r="Q2748" s="348" t="s">
        <v>1205</v>
      </c>
    </row>
    <row r="2749" spans="1:17" ht="15" hidden="1" customHeight="1">
      <c r="A2749" s="163">
        <v>2757</v>
      </c>
      <c r="B2749" s="53" t="s">
        <v>45</v>
      </c>
      <c r="C2749" s="53" t="s">
        <v>6518</v>
      </c>
      <c r="D2749" s="53">
        <v>100028395</v>
      </c>
      <c r="E2749" s="55" t="s">
        <v>6519</v>
      </c>
      <c r="F2749" s="129">
        <v>1</v>
      </c>
      <c r="G2749" s="129" t="s">
        <v>2803</v>
      </c>
      <c r="H2749" s="512">
        <v>17.05</v>
      </c>
      <c r="I2749" s="265" t="s">
        <v>359</v>
      </c>
      <c r="J2749" s="265" t="s">
        <v>102</v>
      </c>
      <c r="K2749" s="265" t="s">
        <v>6520</v>
      </c>
      <c r="L2749" s="348" t="s">
        <v>1205</v>
      </c>
      <c r="M2749" s="265" t="s">
        <v>6521</v>
      </c>
      <c r="N2749" s="347">
        <v>0.13</v>
      </c>
      <c r="O2749" s="348" t="s">
        <v>1205</v>
      </c>
      <c r="P2749" s="348">
        <v>0.13</v>
      </c>
      <c r="Q2749" s="348" t="s">
        <v>1205</v>
      </c>
    </row>
    <row r="2750" spans="1:17" ht="15" hidden="1" customHeight="1">
      <c r="A2750" s="163">
        <v>2758</v>
      </c>
      <c r="B2750" s="53" t="s">
        <v>45</v>
      </c>
      <c r="C2750" s="53" t="s">
        <v>6522</v>
      </c>
      <c r="D2750" s="53">
        <v>100028396</v>
      </c>
      <c r="E2750" s="55" t="s">
        <v>6523</v>
      </c>
      <c r="F2750" s="129">
        <v>1</v>
      </c>
      <c r="G2750" s="129" t="s">
        <v>2803</v>
      </c>
      <c r="H2750" s="512">
        <v>17.600000000000001</v>
      </c>
      <c r="I2750" s="265" t="s">
        <v>76</v>
      </c>
      <c r="J2750" s="265" t="s">
        <v>102</v>
      </c>
      <c r="K2750" s="265">
        <v>0</v>
      </c>
      <c r="L2750" s="348" t="s">
        <v>1205</v>
      </c>
      <c r="M2750" s="265">
        <v>0</v>
      </c>
      <c r="N2750" s="347">
        <v>0.16600000000000001</v>
      </c>
      <c r="O2750" s="348" t="s">
        <v>1205</v>
      </c>
      <c r="P2750" s="348">
        <v>0.16600000000000001</v>
      </c>
      <c r="Q2750" s="348" t="s">
        <v>1205</v>
      </c>
    </row>
    <row r="2751" spans="1:17" ht="15" hidden="1" customHeight="1">
      <c r="A2751" s="163">
        <v>2759</v>
      </c>
      <c r="B2751" s="53" t="s">
        <v>45</v>
      </c>
      <c r="C2751" s="53" t="s">
        <v>6524</v>
      </c>
      <c r="D2751" s="53">
        <v>100028397</v>
      </c>
      <c r="E2751" s="55" t="s">
        <v>6525</v>
      </c>
      <c r="F2751" s="129">
        <v>1</v>
      </c>
      <c r="G2751" s="129" t="s">
        <v>2803</v>
      </c>
      <c r="H2751" s="512">
        <v>16.809999999999999</v>
      </c>
      <c r="I2751" s="265" t="s">
        <v>359</v>
      </c>
      <c r="J2751" s="265" t="s">
        <v>102</v>
      </c>
      <c r="K2751" s="265" t="s">
        <v>6526</v>
      </c>
      <c r="L2751" s="348" t="s">
        <v>1205</v>
      </c>
      <c r="M2751" s="265" t="s">
        <v>6527</v>
      </c>
      <c r="N2751" s="347">
        <v>0.20499999999999999</v>
      </c>
      <c r="O2751" s="348" t="s">
        <v>1205</v>
      </c>
      <c r="P2751" s="348">
        <v>0.20499999999999999</v>
      </c>
      <c r="Q2751" s="348" t="s">
        <v>1205</v>
      </c>
    </row>
    <row r="2752" spans="1:17" ht="15" hidden="1" customHeight="1">
      <c r="A2752" s="163">
        <v>2760</v>
      </c>
      <c r="B2752" s="53" t="s">
        <v>45</v>
      </c>
      <c r="C2752" s="53" t="s">
        <v>6528</v>
      </c>
      <c r="D2752" s="53">
        <v>100028398</v>
      </c>
      <c r="E2752" s="55" t="s">
        <v>6529</v>
      </c>
      <c r="F2752" s="129">
        <v>1</v>
      </c>
      <c r="G2752" s="129" t="s">
        <v>2803</v>
      </c>
      <c r="H2752" s="512">
        <v>17.440000000000001</v>
      </c>
      <c r="I2752" s="265" t="s">
        <v>76</v>
      </c>
      <c r="J2752" s="265" t="s">
        <v>102</v>
      </c>
      <c r="K2752" s="265" t="s">
        <v>6530</v>
      </c>
      <c r="L2752" s="348" t="s">
        <v>1205</v>
      </c>
      <c r="M2752" s="265" t="s">
        <v>6531</v>
      </c>
      <c r="N2752" s="347">
        <v>0.185</v>
      </c>
      <c r="O2752" s="348" t="s">
        <v>1205</v>
      </c>
      <c r="P2752" s="348">
        <v>0.185</v>
      </c>
      <c r="Q2752" s="348" t="s">
        <v>1205</v>
      </c>
    </row>
    <row r="2753" spans="1:17" ht="15" hidden="1" customHeight="1">
      <c r="A2753" s="163">
        <v>2761</v>
      </c>
      <c r="B2753" s="53" t="s">
        <v>45</v>
      </c>
      <c r="C2753" s="53" t="s">
        <v>6532</v>
      </c>
      <c r="D2753" s="53">
        <v>100023756</v>
      </c>
      <c r="E2753" s="55" t="s">
        <v>6533</v>
      </c>
      <c r="F2753" s="129">
        <v>1</v>
      </c>
      <c r="G2753" s="129" t="s">
        <v>2803</v>
      </c>
      <c r="H2753" s="512">
        <v>17.600000000000001</v>
      </c>
      <c r="I2753" s="265" t="s">
        <v>76</v>
      </c>
      <c r="J2753" s="265" t="s">
        <v>102</v>
      </c>
      <c r="K2753" s="265" t="s">
        <v>6534</v>
      </c>
      <c r="L2753" s="348" t="s">
        <v>1205</v>
      </c>
      <c r="M2753" s="265" t="s">
        <v>6535</v>
      </c>
      <c r="N2753" s="347">
        <v>0.38500000000000001</v>
      </c>
      <c r="O2753" s="348" t="s">
        <v>1205</v>
      </c>
      <c r="P2753" s="348">
        <v>0.38500000000000001</v>
      </c>
      <c r="Q2753" s="348" t="s">
        <v>1205</v>
      </c>
    </row>
    <row r="2754" spans="1:17" ht="15" hidden="1" customHeight="1">
      <c r="A2754" s="163">
        <v>2762</v>
      </c>
      <c r="B2754" s="53" t="s">
        <v>45</v>
      </c>
      <c r="C2754" s="53" t="s">
        <v>6536</v>
      </c>
      <c r="D2754" s="53">
        <v>100023757</v>
      </c>
      <c r="E2754" s="55" t="s">
        <v>6537</v>
      </c>
      <c r="F2754" s="129">
        <v>1</v>
      </c>
      <c r="G2754" s="129" t="s">
        <v>2803</v>
      </c>
      <c r="H2754" s="512">
        <v>17.600000000000001</v>
      </c>
      <c r="I2754" s="265" t="s">
        <v>76</v>
      </c>
      <c r="J2754" s="265" t="s">
        <v>102</v>
      </c>
      <c r="K2754" s="265" t="s">
        <v>6538</v>
      </c>
      <c r="L2754" s="348" t="s">
        <v>1205</v>
      </c>
      <c r="M2754" s="265" t="s">
        <v>6539</v>
      </c>
      <c r="N2754" s="347">
        <v>0.37</v>
      </c>
      <c r="O2754" s="348" t="s">
        <v>1205</v>
      </c>
      <c r="P2754" s="348">
        <v>0.37</v>
      </c>
      <c r="Q2754" s="348" t="s">
        <v>1205</v>
      </c>
    </row>
    <row r="2755" spans="1:17" ht="15" hidden="1" customHeight="1">
      <c r="A2755" s="163">
        <v>2763</v>
      </c>
      <c r="B2755" s="53" t="s">
        <v>45</v>
      </c>
      <c r="C2755" s="53" t="s">
        <v>6540</v>
      </c>
      <c r="D2755" s="53">
        <v>100028399</v>
      </c>
      <c r="E2755" s="55" t="s">
        <v>6541</v>
      </c>
      <c r="F2755" s="129">
        <v>1</v>
      </c>
      <c r="G2755" s="129" t="s">
        <v>2803</v>
      </c>
      <c r="H2755" s="512">
        <v>16.64</v>
      </c>
      <c r="I2755" s="265" t="s">
        <v>359</v>
      </c>
      <c r="J2755" s="265" t="s">
        <v>102</v>
      </c>
      <c r="K2755" s="265">
        <v>0</v>
      </c>
      <c r="L2755" s="348" t="s">
        <v>1205</v>
      </c>
      <c r="M2755" s="265">
        <v>0</v>
      </c>
      <c r="N2755" s="347">
        <v>9.5000000000000001E-2</v>
      </c>
      <c r="O2755" s="348" t="s">
        <v>1205</v>
      </c>
      <c r="P2755" s="348">
        <v>9.5000000000000001E-2</v>
      </c>
      <c r="Q2755" s="348" t="s">
        <v>1205</v>
      </c>
    </row>
    <row r="2756" spans="1:17" ht="15" hidden="1" customHeight="1">
      <c r="A2756" s="163">
        <v>2764</v>
      </c>
      <c r="B2756" s="53" t="s">
        <v>45</v>
      </c>
      <c r="C2756" s="53" t="s">
        <v>6542</v>
      </c>
      <c r="D2756" s="53">
        <v>100028400</v>
      </c>
      <c r="E2756" s="55" t="s">
        <v>6543</v>
      </c>
      <c r="F2756" s="129">
        <v>1</v>
      </c>
      <c r="G2756" s="129" t="s">
        <v>2803</v>
      </c>
      <c r="H2756" s="512">
        <v>17.05</v>
      </c>
      <c r="I2756" s="265" t="s">
        <v>76</v>
      </c>
      <c r="J2756" s="265" t="s">
        <v>102</v>
      </c>
      <c r="K2756" s="265" t="s">
        <v>6544</v>
      </c>
      <c r="L2756" s="348" t="s">
        <v>1205</v>
      </c>
      <c r="M2756" s="265" t="s">
        <v>6545</v>
      </c>
      <c r="N2756" s="347">
        <v>0.13100000000000001</v>
      </c>
      <c r="O2756" s="348" t="s">
        <v>1205</v>
      </c>
      <c r="P2756" s="348">
        <v>0.13100000000000001</v>
      </c>
      <c r="Q2756" s="348" t="s">
        <v>1205</v>
      </c>
    </row>
    <row r="2757" spans="1:17" ht="15" hidden="1" customHeight="1">
      <c r="A2757" s="163">
        <v>2765</v>
      </c>
      <c r="B2757" s="53" t="s">
        <v>45</v>
      </c>
      <c r="C2757" s="53" t="s">
        <v>6546</v>
      </c>
      <c r="D2757" s="53">
        <v>100028401</v>
      </c>
      <c r="E2757" s="55" t="s">
        <v>6547</v>
      </c>
      <c r="F2757" s="129">
        <v>1</v>
      </c>
      <c r="G2757" s="129" t="s">
        <v>2803</v>
      </c>
      <c r="H2757" s="512">
        <v>17.600000000000001</v>
      </c>
      <c r="I2757" s="265" t="s">
        <v>76</v>
      </c>
      <c r="J2757" s="265" t="s">
        <v>102</v>
      </c>
      <c r="K2757" s="265">
        <v>0</v>
      </c>
      <c r="L2757" s="348" t="s">
        <v>1205</v>
      </c>
      <c r="M2757" s="265">
        <v>0</v>
      </c>
      <c r="N2757" s="347">
        <v>0.16</v>
      </c>
      <c r="O2757" s="348" t="s">
        <v>1205</v>
      </c>
      <c r="P2757" s="348">
        <v>0.16</v>
      </c>
      <c r="Q2757" s="348" t="s">
        <v>1205</v>
      </c>
    </row>
    <row r="2758" spans="1:17" ht="15" hidden="1" customHeight="1">
      <c r="A2758" s="163">
        <v>2766</v>
      </c>
      <c r="B2758" s="53" t="s">
        <v>45</v>
      </c>
      <c r="C2758" s="53" t="s">
        <v>6549</v>
      </c>
      <c r="D2758" s="53">
        <v>100028319</v>
      </c>
      <c r="E2758" s="55" t="s">
        <v>6550</v>
      </c>
      <c r="F2758" s="129">
        <v>1</v>
      </c>
      <c r="G2758" s="129" t="s">
        <v>2803</v>
      </c>
      <c r="H2758" s="512">
        <v>22.79</v>
      </c>
      <c r="I2758" s="265" t="s">
        <v>359</v>
      </c>
      <c r="J2758" s="265" t="s">
        <v>102</v>
      </c>
      <c r="K2758" s="265" t="s">
        <v>6551</v>
      </c>
      <c r="L2758" s="348" t="s">
        <v>1205</v>
      </c>
      <c r="M2758" s="265" t="s">
        <v>6552</v>
      </c>
      <c r="N2758" s="347">
        <v>0.26</v>
      </c>
      <c r="O2758" s="348" t="s">
        <v>1205</v>
      </c>
      <c r="P2758" s="348">
        <v>0.26</v>
      </c>
      <c r="Q2758" s="348" t="s">
        <v>1205</v>
      </c>
    </row>
    <row r="2759" spans="1:17" ht="15" hidden="1" customHeight="1">
      <c r="A2759" s="163">
        <v>2767</v>
      </c>
      <c r="B2759" s="53" t="s">
        <v>45</v>
      </c>
      <c r="C2759" s="53" t="s">
        <v>6553</v>
      </c>
      <c r="D2759" s="53">
        <v>100028321</v>
      </c>
      <c r="E2759" s="55" t="s">
        <v>6554</v>
      </c>
      <c r="F2759" s="129">
        <v>1</v>
      </c>
      <c r="G2759" s="129" t="s">
        <v>2803</v>
      </c>
      <c r="H2759" s="512">
        <v>28.93</v>
      </c>
      <c r="I2759" s="265" t="s">
        <v>359</v>
      </c>
      <c r="J2759" s="265" t="s">
        <v>102</v>
      </c>
      <c r="K2759" s="265" t="s">
        <v>6555</v>
      </c>
      <c r="L2759" s="348" t="s">
        <v>1205</v>
      </c>
      <c r="M2759" s="265" t="s">
        <v>6556</v>
      </c>
      <c r="N2759" s="347">
        <v>0.49</v>
      </c>
      <c r="O2759" s="348" t="s">
        <v>1205</v>
      </c>
      <c r="P2759" s="348">
        <v>0.49</v>
      </c>
      <c r="Q2759" s="348" t="s">
        <v>1205</v>
      </c>
    </row>
    <row r="2760" spans="1:17" ht="15" hidden="1" customHeight="1">
      <c r="A2760" s="163">
        <v>2768</v>
      </c>
      <c r="B2760" s="53" t="s">
        <v>45</v>
      </c>
      <c r="C2760" s="53" t="s">
        <v>6557</v>
      </c>
      <c r="D2760" s="53">
        <v>100028322</v>
      </c>
      <c r="E2760" s="55" t="s">
        <v>6558</v>
      </c>
      <c r="F2760" s="129">
        <v>1</v>
      </c>
      <c r="G2760" s="129" t="s">
        <v>2803</v>
      </c>
      <c r="H2760" s="512">
        <v>16.64</v>
      </c>
      <c r="I2760" s="265" t="s">
        <v>359</v>
      </c>
      <c r="J2760" s="265" t="s">
        <v>102</v>
      </c>
      <c r="K2760" s="265" t="s">
        <v>6559</v>
      </c>
      <c r="L2760" s="348" t="s">
        <v>1205</v>
      </c>
      <c r="M2760" s="265" t="s">
        <v>6560</v>
      </c>
      <c r="N2760" s="347">
        <v>0.125</v>
      </c>
      <c r="O2760" s="348" t="s">
        <v>1205</v>
      </c>
      <c r="P2760" s="348">
        <v>0.125</v>
      </c>
      <c r="Q2760" s="348" t="s">
        <v>1205</v>
      </c>
    </row>
    <row r="2761" spans="1:17" ht="15" hidden="1" customHeight="1">
      <c r="A2761" s="163">
        <v>2769</v>
      </c>
      <c r="B2761" s="53" t="s">
        <v>45</v>
      </c>
      <c r="C2761" s="53" t="s">
        <v>6561</v>
      </c>
      <c r="D2761" s="53">
        <v>100028323</v>
      </c>
      <c r="E2761" s="55" t="s">
        <v>6562</v>
      </c>
      <c r="F2761" s="129">
        <v>1</v>
      </c>
      <c r="G2761" s="129" t="s">
        <v>2803</v>
      </c>
      <c r="H2761" s="512">
        <v>17.600000000000001</v>
      </c>
      <c r="I2761" s="265" t="s">
        <v>359</v>
      </c>
      <c r="J2761" s="265" t="s">
        <v>102</v>
      </c>
      <c r="K2761" s="265" t="s">
        <v>6563</v>
      </c>
      <c r="L2761" s="348" t="s">
        <v>1205</v>
      </c>
      <c r="M2761" s="265" t="s">
        <v>6564</v>
      </c>
      <c r="N2761" s="347">
        <v>0.28499999999999998</v>
      </c>
      <c r="O2761" s="348" t="s">
        <v>1205</v>
      </c>
      <c r="P2761" s="348">
        <v>0.28499999999999998</v>
      </c>
      <c r="Q2761" s="348" t="s">
        <v>1205</v>
      </c>
    </row>
    <row r="2762" spans="1:17" ht="15" hidden="1" customHeight="1">
      <c r="A2762" s="163">
        <v>2770</v>
      </c>
      <c r="B2762" s="53" t="s">
        <v>45</v>
      </c>
      <c r="C2762" s="53" t="s">
        <v>6565</v>
      </c>
      <c r="D2762" s="53">
        <v>100030528</v>
      </c>
      <c r="E2762" s="55" t="s">
        <v>6566</v>
      </c>
      <c r="F2762" s="129">
        <v>25</v>
      </c>
      <c r="G2762" s="129" t="s">
        <v>2803</v>
      </c>
      <c r="H2762" s="512">
        <v>16.64</v>
      </c>
      <c r="I2762" s="265" t="s">
        <v>76</v>
      </c>
      <c r="J2762" s="265" t="s">
        <v>102</v>
      </c>
      <c r="K2762" s="265" t="s">
        <v>6567</v>
      </c>
      <c r="L2762" s="348" t="s">
        <v>1205</v>
      </c>
      <c r="M2762" s="265" t="s">
        <v>6568</v>
      </c>
      <c r="N2762" s="347">
        <v>0.124</v>
      </c>
      <c r="O2762" s="348" t="s">
        <v>1205</v>
      </c>
      <c r="P2762" s="348">
        <v>0.124</v>
      </c>
      <c r="Q2762" s="348" t="s">
        <v>1205</v>
      </c>
    </row>
    <row r="2763" spans="1:17" ht="15" hidden="1" customHeight="1">
      <c r="A2763" s="163">
        <v>2771</v>
      </c>
      <c r="B2763" s="53" t="s">
        <v>45</v>
      </c>
      <c r="C2763" s="53" t="s">
        <v>6569</v>
      </c>
      <c r="D2763" s="53">
        <v>100028324</v>
      </c>
      <c r="E2763" s="55" t="s">
        <v>6570</v>
      </c>
      <c r="F2763" s="129">
        <v>1</v>
      </c>
      <c r="G2763" s="129" t="s">
        <v>2803</v>
      </c>
      <c r="H2763" s="512">
        <v>17.600000000000001</v>
      </c>
      <c r="I2763" s="265" t="s">
        <v>359</v>
      </c>
      <c r="J2763" s="265" t="s">
        <v>102</v>
      </c>
      <c r="K2763" s="265" t="s">
        <v>6571</v>
      </c>
      <c r="L2763" s="348" t="s">
        <v>1205</v>
      </c>
      <c r="M2763" s="265" t="s">
        <v>6572</v>
      </c>
      <c r="N2763" s="347">
        <v>0.19</v>
      </c>
      <c r="O2763" s="348" t="s">
        <v>1205</v>
      </c>
      <c r="P2763" s="348">
        <v>0.19</v>
      </c>
      <c r="Q2763" s="348" t="s">
        <v>1205</v>
      </c>
    </row>
    <row r="2764" spans="1:17" ht="15" hidden="1" customHeight="1">
      <c r="A2764" s="163">
        <v>2772</v>
      </c>
      <c r="B2764" s="53" t="s">
        <v>45</v>
      </c>
      <c r="C2764" s="53" t="s">
        <v>6573</v>
      </c>
      <c r="D2764" s="53">
        <v>100028325</v>
      </c>
      <c r="E2764" s="55" t="s">
        <v>6574</v>
      </c>
      <c r="F2764" s="129">
        <v>1</v>
      </c>
      <c r="G2764" s="129" t="s">
        <v>2803</v>
      </c>
      <c r="H2764" s="512">
        <v>16.809999999999999</v>
      </c>
      <c r="I2764" s="265" t="s">
        <v>76</v>
      </c>
      <c r="J2764" s="265" t="s">
        <v>102</v>
      </c>
      <c r="K2764" s="265" t="s">
        <v>6575</v>
      </c>
      <c r="L2764" s="348" t="s">
        <v>1205</v>
      </c>
      <c r="M2764" s="265" t="s">
        <v>6576</v>
      </c>
      <c r="N2764" s="347">
        <v>0.17</v>
      </c>
      <c r="O2764" s="348" t="s">
        <v>1205</v>
      </c>
      <c r="P2764" s="348">
        <v>0.17</v>
      </c>
      <c r="Q2764" s="348" t="s">
        <v>1205</v>
      </c>
    </row>
    <row r="2765" spans="1:17" ht="15" hidden="1" customHeight="1">
      <c r="A2765" s="163">
        <v>2773</v>
      </c>
      <c r="B2765" s="53" t="s">
        <v>45</v>
      </c>
      <c r="C2765" s="53" t="s">
        <v>6577</v>
      </c>
      <c r="D2765" s="53">
        <v>100028326</v>
      </c>
      <c r="E2765" s="55" t="s">
        <v>6578</v>
      </c>
      <c r="F2765" s="129">
        <v>1</v>
      </c>
      <c r="G2765" s="129" t="s">
        <v>2803</v>
      </c>
      <c r="H2765" s="512">
        <v>16.809999999999999</v>
      </c>
      <c r="I2765" s="265" t="s">
        <v>359</v>
      </c>
      <c r="J2765" s="265" t="s">
        <v>102</v>
      </c>
      <c r="K2765" s="265" t="s">
        <v>6579</v>
      </c>
      <c r="L2765" s="348" t="s">
        <v>1205</v>
      </c>
      <c r="M2765" s="265" t="s">
        <v>6580</v>
      </c>
      <c r="N2765" s="347">
        <v>0.2</v>
      </c>
      <c r="O2765" s="348" t="s">
        <v>1205</v>
      </c>
      <c r="P2765" s="348">
        <v>0.2</v>
      </c>
      <c r="Q2765" s="348" t="s">
        <v>1205</v>
      </c>
    </row>
    <row r="2766" spans="1:17" ht="15" hidden="1" customHeight="1">
      <c r="A2766" s="163">
        <v>2774</v>
      </c>
      <c r="B2766" s="53" t="s">
        <v>45</v>
      </c>
      <c r="C2766" s="53" t="s">
        <v>6581</v>
      </c>
      <c r="D2766" s="53">
        <v>100028328</v>
      </c>
      <c r="E2766" s="55" t="s">
        <v>6582</v>
      </c>
      <c r="F2766" s="129">
        <v>1</v>
      </c>
      <c r="G2766" s="129" t="s">
        <v>2803</v>
      </c>
      <c r="H2766" s="512">
        <v>17.440000000000001</v>
      </c>
      <c r="I2766" s="265" t="s">
        <v>359</v>
      </c>
      <c r="J2766" s="265" t="s">
        <v>102</v>
      </c>
      <c r="K2766" s="265" t="s">
        <v>6583</v>
      </c>
      <c r="L2766" s="348" t="s">
        <v>1205</v>
      </c>
      <c r="M2766" s="265" t="s">
        <v>6584</v>
      </c>
      <c r="N2766" s="347">
        <v>0.21</v>
      </c>
      <c r="O2766" s="348" t="s">
        <v>1205</v>
      </c>
      <c r="P2766" s="348">
        <v>0.21</v>
      </c>
      <c r="Q2766" s="348" t="s">
        <v>1205</v>
      </c>
    </row>
    <row r="2767" spans="1:17" ht="15" hidden="1" customHeight="1">
      <c r="A2767" s="163">
        <v>2775</v>
      </c>
      <c r="B2767" s="53" t="s">
        <v>45</v>
      </c>
      <c r="C2767" s="53" t="s">
        <v>6585</v>
      </c>
      <c r="D2767" s="53">
        <v>100028329</v>
      </c>
      <c r="E2767" s="55" t="s">
        <v>6586</v>
      </c>
      <c r="F2767" s="129">
        <v>1</v>
      </c>
      <c r="G2767" s="129" t="s">
        <v>2803</v>
      </c>
      <c r="H2767" s="512">
        <v>17.600000000000001</v>
      </c>
      <c r="I2767" s="265" t="s">
        <v>359</v>
      </c>
      <c r="J2767" s="265" t="s">
        <v>102</v>
      </c>
      <c r="K2767" s="265" t="s">
        <v>6587</v>
      </c>
      <c r="L2767" s="348" t="s">
        <v>1205</v>
      </c>
      <c r="M2767" s="265" t="s">
        <v>6588</v>
      </c>
      <c r="N2767" s="347">
        <v>0.28999999999999998</v>
      </c>
      <c r="O2767" s="348" t="s">
        <v>1205</v>
      </c>
      <c r="P2767" s="348">
        <v>0.28999999999999998</v>
      </c>
      <c r="Q2767" s="348" t="s">
        <v>1205</v>
      </c>
    </row>
    <row r="2768" spans="1:17" ht="15" hidden="1" customHeight="1">
      <c r="A2768" s="163">
        <v>2776</v>
      </c>
      <c r="B2768" s="53" t="s">
        <v>45</v>
      </c>
      <c r="C2768" s="53" t="s">
        <v>6589</v>
      </c>
      <c r="D2768" s="53">
        <v>100031048</v>
      </c>
      <c r="E2768" s="55" t="s">
        <v>6590</v>
      </c>
      <c r="F2768" s="129">
        <v>1</v>
      </c>
      <c r="G2768" s="129" t="s">
        <v>2803</v>
      </c>
      <c r="H2768" s="512">
        <v>16.809999999999999</v>
      </c>
      <c r="I2768" s="265" t="s">
        <v>76</v>
      </c>
      <c r="J2768" s="265" t="s">
        <v>102</v>
      </c>
      <c r="K2768" s="265" t="s">
        <v>6591</v>
      </c>
      <c r="L2768" s="348" t="s">
        <v>1205</v>
      </c>
      <c r="M2768" s="265" t="s">
        <v>6592</v>
      </c>
      <c r="N2768" s="347">
        <v>0.19500000000000001</v>
      </c>
      <c r="O2768" s="348" t="s">
        <v>1205</v>
      </c>
      <c r="P2768" s="348">
        <v>0.19500000000000001</v>
      </c>
      <c r="Q2768" s="348" t="s">
        <v>1205</v>
      </c>
    </row>
    <row r="2769" spans="1:17" ht="15" hidden="1" customHeight="1">
      <c r="A2769" s="163">
        <v>2777</v>
      </c>
      <c r="B2769" s="53" t="s">
        <v>45</v>
      </c>
      <c r="C2769" s="53" t="s">
        <v>6593</v>
      </c>
      <c r="D2769" s="53">
        <v>100028331</v>
      </c>
      <c r="E2769" s="55" t="s">
        <v>6594</v>
      </c>
      <c r="F2769" s="129">
        <v>1</v>
      </c>
      <c r="G2769" s="129" t="s">
        <v>2803</v>
      </c>
      <c r="H2769" s="512">
        <v>34.18</v>
      </c>
      <c r="I2769" s="265" t="s">
        <v>76</v>
      </c>
      <c r="J2769" s="265" t="s">
        <v>102</v>
      </c>
      <c r="K2769" s="265" t="s">
        <v>6595</v>
      </c>
      <c r="L2769" s="348" t="s">
        <v>1205</v>
      </c>
      <c r="M2769" s="265" t="s">
        <v>6596</v>
      </c>
      <c r="N2769" s="347">
        <v>0.26400000000000001</v>
      </c>
      <c r="O2769" s="348" t="s">
        <v>1205</v>
      </c>
      <c r="P2769" s="348">
        <v>0.26400000000000001</v>
      </c>
      <c r="Q2769" s="348" t="s">
        <v>1205</v>
      </c>
    </row>
    <row r="2770" spans="1:17" ht="15" hidden="1" customHeight="1">
      <c r="A2770" s="163">
        <v>2778</v>
      </c>
      <c r="B2770" s="53" t="s">
        <v>45</v>
      </c>
      <c r="C2770" s="53" t="s">
        <v>6597</v>
      </c>
      <c r="D2770" s="53">
        <v>100028332</v>
      </c>
      <c r="E2770" s="55" t="s">
        <v>6598</v>
      </c>
      <c r="F2770" s="129">
        <v>1</v>
      </c>
      <c r="G2770" s="129" t="s">
        <v>2803</v>
      </c>
      <c r="H2770" s="512">
        <v>42.11</v>
      </c>
      <c r="I2770" s="265" t="s">
        <v>359</v>
      </c>
      <c r="J2770" s="265" t="s">
        <v>102</v>
      </c>
      <c r="K2770" s="265" t="s">
        <v>6599</v>
      </c>
      <c r="L2770" s="348" t="s">
        <v>1205</v>
      </c>
      <c r="M2770" s="265" t="s">
        <v>6600</v>
      </c>
      <c r="N2770" s="347">
        <v>0.37</v>
      </c>
      <c r="O2770" s="348" t="s">
        <v>1205</v>
      </c>
      <c r="P2770" s="348">
        <v>0.37</v>
      </c>
      <c r="Q2770" s="348" t="s">
        <v>1205</v>
      </c>
    </row>
    <row r="2771" spans="1:17" ht="15" hidden="1" customHeight="1">
      <c r="A2771" s="163">
        <v>2779</v>
      </c>
      <c r="B2771" s="53" t="s">
        <v>45</v>
      </c>
      <c r="C2771" s="53" t="s">
        <v>6601</v>
      </c>
      <c r="D2771" s="53">
        <v>100028333</v>
      </c>
      <c r="E2771" s="55" t="s">
        <v>6602</v>
      </c>
      <c r="F2771" s="129">
        <v>1</v>
      </c>
      <c r="G2771" s="129" t="s">
        <v>2803</v>
      </c>
      <c r="H2771" s="512">
        <v>50.15</v>
      </c>
      <c r="I2771" s="265" t="s">
        <v>76</v>
      </c>
      <c r="J2771" s="265" t="s">
        <v>102</v>
      </c>
      <c r="K2771" s="265" t="s">
        <v>6603</v>
      </c>
      <c r="L2771" s="348" t="s">
        <v>1205</v>
      </c>
      <c r="M2771" s="265" t="s">
        <v>6604</v>
      </c>
      <c r="N2771" s="347">
        <v>0.47499999999999998</v>
      </c>
      <c r="O2771" s="348" t="s">
        <v>1205</v>
      </c>
      <c r="P2771" s="348">
        <v>0.47499999999999998</v>
      </c>
      <c r="Q2771" s="348" t="s">
        <v>1205</v>
      </c>
    </row>
    <row r="2772" spans="1:17" ht="15" hidden="1" customHeight="1">
      <c r="A2772" s="163">
        <v>2780</v>
      </c>
      <c r="B2772" s="53" t="s">
        <v>45</v>
      </c>
      <c r="C2772" s="53" t="s">
        <v>6605</v>
      </c>
      <c r="D2772" s="53">
        <v>100028334</v>
      </c>
      <c r="E2772" s="55" t="s">
        <v>6606</v>
      </c>
      <c r="F2772" s="129">
        <v>1</v>
      </c>
      <c r="G2772" s="129" t="s">
        <v>2803</v>
      </c>
      <c r="H2772" s="512">
        <v>42.11</v>
      </c>
      <c r="I2772" s="265" t="s">
        <v>76</v>
      </c>
      <c r="J2772" s="265" t="s">
        <v>102</v>
      </c>
      <c r="K2772" s="265" t="s">
        <v>6607</v>
      </c>
      <c r="L2772" s="348" t="s">
        <v>1205</v>
      </c>
      <c r="M2772" s="265" t="s">
        <v>6608</v>
      </c>
      <c r="N2772" s="347">
        <v>0.28000000000000003</v>
      </c>
      <c r="O2772" s="348" t="s">
        <v>1205</v>
      </c>
      <c r="P2772" s="348">
        <v>0.28000000000000003</v>
      </c>
      <c r="Q2772" s="348" t="s">
        <v>1205</v>
      </c>
    </row>
    <row r="2773" spans="1:17" ht="15" hidden="1" customHeight="1">
      <c r="A2773" s="163">
        <v>2781</v>
      </c>
      <c r="B2773" s="53" t="s">
        <v>45</v>
      </c>
      <c r="C2773" s="53" t="s">
        <v>6609</v>
      </c>
      <c r="D2773" s="53">
        <v>100028335</v>
      </c>
      <c r="E2773" s="55" t="s">
        <v>6610</v>
      </c>
      <c r="F2773" s="129">
        <v>1</v>
      </c>
      <c r="G2773" s="129" t="s">
        <v>2803</v>
      </c>
      <c r="H2773" s="512">
        <v>50.15</v>
      </c>
      <c r="I2773" s="265" t="s">
        <v>76</v>
      </c>
      <c r="J2773" s="265" t="s">
        <v>102</v>
      </c>
      <c r="K2773" s="265" t="s">
        <v>6611</v>
      </c>
      <c r="L2773" s="348" t="s">
        <v>1205</v>
      </c>
      <c r="M2773" s="265" t="s">
        <v>6612</v>
      </c>
      <c r="N2773" s="347">
        <v>0.30599999999999999</v>
      </c>
      <c r="O2773" s="348" t="s">
        <v>1205</v>
      </c>
      <c r="P2773" s="348">
        <v>0.30599999999999999</v>
      </c>
      <c r="Q2773" s="348" t="s">
        <v>1205</v>
      </c>
    </row>
    <row r="2774" spans="1:17" ht="15" hidden="1" customHeight="1">
      <c r="A2774" s="163">
        <v>2782</v>
      </c>
      <c r="B2774" s="53" t="s">
        <v>45</v>
      </c>
      <c r="C2774" s="53" t="s">
        <v>6613</v>
      </c>
      <c r="D2774" s="53">
        <v>100028336</v>
      </c>
      <c r="E2774" s="55" t="s">
        <v>6614</v>
      </c>
      <c r="F2774" s="129">
        <v>1</v>
      </c>
      <c r="G2774" s="129" t="s">
        <v>2803</v>
      </c>
      <c r="H2774" s="512">
        <v>42.11</v>
      </c>
      <c r="I2774" s="265" t="s">
        <v>76</v>
      </c>
      <c r="J2774" s="265" t="s">
        <v>102</v>
      </c>
      <c r="K2774" s="265" t="s">
        <v>6615</v>
      </c>
      <c r="L2774" s="348" t="s">
        <v>1205</v>
      </c>
      <c r="M2774" s="265" t="s">
        <v>6616</v>
      </c>
      <c r="N2774" s="347">
        <v>0.39500000000000002</v>
      </c>
      <c r="O2774" s="348" t="s">
        <v>1205</v>
      </c>
      <c r="P2774" s="348">
        <v>0.39500000000000002</v>
      </c>
      <c r="Q2774" s="348" t="s">
        <v>1205</v>
      </c>
    </row>
    <row r="2775" spans="1:17" ht="15" hidden="1" customHeight="1">
      <c r="A2775" s="163">
        <v>2783</v>
      </c>
      <c r="B2775" s="53" t="s">
        <v>45</v>
      </c>
      <c r="C2775" s="53" t="s">
        <v>6617</v>
      </c>
      <c r="D2775" s="53">
        <v>100028337</v>
      </c>
      <c r="E2775" s="55" t="s">
        <v>6618</v>
      </c>
      <c r="F2775" s="129">
        <v>1</v>
      </c>
      <c r="G2775" s="129" t="s">
        <v>2803</v>
      </c>
      <c r="H2775" s="512">
        <v>50.15</v>
      </c>
      <c r="I2775" s="265" t="s">
        <v>359</v>
      </c>
      <c r="J2775" s="265" t="s">
        <v>102</v>
      </c>
      <c r="K2775" s="265" t="s">
        <v>6619</v>
      </c>
      <c r="L2775" s="348" t="s">
        <v>1205</v>
      </c>
      <c r="M2775" s="265" t="s">
        <v>6620</v>
      </c>
      <c r="N2775" s="347">
        <v>0.40300000000000002</v>
      </c>
      <c r="O2775" s="348" t="s">
        <v>1205</v>
      </c>
      <c r="P2775" s="348">
        <v>0.40300000000000002</v>
      </c>
      <c r="Q2775" s="348" t="s">
        <v>1205</v>
      </c>
    </row>
    <row r="2776" spans="1:17" ht="15" hidden="1" customHeight="1">
      <c r="A2776" s="163">
        <v>2784</v>
      </c>
      <c r="B2776" s="53" t="s">
        <v>45</v>
      </c>
      <c r="C2776" s="53" t="s">
        <v>6621</v>
      </c>
      <c r="D2776" s="53">
        <v>100028338</v>
      </c>
      <c r="E2776" s="55" t="s">
        <v>6622</v>
      </c>
      <c r="F2776" s="129">
        <v>1</v>
      </c>
      <c r="G2776" s="129" t="s">
        <v>2803</v>
      </c>
      <c r="H2776" s="512">
        <v>44.41</v>
      </c>
      <c r="I2776" s="265" t="s">
        <v>76</v>
      </c>
      <c r="J2776" s="265" t="s">
        <v>102</v>
      </c>
      <c r="K2776" s="265" t="s">
        <v>6623</v>
      </c>
      <c r="L2776" s="348" t="s">
        <v>1205</v>
      </c>
      <c r="M2776" s="265" t="s">
        <v>6624</v>
      </c>
      <c r="N2776" s="347">
        <v>0.503</v>
      </c>
      <c r="O2776" s="348" t="s">
        <v>1205</v>
      </c>
      <c r="P2776" s="348">
        <v>0.503</v>
      </c>
      <c r="Q2776" s="348" t="s">
        <v>1205</v>
      </c>
    </row>
    <row r="2777" spans="1:17" ht="15" hidden="1" customHeight="1">
      <c r="A2777" s="163">
        <v>2785</v>
      </c>
      <c r="B2777" s="53" t="s">
        <v>45</v>
      </c>
      <c r="C2777" s="53" t="s">
        <v>6625</v>
      </c>
      <c r="D2777" s="53">
        <v>100028339</v>
      </c>
      <c r="E2777" s="55" t="s">
        <v>6626</v>
      </c>
      <c r="F2777" s="129">
        <v>1</v>
      </c>
      <c r="G2777" s="129" t="s">
        <v>2803</v>
      </c>
      <c r="H2777" s="512">
        <v>50.15</v>
      </c>
      <c r="I2777" s="265" t="s">
        <v>76</v>
      </c>
      <c r="J2777" s="265" t="s">
        <v>102</v>
      </c>
      <c r="K2777" s="265" t="s">
        <v>6627</v>
      </c>
      <c r="L2777" s="348" t="s">
        <v>1205</v>
      </c>
      <c r="M2777" s="265" t="s">
        <v>6628</v>
      </c>
      <c r="N2777" s="347">
        <v>0.46</v>
      </c>
      <c r="O2777" s="348" t="s">
        <v>1205</v>
      </c>
      <c r="P2777" s="348">
        <v>0.46</v>
      </c>
      <c r="Q2777" s="348" t="s">
        <v>1205</v>
      </c>
    </row>
    <row r="2778" spans="1:17" ht="15" hidden="1" customHeight="1">
      <c r="A2778" s="163">
        <v>2786</v>
      </c>
      <c r="B2778" s="53" t="s">
        <v>45</v>
      </c>
      <c r="C2778" s="53" t="s">
        <v>6629</v>
      </c>
      <c r="D2778" s="53">
        <v>100027317</v>
      </c>
      <c r="E2778" s="55" t="s">
        <v>6630</v>
      </c>
      <c r="F2778" s="129">
        <v>1</v>
      </c>
      <c r="G2778" s="129" t="s">
        <v>2803</v>
      </c>
      <c r="H2778" s="512">
        <v>37.909999999999997</v>
      </c>
      <c r="I2778" s="265" t="s">
        <v>359</v>
      </c>
      <c r="J2778" s="265" t="s">
        <v>102</v>
      </c>
      <c r="K2778" s="265" t="s">
        <v>6631</v>
      </c>
      <c r="L2778" s="348" t="s">
        <v>1205</v>
      </c>
      <c r="M2778" s="265" t="s">
        <v>6632</v>
      </c>
      <c r="N2778" s="347">
        <v>0.68500000000000005</v>
      </c>
      <c r="O2778" s="348" t="s">
        <v>1205</v>
      </c>
      <c r="P2778" s="348">
        <v>0.68500000000000005</v>
      </c>
      <c r="Q2778" s="348" t="s">
        <v>1205</v>
      </c>
    </row>
    <row r="2779" spans="1:17" ht="15" hidden="1" customHeight="1">
      <c r="A2779" s="163">
        <v>2787</v>
      </c>
      <c r="B2779" s="53" t="s">
        <v>45</v>
      </c>
      <c r="C2779" s="53" t="s">
        <v>6633</v>
      </c>
      <c r="D2779" s="53">
        <v>100027318</v>
      </c>
      <c r="E2779" s="55" t="s">
        <v>6634</v>
      </c>
      <c r="F2779" s="129">
        <v>1</v>
      </c>
      <c r="G2779" s="129" t="s">
        <v>2803</v>
      </c>
      <c r="H2779" s="512">
        <v>37.909999999999997</v>
      </c>
      <c r="I2779" s="265" t="s">
        <v>359</v>
      </c>
      <c r="J2779" s="265" t="s">
        <v>102</v>
      </c>
      <c r="K2779" s="265" t="s">
        <v>6635</v>
      </c>
      <c r="L2779" s="348" t="s">
        <v>1205</v>
      </c>
      <c r="M2779" s="265" t="s">
        <v>6636</v>
      </c>
      <c r="N2779" s="347">
        <v>0.57899999999999996</v>
      </c>
      <c r="O2779" s="348" t="s">
        <v>1205</v>
      </c>
      <c r="P2779" s="348">
        <v>0.57899999999999996</v>
      </c>
      <c r="Q2779" s="348" t="s">
        <v>1205</v>
      </c>
    </row>
    <row r="2780" spans="1:17" ht="15" hidden="1" customHeight="1">
      <c r="A2780" s="163">
        <v>2788</v>
      </c>
      <c r="B2780" s="53" t="s">
        <v>45</v>
      </c>
      <c r="C2780" s="53" t="s">
        <v>6637</v>
      </c>
      <c r="D2780" s="53">
        <v>100027319</v>
      </c>
      <c r="E2780" s="55" t="s">
        <v>6638</v>
      </c>
      <c r="F2780" s="129">
        <v>1</v>
      </c>
      <c r="G2780" s="129" t="s">
        <v>2803</v>
      </c>
      <c r="H2780" s="512">
        <v>37.909999999999997</v>
      </c>
      <c r="I2780" s="265" t="s">
        <v>76</v>
      </c>
      <c r="J2780" s="265" t="s">
        <v>102</v>
      </c>
      <c r="K2780" s="265" t="s">
        <v>6639</v>
      </c>
      <c r="L2780" s="348" t="s">
        <v>1205</v>
      </c>
      <c r="M2780" s="265" t="s">
        <v>6640</v>
      </c>
      <c r="N2780" s="347">
        <v>0.73</v>
      </c>
      <c r="O2780" s="348" t="s">
        <v>1205</v>
      </c>
      <c r="P2780" s="348">
        <v>0.73</v>
      </c>
      <c r="Q2780" s="348" t="s">
        <v>1205</v>
      </c>
    </row>
    <row r="2781" spans="1:17" ht="15" hidden="1" customHeight="1">
      <c r="A2781" s="163">
        <v>2789</v>
      </c>
      <c r="B2781" s="53" t="s">
        <v>45</v>
      </c>
      <c r="C2781" s="53" t="s">
        <v>6641</v>
      </c>
      <c r="D2781" s="53">
        <v>100027326</v>
      </c>
      <c r="E2781" s="55" t="s">
        <v>6642</v>
      </c>
      <c r="F2781" s="129">
        <v>1</v>
      </c>
      <c r="G2781" s="129" t="s">
        <v>2803</v>
      </c>
      <c r="H2781" s="512">
        <v>37.909999999999997</v>
      </c>
      <c r="I2781" s="265" t="s">
        <v>76</v>
      </c>
      <c r="J2781" s="265" t="s">
        <v>102</v>
      </c>
      <c r="K2781" s="265" t="s">
        <v>6643</v>
      </c>
      <c r="L2781" s="348" t="s">
        <v>1205</v>
      </c>
      <c r="M2781" s="265" t="s">
        <v>6644</v>
      </c>
      <c r="N2781" s="347">
        <v>0.68500000000000005</v>
      </c>
      <c r="O2781" s="348" t="s">
        <v>1205</v>
      </c>
      <c r="P2781" s="348">
        <v>0.68500000000000005</v>
      </c>
      <c r="Q2781" s="348" t="s">
        <v>1205</v>
      </c>
    </row>
    <row r="2782" spans="1:17" ht="15" hidden="1" customHeight="1">
      <c r="A2782" s="163">
        <v>2790</v>
      </c>
      <c r="B2782" s="53" t="s">
        <v>45</v>
      </c>
      <c r="C2782" s="53" t="s">
        <v>6645</v>
      </c>
      <c r="D2782" s="53">
        <v>100027327</v>
      </c>
      <c r="E2782" s="55" t="s">
        <v>6646</v>
      </c>
      <c r="F2782" s="129">
        <v>1</v>
      </c>
      <c r="G2782" s="129" t="s">
        <v>2803</v>
      </c>
      <c r="H2782" s="512">
        <v>37.909999999999997</v>
      </c>
      <c r="I2782" s="265" t="s">
        <v>76</v>
      </c>
      <c r="J2782" s="265" t="s">
        <v>102</v>
      </c>
      <c r="K2782" s="265" t="s">
        <v>6647</v>
      </c>
      <c r="L2782" s="348" t="s">
        <v>1205</v>
      </c>
      <c r="M2782" s="265" t="s">
        <v>6648</v>
      </c>
      <c r="N2782" s="347">
        <v>0.57899999999999996</v>
      </c>
      <c r="O2782" s="348" t="s">
        <v>1205</v>
      </c>
      <c r="P2782" s="348">
        <v>0.57899999999999996</v>
      </c>
      <c r="Q2782" s="348" t="s">
        <v>1205</v>
      </c>
    </row>
    <row r="2783" spans="1:17" ht="15" hidden="1" customHeight="1">
      <c r="A2783" s="163">
        <v>2791</v>
      </c>
      <c r="B2783" s="53" t="s">
        <v>45</v>
      </c>
      <c r="C2783" s="53" t="s">
        <v>6649</v>
      </c>
      <c r="D2783" s="53">
        <v>100027328</v>
      </c>
      <c r="E2783" s="55" t="s">
        <v>6650</v>
      </c>
      <c r="F2783" s="129">
        <v>50</v>
      </c>
      <c r="G2783" s="129" t="s">
        <v>2803</v>
      </c>
      <c r="H2783" s="512">
        <v>37.909999999999997</v>
      </c>
      <c r="I2783" s="265" t="s">
        <v>76</v>
      </c>
      <c r="J2783" s="265" t="s">
        <v>102</v>
      </c>
      <c r="K2783" s="265" t="s">
        <v>6651</v>
      </c>
      <c r="L2783" s="348" t="s">
        <v>1205</v>
      </c>
      <c r="M2783" s="265" t="s">
        <v>6652</v>
      </c>
      <c r="N2783" s="347">
        <v>0.80500000000000005</v>
      </c>
      <c r="O2783" s="348" t="s">
        <v>1205</v>
      </c>
      <c r="P2783" s="348">
        <v>0.80500000000000005</v>
      </c>
      <c r="Q2783" s="348" t="s">
        <v>1205</v>
      </c>
    </row>
    <row r="2784" spans="1:17" ht="15" hidden="1" customHeight="1">
      <c r="A2784" s="163">
        <v>2792</v>
      </c>
      <c r="B2784" s="53" t="s">
        <v>45</v>
      </c>
      <c r="C2784" s="53" t="s">
        <v>6653</v>
      </c>
      <c r="D2784" s="53">
        <v>100031693</v>
      </c>
      <c r="E2784" s="55" t="s">
        <v>6654</v>
      </c>
      <c r="F2784" s="129">
        <v>50</v>
      </c>
      <c r="G2784" s="129" t="s">
        <v>2803</v>
      </c>
      <c r="H2784" s="512">
        <v>66.36</v>
      </c>
      <c r="I2784" s="265" t="s">
        <v>76</v>
      </c>
      <c r="J2784" s="265" t="s">
        <v>102</v>
      </c>
      <c r="K2784" s="265">
        <v>0</v>
      </c>
      <c r="L2784" s="348" t="s">
        <v>1205</v>
      </c>
      <c r="M2784" s="265">
        <v>0</v>
      </c>
      <c r="N2784" s="347">
        <v>1.2150000000000001</v>
      </c>
      <c r="O2784" s="348" t="s">
        <v>1205</v>
      </c>
      <c r="P2784" s="348">
        <v>1.2150000000000001</v>
      </c>
      <c r="Q2784" s="348" t="s">
        <v>1205</v>
      </c>
    </row>
    <row r="2785" spans="1:17" ht="15" hidden="1" customHeight="1">
      <c r="A2785" s="163">
        <v>2793</v>
      </c>
      <c r="B2785" s="53" t="s">
        <v>45</v>
      </c>
      <c r="C2785" s="53" t="s">
        <v>6655</v>
      </c>
      <c r="D2785" s="53">
        <v>100031694</v>
      </c>
      <c r="E2785" s="55" t="s">
        <v>6656</v>
      </c>
      <c r="F2785" s="129">
        <v>50</v>
      </c>
      <c r="G2785" s="129" t="s">
        <v>2803</v>
      </c>
      <c r="H2785" s="512">
        <v>66.94</v>
      </c>
      <c r="I2785" s="265" t="s">
        <v>76</v>
      </c>
      <c r="J2785" s="265" t="s">
        <v>102</v>
      </c>
      <c r="K2785" s="265">
        <v>0</v>
      </c>
      <c r="L2785" s="348" t="s">
        <v>1205</v>
      </c>
      <c r="M2785" s="265">
        <v>0</v>
      </c>
      <c r="N2785" s="347">
        <v>1.2789999999999999</v>
      </c>
      <c r="O2785" s="348" t="s">
        <v>1205</v>
      </c>
      <c r="P2785" s="348">
        <v>1.2789999999999999</v>
      </c>
      <c r="Q2785" s="348" t="s">
        <v>1205</v>
      </c>
    </row>
    <row r="2786" spans="1:17" ht="15" hidden="1" customHeight="1">
      <c r="A2786" s="163">
        <v>2794</v>
      </c>
      <c r="B2786" s="53" t="s">
        <v>45</v>
      </c>
      <c r="C2786" s="53" t="s">
        <v>6657</v>
      </c>
      <c r="D2786" s="53">
        <v>100031695</v>
      </c>
      <c r="E2786" s="55" t="s">
        <v>6658</v>
      </c>
      <c r="F2786" s="129">
        <v>50</v>
      </c>
      <c r="G2786" s="129" t="s">
        <v>2803</v>
      </c>
      <c r="H2786" s="512">
        <v>68.09</v>
      </c>
      <c r="I2786" s="265" t="s">
        <v>76</v>
      </c>
      <c r="J2786" s="265" t="s">
        <v>102</v>
      </c>
      <c r="K2786" s="265">
        <v>0</v>
      </c>
      <c r="L2786" s="348" t="s">
        <v>1205</v>
      </c>
      <c r="M2786" s="265">
        <v>0</v>
      </c>
      <c r="N2786" s="347">
        <v>1.3109999999999999</v>
      </c>
      <c r="O2786" s="348" t="s">
        <v>1205</v>
      </c>
      <c r="P2786" s="348">
        <v>1.3109999999999999</v>
      </c>
      <c r="Q2786" s="348" t="s">
        <v>1205</v>
      </c>
    </row>
    <row r="2787" spans="1:17" ht="15" hidden="1" customHeight="1">
      <c r="A2787" s="163">
        <v>2795</v>
      </c>
      <c r="B2787" s="53" t="s">
        <v>45</v>
      </c>
      <c r="C2787" s="53" t="s">
        <v>6659</v>
      </c>
      <c r="D2787" s="53">
        <v>100031696</v>
      </c>
      <c r="E2787" s="55" t="s">
        <v>6660</v>
      </c>
      <c r="F2787" s="129">
        <v>50</v>
      </c>
      <c r="G2787" s="129" t="s">
        <v>2803</v>
      </c>
      <c r="H2787" s="512">
        <v>66.760000000000005</v>
      </c>
      <c r="I2787" s="265" t="s">
        <v>76</v>
      </c>
      <c r="J2787" s="265" t="s">
        <v>102</v>
      </c>
      <c r="K2787" s="265">
        <v>0</v>
      </c>
      <c r="L2787" s="348" t="s">
        <v>1205</v>
      </c>
      <c r="M2787" s="265">
        <v>0</v>
      </c>
      <c r="N2787" s="347">
        <v>1.329</v>
      </c>
      <c r="O2787" s="348" t="s">
        <v>1205</v>
      </c>
      <c r="P2787" s="348">
        <v>1.329</v>
      </c>
      <c r="Q2787" s="348" t="s">
        <v>1205</v>
      </c>
    </row>
    <row r="2788" spans="1:17" ht="15" hidden="1" customHeight="1">
      <c r="A2788" s="163">
        <v>2796</v>
      </c>
      <c r="B2788" s="53" t="s">
        <v>45</v>
      </c>
      <c r="C2788" s="53" t="s">
        <v>6661</v>
      </c>
      <c r="D2788" s="53">
        <v>100031697</v>
      </c>
      <c r="E2788" s="55" t="s">
        <v>6662</v>
      </c>
      <c r="F2788" s="129">
        <v>50</v>
      </c>
      <c r="G2788" s="129" t="s">
        <v>2803</v>
      </c>
      <c r="H2788" s="512">
        <v>68.400000000000006</v>
      </c>
      <c r="I2788" s="265" t="s">
        <v>76</v>
      </c>
      <c r="J2788" s="265" t="s">
        <v>102</v>
      </c>
      <c r="K2788" s="265">
        <v>0</v>
      </c>
      <c r="L2788" s="348" t="s">
        <v>1205</v>
      </c>
      <c r="M2788" s="265">
        <v>0</v>
      </c>
      <c r="N2788" s="347">
        <v>1.329</v>
      </c>
      <c r="O2788" s="348" t="s">
        <v>1205</v>
      </c>
      <c r="P2788" s="348">
        <v>1.329</v>
      </c>
      <c r="Q2788" s="348" t="s">
        <v>1205</v>
      </c>
    </row>
    <row r="2789" spans="1:17" ht="15" hidden="1" customHeight="1">
      <c r="A2789" s="163">
        <v>2797</v>
      </c>
      <c r="B2789" s="53" t="s">
        <v>45</v>
      </c>
      <c r="C2789" s="53" t="s">
        <v>6663</v>
      </c>
      <c r="D2789" s="53">
        <v>100028343</v>
      </c>
      <c r="E2789" s="55" t="s">
        <v>6664</v>
      </c>
      <c r="F2789" s="129">
        <v>1</v>
      </c>
      <c r="G2789" s="129" t="s">
        <v>2803</v>
      </c>
      <c r="H2789" s="512">
        <v>14.82</v>
      </c>
      <c r="I2789" s="265" t="s">
        <v>359</v>
      </c>
      <c r="J2789" s="265" t="s">
        <v>102</v>
      </c>
      <c r="K2789" s="265" t="s">
        <v>6665</v>
      </c>
      <c r="L2789" s="348" t="s">
        <v>1205</v>
      </c>
      <c r="M2789" s="265" t="s">
        <v>6666</v>
      </c>
      <c r="N2789" s="347">
        <v>0.1</v>
      </c>
      <c r="O2789" s="348" t="s">
        <v>1205</v>
      </c>
      <c r="P2789" s="348">
        <v>0.1</v>
      </c>
      <c r="Q2789" s="348" t="s">
        <v>1205</v>
      </c>
    </row>
    <row r="2790" spans="1:17" ht="15" hidden="1" customHeight="1">
      <c r="A2790" s="163">
        <v>2798</v>
      </c>
      <c r="B2790" s="53" t="s">
        <v>45</v>
      </c>
      <c r="C2790" s="53" t="s">
        <v>6667</v>
      </c>
      <c r="D2790" s="53">
        <v>100028344</v>
      </c>
      <c r="E2790" s="55" t="s">
        <v>6668</v>
      </c>
      <c r="F2790" s="129">
        <v>1</v>
      </c>
      <c r="G2790" s="129" t="s">
        <v>2803</v>
      </c>
      <c r="H2790" s="512">
        <v>18.18</v>
      </c>
      <c r="I2790" s="265" t="s">
        <v>359</v>
      </c>
      <c r="J2790" s="265" t="s">
        <v>102</v>
      </c>
      <c r="K2790" s="265" t="s">
        <v>6669</v>
      </c>
      <c r="L2790" s="348" t="s">
        <v>1205</v>
      </c>
      <c r="M2790" s="265" t="s">
        <v>6670</v>
      </c>
      <c r="N2790" s="347">
        <v>0.13</v>
      </c>
      <c r="O2790" s="348" t="s">
        <v>1205</v>
      </c>
      <c r="P2790" s="348">
        <v>0.13</v>
      </c>
      <c r="Q2790" s="348" t="s">
        <v>1205</v>
      </c>
    </row>
    <row r="2791" spans="1:17" ht="15" hidden="1" customHeight="1">
      <c r="A2791" s="163">
        <v>2799</v>
      </c>
      <c r="B2791" s="53" t="s">
        <v>45</v>
      </c>
      <c r="C2791" s="53" t="s">
        <v>6671</v>
      </c>
      <c r="D2791" s="53">
        <v>100028345</v>
      </c>
      <c r="E2791" s="55" t="s">
        <v>6672</v>
      </c>
      <c r="F2791" s="129">
        <v>1</v>
      </c>
      <c r="G2791" s="129" t="s">
        <v>2803</v>
      </c>
      <c r="H2791" s="512">
        <v>24</v>
      </c>
      <c r="I2791" s="265" t="s">
        <v>359</v>
      </c>
      <c r="J2791" s="265" t="s">
        <v>102</v>
      </c>
      <c r="K2791" s="265" t="s">
        <v>6673</v>
      </c>
      <c r="L2791" s="348" t="s">
        <v>1205</v>
      </c>
      <c r="M2791" s="265" t="s">
        <v>6674</v>
      </c>
      <c r="N2791" s="347">
        <v>0.215</v>
      </c>
      <c r="O2791" s="348" t="s">
        <v>1205</v>
      </c>
      <c r="P2791" s="348">
        <v>0.215</v>
      </c>
      <c r="Q2791" s="348" t="s">
        <v>1205</v>
      </c>
    </row>
    <row r="2792" spans="1:17" ht="15" hidden="1" customHeight="1">
      <c r="A2792" s="163">
        <v>2800</v>
      </c>
      <c r="B2792" s="53" t="s">
        <v>45</v>
      </c>
      <c r="C2792" s="53" t="s">
        <v>6675</v>
      </c>
      <c r="D2792" s="53">
        <v>100028346</v>
      </c>
      <c r="E2792" s="55" t="s">
        <v>6676</v>
      </c>
      <c r="F2792" s="129">
        <v>1</v>
      </c>
      <c r="G2792" s="129" t="s">
        <v>2803</v>
      </c>
      <c r="H2792" s="512">
        <v>16.36</v>
      </c>
      <c r="I2792" s="265" t="s">
        <v>359</v>
      </c>
      <c r="J2792" s="265" t="s">
        <v>102</v>
      </c>
      <c r="K2792" s="265" t="s">
        <v>6677</v>
      </c>
      <c r="L2792" s="348" t="s">
        <v>1205</v>
      </c>
      <c r="M2792" s="265" t="s">
        <v>6678</v>
      </c>
      <c r="N2792" s="347">
        <v>0.15</v>
      </c>
      <c r="O2792" s="348" t="s">
        <v>1205</v>
      </c>
      <c r="P2792" s="348">
        <v>0.15</v>
      </c>
      <c r="Q2792" s="348" t="s">
        <v>1205</v>
      </c>
    </row>
    <row r="2793" spans="1:17" ht="15" hidden="1" customHeight="1">
      <c r="A2793" s="163">
        <v>2801</v>
      </c>
      <c r="B2793" s="53" t="s">
        <v>45</v>
      </c>
      <c r="C2793" s="53" t="s">
        <v>6679</v>
      </c>
      <c r="D2793" s="53">
        <v>100028347</v>
      </c>
      <c r="E2793" s="55" t="s">
        <v>6680</v>
      </c>
      <c r="F2793" s="129">
        <v>1</v>
      </c>
      <c r="G2793" s="129" t="s">
        <v>2803</v>
      </c>
      <c r="H2793" s="512">
        <v>17.190000000000001</v>
      </c>
      <c r="I2793" s="265" t="s">
        <v>359</v>
      </c>
      <c r="J2793" s="265" t="s">
        <v>102</v>
      </c>
      <c r="K2793" s="265" t="s">
        <v>6681</v>
      </c>
      <c r="L2793" s="348" t="s">
        <v>1205</v>
      </c>
      <c r="M2793" s="265" t="s">
        <v>6682</v>
      </c>
      <c r="N2793" s="347">
        <v>0.14499999999999999</v>
      </c>
      <c r="O2793" s="348" t="s">
        <v>1205</v>
      </c>
      <c r="P2793" s="348">
        <v>0.14499999999999999</v>
      </c>
      <c r="Q2793" s="348" t="s">
        <v>1205</v>
      </c>
    </row>
    <row r="2794" spans="1:17" ht="15" hidden="1" customHeight="1">
      <c r="A2794" s="163">
        <v>2802</v>
      </c>
      <c r="B2794" s="53" t="s">
        <v>45</v>
      </c>
      <c r="C2794" s="53" t="s">
        <v>6683</v>
      </c>
      <c r="D2794" s="53">
        <v>100028348</v>
      </c>
      <c r="E2794" s="55" t="s">
        <v>6684</v>
      </c>
      <c r="F2794" s="129">
        <v>1</v>
      </c>
      <c r="G2794" s="129" t="s">
        <v>2803</v>
      </c>
      <c r="H2794" s="512">
        <v>14.03</v>
      </c>
      <c r="I2794" s="265" t="s">
        <v>76</v>
      </c>
      <c r="J2794" s="265" t="s">
        <v>102</v>
      </c>
      <c r="K2794" s="265" t="s">
        <v>6685</v>
      </c>
      <c r="L2794" s="348" t="s">
        <v>1205</v>
      </c>
      <c r="M2794" s="265" t="s">
        <v>6686</v>
      </c>
      <c r="N2794" s="347">
        <v>0.12</v>
      </c>
      <c r="O2794" s="348" t="s">
        <v>1205</v>
      </c>
      <c r="P2794" s="348">
        <v>0.12</v>
      </c>
      <c r="Q2794" s="348" t="s">
        <v>1205</v>
      </c>
    </row>
    <row r="2795" spans="1:17" ht="15" hidden="1" customHeight="1">
      <c r="A2795" s="163">
        <v>2803</v>
      </c>
      <c r="B2795" s="53" t="s">
        <v>45</v>
      </c>
      <c r="C2795" s="53" t="s">
        <v>6687</v>
      </c>
      <c r="D2795" s="53">
        <v>100028349</v>
      </c>
      <c r="E2795" s="55" t="s">
        <v>6688</v>
      </c>
      <c r="F2795" s="129">
        <v>1</v>
      </c>
      <c r="G2795" s="129" t="s">
        <v>2803</v>
      </c>
      <c r="H2795" s="512">
        <v>17.2</v>
      </c>
      <c r="I2795" s="265" t="s">
        <v>359</v>
      </c>
      <c r="J2795" s="265" t="s">
        <v>102</v>
      </c>
      <c r="K2795" s="265" t="s">
        <v>6689</v>
      </c>
      <c r="L2795" s="348" t="s">
        <v>1205</v>
      </c>
      <c r="M2795" s="265" t="s">
        <v>6690</v>
      </c>
      <c r="N2795" s="347">
        <v>0.187</v>
      </c>
      <c r="O2795" s="348" t="s">
        <v>1205</v>
      </c>
      <c r="P2795" s="348">
        <v>0.187</v>
      </c>
      <c r="Q2795" s="348" t="s">
        <v>1205</v>
      </c>
    </row>
    <row r="2796" spans="1:17" ht="15" hidden="1" customHeight="1">
      <c r="A2796" s="163">
        <v>2804</v>
      </c>
      <c r="B2796" s="53" t="s">
        <v>45</v>
      </c>
      <c r="C2796" s="53" t="s">
        <v>6691</v>
      </c>
      <c r="D2796" s="53">
        <v>100028350</v>
      </c>
      <c r="E2796" s="55" t="s">
        <v>6692</v>
      </c>
      <c r="F2796" s="129">
        <v>1</v>
      </c>
      <c r="G2796" s="129" t="s">
        <v>2803</v>
      </c>
      <c r="H2796" s="512">
        <v>22.86</v>
      </c>
      <c r="I2796" s="265" t="s">
        <v>359</v>
      </c>
      <c r="J2796" s="265" t="s">
        <v>102</v>
      </c>
      <c r="K2796" s="265" t="s">
        <v>6693</v>
      </c>
      <c r="L2796" s="348" t="s">
        <v>1205</v>
      </c>
      <c r="M2796" s="265" t="s">
        <v>6694</v>
      </c>
      <c r="N2796" s="347">
        <v>0.24</v>
      </c>
      <c r="O2796" s="348" t="s">
        <v>1205</v>
      </c>
      <c r="P2796" s="348">
        <v>0.24</v>
      </c>
      <c r="Q2796" s="348" t="s">
        <v>1205</v>
      </c>
    </row>
    <row r="2797" spans="1:17" ht="15" hidden="1" customHeight="1">
      <c r="A2797" s="163">
        <v>2805</v>
      </c>
      <c r="B2797" s="53" t="s">
        <v>45</v>
      </c>
      <c r="C2797" s="53" t="s">
        <v>6695</v>
      </c>
      <c r="D2797" s="53">
        <v>100028351</v>
      </c>
      <c r="E2797" s="55" t="s">
        <v>6696</v>
      </c>
      <c r="F2797" s="129">
        <v>1</v>
      </c>
      <c r="G2797" s="129" t="s">
        <v>2803</v>
      </c>
      <c r="H2797" s="512">
        <v>14.82</v>
      </c>
      <c r="I2797" s="265" t="s">
        <v>76</v>
      </c>
      <c r="J2797" s="265" t="s">
        <v>102</v>
      </c>
      <c r="K2797" s="265" t="s">
        <v>6697</v>
      </c>
      <c r="L2797" s="348" t="s">
        <v>1205</v>
      </c>
      <c r="M2797" s="265" t="s">
        <v>6698</v>
      </c>
      <c r="N2797" s="347">
        <v>0.24299999999999999</v>
      </c>
      <c r="O2797" s="348" t="s">
        <v>1205</v>
      </c>
      <c r="P2797" s="348">
        <v>0.24299999999999999</v>
      </c>
      <c r="Q2797" s="348" t="s">
        <v>1205</v>
      </c>
    </row>
    <row r="2798" spans="1:17" ht="15" hidden="1" customHeight="1">
      <c r="A2798" s="163">
        <v>2806</v>
      </c>
      <c r="B2798" s="53" t="s">
        <v>45</v>
      </c>
      <c r="C2798" s="53" t="s">
        <v>6699</v>
      </c>
      <c r="D2798" s="53">
        <v>100028352</v>
      </c>
      <c r="E2798" s="55" t="s">
        <v>6700</v>
      </c>
      <c r="F2798" s="129">
        <v>1</v>
      </c>
      <c r="G2798" s="129" t="s">
        <v>2803</v>
      </c>
      <c r="H2798" s="512">
        <v>24.76</v>
      </c>
      <c r="I2798" s="265" t="s">
        <v>359</v>
      </c>
      <c r="J2798" s="265" t="s">
        <v>102</v>
      </c>
      <c r="K2798" s="265" t="s">
        <v>6701</v>
      </c>
      <c r="L2798" s="348" t="s">
        <v>1205</v>
      </c>
      <c r="M2798" s="265" t="s">
        <v>6702</v>
      </c>
      <c r="N2798" s="347">
        <v>0.35799999999999998</v>
      </c>
      <c r="O2798" s="348" t="s">
        <v>1205</v>
      </c>
      <c r="P2798" s="348">
        <v>0.35799999999999998</v>
      </c>
      <c r="Q2798" s="348" t="s">
        <v>1205</v>
      </c>
    </row>
    <row r="2799" spans="1:17" ht="15" hidden="1" customHeight="1">
      <c r="A2799" s="163">
        <v>2807</v>
      </c>
      <c r="B2799" s="53" t="s">
        <v>45</v>
      </c>
      <c r="C2799" s="53" t="s">
        <v>6703</v>
      </c>
      <c r="D2799" s="53">
        <v>100028353</v>
      </c>
      <c r="E2799" s="55" t="s">
        <v>6704</v>
      </c>
      <c r="F2799" s="129">
        <v>1</v>
      </c>
      <c r="G2799" s="129" t="s">
        <v>2803</v>
      </c>
      <c r="H2799" s="512">
        <v>27.44</v>
      </c>
      <c r="I2799" s="265" t="s">
        <v>76</v>
      </c>
      <c r="J2799" s="265" t="s">
        <v>102</v>
      </c>
      <c r="K2799" s="265" t="s">
        <v>6705</v>
      </c>
      <c r="L2799" s="348" t="s">
        <v>1205</v>
      </c>
      <c r="M2799" s="265" t="s">
        <v>6706</v>
      </c>
      <c r="N2799" s="347">
        <v>0.43</v>
      </c>
      <c r="O2799" s="348" t="s">
        <v>1205</v>
      </c>
      <c r="P2799" s="348">
        <v>0.43</v>
      </c>
      <c r="Q2799" s="348" t="s">
        <v>1205</v>
      </c>
    </row>
    <row r="2800" spans="1:17" ht="15" hidden="1" customHeight="1">
      <c r="A2800" s="163">
        <v>2808</v>
      </c>
      <c r="B2800" s="53" t="s">
        <v>45</v>
      </c>
      <c r="C2800" s="53" t="s">
        <v>6707</v>
      </c>
      <c r="D2800" s="53">
        <v>100028354</v>
      </c>
      <c r="E2800" s="55" t="s">
        <v>6708</v>
      </c>
      <c r="F2800" s="129">
        <v>1</v>
      </c>
      <c r="G2800" s="129" t="s">
        <v>2803</v>
      </c>
      <c r="H2800" s="512">
        <v>35.090000000000003</v>
      </c>
      <c r="I2800" s="265" t="s">
        <v>359</v>
      </c>
      <c r="J2800" s="265" t="s">
        <v>102</v>
      </c>
      <c r="K2800" s="265" t="s">
        <v>6709</v>
      </c>
      <c r="L2800" s="348" t="s">
        <v>1205</v>
      </c>
      <c r="M2800" s="265" t="s">
        <v>6710</v>
      </c>
      <c r="N2800" s="347">
        <v>0.315</v>
      </c>
      <c r="O2800" s="348" t="s">
        <v>1205</v>
      </c>
      <c r="P2800" s="348">
        <v>0.315</v>
      </c>
      <c r="Q2800" s="348" t="s">
        <v>1205</v>
      </c>
    </row>
    <row r="2801" spans="1:17" ht="15" hidden="1" customHeight="1">
      <c r="A2801" s="163">
        <v>2809</v>
      </c>
      <c r="B2801" s="53" t="s">
        <v>45</v>
      </c>
      <c r="C2801" s="53" t="s">
        <v>6711</v>
      </c>
      <c r="D2801" s="53">
        <v>100028355</v>
      </c>
      <c r="E2801" s="55" t="s">
        <v>6712</v>
      </c>
      <c r="F2801" s="129">
        <v>1</v>
      </c>
      <c r="G2801" s="129" t="s">
        <v>2803</v>
      </c>
      <c r="H2801" s="512">
        <v>44.91</v>
      </c>
      <c r="I2801" s="265" t="s">
        <v>359</v>
      </c>
      <c r="J2801" s="265" t="s">
        <v>102</v>
      </c>
      <c r="K2801" s="265" t="s">
        <v>6713</v>
      </c>
      <c r="L2801" s="348" t="s">
        <v>1205</v>
      </c>
      <c r="M2801" s="265" t="s">
        <v>6714</v>
      </c>
      <c r="N2801" s="347">
        <v>0.33500000000000002</v>
      </c>
      <c r="O2801" s="348" t="s">
        <v>1205</v>
      </c>
      <c r="P2801" s="348">
        <v>0.33500000000000002</v>
      </c>
      <c r="Q2801" s="348" t="s">
        <v>1205</v>
      </c>
    </row>
    <row r="2802" spans="1:17" ht="15" hidden="1" customHeight="1">
      <c r="A2802" s="163">
        <v>2810</v>
      </c>
      <c r="B2802" s="53" t="s">
        <v>45</v>
      </c>
      <c r="C2802" s="53" t="s">
        <v>6715</v>
      </c>
      <c r="D2802" s="53">
        <v>100028356</v>
      </c>
      <c r="E2802" s="55" t="s">
        <v>6716</v>
      </c>
      <c r="F2802" s="129">
        <v>1</v>
      </c>
      <c r="G2802" s="129" t="s">
        <v>2803</v>
      </c>
      <c r="H2802" s="512">
        <v>35.090000000000003</v>
      </c>
      <c r="I2802" s="265" t="s">
        <v>359</v>
      </c>
      <c r="J2802" s="265" t="s">
        <v>102</v>
      </c>
      <c r="K2802" s="265" t="s">
        <v>6717</v>
      </c>
      <c r="L2802" s="348" t="s">
        <v>1205</v>
      </c>
      <c r="M2802" s="265" t="s">
        <v>6718</v>
      </c>
      <c r="N2802" s="347">
        <v>0.34</v>
      </c>
      <c r="O2802" s="348" t="s">
        <v>1205</v>
      </c>
      <c r="P2802" s="348">
        <v>0.34</v>
      </c>
      <c r="Q2802" s="348" t="s">
        <v>1205</v>
      </c>
    </row>
    <row r="2803" spans="1:17" ht="15" hidden="1" customHeight="1">
      <c r="A2803" s="163">
        <v>2811</v>
      </c>
      <c r="B2803" s="53" t="s">
        <v>45</v>
      </c>
      <c r="C2803" s="53" t="s">
        <v>6719</v>
      </c>
      <c r="D2803" s="53">
        <v>100028357</v>
      </c>
      <c r="E2803" s="55" t="s">
        <v>6720</v>
      </c>
      <c r="F2803" s="129">
        <v>1</v>
      </c>
      <c r="G2803" s="129" t="s">
        <v>2803</v>
      </c>
      <c r="H2803" s="512">
        <v>44.91</v>
      </c>
      <c r="I2803" s="265" t="s">
        <v>359</v>
      </c>
      <c r="J2803" s="265" t="s">
        <v>102</v>
      </c>
      <c r="K2803" s="265" t="s">
        <v>6721</v>
      </c>
      <c r="L2803" s="348" t="s">
        <v>1205</v>
      </c>
      <c r="M2803" s="265" t="s">
        <v>6722</v>
      </c>
      <c r="N2803" s="347">
        <v>0.39500000000000002</v>
      </c>
      <c r="O2803" s="348" t="s">
        <v>1205</v>
      </c>
      <c r="P2803" s="348">
        <v>0.39500000000000002</v>
      </c>
      <c r="Q2803" s="348" t="s">
        <v>1205</v>
      </c>
    </row>
    <row r="2804" spans="1:17" ht="15" hidden="1" customHeight="1">
      <c r="A2804" s="163">
        <v>2812</v>
      </c>
      <c r="B2804" s="53" t="s">
        <v>45</v>
      </c>
      <c r="C2804" s="53" t="s">
        <v>6723</v>
      </c>
      <c r="D2804" s="53">
        <v>100028359</v>
      </c>
      <c r="E2804" s="55" t="s">
        <v>6724</v>
      </c>
      <c r="F2804" s="129">
        <v>1</v>
      </c>
      <c r="G2804" s="129" t="s">
        <v>2803</v>
      </c>
      <c r="H2804" s="512">
        <v>44.91</v>
      </c>
      <c r="I2804" s="265" t="s">
        <v>76</v>
      </c>
      <c r="J2804" s="265" t="s">
        <v>102</v>
      </c>
      <c r="K2804" s="265" t="s">
        <v>6725</v>
      </c>
      <c r="L2804" s="348" t="s">
        <v>1205</v>
      </c>
      <c r="M2804" s="265" t="s">
        <v>6726</v>
      </c>
      <c r="N2804" s="347">
        <v>0.44500000000000001</v>
      </c>
      <c r="O2804" s="348" t="s">
        <v>1205</v>
      </c>
      <c r="P2804" s="348">
        <v>0.44500000000000001</v>
      </c>
      <c r="Q2804" s="348" t="s">
        <v>1205</v>
      </c>
    </row>
    <row r="2805" spans="1:17" ht="15" hidden="1" customHeight="1">
      <c r="A2805" s="163">
        <v>2813</v>
      </c>
      <c r="B2805" s="53" t="s">
        <v>45</v>
      </c>
      <c r="C2805" s="53" t="s">
        <v>6727</v>
      </c>
      <c r="D2805" s="53">
        <v>100028362</v>
      </c>
      <c r="E2805" s="55" t="s">
        <v>6728</v>
      </c>
      <c r="F2805" s="129">
        <v>1</v>
      </c>
      <c r="G2805" s="129" t="s">
        <v>2803</v>
      </c>
      <c r="H2805" s="512">
        <v>45.21</v>
      </c>
      <c r="I2805" s="265" t="s">
        <v>359</v>
      </c>
      <c r="J2805" s="265" t="s">
        <v>102</v>
      </c>
      <c r="K2805" s="265" t="s">
        <v>6729</v>
      </c>
      <c r="L2805" s="348" t="s">
        <v>1205</v>
      </c>
      <c r="M2805" s="265" t="s">
        <v>6730</v>
      </c>
      <c r="N2805" s="347">
        <v>0.47499999999999998</v>
      </c>
      <c r="O2805" s="348" t="s">
        <v>1205</v>
      </c>
      <c r="P2805" s="348">
        <v>0.47499999999999998</v>
      </c>
      <c r="Q2805" s="348" t="s">
        <v>1205</v>
      </c>
    </row>
    <row r="2806" spans="1:17" ht="15" hidden="1" customHeight="1">
      <c r="A2806" s="163">
        <v>2814</v>
      </c>
      <c r="B2806" s="53" t="s">
        <v>45</v>
      </c>
      <c r="C2806" s="53" t="s">
        <v>6731</v>
      </c>
      <c r="D2806" s="53">
        <v>100028363</v>
      </c>
      <c r="E2806" s="55" t="s">
        <v>6732</v>
      </c>
      <c r="F2806" s="129">
        <v>1</v>
      </c>
      <c r="G2806" s="129" t="s">
        <v>2803</v>
      </c>
      <c r="H2806" s="512">
        <v>42.11</v>
      </c>
      <c r="I2806" s="265" t="s">
        <v>359</v>
      </c>
      <c r="J2806" s="265" t="s">
        <v>102</v>
      </c>
      <c r="K2806" s="265" t="s">
        <v>6733</v>
      </c>
      <c r="L2806" s="348" t="s">
        <v>1205</v>
      </c>
      <c r="M2806" s="265" t="s">
        <v>6734</v>
      </c>
      <c r="N2806" s="347">
        <v>0.27500000000000002</v>
      </c>
      <c r="O2806" s="348" t="s">
        <v>1205</v>
      </c>
      <c r="P2806" s="348">
        <v>0.27500000000000002</v>
      </c>
      <c r="Q2806" s="348" t="s">
        <v>1205</v>
      </c>
    </row>
    <row r="2807" spans="1:17" ht="15" hidden="1" customHeight="1">
      <c r="A2807" s="163">
        <v>2815</v>
      </c>
      <c r="B2807" s="53" t="s">
        <v>45</v>
      </c>
      <c r="C2807" s="53" t="s">
        <v>6735</v>
      </c>
      <c r="D2807" s="53">
        <v>100028364</v>
      </c>
      <c r="E2807" s="55" t="s">
        <v>6736</v>
      </c>
      <c r="F2807" s="129">
        <v>1</v>
      </c>
      <c r="G2807" s="129" t="s">
        <v>2803</v>
      </c>
      <c r="H2807" s="512">
        <v>46.64</v>
      </c>
      <c r="I2807" s="265" t="s">
        <v>359</v>
      </c>
      <c r="J2807" s="265" t="s">
        <v>102</v>
      </c>
      <c r="K2807" s="265" t="s">
        <v>6737</v>
      </c>
      <c r="L2807" s="348" t="s">
        <v>1205</v>
      </c>
      <c r="M2807" s="265" t="s">
        <v>6738</v>
      </c>
      <c r="N2807" s="347">
        <v>0.46500000000000002</v>
      </c>
      <c r="O2807" s="348" t="s">
        <v>1205</v>
      </c>
      <c r="P2807" s="348">
        <v>0.46500000000000002</v>
      </c>
      <c r="Q2807" s="348" t="s">
        <v>1205</v>
      </c>
    </row>
    <row r="2808" spans="1:17" ht="15" hidden="1" customHeight="1">
      <c r="A2808" s="163">
        <v>2816</v>
      </c>
      <c r="B2808" s="53" t="s">
        <v>45</v>
      </c>
      <c r="C2808" s="53" t="s">
        <v>6739</v>
      </c>
      <c r="D2808" s="53">
        <v>100031237</v>
      </c>
      <c r="E2808" s="55" t="s">
        <v>6740</v>
      </c>
      <c r="F2808" s="129">
        <v>1</v>
      </c>
      <c r="G2808" s="129" t="s">
        <v>2803</v>
      </c>
      <c r="H2808" s="512">
        <v>66.78</v>
      </c>
      <c r="I2808" s="265" t="s">
        <v>359</v>
      </c>
      <c r="J2808" s="265" t="s">
        <v>102</v>
      </c>
      <c r="K2808" s="265" t="s">
        <v>6741</v>
      </c>
      <c r="L2808" s="348" t="s">
        <v>1205</v>
      </c>
      <c r="M2808" s="265" t="s">
        <v>6742</v>
      </c>
      <c r="N2808" s="347">
        <v>0.74</v>
      </c>
      <c r="O2808" s="348" t="s">
        <v>1205</v>
      </c>
      <c r="P2808" s="348">
        <v>0.74</v>
      </c>
      <c r="Q2808" s="348" t="s">
        <v>1205</v>
      </c>
    </row>
    <row r="2809" spans="1:17" ht="15" hidden="1" customHeight="1">
      <c r="A2809" s="163">
        <v>2817</v>
      </c>
      <c r="B2809" s="53" t="s">
        <v>45</v>
      </c>
      <c r="C2809" s="53" t="s">
        <v>6743</v>
      </c>
      <c r="D2809" s="53">
        <v>100023744</v>
      </c>
      <c r="E2809" s="55" t="s">
        <v>6744</v>
      </c>
      <c r="F2809" s="129">
        <v>1</v>
      </c>
      <c r="G2809" s="129" t="s">
        <v>2803</v>
      </c>
      <c r="H2809" s="512">
        <v>67.87</v>
      </c>
      <c r="I2809" s="265" t="s">
        <v>359</v>
      </c>
      <c r="J2809" s="265" t="s">
        <v>102</v>
      </c>
      <c r="K2809" s="265" t="s">
        <v>6745</v>
      </c>
      <c r="L2809" s="348" t="s">
        <v>1205</v>
      </c>
      <c r="M2809" s="265" t="s">
        <v>6746</v>
      </c>
      <c r="N2809" s="347">
        <v>0.7</v>
      </c>
      <c r="O2809" s="348" t="s">
        <v>1205</v>
      </c>
      <c r="P2809" s="348">
        <v>0.7</v>
      </c>
      <c r="Q2809" s="348" t="s">
        <v>1205</v>
      </c>
    </row>
    <row r="2810" spans="1:17" ht="15" hidden="1" customHeight="1">
      <c r="A2810" s="163">
        <v>2818</v>
      </c>
      <c r="B2810" s="53" t="s">
        <v>45</v>
      </c>
      <c r="C2810" s="53" t="s">
        <v>6747</v>
      </c>
      <c r="D2810" s="53">
        <v>100023745</v>
      </c>
      <c r="E2810" s="55" t="s">
        <v>6748</v>
      </c>
      <c r="F2810" s="129">
        <v>1</v>
      </c>
      <c r="G2810" s="129" t="s">
        <v>2803</v>
      </c>
      <c r="H2810" s="512">
        <v>75.78</v>
      </c>
      <c r="I2810" s="265" t="s">
        <v>359</v>
      </c>
      <c r="J2810" s="265" t="s">
        <v>102</v>
      </c>
      <c r="K2810" s="265" t="s">
        <v>6749</v>
      </c>
      <c r="L2810" s="348" t="s">
        <v>1205</v>
      </c>
      <c r="M2810" s="265" t="s">
        <v>6750</v>
      </c>
      <c r="N2810" s="347">
        <v>0.879</v>
      </c>
      <c r="O2810" s="348" t="s">
        <v>1205</v>
      </c>
      <c r="P2810" s="348">
        <v>0.879</v>
      </c>
      <c r="Q2810" s="348" t="s">
        <v>1205</v>
      </c>
    </row>
    <row r="2811" spans="1:17" ht="15" hidden="1" customHeight="1">
      <c r="A2811" s="163">
        <v>2819</v>
      </c>
      <c r="B2811" s="53" t="s">
        <v>45</v>
      </c>
      <c r="C2811" s="53" t="s">
        <v>6751</v>
      </c>
      <c r="D2811" s="53">
        <v>100023746</v>
      </c>
      <c r="E2811" s="55" t="s">
        <v>6752</v>
      </c>
      <c r="F2811" s="129">
        <v>1</v>
      </c>
      <c r="G2811" s="129" t="s">
        <v>2803</v>
      </c>
      <c r="H2811" s="512">
        <v>60.15</v>
      </c>
      <c r="I2811" s="265" t="s">
        <v>359</v>
      </c>
      <c r="J2811" s="265" t="s">
        <v>102</v>
      </c>
      <c r="K2811" s="265" t="s">
        <v>6753</v>
      </c>
      <c r="L2811" s="348" t="s">
        <v>1205</v>
      </c>
      <c r="M2811" s="265" t="s">
        <v>6754</v>
      </c>
      <c r="N2811" s="347">
        <v>0.47899999999999998</v>
      </c>
      <c r="O2811" s="348" t="s">
        <v>1205</v>
      </c>
      <c r="P2811" s="348">
        <v>0.47899999999999998</v>
      </c>
      <c r="Q2811" s="348" t="s">
        <v>1205</v>
      </c>
    </row>
    <row r="2812" spans="1:17" ht="15" hidden="1" customHeight="1">
      <c r="A2812" s="163">
        <v>2820</v>
      </c>
      <c r="B2812" s="53" t="s">
        <v>45</v>
      </c>
      <c r="C2812" s="53" t="s">
        <v>6755</v>
      </c>
      <c r="D2812" s="53">
        <v>100023747</v>
      </c>
      <c r="E2812" s="55" t="s">
        <v>6756</v>
      </c>
      <c r="F2812" s="129">
        <v>1</v>
      </c>
      <c r="G2812" s="129" t="s">
        <v>2803</v>
      </c>
      <c r="H2812" s="512">
        <v>60.15</v>
      </c>
      <c r="I2812" s="265" t="s">
        <v>359</v>
      </c>
      <c r="J2812" s="265" t="s">
        <v>102</v>
      </c>
      <c r="K2812" s="265" t="s">
        <v>6757</v>
      </c>
      <c r="L2812" s="348" t="s">
        <v>1205</v>
      </c>
      <c r="M2812" s="265" t="s">
        <v>6758</v>
      </c>
      <c r="N2812" s="347">
        <v>0.54500000000000004</v>
      </c>
      <c r="O2812" s="348" t="s">
        <v>1205</v>
      </c>
      <c r="P2812" s="348">
        <v>0.54500000000000004</v>
      </c>
      <c r="Q2812" s="348" t="s">
        <v>1205</v>
      </c>
    </row>
    <row r="2813" spans="1:17" ht="15" hidden="1" customHeight="1">
      <c r="A2813" s="163">
        <v>2821</v>
      </c>
      <c r="B2813" s="53" t="s">
        <v>45</v>
      </c>
      <c r="C2813" s="53" t="s">
        <v>6759</v>
      </c>
      <c r="D2813" s="53">
        <v>100023748</v>
      </c>
      <c r="E2813" s="55" t="s">
        <v>6760</v>
      </c>
      <c r="F2813" s="129">
        <v>1</v>
      </c>
      <c r="G2813" s="129" t="s">
        <v>2803</v>
      </c>
      <c r="H2813" s="512">
        <v>88.08</v>
      </c>
      <c r="I2813" s="265" t="s">
        <v>359</v>
      </c>
      <c r="J2813" s="265" t="s">
        <v>102</v>
      </c>
      <c r="K2813" s="265" t="s">
        <v>6761</v>
      </c>
      <c r="L2813" s="348" t="s">
        <v>1205</v>
      </c>
      <c r="M2813" s="265" t="s">
        <v>6762</v>
      </c>
      <c r="N2813" s="347">
        <v>1.0049999999999999</v>
      </c>
      <c r="O2813" s="348" t="s">
        <v>1205</v>
      </c>
      <c r="P2813" s="348">
        <v>1.0049999999999999</v>
      </c>
      <c r="Q2813" s="348" t="s">
        <v>1205</v>
      </c>
    </row>
    <row r="2814" spans="1:17" ht="15" hidden="1" customHeight="1">
      <c r="A2814" s="163">
        <v>2822</v>
      </c>
      <c r="B2814" s="53" t="s">
        <v>45</v>
      </c>
      <c r="C2814" s="53" t="s">
        <v>6763</v>
      </c>
      <c r="D2814" s="53">
        <v>100023749</v>
      </c>
      <c r="E2814" s="55" t="s">
        <v>6764</v>
      </c>
      <c r="F2814" s="129">
        <v>1</v>
      </c>
      <c r="G2814" s="129" t="s">
        <v>2803</v>
      </c>
      <c r="H2814" s="512">
        <v>95.04</v>
      </c>
      <c r="I2814" s="265" t="s">
        <v>359</v>
      </c>
      <c r="J2814" s="265" t="s">
        <v>102</v>
      </c>
      <c r="K2814" s="265" t="s">
        <v>6765</v>
      </c>
      <c r="L2814" s="348" t="s">
        <v>1205</v>
      </c>
      <c r="M2814" s="265" t="s">
        <v>6766</v>
      </c>
      <c r="N2814" s="347">
        <v>1.2649999999999999</v>
      </c>
      <c r="O2814" s="348" t="s">
        <v>1205</v>
      </c>
      <c r="P2814" s="348">
        <v>1.2649999999999999</v>
      </c>
      <c r="Q2814" s="348" t="s">
        <v>1205</v>
      </c>
    </row>
    <row r="2815" spans="1:17" ht="15" hidden="1" customHeight="1">
      <c r="A2815" s="163">
        <v>2823</v>
      </c>
      <c r="B2815" s="53" t="s">
        <v>45</v>
      </c>
      <c r="C2815" s="53" t="s">
        <v>6767</v>
      </c>
      <c r="D2815" s="53">
        <v>100023750</v>
      </c>
      <c r="E2815" s="55" t="s">
        <v>6768</v>
      </c>
      <c r="F2815" s="129">
        <v>1</v>
      </c>
      <c r="G2815" s="129" t="s">
        <v>2803</v>
      </c>
      <c r="H2815" s="512">
        <v>78.989999999999995</v>
      </c>
      <c r="I2815" s="265" t="s">
        <v>359</v>
      </c>
      <c r="J2815" s="265" t="s">
        <v>102</v>
      </c>
      <c r="K2815" s="265" t="s">
        <v>6769</v>
      </c>
      <c r="L2815" s="348" t="s">
        <v>1205</v>
      </c>
      <c r="M2815" s="265" t="s">
        <v>6770</v>
      </c>
      <c r="N2815" s="347">
        <v>0.71199999999999997</v>
      </c>
      <c r="O2815" s="348" t="s">
        <v>1205</v>
      </c>
      <c r="P2815" s="348">
        <v>0.71199999999999997</v>
      </c>
      <c r="Q2815" s="348" t="s">
        <v>1205</v>
      </c>
    </row>
    <row r="2816" spans="1:17" ht="15" hidden="1" customHeight="1">
      <c r="A2816" s="163">
        <v>2824</v>
      </c>
      <c r="B2816" s="53" t="s">
        <v>45</v>
      </c>
      <c r="C2816" s="53" t="s">
        <v>6771</v>
      </c>
      <c r="D2816" s="53">
        <v>100023751</v>
      </c>
      <c r="E2816" s="55" t="s">
        <v>6772</v>
      </c>
      <c r="F2816" s="129">
        <v>1</v>
      </c>
      <c r="G2816" s="129" t="s">
        <v>2803</v>
      </c>
      <c r="H2816" s="512">
        <v>78.989999999999995</v>
      </c>
      <c r="I2816" s="265" t="s">
        <v>359</v>
      </c>
      <c r="J2816" s="265" t="s">
        <v>102</v>
      </c>
      <c r="K2816" s="265" t="s">
        <v>6773</v>
      </c>
      <c r="L2816" s="348" t="s">
        <v>1205</v>
      </c>
      <c r="M2816" s="265" t="s">
        <v>6774</v>
      </c>
      <c r="N2816" s="347">
        <v>0.81299999999999994</v>
      </c>
      <c r="O2816" s="348" t="s">
        <v>1205</v>
      </c>
      <c r="P2816" s="348">
        <v>0.81299999999999994</v>
      </c>
      <c r="Q2816" s="348" t="s">
        <v>1205</v>
      </c>
    </row>
    <row r="2817" spans="1:17" ht="15" hidden="1" customHeight="1">
      <c r="A2817" s="163">
        <v>2825</v>
      </c>
      <c r="B2817" s="53" t="s">
        <v>45</v>
      </c>
      <c r="C2817" s="53" t="s">
        <v>6775</v>
      </c>
      <c r="D2817" s="53">
        <v>100023752</v>
      </c>
      <c r="E2817" s="55" t="s">
        <v>6760</v>
      </c>
      <c r="F2817" s="129">
        <v>1</v>
      </c>
      <c r="G2817" s="129" t="s">
        <v>2803</v>
      </c>
      <c r="H2817" s="512">
        <v>108.89</v>
      </c>
      <c r="I2817" s="265" t="s">
        <v>359</v>
      </c>
      <c r="J2817" s="265" t="s">
        <v>102</v>
      </c>
      <c r="K2817" s="265" t="s">
        <v>6776</v>
      </c>
      <c r="L2817" s="348" t="s">
        <v>1205</v>
      </c>
      <c r="M2817" s="265" t="s">
        <v>6777</v>
      </c>
      <c r="N2817" s="347">
        <v>1.266</v>
      </c>
      <c r="O2817" s="348" t="s">
        <v>1205</v>
      </c>
      <c r="P2817" s="348">
        <v>1.266</v>
      </c>
      <c r="Q2817" s="348" t="s">
        <v>1205</v>
      </c>
    </row>
    <row r="2818" spans="1:17" ht="15" hidden="1" customHeight="1">
      <c r="A2818" s="163">
        <v>2826</v>
      </c>
      <c r="B2818" s="53" t="s">
        <v>45</v>
      </c>
      <c r="C2818" s="53" t="s">
        <v>6778</v>
      </c>
      <c r="D2818" s="53">
        <v>100023753</v>
      </c>
      <c r="E2818" s="55" t="s">
        <v>6779</v>
      </c>
      <c r="F2818" s="129">
        <v>1</v>
      </c>
      <c r="G2818" s="129" t="s">
        <v>2803</v>
      </c>
      <c r="H2818" s="512">
        <v>117.8</v>
      </c>
      <c r="I2818" s="265" t="s">
        <v>359</v>
      </c>
      <c r="J2818" s="265" t="s">
        <v>102</v>
      </c>
      <c r="K2818" s="265" t="s">
        <v>6780</v>
      </c>
      <c r="L2818" s="348" t="s">
        <v>1205</v>
      </c>
      <c r="M2818" s="265" t="s">
        <v>6781</v>
      </c>
      <c r="N2818" s="347">
        <v>1.585</v>
      </c>
      <c r="O2818" s="348" t="s">
        <v>1205</v>
      </c>
      <c r="P2818" s="348">
        <v>1.585</v>
      </c>
      <c r="Q2818" s="348" t="s">
        <v>1205</v>
      </c>
    </row>
    <row r="2819" spans="1:17" ht="15" hidden="1" customHeight="1">
      <c r="A2819" s="163">
        <v>2827</v>
      </c>
      <c r="B2819" s="53" t="s">
        <v>45</v>
      </c>
      <c r="C2819" s="53" t="s">
        <v>6782</v>
      </c>
      <c r="D2819" s="53">
        <v>100023754</v>
      </c>
      <c r="E2819" s="55" t="s">
        <v>6783</v>
      </c>
      <c r="F2819" s="129">
        <v>1</v>
      </c>
      <c r="G2819" s="129" t="s">
        <v>2803</v>
      </c>
      <c r="H2819" s="512">
        <v>97.24</v>
      </c>
      <c r="I2819" s="265" t="s">
        <v>359</v>
      </c>
      <c r="J2819" s="265" t="s">
        <v>102</v>
      </c>
      <c r="K2819" s="265" t="s">
        <v>6784</v>
      </c>
      <c r="L2819" s="348" t="s">
        <v>1205</v>
      </c>
      <c r="M2819" s="265" t="s">
        <v>6785</v>
      </c>
      <c r="N2819" s="347">
        <v>0.96</v>
      </c>
      <c r="O2819" s="348" t="s">
        <v>1205</v>
      </c>
      <c r="P2819" s="348">
        <v>0.96</v>
      </c>
      <c r="Q2819" s="348" t="s">
        <v>1205</v>
      </c>
    </row>
    <row r="2820" spans="1:17" ht="15" hidden="1" customHeight="1">
      <c r="A2820" s="163">
        <v>2828</v>
      </c>
      <c r="B2820" s="53" t="s">
        <v>45</v>
      </c>
      <c r="C2820" s="53" t="s">
        <v>6786</v>
      </c>
      <c r="D2820" s="53">
        <v>100023755</v>
      </c>
      <c r="E2820" s="55" t="s">
        <v>6787</v>
      </c>
      <c r="F2820" s="129">
        <v>1</v>
      </c>
      <c r="G2820" s="129" t="s">
        <v>2803</v>
      </c>
      <c r="H2820" s="512">
        <v>97.24</v>
      </c>
      <c r="I2820" s="265" t="s">
        <v>359</v>
      </c>
      <c r="J2820" s="265" t="s">
        <v>102</v>
      </c>
      <c r="K2820" s="265" t="s">
        <v>6788</v>
      </c>
      <c r="L2820" s="348" t="s">
        <v>1205</v>
      </c>
      <c r="M2820" s="265" t="s">
        <v>6789</v>
      </c>
      <c r="N2820" s="347">
        <v>1.0509999999999999</v>
      </c>
      <c r="O2820" s="348" t="s">
        <v>1205</v>
      </c>
      <c r="P2820" s="348">
        <v>1.0509999999999999</v>
      </c>
      <c r="Q2820" s="348" t="s">
        <v>1205</v>
      </c>
    </row>
    <row r="2821" spans="1:17" ht="15" hidden="1" customHeight="1">
      <c r="A2821" s="163">
        <v>2829</v>
      </c>
      <c r="B2821" s="53" t="s">
        <v>45</v>
      </c>
      <c r="C2821" s="53" t="s">
        <v>6790</v>
      </c>
      <c r="D2821" s="53">
        <v>100028365</v>
      </c>
      <c r="E2821" s="55" t="s">
        <v>6791</v>
      </c>
      <c r="F2821" s="129">
        <v>1</v>
      </c>
      <c r="G2821" s="129" t="s">
        <v>2803</v>
      </c>
      <c r="H2821" s="512">
        <v>21.44</v>
      </c>
      <c r="I2821" s="265" t="s">
        <v>76</v>
      </c>
      <c r="J2821" s="265" t="s">
        <v>102</v>
      </c>
      <c r="K2821" s="265" t="s">
        <v>6792</v>
      </c>
      <c r="L2821" s="348" t="s">
        <v>1205</v>
      </c>
      <c r="M2821" s="265" t="s">
        <v>6793</v>
      </c>
      <c r="N2821" s="347">
        <v>0.22</v>
      </c>
      <c r="O2821" s="348" t="s">
        <v>1205</v>
      </c>
      <c r="P2821" s="348">
        <v>0.22</v>
      </c>
      <c r="Q2821" s="348" t="s">
        <v>1205</v>
      </c>
    </row>
    <row r="2822" spans="1:17" ht="15" hidden="1" customHeight="1">
      <c r="A2822" s="163">
        <v>2830</v>
      </c>
      <c r="B2822" s="53" t="s">
        <v>45</v>
      </c>
      <c r="C2822" s="53" t="s">
        <v>6794</v>
      </c>
      <c r="D2822" s="53">
        <v>100028366</v>
      </c>
      <c r="E2822" s="55" t="s">
        <v>6795</v>
      </c>
      <c r="F2822" s="129">
        <v>1</v>
      </c>
      <c r="G2822" s="129" t="s">
        <v>2803</v>
      </c>
      <c r="H2822" s="512">
        <v>26.75</v>
      </c>
      <c r="I2822" s="265" t="s">
        <v>359</v>
      </c>
      <c r="J2822" s="265" t="s">
        <v>102</v>
      </c>
      <c r="K2822" s="265" t="s">
        <v>6796</v>
      </c>
      <c r="L2822" s="348" t="s">
        <v>1205</v>
      </c>
      <c r="M2822" s="265" t="s">
        <v>6797</v>
      </c>
      <c r="N2822" s="347">
        <v>0.20499999999999999</v>
      </c>
      <c r="O2822" s="348" t="s">
        <v>1205</v>
      </c>
      <c r="P2822" s="348">
        <v>0.20499999999999999</v>
      </c>
      <c r="Q2822" s="348" t="s">
        <v>1205</v>
      </c>
    </row>
    <row r="2823" spans="1:17" ht="15" hidden="1" customHeight="1">
      <c r="A2823" s="163">
        <v>2831</v>
      </c>
      <c r="B2823" s="53" t="s">
        <v>45</v>
      </c>
      <c r="C2823" s="53" t="s">
        <v>6799</v>
      </c>
      <c r="D2823" s="53">
        <v>100028226</v>
      </c>
      <c r="E2823" s="55" t="s">
        <v>6800</v>
      </c>
      <c r="F2823" s="129">
        <v>1</v>
      </c>
      <c r="G2823" s="129" t="s">
        <v>2803</v>
      </c>
      <c r="H2823" s="512">
        <v>53.05</v>
      </c>
      <c r="I2823" s="265" t="s">
        <v>359</v>
      </c>
      <c r="J2823" s="265" t="s">
        <v>102</v>
      </c>
      <c r="K2823" s="265" t="s">
        <v>6801</v>
      </c>
      <c r="L2823" s="348" t="s">
        <v>1205</v>
      </c>
      <c r="M2823" s="265" t="s">
        <v>6802</v>
      </c>
      <c r="N2823" s="347">
        <v>0.38500000000000001</v>
      </c>
      <c r="O2823" s="348" t="s">
        <v>1205</v>
      </c>
      <c r="P2823" s="348">
        <v>0.38500000000000001</v>
      </c>
      <c r="Q2823" s="348" t="s">
        <v>1205</v>
      </c>
    </row>
    <row r="2824" spans="1:17" ht="15" hidden="1" customHeight="1">
      <c r="A2824" s="163">
        <v>2832</v>
      </c>
      <c r="B2824" s="53" t="s">
        <v>45</v>
      </c>
      <c r="C2824" s="53" t="s">
        <v>6803</v>
      </c>
      <c r="D2824" s="53">
        <v>100028227</v>
      </c>
      <c r="E2824" s="55" t="s">
        <v>6804</v>
      </c>
      <c r="F2824" s="129">
        <v>1</v>
      </c>
      <c r="G2824" s="129" t="s">
        <v>2803</v>
      </c>
      <c r="H2824" s="512">
        <v>53.05</v>
      </c>
      <c r="I2824" s="265" t="s">
        <v>359</v>
      </c>
      <c r="J2824" s="265" t="s">
        <v>102</v>
      </c>
      <c r="K2824" s="265" t="s">
        <v>6805</v>
      </c>
      <c r="L2824" s="348" t="s">
        <v>1205</v>
      </c>
      <c r="M2824" s="265" t="s">
        <v>6806</v>
      </c>
      <c r="N2824" s="347">
        <v>0.46500000000000002</v>
      </c>
      <c r="O2824" s="348" t="s">
        <v>1205</v>
      </c>
      <c r="P2824" s="348">
        <v>0.46500000000000002</v>
      </c>
      <c r="Q2824" s="348" t="s">
        <v>1205</v>
      </c>
    </row>
    <row r="2825" spans="1:17" ht="15" hidden="1" customHeight="1">
      <c r="A2825" s="163">
        <v>2833</v>
      </c>
      <c r="B2825" s="53" t="s">
        <v>45</v>
      </c>
      <c r="C2825" s="53" t="s">
        <v>6807</v>
      </c>
      <c r="D2825" s="53">
        <v>100028228</v>
      </c>
      <c r="E2825" s="55" t="s">
        <v>6808</v>
      </c>
      <c r="F2825" s="129">
        <v>1</v>
      </c>
      <c r="G2825" s="129" t="s">
        <v>2803</v>
      </c>
      <c r="H2825" s="512">
        <v>60.93</v>
      </c>
      <c r="I2825" s="265" t="s">
        <v>359</v>
      </c>
      <c r="J2825" s="265" t="s">
        <v>102</v>
      </c>
      <c r="K2825" s="265" t="s">
        <v>6809</v>
      </c>
      <c r="L2825" s="348" t="s">
        <v>1205</v>
      </c>
      <c r="M2825" s="265" t="s">
        <v>6810</v>
      </c>
      <c r="N2825" s="347">
        <v>0.505</v>
      </c>
      <c r="O2825" s="348" t="s">
        <v>1205</v>
      </c>
      <c r="P2825" s="348">
        <v>0.505</v>
      </c>
      <c r="Q2825" s="348" t="s">
        <v>1205</v>
      </c>
    </row>
    <row r="2826" spans="1:17" ht="15" hidden="1" customHeight="1">
      <c r="A2826" s="163">
        <v>2834</v>
      </c>
      <c r="B2826" s="53" t="s">
        <v>45</v>
      </c>
      <c r="C2826" s="53" t="s">
        <v>6811</v>
      </c>
      <c r="D2826" s="53">
        <v>100028229</v>
      </c>
      <c r="E2826" s="55" t="s">
        <v>6812</v>
      </c>
      <c r="F2826" s="129">
        <v>1</v>
      </c>
      <c r="G2826" s="129" t="s">
        <v>2803</v>
      </c>
      <c r="H2826" s="512">
        <v>60.93</v>
      </c>
      <c r="I2826" s="265" t="s">
        <v>359</v>
      </c>
      <c r="J2826" s="265" t="s">
        <v>102</v>
      </c>
      <c r="K2826" s="265" t="s">
        <v>6813</v>
      </c>
      <c r="L2826" s="348" t="s">
        <v>1205</v>
      </c>
      <c r="M2826" s="265" t="s">
        <v>6814</v>
      </c>
      <c r="N2826" s="347">
        <v>0.56999999999999995</v>
      </c>
      <c r="O2826" s="348" t="s">
        <v>1205</v>
      </c>
      <c r="P2826" s="348">
        <v>0.56999999999999995</v>
      </c>
      <c r="Q2826" s="348" t="s">
        <v>1205</v>
      </c>
    </row>
    <row r="2827" spans="1:17" ht="15" hidden="1" customHeight="1">
      <c r="A2827" s="163">
        <v>2835</v>
      </c>
      <c r="B2827" s="53" t="s">
        <v>45</v>
      </c>
      <c r="C2827" s="53" t="s">
        <v>6815</v>
      </c>
      <c r="D2827" s="53">
        <v>100028230</v>
      </c>
      <c r="E2827" s="55" t="s">
        <v>6816</v>
      </c>
      <c r="F2827" s="129">
        <v>1</v>
      </c>
      <c r="G2827" s="129" t="s">
        <v>2803</v>
      </c>
      <c r="H2827" s="512">
        <v>60.93</v>
      </c>
      <c r="I2827" s="265" t="s">
        <v>76</v>
      </c>
      <c r="J2827" s="265" t="s">
        <v>102</v>
      </c>
      <c r="K2827" s="265" t="s">
        <v>6817</v>
      </c>
      <c r="L2827" s="348" t="s">
        <v>1205</v>
      </c>
      <c r="M2827" s="265" t="s">
        <v>6818</v>
      </c>
      <c r="N2827" s="347">
        <v>0.64400000000000002</v>
      </c>
      <c r="O2827" s="348" t="s">
        <v>1205</v>
      </c>
      <c r="P2827" s="348">
        <v>0.64400000000000002</v>
      </c>
      <c r="Q2827" s="348" t="s">
        <v>1205</v>
      </c>
    </row>
    <row r="2828" spans="1:17" ht="15" hidden="1" customHeight="1">
      <c r="A2828" s="163">
        <v>2836</v>
      </c>
      <c r="B2828" s="53" t="s">
        <v>45</v>
      </c>
      <c r="C2828" s="53" t="s">
        <v>6819</v>
      </c>
      <c r="D2828" s="53">
        <v>100028231</v>
      </c>
      <c r="E2828" s="55" t="s">
        <v>6820</v>
      </c>
      <c r="F2828" s="129">
        <v>1</v>
      </c>
      <c r="G2828" s="129" t="s">
        <v>2803</v>
      </c>
      <c r="H2828" s="512">
        <v>45.39</v>
      </c>
      <c r="I2828" s="265" t="s">
        <v>359</v>
      </c>
      <c r="J2828" s="265" t="s">
        <v>102</v>
      </c>
      <c r="K2828" s="265" t="s">
        <v>6821</v>
      </c>
      <c r="L2828" s="348" t="s">
        <v>1205</v>
      </c>
      <c r="M2828" s="265" t="s">
        <v>6822</v>
      </c>
      <c r="N2828" s="347">
        <v>0.24399999999999999</v>
      </c>
      <c r="O2828" s="348" t="s">
        <v>1205</v>
      </c>
      <c r="P2828" s="348">
        <v>0.24399999999999999</v>
      </c>
      <c r="Q2828" s="348" t="s">
        <v>1205</v>
      </c>
    </row>
    <row r="2829" spans="1:17" ht="15" hidden="1" customHeight="1">
      <c r="A2829" s="163">
        <v>2837</v>
      </c>
      <c r="B2829" s="53" t="s">
        <v>45</v>
      </c>
      <c r="C2829" s="53" t="s">
        <v>6823</v>
      </c>
      <c r="D2829" s="53">
        <v>100028232</v>
      </c>
      <c r="E2829" s="55" t="s">
        <v>6824</v>
      </c>
      <c r="F2829" s="129">
        <v>1</v>
      </c>
      <c r="G2829" s="129" t="s">
        <v>2803</v>
      </c>
      <c r="H2829" s="512">
        <v>45.39</v>
      </c>
      <c r="I2829" s="265" t="s">
        <v>76</v>
      </c>
      <c r="J2829" s="265" t="s">
        <v>102</v>
      </c>
      <c r="K2829" s="265" t="s">
        <v>6825</v>
      </c>
      <c r="L2829" s="348" t="s">
        <v>1205</v>
      </c>
      <c r="M2829" s="265" t="s">
        <v>6826</v>
      </c>
      <c r="N2829" s="347">
        <v>0.31</v>
      </c>
      <c r="O2829" s="348" t="s">
        <v>1205</v>
      </c>
      <c r="P2829" s="348">
        <v>0.31</v>
      </c>
      <c r="Q2829" s="348" t="s">
        <v>1205</v>
      </c>
    </row>
    <row r="2830" spans="1:17" ht="15" hidden="1" customHeight="1">
      <c r="A2830" s="163">
        <v>2838</v>
      </c>
      <c r="B2830" s="53" t="s">
        <v>45</v>
      </c>
      <c r="C2830" s="53" t="s">
        <v>6827</v>
      </c>
      <c r="D2830" s="53">
        <v>100028234</v>
      </c>
      <c r="E2830" s="55" t="s">
        <v>6828</v>
      </c>
      <c r="F2830" s="129">
        <v>1</v>
      </c>
      <c r="G2830" s="129" t="s">
        <v>2803</v>
      </c>
      <c r="H2830" s="512">
        <v>63.32</v>
      </c>
      <c r="I2830" s="265" t="s">
        <v>359</v>
      </c>
      <c r="J2830" s="265" t="s">
        <v>102</v>
      </c>
      <c r="K2830" s="265" t="s">
        <v>6829</v>
      </c>
      <c r="L2830" s="348" t="s">
        <v>1205</v>
      </c>
      <c r="M2830" s="265" t="s">
        <v>6830</v>
      </c>
      <c r="N2830" s="347">
        <v>0.52</v>
      </c>
      <c r="O2830" s="348" t="s">
        <v>1205</v>
      </c>
      <c r="P2830" s="348">
        <v>0.52</v>
      </c>
      <c r="Q2830" s="348" t="s">
        <v>1205</v>
      </c>
    </row>
    <row r="2831" spans="1:17" ht="15" hidden="1" customHeight="1">
      <c r="A2831" s="163">
        <v>2839</v>
      </c>
      <c r="B2831" s="53" t="s">
        <v>45</v>
      </c>
      <c r="C2831" s="53" t="s">
        <v>6831</v>
      </c>
      <c r="D2831" s="53">
        <v>100028235</v>
      </c>
      <c r="E2831" s="55" t="s">
        <v>6832</v>
      </c>
      <c r="F2831" s="129">
        <v>1</v>
      </c>
      <c r="G2831" s="129" t="s">
        <v>2803</v>
      </c>
      <c r="H2831" s="512">
        <v>63.32</v>
      </c>
      <c r="I2831" s="265" t="s">
        <v>76</v>
      </c>
      <c r="J2831" s="265" t="s">
        <v>102</v>
      </c>
      <c r="K2831" s="265" t="s">
        <v>6833</v>
      </c>
      <c r="L2831" s="348" t="s">
        <v>1205</v>
      </c>
      <c r="M2831" s="265" t="s">
        <v>6834</v>
      </c>
      <c r="N2831" s="347">
        <v>0.63</v>
      </c>
      <c r="O2831" s="348" t="s">
        <v>1205</v>
      </c>
      <c r="P2831" s="348">
        <v>0.63</v>
      </c>
      <c r="Q2831" s="348" t="s">
        <v>1205</v>
      </c>
    </row>
    <row r="2832" spans="1:17" ht="15" hidden="1" customHeight="1">
      <c r="A2832" s="163">
        <v>2840</v>
      </c>
      <c r="B2832" s="53" t="s">
        <v>45</v>
      </c>
      <c r="C2832" s="53" t="s">
        <v>6835</v>
      </c>
      <c r="D2832" s="53">
        <v>100028236</v>
      </c>
      <c r="E2832" s="55" t="s">
        <v>6836</v>
      </c>
      <c r="F2832" s="129">
        <v>1</v>
      </c>
      <c r="G2832" s="129" t="s">
        <v>2803</v>
      </c>
      <c r="H2832" s="512">
        <v>70.28</v>
      </c>
      <c r="I2832" s="265" t="s">
        <v>359</v>
      </c>
      <c r="J2832" s="265" t="s">
        <v>102</v>
      </c>
      <c r="K2832" s="265" t="s">
        <v>6837</v>
      </c>
      <c r="L2832" s="348" t="s">
        <v>1205</v>
      </c>
      <c r="M2832" s="265" t="s">
        <v>6838</v>
      </c>
      <c r="N2832" s="347">
        <v>0.66</v>
      </c>
      <c r="O2832" s="348" t="s">
        <v>1205</v>
      </c>
      <c r="P2832" s="348">
        <v>0.66</v>
      </c>
      <c r="Q2832" s="348" t="s">
        <v>1205</v>
      </c>
    </row>
    <row r="2833" spans="1:17" ht="15" hidden="1" customHeight="1">
      <c r="A2833" s="163">
        <v>2841</v>
      </c>
      <c r="B2833" s="53" t="s">
        <v>45</v>
      </c>
      <c r="C2833" s="53" t="s">
        <v>6839</v>
      </c>
      <c r="D2833" s="53">
        <v>100028237</v>
      </c>
      <c r="E2833" s="55" t="s">
        <v>6840</v>
      </c>
      <c r="F2833" s="129">
        <v>1</v>
      </c>
      <c r="G2833" s="129" t="s">
        <v>2803</v>
      </c>
      <c r="H2833" s="512">
        <v>70.28</v>
      </c>
      <c r="I2833" s="265" t="s">
        <v>359</v>
      </c>
      <c r="J2833" s="265" t="s">
        <v>102</v>
      </c>
      <c r="K2833" s="265" t="s">
        <v>6841</v>
      </c>
      <c r="L2833" s="348" t="s">
        <v>1205</v>
      </c>
      <c r="M2833" s="265" t="s">
        <v>6842</v>
      </c>
      <c r="N2833" s="347">
        <v>0.72</v>
      </c>
      <c r="O2833" s="348" t="s">
        <v>1205</v>
      </c>
      <c r="P2833" s="348">
        <v>0.72</v>
      </c>
      <c r="Q2833" s="348" t="s">
        <v>1205</v>
      </c>
    </row>
    <row r="2834" spans="1:17" ht="15" hidden="1" customHeight="1">
      <c r="A2834" s="163">
        <v>2842</v>
      </c>
      <c r="B2834" s="53" t="s">
        <v>45</v>
      </c>
      <c r="C2834" s="53" t="s">
        <v>6843</v>
      </c>
      <c r="D2834" s="53">
        <v>100028238</v>
      </c>
      <c r="E2834" s="55" t="s">
        <v>6844</v>
      </c>
      <c r="F2834" s="129">
        <v>1</v>
      </c>
      <c r="G2834" s="129" t="s">
        <v>2803</v>
      </c>
      <c r="H2834" s="512">
        <v>70.28</v>
      </c>
      <c r="I2834" s="265" t="s">
        <v>359</v>
      </c>
      <c r="J2834" s="265" t="s">
        <v>102</v>
      </c>
      <c r="K2834" s="265" t="s">
        <v>6845</v>
      </c>
      <c r="L2834" s="348" t="s">
        <v>1205</v>
      </c>
      <c r="M2834" s="265" t="s">
        <v>6846</v>
      </c>
      <c r="N2834" s="347">
        <v>0.89500000000000002</v>
      </c>
      <c r="O2834" s="348" t="s">
        <v>1205</v>
      </c>
      <c r="P2834" s="348">
        <v>0.89500000000000002</v>
      </c>
      <c r="Q2834" s="348" t="s">
        <v>1205</v>
      </c>
    </row>
    <row r="2835" spans="1:17" ht="15" hidden="1" customHeight="1">
      <c r="A2835" s="163">
        <v>2843</v>
      </c>
      <c r="B2835" s="53" t="s">
        <v>45</v>
      </c>
      <c r="C2835" s="53" t="s">
        <v>6847</v>
      </c>
      <c r="D2835" s="53">
        <v>100028239</v>
      </c>
      <c r="E2835" s="55" t="s">
        <v>6848</v>
      </c>
      <c r="F2835" s="129">
        <v>1</v>
      </c>
      <c r="G2835" s="129" t="s">
        <v>2803</v>
      </c>
      <c r="H2835" s="512">
        <v>54.21</v>
      </c>
      <c r="I2835" s="265" t="s">
        <v>359</v>
      </c>
      <c r="J2835" s="265" t="s">
        <v>102</v>
      </c>
      <c r="K2835" s="265" t="s">
        <v>6849</v>
      </c>
      <c r="L2835" s="348" t="s">
        <v>1205</v>
      </c>
      <c r="M2835" s="265" t="s">
        <v>6850</v>
      </c>
      <c r="N2835" s="347">
        <v>0.34200000000000003</v>
      </c>
      <c r="O2835" s="348" t="s">
        <v>1205</v>
      </c>
      <c r="P2835" s="348">
        <v>0.34200000000000003</v>
      </c>
      <c r="Q2835" s="348" t="s">
        <v>1205</v>
      </c>
    </row>
    <row r="2836" spans="1:17" ht="15" hidden="1" customHeight="1">
      <c r="A2836" s="163">
        <v>2844</v>
      </c>
      <c r="B2836" s="53" t="s">
        <v>45</v>
      </c>
      <c r="C2836" s="53" t="s">
        <v>6851</v>
      </c>
      <c r="D2836" s="53">
        <v>100028240</v>
      </c>
      <c r="E2836" s="55" t="s">
        <v>6852</v>
      </c>
      <c r="F2836" s="129">
        <v>1</v>
      </c>
      <c r="G2836" s="129" t="s">
        <v>2803</v>
      </c>
      <c r="H2836" s="512">
        <v>54.21</v>
      </c>
      <c r="I2836" s="265" t="s">
        <v>76</v>
      </c>
      <c r="J2836" s="265" t="s">
        <v>102</v>
      </c>
      <c r="K2836" s="265" t="s">
        <v>6853</v>
      </c>
      <c r="L2836" s="348" t="s">
        <v>1205</v>
      </c>
      <c r="M2836" s="265" t="s">
        <v>6854</v>
      </c>
      <c r="N2836" s="347">
        <v>0.443</v>
      </c>
      <c r="O2836" s="348" t="s">
        <v>1205</v>
      </c>
      <c r="P2836" s="348">
        <v>0.443</v>
      </c>
      <c r="Q2836" s="348" t="s">
        <v>1205</v>
      </c>
    </row>
    <row r="2837" spans="1:17" ht="15" hidden="1" customHeight="1">
      <c r="A2837" s="163">
        <v>2845</v>
      </c>
      <c r="B2837" s="53" t="s">
        <v>45</v>
      </c>
      <c r="C2837" s="53" t="s">
        <v>6855</v>
      </c>
      <c r="D2837" s="53">
        <v>100028242</v>
      </c>
      <c r="E2837" s="55" t="s">
        <v>6856</v>
      </c>
      <c r="F2837" s="129">
        <v>1</v>
      </c>
      <c r="G2837" s="129" t="s">
        <v>2803</v>
      </c>
      <c r="H2837" s="512">
        <v>80.010000000000005</v>
      </c>
      <c r="I2837" s="265" t="s">
        <v>359</v>
      </c>
      <c r="J2837" s="265" t="s">
        <v>102</v>
      </c>
      <c r="K2837" s="265" t="s">
        <v>6857</v>
      </c>
      <c r="L2837" s="348" t="s">
        <v>1205</v>
      </c>
      <c r="M2837" s="265" t="s">
        <v>6858</v>
      </c>
      <c r="N2837" s="347">
        <v>0.67</v>
      </c>
      <c r="O2837" s="348" t="s">
        <v>1205</v>
      </c>
      <c r="P2837" s="348">
        <v>0.67</v>
      </c>
      <c r="Q2837" s="348" t="s">
        <v>1205</v>
      </c>
    </row>
    <row r="2838" spans="1:17" ht="15" hidden="1" customHeight="1">
      <c r="A2838" s="163">
        <v>2846</v>
      </c>
      <c r="B2838" s="53" t="s">
        <v>45</v>
      </c>
      <c r="C2838" s="53" t="s">
        <v>6859</v>
      </c>
      <c r="D2838" s="53">
        <v>100028243</v>
      </c>
      <c r="E2838" s="55" t="s">
        <v>6860</v>
      </c>
      <c r="F2838" s="129">
        <v>1</v>
      </c>
      <c r="G2838" s="129" t="s">
        <v>2803</v>
      </c>
      <c r="H2838" s="512">
        <v>80.010000000000005</v>
      </c>
      <c r="I2838" s="265" t="s">
        <v>359</v>
      </c>
      <c r="J2838" s="265" t="s">
        <v>102</v>
      </c>
      <c r="K2838" s="265" t="s">
        <v>6861</v>
      </c>
      <c r="L2838" s="348" t="s">
        <v>1205</v>
      </c>
      <c r="M2838" s="265" t="s">
        <v>6862</v>
      </c>
      <c r="N2838" s="347">
        <v>0.78</v>
      </c>
      <c r="O2838" s="348" t="s">
        <v>1205</v>
      </c>
      <c r="P2838" s="348">
        <v>0.78</v>
      </c>
      <c r="Q2838" s="348" t="s">
        <v>1205</v>
      </c>
    </row>
    <row r="2839" spans="1:17" ht="15" hidden="1" customHeight="1">
      <c r="A2839" s="163">
        <v>2847</v>
      </c>
      <c r="B2839" s="53" t="s">
        <v>45</v>
      </c>
      <c r="C2839" s="53" t="s">
        <v>6863</v>
      </c>
      <c r="D2839" s="53">
        <v>100028244</v>
      </c>
      <c r="E2839" s="55" t="s">
        <v>6864</v>
      </c>
      <c r="F2839" s="129">
        <v>1</v>
      </c>
      <c r="G2839" s="129" t="s">
        <v>2803</v>
      </c>
      <c r="H2839" s="512">
        <v>88.92</v>
      </c>
      <c r="I2839" s="265" t="s">
        <v>359</v>
      </c>
      <c r="J2839" s="265" t="s">
        <v>102</v>
      </c>
      <c r="K2839" s="265" t="s">
        <v>6865</v>
      </c>
      <c r="L2839" s="348" t="s">
        <v>1205</v>
      </c>
      <c r="M2839" s="265" t="s">
        <v>6866</v>
      </c>
      <c r="N2839" s="347">
        <v>0.87</v>
      </c>
      <c r="O2839" s="348" t="s">
        <v>1205</v>
      </c>
      <c r="P2839" s="348">
        <v>0.87</v>
      </c>
      <c r="Q2839" s="348" t="s">
        <v>1205</v>
      </c>
    </row>
    <row r="2840" spans="1:17" ht="15" hidden="1" customHeight="1">
      <c r="A2840" s="163">
        <v>2848</v>
      </c>
      <c r="B2840" s="53" t="s">
        <v>45</v>
      </c>
      <c r="C2840" s="53" t="s">
        <v>6867</v>
      </c>
      <c r="D2840" s="53">
        <v>100028245</v>
      </c>
      <c r="E2840" s="55" t="s">
        <v>6868</v>
      </c>
      <c r="F2840" s="129">
        <v>1</v>
      </c>
      <c r="G2840" s="129" t="s">
        <v>2803</v>
      </c>
      <c r="H2840" s="512">
        <v>88.92</v>
      </c>
      <c r="I2840" s="265" t="s">
        <v>359</v>
      </c>
      <c r="J2840" s="265" t="s">
        <v>102</v>
      </c>
      <c r="K2840" s="265" t="s">
        <v>6869</v>
      </c>
      <c r="L2840" s="348" t="s">
        <v>1205</v>
      </c>
      <c r="M2840" s="265" t="s">
        <v>6870</v>
      </c>
      <c r="N2840" s="347">
        <v>0.995</v>
      </c>
      <c r="O2840" s="348" t="s">
        <v>1205</v>
      </c>
      <c r="P2840" s="348">
        <v>0.995</v>
      </c>
      <c r="Q2840" s="348" t="s">
        <v>1205</v>
      </c>
    </row>
    <row r="2841" spans="1:17" ht="15" hidden="1" customHeight="1">
      <c r="A2841" s="163">
        <v>2849</v>
      </c>
      <c r="B2841" s="53" t="s">
        <v>45</v>
      </c>
      <c r="C2841" s="53" t="s">
        <v>6871</v>
      </c>
      <c r="D2841" s="53">
        <v>100028246</v>
      </c>
      <c r="E2841" s="55" t="s">
        <v>6872</v>
      </c>
      <c r="F2841" s="129">
        <v>1</v>
      </c>
      <c r="G2841" s="129" t="s">
        <v>2803</v>
      </c>
      <c r="H2841" s="512">
        <v>88.92</v>
      </c>
      <c r="I2841" s="265" t="s">
        <v>359</v>
      </c>
      <c r="J2841" s="265" t="s">
        <v>102</v>
      </c>
      <c r="K2841" s="265" t="s">
        <v>6873</v>
      </c>
      <c r="L2841" s="348" t="s">
        <v>1205</v>
      </c>
      <c r="M2841" s="265" t="s">
        <v>6874</v>
      </c>
      <c r="N2841" s="347">
        <v>1.1000000000000001</v>
      </c>
      <c r="O2841" s="348" t="s">
        <v>1205</v>
      </c>
      <c r="P2841" s="348">
        <v>1.1000000000000001</v>
      </c>
      <c r="Q2841" s="348" t="s">
        <v>1205</v>
      </c>
    </row>
    <row r="2842" spans="1:17" ht="15" hidden="1" customHeight="1">
      <c r="A2842" s="163">
        <v>2850</v>
      </c>
      <c r="B2842" s="53" t="s">
        <v>45</v>
      </c>
      <c r="C2842" s="53" t="s">
        <v>6875</v>
      </c>
      <c r="D2842" s="53">
        <v>100028247</v>
      </c>
      <c r="E2842" s="55" t="s">
        <v>6876</v>
      </c>
      <c r="F2842" s="129">
        <v>1</v>
      </c>
      <c r="G2842" s="129" t="s">
        <v>2803</v>
      </c>
      <c r="H2842" s="512">
        <v>68.37</v>
      </c>
      <c r="I2842" s="265" t="s">
        <v>359</v>
      </c>
      <c r="J2842" s="265" t="s">
        <v>102</v>
      </c>
      <c r="K2842" s="265" t="s">
        <v>6877</v>
      </c>
      <c r="L2842" s="348" t="s">
        <v>1205</v>
      </c>
      <c r="M2842" s="265" t="s">
        <v>6878</v>
      </c>
      <c r="N2842" s="347">
        <v>0.46500000000000002</v>
      </c>
      <c r="O2842" s="348" t="s">
        <v>1205</v>
      </c>
      <c r="P2842" s="348">
        <v>0.46500000000000002</v>
      </c>
      <c r="Q2842" s="348" t="s">
        <v>1205</v>
      </c>
    </row>
    <row r="2843" spans="1:17" ht="15" hidden="1" customHeight="1">
      <c r="A2843" s="163">
        <v>2851</v>
      </c>
      <c r="B2843" s="53" t="s">
        <v>45</v>
      </c>
      <c r="C2843" s="53" t="s">
        <v>6879</v>
      </c>
      <c r="D2843" s="53">
        <v>100028248</v>
      </c>
      <c r="E2843" s="55" t="s">
        <v>6880</v>
      </c>
      <c r="F2843" s="129">
        <v>1</v>
      </c>
      <c r="G2843" s="129" t="s">
        <v>2803</v>
      </c>
      <c r="H2843" s="512">
        <v>68.37</v>
      </c>
      <c r="I2843" s="265" t="s">
        <v>359</v>
      </c>
      <c r="J2843" s="265" t="s">
        <v>102</v>
      </c>
      <c r="K2843" s="265" t="s">
        <v>6881</v>
      </c>
      <c r="L2843" s="348" t="s">
        <v>1205</v>
      </c>
      <c r="M2843" s="265" t="s">
        <v>6882</v>
      </c>
      <c r="N2843" s="347">
        <v>0.56499999999999995</v>
      </c>
      <c r="O2843" s="348" t="s">
        <v>1205</v>
      </c>
      <c r="P2843" s="348">
        <v>0.56499999999999995</v>
      </c>
      <c r="Q2843" s="348" t="s">
        <v>1205</v>
      </c>
    </row>
    <row r="2844" spans="1:17" ht="15" hidden="1" customHeight="1">
      <c r="A2844" s="163">
        <v>2852</v>
      </c>
      <c r="B2844" s="53" t="s">
        <v>45</v>
      </c>
      <c r="C2844" s="53" t="s">
        <v>6884</v>
      </c>
      <c r="D2844" s="53">
        <v>100028233</v>
      </c>
      <c r="E2844" s="55" t="s">
        <v>6885</v>
      </c>
      <c r="F2844" s="129">
        <v>20</v>
      </c>
      <c r="G2844" s="129">
        <v>2700</v>
      </c>
      <c r="H2844" s="512">
        <v>3.69</v>
      </c>
      <c r="I2844" s="265" t="s">
        <v>359</v>
      </c>
      <c r="J2844" s="265" t="s">
        <v>102</v>
      </c>
      <c r="K2844" s="265" t="s">
        <v>6886</v>
      </c>
      <c r="L2844" s="348" t="s">
        <v>1205</v>
      </c>
      <c r="M2844" s="265" t="s">
        <v>6888</v>
      </c>
      <c r="N2844" s="347">
        <v>3.4249999999999998</v>
      </c>
      <c r="O2844" s="348">
        <v>20</v>
      </c>
      <c r="P2844" s="348">
        <v>34.25</v>
      </c>
      <c r="Q2844" s="348">
        <v>0.31</v>
      </c>
    </row>
    <row r="2845" spans="1:17" ht="15" hidden="1" customHeight="1">
      <c r="A2845" s="163">
        <v>2853</v>
      </c>
      <c r="B2845" s="53" t="s">
        <v>45</v>
      </c>
      <c r="C2845" s="53" t="s">
        <v>6889</v>
      </c>
      <c r="D2845" s="53">
        <v>100028241</v>
      </c>
      <c r="E2845" s="55" t="s">
        <v>6890</v>
      </c>
      <c r="F2845" s="129">
        <v>20</v>
      </c>
      <c r="G2845" s="129">
        <v>2700</v>
      </c>
      <c r="H2845" s="512">
        <v>4.12</v>
      </c>
      <c r="I2845" s="265" t="s">
        <v>359</v>
      </c>
      <c r="J2845" s="265" t="s">
        <v>102</v>
      </c>
      <c r="K2845" s="265" t="s">
        <v>6891</v>
      </c>
      <c r="L2845" s="348" t="s">
        <v>1205</v>
      </c>
      <c r="M2845" s="265" t="s">
        <v>6893</v>
      </c>
      <c r="N2845" s="347">
        <v>4.4249999999999998</v>
      </c>
      <c r="O2845" s="348">
        <v>20</v>
      </c>
      <c r="P2845" s="348">
        <v>44.25</v>
      </c>
      <c r="Q2845" s="348">
        <v>0.31</v>
      </c>
    </row>
    <row r="2846" spans="1:17" ht="15" hidden="1" customHeight="1">
      <c r="A2846" s="163">
        <v>2854</v>
      </c>
      <c r="B2846" s="53" t="s">
        <v>45</v>
      </c>
      <c r="C2846" s="53" t="s">
        <v>6894</v>
      </c>
      <c r="D2846" s="53">
        <v>100028249</v>
      </c>
      <c r="E2846" s="55" t="s">
        <v>6895</v>
      </c>
      <c r="F2846" s="129">
        <v>20</v>
      </c>
      <c r="G2846" s="129" t="s">
        <v>2803</v>
      </c>
      <c r="H2846" s="512">
        <v>4.6500000000000004</v>
      </c>
      <c r="I2846" s="265" t="s">
        <v>359</v>
      </c>
      <c r="J2846" s="265" t="s">
        <v>102</v>
      </c>
      <c r="K2846" s="265" t="s">
        <v>6896</v>
      </c>
      <c r="L2846" s="348" t="s">
        <v>1205</v>
      </c>
      <c r="M2846" s="265" t="s">
        <v>6897</v>
      </c>
      <c r="N2846" s="347">
        <v>5.0999999999999996</v>
      </c>
      <c r="O2846" s="348">
        <v>20</v>
      </c>
      <c r="P2846" s="348">
        <v>51</v>
      </c>
      <c r="Q2846" s="348" t="s">
        <v>1205</v>
      </c>
    </row>
    <row r="2847" spans="1:17" ht="15" hidden="1" customHeight="1">
      <c r="A2847" s="163">
        <v>2855</v>
      </c>
      <c r="B2847" s="53" t="s">
        <v>45</v>
      </c>
      <c r="C2847" s="53" t="s">
        <v>6899</v>
      </c>
      <c r="D2847" s="53">
        <v>100028367</v>
      </c>
      <c r="E2847" s="55" t="s">
        <v>6900</v>
      </c>
      <c r="F2847" s="129">
        <v>1</v>
      </c>
      <c r="G2847" s="129" t="s">
        <v>2803</v>
      </c>
      <c r="H2847" s="512">
        <v>33.799999999999997</v>
      </c>
      <c r="I2847" s="265" t="s">
        <v>359</v>
      </c>
      <c r="J2847" s="265" t="s">
        <v>102</v>
      </c>
      <c r="K2847" s="265" t="s">
        <v>6901</v>
      </c>
      <c r="L2847" s="348" t="s">
        <v>1205</v>
      </c>
      <c r="M2847" s="265" t="s">
        <v>6902</v>
      </c>
      <c r="N2847" s="347">
        <v>0.44</v>
      </c>
      <c r="O2847" s="348" t="s">
        <v>1205</v>
      </c>
      <c r="P2847" s="348">
        <v>0.44</v>
      </c>
      <c r="Q2847" s="348" t="s">
        <v>1205</v>
      </c>
    </row>
    <row r="2848" spans="1:17" ht="15" hidden="1" customHeight="1">
      <c r="A2848" s="163">
        <v>2856</v>
      </c>
      <c r="B2848" s="53" t="s">
        <v>45</v>
      </c>
      <c r="C2848" s="53" t="s">
        <v>6903</v>
      </c>
      <c r="D2848" s="53">
        <v>100028368</v>
      </c>
      <c r="E2848" s="55" t="s">
        <v>6904</v>
      </c>
      <c r="F2848" s="129">
        <v>1</v>
      </c>
      <c r="G2848" s="129" t="s">
        <v>2803</v>
      </c>
      <c r="H2848" s="512">
        <v>37.6</v>
      </c>
      <c r="I2848" s="265" t="s">
        <v>359</v>
      </c>
      <c r="J2848" s="265" t="s">
        <v>102</v>
      </c>
      <c r="K2848" s="265" t="s">
        <v>6905</v>
      </c>
      <c r="L2848" s="348" t="s">
        <v>1205</v>
      </c>
      <c r="M2848" s="265" t="s">
        <v>6906</v>
      </c>
      <c r="N2848" s="347">
        <v>0.505</v>
      </c>
      <c r="O2848" s="348" t="s">
        <v>1205</v>
      </c>
      <c r="P2848" s="348">
        <v>0.505</v>
      </c>
      <c r="Q2848" s="348" t="s">
        <v>1205</v>
      </c>
    </row>
    <row r="2849" spans="1:17" ht="15" hidden="1" customHeight="1">
      <c r="A2849" s="163">
        <v>2857</v>
      </c>
      <c r="B2849" s="53" t="s">
        <v>45</v>
      </c>
      <c r="C2849" s="53" t="s">
        <v>6907</v>
      </c>
      <c r="D2849" s="53">
        <v>100028369</v>
      </c>
      <c r="E2849" s="55" t="s">
        <v>6908</v>
      </c>
      <c r="F2849" s="129">
        <v>1</v>
      </c>
      <c r="G2849" s="129" t="s">
        <v>2803</v>
      </c>
      <c r="H2849" s="512">
        <v>46.46</v>
      </c>
      <c r="I2849" s="265" t="s">
        <v>359</v>
      </c>
      <c r="J2849" s="265" t="s">
        <v>102</v>
      </c>
      <c r="K2849" s="265" t="s">
        <v>6909</v>
      </c>
      <c r="L2849" s="348" t="s">
        <v>1205</v>
      </c>
      <c r="M2849" s="265" t="s">
        <v>6910</v>
      </c>
      <c r="N2849" s="347">
        <v>0.56499999999999995</v>
      </c>
      <c r="O2849" s="348" t="s">
        <v>1205</v>
      </c>
      <c r="P2849" s="348">
        <v>0.56499999999999995</v>
      </c>
      <c r="Q2849" s="348" t="s">
        <v>1205</v>
      </c>
    </row>
    <row r="2850" spans="1:17" ht="15" hidden="1" customHeight="1">
      <c r="A2850" s="163">
        <v>2858</v>
      </c>
      <c r="B2850" s="53" t="s">
        <v>45</v>
      </c>
      <c r="C2850" s="53" t="s">
        <v>6911</v>
      </c>
      <c r="D2850" s="53">
        <v>100028370</v>
      </c>
      <c r="E2850" s="55" t="s">
        <v>6912</v>
      </c>
      <c r="F2850" s="129">
        <v>1</v>
      </c>
      <c r="G2850" s="129" t="s">
        <v>2803</v>
      </c>
      <c r="H2850" s="512">
        <v>30.76</v>
      </c>
      <c r="I2850" s="265" t="s">
        <v>359</v>
      </c>
      <c r="J2850" s="265" t="s">
        <v>102</v>
      </c>
      <c r="K2850" s="265" t="s">
        <v>6913</v>
      </c>
      <c r="L2850" s="348" t="s">
        <v>1205</v>
      </c>
      <c r="M2850" s="265" t="s">
        <v>6914</v>
      </c>
      <c r="N2850" s="347">
        <v>0.48</v>
      </c>
      <c r="O2850" s="348" t="s">
        <v>1205</v>
      </c>
      <c r="P2850" s="348">
        <v>0.48</v>
      </c>
      <c r="Q2850" s="348" t="s">
        <v>1205</v>
      </c>
    </row>
    <row r="2851" spans="1:17" ht="15" hidden="1" customHeight="1">
      <c r="A2851" s="163">
        <v>2859</v>
      </c>
      <c r="B2851" s="53" t="s">
        <v>45</v>
      </c>
      <c r="C2851" s="53" t="s">
        <v>6915</v>
      </c>
      <c r="D2851" s="53">
        <v>100028371</v>
      </c>
      <c r="E2851" s="55" t="s">
        <v>6916</v>
      </c>
      <c r="F2851" s="129">
        <v>1</v>
      </c>
      <c r="G2851" s="129" t="s">
        <v>2803</v>
      </c>
      <c r="H2851" s="512">
        <v>35.619999999999997</v>
      </c>
      <c r="I2851" s="265" t="s">
        <v>359</v>
      </c>
      <c r="J2851" s="265" t="s">
        <v>102</v>
      </c>
      <c r="K2851" s="265" t="s">
        <v>6917</v>
      </c>
      <c r="L2851" s="348" t="s">
        <v>1205</v>
      </c>
      <c r="M2851" s="265" t="s">
        <v>6918</v>
      </c>
      <c r="N2851" s="347">
        <v>0.53500000000000003</v>
      </c>
      <c r="O2851" s="348" t="s">
        <v>1205</v>
      </c>
      <c r="P2851" s="348">
        <v>0.53500000000000003</v>
      </c>
      <c r="Q2851" s="348" t="s">
        <v>1205</v>
      </c>
    </row>
    <row r="2852" spans="1:17" ht="15" hidden="1" customHeight="1">
      <c r="A2852" s="163">
        <v>2860</v>
      </c>
      <c r="B2852" s="53" t="s">
        <v>45</v>
      </c>
      <c r="C2852" s="53" t="s">
        <v>6919</v>
      </c>
      <c r="D2852" s="53">
        <v>100028372</v>
      </c>
      <c r="E2852" s="55" t="s">
        <v>6920</v>
      </c>
      <c r="F2852" s="129">
        <v>1</v>
      </c>
      <c r="G2852" s="129" t="s">
        <v>2803</v>
      </c>
      <c r="H2852" s="512">
        <v>44.45</v>
      </c>
      <c r="I2852" s="265" t="s">
        <v>359</v>
      </c>
      <c r="J2852" s="265" t="s">
        <v>102</v>
      </c>
      <c r="K2852" s="265" t="s">
        <v>6921</v>
      </c>
      <c r="L2852" s="348" t="s">
        <v>1205</v>
      </c>
      <c r="M2852" s="265" t="s">
        <v>6922</v>
      </c>
      <c r="N2852" s="347">
        <v>0.61499999999999999</v>
      </c>
      <c r="O2852" s="348" t="s">
        <v>1205</v>
      </c>
      <c r="P2852" s="348">
        <v>0.61499999999999999</v>
      </c>
      <c r="Q2852" s="348" t="s">
        <v>1205</v>
      </c>
    </row>
    <row r="2853" spans="1:17" ht="15" hidden="1" customHeight="1">
      <c r="A2853" s="163">
        <v>2861</v>
      </c>
      <c r="B2853" s="53" t="s">
        <v>45</v>
      </c>
      <c r="C2853" s="53" t="s">
        <v>6923</v>
      </c>
      <c r="D2853" s="53">
        <v>100028373</v>
      </c>
      <c r="E2853" s="55" t="s">
        <v>6924</v>
      </c>
      <c r="F2853" s="129">
        <v>1</v>
      </c>
      <c r="G2853" s="129" t="s">
        <v>2803</v>
      </c>
      <c r="H2853" s="512">
        <v>14.03</v>
      </c>
      <c r="I2853" s="265" t="s">
        <v>359</v>
      </c>
      <c r="J2853" s="265" t="s">
        <v>102</v>
      </c>
      <c r="K2853" s="265" t="s">
        <v>6925</v>
      </c>
      <c r="L2853" s="348" t="s">
        <v>1205</v>
      </c>
      <c r="M2853" s="265" t="s">
        <v>6926</v>
      </c>
      <c r="N2853" s="347">
        <v>0.14499999999999999</v>
      </c>
      <c r="O2853" s="348" t="s">
        <v>1205</v>
      </c>
      <c r="P2853" s="348">
        <v>0.14499999999999999</v>
      </c>
      <c r="Q2853" s="348" t="s">
        <v>1205</v>
      </c>
    </row>
    <row r="2854" spans="1:17" ht="15" hidden="1" customHeight="1">
      <c r="A2854" s="163">
        <v>2862</v>
      </c>
      <c r="B2854" s="53" t="s">
        <v>45</v>
      </c>
      <c r="C2854" s="53" t="s">
        <v>6927</v>
      </c>
      <c r="D2854" s="53">
        <v>100028374</v>
      </c>
      <c r="E2854" s="55" t="s">
        <v>6928</v>
      </c>
      <c r="F2854" s="129">
        <v>1</v>
      </c>
      <c r="G2854" s="129" t="s">
        <v>2803</v>
      </c>
      <c r="H2854" s="512">
        <v>17.2</v>
      </c>
      <c r="I2854" s="265" t="s">
        <v>359</v>
      </c>
      <c r="J2854" s="265" t="s">
        <v>102</v>
      </c>
      <c r="K2854" s="265" t="s">
        <v>6929</v>
      </c>
      <c r="L2854" s="348" t="s">
        <v>1205</v>
      </c>
      <c r="M2854" s="265" t="s">
        <v>6930</v>
      </c>
      <c r="N2854" s="347">
        <v>0.215</v>
      </c>
      <c r="O2854" s="348" t="s">
        <v>1205</v>
      </c>
      <c r="P2854" s="348">
        <v>0.215</v>
      </c>
      <c r="Q2854" s="348" t="s">
        <v>1205</v>
      </c>
    </row>
    <row r="2855" spans="1:17" ht="15" hidden="1" customHeight="1">
      <c r="A2855" s="163">
        <v>2863</v>
      </c>
      <c r="B2855" s="53" t="s">
        <v>45</v>
      </c>
      <c r="C2855" s="53" t="s">
        <v>6931</v>
      </c>
      <c r="D2855" s="53">
        <v>100028375</v>
      </c>
      <c r="E2855" s="55" t="s">
        <v>6932</v>
      </c>
      <c r="F2855" s="129">
        <v>1</v>
      </c>
      <c r="G2855" s="129" t="s">
        <v>2803</v>
      </c>
      <c r="H2855" s="512">
        <v>22.86</v>
      </c>
      <c r="I2855" s="265" t="s">
        <v>359</v>
      </c>
      <c r="J2855" s="265" t="s">
        <v>102</v>
      </c>
      <c r="K2855" s="265" t="s">
        <v>6933</v>
      </c>
      <c r="L2855" s="348" t="s">
        <v>1205</v>
      </c>
      <c r="M2855" s="265" t="s">
        <v>6934</v>
      </c>
      <c r="N2855" s="347">
        <v>0.27</v>
      </c>
      <c r="O2855" s="348" t="s">
        <v>1205</v>
      </c>
      <c r="P2855" s="348">
        <v>0.27</v>
      </c>
      <c r="Q2855" s="348" t="s">
        <v>1205</v>
      </c>
    </row>
    <row r="2856" spans="1:17" ht="15" hidden="1" customHeight="1">
      <c r="A2856" s="163">
        <v>2864</v>
      </c>
      <c r="B2856" s="53" t="s">
        <v>45</v>
      </c>
      <c r="C2856" s="53" t="s">
        <v>6935</v>
      </c>
      <c r="D2856" s="53">
        <v>100028376</v>
      </c>
      <c r="E2856" s="55" t="s">
        <v>6936</v>
      </c>
      <c r="F2856" s="129">
        <v>1</v>
      </c>
      <c r="G2856" s="129" t="s">
        <v>2803</v>
      </c>
      <c r="H2856" s="512">
        <v>14.03</v>
      </c>
      <c r="I2856" s="265" t="s">
        <v>359</v>
      </c>
      <c r="J2856" s="265" t="s">
        <v>102</v>
      </c>
      <c r="K2856" s="265" t="s">
        <v>6937</v>
      </c>
      <c r="L2856" s="348" t="s">
        <v>1205</v>
      </c>
      <c r="M2856" s="265" t="s">
        <v>6938</v>
      </c>
      <c r="N2856" s="347">
        <v>0.15</v>
      </c>
      <c r="O2856" s="348" t="s">
        <v>1205</v>
      </c>
      <c r="P2856" s="348">
        <v>0.15</v>
      </c>
      <c r="Q2856" s="348" t="s">
        <v>1205</v>
      </c>
    </row>
    <row r="2857" spans="1:17" ht="15" hidden="1" customHeight="1">
      <c r="A2857" s="163">
        <v>2865</v>
      </c>
      <c r="B2857" s="53" t="s">
        <v>45</v>
      </c>
      <c r="C2857" s="53" t="s">
        <v>6939</v>
      </c>
      <c r="D2857" s="53">
        <v>100028377</v>
      </c>
      <c r="E2857" s="55" t="s">
        <v>6940</v>
      </c>
      <c r="F2857" s="129">
        <v>1</v>
      </c>
      <c r="G2857" s="129" t="s">
        <v>2803</v>
      </c>
      <c r="H2857" s="512">
        <v>17.2</v>
      </c>
      <c r="I2857" s="265" t="s">
        <v>359</v>
      </c>
      <c r="J2857" s="265" t="s">
        <v>102</v>
      </c>
      <c r="K2857" s="265" t="s">
        <v>6941</v>
      </c>
      <c r="L2857" s="348" t="s">
        <v>1205</v>
      </c>
      <c r="M2857" s="265" t="s">
        <v>6942</v>
      </c>
      <c r="N2857" s="347">
        <v>0.215</v>
      </c>
      <c r="O2857" s="348" t="s">
        <v>1205</v>
      </c>
      <c r="P2857" s="348">
        <v>0.215</v>
      </c>
      <c r="Q2857" s="348" t="s">
        <v>1205</v>
      </c>
    </row>
    <row r="2858" spans="1:17" ht="15" hidden="1" customHeight="1">
      <c r="A2858" s="163">
        <v>2866</v>
      </c>
      <c r="B2858" s="53" t="s">
        <v>45</v>
      </c>
      <c r="C2858" s="53" t="s">
        <v>6943</v>
      </c>
      <c r="D2858" s="53">
        <v>100028378</v>
      </c>
      <c r="E2858" s="55" t="s">
        <v>6944</v>
      </c>
      <c r="F2858" s="129">
        <v>1</v>
      </c>
      <c r="G2858" s="129" t="s">
        <v>2803</v>
      </c>
      <c r="H2858" s="512">
        <v>22.86</v>
      </c>
      <c r="I2858" s="265" t="s">
        <v>359</v>
      </c>
      <c r="J2858" s="265" t="s">
        <v>102</v>
      </c>
      <c r="K2858" s="265" t="s">
        <v>6945</v>
      </c>
      <c r="L2858" s="348" t="s">
        <v>1205</v>
      </c>
      <c r="M2858" s="265" t="s">
        <v>6946</v>
      </c>
      <c r="N2858" s="347">
        <v>0.29499999999999998</v>
      </c>
      <c r="O2858" s="348" t="s">
        <v>1205</v>
      </c>
      <c r="P2858" s="348">
        <v>0.29499999999999998</v>
      </c>
      <c r="Q2858" s="348" t="s">
        <v>1205</v>
      </c>
    </row>
    <row r="2859" spans="1:17" ht="15" hidden="1" customHeight="1">
      <c r="A2859" s="163">
        <v>2867</v>
      </c>
      <c r="B2859" s="53" t="s">
        <v>45</v>
      </c>
      <c r="C2859" s="53" t="s">
        <v>6947</v>
      </c>
      <c r="D2859" s="53">
        <v>100028379</v>
      </c>
      <c r="E2859" s="55" t="s">
        <v>6948</v>
      </c>
      <c r="F2859" s="129">
        <v>1</v>
      </c>
      <c r="G2859" s="129" t="s">
        <v>2803</v>
      </c>
      <c r="H2859" s="512">
        <v>14.82</v>
      </c>
      <c r="I2859" s="265" t="s">
        <v>359</v>
      </c>
      <c r="J2859" s="265" t="s">
        <v>102</v>
      </c>
      <c r="K2859" s="265" t="s">
        <v>6949</v>
      </c>
      <c r="L2859" s="348" t="s">
        <v>1205</v>
      </c>
      <c r="M2859" s="265" t="s">
        <v>6950</v>
      </c>
      <c r="N2859" s="347">
        <v>0.115</v>
      </c>
      <c r="O2859" s="348" t="s">
        <v>1205</v>
      </c>
      <c r="P2859" s="348">
        <v>0.115</v>
      </c>
      <c r="Q2859" s="348" t="s">
        <v>1205</v>
      </c>
    </row>
    <row r="2860" spans="1:17" ht="15" hidden="1" customHeight="1">
      <c r="A2860" s="163">
        <v>2868</v>
      </c>
      <c r="B2860" s="53" t="s">
        <v>45</v>
      </c>
      <c r="C2860" s="53" t="s">
        <v>6951</v>
      </c>
      <c r="D2860" s="53">
        <v>100028380</v>
      </c>
      <c r="E2860" s="55" t="s">
        <v>6952</v>
      </c>
      <c r="F2860" s="129">
        <v>1</v>
      </c>
      <c r="G2860" s="129" t="s">
        <v>2803</v>
      </c>
      <c r="H2860" s="512">
        <v>18.18</v>
      </c>
      <c r="I2860" s="265" t="s">
        <v>359</v>
      </c>
      <c r="J2860" s="265" t="s">
        <v>102</v>
      </c>
      <c r="K2860" s="265" t="s">
        <v>6953</v>
      </c>
      <c r="L2860" s="348" t="s">
        <v>1205</v>
      </c>
      <c r="M2860" s="265" t="s">
        <v>6954</v>
      </c>
      <c r="N2860" s="347">
        <v>0.15</v>
      </c>
      <c r="O2860" s="348" t="s">
        <v>1205</v>
      </c>
      <c r="P2860" s="348">
        <v>0.15</v>
      </c>
      <c r="Q2860" s="348" t="s">
        <v>1205</v>
      </c>
    </row>
    <row r="2861" spans="1:17" ht="15" hidden="1" customHeight="1">
      <c r="A2861" s="163">
        <v>2869</v>
      </c>
      <c r="B2861" s="53" t="s">
        <v>45</v>
      </c>
      <c r="C2861" s="53" t="s">
        <v>6955</v>
      </c>
      <c r="D2861" s="53">
        <v>100028381</v>
      </c>
      <c r="E2861" s="55" t="s">
        <v>6956</v>
      </c>
      <c r="F2861" s="129">
        <v>1</v>
      </c>
      <c r="G2861" s="129" t="s">
        <v>2803</v>
      </c>
      <c r="H2861" s="512">
        <v>24</v>
      </c>
      <c r="I2861" s="265" t="s">
        <v>359</v>
      </c>
      <c r="J2861" s="265" t="s">
        <v>102</v>
      </c>
      <c r="K2861" s="265" t="s">
        <v>6957</v>
      </c>
      <c r="L2861" s="348" t="s">
        <v>1205</v>
      </c>
      <c r="M2861" s="265" t="s">
        <v>6958</v>
      </c>
      <c r="N2861" s="347">
        <v>0.19</v>
      </c>
      <c r="O2861" s="348" t="s">
        <v>1205</v>
      </c>
      <c r="P2861" s="348">
        <v>0.19</v>
      </c>
      <c r="Q2861" s="348" t="s">
        <v>1205</v>
      </c>
    </row>
    <row r="2862" spans="1:17" ht="15" hidden="1" customHeight="1">
      <c r="A2862" s="163">
        <v>2870</v>
      </c>
      <c r="B2862" s="53" t="s">
        <v>45</v>
      </c>
      <c r="C2862" s="53" t="s">
        <v>6959</v>
      </c>
      <c r="D2862" s="53">
        <v>100028382</v>
      </c>
      <c r="E2862" s="55" t="s">
        <v>6960</v>
      </c>
      <c r="F2862" s="129">
        <v>1</v>
      </c>
      <c r="G2862" s="129" t="s">
        <v>2803</v>
      </c>
      <c r="H2862" s="512">
        <v>14.82</v>
      </c>
      <c r="I2862" s="265" t="s">
        <v>359</v>
      </c>
      <c r="J2862" s="265" t="s">
        <v>102</v>
      </c>
      <c r="K2862" s="265" t="s">
        <v>6961</v>
      </c>
      <c r="L2862" s="348" t="s">
        <v>1205</v>
      </c>
      <c r="M2862" s="265" t="s">
        <v>6962</v>
      </c>
      <c r="N2862" s="347">
        <v>0.22</v>
      </c>
      <c r="O2862" s="348" t="s">
        <v>1205</v>
      </c>
      <c r="P2862" s="348">
        <v>0.22</v>
      </c>
      <c r="Q2862" s="348" t="s">
        <v>1205</v>
      </c>
    </row>
    <row r="2863" spans="1:17" ht="15" hidden="1" customHeight="1">
      <c r="A2863" s="163">
        <v>2871</v>
      </c>
      <c r="B2863" s="53" t="s">
        <v>45</v>
      </c>
      <c r="C2863" s="53" t="s">
        <v>6963</v>
      </c>
      <c r="D2863" s="53">
        <v>100028383</v>
      </c>
      <c r="E2863" s="55" t="s">
        <v>6964</v>
      </c>
      <c r="F2863" s="129">
        <v>1</v>
      </c>
      <c r="G2863" s="129" t="s">
        <v>2803</v>
      </c>
      <c r="H2863" s="512">
        <v>18.18</v>
      </c>
      <c r="I2863" s="265" t="s">
        <v>359</v>
      </c>
      <c r="J2863" s="265" t="s">
        <v>102</v>
      </c>
      <c r="K2863" s="265" t="s">
        <v>6965</v>
      </c>
      <c r="L2863" s="348" t="s">
        <v>1205</v>
      </c>
      <c r="M2863" s="265" t="s">
        <v>6966</v>
      </c>
      <c r="N2863" s="347">
        <v>0.33</v>
      </c>
      <c r="O2863" s="348" t="s">
        <v>1205</v>
      </c>
      <c r="P2863" s="348">
        <v>0.33</v>
      </c>
      <c r="Q2863" s="348" t="s">
        <v>1205</v>
      </c>
    </row>
    <row r="2864" spans="1:17" ht="15" hidden="1" customHeight="1">
      <c r="A2864" s="163">
        <v>2872</v>
      </c>
      <c r="B2864" s="53" t="s">
        <v>45</v>
      </c>
      <c r="C2864" s="53" t="s">
        <v>6967</v>
      </c>
      <c r="D2864" s="53">
        <v>100028384</v>
      </c>
      <c r="E2864" s="55" t="s">
        <v>6968</v>
      </c>
      <c r="F2864" s="129">
        <v>1</v>
      </c>
      <c r="G2864" s="129" t="s">
        <v>2803</v>
      </c>
      <c r="H2864" s="512">
        <v>24</v>
      </c>
      <c r="I2864" s="265" t="s">
        <v>359</v>
      </c>
      <c r="J2864" s="265" t="s">
        <v>102</v>
      </c>
      <c r="K2864" s="265" t="s">
        <v>6969</v>
      </c>
      <c r="L2864" s="348" t="s">
        <v>1205</v>
      </c>
      <c r="M2864" s="265" t="s">
        <v>6970</v>
      </c>
      <c r="N2864" s="347">
        <v>0.36</v>
      </c>
      <c r="O2864" s="348" t="s">
        <v>1205</v>
      </c>
      <c r="P2864" s="348">
        <v>0.36</v>
      </c>
      <c r="Q2864" s="348" t="s">
        <v>1205</v>
      </c>
    </row>
    <row r="2865" spans="1:17" ht="15" hidden="1" customHeight="1">
      <c r="A2865" s="163">
        <v>2873</v>
      </c>
      <c r="B2865" s="53" t="s">
        <v>45</v>
      </c>
      <c r="C2865" s="53" t="s">
        <v>6971</v>
      </c>
      <c r="D2865" s="53">
        <v>100028385</v>
      </c>
      <c r="E2865" s="55" t="s">
        <v>6972</v>
      </c>
      <c r="F2865" s="129">
        <v>1</v>
      </c>
      <c r="G2865" s="129" t="s">
        <v>2803</v>
      </c>
      <c r="H2865" s="512">
        <v>14.03</v>
      </c>
      <c r="I2865" s="265" t="s">
        <v>359</v>
      </c>
      <c r="J2865" s="265" t="s">
        <v>102</v>
      </c>
      <c r="K2865" s="265" t="s">
        <v>6973</v>
      </c>
      <c r="L2865" s="348" t="s">
        <v>1205</v>
      </c>
      <c r="M2865" s="265" t="s">
        <v>6974</v>
      </c>
      <c r="N2865" s="347">
        <v>0.14499999999999999</v>
      </c>
      <c r="O2865" s="348" t="s">
        <v>1205</v>
      </c>
      <c r="P2865" s="348">
        <v>0.14499999999999999</v>
      </c>
      <c r="Q2865" s="348" t="s">
        <v>1205</v>
      </c>
    </row>
    <row r="2866" spans="1:17" ht="15" hidden="1" customHeight="1">
      <c r="A2866" s="163">
        <v>2874</v>
      </c>
      <c r="B2866" s="53" t="s">
        <v>45</v>
      </c>
      <c r="C2866" s="53" t="s">
        <v>6975</v>
      </c>
      <c r="D2866" s="53">
        <v>100028386</v>
      </c>
      <c r="E2866" s="55" t="s">
        <v>6932</v>
      </c>
      <c r="F2866" s="129">
        <v>1</v>
      </c>
      <c r="G2866" s="129" t="s">
        <v>2803</v>
      </c>
      <c r="H2866" s="512">
        <v>17.2</v>
      </c>
      <c r="I2866" s="265" t="s">
        <v>359</v>
      </c>
      <c r="J2866" s="265" t="s">
        <v>102</v>
      </c>
      <c r="K2866" s="265" t="s">
        <v>6976</v>
      </c>
      <c r="L2866" s="348" t="s">
        <v>1205</v>
      </c>
      <c r="M2866" s="265" t="s">
        <v>6977</v>
      </c>
      <c r="N2866" s="347">
        <v>0.215</v>
      </c>
      <c r="O2866" s="348" t="s">
        <v>1205</v>
      </c>
      <c r="P2866" s="348">
        <v>0.215</v>
      </c>
      <c r="Q2866" s="348" t="s">
        <v>1205</v>
      </c>
    </row>
    <row r="2867" spans="1:17" ht="15" hidden="1" customHeight="1">
      <c r="A2867" s="163">
        <v>2875</v>
      </c>
      <c r="B2867" s="53" t="s">
        <v>45</v>
      </c>
      <c r="C2867" s="53" t="s">
        <v>6978</v>
      </c>
      <c r="D2867" s="53">
        <v>100028387</v>
      </c>
      <c r="E2867" s="55" t="s">
        <v>6979</v>
      </c>
      <c r="F2867" s="129">
        <v>1</v>
      </c>
      <c r="G2867" s="129" t="s">
        <v>2803</v>
      </c>
      <c r="H2867" s="512">
        <v>22.86</v>
      </c>
      <c r="I2867" s="265" t="s">
        <v>359</v>
      </c>
      <c r="J2867" s="265" t="s">
        <v>102</v>
      </c>
      <c r="K2867" s="265" t="s">
        <v>6980</v>
      </c>
      <c r="L2867" s="348" t="s">
        <v>1205</v>
      </c>
      <c r="M2867" s="265" t="s">
        <v>6981</v>
      </c>
      <c r="N2867" s="347">
        <v>0.27</v>
      </c>
      <c r="O2867" s="348" t="s">
        <v>1205</v>
      </c>
      <c r="P2867" s="348">
        <v>0.27</v>
      </c>
      <c r="Q2867" s="348" t="s">
        <v>1205</v>
      </c>
    </row>
    <row r="2868" spans="1:17" ht="15" hidden="1" customHeight="1">
      <c r="A2868" s="163">
        <v>2876</v>
      </c>
      <c r="B2868" s="53" t="s">
        <v>45</v>
      </c>
      <c r="C2868" s="53" t="s">
        <v>6982</v>
      </c>
      <c r="D2868" s="53">
        <v>100028388</v>
      </c>
      <c r="E2868" s="55" t="s">
        <v>6983</v>
      </c>
      <c r="F2868" s="129">
        <v>1</v>
      </c>
      <c r="G2868" s="129" t="s">
        <v>2803</v>
      </c>
      <c r="H2868" s="512">
        <v>14.03</v>
      </c>
      <c r="I2868" s="265" t="s">
        <v>359</v>
      </c>
      <c r="J2868" s="265" t="s">
        <v>102</v>
      </c>
      <c r="K2868" s="265" t="s">
        <v>6984</v>
      </c>
      <c r="L2868" s="348" t="s">
        <v>1205</v>
      </c>
      <c r="M2868" s="265" t="s">
        <v>6985</v>
      </c>
      <c r="N2868" s="347">
        <v>0.15</v>
      </c>
      <c r="O2868" s="348" t="s">
        <v>1205</v>
      </c>
      <c r="P2868" s="348">
        <v>0.15</v>
      </c>
      <c r="Q2868" s="348" t="s">
        <v>1205</v>
      </c>
    </row>
    <row r="2869" spans="1:17" ht="15" hidden="1" customHeight="1">
      <c r="A2869" s="163">
        <v>2877</v>
      </c>
      <c r="B2869" s="53" t="s">
        <v>45</v>
      </c>
      <c r="C2869" s="53" t="s">
        <v>6986</v>
      </c>
      <c r="D2869" s="53">
        <v>100028389</v>
      </c>
      <c r="E2869" s="55" t="s">
        <v>6987</v>
      </c>
      <c r="F2869" s="129">
        <v>1</v>
      </c>
      <c r="G2869" s="129" t="s">
        <v>2803</v>
      </c>
      <c r="H2869" s="512">
        <v>17.2</v>
      </c>
      <c r="I2869" s="265" t="s">
        <v>359</v>
      </c>
      <c r="J2869" s="265" t="s">
        <v>102</v>
      </c>
      <c r="K2869" s="265" t="s">
        <v>6988</v>
      </c>
      <c r="L2869" s="348" t="s">
        <v>1205</v>
      </c>
      <c r="M2869" s="265" t="s">
        <v>6989</v>
      </c>
      <c r="N2869" s="347">
        <v>0.215</v>
      </c>
      <c r="O2869" s="348" t="s">
        <v>1205</v>
      </c>
      <c r="P2869" s="348">
        <v>0.215</v>
      </c>
      <c r="Q2869" s="348" t="s">
        <v>1205</v>
      </c>
    </row>
  </sheetData>
  <sheetProtection algorithmName="SHA-512" hashValue="pjprGt7LCqX++RPCXDtEf1o/qSdUa5GsXU/oA6TOq46j9Zo3PWPXaMm4VaywWe9RSN7B6Lk3Xl3409A0rLrrTA==" saltValue="cuAyO0reEgkYGmrpnMfWwg==" spinCount="100000" sheet="1" formatCells="0" formatColumns="0" formatRows="0" sort="0" autoFilter="0" pivotTables="0"/>
  <autoFilter ref="B7:Q2869" xr:uid="{59BD7925-A56E-4C44-A6E1-1300773593FE}">
    <filterColumn colId="1">
      <filters>
        <filter val="488-007"/>
      </filters>
    </filterColumn>
  </autoFilter>
  <mergeCells count="1">
    <mergeCell ref="K6:M6"/>
  </mergeCells>
  <phoneticPr fontId="33" type="noConversion"/>
  <dataValidations disablePrompts="1" count="1"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D2" xr:uid="{5634CFAB-B188-431A-A560-C370690914A0}">
      <formula1>0.35</formula1>
    </dataValidation>
  </dataValidations>
  <hyperlinks>
    <hyperlink ref="E2075" location="SDRFab!C2046" display="Fabricated TEE HHH" xr:uid="{E3DB2E49-E243-42FB-957F-E97DB2549B77}"/>
    <hyperlink ref="E2124" location="SDRFab!C2118" display="Fabricated TEE SHH" xr:uid="{63C4BED6-310C-49EB-8A94-04068C05A0BC}"/>
  </hyperlinks>
  <printOptions horizontalCentered="1"/>
  <pageMargins left="0.7" right="0.7" top="0.75" bottom="0.75" header="0.3" footer="0.3"/>
  <pageSetup scale="91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54" manualBreakCount="54">
    <brk id="66" max="7" man="1"/>
    <brk id="122" max="7" man="1"/>
    <brk id="181" max="7" man="1"/>
    <brk id="241" max="7" man="1"/>
    <brk id="295" max="7" man="1"/>
    <brk id="353" max="7" man="1"/>
    <brk id="404" max="7" man="1"/>
    <brk id="460" max="7" man="1"/>
    <brk id="498" max="7" man="1"/>
    <brk id="553" max="7" man="1"/>
    <brk id="600" max="7" man="1"/>
    <brk id="646" max="7" man="1"/>
    <brk id="704" max="7" man="1"/>
    <brk id="761" max="7" man="1"/>
    <brk id="820" max="7" man="1"/>
    <brk id="878" max="7" man="1"/>
    <brk id="936" max="7" man="1"/>
    <brk id="991" max="7" man="1"/>
    <brk id="1044" max="7" man="1"/>
    <brk id="1097" max="7" man="1"/>
    <brk id="1146" max="7" man="1"/>
    <brk id="1203" max="7" man="1"/>
    <brk id="1253" max="7" man="1"/>
    <brk id="1308" max="7" man="1"/>
    <brk id="1362" max="7" man="1"/>
    <brk id="1416" max="7" man="1"/>
    <brk id="1466" max="7" man="1"/>
    <brk id="1523" max="7" man="1"/>
    <brk id="1581" max="7" man="1"/>
    <brk id="1641" max="7" man="1"/>
    <brk id="1694" max="7" man="1"/>
    <brk id="1751" max="7" man="1"/>
    <brk id="1807" max="7" man="1"/>
    <brk id="1849" max="7" man="1"/>
    <brk id="1889" max="7" man="1"/>
    <brk id="1937" max="7" man="1"/>
    <brk id="1985" max="7" man="1"/>
    <brk id="2031" max="7" man="1"/>
    <brk id="2080" max="7" man="1"/>
    <brk id="2131" max="7" man="1"/>
    <brk id="2182" max="7" man="1"/>
    <brk id="2235" max="7" man="1"/>
    <brk id="2289" max="7" man="1"/>
    <brk id="2340" max="7" man="1"/>
    <brk id="2395" max="7" man="1"/>
    <brk id="2445" max="7" man="1"/>
    <brk id="2495" max="7" man="1"/>
    <brk id="2551" max="7" man="1"/>
    <brk id="2598" max="7" man="1"/>
    <brk id="2639" max="7" man="1"/>
    <brk id="2693" max="7" man="1"/>
    <brk id="2745" max="7" man="1"/>
    <brk id="2788" max="7" man="1"/>
    <brk id="2843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  <pageSetUpPr fitToPage="1"/>
  </sheetPr>
  <dimension ref="A1:V307"/>
  <sheetViews>
    <sheetView showGridLines="0" zoomScale="106" zoomScaleNormal="106" zoomScaleSheetLayoutView="70" workbookViewId="0">
      <pane xSplit="6" ySplit="7" topLeftCell="G8" activePane="bottomRight" state="frozen"/>
      <selection pane="bottomRight" activeCell="I8" sqref="I8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2.28515625" style="5" customWidth="1"/>
    <col min="2" max="3" width="8.7109375" style="2" customWidth="1"/>
    <col min="4" max="4" width="12.7109375" style="20" customWidth="1"/>
    <col min="5" max="5" width="12.7109375" style="4" customWidth="1"/>
    <col min="6" max="6" width="50.7109375" style="2" customWidth="1"/>
    <col min="7" max="7" width="11.42578125" style="280" customWidth="1"/>
    <col min="8" max="8" width="10.7109375" style="523" customWidth="1"/>
    <col min="9" max="10" width="10.7109375" style="165" customWidth="1"/>
    <col min="11" max="11" width="10.7109375" style="2" customWidth="1"/>
    <col min="12" max="12" width="1.42578125" style="2" customWidth="1"/>
    <col min="13" max="13" width="10.7109375" style="4" customWidth="1"/>
    <col min="14" max="14" width="2.28515625" style="11" customWidth="1"/>
    <col min="15" max="15" width="12.7109375" style="373" customWidth="1"/>
    <col min="16" max="16" width="10.7109375" style="2" customWidth="1"/>
    <col min="17" max="17" width="11.7109375" style="2" customWidth="1"/>
    <col min="18" max="18" width="12.7109375" style="2" customWidth="1"/>
    <col min="19" max="19" width="13.7109375" style="2" customWidth="1"/>
    <col min="20" max="20" width="9.85546875" style="528" customWidth="1"/>
    <col min="21" max="16384" width="9.140625" style="2"/>
  </cols>
  <sheetData>
    <row r="1" spans="1:22" ht="18.75">
      <c r="F1" s="257" t="s">
        <v>326</v>
      </c>
      <c r="G1" s="531"/>
      <c r="H1" s="532"/>
      <c r="O1" s="526"/>
      <c r="P1" s="170"/>
    </row>
    <row r="2" spans="1:22" ht="15.75" customHeight="1">
      <c r="D2" s="521"/>
      <c r="E2" s="13"/>
      <c r="J2" s="585" t="s">
        <v>59</v>
      </c>
      <c r="K2" s="585"/>
    </row>
    <row r="3" spans="1:22">
      <c r="F3" s="436" t="s">
        <v>327</v>
      </c>
      <c r="J3" s="585"/>
      <c r="K3" s="585"/>
    </row>
    <row r="4" spans="1:22" ht="15.75" customHeight="1">
      <c r="D4" s="521"/>
      <c r="E4" s="14" t="s">
        <v>328</v>
      </c>
      <c r="F4" s="439" t="s">
        <v>328</v>
      </c>
    </row>
    <row r="5" spans="1:22">
      <c r="E5" s="14"/>
      <c r="F5" s="438" t="s">
        <v>329</v>
      </c>
      <c r="O5" s="527"/>
    </row>
    <row r="6" spans="1:22">
      <c r="I6" s="4"/>
      <c r="J6" s="4"/>
      <c r="O6" s="527" t="s">
        <v>63</v>
      </c>
      <c r="Q6" s="576" t="s">
        <v>64</v>
      </c>
      <c r="R6" s="576"/>
      <c r="S6" s="576"/>
    </row>
    <row r="7" spans="1:22" s="264" customFormat="1" ht="36" customHeight="1" thickBo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524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529" t="s">
        <v>73</v>
      </c>
      <c r="U7" s="263" t="s">
        <v>330</v>
      </c>
      <c r="V7" s="263" t="s">
        <v>331</v>
      </c>
    </row>
    <row r="8" spans="1:22">
      <c r="A8" s="5" t="str">
        <f>IF(K8&gt;0,COUNT($A$7:A7)+1,"")</f>
        <v/>
      </c>
      <c r="B8" s="26"/>
      <c r="C8" s="49"/>
      <c r="D8" s="512" t="str">
        <f>_xlfn.XLOOKUP(E8,'All Products'!D:D,'All Products'!C:C,FALSE)</f>
        <v>100-3188</v>
      </c>
      <c r="E8" s="106">
        <v>300005635</v>
      </c>
      <c r="F8" s="522" t="str">
        <f>_xlfn.XLOOKUP(E8,'All Products'!D:D,'All Products'!E:E,FALSE)</f>
        <v>1-1/4 COUPLING DWV</v>
      </c>
      <c r="G8" s="282">
        <f>_xlfn.XLOOKUP(E8,'All Products'!D:D,'All Products'!F:F,FALSE)</f>
        <v>100</v>
      </c>
      <c r="H8" s="533">
        <f>_xlfn.XLOOKUP(E8,'All Products'!D:D,'All Products'!G:G,FALSE)</f>
        <v>8000</v>
      </c>
      <c r="I8" s="512">
        <f>_xlfn.XLOOKUP(E8,'All Products'!D:D,'All Products'!H:H,FALSE)</f>
        <v>70.37</v>
      </c>
      <c r="J8" s="216">
        <f>ROUNDUP(I8*Order_Quote!$L$2,2)</f>
        <v>351.85</v>
      </c>
      <c r="K8" s="124"/>
      <c r="L8" s="79"/>
      <c r="M8" s="107">
        <f t="shared" ref="M8:M70" si="0">K8/G8</f>
        <v>0</v>
      </c>
      <c r="O8" s="525" t="str">
        <f>_xlfn.XLOOKUP(E8,'All Products'!D:D,'All Products'!I:I,FALSE)</f>
        <v>Within 6 Weeks</v>
      </c>
      <c r="P8" s="525" t="str">
        <f>_xlfn.XLOOKUP(E8,'All Products'!D:D,'All Products'!J:J,FALSE)</f>
        <v>Sourced</v>
      </c>
      <c r="Q8" s="525" t="str">
        <f>_xlfn.XLOOKUP(F8,'All Products'!E:E,'All Products'!K:K,FALSE)</f>
        <v>810673013821</v>
      </c>
      <c r="R8" s="525" t="str">
        <f>_xlfn.XLOOKUP(E8,'All Products'!D:D,'All Products'!L:L,FALSE)</f>
        <v>-</v>
      </c>
      <c r="S8" s="525">
        <f>_xlfn.XLOOKUP(E8,'All Products'!D:D,'All Products'!M:M,FALSE)</f>
        <v>0</v>
      </c>
      <c r="T8" s="530">
        <f>_xlfn.XLOOKUP(E8,'All Products'!D:D,'All Products'!N:N,FALSE)</f>
        <v>0.08</v>
      </c>
      <c r="U8" s="530">
        <f>_xlfn.XLOOKUP(E8,'All Products'!D:D,'All Products'!P:P,FALSE)</f>
        <v>8</v>
      </c>
      <c r="V8" s="530" t="str">
        <f>_xlfn.XLOOKUP(E8,'All Products'!D:D,'All Products'!Q:Q,FALSE)</f>
        <v>-</v>
      </c>
    </row>
    <row r="9" spans="1:22">
      <c r="A9" s="5" t="str">
        <f>IF(K9&gt;0,COUNT($A$7:A8)+1,"")</f>
        <v/>
      </c>
      <c r="B9" s="34"/>
      <c r="C9" s="50"/>
      <c r="D9" s="512" t="str">
        <f>_xlfn.XLOOKUP(E9,'All Products'!D:D,'All Products'!C:C,FALSE)</f>
        <v>100-3189</v>
      </c>
      <c r="E9" s="106">
        <v>100028841</v>
      </c>
      <c r="F9" s="522" t="str">
        <f>_xlfn.XLOOKUP(E9,'All Products'!D:D,'All Products'!E:E,FALSE)</f>
        <v>1-1/2 COUPLING DWV</v>
      </c>
      <c r="G9" s="282">
        <f>_xlfn.XLOOKUP(E9,'All Products'!D:D,'All Products'!F:F,FALSE)</f>
        <v>100</v>
      </c>
      <c r="H9" s="533">
        <f>_xlfn.XLOOKUP(E9,'All Products'!D:D,'All Products'!G:G,FALSE)</f>
        <v>6300</v>
      </c>
      <c r="I9" s="512">
        <f>_xlfn.XLOOKUP(E9,'All Products'!D:D,'All Products'!H:H,FALSE)</f>
        <v>13.56</v>
      </c>
      <c r="J9" s="216">
        <f>ROUNDUP(I9*Order_Quote!$L$2,2)</f>
        <v>67.8</v>
      </c>
      <c r="K9" s="123"/>
      <c r="L9" s="79"/>
      <c r="M9" s="107">
        <f t="shared" si="0"/>
        <v>0</v>
      </c>
      <c r="O9" s="525" t="str">
        <f>_xlfn.XLOOKUP(E9,'All Products'!D:D,'All Products'!I:I,FALSE)</f>
        <v>In Stock</v>
      </c>
      <c r="P9" s="525" t="str">
        <f>_xlfn.XLOOKUP(E9,'All Products'!D:D,'All Products'!J:J,FALSE)</f>
        <v>Manufactured</v>
      </c>
      <c r="Q9" s="525" t="str">
        <f>_xlfn.XLOOKUP(F9,'All Products'!E:E,'All Products'!K:K,FALSE)</f>
        <v>810673013838</v>
      </c>
      <c r="R9" s="525" t="str">
        <f>_xlfn.XLOOKUP(E9,'All Products'!D:D,'All Products'!L:L,FALSE)</f>
        <v>-</v>
      </c>
      <c r="S9" s="525" t="str">
        <f>_xlfn.XLOOKUP(E9,'All Products'!D:D,'All Products'!M:M,FALSE)</f>
        <v>10810673013835</v>
      </c>
      <c r="T9" s="530">
        <f>_xlfn.XLOOKUP(E9,'All Products'!D:D,'All Products'!N:N,FALSE)</f>
        <v>0.109</v>
      </c>
      <c r="U9" s="530">
        <f>_xlfn.XLOOKUP(E9,'All Products'!D:D,'All Products'!P:P,FALSE)</f>
        <v>10.9</v>
      </c>
      <c r="V9" s="530">
        <f>_xlfn.XLOOKUP(E9,'All Products'!D:D,'All Products'!Q:Q,FALSE)</f>
        <v>0.66940792428507967</v>
      </c>
    </row>
    <row r="10" spans="1:22">
      <c r="A10" s="5" t="str">
        <f>IF(K10&gt;0,COUNT($A$7:A9)+1,"")</f>
        <v/>
      </c>
      <c r="B10" s="34"/>
      <c r="C10" s="50"/>
      <c r="D10" s="512" t="str">
        <f>_xlfn.XLOOKUP(E10,'All Products'!D:D,'All Products'!C:C,FALSE)</f>
        <v>100-3190</v>
      </c>
      <c r="E10" s="106">
        <v>100028842</v>
      </c>
      <c r="F10" s="522" t="str">
        <f>_xlfn.XLOOKUP(E10,'All Products'!D:D,'All Products'!E:E,FALSE)</f>
        <v>2 COUPLING DWV</v>
      </c>
      <c r="G10" s="282">
        <f>_xlfn.XLOOKUP(E10,'All Products'!D:D,'All Products'!F:F,FALSE)</f>
        <v>100</v>
      </c>
      <c r="H10" s="533">
        <f>_xlfn.XLOOKUP(E10,'All Products'!D:D,'All Products'!G:G,FALSE)</f>
        <v>4500</v>
      </c>
      <c r="I10" s="512">
        <f>_xlfn.XLOOKUP(E10,'All Products'!D:D,'All Products'!H:H,FALSE)</f>
        <v>18.600000000000001</v>
      </c>
      <c r="J10" s="216">
        <f>ROUNDUP(I10*Order_Quote!$L$2,2)</f>
        <v>93</v>
      </c>
      <c r="K10" s="123"/>
      <c r="L10" s="79"/>
      <c r="M10" s="107">
        <f t="shared" si="0"/>
        <v>0</v>
      </c>
      <c r="O10" s="525" t="str">
        <f>_xlfn.XLOOKUP(E10,'All Products'!D:D,'All Products'!I:I,FALSE)</f>
        <v>In Stock</v>
      </c>
      <c r="P10" s="525" t="str">
        <f>_xlfn.XLOOKUP(E10,'All Products'!D:D,'All Products'!J:J,FALSE)</f>
        <v>Manufactured</v>
      </c>
      <c r="Q10" s="525" t="str">
        <f>_xlfn.XLOOKUP(F10,'All Products'!E:E,'All Products'!K:K,FALSE)</f>
        <v>810673013845</v>
      </c>
      <c r="R10" s="525" t="str">
        <f>_xlfn.XLOOKUP(E10,'All Products'!D:D,'All Products'!L:L,FALSE)</f>
        <v>-</v>
      </c>
      <c r="S10" s="525" t="str">
        <f>_xlfn.XLOOKUP(E10,'All Products'!D:D,'All Products'!M:M,FALSE)</f>
        <v>10810673013842</v>
      </c>
      <c r="T10" s="530">
        <f>_xlfn.XLOOKUP(E10,'All Products'!D:D,'All Products'!N:N,FALSE)</f>
        <v>0.13900000000000001</v>
      </c>
      <c r="U10" s="530">
        <f>_xlfn.XLOOKUP(E10,'All Products'!D:D,'All Products'!P:P,FALSE)</f>
        <v>13.900000000000002</v>
      </c>
      <c r="V10" s="530">
        <f>_xlfn.XLOOKUP(E10,'All Products'!D:D,'All Products'!Q:Q,FALSE)</f>
        <v>0.98955954024750914</v>
      </c>
    </row>
    <row r="11" spans="1:22">
      <c r="A11" s="5" t="str">
        <f>IF(K11&gt;0,COUNT($A$7:A10)+1,"")</f>
        <v/>
      </c>
      <c r="B11" s="34"/>
      <c r="C11" s="50"/>
      <c r="D11" s="512" t="str">
        <f>_xlfn.XLOOKUP(E11,'All Products'!D:D,'All Products'!C:C,FALSE)</f>
        <v>100-3191</v>
      </c>
      <c r="E11" s="106">
        <v>100028843</v>
      </c>
      <c r="F11" s="522" t="str">
        <f>_xlfn.XLOOKUP(E11,'All Products'!D:D,'All Products'!E:E,FALSE)</f>
        <v>3 COUPLING DWV</v>
      </c>
      <c r="G11" s="282">
        <f>_xlfn.XLOOKUP(E11,'All Products'!D:D,'All Products'!F:F,FALSE)</f>
        <v>60</v>
      </c>
      <c r="H11" s="533">
        <f>_xlfn.XLOOKUP(E11,'All Products'!D:D,'All Products'!G:G,FALSE)</f>
        <v>1080</v>
      </c>
      <c r="I11" s="512">
        <f>_xlfn.XLOOKUP(E11,'All Products'!D:D,'All Products'!H:H,FALSE)</f>
        <v>64.819999999999993</v>
      </c>
      <c r="J11" s="216">
        <f>ROUNDUP(I11*Order_Quote!$L$2,2)</f>
        <v>324.10000000000002</v>
      </c>
      <c r="K11" s="123"/>
      <c r="L11" s="79"/>
      <c r="M11" s="107">
        <f t="shared" si="0"/>
        <v>0</v>
      </c>
      <c r="O11" s="525" t="str">
        <f>_xlfn.XLOOKUP(E11,'All Products'!D:D,'All Products'!I:I,FALSE)</f>
        <v>In Stock</v>
      </c>
      <c r="P11" s="525" t="str">
        <f>_xlfn.XLOOKUP(E11,'All Products'!D:D,'All Products'!J:J,FALSE)</f>
        <v>Manufactured</v>
      </c>
      <c r="Q11" s="525" t="str">
        <f>_xlfn.XLOOKUP(F11,'All Products'!E:E,'All Products'!K:K,FALSE)</f>
        <v>810673013869</v>
      </c>
      <c r="R11" s="525" t="str">
        <f>_xlfn.XLOOKUP(E11,'All Products'!D:D,'All Products'!L:L,FALSE)</f>
        <v>-</v>
      </c>
      <c r="S11" s="525" t="str">
        <f>_xlfn.XLOOKUP(E11,'All Products'!D:D,'All Products'!M:M,FALSE)</f>
        <v>10810673013866</v>
      </c>
      <c r="T11" s="530">
        <f>_xlfn.XLOOKUP(E11,'All Products'!D:D,'All Products'!N:N,FALSE)</f>
        <v>0.52900000000000003</v>
      </c>
      <c r="U11" s="530">
        <f>_xlfn.XLOOKUP(E11,'All Products'!D:D,'All Products'!P:P,FALSE)</f>
        <v>31.740000000000002</v>
      </c>
      <c r="V11" s="530">
        <f>_xlfn.XLOOKUP(E11,'All Products'!D:D,'All Products'!Q:Q,FALSE)</f>
        <v>2.361325291407383</v>
      </c>
    </row>
    <row r="12" spans="1:22">
      <c r="A12" s="5" t="str">
        <f>IF(K12&gt;0,COUNT($A$7:A11)+1,"")</f>
        <v/>
      </c>
      <c r="B12" s="34"/>
      <c r="C12" s="50"/>
      <c r="D12" s="512" t="str">
        <f>_xlfn.XLOOKUP(E12,'All Products'!D:D,'All Products'!C:C,FALSE)</f>
        <v>100-3192</v>
      </c>
      <c r="E12" s="106">
        <v>100028844</v>
      </c>
      <c r="F12" s="522" t="str">
        <f>_xlfn.XLOOKUP(E12,'All Products'!D:D,'All Products'!E:E,FALSE)</f>
        <v>4 COUPLING DWV</v>
      </c>
      <c r="G12" s="282">
        <f>_xlfn.XLOOKUP(E12,'All Products'!D:D,'All Products'!F:F,FALSE)</f>
        <v>25</v>
      </c>
      <c r="H12" s="533">
        <f>_xlfn.XLOOKUP(E12,'All Products'!D:D,'All Products'!G:G,FALSE)</f>
        <v>600</v>
      </c>
      <c r="I12" s="512">
        <f>_xlfn.XLOOKUP(E12,'All Products'!D:D,'All Products'!H:H,FALSE)</f>
        <v>110.08</v>
      </c>
      <c r="J12" s="216">
        <f>ROUNDUP(I12*Order_Quote!$L$2,2)</f>
        <v>550.4</v>
      </c>
      <c r="K12" s="123"/>
      <c r="L12" s="79"/>
      <c r="M12" s="107">
        <f t="shared" si="0"/>
        <v>0</v>
      </c>
      <c r="O12" s="525" t="str">
        <f>_xlfn.XLOOKUP(E12,'All Products'!D:D,'All Products'!I:I,FALSE)</f>
        <v>In Stock</v>
      </c>
      <c r="P12" s="525" t="str">
        <f>_xlfn.XLOOKUP(E12,'All Products'!D:D,'All Products'!J:J,FALSE)</f>
        <v>Manufactured</v>
      </c>
      <c r="Q12" s="525" t="str">
        <f>_xlfn.XLOOKUP(F12,'All Products'!E:E,'All Products'!K:K,FALSE)</f>
        <v>810673013852</v>
      </c>
      <c r="R12" s="525" t="str">
        <f>_xlfn.XLOOKUP(E12,'All Products'!D:D,'All Products'!L:L,FALSE)</f>
        <v>-</v>
      </c>
      <c r="S12" s="525" t="str">
        <f>_xlfn.XLOOKUP(E12,'All Products'!D:D,'All Products'!M:M,FALSE)</f>
        <v>10810673013859</v>
      </c>
      <c r="T12" s="530">
        <f>_xlfn.XLOOKUP(E12,'All Products'!D:D,'All Products'!N:N,FALSE)</f>
        <v>0.95</v>
      </c>
      <c r="U12" s="530">
        <f>_xlfn.XLOOKUP(E12,'All Products'!D:D,'All Products'!P:P,FALSE)</f>
        <v>23.75</v>
      </c>
      <c r="V12" s="530">
        <f>_xlfn.XLOOKUP(E12,'All Products'!D:D,'All Products'!Q:Q,FALSE)</f>
        <v>1.8803145838984718</v>
      </c>
    </row>
    <row r="13" spans="1:22">
      <c r="A13" s="5" t="str">
        <f>IF(K13&gt;0,COUNT($A$7:A12)+1,"")</f>
        <v/>
      </c>
      <c r="B13" s="23"/>
      <c r="C13" s="51"/>
      <c r="D13" s="512" t="str">
        <f>_xlfn.XLOOKUP(E13,'All Products'!D:D,'All Products'!C:C,FALSE)</f>
        <v>100-3193</v>
      </c>
      <c r="E13" s="106">
        <v>100028845</v>
      </c>
      <c r="F13" s="522" t="str">
        <f>_xlfn.XLOOKUP(E13,'All Products'!D:D,'All Products'!E:E,FALSE)</f>
        <v>6 COUPLING DWV</v>
      </c>
      <c r="G13" s="282">
        <f>_xlfn.XLOOKUP(E13,'All Products'!D:D,'All Products'!F:F,FALSE)</f>
        <v>15</v>
      </c>
      <c r="H13" s="533">
        <f>_xlfn.XLOOKUP(E13,'All Products'!D:D,'All Products'!G:G,FALSE)</f>
        <v>180</v>
      </c>
      <c r="I13" s="512">
        <f>_xlfn.XLOOKUP(E13,'All Products'!D:D,'All Products'!H:H,FALSE)</f>
        <v>360.96</v>
      </c>
      <c r="J13" s="216">
        <f>ROUNDUP(I13*Order_Quote!$L$2,2)</f>
        <v>1804.8</v>
      </c>
      <c r="K13" s="123"/>
      <c r="L13" s="79"/>
      <c r="M13" s="107">
        <f t="shared" si="0"/>
        <v>0</v>
      </c>
      <c r="O13" s="525" t="str">
        <f>_xlfn.XLOOKUP(E13,'All Products'!D:D,'All Products'!I:I,FALSE)</f>
        <v>In Stock</v>
      </c>
      <c r="P13" s="525" t="str">
        <f>_xlfn.XLOOKUP(E13,'All Products'!D:D,'All Products'!J:J,FALSE)</f>
        <v>Manufactured</v>
      </c>
      <c r="Q13" s="525" t="str">
        <f>_xlfn.XLOOKUP(F13,'All Products'!E:E,'All Products'!K:K,FALSE)</f>
        <v>810673015351</v>
      </c>
      <c r="R13" s="525" t="str">
        <f>_xlfn.XLOOKUP(E13,'All Products'!D:D,'All Products'!L:L,FALSE)</f>
        <v>-</v>
      </c>
      <c r="S13" s="525" t="str">
        <f>_xlfn.XLOOKUP(E13,'All Products'!D:D,'All Products'!M:M,FALSE)</f>
        <v>810673015368</v>
      </c>
      <c r="T13" s="530">
        <f>_xlfn.XLOOKUP(E13,'All Products'!D:D,'All Products'!N:N,FALSE)</f>
        <v>2.31</v>
      </c>
      <c r="U13" s="530">
        <f>_xlfn.XLOOKUP(E13,'All Products'!D:D,'All Products'!P:P,FALSE)</f>
        <v>34.65</v>
      </c>
      <c r="V13" s="530">
        <f>_xlfn.XLOOKUP(E13,'All Products'!D:D,'All Products'!Q:Q,FALSE)</f>
        <v>3.6731726755225957</v>
      </c>
    </row>
    <row r="14" spans="1:22">
      <c r="A14" s="5" t="str">
        <f>IF(K14&gt;0,COUNT($A$7:A13)+1,"")</f>
        <v/>
      </c>
      <c r="B14" s="26"/>
      <c r="C14" s="49"/>
      <c r="D14" s="512" t="str">
        <f>_xlfn.XLOOKUP(E14,'All Products'!D:D,'All Products'!C:C,FALSE)</f>
        <v>101-3198</v>
      </c>
      <c r="E14" s="106">
        <v>100028846</v>
      </c>
      <c r="F14" s="522" t="str">
        <f>_xlfn.XLOOKUP(E14,'All Products'!D:D,'All Products'!E:E,FALSE)</f>
        <v>1-1/2 FEMALE ADAPTER HXFPT DWV</v>
      </c>
      <c r="G14" s="282">
        <f>_xlfn.XLOOKUP(E14,'All Products'!D:D,'All Products'!F:F,FALSE)</f>
        <v>100</v>
      </c>
      <c r="H14" s="533">
        <f>_xlfn.XLOOKUP(E14,'All Products'!D:D,'All Products'!G:G,FALSE)</f>
        <v>6300</v>
      </c>
      <c r="I14" s="512">
        <f>_xlfn.XLOOKUP(E14,'All Products'!D:D,'All Products'!H:H,FALSE)</f>
        <v>25.67</v>
      </c>
      <c r="J14" s="216">
        <f>ROUNDUP(I14*Order_Quote!$L$2,2)</f>
        <v>128.35</v>
      </c>
      <c r="K14" s="123"/>
      <c r="L14" s="79"/>
      <c r="M14" s="107">
        <f t="shared" si="0"/>
        <v>0</v>
      </c>
      <c r="O14" s="525" t="str">
        <f>_xlfn.XLOOKUP(E14,'All Products'!D:D,'All Products'!I:I,FALSE)</f>
        <v>Within 3 Weeks</v>
      </c>
      <c r="P14" s="525" t="str">
        <f>_xlfn.XLOOKUP(E14,'All Products'!D:D,'All Products'!J:J,FALSE)</f>
        <v>Manufactured</v>
      </c>
      <c r="Q14" s="525" t="str">
        <f>_xlfn.XLOOKUP(F14,'All Products'!E:E,'All Products'!K:K,FALSE)</f>
        <v>810673012541</v>
      </c>
      <c r="R14" s="525" t="str">
        <f>_xlfn.XLOOKUP(E14,'All Products'!D:D,'All Products'!L:L,FALSE)</f>
        <v>-</v>
      </c>
      <c r="S14" s="525" t="str">
        <f>_xlfn.XLOOKUP(E14,'All Products'!D:D,'All Products'!M:M,FALSE)</f>
        <v>10810673012548</v>
      </c>
      <c r="T14" s="530">
        <f>_xlfn.XLOOKUP(E14,'All Products'!D:D,'All Products'!N:N,FALSE)</f>
        <v>0.127</v>
      </c>
      <c r="U14" s="530">
        <f>_xlfn.XLOOKUP(E14,'All Products'!D:D,'All Products'!P:P,FALSE)</f>
        <v>12.7</v>
      </c>
      <c r="V14" s="530">
        <f>_xlfn.XLOOKUP(E14,'All Products'!D:D,'All Products'!Q:Q,FALSE)</f>
        <v>0.66940792428507967</v>
      </c>
    </row>
    <row r="15" spans="1:22">
      <c r="A15" s="5" t="str">
        <f>IF(K15&gt;0,COUNT($A$7:A14)+1,"")</f>
        <v/>
      </c>
      <c r="B15" s="34"/>
      <c r="C15" s="50"/>
      <c r="D15" s="512" t="str">
        <f>_xlfn.XLOOKUP(E15,'All Products'!D:D,'All Products'!C:C,FALSE)</f>
        <v>101-3199</v>
      </c>
      <c r="E15" s="106">
        <v>100028847</v>
      </c>
      <c r="F15" s="522" t="str">
        <f>_xlfn.XLOOKUP(E15,'All Products'!D:D,'All Products'!E:E,FALSE)</f>
        <v>2 FEMALE ADAPTER HXFPT DWV</v>
      </c>
      <c r="G15" s="282">
        <f>_xlfn.XLOOKUP(E15,'All Products'!D:D,'All Products'!F:F,FALSE)</f>
        <v>100</v>
      </c>
      <c r="H15" s="533">
        <f>_xlfn.XLOOKUP(E15,'All Products'!D:D,'All Products'!G:G,FALSE)</f>
        <v>4500</v>
      </c>
      <c r="I15" s="512">
        <f>_xlfn.XLOOKUP(E15,'All Products'!D:D,'All Products'!H:H,FALSE)</f>
        <v>43.81</v>
      </c>
      <c r="J15" s="216">
        <f>ROUNDUP(I15*Order_Quote!$L$2,2)</f>
        <v>219.05</v>
      </c>
      <c r="K15" s="123"/>
      <c r="L15" s="79"/>
      <c r="M15" s="107">
        <f t="shared" si="0"/>
        <v>0</v>
      </c>
      <c r="O15" s="525" t="str">
        <f>_xlfn.XLOOKUP(E15,'All Products'!D:D,'All Products'!I:I,FALSE)</f>
        <v>Within 3 Weeks</v>
      </c>
      <c r="P15" s="525" t="str">
        <f>_xlfn.XLOOKUP(E15,'All Products'!D:D,'All Products'!J:J,FALSE)</f>
        <v>Manufactured</v>
      </c>
      <c r="Q15" s="525" t="str">
        <f>_xlfn.XLOOKUP(F15,'All Products'!E:E,'All Products'!K:K,FALSE)</f>
        <v>810673013319</v>
      </c>
      <c r="R15" s="525" t="str">
        <f>_xlfn.XLOOKUP(E15,'All Products'!D:D,'All Products'!L:L,FALSE)</f>
        <v>-</v>
      </c>
      <c r="S15" s="525" t="str">
        <f>_xlfn.XLOOKUP(E15,'All Products'!D:D,'All Products'!M:M,FALSE)</f>
        <v>10810673013316</v>
      </c>
      <c r="T15" s="530">
        <f>_xlfn.XLOOKUP(E15,'All Products'!D:D,'All Products'!N:N,FALSE)</f>
        <v>0.17199999999999999</v>
      </c>
      <c r="U15" s="530">
        <f>_xlfn.XLOOKUP(E15,'All Products'!D:D,'All Products'!P:P,FALSE)</f>
        <v>17.2</v>
      </c>
      <c r="V15" s="530">
        <f>_xlfn.XLOOKUP(E15,'All Products'!D:D,'All Products'!Q:Q,FALSE)</f>
        <v>0.98955954024750914</v>
      </c>
    </row>
    <row r="16" spans="1:22">
      <c r="A16" s="5" t="str">
        <f>IF(K16&gt;0,COUNT($A$7:A15)+1,"")</f>
        <v/>
      </c>
      <c r="B16" s="34"/>
      <c r="C16" s="50"/>
      <c r="D16" s="512" t="str">
        <f>_xlfn.XLOOKUP(E16,'All Products'!D:D,'All Products'!C:C,FALSE)</f>
        <v>101-3200</v>
      </c>
      <c r="E16" s="106">
        <v>100028848</v>
      </c>
      <c r="F16" s="522" t="str">
        <f>_xlfn.XLOOKUP(E16,'All Products'!D:D,'All Products'!E:E,FALSE)</f>
        <v>3 FEMALE ADAPTER HXFPT DWV</v>
      </c>
      <c r="G16" s="282">
        <f>_xlfn.XLOOKUP(E16,'All Products'!D:D,'All Products'!F:F,FALSE)</f>
        <v>30</v>
      </c>
      <c r="H16" s="533">
        <f>_xlfn.XLOOKUP(E16,'All Products'!D:D,'All Products'!G:G,FALSE)</f>
        <v>1350</v>
      </c>
      <c r="I16" s="512">
        <f>_xlfn.XLOOKUP(E16,'All Products'!D:D,'All Products'!H:H,FALSE)</f>
        <v>116.9</v>
      </c>
      <c r="J16" s="216">
        <f>ROUNDUP(I16*Order_Quote!$L$2,2)</f>
        <v>584.5</v>
      </c>
      <c r="K16" s="123"/>
      <c r="L16" s="79"/>
      <c r="M16" s="107">
        <f t="shared" si="0"/>
        <v>0</v>
      </c>
      <c r="O16" s="525" t="str">
        <f>_xlfn.XLOOKUP(E16,'All Products'!D:D,'All Products'!I:I,FALSE)</f>
        <v>In Stock</v>
      </c>
      <c r="P16" s="525" t="str">
        <f>_xlfn.XLOOKUP(E16,'All Products'!D:D,'All Products'!J:J,FALSE)</f>
        <v>Manufactured</v>
      </c>
      <c r="Q16" s="525" t="str">
        <f>_xlfn.XLOOKUP(F16,'All Products'!E:E,'All Products'!K:K,FALSE)</f>
        <v>810673013326</v>
      </c>
      <c r="R16" s="525" t="str">
        <f>_xlfn.XLOOKUP(E16,'All Products'!D:D,'All Products'!L:L,FALSE)</f>
        <v>-</v>
      </c>
      <c r="S16" s="525" t="str">
        <f>_xlfn.XLOOKUP(E16,'All Products'!D:D,'All Products'!M:M,FALSE)</f>
        <v>10810673013323</v>
      </c>
      <c r="T16" s="530">
        <f>_xlfn.XLOOKUP(E16,'All Products'!D:D,'All Products'!N:N,FALSE)</f>
        <v>0.54600000000000004</v>
      </c>
      <c r="U16" s="530">
        <f>_xlfn.XLOOKUP(E16,'All Products'!D:D,'All Products'!P:P,FALSE)</f>
        <v>16.380000000000003</v>
      </c>
      <c r="V16" s="530">
        <f>_xlfn.XLOOKUP(E16,'All Products'!D:D,'All Products'!Q:Q,FALSE)</f>
        <v>0.98955954024750914</v>
      </c>
    </row>
    <row r="17" spans="1:22">
      <c r="A17" s="5" t="str">
        <f>IF(K17&gt;0,COUNT($A$7:A16)+1,"")</f>
        <v/>
      </c>
      <c r="B17" s="34"/>
      <c r="C17" s="50"/>
      <c r="D17" s="512" t="str">
        <f>_xlfn.XLOOKUP(E17,'All Products'!D:D,'All Products'!C:C,FALSE)</f>
        <v>101-3201</v>
      </c>
      <c r="E17" s="106">
        <v>100028849</v>
      </c>
      <c r="F17" s="522" t="str">
        <f>_xlfn.XLOOKUP(E17,'All Products'!D:D,'All Products'!E:E,FALSE)</f>
        <v>4 FEMALE ADAPTER HXFPT DWV</v>
      </c>
      <c r="G17" s="282">
        <f>_xlfn.XLOOKUP(E17,'All Products'!D:D,'All Products'!F:F,FALSE)</f>
        <v>10</v>
      </c>
      <c r="H17" s="533">
        <f>_xlfn.XLOOKUP(E17,'All Products'!D:D,'All Products'!G:G,FALSE)</f>
        <v>630</v>
      </c>
      <c r="I17" s="512">
        <f>_xlfn.XLOOKUP(E17,'All Products'!D:D,'All Products'!H:H,FALSE)</f>
        <v>151.83000000000001</v>
      </c>
      <c r="J17" s="216">
        <f>ROUNDUP(I17*Order_Quote!$L$2,2)</f>
        <v>759.15</v>
      </c>
      <c r="K17" s="123"/>
      <c r="L17" s="79"/>
      <c r="M17" s="107">
        <f t="shared" si="0"/>
        <v>0</v>
      </c>
      <c r="O17" s="525" t="str">
        <f>_xlfn.XLOOKUP(E17,'All Products'!D:D,'All Products'!I:I,FALSE)</f>
        <v>In Stock</v>
      </c>
      <c r="P17" s="525" t="str">
        <f>_xlfn.XLOOKUP(E17,'All Products'!D:D,'All Products'!J:J,FALSE)</f>
        <v>Manufactured</v>
      </c>
      <c r="Q17" s="525" t="str">
        <f>_xlfn.XLOOKUP(F17,'All Products'!E:E,'All Products'!K:K,FALSE)</f>
        <v>810673013333</v>
      </c>
      <c r="R17" s="525" t="str">
        <f>_xlfn.XLOOKUP(E17,'All Products'!D:D,'All Products'!L:L,FALSE)</f>
        <v>-</v>
      </c>
      <c r="S17" s="525" t="str">
        <f>_xlfn.XLOOKUP(E17,'All Products'!D:D,'All Products'!M:M,FALSE)</f>
        <v>10810673013330</v>
      </c>
      <c r="T17" s="530">
        <f>_xlfn.XLOOKUP(E17,'All Products'!D:D,'All Products'!N:N,FALSE)</f>
        <v>0.97699999999999998</v>
      </c>
      <c r="U17" s="530">
        <f>_xlfn.XLOOKUP(E17,'All Products'!D:D,'All Products'!P:P,FALSE)</f>
        <v>9.77</v>
      </c>
      <c r="V17" s="530">
        <f>_xlfn.XLOOKUP(E17,'All Products'!D:D,'All Products'!Q:Q,FALSE)</f>
        <v>0.66940792428507967</v>
      </c>
    </row>
    <row r="18" spans="1:22">
      <c r="A18" s="5" t="str">
        <f>IF(K18&gt;0,COUNT($A$7:A17)+1,"")</f>
        <v/>
      </c>
      <c r="B18" s="23"/>
      <c r="C18" s="51"/>
      <c r="D18" s="512" t="str">
        <f>_xlfn.XLOOKUP(E18,'All Products'!D:D,'All Products'!C:C,FALSE)</f>
        <v>101-3202</v>
      </c>
      <c r="E18" s="106">
        <v>100028850</v>
      </c>
      <c r="F18" s="522" t="str">
        <f>_xlfn.XLOOKUP(E18,'All Products'!D:D,'All Products'!E:E,FALSE)</f>
        <v>6 FEMALE ADAPTER HXFPT DWV</v>
      </c>
      <c r="G18" s="282">
        <f>_xlfn.XLOOKUP(E18,'All Products'!D:D,'All Products'!F:F,FALSE)</f>
        <v>10</v>
      </c>
      <c r="H18" s="533">
        <f>_xlfn.XLOOKUP(E18,'All Products'!D:D,'All Products'!G:G,FALSE)</f>
        <v>240</v>
      </c>
      <c r="I18" s="512">
        <f>_xlfn.XLOOKUP(E18,'All Products'!D:D,'All Products'!H:H,FALSE)</f>
        <v>487.15</v>
      </c>
      <c r="J18" s="216">
        <f>ROUNDUP(I18*Order_Quote!$L$2,2)</f>
        <v>2435.75</v>
      </c>
      <c r="K18" s="123"/>
      <c r="L18" s="79"/>
      <c r="M18" s="107">
        <f t="shared" si="0"/>
        <v>0</v>
      </c>
      <c r="O18" s="525" t="str">
        <f>_xlfn.XLOOKUP(E18,'All Products'!D:D,'All Products'!I:I,FALSE)</f>
        <v>In Stock</v>
      </c>
      <c r="P18" s="525" t="str">
        <f>_xlfn.XLOOKUP(E18,'All Products'!D:D,'All Products'!J:J,FALSE)</f>
        <v>Manufactured</v>
      </c>
      <c r="Q18" s="525" t="str">
        <f>_xlfn.XLOOKUP(F18,'All Products'!E:E,'All Products'!K:K,FALSE)</f>
        <v>810673014125</v>
      </c>
      <c r="R18" s="525" t="str">
        <f>_xlfn.XLOOKUP(E18,'All Products'!D:D,'All Products'!L:L,FALSE)</f>
        <v>-</v>
      </c>
      <c r="S18" s="525" t="str">
        <f>_xlfn.XLOOKUP(E18,'All Products'!D:D,'All Products'!M:M,FALSE)</f>
        <v>810673015634</v>
      </c>
      <c r="T18" s="530">
        <f>_xlfn.XLOOKUP(E18,'All Products'!D:D,'All Products'!N:N,FALSE)</f>
        <v>2.069</v>
      </c>
      <c r="U18" s="530">
        <f>_xlfn.XLOOKUP(E18,'All Products'!D:D,'All Products'!P:P,FALSE)</f>
        <v>20.689999999999998</v>
      </c>
      <c r="V18" s="530">
        <f>_xlfn.XLOOKUP(E18,'All Products'!D:D,'All Products'!Q:Q,FALSE)</f>
        <v>1.8803145838984718</v>
      </c>
    </row>
    <row r="19" spans="1:22">
      <c r="A19" s="5" t="str">
        <f>IF(K19&gt;0,COUNT($A$7:A18)+1,"")</f>
        <v/>
      </c>
      <c r="B19" s="26"/>
      <c r="C19" s="49"/>
      <c r="D19" s="512" t="str">
        <f>_xlfn.XLOOKUP(E19,'All Products'!D:D,'All Products'!C:C,FALSE)</f>
        <v>102-3203</v>
      </c>
      <c r="E19" s="106">
        <v>100028852</v>
      </c>
      <c r="F19" s="522" t="str">
        <f>_xlfn.XLOOKUP(E19,'All Products'!D:D,'All Products'!E:E,FALSE)</f>
        <v>2X1-1/2 PIPE INCREASER REDUCER DWV</v>
      </c>
      <c r="G19" s="282">
        <f>_xlfn.XLOOKUP(E19,'All Products'!D:D,'All Products'!F:F,FALSE)</f>
        <v>25</v>
      </c>
      <c r="H19" s="533">
        <f>_xlfn.XLOOKUP(E19,'All Products'!D:D,'All Products'!G:G,FALSE)</f>
        <v>3200</v>
      </c>
      <c r="I19" s="512">
        <f>_xlfn.XLOOKUP(E19,'All Products'!D:D,'All Products'!H:H,FALSE)</f>
        <v>41.25</v>
      </c>
      <c r="J19" s="216">
        <f>ROUNDUP(I19*Order_Quote!$L$2,2)</f>
        <v>206.25</v>
      </c>
      <c r="K19" s="123"/>
      <c r="L19" s="79"/>
      <c r="M19" s="107">
        <f t="shared" si="0"/>
        <v>0</v>
      </c>
      <c r="O19" s="525" t="str">
        <f>_xlfn.XLOOKUP(E19,'All Products'!D:D,'All Products'!I:I,FALSE)</f>
        <v>In Stock</v>
      </c>
      <c r="P19" s="525" t="str">
        <f>_xlfn.XLOOKUP(E19,'All Products'!D:D,'All Products'!J:J,FALSE)</f>
        <v>Manufactured</v>
      </c>
      <c r="Q19" s="525" t="str">
        <f>_xlfn.XLOOKUP(F19,'All Products'!E:E,'All Products'!K:K,FALSE)</f>
        <v>810673014798</v>
      </c>
      <c r="R19" s="525" t="str">
        <f>_xlfn.XLOOKUP(E19,'All Products'!D:D,'All Products'!L:L,FALSE)</f>
        <v>-</v>
      </c>
      <c r="S19" s="525" t="str">
        <f>_xlfn.XLOOKUP(E19,'All Products'!D:D,'All Products'!M:M,FALSE)</f>
        <v>10810673014795</v>
      </c>
      <c r="T19" s="530">
        <f>_xlfn.XLOOKUP(E19,'All Products'!D:D,'All Products'!N:N,FALSE)</f>
        <v>0.17199999999999999</v>
      </c>
      <c r="U19" s="530">
        <f>_xlfn.XLOOKUP(E19,'All Products'!D:D,'All Products'!P:P,FALSE)</f>
        <v>4.3</v>
      </c>
      <c r="V19" s="530">
        <f>_xlfn.XLOOKUP(E19,'All Products'!D:D,'All Products'!Q:Q,FALSE)</f>
        <v>0.32375720697715193</v>
      </c>
    </row>
    <row r="20" spans="1:22">
      <c r="A20" s="5" t="str">
        <f>IF(K20&gt;0,COUNT($A$7:A19)+1,"")</f>
        <v/>
      </c>
      <c r="B20" s="34"/>
      <c r="C20" s="50"/>
      <c r="D20" s="512" t="str">
        <f>_xlfn.XLOOKUP(E20,'All Products'!D:D,'All Products'!C:C,FALSE)</f>
        <v>102-3204</v>
      </c>
      <c r="E20" s="106">
        <v>100028853</v>
      </c>
      <c r="F20" s="522" t="str">
        <f>_xlfn.XLOOKUP(E20,'All Products'!D:D,'All Products'!E:E,FALSE)</f>
        <v>3X1-1/2 PIPE INCREASER REDUCER DWV</v>
      </c>
      <c r="G20" s="282">
        <f>_xlfn.XLOOKUP(E20,'All Products'!D:D,'All Products'!F:F,FALSE)</f>
        <v>25</v>
      </c>
      <c r="H20" s="533">
        <f>_xlfn.XLOOKUP(E20,'All Products'!D:D,'All Products'!G:G,FALSE)</f>
        <v>1575</v>
      </c>
      <c r="I20" s="512">
        <f>_xlfn.XLOOKUP(E20,'All Products'!D:D,'All Products'!H:H,FALSE)</f>
        <v>120.83</v>
      </c>
      <c r="J20" s="216">
        <f>ROUNDUP(I20*Order_Quote!$L$2,2)</f>
        <v>604.15</v>
      </c>
      <c r="K20" s="123"/>
      <c r="L20" s="79"/>
      <c r="M20" s="107">
        <f t="shared" si="0"/>
        <v>0</v>
      </c>
      <c r="O20" s="525" t="str">
        <f>_xlfn.XLOOKUP(E20,'All Products'!D:D,'All Products'!I:I,FALSE)</f>
        <v>Within 3 Weeks</v>
      </c>
      <c r="P20" s="525" t="str">
        <f>_xlfn.XLOOKUP(E20,'All Products'!D:D,'All Products'!J:J,FALSE)</f>
        <v>Manufactured</v>
      </c>
      <c r="Q20" s="525" t="str">
        <f>_xlfn.XLOOKUP(F20,'All Products'!E:E,'All Products'!K:K,FALSE)</f>
        <v>810673014811</v>
      </c>
      <c r="R20" s="525" t="str">
        <f>_xlfn.XLOOKUP(E20,'All Products'!D:D,'All Products'!L:L,FALSE)</f>
        <v>-</v>
      </c>
      <c r="S20" s="525" t="str">
        <f>_xlfn.XLOOKUP(E20,'All Products'!D:D,'All Products'!M:M,FALSE)</f>
        <v>10810673014818</v>
      </c>
      <c r="T20" s="530">
        <f>_xlfn.XLOOKUP(E20,'All Products'!D:D,'All Products'!N:N,FALSE)</f>
        <v>0.45100000000000001</v>
      </c>
      <c r="U20" s="530">
        <f>_xlfn.XLOOKUP(E20,'All Products'!D:D,'All Products'!P:P,FALSE)</f>
        <v>11.275</v>
      </c>
      <c r="V20" s="530">
        <f>_xlfn.XLOOKUP(E20,'All Products'!D:D,'All Products'!Q:Q,FALSE)</f>
        <v>0.66940792428507967</v>
      </c>
    </row>
    <row r="21" spans="1:22">
      <c r="A21" s="5" t="str">
        <f>IF(K21&gt;0,COUNT($A$7:A20)+1,"")</f>
        <v/>
      </c>
      <c r="B21" s="34"/>
      <c r="C21" s="50"/>
      <c r="D21" s="512" t="str">
        <f>_xlfn.XLOOKUP(E21,'All Products'!D:D,'All Products'!C:C,FALSE)</f>
        <v>102-3205</v>
      </c>
      <c r="E21" s="106">
        <v>100028854</v>
      </c>
      <c r="F21" s="522" t="str">
        <f>_xlfn.XLOOKUP(E21,'All Products'!D:D,'All Products'!E:E,FALSE)</f>
        <v>3 X 2 PIPE INCREASER REDUCER DWV</v>
      </c>
      <c r="G21" s="282">
        <f>_xlfn.XLOOKUP(E21,'All Products'!D:D,'All Products'!F:F,FALSE)</f>
        <v>20</v>
      </c>
      <c r="H21" s="533">
        <f>_xlfn.XLOOKUP(E21,'All Products'!D:D,'All Products'!G:G,FALSE)</f>
        <v>1600</v>
      </c>
      <c r="I21" s="512">
        <f>_xlfn.XLOOKUP(E21,'All Products'!D:D,'All Products'!H:H,FALSE)</f>
        <v>94.08</v>
      </c>
      <c r="J21" s="216">
        <f>ROUNDUP(I21*Order_Quote!$L$2,2)</f>
        <v>470.4</v>
      </c>
      <c r="K21" s="123"/>
      <c r="L21" s="79"/>
      <c r="M21" s="107">
        <f t="shared" si="0"/>
        <v>0</v>
      </c>
      <c r="O21" s="525" t="str">
        <f>_xlfn.XLOOKUP(E21,'All Products'!D:D,'All Products'!I:I,FALSE)</f>
        <v>In Stock</v>
      </c>
      <c r="P21" s="525" t="str">
        <f>_xlfn.XLOOKUP(E21,'All Products'!D:D,'All Products'!J:J,FALSE)</f>
        <v>Manufactured</v>
      </c>
      <c r="Q21" s="525" t="str">
        <f>_xlfn.XLOOKUP(F21,'All Products'!E:E,'All Products'!K:K,FALSE)</f>
        <v>810673014835</v>
      </c>
      <c r="R21" s="525" t="str">
        <f>_xlfn.XLOOKUP(E21,'All Products'!D:D,'All Products'!L:L,FALSE)</f>
        <v>-</v>
      </c>
      <c r="S21" s="525" t="str">
        <f>_xlfn.XLOOKUP(E21,'All Products'!D:D,'All Products'!M:M,FALSE)</f>
        <v>10810673014832</v>
      </c>
      <c r="T21" s="530">
        <f>_xlfn.XLOOKUP(E21,'All Products'!D:D,'All Products'!N:N,FALSE)</f>
        <v>0.433</v>
      </c>
      <c r="U21" s="530">
        <f>_xlfn.XLOOKUP(E21,'All Products'!D:D,'All Products'!P:P,FALSE)</f>
        <v>8.66</v>
      </c>
      <c r="V21" s="530">
        <f>_xlfn.XLOOKUP(E21,'All Products'!D:D,'All Products'!Q:Q,FALSE)</f>
        <v>0.4856358104657279</v>
      </c>
    </row>
    <row r="22" spans="1:22">
      <c r="A22" s="5" t="str">
        <f>IF(K22&gt;0,COUNT($A$7:A21)+1,"")</f>
        <v/>
      </c>
      <c r="B22" s="34"/>
      <c r="C22" s="50"/>
      <c r="D22" s="512" t="str">
        <f>_xlfn.XLOOKUP(E22,'All Products'!D:D,'All Products'!C:C,FALSE)</f>
        <v>102-3206</v>
      </c>
      <c r="E22" s="106">
        <v>100028855</v>
      </c>
      <c r="F22" s="522" t="str">
        <f>_xlfn.XLOOKUP(E22,'All Products'!D:D,'All Products'!E:E,FALSE)</f>
        <v>4 X 2 PIPE INCREASER REDUCER DWV</v>
      </c>
      <c r="G22" s="282">
        <f>_xlfn.XLOOKUP(E22,'All Products'!D:D,'All Products'!F:F,FALSE)</f>
        <v>10</v>
      </c>
      <c r="H22" s="533">
        <f>_xlfn.XLOOKUP(E22,'All Products'!D:D,'All Products'!G:G,FALSE)</f>
        <v>630</v>
      </c>
      <c r="I22" s="512">
        <f>_xlfn.XLOOKUP(E22,'All Products'!D:D,'All Products'!H:H,FALSE)</f>
        <v>184.41</v>
      </c>
      <c r="J22" s="216">
        <f>ROUNDUP(I22*Order_Quote!$L$2,2)</f>
        <v>922.05</v>
      </c>
      <c r="K22" s="123"/>
      <c r="L22" s="79"/>
      <c r="M22" s="107">
        <f t="shared" si="0"/>
        <v>0</v>
      </c>
      <c r="O22" s="525" t="str">
        <f>_xlfn.XLOOKUP(E22,'All Products'!D:D,'All Products'!I:I,FALSE)</f>
        <v>In Stock</v>
      </c>
      <c r="P22" s="525" t="str">
        <f>_xlfn.XLOOKUP(E22,'All Products'!D:D,'All Products'!J:J,FALSE)</f>
        <v>Manufactured</v>
      </c>
      <c r="Q22" s="525" t="str">
        <f>_xlfn.XLOOKUP(F22,'All Products'!E:E,'All Products'!K:K,FALSE)</f>
        <v>810673014859</v>
      </c>
      <c r="R22" s="525" t="str">
        <f>_xlfn.XLOOKUP(E22,'All Products'!D:D,'All Products'!L:L,FALSE)</f>
        <v>-</v>
      </c>
      <c r="S22" s="525" t="str">
        <f>_xlfn.XLOOKUP(E22,'All Products'!D:D,'All Products'!M:M,FALSE)</f>
        <v>10810673014856</v>
      </c>
      <c r="T22" s="530">
        <f>_xlfn.XLOOKUP(E22,'All Products'!D:D,'All Products'!N:N,FALSE)</f>
        <v>0.82299999999999995</v>
      </c>
      <c r="U22" s="530">
        <f>_xlfn.XLOOKUP(E22,'All Products'!D:D,'All Products'!P:P,FALSE)</f>
        <v>8.23</v>
      </c>
      <c r="V22" s="530">
        <f>_xlfn.XLOOKUP(E22,'All Products'!D:D,'All Products'!Q:Q,FALSE)</f>
        <v>0.66940792428507967</v>
      </c>
    </row>
    <row r="23" spans="1:22">
      <c r="A23" s="5" t="str">
        <f>IF(K23&gt;0,COUNT($A$7:A22)+1,"")</f>
        <v/>
      </c>
      <c r="B23" s="34"/>
      <c r="C23" s="50"/>
      <c r="D23" s="512" t="str">
        <f>_xlfn.XLOOKUP(E23,'All Products'!D:D,'All Products'!C:C,FALSE)</f>
        <v>102-3207</v>
      </c>
      <c r="E23" s="106">
        <v>100028856</v>
      </c>
      <c r="F23" s="522" t="str">
        <f>_xlfn.XLOOKUP(E23,'All Products'!D:D,'All Products'!E:E,FALSE)</f>
        <v>4 X 3 PIPE INCREASER REDUCER DWV</v>
      </c>
      <c r="G23" s="282">
        <f>_xlfn.XLOOKUP(E23,'All Products'!D:D,'All Products'!F:F,FALSE)</f>
        <v>10</v>
      </c>
      <c r="H23" s="533">
        <f>_xlfn.XLOOKUP(E23,'All Products'!D:D,'All Products'!G:G,FALSE)</f>
        <v>630</v>
      </c>
      <c r="I23" s="512">
        <f>_xlfn.XLOOKUP(E23,'All Products'!D:D,'All Products'!H:H,FALSE)</f>
        <v>197.1</v>
      </c>
      <c r="J23" s="216">
        <f>ROUNDUP(I23*Order_Quote!$L$2,2)</f>
        <v>985.5</v>
      </c>
      <c r="K23" s="123"/>
      <c r="L23" s="79"/>
      <c r="M23" s="107">
        <f t="shared" si="0"/>
        <v>0</v>
      </c>
      <c r="O23" s="525" t="str">
        <f>_xlfn.XLOOKUP(E23,'All Products'!D:D,'All Products'!I:I,FALSE)</f>
        <v>In Stock</v>
      </c>
      <c r="P23" s="525" t="str">
        <f>_xlfn.XLOOKUP(E23,'All Products'!D:D,'All Products'!J:J,FALSE)</f>
        <v>Manufactured</v>
      </c>
      <c r="Q23" s="525" t="str">
        <f>_xlfn.XLOOKUP(F23,'All Products'!E:E,'All Products'!K:K,FALSE)</f>
        <v>810673014873</v>
      </c>
      <c r="R23" s="525" t="str">
        <f>_xlfn.XLOOKUP(E23,'All Products'!D:D,'All Products'!L:L,FALSE)</f>
        <v>-</v>
      </c>
      <c r="S23" s="525" t="str">
        <f>_xlfn.XLOOKUP(E23,'All Products'!D:D,'All Products'!M:M,FALSE)</f>
        <v>810673014880</v>
      </c>
      <c r="T23" s="530">
        <f>_xlfn.XLOOKUP(E23,'All Products'!D:D,'All Products'!N:N,FALSE)</f>
        <v>0.93</v>
      </c>
      <c r="U23" s="530">
        <f>_xlfn.XLOOKUP(E23,'All Products'!D:D,'All Products'!P:P,FALSE)</f>
        <v>9.3000000000000007</v>
      </c>
      <c r="V23" s="530">
        <f>_xlfn.XLOOKUP(E23,'All Products'!D:D,'All Products'!Q:Q,FALSE)</f>
        <v>0.66940792428507967</v>
      </c>
    </row>
    <row r="24" spans="1:22">
      <c r="A24" s="5" t="str">
        <f>IF(K24&gt;0,COUNT($A$7:A23)+1,"")</f>
        <v/>
      </c>
      <c r="B24" s="23"/>
      <c r="C24" s="51"/>
      <c r="D24" s="512" t="str">
        <f>_xlfn.XLOOKUP(E24,'All Products'!D:D,'All Products'!C:C,FALSE)</f>
        <v>102-1074</v>
      </c>
      <c r="E24" s="106">
        <v>100028851</v>
      </c>
      <c r="F24" s="522" t="str">
        <f>_xlfn.XLOOKUP(E24,'All Products'!D:D,'All Products'!E:E,FALSE)</f>
        <v>6 X 4 PIPE INCREASER REDUCER DWV</v>
      </c>
      <c r="G24" s="282">
        <f>_xlfn.XLOOKUP(E24,'All Products'!D:D,'All Products'!F:F,FALSE)</f>
        <v>4</v>
      </c>
      <c r="H24" s="533">
        <f>_xlfn.XLOOKUP(E24,'All Products'!D:D,'All Products'!G:G,FALSE)</f>
        <v>144</v>
      </c>
      <c r="I24" s="512">
        <f>_xlfn.XLOOKUP(E24,'All Products'!D:D,'All Products'!H:H,FALSE)</f>
        <v>766.68</v>
      </c>
      <c r="J24" s="216">
        <f>ROUNDUP(I24*Order_Quote!$L$2,2)</f>
        <v>3833.4</v>
      </c>
      <c r="K24" s="123"/>
      <c r="L24" s="79"/>
      <c r="M24" s="107">
        <f t="shared" si="0"/>
        <v>0</v>
      </c>
      <c r="O24" s="525" t="str">
        <f>_xlfn.XLOOKUP(E24,'All Products'!D:D,'All Products'!I:I,FALSE)</f>
        <v>In Stock</v>
      </c>
      <c r="P24" s="525" t="str">
        <f>_xlfn.XLOOKUP(E24,'All Products'!D:D,'All Products'!J:J,FALSE)</f>
        <v>Manufactured</v>
      </c>
      <c r="Q24" s="525" t="str">
        <f>_xlfn.XLOOKUP(F24,'All Products'!E:E,'All Products'!K:K,FALSE)</f>
        <v>812361013175</v>
      </c>
      <c r="R24" s="525" t="str">
        <f>_xlfn.XLOOKUP(E24,'All Products'!D:D,'All Products'!L:L,FALSE)</f>
        <v>-</v>
      </c>
      <c r="S24" s="525" t="str">
        <f>_xlfn.XLOOKUP(E24,'All Products'!D:D,'All Products'!M:M,FALSE)</f>
        <v>812361019030</v>
      </c>
      <c r="T24" s="530">
        <f>_xlfn.XLOOKUP(E24,'All Products'!D:D,'All Products'!N:N,FALSE)</f>
        <v>2.657</v>
      </c>
      <c r="U24" s="530">
        <f>_xlfn.XLOOKUP(E24,'All Products'!D:D,'All Products'!P:P,FALSE)</f>
        <v>10.628</v>
      </c>
      <c r="V24" s="530">
        <f>_xlfn.XLOOKUP(E24,'All Products'!D:D,'All Products'!Q:Q,FALSE)</f>
        <v>1.8803145838984718</v>
      </c>
    </row>
    <row r="25" spans="1:22" ht="22.5" customHeight="1">
      <c r="A25" s="5" t="str">
        <f>IF(K25&gt;0,COUNT($A$7:A24)+1,"")</f>
        <v/>
      </c>
      <c r="B25" s="26"/>
      <c r="C25" s="49"/>
      <c r="D25" s="512" t="str">
        <f>_xlfn.XLOOKUP(E25,'All Products'!D:D,'All Products'!C:C,FALSE)</f>
        <v>103-3208</v>
      </c>
      <c r="E25" s="106">
        <v>300005637</v>
      </c>
      <c r="F25" s="522" t="str">
        <f>_xlfn.XLOOKUP(E25,'All Products'!D:D,'All Products'!E:E,FALSE)</f>
        <v>1-1/2 X 1-1/4 TRAP ADAPTER MALE DWV</v>
      </c>
      <c r="G25" s="282">
        <f>_xlfn.XLOOKUP(E25,'All Products'!D:D,'All Products'!F:F,FALSE)</f>
        <v>100</v>
      </c>
      <c r="H25" s="533">
        <f>_xlfn.XLOOKUP(E25,'All Products'!D:D,'All Products'!G:G,FALSE)</f>
        <v>8000</v>
      </c>
      <c r="I25" s="512">
        <f>_xlfn.XLOOKUP(E25,'All Products'!D:D,'All Products'!H:H,FALSE)</f>
        <v>60.57</v>
      </c>
      <c r="J25" s="216">
        <f>ROUNDUP(I25*Order_Quote!$L$2,2)</f>
        <v>302.85000000000002</v>
      </c>
      <c r="K25" s="123"/>
      <c r="L25" s="79"/>
      <c r="M25" s="107">
        <f t="shared" si="0"/>
        <v>0</v>
      </c>
      <c r="O25" s="525" t="str">
        <f>_xlfn.XLOOKUP(E25,'All Products'!D:D,'All Products'!I:I,FALSE)</f>
        <v>Within 6 Weeks</v>
      </c>
      <c r="P25" s="525" t="str">
        <f>_xlfn.XLOOKUP(E25,'All Products'!D:D,'All Products'!J:J,FALSE)</f>
        <v>Sourced</v>
      </c>
      <c r="Q25" s="525" t="str">
        <f>_xlfn.XLOOKUP(F25,'All Products'!E:E,'All Products'!K:K,FALSE)</f>
        <v>810673015238</v>
      </c>
      <c r="R25" s="525" t="str">
        <f>_xlfn.XLOOKUP(E25,'All Products'!D:D,'All Products'!L:L,FALSE)</f>
        <v>-</v>
      </c>
      <c r="S25" s="525">
        <f>_xlfn.XLOOKUP(E25,'All Products'!D:D,'All Products'!M:M,FALSE)</f>
        <v>0</v>
      </c>
      <c r="T25" s="530">
        <f>_xlfn.XLOOKUP(E25,'All Products'!D:D,'All Products'!N:N,FALSE)</f>
        <v>0.08</v>
      </c>
      <c r="U25" s="530">
        <f>_xlfn.XLOOKUP(E25,'All Products'!D:D,'All Products'!P:P,FALSE)</f>
        <v>8</v>
      </c>
      <c r="V25" s="530" t="str">
        <f>_xlfn.XLOOKUP(E25,'All Products'!D:D,'All Products'!Q:Q,FALSE)</f>
        <v>-</v>
      </c>
    </row>
    <row r="26" spans="1:22" ht="22.5" customHeight="1">
      <c r="A26" s="5" t="str">
        <f>IF(K26&gt;0,COUNT($A$7:A25)+1,"")</f>
        <v/>
      </c>
      <c r="B26" s="23"/>
      <c r="C26" s="51"/>
      <c r="D26" s="512" t="str">
        <f>_xlfn.XLOOKUP(E26,'All Products'!D:D,'All Products'!C:C,FALSE)</f>
        <v>103-3209</v>
      </c>
      <c r="E26" s="106">
        <v>100028861</v>
      </c>
      <c r="F26" s="522" t="str">
        <f>_xlfn.XLOOKUP(E26,'All Products'!D:D,'All Products'!E:E,FALSE)</f>
        <v>1-1/2 TRAP ADAPTER MALE DWV</v>
      </c>
      <c r="G26" s="282">
        <f>_xlfn.XLOOKUP(E26,'All Products'!D:D,'All Products'!F:F,FALSE)</f>
        <v>50</v>
      </c>
      <c r="H26" s="533">
        <f>_xlfn.XLOOKUP(E26,'All Products'!D:D,'All Products'!G:G,FALSE)</f>
        <v>7200</v>
      </c>
      <c r="I26" s="512">
        <f>_xlfn.XLOOKUP(E26,'All Products'!D:D,'All Products'!H:H,FALSE)</f>
        <v>50.02</v>
      </c>
      <c r="J26" s="216">
        <f>ROUNDUP(I26*Order_Quote!$L$2,2)</f>
        <v>250.1</v>
      </c>
      <c r="K26" s="123"/>
      <c r="L26" s="79"/>
      <c r="M26" s="107">
        <f t="shared" si="0"/>
        <v>0</v>
      </c>
      <c r="O26" s="525" t="str">
        <f>_xlfn.XLOOKUP(E26,'All Products'!D:D,'All Products'!I:I,FALSE)</f>
        <v>Within 3 Weeks</v>
      </c>
      <c r="P26" s="525" t="str">
        <f>_xlfn.XLOOKUP(E26,'All Products'!D:D,'All Products'!J:J,FALSE)</f>
        <v>Manufactured</v>
      </c>
      <c r="Q26" s="525" t="str">
        <f>_xlfn.XLOOKUP(F26,'All Products'!E:E,'All Products'!K:K,FALSE)</f>
        <v>810673015214</v>
      </c>
      <c r="R26" s="525" t="str">
        <f>_xlfn.XLOOKUP(E26,'All Products'!D:D,'All Products'!L:L,FALSE)</f>
        <v>-</v>
      </c>
      <c r="S26" s="525" t="str">
        <f>_xlfn.XLOOKUP(E26,'All Products'!D:D,'All Products'!M:M,FALSE)</f>
        <v>810673015221</v>
      </c>
      <c r="T26" s="530">
        <f>_xlfn.XLOOKUP(E26,'All Products'!D:D,'All Products'!N:N,FALSE)</f>
        <v>8.5999999999999993E-2</v>
      </c>
      <c r="U26" s="530">
        <f>_xlfn.XLOOKUP(E26,'All Products'!D:D,'All Products'!P:P,FALSE)</f>
        <v>4.3</v>
      </c>
      <c r="V26" s="530">
        <f>_xlfn.XLOOKUP(E26,'All Products'!D:D,'All Products'!Q:Q,FALSE)</f>
        <v>0.26544609711836381</v>
      </c>
    </row>
    <row r="27" spans="1:22" ht="22.5" customHeight="1">
      <c r="A27" s="5" t="str">
        <f>IF(K27&gt;0,COUNT($A$7:A26)+1,"")</f>
        <v/>
      </c>
      <c r="B27" s="26"/>
      <c r="C27" s="49"/>
      <c r="D27" s="512" t="str">
        <f>_xlfn.XLOOKUP(E27,'All Products'!D:D,'All Products'!C:C,FALSE)</f>
        <v>103-P-3211</v>
      </c>
      <c r="E27" s="106">
        <v>100028857</v>
      </c>
      <c r="F27" s="522" t="str">
        <f>_xlfn.XLOOKUP(E27,'All Products'!D:D,'All Products'!E:E,FALSE)</f>
        <v>1-1/2X1-1/4 TRAP AD M W/PL NUT DWV</v>
      </c>
      <c r="G27" s="282">
        <f>_xlfn.XLOOKUP(E27,'All Products'!D:D,'All Products'!F:F,FALSE)</f>
        <v>75</v>
      </c>
      <c r="H27" s="533">
        <f>_xlfn.XLOOKUP(E27,'All Products'!D:D,'All Products'!G:G,FALSE)</f>
        <v>6000</v>
      </c>
      <c r="I27" s="512">
        <f>_xlfn.XLOOKUP(E27,'All Products'!D:D,'All Products'!H:H,FALSE)</f>
        <v>57.74</v>
      </c>
      <c r="J27" s="216">
        <f>ROUNDUP(I27*Order_Quote!$L$2,2)</f>
        <v>288.7</v>
      </c>
      <c r="K27" s="123"/>
      <c r="L27" s="79"/>
      <c r="M27" s="107">
        <f t="shared" si="0"/>
        <v>0</v>
      </c>
      <c r="O27" s="525" t="str">
        <f>_xlfn.XLOOKUP(E27,'All Products'!D:D,'All Products'!I:I,FALSE)</f>
        <v>In Stock</v>
      </c>
      <c r="P27" s="525" t="str">
        <f>_xlfn.XLOOKUP(E27,'All Products'!D:D,'All Products'!J:J,FALSE)</f>
        <v>Manufactured</v>
      </c>
      <c r="Q27" s="525" t="str">
        <f>_xlfn.XLOOKUP(F27,'All Products'!E:E,'All Products'!K:K,FALSE)</f>
        <v>812361011188</v>
      </c>
      <c r="R27" s="525" t="str">
        <f>_xlfn.XLOOKUP(E27,'All Products'!D:D,'All Products'!L:L,FALSE)</f>
        <v>-</v>
      </c>
      <c r="S27" s="525" t="str">
        <f>_xlfn.XLOOKUP(E27,'All Products'!D:D,'All Products'!M:M,FALSE)</f>
        <v>10812361011185</v>
      </c>
      <c r="T27" s="530">
        <f>_xlfn.XLOOKUP(E27,'All Products'!D:D,'All Products'!N:N,FALSE)</f>
        <v>0.111</v>
      </c>
      <c r="U27" s="530">
        <f>_xlfn.XLOOKUP(E27,'All Products'!D:D,'All Products'!P:P,FALSE)</f>
        <v>8.3249999999999993</v>
      </c>
      <c r="V27" s="530">
        <f>_xlfn.XLOOKUP(E27,'All Products'!D:D,'All Products'!Q:Q,FALSE)</f>
        <v>0.4856358104657279</v>
      </c>
    </row>
    <row r="28" spans="1:22" ht="22.5" customHeight="1">
      <c r="A28" s="5" t="str">
        <f>IF(K28&gt;0,COUNT($A$7:A27)+1,"")</f>
        <v/>
      </c>
      <c r="B28" s="23"/>
      <c r="C28" s="51"/>
      <c r="D28" s="512" t="str">
        <f>_xlfn.XLOOKUP(E28,'All Products'!D:D,'All Products'!C:C,FALSE)</f>
        <v>103-P-3212</v>
      </c>
      <c r="E28" s="106">
        <v>100028858</v>
      </c>
      <c r="F28" s="522" t="str">
        <f>_xlfn.XLOOKUP(E28,'All Products'!D:D,'All Products'!E:E,FALSE)</f>
        <v>1-1/2 TRAP AD MALE W/PLAST NUT DWV</v>
      </c>
      <c r="G28" s="282">
        <f>_xlfn.XLOOKUP(E28,'All Products'!D:D,'All Products'!F:F,FALSE)</f>
        <v>50</v>
      </c>
      <c r="H28" s="533">
        <f>_xlfn.XLOOKUP(E28,'All Products'!D:D,'All Products'!G:G,FALSE)</f>
        <v>4000</v>
      </c>
      <c r="I28" s="512">
        <f>_xlfn.XLOOKUP(E28,'All Products'!D:D,'All Products'!H:H,FALSE)</f>
        <v>53.17</v>
      </c>
      <c r="J28" s="216">
        <f>ROUNDUP(I28*Order_Quote!$L$2,2)</f>
        <v>265.85000000000002</v>
      </c>
      <c r="K28" s="123"/>
      <c r="L28" s="79"/>
      <c r="M28" s="107">
        <f t="shared" si="0"/>
        <v>0</v>
      </c>
      <c r="O28" s="525" t="str">
        <f>_xlfn.XLOOKUP(E28,'All Products'!D:D,'All Products'!I:I,FALSE)</f>
        <v>In Stock</v>
      </c>
      <c r="P28" s="525" t="str">
        <f>_xlfn.XLOOKUP(E28,'All Products'!D:D,'All Products'!J:J,FALSE)</f>
        <v>Manufactured</v>
      </c>
      <c r="Q28" s="525" t="str">
        <f>_xlfn.XLOOKUP(F28,'All Products'!E:E,'All Products'!K:K,FALSE)</f>
        <v>812361011201</v>
      </c>
      <c r="R28" s="525" t="str">
        <f>_xlfn.XLOOKUP(E28,'All Products'!D:D,'All Products'!L:L,FALSE)</f>
        <v>-</v>
      </c>
      <c r="S28" s="525" t="str">
        <f>_xlfn.XLOOKUP(E28,'All Products'!D:D,'All Products'!M:M,FALSE)</f>
        <v>812361011218</v>
      </c>
      <c r="T28" s="530">
        <f>_xlfn.XLOOKUP(E28,'All Products'!D:D,'All Products'!N:N,FALSE)</f>
        <v>0.114</v>
      </c>
      <c r="U28" s="530">
        <f>_xlfn.XLOOKUP(E28,'All Products'!D:D,'All Products'!P:P,FALSE)</f>
        <v>5.7</v>
      </c>
      <c r="V28" s="530">
        <f>_xlfn.XLOOKUP(E28,'All Products'!D:D,'All Products'!Q:Q,FALSE)</f>
        <v>0.4856358104657279</v>
      </c>
    </row>
    <row r="29" spans="1:22" s="17" customFormat="1" ht="45.75" customHeight="1">
      <c r="A29" s="5" t="str">
        <f>IF(K29&gt;0,COUNT($A$7:A28)+1,"")</f>
        <v/>
      </c>
      <c r="B29" s="202"/>
      <c r="C29" s="203"/>
      <c r="D29" s="512" t="str">
        <f>_xlfn.XLOOKUP(E29,'All Products'!D:D,'All Products'!C:C,FALSE)</f>
        <v>103-R-3015</v>
      </c>
      <c r="E29" s="106">
        <v>300005636</v>
      </c>
      <c r="F29" s="522" t="str">
        <f>_xlfn.XLOOKUP(E29,'All Products'!D:D,'All Products'!E:E,FALSE)</f>
        <v>1-1/2 TRAP AD M W/PL NUT&amp;W SXSJ DWV</v>
      </c>
      <c r="G29" s="282">
        <f>_xlfn.XLOOKUP(E29,'All Products'!D:D,'All Products'!F:F,FALSE)</f>
        <v>50</v>
      </c>
      <c r="H29" s="533">
        <f>_xlfn.XLOOKUP(E29,'All Products'!D:D,'All Products'!G:G,FALSE)</f>
        <v>3600</v>
      </c>
      <c r="I29" s="512">
        <f>_xlfn.XLOOKUP(E29,'All Products'!D:D,'All Products'!H:H,FALSE)</f>
        <v>115.48</v>
      </c>
      <c r="J29" s="216">
        <f>ROUNDUP(I29*Order_Quote!$L$2,2)</f>
        <v>577.4</v>
      </c>
      <c r="K29" s="123"/>
      <c r="L29" s="79"/>
      <c r="M29" s="107">
        <f t="shared" si="0"/>
        <v>0</v>
      </c>
      <c r="O29" s="525" t="str">
        <f>_xlfn.XLOOKUP(E29,'All Products'!D:D,'All Products'!I:I,FALSE)</f>
        <v>Within 6 Weeks</v>
      </c>
      <c r="P29" s="525" t="str">
        <f>_xlfn.XLOOKUP(E29,'All Products'!D:D,'All Products'!J:J,FALSE)</f>
        <v>Sourced</v>
      </c>
      <c r="Q29" s="525" t="str">
        <f>_xlfn.XLOOKUP(F29,'All Products'!E:E,'All Products'!K:K,FALSE)</f>
        <v>812361017623</v>
      </c>
      <c r="R29" s="525" t="str">
        <f>_xlfn.XLOOKUP(E29,'All Products'!D:D,'All Products'!L:L,FALSE)</f>
        <v>-</v>
      </c>
      <c r="S29" s="525">
        <f>_xlfn.XLOOKUP(E29,'All Products'!D:D,'All Products'!M:M,FALSE)</f>
        <v>0</v>
      </c>
      <c r="T29" s="530">
        <f>_xlfn.XLOOKUP(E29,'All Products'!D:D,'All Products'!N:N,FALSE)</f>
        <v>0.13</v>
      </c>
      <c r="U29" s="530">
        <f>_xlfn.XLOOKUP(E29,'All Products'!D:D,'All Products'!P:P,FALSE)</f>
        <v>6.5</v>
      </c>
      <c r="V29" s="530" t="str">
        <f>_xlfn.XLOOKUP(E29,'All Products'!D:D,'All Products'!Q:Q,FALSE)</f>
        <v>-</v>
      </c>
    </row>
    <row r="30" spans="1:22" ht="41.25" customHeight="1">
      <c r="A30" s="5" t="str">
        <f>IF(K30&gt;0,COUNT($A$7:A29)+1,"")</f>
        <v/>
      </c>
      <c r="B30" s="121"/>
      <c r="C30" s="122"/>
      <c r="D30" s="512" t="str">
        <f>_xlfn.XLOOKUP(E30,'All Products'!D:D,'All Products'!C:C,FALSE)</f>
        <v>104-3220</v>
      </c>
      <c r="E30" s="106">
        <v>300005638</v>
      </c>
      <c r="F30" s="522" t="str">
        <f>_xlfn.XLOOKUP(E30,'All Products'!D:D,'All Products'!E:E,FALSE)</f>
        <v>1-1/2X1-1/4 TRAP ADAPTER FEMALE DWV</v>
      </c>
      <c r="G30" s="282">
        <f>_xlfn.XLOOKUP(E30,'All Products'!D:D,'All Products'!F:F,FALSE)</f>
        <v>75</v>
      </c>
      <c r="H30" s="533">
        <f>_xlfn.XLOOKUP(E30,'All Products'!D:D,'All Products'!G:G,FALSE)</f>
        <v>7200</v>
      </c>
      <c r="I30" s="512">
        <f>_xlfn.XLOOKUP(E30,'All Products'!D:D,'All Products'!H:H,FALSE)</f>
        <v>114.39</v>
      </c>
      <c r="J30" s="216">
        <f>ROUNDUP(I30*Order_Quote!$L$2,2)</f>
        <v>571.95000000000005</v>
      </c>
      <c r="K30" s="123"/>
      <c r="L30" s="79"/>
      <c r="M30" s="107">
        <f t="shared" si="0"/>
        <v>0</v>
      </c>
      <c r="O30" s="525" t="str">
        <f>_xlfn.XLOOKUP(E30,'All Products'!D:D,'All Products'!I:I,FALSE)</f>
        <v>Within 6 Weeks</v>
      </c>
      <c r="P30" s="525" t="str">
        <f>_xlfn.XLOOKUP(E30,'All Products'!D:D,'All Products'!J:J,FALSE)</f>
        <v>Sourced</v>
      </c>
      <c r="Q30" s="525" t="str">
        <f>_xlfn.XLOOKUP(F30,'All Products'!E:E,'All Products'!K:K,FALSE)</f>
        <v>810673015191</v>
      </c>
      <c r="R30" s="525" t="str">
        <f>_xlfn.XLOOKUP(E30,'All Products'!D:D,'All Products'!L:L,FALSE)</f>
        <v>-</v>
      </c>
      <c r="S30" s="525" t="str">
        <f>_xlfn.XLOOKUP(E30,'All Products'!D:D,'All Products'!M:M,FALSE)</f>
        <v>10810673015198</v>
      </c>
      <c r="T30" s="530">
        <f>_xlfn.XLOOKUP(E30,'All Products'!D:D,'All Products'!N:N,FALSE)</f>
        <v>0.08</v>
      </c>
      <c r="U30" s="530">
        <f>_xlfn.XLOOKUP(E30,'All Products'!D:D,'All Products'!P:P,FALSE)</f>
        <v>6</v>
      </c>
      <c r="V30" s="530" t="str">
        <f>_xlfn.XLOOKUP(E30,'All Products'!D:D,'All Products'!Q:Q,FALSE)</f>
        <v>-</v>
      </c>
    </row>
    <row r="31" spans="1:22" ht="22.5" customHeight="1">
      <c r="A31" s="5" t="str">
        <f>IF(K31&gt;0,COUNT($A$7:A30)+1,"")</f>
        <v/>
      </c>
      <c r="B31" s="26"/>
      <c r="C31" s="49"/>
      <c r="D31" s="512" t="str">
        <f>_xlfn.XLOOKUP(E31,'All Products'!D:D,'All Products'!C:C,FALSE)</f>
        <v>104-P-3223</v>
      </c>
      <c r="E31" s="106">
        <v>100028862</v>
      </c>
      <c r="F31" s="522" t="str">
        <f>_xlfn.XLOOKUP(E31,'All Products'!D:D,'All Products'!E:E,FALSE)</f>
        <v>1-1/2X1-1/4 TRAP AD F W/PL NUT DWV</v>
      </c>
      <c r="G31" s="282">
        <f>_xlfn.XLOOKUP(E31,'All Products'!D:D,'All Products'!F:F,FALSE)</f>
        <v>50</v>
      </c>
      <c r="H31" s="533">
        <f>_xlfn.XLOOKUP(E31,'All Products'!D:D,'All Products'!G:G,FALSE)</f>
        <v>4000</v>
      </c>
      <c r="I31" s="512">
        <f>_xlfn.XLOOKUP(E31,'All Products'!D:D,'All Products'!H:H,FALSE)</f>
        <v>50.84</v>
      </c>
      <c r="J31" s="216">
        <f>ROUNDUP(I31*Order_Quote!$L$2,2)</f>
        <v>254.2</v>
      </c>
      <c r="K31" s="123"/>
      <c r="L31" s="79"/>
      <c r="M31" s="107">
        <f t="shared" si="0"/>
        <v>0</v>
      </c>
      <c r="O31" s="525" t="str">
        <f>_xlfn.XLOOKUP(E31,'All Products'!D:D,'All Products'!I:I,FALSE)</f>
        <v>In Stock</v>
      </c>
      <c r="P31" s="525" t="str">
        <f>_xlfn.XLOOKUP(E31,'All Products'!D:D,'All Products'!J:J,FALSE)</f>
        <v>Manufactured</v>
      </c>
      <c r="Q31" s="525" t="str">
        <f>_xlfn.XLOOKUP(F31,'All Products'!E:E,'All Products'!K:K,FALSE)</f>
        <v>812361011140</v>
      </c>
      <c r="R31" s="525" t="str">
        <f>_xlfn.XLOOKUP(E31,'All Products'!D:D,'All Products'!L:L,FALSE)</f>
        <v>-</v>
      </c>
      <c r="S31" s="525" t="str">
        <f>_xlfn.XLOOKUP(E31,'All Products'!D:D,'All Products'!M:M,FALSE)</f>
        <v>10812361011147</v>
      </c>
      <c r="T31" s="530">
        <f>_xlfn.XLOOKUP(E31,'All Products'!D:D,'All Products'!N:N,FALSE)</f>
        <v>0.121</v>
      </c>
      <c r="U31" s="530">
        <f>_xlfn.XLOOKUP(E31,'All Products'!D:D,'All Products'!P:P,FALSE)</f>
        <v>6.05</v>
      </c>
      <c r="V31" s="530">
        <f>_xlfn.XLOOKUP(E31,'All Products'!D:D,'All Products'!Q:Q,FALSE)</f>
        <v>0.4856358104657279</v>
      </c>
    </row>
    <row r="32" spans="1:22" ht="22.5" customHeight="1">
      <c r="A32" s="5" t="str">
        <f>IF(K32&gt;0,COUNT($A$7:A31)+1,"")</f>
        <v/>
      </c>
      <c r="B32" s="23"/>
      <c r="C32" s="51"/>
      <c r="D32" s="512" t="str">
        <f>_xlfn.XLOOKUP(E32,'All Products'!D:D,'All Products'!C:C,FALSE)</f>
        <v>104-P-3224</v>
      </c>
      <c r="E32" s="106">
        <v>100028863</v>
      </c>
      <c r="F32" s="522" t="str">
        <f>_xlfn.XLOOKUP(E32,'All Products'!D:D,'All Products'!E:E,FALSE)</f>
        <v>1-1/2 TRAP AD FEMALE W/PL NUT DWV</v>
      </c>
      <c r="G32" s="282">
        <f>_xlfn.XLOOKUP(E32,'All Products'!D:D,'All Products'!F:F,FALSE)</f>
        <v>50</v>
      </c>
      <c r="H32" s="533">
        <f>_xlfn.XLOOKUP(E32,'All Products'!D:D,'All Products'!G:G,FALSE)</f>
        <v>4000</v>
      </c>
      <c r="I32" s="512">
        <f>_xlfn.XLOOKUP(E32,'All Products'!D:D,'All Products'!H:H,FALSE)</f>
        <v>50.59</v>
      </c>
      <c r="J32" s="216">
        <f>ROUNDUP(I32*Order_Quote!$L$2,2)</f>
        <v>252.95</v>
      </c>
      <c r="K32" s="123"/>
      <c r="L32" s="79"/>
      <c r="M32" s="107">
        <f t="shared" si="0"/>
        <v>0</v>
      </c>
      <c r="O32" s="525" t="str">
        <f>_xlfn.XLOOKUP(E32,'All Products'!D:D,'All Products'!I:I,FALSE)</f>
        <v>In Stock</v>
      </c>
      <c r="P32" s="525" t="str">
        <f>_xlfn.XLOOKUP(E32,'All Products'!D:D,'All Products'!J:J,FALSE)</f>
        <v>Manufactured</v>
      </c>
      <c r="Q32" s="525" t="str">
        <f>_xlfn.XLOOKUP(F32,'All Products'!E:E,'All Products'!K:K,FALSE)</f>
        <v>812361011164</v>
      </c>
      <c r="R32" s="525" t="str">
        <f>_xlfn.XLOOKUP(E32,'All Products'!D:D,'All Products'!L:L,FALSE)</f>
        <v>-</v>
      </c>
      <c r="S32" s="525" t="str">
        <f>_xlfn.XLOOKUP(E32,'All Products'!D:D,'All Products'!M:M,FALSE)</f>
        <v>812361011171</v>
      </c>
      <c r="T32" s="530">
        <f>_xlfn.XLOOKUP(E32,'All Products'!D:D,'All Products'!N:N,FALSE)</f>
        <v>0.11899999999999999</v>
      </c>
      <c r="U32" s="530">
        <f>_xlfn.XLOOKUP(E32,'All Products'!D:D,'All Products'!P:P,FALSE)</f>
        <v>5.9499999999999993</v>
      </c>
      <c r="V32" s="530">
        <f>_xlfn.XLOOKUP(E32,'All Products'!D:D,'All Products'!Q:Q,FALSE)</f>
        <v>0.4856358104657279</v>
      </c>
    </row>
    <row r="33" spans="1:22">
      <c r="A33" s="5" t="str">
        <f>IF(K33&gt;0,COUNT($A$7:A32)+1,"")</f>
        <v/>
      </c>
      <c r="B33" s="26"/>
      <c r="C33" s="49"/>
      <c r="D33" s="512" t="str">
        <f>_xlfn.XLOOKUP(E33,'All Products'!D:D,'All Products'!C:C,FALSE)</f>
        <v>105-3233</v>
      </c>
      <c r="E33" s="106">
        <v>100028871</v>
      </c>
      <c r="F33" s="522" t="str">
        <f>_xlfn.XLOOKUP(E33,'All Products'!D:D,'All Products'!E:E,FALSE)</f>
        <v>1-1/2 CLEANOUT ADAP SXFPT DWV</v>
      </c>
      <c r="G33" s="282">
        <f>_xlfn.XLOOKUP(E33,'All Products'!D:D,'All Products'!F:F,FALSE)</f>
        <v>50</v>
      </c>
      <c r="H33" s="533">
        <f>_xlfn.XLOOKUP(E33,'All Products'!D:D,'All Products'!G:G,FALSE)</f>
        <v>7200</v>
      </c>
      <c r="I33" s="512">
        <f>_xlfn.XLOOKUP(E33,'All Products'!D:D,'All Products'!H:H,FALSE)</f>
        <v>32.729999999999997</v>
      </c>
      <c r="J33" s="216">
        <f>ROUNDUP(I33*Order_Quote!$L$2,2)</f>
        <v>163.65</v>
      </c>
      <c r="K33" s="123"/>
      <c r="L33" s="79"/>
      <c r="M33" s="107">
        <f t="shared" si="0"/>
        <v>0</v>
      </c>
      <c r="O33" s="525" t="str">
        <f>_xlfn.XLOOKUP(E33,'All Products'!D:D,'All Products'!I:I,FALSE)</f>
        <v>In Stock</v>
      </c>
      <c r="P33" s="525" t="str">
        <f>_xlfn.XLOOKUP(E33,'All Products'!D:D,'All Products'!J:J,FALSE)</f>
        <v>Manufactured</v>
      </c>
      <c r="Q33" s="525" t="str">
        <f>_xlfn.XLOOKUP(F33,'All Products'!E:E,'All Products'!K:K,FALSE)</f>
        <v>810673013371</v>
      </c>
      <c r="R33" s="525" t="str">
        <f>_xlfn.XLOOKUP(E33,'All Products'!D:D,'All Products'!L:L,FALSE)</f>
        <v>-</v>
      </c>
      <c r="S33" s="525" t="str">
        <f>_xlfn.XLOOKUP(E33,'All Products'!D:D,'All Products'!M:M,FALSE)</f>
        <v>810673010929</v>
      </c>
      <c r="T33" s="530">
        <f>_xlfn.XLOOKUP(E33,'All Products'!D:D,'All Products'!N:N,FALSE)</f>
        <v>9.0999999999999998E-2</v>
      </c>
      <c r="U33" s="530">
        <f>_xlfn.XLOOKUP(E33,'All Products'!D:D,'All Products'!P:P,FALSE)</f>
        <v>4.55</v>
      </c>
      <c r="V33" s="530">
        <f>_xlfn.XLOOKUP(E33,'All Products'!D:D,'All Products'!Q:Q,FALSE)</f>
        <v>0.26544609711836381</v>
      </c>
    </row>
    <row r="34" spans="1:22">
      <c r="A34" s="5" t="str">
        <f>IF(K34&gt;0,COUNT($A$7:A33)+1,"")</f>
        <v/>
      </c>
      <c r="B34" s="34"/>
      <c r="C34" s="50"/>
      <c r="D34" s="512" t="str">
        <f>_xlfn.XLOOKUP(E34,'All Products'!D:D,'All Products'!C:C,FALSE)</f>
        <v>105-3234</v>
      </c>
      <c r="E34" s="106">
        <v>100028872</v>
      </c>
      <c r="F34" s="522" t="str">
        <f>_xlfn.XLOOKUP(E34,'All Products'!D:D,'All Products'!E:E,FALSE)</f>
        <v>2 CLEANOUT ADAP SXFPT DWV</v>
      </c>
      <c r="G34" s="282">
        <f>_xlfn.XLOOKUP(E34,'All Products'!D:D,'All Products'!F:F,FALSE)</f>
        <v>50</v>
      </c>
      <c r="H34" s="533">
        <f>_xlfn.XLOOKUP(E34,'All Products'!D:D,'All Products'!G:G,FALSE)</f>
        <v>4000</v>
      </c>
      <c r="I34" s="512">
        <f>_xlfn.XLOOKUP(E34,'All Products'!D:D,'All Products'!H:H,FALSE)</f>
        <v>43.81</v>
      </c>
      <c r="J34" s="216">
        <f>ROUNDUP(I34*Order_Quote!$L$2,2)</f>
        <v>219.05</v>
      </c>
      <c r="K34" s="123"/>
      <c r="L34" s="79"/>
      <c r="M34" s="107">
        <f t="shared" si="0"/>
        <v>0</v>
      </c>
      <c r="O34" s="525" t="str">
        <f>_xlfn.XLOOKUP(E34,'All Products'!D:D,'All Products'!I:I,FALSE)</f>
        <v>In Stock</v>
      </c>
      <c r="P34" s="525" t="str">
        <f>_xlfn.XLOOKUP(E34,'All Products'!D:D,'All Products'!J:J,FALSE)</f>
        <v>Manufactured</v>
      </c>
      <c r="Q34" s="525" t="str">
        <f>_xlfn.XLOOKUP(F34,'All Products'!E:E,'All Products'!K:K,FALSE)</f>
        <v>810673013388</v>
      </c>
      <c r="R34" s="525" t="str">
        <f>_xlfn.XLOOKUP(E34,'All Products'!D:D,'All Products'!L:L,FALSE)</f>
        <v>-</v>
      </c>
      <c r="S34" s="525" t="str">
        <f>_xlfn.XLOOKUP(E34,'All Products'!D:D,'All Products'!M:M,FALSE)</f>
        <v>810673010936</v>
      </c>
      <c r="T34" s="530">
        <f>_xlfn.XLOOKUP(E34,'All Products'!D:D,'All Products'!N:N,FALSE)</f>
        <v>0.128</v>
      </c>
      <c r="U34" s="530">
        <f>_xlfn.XLOOKUP(E34,'All Products'!D:D,'All Products'!P:P,FALSE)</f>
        <v>6.4</v>
      </c>
      <c r="V34" s="530">
        <f>_xlfn.XLOOKUP(E34,'All Products'!D:D,'All Products'!Q:Q,FALSE)</f>
        <v>0.4856358104657279</v>
      </c>
    </row>
    <row r="35" spans="1:22">
      <c r="A35" s="5" t="str">
        <f>IF(K35&gt;0,COUNT($A$7:A34)+1,"")</f>
        <v/>
      </c>
      <c r="B35" s="34"/>
      <c r="C35" s="50"/>
      <c r="D35" s="512" t="str">
        <f>_xlfn.XLOOKUP(E35,'All Products'!D:D,'All Products'!C:C,FALSE)</f>
        <v>105-3235</v>
      </c>
      <c r="E35" s="106">
        <v>100028873</v>
      </c>
      <c r="F35" s="522" t="str">
        <f>_xlfn.XLOOKUP(E35,'All Products'!D:D,'All Products'!E:E,FALSE)</f>
        <v>3 CLEANOUT ADAP SXFPT DWV</v>
      </c>
      <c r="G35" s="282">
        <f>_xlfn.XLOOKUP(E35,'All Products'!D:D,'All Products'!F:F,FALSE)</f>
        <v>25</v>
      </c>
      <c r="H35" s="533">
        <f>_xlfn.XLOOKUP(E35,'All Products'!D:D,'All Products'!G:G,FALSE)</f>
        <v>1575</v>
      </c>
      <c r="I35" s="512">
        <f>_xlfn.XLOOKUP(E35,'All Products'!D:D,'All Products'!H:H,FALSE)</f>
        <v>117.65</v>
      </c>
      <c r="J35" s="216">
        <f>ROUNDUP(I35*Order_Quote!$L$2,2)</f>
        <v>588.25</v>
      </c>
      <c r="K35" s="123"/>
      <c r="L35" s="79"/>
      <c r="M35" s="107">
        <f t="shared" si="0"/>
        <v>0</v>
      </c>
      <c r="O35" s="525" t="str">
        <f>_xlfn.XLOOKUP(E35,'All Products'!D:D,'All Products'!I:I,FALSE)</f>
        <v>Within 3 Weeks</v>
      </c>
      <c r="P35" s="525" t="str">
        <f>_xlfn.XLOOKUP(E35,'All Products'!D:D,'All Products'!J:J,FALSE)</f>
        <v>Manufactured</v>
      </c>
      <c r="Q35" s="525" t="str">
        <f>_xlfn.XLOOKUP(F35,'All Products'!E:E,'All Products'!K:K,FALSE)</f>
        <v>810673013395</v>
      </c>
      <c r="R35" s="525" t="str">
        <f>_xlfn.XLOOKUP(E35,'All Products'!D:D,'All Products'!L:L,FALSE)</f>
        <v>-</v>
      </c>
      <c r="S35" s="525" t="str">
        <f>_xlfn.XLOOKUP(E35,'All Products'!D:D,'All Products'!M:M,FALSE)</f>
        <v>810673010943</v>
      </c>
      <c r="T35" s="530">
        <f>_xlfn.XLOOKUP(E35,'All Products'!D:D,'All Products'!N:N,FALSE)</f>
        <v>0.38900000000000001</v>
      </c>
      <c r="U35" s="530">
        <f>_xlfn.XLOOKUP(E35,'All Products'!D:D,'All Products'!P:P,FALSE)</f>
        <v>9.7249999999999996</v>
      </c>
      <c r="V35" s="530">
        <f>_xlfn.XLOOKUP(E35,'All Products'!D:D,'All Products'!Q:Q,FALSE)</f>
        <v>0.66940792428507967</v>
      </c>
    </row>
    <row r="36" spans="1:22">
      <c r="A36" s="5" t="str">
        <f>IF(K36&gt;0,COUNT($A$7:A35)+1,"")</f>
        <v/>
      </c>
      <c r="B36" s="34"/>
      <c r="C36" s="50"/>
      <c r="D36" s="512" t="str">
        <f>_xlfn.XLOOKUP(E36,'All Products'!D:D,'All Products'!C:C,FALSE)</f>
        <v>105-3236</v>
      </c>
      <c r="E36" s="106">
        <v>100028874</v>
      </c>
      <c r="F36" s="522" t="str">
        <f>_xlfn.XLOOKUP(E36,'All Products'!D:D,'All Products'!E:E,FALSE)</f>
        <v>4 CLEANOUT ADAP SXFPT DWV</v>
      </c>
      <c r="G36" s="282">
        <f>_xlfn.XLOOKUP(E36,'All Products'!D:D,'All Products'!F:F,FALSE)</f>
        <v>10</v>
      </c>
      <c r="H36" s="533">
        <f>_xlfn.XLOOKUP(E36,'All Products'!D:D,'All Products'!G:G,FALSE)</f>
        <v>800</v>
      </c>
      <c r="I36" s="512">
        <f>_xlfn.XLOOKUP(E36,'All Products'!D:D,'All Products'!H:H,FALSE)</f>
        <v>193.34</v>
      </c>
      <c r="J36" s="216">
        <f>ROUNDUP(I36*Order_Quote!$L$2,2)</f>
        <v>966.7</v>
      </c>
      <c r="K36" s="123"/>
      <c r="L36" s="79"/>
      <c r="M36" s="107">
        <f t="shared" si="0"/>
        <v>0</v>
      </c>
      <c r="O36" s="525" t="str">
        <f>_xlfn.XLOOKUP(E36,'All Products'!D:D,'All Products'!I:I,FALSE)</f>
        <v>In Stock</v>
      </c>
      <c r="P36" s="525" t="str">
        <f>_xlfn.XLOOKUP(E36,'All Products'!D:D,'All Products'!J:J,FALSE)</f>
        <v>Manufactured</v>
      </c>
      <c r="Q36" s="525" t="str">
        <f>_xlfn.XLOOKUP(F36,'All Products'!E:E,'All Products'!K:K,FALSE)</f>
        <v>810673013401</v>
      </c>
      <c r="R36" s="525" t="str">
        <f>_xlfn.XLOOKUP(E36,'All Products'!D:D,'All Products'!L:L,FALSE)</f>
        <v>-</v>
      </c>
      <c r="S36" s="525" t="str">
        <f>_xlfn.XLOOKUP(E36,'All Products'!D:D,'All Products'!M:M,FALSE)</f>
        <v>810673010950</v>
      </c>
      <c r="T36" s="530">
        <f>_xlfn.XLOOKUP(E36,'All Products'!D:D,'All Products'!N:N,FALSE)</f>
        <v>0.66</v>
      </c>
      <c r="U36" s="530">
        <f>_xlfn.XLOOKUP(E36,'All Products'!D:D,'All Products'!P:P,FALSE)</f>
        <v>6.6000000000000005</v>
      </c>
      <c r="V36" s="530">
        <f>_xlfn.XLOOKUP(E36,'All Products'!D:D,'All Products'!Q:Q,FALSE)</f>
        <v>0.4856358104657279</v>
      </c>
    </row>
    <row r="37" spans="1:22">
      <c r="A37" s="5" t="str">
        <f>IF(K37&gt;0,COUNT($A$7:A36)+1,"")</f>
        <v/>
      </c>
      <c r="B37" s="23"/>
      <c r="C37" s="51"/>
      <c r="D37" s="512" t="str">
        <f>_xlfn.XLOOKUP(E37,'All Products'!D:D,'All Products'!C:C,FALSE)</f>
        <v>105-3237</v>
      </c>
      <c r="E37" s="106">
        <v>300005640</v>
      </c>
      <c r="F37" s="522" t="str">
        <f>_xlfn.XLOOKUP(E37,'All Products'!D:D,'All Products'!E:E,FALSE)</f>
        <v>6 CLEANOUT ADAP SXFPT DWV</v>
      </c>
      <c r="G37" s="282">
        <f>_xlfn.XLOOKUP(E37,'All Products'!D:D,'All Products'!F:F,FALSE)</f>
        <v>10</v>
      </c>
      <c r="H37" s="533">
        <f>_xlfn.XLOOKUP(E37,'All Products'!D:D,'All Products'!G:G,FALSE)</f>
        <v>180</v>
      </c>
      <c r="I37" s="512">
        <f>_xlfn.XLOOKUP(E37,'All Products'!D:D,'All Products'!H:H,FALSE)</f>
        <v>549.79999999999995</v>
      </c>
      <c r="J37" s="216">
        <f>ROUNDUP(I37*Order_Quote!$L$2,2)</f>
        <v>2749</v>
      </c>
      <c r="K37" s="123"/>
      <c r="L37" s="79"/>
      <c r="M37" s="107">
        <f t="shared" si="0"/>
        <v>0</v>
      </c>
      <c r="O37" s="525" t="str">
        <f>_xlfn.XLOOKUP(E37,'All Products'!D:D,'All Products'!I:I,FALSE)</f>
        <v>Within 6 Weeks</v>
      </c>
      <c r="P37" s="525" t="str">
        <f>_xlfn.XLOOKUP(E37,'All Products'!D:D,'All Products'!J:J,FALSE)</f>
        <v>Sourced</v>
      </c>
      <c r="Q37" s="525" t="str">
        <f>_xlfn.XLOOKUP(F37,'All Products'!E:E,'All Products'!K:K,FALSE)</f>
        <v>810673014149</v>
      </c>
      <c r="R37" s="525" t="str">
        <f>_xlfn.XLOOKUP(E37,'All Products'!D:D,'All Products'!L:L,FALSE)</f>
        <v>-</v>
      </c>
      <c r="S37" s="525">
        <f>_xlfn.XLOOKUP(E37,'All Products'!D:D,'All Products'!M:M,FALSE)</f>
        <v>0</v>
      </c>
      <c r="T37" s="530">
        <f>_xlfn.XLOOKUP(E37,'All Products'!D:D,'All Products'!N:N,FALSE)</f>
        <v>1.609</v>
      </c>
      <c r="U37" s="530">
        <f>_xlfn.XLOOKUP(E37,'All Products'!D:D,'All Products'!P:P,FALSE)</f>
        <v>16.09</v>
      </c>
      <c r="V37" s="530" t="str">
        <f>_xlfn.XLOOKUP(E37,'All Products'!D:D,'All Products'!Q:Q,FALSE)</f>
        <v>-</v>
      </c>
    </row>
    <row r="38" spans="1:22">
      <c r="A38" s="5" t="str">
        <f>IF(K38&gt;0,COUNT($A$7:A37)+1,"")</f>
        <v/>
      </c>
      <c r="B38" s="26"/>
      <c r="C38" s="49"/>
      <c r="D38" s="512" t="str">
        <f>_xlfn.XLOOKUP(E38,'All Products'!D:D,'All Products'!C:C,FALSE)</f>
        <v>105-X-3239</v>
      </c>
      <c r="E38" s="106">
        <v>100028866</v>
      </c>
      <c r="F38" s="522" t="str">
        <f>_xlfn.XLOOKUP(E38,'All Products'!D:D,'All Products'!E:E,FALSE)</f>
        <v>1-1/2CLEANOUT AD W/CO PLG SXFPT DWV</v>
      </c>
      <c r="G38" s="282">
        <f>_xlfn.XLOOKUP(E38,'All Products'!D:D,'All Products'!F:F,FALSE)</f>
        <v>50</v>
      </c>
      <c r="H38" s="533">
        <f>_xlfn.XLOOKUP(E38,'All Products'!D:D,'All Products'!G:G,FALSE)</f>
        <v>6400</v>
      </c>
      <c r="I38" s="512">
        <f>_xlfn.XLOOKUP(E38,'All Products'!D:D,'All Products'!H:H,FALSE)</f>
        <v>57.01</v>
      </c>
      <c r="J38" s="216">
        <f>ROUNDUP(I38*Order_Quote!$L$2,2)</f>
        <v>285.05</v>
      </c>
      <c r="K38" s="123"/>
      <c r="L38" s="79"/>
      <c r="M38" s="107">
        <f t="shared" si="0"/>
        <v>0</v>
      </c>
      <c r="O38" s="525" t="str">
        <f>_xlfn.XLOOKUP(E38,'All Products'!D:D,'All Products'!I:I,FALSE)</f>
        <v>Within 3 Weeks</v>
      </c>
      <c r="P38" s="525" t="str">
        <f>_xlfn.XLOOKUP(E38,'All Products'!D:D,'All Products'!J:J,FALSE)</f>
        <v>Manufactured</v>
      </c>
      <c r="Q38" s="525" t="str">
        <f>_xlfn.XLOOKUP(F38,'All Products'!E:E,'All Products'!K:K,FALSE)</f>
        <v>810673013340</v>
      </c>
      <c r="R38" s="525" t="str">
        <f>_xlfn.XLOOKUP(E38,'All Products'!D:D,'All Products'!L:L,FALSE)</f>
        <v>-</v>
      </c>
      <c r="S38" s="525" t="str">
        <f>_xlfn.XLOOKUP(E38,'All Products'!D:D,'All Products'!M:M,FALSE)</f>
        <v>10810673013347</v>
      </c>
      <c r="T38" s="530">
        <f>_xlfn.XLOOKUP(E38,'All Products'!D:D,'All Products'!N:N,FALSE)</f>
        <v>0.159</v>
      </c>
      <c r="U38" s="530">
        <f>_xlfn.XLOOKUP(E38,'All Products'!D:D,'All Products'!P:P,FALSE)</f>
        <v>7.95</v>
      </c>
      <c r="V38" s="530">
        <f>_xlfn.XLOOKUP(E38,'All Products'!D:D,'All Products'!Q:Q,FALSE)</f>
        <v>0.32375720697715193</v>
      </c>
    </row>
    <row r="39" spans="1:22">
      <c r="A39" s="5" t="str">
        <f>IF(K39&gt;0,COUNT($A$7:A38)+1,"")</f>
        <v/>
      </c>
      <c r="B39" s="34"/>
      <c r="C39" s="50"/>
      <c r="D39" s="512" t="str">
        <f>_xlfn.XLOOKUP(E39,'All Products'!D:D,'All Products'!C:C,FALSE)</f>
        <v>105-X-3240</v>
      </c>
      <c r="E39" s="106">
        <v>100028867</v>
      </c>
      <c r="F39" s="522" t="str">
        <f>_xlfn.XLOOKUP(E39,'All Products'!D:D,'All Products'!E:E,FALSE)</f>
        <v>2 CLEANOUT AD W/CO PLG SXFPT DWV</v>
      </c>
      <c r="G39" s="282">
        <f>_xlfn.XLOOKUP(E39,'All Products'!D:D,'All Products'!F:F,FALSE)</f>
        <v>50</v>
      </c>
      <c r="H39" s="533">
        <f>_xlfn.XLOOKUP(E39,'All Products'!D:D,'All Products'!G:G,FALSE)</f>
        <v>3150</v>
      </c>
      <c r="I39" s="512">
        <f>_xlfn.XLOOKUP(E39,'All Products'!D:D,'All Products'!H:H,FALSE)</f>
        <v>71.14</v>
      </c>
      <c r="J39" s="216">
        <f>ROUNDUP(I39*Order_Quote!$L$2,2)</f>
        <v>355.7</v>
      </c>
      <c r="K39" s="123"/>
      <c r="L39" s="79"/>
      <c r="M39" s="107">
        <f t="shared" si="0"/>
        <v>0</v>
      </c>
      <c r="O39" s="525" t="str">
        <f>_xlfn.XLOOKUP(E39,'All Products'!D:D,'All Products'!I:I,FALSE)</f>
        <v>Within 3 Weeks</v>
      </c>
      <c r="P39" s="525" t="str">
        <f>_xlfn.XLOOKUP(E39,'All Products'!D:D,'All Products'!J:J,FALSE)</f>
        <v>Manufactured</v>
      </c>
      <c r="Q39" s="525" t="str">
        <f>_xlfn.XLOOKUP(F39,'All Products'!E:E,'All Products'!K:K,FALSE)</f>
        <v>810673013357</v>
      </c>
      <c r="R39" s="525" t="str">
        <f>_xlfn.XLOOKUP(E39,'All Products'!D:D,'All Products'!L:L,FALSE)</f>
        <v>-</v>
      </c>
      <c r="S39" s="525" t="str">
        <f>_xlfn.XLOOKUP(E39,'All Products'!D:D,'All Products'!M:M,FALSE)</f>
        <v>10810673013354</v>
      </c>
      <c r="T39" s="530">
        <f>_xlfn.XLOOKUP(E39,'All Products'!D:D,'All Products'!N:N,FALSE)</f>
        <v>0.23599999999999999</v>
      </c>
      <c r="U39" s="530">
        <f>_xlfn.XLOOKUP(E39,'All Products'!D:D,'All Products'!P:P,FALSE)</f>
        <v>11.799999999999999</v>
      </c>
      <c r="V39" s="530">
        <f>_xlfn.XLOOKUP(E39,'All Products'!D:D,'All Products'!Q:Q,FALSE)</f>
        <v>0.66940792428507967</v>
      </c>
    </row>
    <row r="40" spans="1:22">
      <c r="A40" s="5" t="str">
        <f>IF(K40&gt;0,COUNT($A$7:A39)+1,"")</f>
        <v/>
      </c>
      <c r="B40" s="34"/>
      <c r="C40" s="50"/>
      <c r="D40" s="512" t="str">
        <f>_xlfn.XLOOKUP(E40,'All Products'!D:D,'All Products'!C:C,FALSE)</f>
        <v>105-X-3241</v>
      </c>
      <c r="E40" s="106">
        <v>100028868</v>
      </c>
      <c r="F40" s="522" t="str">
        <f>_xlfn.XLOOKUP(E40,'All Products'!D:D,'All Products'!E:E,FALSE)</f>
        <v>3 CLEANOUT AD W/CO PLG SXFPT DWV</v>
      </c>
      <c r="G40" s="282">
        <f>_xlfn.XLOOKUP(E40,'All Products'!D:D,'All Products'!F:F,FALSE)</f>
        <v>25</v>
      </c>
      <c r="H40" s="533">
        <f>_xlfn.XLOOKUP(E40,'All Products'!D:D,'All Products'!G:G,FALSE)</f>
        <v>1125</v>
      </c>
      <c r="I40" s="512">
        <f>_xlfn.XLOOKUP(E40,'All Products'!D:D,'All Products'!H:H,FALSE)</f>
        <v>166.25</v>
      </c>
      <c r="J40" s="216">
        <f>ROUNDUP(I40*Order_Quote!$L$2,2)</f>
        <v>831.25</v>
      </c>
      <c r="K40" s="123"/>
      <c r="L40" s="79"/>
      <c r="M40" s="107">
        <f t="shared" si="0"/>
        <v>0</v>
      </c>
      <c r="O40" s="525" t="str">
        <f>_xlfn.XLOOKUP(E40,'All Products'!D:D,'All Products'!I:I,FALSE)</f>
        <v>In Stock</v>
      </c>
      <c r="P40" s="525" t="str">
        <f>_xlfn.XLOOKUP(E40,'All Products'!D:D,'All Products'!J:J,FALSE)</f>
        <v>Manufactured</v>
      </c>
      <c r="Q40" s="525" t="str">
        <f>_xlfn.XLOOKUP(F40,'All Products'!E:E,'All Products'!K:K,FALSE)</f>
        <v>810673013784</v>
      </c>
      <c r="R40" s="525" t="str">
        <f>_xlfn.XLOOKUP(E40,'All Products'!D:D,'All Products'!L:L,FALSE)</f>
        <v>-</v>
      </c>
      <c r="S40" s="525" t="str">
        <f>_xlfn.XLOOKUP(E40,'All Products'!D:D,'All Products'!M:M,FALSE)</f>
        <v>10810673013781</v>
      </c>
      <c r="T40" s="530">
        <f>_xlfn.XLOOKUP(E40,'All Products'!D:D,'All Products'!N:N,FALSE)</f>
        <v>0.628</v>
      </c>
      <c r="U40" s="530">
        <f>_xlfn.XLOOKUP(E40,'All Products'!D:D,'All Products'!P:P,FALSE)</f>
        <v>15.7</v>
      </c>
      <c r="V40" s="530">
        <f>_xlfn.XLOOKUP(E40,'All Products'!D:D,'All Products'!Q:Q,FALSE)</f>
        <v>0.98955954024750914</v>
      </c>
    </row>
    <row r="41" spans="1:22">
      <c r="A41" s="5" t="str">
        <f>IF(K41&gt;0,COUNT($A$7:A40)+1,"")</f>
        <v/>
      </c>
      <c r="B41" s="34"/>
      <c r="C41" s="50"/>
      <c r="D41" s="512" t="str">
        <f>_xlfn.XLOOKUP(E41,'All Products'!D:D,'All Products'!C:C,FALSE)</f>
        <v>105-X-3242</v>
      </c>
      <c r="E41" s="106">
        <v>100028869</v>
      </c>
      <c r="F41" s="522" t="str">
        <f>_xlfn.XLOOKUP(E41,'All Products'!D:D,'All Products'!E:E,FALSE)</f>
        <v>4 CLEANOUT AD W/CO PLG SXFPT DWV</v>
      </c>
      <c r="G41" s="282">
        <f>_xlfn.XLOOKUP(E41,'All Products'!D:D,'All Products'!F:F,FALSE)</f>
        <v>10</v>
      </c>
      <c r="H41" s="533">
        <f>_xlfn.XLOOKUP(E41,'All Products'!D:D,'All Products'!G:G,FALSE)</f>
        <v>630</v>
      </c>
      <c r="I41" s="512">
        <f>_xlfn.XLOOKUP(E41,'All Products'!D:D,'All Products'!H:H,FALSE)</f>
        <v>265.38</v>
      </c>
      <c r="J41" s="216">
        <f>ROUNDUP(I41*Order_Quote!$L$2,2)</f>
        <v>1326.9</v>
      </c>
      <c r="K41" s="123"/>
      <c r="L41" s="79"/>
      <c r="M41" s="107">
        <f t="shared" si="0"/>
        <v>0</v>
      </c>
      <c r="O41" s="525" t="str">
        <f>_xlfn.XLOOKUP(E41,'All Products'!D:D,'All Products'!I:I,FALSE)</f>
        <v>In Stock</v>
      </c>
      <c r="P41" s="525" t="str">
        <f>_xlfn.XLOOKUP(E41,'All Products'!D:D,'All Products'!J:J,FALSE)</f>
        <v>Manufactured</v>
      </c>
      <c r="Q41" s="525" t="str">
        <f>_xlfn.XLOOKUP(F41,'All Products'!E:E,'All Products'!K:K,FALSE)</f>
        <v>810673013364</v>
      </c>
      <c r="R41" s="525" t="str">
        <f>_xlfn.XLOOKUP(E41,'All Products'!D:D,'All Products'!L:L,FALSE)</f>
        <v>-</v>
      </c>
      <c r="S41" s="525" t="str">
        <f>_xlfn.XLOOKUP(E41,'All Products'!D:D,'All Products'!M:M,FALSE)</f>
        <v>10810673013361</v>
      </c>
      <c r="T41" s="530">
        <f>_xlfn.XLOOKUP(E41,'All Products'!D:D,'All Products'!N:N,FALSE)</f>
        <v>1.139</v>
      </c>
      <c r="U41" s="530">
        <f>_xlfn.XLOOKUP(E41,'All Products'!D:D,'All Products'!P:P,FALSE)</f>
        <v>11.39</v>
      </c>
      <c r="V41" s="530">
        <f>_xlfn.XLOOKUP(E41,'All Products'!D:D,'All Products'!Q:Q,FALSE)</f>
        <v>0.98955954024750914</v>
      </c>
    </row>
    <row r="42" spans="1:22">
      <c r="A42" s="5" t="str">
        <f>IF(K42&gt;0,COUNT($A$7:A41)+1,"")</f>
        <v/>
      </c>
      <c r="B42" s="23"/>
      <c r="C42" s="51"/>
      <c r="D42" s="512" t="str">
        <f>_xlfn.XLOOKUP(E42,'All Products'!D:D,'All Products'!C:C,FALSE)</f>
        <v>105-X-3243</v>
      </c>
      <c r="E42" s="106">
        <v>300005639</v>
      </c>
      <c r="F42" s="522" t="str">
        <f>_xlfn.XLOOKUP(E42,'All Products'!D:D,'All Products'!E:E,FALSE)</f>
        <v>6 CLEANOUT AD W/CO PLG SXFPT DWV</v>
      </c>
      <c r="G42" s="282">
        <f>_xlfn.XLOOKUP(E42,'All Products'!D:D,'All Products'!F:F,FALSE)</f>
        <v>10</v>
      </c>
      <c r="H42" s="533">
        <f>_xlfn.XLOOKUP(E42,'All Products'!D:D,'All Products'!G:G,FALSE)</f>
        <v>180</v>
      </c>
      <c r="I42" s="512">
        <f>_xlfn.XLOOKUP(E42,'All Products'!D:D,'All Products'!H:H,FALSE)</f>
        <v>2193.15</v>
      </c>
      <c r="J42" s="216">
        <f>ROUNDUP(I42*Order_Quote!$L$2,2)</f>
        <v>10965.75</v>
      </c>
      <c r="K42" s="123"/>
      <c r="L42" s="79"/>
      <c r="M42" s="107">
        <f t="shared" si="0"/>
        <v>0</v>
      </c>
      <c r="O42" s="525" t="str">
        <f>_xlfn.XLOOKUP(E42,'All Products'!D:D,'All Products'!I:I,FALSE)</f>
        <v>Within 6 Weeks</v>
      </c>
      <c r="P42" s="525" t="str">
        <f>_xlfn.XLOOKUP(E42,'All Products'!D:D,'All Products'!J:J,FALSE)</f>
        <v>Sourced</v>
      </c>
      <c r="Q42" s="525" t="str">
        <f>_xlfn.XLOOKUP(F42,'All Products'!E:E,'All Products'!K:K,FALSE)</f>
        <v>810673014132</v>
      </c>
      <c r="R42" s="525" t="str">
        <f>_xlfn.XLOOKUP(E42,'All Products'!D:D,'All Products'!L:L,FALSE)</f>
        <v>-</v>
      </c>
      <c r="S42" s="525">
        <f>_xlfn.XLOOKUP(E42,'All Products'!D:D,'All Products'!M:M,FALSE)</f>
        <v>0</v>
      </c>
      <c r="T42" s="530">
        <f>_xlfn.XLOOKUP(E42,'All Products'!D:D,'All Products'!N:N,FALSE)</f>
        <v>2.6230000000000002</v>
      </c>
      <c r="U42" s="530">
        <f>_xlfn.XLOOKUP(E42,'All Products'!D:D,'All Products'!P:P,FALSE)</f>
        <v>26.230000000000004</v>
      </c>
      <c r="V42" s="530" t="str">
        <f>_xlfn.XLOOKUP(E42,'All Products'!D:D,'All Products'!Q:Q,FALSE)</f>
        <v>-</v>
      </c>
    </row>
    <row r="43" spans="1:22">
      <c r="A43" s="5" t="str">
        <f>IF(K43&gt;0,COUNT($A$7:A42)+1,"")</f>
        <v/>
      </c>
      <c r="B43" s="26"/>
      <c r="C43" s="49"/>
      <c r="D43" s="512" t="str">
        <f>_xlfn.XLOOKUP(E43,'All Products'!D:D,'All Products'!C:C,FALSE)</f>
        <v>106-3251</v>
      </c>
      <c r="E43" s="106">
        <v>100028876</v>
      </c>
      <c r="F43" s="522" t="str">
        <f>_xlfn.XLOOKUP(E43,'All Products'!D:D,'All Products'!E:E,FALSE)</f>
        <v>1-1/2 CLEANOUT PLUG MPT DWV</v>
      </c>
      <c r="G43" s="282">
        <f>_xlfn.XLOOKUP(E43,'All Products'!D:D,'All Products'!F:F,FALSE)</f>
        <v>100</v>
      </c>
      <c r="H43" s="533">
        <f>_xlfn.XLOOKUP(E43,'All Products'!D:D,'All Products'!G:G,FALSE)</f>
        <v>14400</v>
      </c>
      <c r="I43" s="512">
        <f>_xlfn.XLOOKUP(E43,'All Products'!D:D,'All Products'!H:H,FALSE)</f>
        <v>24.26</v>
      </c>
      <c r="J43" s="216">
        <f>ROUNDUP(I43*Order_Quote!$L$2,2)</f>
        <v>121.3</v>
      </c>
      <c r="K43" s="123"/>
      <c r="L43" s="79"/>
      <c r="M43" s="107">
        <f t="shared" si="0"/>
        <v>0</v>
      </c>
      <c r="O43" s="525" t="str">
        <f>_xlfn.XLOOKUP(E43,'All Products'!D:D,'All Products'!I:I,FALSE)</f>
        <v>Within 3 Weeks</v>
      </c>
      <c r="P43" s="525" t="str">
        <f>_xlfn.XLOOKUP(E43,'All Products'!D:D,'All Products'!J:J,FALSE)</f>
        <v>Manufactured</v>
      </c>
      <c r="Q43" s="525" t="str">
        <f>_xlfn.XLOOKUP(F43,'All Products'!E:E,'All Products'!K:K,FALSE)</f>
        <v>810673013876</v>
      </c>
      <c r="R43" s="525" t="str">
        <f>_xlfn.XLOOKUP(E43,'All Products'!D:D,'All Products'!L:L,FALSE)</f>
        <v>-</v>
      </c>
      <c r="S43" s="525" t="str">
        <f>_xlfn.XLOOKUP(E43,'All Products'!D:D,'All Products'!M:M,FALSE)</f>
        <v>10810673013873</v>
      </c>
      <c r="T43" s="530">
        <f>_xlfn.XLOOKUP(E43,'All Products'!D:D,'All Products'!N:N,FALSE)</f>
        <v>7.0000000000000007E-2</v>
      </c>
      <c r="U43" s="530">
        <f>_xlfn.XLOOKUP(E43,'All Products'!D:D,'All Products'!P:P,FALSE)</f>
        <v>7.0000000000000009</v>
      </c>
      <c r="V43" s="530">
        <f>_xlfn.XLOOKUP(E43,'All Products'!D:D,'All Products'!Q:Q,FALSE)</f>
        <v>0.26544609711836381</v>
      </c>
    </row>
    <row r="44" spans="1:22">
      <c r="A44" s="5" t="str">
        <f>IF(K44&gt;0,COUNT($A$7:A43)+1,"")</f>
        <v/>
      </c>
      <c r="B44" s="34"/>
      <c r="C44" s="50"/>
      <c r="D44" s="512" t="str">
        <f>_xlfn.XLOOKUP(E44,'All Products'!D:D,'All Products'!C:C,FALSE)</f>
        <v>106-3252</v>
      </c>
      <c r="E44" s="106">
        <v>100028877</v>
      </c>
      <c r="F44" s="522" t="str">
        <f>_xlfn.XLOOKUP(E44,'All Products'!D:D,'All Products'!E:E,FALSE)</f>
        <v>2 CLEANOUT PLUG MPT DWV</v>
      </c>
      <c r="G44" s="282">
        <f>_xlfn.XLOOKUP(E44,'All Products'!D:D,'All Products'!F:F,FALSE)</f>
        <v>50</v>
      </c>
      <c r="H44" s="533">
        <f>_xlfn.XLOOKUP(E44,'All Products'!D:D,'All Products'!G:G,FALSE)</f>
        <v>9000</v>
      </c>
      <c r="I44" s="512">
        <f>_xlfn.XLOOKUP(E44,'All Products'!D:D,'All Products'!H:H,FALSE)</f>
        <v>27.32</v>
      </c>
      <c r="J44" s="216">
        <f>ROUNDUP(I44*Order_Quote!$L$2,2)</f>
        <v>136.6</v>
      </c>
      <c r="K44" s="123"/>
      <c r="L44" s="79"/>
      <c r="M44" s="107">
        <f t="shared" si="0"/>
        <v>0</v>
      </c>
      <c r="O44" s="525" t="str">
        <f>_xlfn.XLOOKUP(E44,'All Products'!D:D,'All Products'!I:I,FALSE)</f>
        <v>In Stock</v>
      </c>
      <c r="P44" s="525" t="str">
        <f>_xlfn.XLOOKUP(E44,'All Products'!D:D,'All Products'!J:J,FALSE)</f>
        <v>Manufactured</v>
      </c>
      <c r="Q44" s="525" t="str">
        <f>_xlfn.XLOOKUP(F44,'All Products'!E:E,'All Products'!K:K,FALSE)</f>
        <v>810673013883</v>
      </c>
      <c r="R44" s="525" t="str">
        <f>_xlfn.XLOOKUP(E44,'All Products'!D:D,'All Products'!L:L,FALSE)</f>
        <v>-</v>
      </c>
      <c r="S44" s="525" t="str">
        <f>_xlfn.XLOOKUP(E44,'All Products'!D:D,'All Products'!M:M,FALSE)</f>
        <v>10810673013880</v>
      </c>
      <c r="T44" s="530">
        <f>_xlfn.XLOOKUP(E44,'All Products'!D:D,'All Products'!N:N,FALSE)</f>
        <v>0.105</v>
      </c>
      <c r="U44" s="530">
        <f>_xlfn.XLOOKUP(E44,'All Products'!D:D,'All Products'!P:P,FALSE)</f>
        <v>5.25</v>
      </c>
      <c r="V44" s="530">
        <f>_xlfn.XLOOKUP(E44,'All Products'!D:D,'All Products'!Q:Q,FALSE)</f>
        <v>0.21565729329437433</v>
      </c>
    </row>
    <row r="45" spans="1:22">
      <c r="A45" s="5" t="str">
        <f>IF(K45&gt;0,COUNT($A$7:A44)+1,"")</f>
        <v/>
      </c>
      <c r="B45" s="34"/>
      <c r="C45" s="50"/>
      <c r="D45" s="512" t="str">
        <f>_xlfn.XLOOKUP(E45,'All Products'!D:D,'All Products'!C:C,FALSE)</f>
        <v>106-3253</v>
      </c>
      <c r="E45" s="106">
        <v>100028878</v>
      </c>
      <c r="F45" s="522" t="str">
        <f>_xlfn.XLOOKUP(E45,'All Products'!D:D,'All Products'!E:E,FALSE)</f>
        <v>3 CLEANOUT PLUG MPT DWV</v>
      </c>
      <c r="G45" s="282">
        <f>_xlfn.XLOOKUP(E45,'All Products'!D:D,'All Products'!F:F,FALSE)</f>
        <v>25</v>
      </c>
      <c r="H45" s="533">
        <f>_xlfn.XLOOKUP(E45,'All Products'!D:D,'All Products'!G:G,FALSE)</f>
        <v>3600</v>
      </c>
      <c r="I45" s="512">
        <f>_xlfn.XLOOKUP(E45,'All Products'!D:D,'All Products'!H:H,FALSE)</f>
        <v>48.61</v>
      </c>
      <c r="J45" s="216">
        <f>ROUNDUP(I45*Order_Quote!$L$2,2)</f>
        <v>243.05</v>
      </c>
      <c r="K45" s="123"/>
      <c r="L45" s="79"/>
      <c r="M45" s="107">
        <f t="shared" si="0"/>
        <v>0</v>
      </c>
      <c r="O45" s="525" t="str">
        <f>_xlfn.XLOOKUP(E45,'All Products'!D:D,'All Products'!I:I,FALSE)</f>
        <v>In Stock</v>
      </c>
      <c r="P45" s="525" t="str">
        <f>_xlfn.XLOOKUP(E45,'All Products'!D:D,'All Products'!J:J,FALSE)</f>
        <v>Manufactured</v>
      </c>
      <c r="Q45" s="525" t="str">
        <f>_xlfn.XLOOKUP(F45,'All Products'!E:E,'All Products'!K:K,FALSE)</f>
        <v>810673013890</v>
      </c>
      <c r="R45" s="525" t="str">
        <f>_xlfn.XLOOKUP(E45,'All Products'!D:D,'All Products'!L:L,FALSE)</f>
        <v>-</v>
      </c>
      <c r="S45" s="525" t="str">
        <f>_xlfn.XLOOKUP(E45,'All Products'!D:D,'All Products'!M:M,FALSE)</f>
        <v>10810673013897</v>
      </c>
      <c r="T45" s="530">
        <f>_xlfn.XLOOKUP(E45,'All Products'!D:D,'All Products'!N:N,FALSE)</f>
        <v>0.26100000000000001</v>
      </c>
      <c r="U45" s="530">
        <f>_xlfn.XLOOKUP(E45,'All Products'!D:D,'All Products'!P:P,FALSE)</f>
        <v>6.5250000000000004</v>
      </c>
      <c r="V45" s="530">
        <f>_xlfn.XLOOKUP(E45,'All Products'!D:D,'All Products'!Q:Q,FALSE)</f>
        <v>0.26544609711836381</v>
      </c>
    </row>
    <row r="46" spans="1:22">
      <c r="A46" s="5" t="str">
        <f>IF(K46&gt;0,COUNT($A$7:A45)+1,"")</f>
        <v/>
      </c>
      <c r="B46" s="34"/>
      <c r="C46" s="50"/>
      <c r="D46" s="512" t="str">
        <f>_xlfn.XLOOKUP(E46,'All Products'!D:D,'All Products'!C:C,FALSE)</f>
        <v>106-3254</v>
      </c>
      <c r="E46" s="106">
        <v>100028879</v>
      </c>
      <c r="F46" s="522" t="str">
        <f>_xlfn.XLOOKUP(E46,'All Products'!D:D,'All Products'!E:E,FALSE)</f>
        <v>4 CLEANOUT PLUG MPT DWV</v>
      </c>
      <c r="G46" s="282">
        <f>_xlfn.XLOOKUP(E46,'All Products'!D:D,'All Products'!F:F,FALSE)</f>
        <v>30</v>
      </c>
      <c r="H46" s="533">
        <f>_xlfn.XLOOKUP(E46,'All Products'!D:D,'All Products'!G:G,FALSE)</f>
        <v>1890</v>
      </c>
      <c r="I46" s="512">
        <f>_xlfn.XLOOKUP(E46,'All Products'!D:D,'All Products'!H:H,FALSE)</f>
        <v>72.05</v>
      </c>
      <c r="J46" s="216">
        <f>ROUNDUP(I46*Order_Quote!$L$2,2)</f>
        <v>360.25</v>
      </c>
      <c r="K46" s="123"/>
      <c r="L46" s="79"/>
      <c r="M46" s="107">
        <f t="shared" si="0"/>
        <v>0</v>
      </c>
      <c r="O46" s="525" t="str">
        <f>_xlfn.XLOOKUP(E46,'All Products'!D:D,'All Products'!I:I,FALSE)</f>
        <v>In Stock</v>
      </c>
      <c r="P46" s="525" t="str">
        <f>_xlfn.XLOOKUP(E46,'All Products'!D:D,'All Products'!J:J,FALSE)</f>
        <v>Manufactured</v>
      </c>
      <c r="Q46" s="525" t="str">
        <f>_xlfn.XLOOKUP(F46,'All Products'!E:E,'All Products'!K:K,FALSE)</f>
        <v>810673013906</v>
      </c>
      <c r="R46" s="525" t="str">
        <f>_xlfn.XLOOKUP(E46,'All Products'!D:D,'All Products'!L:L,FALSE)</f>
        <v>-</v>
      </c>
      <c r="S46" s="525" t="str">
        <f>_xlfn.XLOOKUP(E46,'All Products'!D:D,'All Products'!M:M,FALSE)</f>
        <v>10810673013903</v>
      </c>
      <c r="T46" s="530">
        <f>_xlfn.XLOOKUP(E46,'All Products'!D:D,'All Products'!N:N,FALSE)</f>
        <v>0.47099999999999997</v>
      </c>
      <c r="U46" s="530">
        <f>_xlfn.XLOOKUP(E46,'All Products'!D:D,'All Products'!P:P,FALSE)</f>
        <v>14.129999999999999</v>
      </c>
      <c r="V46" s="530">
        <f>_xlfn.XLOOKUP(E46,'All Products'!D:D,'All Products'!Q:Q,FALSE)</f>
        <v>0.66940792428507967</v>
      </c>
    </row>
    <row r="47" spans="1:22">
      <c r="A47" s="5" t="str">
        <f>IF(K47&gt;0,COUNT($A$7:A46)+1,"")</f>
        <v/>
      </c>
      <c r="B47" s="23"/>
      <c r="C47" s="51"/>
      <c r="D47" s="512" t="str">
        <f>_xlfn.XLOOKUP(E47,'All Products'!D:D,'All Products'!C:C,FALSE)</f>
        <v>106-3255</v>
      </c>
      <c r="E47" s="106">
        <v>100028880</v>
      </c>
      <c r="F47" s="522" t="str">
        <f>_xlfn.XLOOKUP(E47,'All Products'!D:D,'All Products'!E:E,FALSE)</f>
        <v>6 CLEANOUT PLUG MPT DWV</v>
      </c>
      <c r="G47" s="282">
        <f>_xlfn.XLOOKUP(E47,'All Products'!D:D,'All Products'!F:F,FALSE)</f>
        <v>10</v>
      </c>
      <c r="H47" s="533">
        <f>_xlfn.XLOOKUP(E47,'All Products'!D:D,'All Products'!G:G,FALSE)</f>
        <v>800</v>
      </c>
      <c r="I47" s="512">
        <f>_xlfn.XLOOKUP(E47,'All Products'!D:D,'All Products'!H:H,FALSE)</f>
        <v>228.76</v>
      </c>
      <c r="J47" s="216">
        <f>ROUNDUP(I47*Order_Quote!$L$2,2)</f>
        <v>1143.8</v>
      </c>
      <c r="K47" s="123"/>
      <c r="L47" s="79"/>
      <c r="M47" s="107">
        <f t="shared" si="0"/>
        <v>0</v>
      </c>
      <c r="O47" s="525" t="str">
        <f>_xlfn.XLOOKUP(E47,'All Products'!D:D,'All Products'!I:I,FALSE)</f>
        <v>In Stock</v>
      </c>
      <c r="P47" s="525" t="str">
        <f>_xlfn.XLOOKUP(E47,'All Products'!D:D,'All Products'!J:J,FALSE)</f>
        <v>Manufactured</v>
      </c>
      <c r="Q47" s="525" t="str">
        <f>_xlfn.XLOOKUP(F47,'All Products'!E:E,'All Products'!K:K,FALSE)</f>
        <v>810673014156</v>
      </c>
      <c r="R47" s="525" t="str">
        <f>_xlfn.XLOOKUP(E47,'All Products'!D:D,'All Products'!L:L,FALSE)</f>
        <v>-</v>
      </c>
      <c r="S47" s="525" t="str">
        <f>_xlfn.XLOOKUP(E47,'All Products'!D:D,'All Products'!M:M,FALSE)</f>
        <v>810673016051</v>
      </c>
      <c r="T47" s="530">
        <f>_xlfn.XLOOKUP(E47,'All Products'!D:D,'All Products'!N:N,FALSE)</f>
        <v>0.86799999999999999</v>
      </c>
      <c r="U47" s="530">
        <f>_xlfn.XLOOKUP(E47,'All Products'!D:D,'All Products'!P:P,FALSE)</f>
        <v>8.68</v>
      </c>
      <c r="V47" s="530">
        <f>_xlfn.XLOOKUP(E47,'All Products'!D:D,'All Products'!Q:Q,FALSE)</f>
        <v>0.4856358104657279</v>
      </c>
    </row>
    <row r="48" spans="1:22">
      <c r="A48" s="5" t="str">
        <f>IF(K48&gt;0,COUNT($A$7:A47)+1,"")</f>
        <v/>
      </c>
      <c r="B48" s="26"/>
      <c r="C48" s="49"/>
      <c r="D48" s="512" t="str">
        <f>_xlfn.XLOOKUP(E48,'All Products'!D:D,'All Products'!C:C,FALSE)</f>
        <v>107-3263</v>
      </c>
      <c r="E48" s="106">
        <v>100028881</v>
      </c>
      <c r="F48" s="522" t="str">
        <f>_xlfn.XLOOKUP(E48,'All Products'!D:D,'All Products'!E:E,FALSE)</f>
        <v>2 X 1-1/2 FLUSH BUSHING SXH DWV</v>
      </c>
      <c r="G48" s="282">
        <f>_xlfn.XLOOKUP(E48,'All Products'!D:D,'All Products'!F:F,FALSE)</f>
        <v>50</v>
      </c>
      <c r="H48" s="533">
        <f>_xlfn.XLOOKUP(E48,'All Products'!D:D,'All Products'!G:G,FALSE)</f>
        <v>7200</v>
      </c>
      <c r="I48" s="512">
        <f>_xlfn.XLOOKUP(E48,'All Products'!D:D,'All Products'!H:H,FALSE)</f>
        <v>23.52</v>
      </c>
      <c r="J48" s="216">
        <f>ROUNDUP(I48*Order_Quote!$L$2,2)</f>
        <v>117.6</v>
      </c>
      <c r="K48" s="123"/>
      <c r="L48" s="79"/>
      <c r="M48" s="107">
        <f t="shared" si="0"/>
        <v>0</v>
      </c>
      <c r="O48" s="525" t="str">
        <f>_xlfn.XLOOKUP(E48,'All Products'!D:D,'All Products'!I:I,FALSE)</f>
        <v>In Stock</v>
      </c>
      <c r="P48" s="525" t="str">
        <f>_xlfn.XLOOKUP(E48,'All Products'!D:D,'All Products'!J:J,FALSE)</f>
        <v>Manufactured</v>
      </c>
      <c r="Q48" s="525" t="str">
        <f>_xlfn.XLOOKUP(F48,'All Products'!E:E,'All Products'!K:K,FALSE)</f>
        <v>810673014545</v>
      </c>
      <c r="R48" s="525" t="str">
        <f>_xlfn.XLOOKUP(E48,'All Products'!D:D,'All Products'!L:L,FALSE)</f>
        <v>-</v>
      </c>
      <c r="S48" s="525" t="str">
        <f>_xlfn.XLOOKUP(E48,'All Products'!D:D,'All Products'!M:M,FALSE)</f>
        <v>10810673014542</v>
      </c>
      <c r="T48" s="530">
        <f>_xlfn.XLOOKUP(E48,'All Products'!D:D,'All Products'!N:N,FALSE)</f>
        <v>0.123</v>
      </c>
      <c r="U48" s="530">
        <f>_xlfn.XLOOKUP(E48,'All Products'!D:D,'All Products'!P:P,FALSE)</f>
        <v>6.15</v>
      </c>
      <c r="V48" s="530">
        <f>_xlfn.XLOOKUP(E48,'All Products'!D:D,'All Products'!Q:Q,FALSE)</f>
        <v>0.26544609711836381</v>
      </c>
    </row>
    <row r="49" spans="1:22">
      <c r="A49" s="5" t="str">
        <f>IF(K49&gt;0,COUNT($A$7:A48)+1,"")</f>
        <v/>
      </c>
      <c r="B49" s="34"/>
      <c r="C49" s="50"/>
      <c r="D49" s="512" t="str">
        <f>_xlfn.XLOOKUP(E49,'All Products'!D:D,'All Products'!C:C,FALSE)</f>
        <v>107-3264</v>
      </c>
      <c r="E49" s="106">
        <v>100028882</v>
      </c>
      <c r="F49" s="522" t="str">
        <f>_xlfn.XLOOKUP(E49,'All Products'!D:D,'All Products'!E:E,FALSE)</f>
        <v>3 X 1-1/2 FLUSH BUSHING SXH DWV</v>
      </c>
      <c r="G49" s="282">
        <f>_xlfn.XLOOKUP(E49,'All Products'!D:D,'All Products'!F:F,FALSE)</f>
        <v>30</v>
      </c>
      <c r="H49" s="533">
        <f>_xlfn.XLOOKUP(E49,'All Products'!D:D,'All Products'!G:G,FALSE)</f>
        <v>1890</v>
      </c>
      <c r="I49" s="512">
        <f>_xlfn.XLOOKUP(E49,'All Products'!D:D,'All Products'!H:H,FALSE)</f>
        <v>113.18</v>
      </c>
      <c r="J49" s="216">
        <f>ROUNDUP(I49*Order_Quote!$L$2,2)</f>
        <v>565.9</v>
      </c>
      <c r="K49" s="123"/>
      <c r="L49" s="79"/>
      <c r="M49" s="107">
        <f t="shared" si="0"/>
        <v>0</v>
      </c>
      <c r="O49" s="525" t="str">
        <f>_xlfn.XLOOKUP(E49,'All Products'!D:D,'All Products'!I:I,FALSE)</f>
        <v>Within 3 Weeks</v>
      </c>
      <c r="P49" s="525" t="str">
        <f>_xlfn.XLOOKUP(E49,'All Products'!D:D,'All Products'!J:J,FALSE)</f>
        <v>Manufactured</v>
      </c>
      <c r="Q49" s="525" t="str">
        <f>_xlfn.XLOOKUP(F49,'All Products'!E:E,'All Products'!K:K,FALSE)</f>
        <v>810673014569</v>
      </c>
      <c r="R49" s="525" t="str">
        <f>_xlfn.XLOOKUP(E49,'All Products'!D:D,'All Products'!L:L,FALSE)</f>
        <v>-</v>
      </c>
      <c r="S49" s="525" t="str">
        <f>_xlfn.XLOOKUP(E49,'All Products'!D:D,'All Products'!M:M,FALSE)</f>
        <v>10810673014566</v>
      </c>
      <c r="T49" s="530">
        <f>_xlfn.XLOOKUP(E49,'All Products'!D:D,'All Products'!N:N,FALSE)</f>
        <v>0.40400000000000003</v>
      </c>
      <c r="U49" s="530">
        <f>_xlfn.XLOOKUP(E49,'All Products'!D:D,'All Products'!P:P,FALSE)</f>
        <v>12.120000000000001</v>
      </c>
      <c r="V49" s="530">
        <f>_xlfn.XLOOKUP(E49,'All Products'!D:D,'All Products'!Q:Q,FALSE)</f>
        <v>0.66940792428507967</v>
      </c>
    </row>
    <row r="50" spans="1:22">
      <c r="A50" s="5" t="str">
        <f>IF(K50&gt;0,COUNT($A$7:A49)+1,"")</f>
        <v/>
      </c>
      <c r="B50" s="34"/>
      <c r="C50" s="50"/>
      <c r="D50" s="512" t="str">
        <f>_xlfn.XLOOKUP(E50,'All Products'!D:D,'All Products'!C:C,FALSE)</f>
        <v>107-3265</v>
      </c>
      <c r="E50" s="106">
        <v>100028883</v>
      </c>
      <c r="F50" s="522" t="str">
        <f>_xlfn.XLOOKUP(E50,'All Products'!D:D,'All Products'!E:E,FALSE)</f>
        <v>3 X 2 FLUSH BUSHING SXH DWV</v>
      </c>
      <c r="G50" s="282">
        <f>_xlfn.XLOOKUP(E50,'All Products'!D:D,'All Products'!F:F,FALSE)</f>
        <v>30</v>
      </c>
      <c r="H50" s="533">
        <f>_xlfn.XLOOKUP(E50,'All Products'!D:D,'All Products'!G:G,FALSE)</f>
        <v>1890</v>
      </c>
      <c r="I50" s="512">
        <f>_xlfn.XLOOKUP(E50,'All Products'!D:D,'All Products'!H:H,FALSE)</f>
        <v>59.61</v>
      </c>
      <c r="J50" s="216">
        <f>ROUNDUP(I50*Order_Quote!$L$2,2)</f>
        <v>298.05</v>
      </c>
      <c r="K50" s="123"/>
      <c r="L50" s="79"/>
      <c r="M50" s="107">
        <f t="shared" si="0"/>
        <v>0</v>
      </c>
      <c r="O50" s="525" t="str">
        <f>_xlfn.XLOOKUP(E50,'All Products'!D:D,'All Products'!I:I,FALSE)</f>
        <v>In Stock</v>
      </c>
      <c r="P50" s="525" t="str">
        <f>_xlfn.XLOOKUP(E50,'All Products'!D:D,'All Products'!J:J,FALSE)</f>
        <v>Manufactured</v>
      </c>
      <c r="Q50" s="525" t="str">
        <f>_xlfn.XLOOKUP(F50,'All Products'!E:E,'All Products'!K:K,FALSE)</f>
        <v>810673014583</v>
      </c>
      <c r="R50" s="525" t="str">
        <f>_xlfn.XLOOKUP(E50,'All Products'!D:D,'All Products'!L:L,FALSE)</f>
        <v>-</v>
      </c>
      <c r="S50" s="525" t="str">
        <f>_xlfn.XLOOKUP(E50,'All Products'!D:D,'All Products'!M:M,FALSE)</f>
        <v>10810673014580</v>
      </c>
      <c r="T50" s="530">
        <f>_xlfn.XLOOKUP(E50,'All Products'!D:D,'All Products'!N:N,FALSE)</f>
        <v>0.40100000000000002</v>
      </c>
      <c r="U50" s="530">
        <f>_xlfn.XLOOKUP(E50,'All Products'!D:D,'All Products'!P:P,FALSE)</f>
        <v>12.030000000000001</v>
      </c>
      <c r="V50" s="530">
        <f>_xlfn.XLOOKUP(E50,'All Products'!D:D,'All Products'!Q:Q,FALSE)</f>
        <v>0.66940792428507967</v>
      </c>
    </row>
    <row r="51" spans="1:22">
      <c r="A51" s="5" t="str">
        <f>IF(K51&gt;0,COUNT($A$7:A50)+1,"")</f>
        <v/>
      </c>
      <c r="B51" s="34"/>
      <c r="C51" s="50"/>
      <c r="D51" s="512" t="str">
        <f>_xlfn.XLOOKUP(E51,'All Products'!D:D,'All Products'!C:C,FALSE)</f>
        <v>107-3266</v>
      </c>
      <c r="E51" s="106">
        <v>100028884</v>
      </c>
      <c r="F51" s="522" t="str">
        <f>_xlfn.XLOOKUP(E51,'All Products'!D:D,'All Products'!E:E,FALSE)</f>
        <v>4 X 2 FLUSH BUSHING SXH DWV</v>
      </c>
      <c r="G51" s="282">
        <f>_xlfn.XLOOKUP(E51,'All Products'!D:D,'All Products'!F:F,FALSE)</f>
        <v>30</v>
      </c>
      <c r="H51" s="533">
        <f>_xlfn.XLOOKUP(E51,'All Products'!D:D,'All Products'!G:G,FALSE)</f>
        <v>1350</v>
      </c>
      <c r="I51" s="512">
        <f>_xlfn.XLOOKUP(E51,'All Products'!D:D,'All Products'!H:H,FALSE)</f>
        <v>196.81</v>
      </c>
      <c r="J51" s="216">
        <f>ROUNDUP(I51*Order_Quote!$L$2,2)</f>
        <v>984.05</v>
      </c>
      <c r="K51" s="123"/>
      <c r="L51" s="79"/>
      <c r="M51" s="107">
        <f t="shared" si="0"/>
        <v>0</v>
      </c>
      <c r="O51" s="525" t="str">
        <f>_xlfn.XLOOKUP(E51,'All Products'!D:D,'All Products'!I:I,FALSE)</f>
        <v>In Stock</v>
      </c>
      <c r="P51" s="525" t="str">
        <f>_xlfn.XLOOKUP(E51,'All Products'!D:D,'All Products'!J:J,FALSE)</f>
        <v>Manufactured</v>
      </c>
      <c r="Q51" s="525" t="str">
        <f>_xlfn.XLOOKUP(F51,'All Products'!E:E,'All Products'!K:K,FALSE)</f>
        <v>810673014606</v>
      </c>
      <c r="R51" s="525" t="str">
        <f>_xlfn.XLOOKUP(E51,'All Products'!D:D,'All Products'!L:L,FALSE)</f>
        <v>-</v>
      </c>
      <c r="S51" s="525" t="str">
        <f>_xlfn.XLOOKUP(E51,'All Products'!D:D,'All Products'!M:M,FALSE)</f>
        <v>10810673014603</v>
      </c>
      <c r="T51" s="530">
        <f>_xlfn.XLOOKUP(E51,'All Products'!D:D,'All Products'!N:N,FALSE)</f>
        <v>0.61099999999999999</v>
      </c>
      <c r="U51" s="530">
        <f>_xlfn.XLOOKUP(E51,'All Products'!D:D,'All Products'!P:P,FALSE)</f>
        <v>18.329999999999998</v>
      </c>
      <c r="V51" s="530">
        <f>_xlfn.XLOOKUP(E51,'All Products'!D:D,'All Products'!Q:Q,FALSE)</f>
        <v>0.98955954024750914</v>
      </c>
    </row>
    <row r="52" spans="1:22">
      <c r="A52" s="5" t="str">
        <f>IF(K52&gt;0,COUNT($A$7:A51)+1,"")</f>
        <v/>
      </c>
      <c r="B52" s="34"/>
      <c r="C52" s="50"/>
      <c r="D52" s="512" t="str">
        <f>_xlfn.XLOOKUP(E52,'All Products'!D:D,'All Products'!C:C,FALSE)</f>
        <v>107-3267</v>
      </c>
      <c r="E52" s="106">
        <v>100028885</v>
      </c>
      <c r="F52" s="522" t="str">
        <f>_xlfn.XLOOKUP(E52,'All Products'!D:D,'All Products'!E:E,FALSE)</f>
        <v>4 X 3 FLUSH BUSHING SXH DWV</v>
      </c>
      <c r="G52" s="282">
        <f>_xlfn.XLOOKUP(E52,'All Products'!D:D,'All Products'!F:F,FALSE)</f>
        <v>30</v>
      </c>
      <c r="H52" s="533">
        <f>_xlfn.XLOOKUP(E52,'All Products'!D:D,'All Products'!G:G,FALSE)</f>
        <v>1350</v>
      </c>
      <c r="I52" s="512">
        <f>_xlfn.XLOOKUP(E52,'All Products'!D:D,'All Products'!H:H,FALSE)</f>
        <v>101.64</v>
      </c>
      <c r="J52" s="216">
        <f>ROUNDUP(I52*Order_Quote!$L$2,2)</f>
        <v>508.2</v>
      </c>
      <c r="K52" s="123"/>
      <c r="L52" s="79"/>
      <c r="M52" s="107">
        <f t="shared" si="0"/>
        <v>0</v>
      </c>
      <c r="O52" s="525" t="str">
        <f>_xlfn.XLOOKUP(E52,'All Products'!D:D,'All Products'!I:I,FALSE)</f>
        <v>In Stock</v>
      </c>
      <c r="P52" s="525" t="str">
        <f>_xlfn.XLOOKUP(E52,'All Products'!D:D,'All Products'!J:J,FALSE)</f>
        <v>Manufactured</v>
      </c>
      <c r="Q52" s="525" t="str">
        <f>_xlfn.XLOOKUP(F52,'All Products'!E:E,'All Products'!K:K,FALSE)</f>
        <v>810673014620</v>
      </c>
      <c r="R52" s="525" t="str">
        <f>_xlfn.XLOOKUP(E52,'All Products'!D:D,'All Products'!L:L,FALSE)</f>
        <v>-</v>
      </c>
      <c r="S52" s="525" t="str">
        <f>_xlfn.XLOOKUP(E52,'All Products'!D:D,'All Products'!M:M,FALSE)</f>
        <v>10810673014627</v>
      </c>
      <c r="T52" s="530">
        <f>_xlfn.XLOOKUP(E52,'All Products'!D:D,'All Products'!N:N,FALSE)</f>
        <v>0.53100000000000003</v>
      </c>
      <c r="U52" s="530">
        <f>_xlfn.XLOOKUP(E52,'All Products'!D:D,'All Products'!P:P,FALSE)</f>
        <v>15.930000000000001</v>
      </c>
      <c r="V52" s="530">
        <f>_xlfn.XLOOKUP(E52,'All Products'!D:D,'All Products'!Q:Q,FALSE)</f>
        <v>0.98955954024750914</v>
      </c>
    </row>
    <row r="53" spans="1:22">
      <c r="A53" s="5" t="str">
        <f>IF(K53&gt;0,COUNT($A$7:A52)+1,"")</f>
        <v/>
      </c>
      <c r="B53" s="23"/>
      <c r="C53" s="51"/>
      <c r="D53" s="512" t="str">
        <f>_xlfn.XLOOKUP(E53,'All Products'!D:D,'All Products'!C:C,FALSE)</f>
        <v>107-3268</v>
      </c>
      <c r="E53" s="106">
        <v>100028886</v>
      </c>
      <c r="F53" s="522" t="str">
        <f>_xlfn.XLOOKUP(E53,'All Products'!D:D,'All Products'!E:E,FALSE)</f>
        <v>6 X 4 FLUSH BUSHING SXH DWV</v>
      </c>
      <c r="G53" s="282">
        <f>_xlfn.XLOOKUP(E53,'All Products'!D:D,'All Products'!F:F,FALSE)</f>
        <v>10</v>
      </c>
      <c r="H53" s="533">
        <f>_xlfn.XLOOKUP(E53,'All Products'!D:D,'All Products'!G:G,FALSE)</f>
        <v>320</v>
      </c>
      <c r="I53" s="512">
        <f>_xlfn.XLOOKUP(E53,'All Products'!D:D,'All Products'!H:H,FALSE)</f>
        <v>505.43</v>
      </c>
      <c r="J53" s="216">
        <f>ROUNDUP(I53*Order_Quote!$L$2,2)</f>
        <v>2527.15</v>
      </c>
      <c r="K53" s="123"/>
      <c r="L53" s="79"/>
      <c r="M53" s="107">
        <f t="shared" si="0"/>
        <v>0</v>
      </c>
      <c r="O53" s="525" t="str">
        <f>_xlfn.XLOOKUP(E53,'All Products'!D:D,'All Products'!I:I,FALSE)</f>
        <v>In Stock</v>
      </c>
      <c r="P53" s="525" t="str">
        <f>_xlfn.XLOOKUP(E53,'All Products'!D:D,'All Products'!J:J,FALSE)</f>
        <v>Manufactured</v>
      </c>
      <c r="Q53" s="525" t="str">
        <f>_xlfn.XLOOKUP(F53,'All Products'!E:E,'All Products'!K:K,FALSE)</f>
        <v>810673011995</v>
      </c>
      <c r="R53" s="525" t="str">
        <f>_xlfn.XLOOKUP(E53,'All Products'!D:D,'All Products'!L:L,FALSE)</f>
        <v>-</v>
      </c>
      <c r="S53" s="525" t="str">
        <f>_xlfn.XLOOKUP(E53,'All Products'!D:D,'All Products'!M:M,FALSE)</f>
        <v>810673015658</v>
      </c>
      <c r="T53" s="530">
        <f>_xlfn.XLOOKUP(E53,'All Products'!D:D,'All Products'!N:N,FALSE)</f>
        <v>2.137</v>
      </c>
      <c r="U53" s="530">
        <f>_xlfn.XLOOKUP(E53,'All Products'!D:D,'All Products'!P:P,FALSE)</f>
        <v>21.37</v>
      </c>
      <c r="V53" s="530">
        <f>_xlfn.XLOOKUP(E53,'All Products'!D:D,'All Products'!Q:Q,FALSE)</f>
        <v>1.3788503419060438</v>
      </c>
    </row>
    <row r="54" spans="1:22">
      <c r="A54" s="5" t="str">
        <f>IF(K54&gt;0,COUNT($A$7:A53)+1,"")</f>
        <v/>
      </c>
      <c r="B54" s="26"/>
      <c r="C54" s="49"/>
      <c r="D54" s="512" t="str">
        <f>_xlfn.XLOOKUP(E54,'All Products'!D:D,'All Products'!C:C,FALSE)</f>
        <v>109-3286</v>
      </c>
      <c r="E54" s="106">
        <v>100028887</v>
      </c>
      <c r="F54" s="522" t="str">
        <f>_xlfn.XLOOKUP(E54,'All Products'!D:D,'All Products'!E:E,FALSE)</f>
        <v>1-1/2 MALE ADAPTER HXMPT DWV</v>
      </c>
      <c r="G54" s="282">
        <f>_xlfn.XLOOKUP(E54,'All Products'!D:D,'All Products'!F:F,FALSE)</f>
        <v>50</v>
      </c>
      <c r="H54" s="533">
        <f>_xlfn.XLOOKUP(E54,'All Products'!D:D,'All Products'!G:G,FALSE)</f>
        <v>6400</v>
      </c>
      <c r="I54" s="512">
        <f>_xlfn.XLOOKUP(E54,'All Products'!D:D,'All Products'!H:H,FALSE)</f>
        <v>25.83</v>
      </c>
      <c r="J54" s="216">
        <f>ROUNDUP(I54*Order_Quote!$L$2,2)</f>
        <v>129.15</v>
      </c>
      <c r="K54" s="123"/>
      <c r="L54" s="79"/>
      <c r="M54" s="107">
        <f t="shared" si="0"/>
        <v>0</v>
      </c>
      <c r="O54" s="525" t="str">
        <f>_xlfn.XLOOKUP(E54,'All Products'!D:D,'All Products'!I:I,FALSE)</f>
        <v>Within 3 Weeks</v>
      </c>
      <c r="P54" s="525" t="str">
        <f>_xlfn.XLOOKUP(E54,'All Products'!D:D,'All Products'!J:J,FALSE)</f>
        <v>Manufactured</v>
      </c>
      <c r="Q54" s="525" t="str">
        <f>_xlfn.XLOOKUP(F54,'All Products'!E:E,'All Products'!K:K,FALSE)</f>
        <v>810673013432</v>
      </c>
      <c r="R54" s="525" t="str">
        <f>_xlfn.XLOOKUP(E54,'All Products'!D:D,'All Products'!L:L,FALSE)</f>
        <v>-</v>
      </c>
      <c r="S54" s="525" t="str">
        <f>_xlfn.XLOOKUP(E54,'All Products'!D:D,'All Products'!M:M,FALSE)</f>
        <v>10810673013439</v>
      </c>
      <c r="T54" s="530">
        <f>_xlfn.XLOOKUP(E54,'All Products'!D:D,'All Products'!N:N,FALSE)</f>
        <v>0.10100000000000001</v>
      </c>
      <c r="U54" s="530">
        <f>_xlfn.XLOOKUP(E54,'All Products'!D:D,'All Products'!P:P,FALSE)</f>
        <v>5.0500000000000007</v>
      </c>
      <c r="V54" s="530">
        <f>_xlfn.XLOOKUP(E54,'All Products'!D:D,'All Products'!Q:Q,FALSE)</f>
        <v>0.32375720697715193</v>
      </c>
    </row>
    <row r="55" spans="1:22">
      <c r="A55" s="5" t="str">
        <f>IF(K55&gt;0,COUNT($A$7:A54)+1,"")</f>
        <v/>
      </c>
      <c r="B55" s="34"/>
      <c r="C55" s="50"/>
      <c r="D55" s="512" t="str">
        <f>_xlfn.XLOOKUP(E55,'All Products'!D:D,'All Products'!C:C,FALSE)</f>
        <v>109-3287</v>
      </c>
      <c r="E55" s="106">
        <v>300005641</v>
      </c>
      <c r="F55" s="522" t="str">
        <f>_xlfn.XLOOKUP(E55,'All Products'!D:D,'All Products'!E:E,FALSE)</f>
        <v>1-1/2X1-1/4 MALE ADAPTER HXMPT DWV</v>
      </c>
      <c r="G55" s="282">
        <f>_xlfn.XLOOKUP(E55,'All Products'!D:D,'All Products'!F:F,FALSE)</f>
        <v>25</v>
      </c>
      <c r="H55" s="533">
        <f>_xlfn.XLOOKUP(E55,'All Products'!D:D,'All Products'!G:G,FALSE)</f>
        <v>7500</v>
      </c>
      <c r="I55" s="512">
        <f>_xlfn.XLOOKUP(E55,'All Products'!D:D,'All Products'!H:H,FALSE)</f>
        <v>39.1</v>
      </c>
      <c r="J55" s="216">
        <f>ROUNDUP(I55*Order_Quote!$L$2,2)</f>
        <v>195.5</v>
      </c>
      <c r="K55" s="123"/>
      <c r="L55" s="79"/>
      <c r="M55" s="107">
        <f t="shared" si="0"/>
        <v>0</v>
      </c>
      <c r="O55" s="525" t="str">
        <f>_xlfn.XLOOKUP(E55,'All Products'!D:D,'All Products'!I:I,FALSE)</f>
        <v>Within 3 Weeks</v>
      </c>
      <c r="P55" s="525" t="str">
        <f>_xlfn.XLOOKUP(E55,'All Products'!D:D,'All Products'!J:J,FALSE)</f>
        <v>Sourced</v>
      </c>
      <c r="Q55" s="525" t="str">
        <f>_xlfn.XLOOKUP(F55,'All Products'!E:E,'All Products'!K:K,FALSE)</f>
        <v>810673013425</v>
      </c>
      <c r="R55" s="525" t="str">
        <f>_xlfn.XLOOKUP(E55,'All Products'!D:D,'All Products'!L:L,FALSE)</f>
        <v>-</v>
      </c>
      <c r="S55" s="525" t="str">
        <f>_xlfn.XLOOKUP(E55,'All Products'!D:D,'All Products'!M:M,FALSE)</f>
        <v>10810673013422</v>
      </c>
      <c r="T55" s="530">
        <f>_xlfn.XLOOKUP(E55,'All Products'!D:D,'All Products'!N:N,FALSE)</f>
        <v>7.0000000000000007E-2</v>
      </c>
      <c r="U55" s="530">
        <f>_xlfn.XLOOKUP(E55,'All Products'!D:D,'All Products'!P:P,FALSE)</f>
        <v>1.7500000000000002</v>
      </c>
      <c r="V55" s="530" t="str">
        <f>_xlfn.XLOOKUP(E55,'All Products'!D:D,'All Products'!Q:Q,FALSE)</f>
        <v>-</v>
      </c>
    </row>
    <row r="56" spans="1:22">
      <c r="A56" s="5" t="str">
        <f>IF(K56&gt;0,COUNT($A$7:A55)+1,"")</f>
        <v/>
      </c>
      <c r="B56" s="34"/>
      <c r="C56" s="50"/>
      <c r="D56" s="512" t="str">
        <f>_xlfn.XLOOKUP(E56,'All Products'!D:D,'All Products'!C:C,FALSE)</f>
        <v>109-3288</v>
      </c>
      <c r="E56" s="106">
        <v>100028889</v>
      </c>
      <c r="F56" s="522" t="str">
        <f>_xlfn.XLOOKUP(E56,'All Products'!D:D,'All Products'!E:E,FALSE)</f>
        <v>2 MALE ADAPTER HXMPT DWV</v>
      </c>
      <c r="G56" s="282">
        <f>_xlfn.XLOOKUP(E56,'All Products'!D:D,'All Products'!F:F,FALSE)</f>
        <v>50</v>
      </c>
      <c r="H56" s="533">
        <f>_xlfn.XLOOKUP(E56,'All Products'!D:D,'All Products'!G:G,FALSE)</f>
        <v>7200</v>
      </c>
      <c r="I56" s="512">
        <f>_xlfn.XLOOKUP(E56,'All Products'!D:D,'All Products'!H:H,FALSE)</f>
        <v>34.68</v>
      </c>
      <c r="J56" s="216">
        <f>ROUNDUP(I56*Order_Quote!$L$2,2)</f>
        <v>173.4</v>
      </c>
      <c r="K56" s="123"/>
      <c r="L56" s="79"/>
      <c r="M56" s="107">
        <f t="shared" si="0"/>
        <v>0</v>
      </c>
      <c r="O56" s="525" t="str">
        <f>_xlfn.XLOOKUP(E56,'All Products'!D:D,'All Products'!I:I,FALSE)</f>
        <v>Within 3 Weeks</v>
      </c>
      <c r="P56" s="525" t="str">
        <f>_xlfn.XLOOKUP(E56,'All Products'!D:D,'All Products'!J:J,FALSE)</f>
        <v>Manufactured</v>
      </c>
      <c r="Q56" s="525" t="str">
        <f>_xlfn.XLOOKUP(F56,'All Products'!E:E,'All Products'!K:K,FALSE)</f>
        <v>810673013449</v>
      </c>
      <c r="R56" s="525" t="str">
        <f>_xlfn.XLOOKUP(E56,'All Products'!D:D,'All Products'!L:L,FALSE)</f>
        <v>-</v>
      </c>
      <c r="S56" s="525" t="str">
        <f>_xlfn.XLOOKUP(E56,'All Products'!D:D,'All Products'!M:M,FALSE)</f>
        <v>10810673013446</v>
      </c>
      <c r="T56" s="530">
        <f>_xlfn.XLOOKUP(E56,'All Products'!D:D,'All Products'!N:N,FALSE)</f>
        <v>0.122</v>
      </c>
      <c r="U56" s="530">
        <f>_xlfn.XLOOKUP(E56,'All Products'!D:D,'All Products'!P:P,FALSE)</f>
        <v>6.1</v>
      </c>
      <c r="V56" s="530">
        <f>_xlfn.XLOOKUP(E56,'All Products'!D:D,'All Products'!Q:Q,FALSE)</f>
        <v>0.26544609711836381</v>
      </c>
    </row>
    <row r="57" spans="1:22">
      <c r="A57" s="5" t="str">
        <f>IF(K57&gt;0,COUNT($A$7:A56)+1,"")</f>
        <v/>
      </c>
      <c r="B57" s="34"/>
      <c r="C57" s="50"/>
      <c r="D57" s="512" t="str">
        <f>_xlfn.XLOOKUP(E57,'All Products'!D:D,'All Products'!C:C,FALSE)</f>
        <v>109-3289</v>
      </c>
      <c r="E57" s="106">
        <v>100028890</v>
      </c>
      <c r="F57" s="522" t="str">
        <f>_xlfn.XLOOKUP(E57,'All Products'!D:D,'All Products'!E:E,FALSE)</f>
        <v>3 MALE ADAPTER HXMPT DWV</v>
      </c>
      <c r="G57" s="282">
        <f>_xlfn.XLOOKUP(E57,'All Products'!D:D,'All Products'!F:F,FALSE)</f>
        <v>25</v>
      </c>
      <c r="H57" s="533">
        <f>_xlfn.XLOOKUP(E57,'All Products'!D:D,'All Products'!G:G,FALSE)</f>
        <v>1125</v>
      </c>
      <c r="I57" s="512">
        <f>_xlfn.XLOOKUP(E57,'All Products'!D:D,'All Products'!H:H,FALSE)</f>
        <v>96.86</v>
      </c>
      <c r="J57" s="216">
        <f>ROUNDUP(I57*Order_Quote!$L$2,2)</f>
        <v>484.3</v>
      </c>
      <c r="K57" s="123"/>
      <c r="L57" s="79"/>
      <c r="M57" s="107">
        <f t="shared" si="0"/>
        <v>0</v>
      </c>
      <c r="O57" s="525" t="str">
        <f>_xlfn.XLOOKUP(E57,'All Products'!D:D,'All Products'!I:I,FALSE)</f>
        <v>Within 3 Weeks</v>
      </c>
      <c r="P57" s="525" t="str">
        <f>_xlfn.XLOOKUP(E57,'All Products'!D:D,'All Products'!J:J,FALSE)</f>
        <v>Manufactured</v>
      </c>
      <c r="Q57" s="525" t="str">
        <f>_xlfn.XLOOKUP(F57,'All Products'!E:E,'All Products'!K:K,FALSE)</f>
        <v>810673013456</v>
      </c>
      <c r="R57" s="525" t="str">
        <f>_xlfn.XLOOKUP(E57,'All Products'!D:D,'All Products'!L:L,FALSE)</f>
        <v>-</v>
      </c>
      <c r="S57" s="525" t="str">
        <f>_xlfn.XLOOKUP(E57,'All Products'!D:D,'All Products'!M:M,FALSE)</f>
        <v>10810673013453</v>
      </c>
      <c r="T57" s="530">
        <f>_xlfn.XLOOKUP(E57,'All Products'!D:D,'All Products'!N:N,FALSE)</f>
        <v>0.46</v>
      </c>
      <c r="U57" s="530">
        <f>_xlfn.XLOOKUP(E57,'All Products'!D:D,'All Products'!P:P,FALSE)</f>
        <v>11.5</v>
      </c>
      <c r="V57" s="530">
        <f>_xlfn.XLOOKUP(E57,'All Products'!D:D,'All Products'!Q:Q,FALSE)</f>
        <v>0.98955954024750914</v>
      </c>
    </row>
    <row r="58" spans="1:22">
      <c r="A58" s="5" t="str">
        <f>IF(K58&gt;0,COUNT($A$7:A57)+1,"")</f>
        <v/>
      </c>
      <c r="B58" s="34"/>
      <c r="C58" s="50"/>
      <c r="D58" s="512" t="str">
        <f>_xlfn.XLOOKUP(E58,'All Products'!D:D,'All Products'!C:C,FALSE)</f>
        <v>109-3290</v>
      </c>
      <c r="E58" s="106">
        <v>100028891</v>
      </c>
      <c r="F58" s="522" t="str">
        <f>_xlfn.XLOOKUP(E58,'All Products'!D:D,'All Products'!E:E,FALSE)</f>
        <v>4 MALE ADAPTER HXMPT DWV</v>
      </c>
      <c r="G58" s="282">
        <f>_xlfn.XLOOKUP(E58,'All Products'!D:D,'All Products'!F:F,FALSE)</f>
        <v>25</v>
      </c>
      <c r="H58" s="533">
        <f>_xlfn.XLOOKUP(E58,'All Products'!D:D,'All Products'!G:G,FALSE)</f>
        <v>800</v>
      </c>
      <c r="I58" s="512">
        <f>_xlfn.XLOOKUP(E58,'All Products'!D:D,'All Products'!H:H,FALSE)</f>
        <v>219.29</v>
      </c>
      <c r="J58" s="216">
        <f>ROUNDUP(I58*Order_Quote!$L$2,2)</f>
        <v>1096.45</v>
      </c>
      <c r="K58" s="123"/>
      <c r="L58" s="79"/>
      <c r="M58" s="107">
        <f t="shared" si="0"/>
        <v>0</v>
      </c>
      <c r="O58" s="525" t="str">
        <f>_xlfn.XLOOKUP(E58,'All Products'!D:D,'All Products'!I:I,FALSE)</f>
        <v>Within 3 Weeks</v>
      </c>
      <c r="P58" s="525" t="str">
        <f>_xlfn.XLOOKUP(E58,'All Products'!D:D,'All Products'!J:J,FALSE)</f>
        <v>Manufactured</v>
      </c>
      <c r="Q58" s="525" t="str">
        <f>_xlfn.XLOOKUP(F58,'All Products'!E:E,'All Products'!K:K,FALSE)</f>
        <v>810673013463</v>
      </c>
      <c r="R58" s="525" t="str">
        <f>_xlfn.XLOOKUP(E58,'All Products'!D:D,'All Products'!L:L,FALSE)</f>
        <v>-</v>
      </c>
      <c r="S58" s="525" t="str">
        <f>_xlfn.XLOOKUP(E58,'All Products'!D:D,'All Products'!M:M,FALSE)</f>
        <v>810673011018</v>
      </c>
      <c r="T58" s="530">
        <f>_xlfn.XLOOKUP(E58,'All Products'!D:D,'All Products'!N:N,FALSE)</f>
        <v>0.82699999999999996</v>
      </c>
      <c r="U58" s="530">
        <f>_xlfn.XLOOKUP(E58,'All Products'!D:D,'All Products'!P:P,FALSE)</f>
        <v>20.674999999999997</v>
      </c>
      <c r="V58" s="530">
        <f>_xlfn.XLOOKUP(E58,'All Products'!D:D,'All Products'!Q:Q,FALSE)</f>
        <v>1.3788503419060438</v>
      </c>
    </row>
    <row r="59" spans="1:22">
      <c r="A59" s="5" t="str">
        <f>IF(K59&gt;0,COUNT($A$7:A58)+1,"")</f>
        <v/>
      </c>
      <c r="B59" s="23"/>
      <c r="C59" s="51"/>
      <c r="D59" s="512" t="str">
        <f>_xlfn.XLOOKUP(E59,'All Products'!D:D,'All Products'!C:C,FALSE)</f>
        <v>109-3296</v>
      </c>
      <c r="E59" s="106">
        <v>300005642</v>
      </c>
      <c r="F59" s="522" t="str">
        <f>_xlfn.XLOOKUP(E59,'All Products'!D:D,'All Products'!E:E,FALSE)</f>
        <v>6 MALE ADAPTER HXMPT DWV</v>
      </c>
      <c r="G59" s="282">
        <f>_xlfn.XLOOKUP(E59,'All Products'!D:D,'All Products'!F:F,FALSE)</f>
        <v>7</v>
      </c>
      <c r="H59" s="533">
        <f>_xlfn.XLOOKUP(E59,'All Products'!D:D,'All Products'!G:G,FALSE)</f>
        <v>245</v>
      </c>
      <c r="I59" s="512">
        <f>_xlfn.XLOOKUP(E59,'All Products'!D:D,'All Products'!H:H,FALSE)</f>
        <v>4303.1400000000003</v>
      </c>
      <c r="J59" s="216">
        <f>ROUNDUP(I59*Order_Quote!$L$2,2)</f>
        <v>21515.7</v>
      </c>
      <c r="K59" s="123"/>
      <c r="L59" s="79"/>
      <c r="M59" s="107">
        <f t="shared" si="0"/>
        <v>0</v>
      </c>
      <c r="O59" s="525" t="str">
        <f>_xlfn.XLOOKUP(E59,'All Products'!D:D,'All Products'!I:I,FALSE)</f>
        <v>Within 6 Weeks</v>
      </c>
      <c r="P59" s="525" t="str">
        <f>_xlfn.XLOOKUP(E59,'All Products'!D:D,'All Products'!J:J,FALSE)</f>
        <v>Sourced</v>
      </c>
      <c r="Q59" s="525" t="str">
        <f>_xlfn.XLOOKUP(F59,'All Products'!E:E,'All Products'!K:K,FALSE)</f>
        <v>812361017173</v>
      </c>
      <c r="R59" s="525" t="str">
        <f>_xlfn.XLOOKUP(E59,'All Products'!D:D,'All Products'!L:L,FALSE)</f>
        <v>-</v>
      </c>
      <c r="S59" s="525">
        <f>_xlfn.XLOOKUP(E59,'All Products'!D:D,'All Products'!M:M,FALSE)</f>
        <v>0</v>
      </c>
      <c r="T59" s="530">
        <f>_xlfn.XLOOKUP(E59,'All Products'!D:D,'All Products'!N:N,FALSE)</f>
        <v>0.28000000000000003</v>
      </c>
      <c r="U59" s="530">
        <f>_xlfn.XLOOKUP(E59,'All Products'!D:D,'All Products'!P:P,FALSE)</f>
        <v>1.9600000000000002</v>
      </c>
      <c r="V59" s="530" t="str">
        <f>_xlfn.XLOOKUP(E59,'All Products'!D:D,'All Products'!Q:Q,FALSE)</f>
        <v>-</v>
      </c>
    </row>
    <row r="60" spans="1:22">
      <c r="A60" s="5" t="str">
        <f>IF(K60&gt;0,COUNT($A$7:A59)+1,"")</f>
        <v/>
      </c>
      <c r="B60" s="26"/>
      <c r="C60" s="49"/>
      <c r="D60" s="512" t="str">
        <f>_xlfn.XLOOKUP(E60,'All Products'!D:D,'All Products'!C:C,FALSE)</f>
        <v>110-3292</v>
      </c>
      <c r="E60" s="106">
        <v>300006069</v>
      </c>
      <c r="F60" s="522" t="str">
        <f>_xlfn.XLOOKUP(E60,'All Products'!D:D,'All Products'!E:E,FALSE)</f>
        <v>3 FLUSH C/O PLUG MPT DWV</v>
      </c>
      <c r="G60" s="282">
        <f>_xlfn.XLOOKUP(E60,'All Products'!D:D,'All Products'!F:F,FALSE)</f>
        <v>25</v>
      </c>
      <c r="H60" s="533">
        <f>_xlfn.XLOOKUP(E60,'All Products'!D:D,'All Products'!G:G,FALSE)</f>
        <v>5250</v>
      </c>
      <c r="I60" s="512">
        <f>_xlfn.XLOOKUP(E60,'All Products'!D:D,'All Products'!H:H,FALSE)</f>
        <v>107.6</v>
      </c>
      <c r="J60" s="216">
        <f>ROUNDUP(I60*Order_Quote!$L$2,2)</f>
        <v>538</v>
      </c>
      <c r="K60" s="123"/>
      <c r="L60" s="79"/>
      <c r="M60" s="107">
        <f t="shared" si="0"/>
        <v>0</v>
      </c>
      <c r="O60" s="525" t="str">
        <f>_xlfn.XLOOKUP(E60,'All Products'!D:D,'All Products'!I:I,FALSE)</f>
        <v>Within 6 Weeks</v>
      </c>
      <c r="P60" s="525" t="str">
        <f>_xlfn.XLOOKUP(E60,'All Products'!D:D,'All Products'!J:J,FALSE)</f>
        <v>Sourced</v>
      </c>
      <c r="Q60" s="525" t="str">
        <f>_xlfn.XLOOKUP(F60,'All Products'!E:E,'All Products'!K:K,FALSE)</f>
        <v>812361017272</v>
      </c>
      <c r="R60" s="525" t="str">
        <f>_xlfn.XLOOKUP(E60,'All Products'!D:D,'All Products'!L:L,FALSE)</f>
        <v>-</v>
      </c>
      <c r="S60" s="525">
        <f>_xlfn.XLOOKUP(E60,'All Products'!D:D,'All Products'!M:M,FALSE)</f>
        <v>0</v>
      </c>
      <c r="T60" s="530">
        <f>_xlfn.XLOOKUP(E60,'All Products'!D:D,'All Products'!N:N,FALSE)</f>
        <v>0.16</v>
      </c>
      <c r="U60" s="530">
        <f>_xlfn.XLOOKUP(E60,'All Products'!D:D,'All Products'!P:P,FALSE)</f>
        <v>4</v>
      </c>
      <c r="V60" s="530" t="str">
        <f>_xlfn.XLOOKUP(E60,'All Products'!D:D,'All Products'!Q:Q,FALSE)</f>
        <v>-</v>
      </c>
    </row>
    <row r="61" spans="1:22">
      <c r="A61" s="5" t="str">
        <f>IF(K61&gt;0,COUNT($A$7:A60)+1,"")</f>
        <v/>
      </c>
      <c r="B61" s="23"/>
      <c r="C61" s="51"/>
      <c r="D61" s="512" t="str">
        <f>_xlfn.XLOOKUP(E61,'All Products'!D:D,'All Products'!C:C,FALSE)</f>
        <v>110-3293</v>
      </c>
      <c r="E61" s="106">
        <v>300006070</v>
      </c>
      <c r="F61" s="522" t="str">
        <f>_xlfn.XLOOKUP(E61,'All Products'!D:D,'All Products'!E:E,FALSE)</f>
        <v>4 FLUSH C/O PLUG MPT DWV</v>
      </c>
      <c r="G61" s="282">
        <f>_xlfn.XLOOKUP(E61,'All Products'!D:D,'All Products'!F:F,FALSE)</f>
        <v>25</v>
      </c>
      <c r="H61" s="533" t="str">
        <f>_xlfn.XLOOKUP(E61,'All Products'!D:D,'All Products'!G:G,FALSE)</f>
        <v>-</v>
      </c>
      <c r="I61" s="512">
        <f>_xlfn.XLOOKUP(E61,'All Products'!D:D,'All Products'!H:H,FALSE)</f>
        <v>139.65</v>
      </c>
      <c r="J61" s="216">
        <f>ROUNDUP(I61*Order_Quote!$L$2,2)</f>
        <v>698.25</v>
      </c>
      <c r="K61" s="123"/>
      <c r="L61" s="79"/>
      <c r="M61" s="107">
        <f t="shared" si="0"/>
        <v>0</v>
      </c>
      <c r="O61" s="525" t="str">
        <f>_xlfn.XLOOKUP(E61,'All Products'!D:D,'All Products'!I:I,FALSE)</f>
        <v>Within 6 Weeks</v>
      </c>
      <c r="P61" s="525" t="str">
        <f>_xlfn.XLOOKUP(E61,'All Products'!D:D,'All Products'!J:J,FALSE)</f>
        <v>Sourced</v>
      </c>
      <c r="Q61" s="525" t="str">
        <f>_xlfn.XLOOKUP(F61,'All Products'!E:E,'All Products'!K:K,FALSE)</f>
        <v>816842021437</v>
      </c>
      <c r="R61" s="525" t="str">
        <f>_xlfn.XLOOKUP(E61,'All Products'!D:D,'All Products'!L:L,FALSE)</f>
        <v>-</v>
      </c>
      <c r="S61" s="525">
        <f>_xlfn.XLOOKUP(E61,'All Products'!D:D,'All Products'!M:M,FALSE)</f>
        <v>0</v>
      </c>
      <c r="T61" s="530">
        <f>_xlfn.XLOOKUP(E61,'All Products'!D:D,'All Products'!N:N,FALSE)</f>
        <v>0.3</v>
      </c>
      <c r="U61" s="530">
        <f>_xlfn.XLOOKUP(E61,'All Products'!D:D,'All Products'!P:P,FALSE)</f>
        <v>7.5</v>
      </c>
      <c r="V61" s="530" t="str">
        <f>_xlfn.XLOOKUP(E61,'All Products'!D:D,'All Products'!Q:Q,FALSE)</f>
        <v>-</v>
      </c>
    </row>
    <row r="62" spans="1:22">
      <c r="A62" s="5" t="str">
        <f>IF(K62&gt;0,COUNT($A$7:A61)+1,"")</f>
        <v/>
      </c>
      <c r="B62" s="26"/>
      <c r="C62" s="49"/>
      <c r="D62" s="512" t="str">
        <f>_xlfn.XLOOKUP(E62,'All Products'!D:D,'All Products'!C:C,FALSE)</f>
        <v>116-3301</v>
      </c>
      <c r="E62" s="106">
        <v>100028896</v>
      </c>
      <c r="F62" s="522" t="str">
        <f>_xlfn.XLOOKUP(E62,'All Products'!D:D,'All Products'!E:E,FALSE)</f>
        <v>1-1/2 CAP DWV</v>
      </c>
      <c r="G62" s="282">
        <f>_xlfn.XLOOKUP(E62,'All Products'!D:D,'All Products'!F:F,FALSE)</f>
        <v>50</v>
      </c>
      <c r="H62" s="533">
        <f>_xlfn.XLOOKUP(E62,'All Products'!D:D,'All Products'!G:G,FALSE)</f>
        <v>9000</v>
      </c>
      <c r="I62" s="512">
        <f>_xlfn.XLOOKUP(E62,'All Products'!D:D,'All Products'!H:H,FALSE)</f>
        <v>54.65</v>
      </c>
      <c r="J62" s="216">
        <f>ROUNDUP(I62*Order_Quote!$L$2,2)</f>
        <v>273.25</v>
      </c>
      <c r="K62" s="123"/>
      <c r="L62" s="79"/>
      <c r="M62" s="107">
        <f t="shared" si="0"/>
        <v>0</v>
      </c>
      <c r="O62" s="525" t="str">
        <f>_xlfn.XLOOKUP(E62,'All Products'!D:D,'All Products'!I:I,FALSE)</f>
        <v>Within 3 Weeks</v>
      </c>
      <c r="P62" s="525" t="str">
        <f>_xlfn.XLOOKUP(E62,'All Products'!D:D,'All Products'!J:J,FALSE)</f>
        <v>Manufactured</v>
      </c>
      <c r="Q62" s="525" t="str">
        <f>_xlfn.XLOOKUP(F62,'All Products'!E:E,'All Products'!K:K,FALSE)</f>
        <v>810673013470</v>
      </c>
      <c r="R62" s="525" t="str">
        <f>_xlfn.XLOOKUP(E62,'All Products'!D:D,'All Products'!L:L,FALSE)</f>
        <v>-</v>
      </c>
      <c r="S62" s="525" t="str">
        <f>_xlfn.XLOOKUP(E62,'All Products'!D:D,'All Products'!M:M,FALSE)</f>
        <v>10810673013477</v>
      </c>
      <c r="T62" s="530">
        <f>_xlfn.XLOOKUP(E62,'All Products'!D:D,'All Products'!N:N,FALSE)</f>
        <v>8.1000000000000003E-2</v>
      </c>
      <c r="U62" s="530">
        <f>_xlfn.XLOOKUP(E62,'All Products'!D:D,'All Products'!P:P,FALSE)</f>
        <v>4.05</v>
      </c>
      <c r="V62" s="530">
        <f>_xlfn.XLOOKUP(E62,'All Products'!D:D,'All Products'!Q:Q,FALSE)</f>
        <v>0.26544609711836381</v>
      </c>
    </row>
    <row r="63" spans="1:22">
      <c r="A63" s="5" t="str">
        <f>IF(K63&gt;0,COUNT($A$7:A62)+1,"")</f>
        <v/>
      </c>
      <c r="B63" s="34"/>
      <c r="C63" s="50"/>
      <c r="D63" s="512" t="str">
        <f>_xlfn.XLOOKUP(E63,'All Products'!D:D,'All Products'!C:C,FALSE)</f>
        <v>116-3302</v>
      </c>
      <c r="E63" s="106">
        <v>100028897</v>
      </c>
      <c r="F63" s="522" t="str">
        <f>_xlfn.XLOOKUP(E63,'All Products'!D:D,'All Products'!E:E,FALSE)</f>
        <v>2 CAP DWV</v>
      </c>
      <c r="G63" s="282">
        <f>_xlfn.XLOOKUP(E63,'All Products'!D:D,'All Products'!F:F,FALSE)</f>
        <v>50</v>
      </c>
      <c r="H63" s="533">
        <f>_xlfn.XLOOKUP(E63,'All Products'!D:D,'All Products'!G:G,FALSE)</f>
        <v>4000</v>
      </c>
      <c r="I63" s="512">
        <f>_xlfn.XLOOKUP(E63,'All Products'!D:D,'All Products'!H:H,FALSE)</f>
        <v>91.23</v>
      </c>
      <c r="J63" s="216">
        <f>ROUNDUP(I63*Order_Quote!$L$2,2)</f>
        <v>456.15</v>
      </c>
      <c r="K63" s="123"/>
      <c r="L63" s="79"/>
      <c r="M63" s="107">
        <f t="shared" si="0"/>
        <v>0</v>
      </c>
      <c r="O63" s="525" t="str">
        <f>_xlfn.XLOOKUP(E63,'All Products'!D:D,'All Products'!I:I,FALSE)</f>
        <v>Within 3 Weeks</v>
      </c>
      <c r="P63" s="525" t="str">
        <f>_xlfn.XLOOKUP(E63,'All Products'!D:D,'All Products'!J:J,FALSE)</f>
        <v>Manufactured</v>
      </c>
      <c r="Q63" s="525" t="str">
        <f>_xlfn.XLOOKUP(F63,'All Products'!E:E,'All Products'!K:K,FALSE)</f>
        <v>810673013487</v>
      </c>
      <c r="R63" s="525" t="str">
        <f>_xlfn.XLOOKUP(E63,'All Products'!D:D,'All Products'!L:L,FALSE)</f>
        <v>-</v>
      </c>
      <c r="S63" s="525" t="str">
        <f>_xlfn.XLOOKUP(E63,'All Products'!D:D,'All Products'!M:M,FALSE)</f>
        <v>10810673013484</v>
      </c>
      <c r="T63" s="530">
        <f>_xlfn.XLOOKUP(E63,'All Products'!D:D,'All Products'!N:N,FALSE)</f>
        <v>0.11600000000000001</v>
      </c>
      <c r="U63" s="530">
        <f>_xlfn.XLOOKUP(E63,'All Products'!D:D,'All Products'!P:P,FALSE)</f>
        <v>5.8000000000000007</v>
      </c>
      <c r="V63" s="530">
        <f>_xlfn.XLOOKUP(E63,'All Products'!D:D,'All Products'!Q:Q,FALSE)</f>
        <v>0.4856358104657279</v>
      </c>
    </row>
    <row r="64" spans="1:22">
      <c r="A64" s="5" t="str">
        <f>IF(K64&gt;0,COUNT($A$7:A63)+1,"")</f>
        <v/>
      </c>
      <c r="B64" s="34"/>
      <c r="C64" s="50"/>
      <c r="D64" s="512" t="str">
        <f>_xlfn.XLOOKUP(E64,'All Products'!D:D,'All Products'!C:C,FALSE)</f>
        <v>116-3303</v>
      </c>
      <c r="E64" s="106">
        <v>100028898</v>
      </c>
      <c r="F64" s="522" t="str">
        <f>_xlfn.XLOOKUP(E64,'All Products'!D:D,'All Products'!E:E,FALSE)</f>
        <v>3 CAP DWV</v>
      </c>
      <c r="G64" s="282">
        <f>_xlfn.XLOOKUP(E64,'All Products'!D:D,'All Products'!F:F,FALSE)</f>
        <v>10</v>
      </c>
      <c r="H64" s="533">
        <f>_xlfn.XLOOKUP(E64,'All Products'!D:D,'All Products'!G:G,FALSE)</f>
        <v>1800</v>
      </c>
      <c r="I64" s="512">
        <f>_xlfn.XLOOKUP(E64,'All Products'!D:D,'All Products'!H:H,FALSE)</f>
        <v>152.53</v>
      </c>
      <c r="J64" s="216">
        <f>ROUNDUP(I64*Order_Quote!$L$2,2)</f>
        <v>762.65</v>
      </c>
      <c r="K64" s="123"/>
      <c r="L64" s="79"/>
      <c r="M64" s="107">
        <f t="shared" si="0"/>
        <v>0</v>
      </c>
      <c r="O64" s="525" t="str">
        <f>_xlfn.XLOOKUP(E64,'All Products'!D:D,'All Products'!I:I,FALSE)</f>
        <v>In Stock</v>
      </c>
      <c r="P64" s="525" t="str">
        <f>_xlfn.XLOOKUP(E64,'All Products'!D:D,'All Products'!J:J,FALSE)</f>
        <v>Manufactured</v>
      </c>
      <c r="Q64" s="525" t="str">
        <f>_xlfn.XLOOKUP(F64,'All Products'!E:E,'All Products'!K:K,FALSE)</f>
        <v>810673013494</v>
      </c>
      <c r="R64" s="525" t="str">
        <f>_xlfn.XLOOKUP(E64,'All Products'!D:D,'All Products'!L:L,FALSE)</f>
        <v>-</v>
      </c>
      <c r="S64" s="525" t="str">
        <f>_xlfn.XLOOKUP(E64,'All Products'!D:D,'All Products'!M:M,FALSE)</f>
        <v>810673011063</v>
      </c>
      <c r="T64" s="530">
        <f>_xlfn.XLOOKUP(E64,'All Products'!D:D,'All Products'!N:N,FALSE)</f>
        <v>0.39800000000000002</v>
      </c>
      <c r="U64" s="530">
        <f>_xlfn.XLOOKUP(E64,'All Products'!D:D,'All Products'!P:P,FALSE)</f>
        <v>3.9800000000000004</v>
      </c>
      <c r="V64" s="530">
        <f>_xlfn.XLOOKUP(E64,'All Products'!D:D,'All Products'!Q:Q,FALSE)</f>
        <v>0.21565729329437433</v>
      </c>
    </row>
    <row r="65" spans="1:22">
      <c r="A65" s="5" t="str">
        <f>IF(K65&gt;0,COUNT($A$7:A64)+1,"")</f>
        <v/>
      </c>
      <c r="B65" s="34"/>
      <c r="C65" s="50"/>
      <c r="D65" s="512" t="str">
        <f>_xlfn.XLOOKUP(E65,'All Products'!D:D,'All Products'!C:C,FALSE)</f>
        <v>116-3304</v>
      </c>
      <c r="E65" s="106">
        <v>100028899</v>
      </c>
      <c r="F65" s="522" t="str">
        <f>_xlfn.XLOOKUP(E65,'All Products'!D:D,'All Products'!E:E,FALSE)</f>
        <v>4 CAP DWV</v>
      </c>
      <c r="G65" s="282">
        <f>_xlfn.XLOOKUP(E65,'All Products'!D:D,'All Products'!F:F,FALSE)</f>
        <v>5</v>
      </c>
      <c r="H65" s="533">
        <f>_xlfn.XLOOKUP(E65,'All Products'!D:D,'All Products'!G:G,FALSE)</f>
        <v>900</v>
      </c>
      <c r="I65" s="512">
        <f>_xlfn.XLOOKUP(E65,'All Products'!D:D,'All Products'!H:H,FALSE)</f>
        <v>217.76</v>
      </c>
      <c r="J65" s="216">
        <f>ROUNDUP(I65*Order_Quote!$L$2,2)</f>
        <v>1088.8</v>
      </c>
      <c r="K65" s="123"/>
      <c r="L65" s="79"/>
      <c r="M65" s="107">
        <f t="shared" si="0"/>
        <v>0</v>
      </c>
      <c r="O65" s="525" t="str">
        <f>_xlfn.XLOOKUP(E65,'All Products'!D:D,'All Products'!I:I,FALSE)</f>
        <v>In Stock</v>
      </c>
      <c r="P65" s="525" t="str">
        <f>_xlfn.XLOOKUP(E65,'All Products'!D:D,'All Products'!J:J,FALSE)</f>
        <v>Manufactured</v>
      </c>
      <c r="Q65" s="525" t="str">
        <f>_xlfn.XLOOKUP(F65,'All Products'!E:E,'All Products'!K:K,FALSE)</f>
        <v>810673013500</v>
      </c>
      <c r="R65" s="525" t="str">
        <f>_xlfn.XLOOKUP(E65,'All Products'!D:D,'All Products'!L:L,FALSE)</f>
        <v>-</v>
      </c>
      <c r="S65" s="525" t="str">
        <f>_xlfn.XLOOKUP(E65,'All Products'!D:D,'All Products'!M:M,FALSE)</f>
        <v>810673011070</v>
      </c>
      <c r="T65" s="530">
        <f>_xlfn.XLOOKUP(E65,'All Products'!D:D,'All Products'!N:N,FALSE)</f>
        <v>0.71299999999999997</v>
      </c>
      <c r="U65" s="530">
        <f>_xlfn.XLOOKUP(E65,'All Products'!D:D,'All Products'!P:P,FALSE)</f>
        <v>3.5649999999999999</v>
      </c>
      <c r="V65" s="530">
        <f>_xlfn.XLOOKUP(E65,'All Products'!D:D,'All Products'!Q:Q,FALSE)</f>
        <v>0.21565729329437433</v>
      </c>
    </row>
    <row r="66" spans="1:22">
      <c r="A66" s="5" t="str">
        <f>IF(K66&gt;0,COUNT($A$7:A65)+1,"")</f>
        <v/>
      </c>
      <c r="B66" s="23"/>
      <c r="C66" s="51"/>
      <c r="D66" s="512" t="str">
        <f>_xlfn.XLOOKUP(E66,'All Products'!D:D,'All Products'!C:C,FALSE)</f>
        <v>116-3305</v>
      </c>
      <c r="E66" s="106">
        <v>100028900</v>
      </c>
      <c r="F66" s="522" t="str">
        <f>_xlfn.XLOOKUP(E66,'All Products'!D:D,'All Products'!E:E,FALSE)</f>
        <v>6 CAP DWV</v>
      </c>
      <c r="G66" s="282">
        <f>_xlfn.XLOOKUP(E66,'All Products'!D:D,'All Products'!F:F,FALSE)</f>
        <v>8</v>
      </c>
      <c r="H66" s="533">
        <f>_xlfn.XLOOKUP(E66,'All Products'!D:D,'All Products'!G:G,FALSE)</f>
        <v>360</v>
      </c>
      <c r="I66" s="512">
        <f>_xlfn.XLOOKUP(E66,'All Products'!D:D,'All Products'!H:H,FALSE)</f>
        <v>549.91</v>
      </c>
      <c r="J66" s="216">
        <f>ROUNDUP(I66*Order_Quote!$L$2,2)</f>
        <v>2749.55</v>
      </c>
      <c r="K66" s="123"/>
      <c r="L66" s="79"/>
      <c r="M66" s="107">
        <f t="shared" si="0"/>
        <v>0</v>
      </c>
      <c r="O66" s="525" t="str">
        <f>_xlfn.XLOOKUP(E66,'All Products'!D:D,'All Products'!I:I,FALSE)</f>
        <v>Within 3 Weeks</v>
      </c>
      <c r="P66" s="525" t="str">
        <f>_xlfn.XLOOKUP(E66,'All Products'!D:D,'All Products'!J:J,FALSE)</f>
        <v>Manufactured</v>
      </c>
      <c r="Q66" s="525" t="str">
        <f>_xlfn.XLOOKUP(F66,'All Products'!E:E,'All Products'!K:K,FALSE)</f>
        <v>810673014163</v>
      </c>
      <c r="R66" s="525" t="str">
        <f>_xlfn.XLOOKUP(E66,'All Products'!D:D,'All Products'!L:L,FALSE)</f>
        <v>-</v>
      </c>
      <c r="S66" s="525" t="str">
        <f>_xlfn.XLOOKUP(E66,'All Products'!D:D,'All Products'!M:M,FALSE)</f>
        <v>810673012343</v>
      </c>
      <c r="T66" s="530">
        <f>_xlfn.XLOOKUP(E66,'All Products'!D:D,'All Products'!N:N,FALSE)</f>
        <v>1.786</v>
      </c>
      <c r="U66" s="530">
        <f>_xlfn.XLOOKUP(E66,'All Products'!D:D,'All Products'!P:P,FALSE)</f>
        <v>14.288</v>
      </c>
      <c r="V66" s="530">
        <f>_xlfn.XLOOKUP(E66,'All Products'!D:D,'All Products'!Q:Q,FALSE)</f>
        <v>0.98955954024750914</v>
      </c>
    </row>
    <row r="67" spans="1:22" ht="21.75" customHeight="1">
      <c r="A67" s="5" t="str">
        <f>IF(K67&gt;0,COUNT($A$7:A66)+1,"")</f>
        <v/>
      </c>
      <c r="B67" s="26"/>
      <c r="C67" s="49"/>
      <c r="D67" s="512" t="str">
        <f>_xlfn.XLOOKUP(E67,'All Products'!D:D,'All Products'!C:C,FALSE)</f>
        <v>117-3307</v>
      </c>
      <c r="E67" s="106">
        <v>300005644</v>
      </c>
      <c r="F67" s="522" t="str">
        <f>_xlfn.XLOOKUP(E67,'All Products'!D:D,'All Products'!E:E,FALSE)</f>
        <v>4X3 ADAPT COUPLING S&amp;D H X DWV H</v>
      </c>
      <c r="G67" s="282">
        <f>_xlfn.XLOOKUP(E67,'All Products'!D:D,'All Products'!F:F,FALSE)</f>
        <v>20</v>
      </c>
      <c r="H67" s="533">
        <f>_xlfn.XLOOKUP(E67,'All Products'!D:D,'All Products'!G:G,FALSE)</f>
        <v>600</v>
      </c>
      <c r="I67" s="512">
        <f>_xlfn.XLOOKUP(E67,'All Products'!D:D,'All Products'!H:H,FALSE)</f>
        <v>248.57</v>
      </c>
      <c r="J67" s="216">
        <f>ROUNDUP(I67*Order_Quote!$L$2,2)</f>
        <v>1242.8499999999999</v>
      </c>
      <c r="K67" s="123"/>
      <c r="L67" s="79"/>
      <c r="M67" s="107">
        <f t="shared" si="0"/>
        <v>0</v>
      </c>
      <c r="O67" s="525" t="str">
        <f>_xlfn.XLOOKUP(E67,'All Products'!D:D,'All Products'!I:I,FALSE)</f>
        <v>Within 3 Weeks</v>
      </c>
      <c r="P67" s="525" t="str">
        <f>_xlfn.XLOOKUP(E67,'All Products'!D:D,'All Products'!J:J,FALSE)</f>
        <v>Sourced</v>
      </c>
      <c r="Q67" s="525" t="str">
        <f>_xlfn.XLOOKUP(F67,'All Products'!E:E,'All Products'!K:K,FALSE)</f>
        <v>812361012536</v>
      </c>
      <c r="R67" s="525" t="str">
        <f>_xlfn.XLOOKUP(E67,'All Products'!D:D,'All Products'!L:L,FALSE)</f>
        <v>-</v>
      </c>
      <c r="S67" s="525" t="str">
        <f>_xlfn.XLOOKUP(E67,'All Products'!D:D,'All Products'!M:M,FALSE)</f>
        <v>10812361012533</v>
      </c>
      <c r="T67" s="530">
        <f>_xlfn.XLOOKUP(E67,'All Products'!D:D,'All Products'!N:N,FALSE)</f>
        <v>0.65900000000000003</v>
      </c>
      <c r="U67" s="530">
        <f>_xlfn.XLOOKUP(E67,'All Products'!D:D,'All Products'!P:P,FALSE)</f>
        <v>13.18</v>
      </c>
      <c r="V67" s="530" t="str">
        <f>_xlfn.XLOOKUP(E67,'All Products'!D:D,'All Products'!Q:Q,FALSE)</f>
        <v>-</v>
      </c>
    </row>
    <row r="68" spans="1:22" ht="21.75" customHeight="1">
      <c r="A68" s="5" t="str">
        <f>IF(K68&gt;0,COUNT($A$7:A67)+1,"")</f>
        <v/>
      </c>
      <c r="B68" s="23"/>
      <c r="C68" s="51"/>
      <c r="D68" s="512" t="str">
        <f>_xlfn.XLOOKUP(E68,'All Products'!D:D,'All Products'!C:C,FALSE)</f>
        <v>117-3308</v>
      </c>
      <c r="E68" s="106">
        <v>300005645</v>
      </c>
      <c r="F68" s="522" t="str">
        <f>_xlfn.XLOOKUP(E68,'All Products'!D:D,'All Products'!E:E,FALSE)</f>
        <v>4 ADAPT COUPLING S&amp;D H X DWV H</v>
      </c>
      <c r="G68" s="282">
        <f>_xlfn.XLOOKUP(E68,'All Products'!D:D,'All Products'!F:F,FALSE)</f>
        <v>10</v>
      </c>
      <c r="H68" s="533">
        <f>_xlfn.XLOOKUP(E68,'All Products'!D:D,'All Products'!G:G,FALSE)</f>
        <v>700</v>
      </c>
      <c r="I68" s="512">
        <f>_xlfn.XLOOKUP(E68,'All Products'!D:D,'All Products'!H:H,FALSE)</f>
        <v>366.77</v>
      </c>
      <c r="J68" s="216">
        <f>ROUNDUP(I68*Order_Quote!$L$2,2)</f>
        <v>1833.85</v>
      </c>
      <c r="K68" s="123"/>
      <c r="L68" s="79"/>
      <c r="M68" s="107">
        <f t="shared" si="0"/>
        <v>0</v>
      </c>
      <c r="O68" s="525" t="str">
        <f>_xlfn.XLOOKUP(E68,'All Products'!D:D,'All Products'!I:I,FALSE)</f>
        <v>Within 6 Weeks</v>
      </c>
      <c r="P68" s="525" t="str">
        <f>_xlfn.XLOOKUP(E68,'All Products'!D:D,'All Products'!J:J,FALSE)</f>
        <v>Sourced</v>
      </c>
      <c r="Q68" s="525" t="str">
        <f>_xlfn.XLOOKUP(F68,'All Products'!E:E,'All Products'!K:K,FALSE)</f>
        <v>812361012550</v>
      </c>
      <c r="R68" s="525" t="str">
        <f>_xlfn.XLOOKUP(E68,'All Products'!D:D,'All Products'!L:L,FALSE)</f>
        <v>-</v>
      </c>
      <c r="S68" s="525" t="str">
        <f>_xlfn.XLOOKUP(E68,'All Products'!D:D,'All Products'!M:M,FALSE)</f>
        <v>10812361012557</v>
      </c>
      <c r="T68" s="530">
        <f>_xlfn.XLOOKUP(E68,'All Products'!D:D,'All Products'!N:N,FALSE)</f>
        <v>0.77</v>
      </c>
      <c r="U68" s="530">
        <f>_xlfn.XLOOKUP(E68,'All Products'!D:D,'All Products'!P:P,FALSE)</f>
        <v>7.7</v>
      </c>
      <c r="V68" s="530" t="str">
        <f>_xlfn.XLOOKUP(E68,'All Products'!D:D,'All Products'!Q:Q,FALSE)</f>
        <v>-</v>
      </c>
    </row>
    <row r="69" spans="1:22">
      <c r="A69" s="5" t="str">
        <f>IF(K69&gt;0,COUNT($A$7:A68)+1,"")</f>
        <v/>
      </c>
      <c r="B69" s="26"/>
      <c r="C69" s="49"/>
      <c r="D69" s="512" t="str">
        <f>_xlfn.XLOOKUP(E69,'All Products'!D:D,'All Products'!C:C,FALSE)</f>
        <v>119-3311</v>
      </c>
      <c r="E69" s="106">
        <v>300005646</v>
      </c>
      <c r="F69" s="522" t="str">
        <f>_xlfn.XLOOKUP(E69,'All Products'!D:D,'All Products'!E:E,FALSE)</f>
        <v>1-1/2 NO HUB ADAPTER SXH DWV</v>
      </c>
      <c r="G69" s="282">
        <f>_xlfn.XLOOKUP(E69,'All Products'!D:D,'All Products'!F:F,FALSE)</f>
        <v>25</v>
      </c>
      <c r="H69" s="533">
        <f>_xlfn.XLOOKUP(E69,'All Products'!D:D,'All Products'!G:G,FALSE)</f>
        <v>4200</v>
      </c>
      <c r="I69" s="512">
        <f>_xlfn.XLOOKUP(E69,'All Products'!D:D,'All Products'!H:H,FALSE)</f>
        <v>193.42</v>
      </c>
      <c r="J69" s="216">
        <f>ROUNDUP(I69*Order_Quote!$L$2,2)</f>
        <v>967.1</v>
      </c>
      <c r="K69" s="123"/>
      <c r="L69" s="79"/>
      <c r="M69" s="107">
        <f t="shared" si="0"/>
        <v>0</v>
      </c>
      <c r="O69" s="525" t="str">
        <f>_xlfn.XLOOKUP(E69,'All Products'!D:D,'All Products'!I:I,FALSE)</f>
        <v>Within 6 Weeks</v>
      </c>
      <c r="P69" s="525" t="str">
        <f>_xlfn.XLOOKUP(E69,'All Products'!D:D,'All Products'!J:J,FALSE)</f>
        <v>Sourced</v>
      </c>
      <c r="Q69" s="525" t="str">
        <f>_xlfn.XLOOKUP(F69,'All Products'!E:E,'All Products'!K:K,FALSE)</f>
        <v>812361017180</v>
      </c>
      <c r="R69" s="525" t="str">
        <f>_xlfn.XLOOKUP(E69,'All Products'!D:D,'All Products'!L:L,FALSE)</f>
        <v>-</v>
      </c>
      <c r="S69" s="525">
        <f>_xlfn.XLOOKUP(E69,'All Products'!D:D,'All Products'!M:M,FALSE)</f>
        <v>0</v>
      </c>
      <c r="T69" s="530">
        <f>_xlfn.XLOOKUP(E69,'All Products'!D:D,'All Products'!N:N,FALSE)</f>
        <v>0.12</v>
      </c>
      <c r="U69" s="530">
        <f>_xlfn.XLOOKUP(E69,'All Products'!D:D,'All Products'!P:P,FALSE)</f>
        <v>3</v>
      </c>
      <c r="V69" s="530" t="str">
        <f>_xlfn.XLOOKUP(E69,'All Products'!D:D,'All Products'!Q:Q,FALSE)</f>
        <v>-</v>
      </c>
    </row>
    <row r="70" spans="1:22">
      <c r="A70" s="5" t="str">
        <f>IF(K70&gt;0,COUNT($A$7:A69)+1,"")</f>
        <v/>
      </c>
      <c r="B70" s="34"/>
      <c r="C70" s="50"/>
      <c r="D70" s="512" t="str">
        <f>_xlfn.XLOOKUP(E70,'All Products'!D:D,'All Products'!C:C,FALSE)</f>
        <v>119-3312</v>
      </c>
      <c r="E70" s="106">
        <v>100028904</v>
      </c>
      <c r="F70" s="522" t="str">
        <f>_xlfn.XLOOKUP(E70,'All Products'!D:D,'All Products'!E:E,FALSE)</f>
        <v>2 NO HUB ADAPTER SXH DWV</v>
      </c>
      <c r="G70" s="282">
        <f>_xlfn.XLOOKUP(E70,'All Products'!D:D,'All Products'!F:F,FALSE)</f>
        <v>25</v>
      </c>
      <c r="H70" s="533">
        <f>_xlfn.XLOOKUP(E70,'All Products'!D:D,'All Products'!G:G,FALSE)</f>
        <v>3200</v>
      </c>
      <c r="I70" s="512">
        <f>_xlfn.XLOOKUP(E70,'All Products'!D:D,'All Products'!H:H,FALSE)</f>
        <v>71.39</v>
      </c>
      <c r="J70" s="216">
        <f>ROUNDUP(I70*Order_Quote!$L$2,2)</f>
        <v>356.95</v>
      </c>
      <c r="K70" s="123"/>
      <c r="L70" s="79"/>
      <c r="M70" s="107">
        <f t="shared" si="0"/>
        <v>0</v>
      </c>
      <c r="O70" s="525" t="str">
        <f>_xlfn.XLOOKUP(E70,'All Products'!D:D,'All Products'!I:I,FALSE)</f>
        <v>Within 3 Weeks</v>
      </c>
      <c r="P70" s="525" t="str">
        <f>_xlfn.XLOOKUP(E70,'All Products'!D:D,'All Products'!J:J,FALSE)</f>
        <v>Manufactured</v>
      </c>
      <c r="Q70" s="525" t="str">
        <f>_xlfn.XLOOKUP(F70,'All Products'!E:E,'All Products'!K:K,FALSE)</f>
        <v>810673015481</v>
      </c>
      <c r="R70" s="525" t="str">
        <f>_xlfn.XLOOKUP(E70,'All Products'!D:D,'All Products'!L:L,FALSE)</f>
        <v>-</v>
      </c>
      <c r="S70" s="525" t="str">
        <f>_xlfn.XLOOKUP(E70,'All Products'!D:D,'All Products'!M:M,FALSE)</f>
        <v>810673015498</v>
      </c>
      <c r="T70" s="530">
        <f>_xlfn.XLOOKUP(E70,'All Products'!D:D,'All Products'!N:N,FALSE)</f>
        <v>0.182</v>
      </c>
      <c r="U70" s="530">
        <f>_xlfn.XLOOKUP(E70,'All Products'!D:D,'All Products'!P:P,FALSE)</f>
        <v>4.55</v>
      </c>
      <c r="V70" s="530">
        <f>_xlfn.XLOOKUP(E70,'All Products'!D:D,'All Products'!Q:Q,FALSE)</f>
        <v>0.32375720697715193</v>
      </c>
    </row>
    <row r="71" spans="1:22">
      <c r="A71" s="5" t="str">
        <f>IF(K71&gt;0,COUNT($A$7:A70)+1,"")</f>
        <v/>
      </c>
      <c r="B71" s="34"/>
      <c r="C71" s="50"/>
      <c r="D71" s="512" t="str">
        <f>_xlfn.XLOOKUP(E71,'All Products'!D:D,'All Products'!C:C,FALSE)</f>
        <v>119-3314</v>
      </c>
      <c r="E71" s="106">
        <v>100028905</v>
      </c>
      <c r="F71" s="522" t="str">
        <f>_xlfn.XLOOKUP(E71,'All Products'!D:D,'All Products'!E:E,FALSE)</f>
        <v>3 NO HUB ADAPTER SXH DWV</v>
      </c>
      <c r="G71" s="282">
        <f>_xlfn.XLOOKUP(E71,'All Products'!D:D,'All Products'!F:F,FALSE)</f>
        <v>20</v>
      </c>
      <c r="H71" s="533">
        <f>_xlfn.XLOOKUP(E71,'All Products'!D:D,'All Products'!G:G,FALSE)</f>
        <v>1600</v>
      </c>
      <c r="I71" s="512">
        <f>_xlfn.XLOOKUP(E71,'All Products'!D:D,'All Products'!H:H,FALSE)</f>
        <v>112.29</v>
      </c>
      <c r="J71" s="216">
        <f>ROUNDUP(I71*Order_Quote!$L$2,2)</f>
        <v>561.45000000000005</v>
      </c>
      <c r="K71" s="123"/>
      <c r="L71" s="79"/>
      <c r="M71" s="107">
        <f t="shared" ref="M71:M132" si="1">K71/G71</f>
        <v>0</v>
      </c>
      <c r="O71" s="525" t="str">
        <f>_xlfn.XLOOKUP(E71,'All Products'!D:D,'All Products'!I:I,FALSE)</f>
        <v>Within 3 Weeks</v>
      </c>
      <c r="P71" s="525" t="str">
        <f>_xlfn.XLOOKUP(E71,'All Products'!D:D,'All Products'!J:J,FALSE)</f>
        <v>Manufactured</v>
      </c>
      <c r="Q71" s="525" t="str">
        <f>_xlfn.XLOOKUP(F71,'All Products'!E:E,'All Products'!K:K,FALSE)</f>
        <v>810673015504</v>
      </c>
      <c r="R71" s="525" t="str">
        <f>_xlfn.XLOOKUP(E71,'All Products'!D:D,'All Products'!L:L,FALSE)</f>
        <v>-</v>
      </c>
      <c r="S71" s="525" t="str">
        <f>_xlfn.XLOOKUP(E71,'All Products'!D:D,'All Products'!M:M,FALSE)</f>
        <v>810673015511</v>
      </c>
      <c r="T71" s="530">
        <f>_xlfn.XLOOKUP(E71,'All Products'!D:D,'All Products'!N:N,FALSE)</f>
        <v>0.46100000000000002</v>
      </c>
      <c r="U71" s="530">
        <f>_xlfn.XLOOKUP(E71,'All Products'!D:D,'All Products'!P:P,FALSE)</f>
        <v>9.2200000000000006</v>
      </c>
      <c r="V71" s="530">
        <f>_xlfn.XLOOKUP(E71,'All Products'!D:D,'All Products'!Q:Q,FALSE)</f>
        <v>0.4856358104657279</v>
      </c>
    </row>
    <row r="72" spans="1:22">
      <c r="A72" s="5" t="str">
        <f>IF(K72&gt;0,COUNT($A$7:A71)+1,"")</f>
        <v/>
      </c>
      <c r="B72" s="23"/>
      <c r="C72" s="51"/>
      <c r="D72" s="512" t="str">
        <f>_xlfn.XLOOKUP(E72,'All Products'!D:D,'All Products'!C:C,FALSE)</f>
        <v>119-3316</v>
      </c>
      <c r="E72" s="106">
        <v>100028906</v>
      </c>
      <c r="F72" s="522" t="str">
        <f>_xlfn.XLOOKUP(E72,'All Products'!D:D,'All Products'!E:E,FALSE)</f>
        <v>4 NO HUB ADAPTER SXH DWV</v>
      </c>
      <c r="G72" s="282">
        <f>_xlfn.XLOOKUP(E72,'All Products'!D:D,'All Products'!F:F,FALSE)</f>
        <v>15</v>
      </c>
      <c r="H72" s="533">
        <f>_xlfn.XLOOKUP(E72,'All Products'!D:D,'All Products'!G:G,FALSE)</f>
        <v>945</v>
      </c>
      <c r="I72" s="512">
        <f>_xlfn.XLOOKUP(E72,'All Products'!D:D,'All Products'!H:H,FALSE)</f>
        <v>133.02000000000001</v>
      </c>
      <c r="J72" s="216">
        <f>ROUNDUP(I72*Order_Quote!$L$2,2)</f>
        <v>665.1</v>
      </c>
      <c r="K72" s="123"/>
      <c r="L72" s="79"/>
      <c r="M72" s="107">
        <f t="shared" si="1"/>
        <v>0</v>
      </c>
      <c r="O72" s="525" t="str">
        <f>_xlfn.XLOOKUP(E72,'All Products'!D:D,'All Products'!I:I,FALSE)</f>
        <v>Within 3 Weeks</v>
      </c>
      <c r="P72" s="525" t="str">
        <f>_xlfn.XLOOKUP(E72,'All Products'!D:D,'All Products'!J:J,FALSE)</f>
        <v>Manufactured</v>
      </c>
      <c r="Q72" s="525" t="str">
        <f>_xlfn.XLOOKUP(F72,'All Products'!E:E,'All Products'!K:K,FALSE)</f>
        <v>810673015528</v>
      </c>
      <c r="R72" s="525" t="str">
        <f>_xlfn.XLOOKUP(E72,'All Products'!D:D,'All Products'!L:L,FALSE)</f>
        <v>-</v>
      </c>
      <c r="S72" s="525" t="str">
        <f>_xlfn.XLOOKUP(E72,'All Products'!D:D,'All Products'!M:M,FALSE)</f>
        <v>810673015535</v>
      </c>
      <c r="T72" s="530">
        <f>_xlfn.XLOOKUP(E72,'All Products'!D:D,'All Products'!N:N,FALSE)</f>
        <v>0.78900000000000003</v>
      </c>
      <c r="U72" s="530">
        <f>_xlfn.XLOOKUP(E72,'All Products'!D:D,'All Products'!P:P,FALSE)</f>
        <v>11.835000000000001</v>
      </c>
      <c r="V72" s="530">
        <f>_xlfn.XLOOKUP(E72,'All Products'!D:D,'All Products'!Q:Q,FALSE)</f>
        <v>0.66940792428507967</v>
      </c>
    </row>
    <row r="73" spans="1:22">
      <c r="A73" s="5" t="str">
        <f>IF(K73&gt;0,COUNT($A$7:A72)+1,"")</f>
        <v/>
      </c>
      <c r="B73" s="26"/>
      <c r="C73" s="49"/>
      <c r="D73" s="512" t="str">
        <f>_xlfn.XLOOKUP(E73,'All Products'!D:D,'All Products'!C:C,FALSE)</f>
        <v>123-3320</v>
      </c>
      <c r="E73" s="106">
        <v>300005647</v>
      </c>
      <c r="F73" s="522" t="str">
        <f>_xlfn.XLOOKUP(E73,'All Products'!D:D,'All Products'!E:E,FALSE)</f>
        <v>2 HUB ADAPTER CAST IRON HXS DWV</v>
      </c>
      <c r="G73" s="282">
        <f>_xlfn.XLOOKUP(E73,'All Products'!D:D,'All Products'!F:F,FALSE)</f>
        <v>20</v>
      </c>
      <c r="H73" s="533">
        <f>_xlfn.XLOOKUP(E73,'All Products'!D:D,'All Products'!G:G,FALSE)</f>
        <v>1440</v>
      </c>
      <c r="I73" s="512">
        <f>_xlfn.XLOOKUP(E73,'All Products'!D:D,'All Products'!H:H,FALSE)</f>
        <v>156.04</v>
      </c>
      <c r="J73" s="216">
        <f>ROUNDUP(I73*Order_Quote!$L$2,2)</f>
        <v>780.2</v>
      </c>
      <c r="K73" s="123"/>
      <c r="L73" s="79"/>
      <c r="M73" s="107">
        <f t="shared" si="1"/>
        <v>0</v>
      </c>
      <c r="O73" s="525" t="str">
        <f>_xlfn.XLOOKUP(E73,'All Products'!D:D,'All Products'!I:I,FALSE)</f>
        <v>Within 3 Weeks</v>
      </c>
      <c r="P73" s="525" t="str">
        <f>_xlfn.XLOOKUP(E73,'All Products'!D:D,'All Products'!J:J,FALSE)</f>
        <v>Sourced</v>
      </c>
      <c r="Q73" s="525" t="str">
        <f>_xlfn.XLOOKUP(F73,'All Products'!E:E,'All Products'!K:K,FALSE)</f>
        <v>812361011904</v>
      </c>
      <c r="R73" s="525" t="str">
        <f>_xlfn.XLOOKUP(E73,'All Products'!D:D,'All Products'!L:L,FALSE)</f>
        <v>-</v>
      </c>
      <c r="S73" s="525">
        <f>_xlfn.XLOOKUP(E73,'All Products'!D:D,'All Products'!M:M,FALSE)</f>
        <v>0</v>
      </c>
      <c r="T73" s="530">
        <f>_xlfn.XLOOKUP(E73,'All Products'!D:D,'All Products'!N:N,FALSE)</f>
        <v>0.31</v>
      </c>
      <c r="U73" s="530">
        <f>_xlfn.XLOOKUP(E73,'All Products'!D:D,'All Products'!P:P,FALSE)</f>
        <v>6.2</v>
      </c>
      <c r="V73" s="530" t="str">
        <f>_xlfn.XLOOKUP(E73,'All Products'!D:D,'All Products'!Q:Q,FALSE)</f>
        <v>-</v>
      </c>
    </row>
    <row r="74" spans="1:22">
      <c r="A74" s="5" t="str">
        <f>IF(K74&gt;0,COUNT($A$7:A73)+1,"")</f>
        <v/>
      </c>
      <c r="B74" s="34"/>
      <c r="C74" s="50"/>
      <c r="D74" s="512" t="str">
        <f>_xlfn.XLOOKUP(E74,'All Products'!D:D,'All Products'!C:C,FALSE)</f>
        <v>123-3321</v>
      </c>
      <c r="E74" s="106">
        <v>300005648</v>
      </c>
      <c r="F74" s="522" t="str">
        <f>_xlfn.XLOOKUP(E74,'All Products'!D:D,'All Products'!E:E,FALSE)</f>
        <v>3 HUB ADAPTER CAST IRON HXS DWV</v>
      </c>
      <c r="G74" s="282">
        <f>_xlfn.XLOOKUP(E74,'All Products'!D:D,'All Products'!F:F,FALSE)</f>
        <v>20</v>
      </c>
      <c r="H74" s="533">
        <f>_xlfn.XLOOKUP(E74,'All Products'!D:D,'All Products'!G:G,FALSE)</f>
        <v>750</v>
      </c>
      <c r="I74" s="512">
        <f>_xlfn.XLOOKUP(E74,'All Products'!D:D,'All Products'!H:H,FALSE)</f>
        <v>277.85000000000002</v>
      </c>
      <c r="J74" s="216">
        <f>ROUNDUP(I74*Order_Quote!$L$2,2)</f>
        <v>1389.25</v>
      </c>
      <c r="K74" s="123"/>
      <c r="L74" s="79"/>
      <c r="M74" s="107">
        <f t="shared" si="1"/>
        <v>0</v>
      </c>
      <c r="O74" s="525" t="str">
        <f>_xlfn.XLOOKUP(E74,'All Products'!D:D,'All Products'!I:I,FALSE)</f>
        <v>Within 3 Weeks</v>
      </c>
      <c r="P74" s="525" t="str">
        <f>_xlfn.XLOOKUP(E74,'All Products'!D:D,'All Products'!J:J,FALSE)</f>
        <v>Sourced</v>
      </c>
      <c r="Q74" s="525" t="str">
        <f>_xlfn.XLOOKUP(F74,'All Products'!E:E,'All Products'!K:K,FALSE)</f>
        <v>812361011911</v>
      </c>
      <c r="R74" s="525" t="str">
        <f>_xlfn.XLOOKUP(E74,'All Products'!D:D,'All Products'!L:L,FALSE)</f>
        <v>-</v>
      </c>
      <c r="S74" s="525">
        <f>_xlfn.XLOOKUP(E74,'All Products'!D:D,'All Products'!M:M,FALSE)</f>
        <v>0</v>
      </c>
      <c r="T74" s="530">
        <f>_xlfn.XLOOKUP(E74,'All Products'!D:D,'All Products'!N:N,FALSE)</f>
        <v>0.72</v>
      </c>
      <c r="U74" s="530">
        <f>_xlfn.XLOOKUP(E74,'All Products'!D:D,'All Products'!P:P,FALSE)</f>
        <v>14.399999999999999</v>
      </c>
      <c r="V74" s="530" t="str">
        <f>_xlfn.XLOOKUP(E74,'All Products'!D:D,'All Products'!Q:Q,FALSE)</f>
        <v>-</v>
      </c>
    </row>
    <row r="75" spans="1:22">
      <c r="A75" s="5" t="str">
        <f>IF(K75&gt;0,COUNT($A$7:A74)+1,"")</f>
        <v/>
      </c>
      <c r="B75" s="34"/>
      <c r="C75" s="50"/>
      <c r="D75" s="512" t="str">
        <f>_xlfn.XLOOKUP(E75,'All Products'!D:D,'All Products'!C:C,FALSE)</f>
        <v>123-3322</v>
      </c>
      <c r="E75" s="106">
        <v>100028909</v>
      </c>
      <c r="F75" s="522" t="str">
        <f>_xlfn.XLOOKUP(E75,'All Products'!D:D,'All Products'!E:E,FALSE)</f>
        <v>4 HUB ADAPTER CAST IRON HXS DWV</v>
      </c>
      <c r="G75" s="282">
        <f>_xlfn.XLOOKUP(E75,'All Products'!D:D,'All Products'!F:F,FALSE)</f>
        <v>20</v>
      </c>
      <c r="H75" s="533">
        <f>_xlfn.XLOOKUP(E75,'All Products'!D:D,'All Products'!G:G,FALSE)</f>
        <v>480</v>
      </c>
      <c r="I75" s="512">
        <f>_xlfn.XLOOKUP(E75,'All Products'!D:D,'All Products'!H:H,FALSE)</f>
        <v>385.92</v>
      </c>
      <c r="J75" s="216">
        <f>ROUNDUP(I75*Order_Quote!$L$2,2)</f>
        <v>1929.6</v>
      </c>
      <c r="K75" s="123"/>
      <c r="L75" s="79"/>
      <c r="M75" s="107">
        <f t="shared" si="1"/>
        <v>0</v>
      </c>
      <c r="O75" s="525" t="str">
        <f>_xlfn.XLOOKUP(E75,'All Products'!D:D,'All Products'!I:I,FALSE)</f>
        <v>In Stock</v>
      </c>
      <c r="P75" s="525" t="str">
        <f>_xlfn.XLOOKUP(E75,'All Products'!D:D,'All Products'!J:J,FALSE)</f>
        <v>Manufactured</v>
      </c>
      <c r="Q75" s="525" t="str">
        <f>_xlfn.XLOOKUP(F75,'All Products'!E:E,'All Products'!K:K,FALSE)</f>
        <v>810673015399</v>
      </c>
      <c r="R75" s="525" t="str">
        <f>_xlfn.XLOOKUP(E75,'All Products'!D:D,'All Products'!L:L,FALSE)</f>
        <v>-</v>
      </c>
      <c r="S75" s="525" t="str">
        <f>_xlfn.XLOOKUP(E75,'All Products'!D:D,'All Products'!M:M,FALSE)</f>
        <v>810673015405</v>
      </c>
      <c r="T75" s="530">
        <f>_xlfn.XLOOKUP(E75,'All Products'!D:D,'All Products'!N:N,FALSE)</f>
        <v>1.2849999999999999</v>
      </c>
      <c r="U75" s="530">
        <f>_xlfn.XLOOKUP(E75,'All Products'!D:D,'All Products'!P:P,FALSE)</f>
        <v>25.7</v>
      </c>
      <c r="V75" s="530">
        <f>_xlfn.XLOOKUP(E75,'All Products'!D:D,'All Products'!Q:Q,FALSE)</f>
        <v>1.8803145838984718</v>
      </c>
    </row>
    <row r="76" spans="1:22">
      <c r="A76" s="5" t="str">
        <f>IF(K76&gt;0,COUNT($A$7:A75)+1,"")</f>
        <v/>
      </c>
      <c r="B76" s="23"/>
      <c r="C76" s="51"/>
      <c r="D76" s="512" t="str">
        <f>_xlfn.XLOOKUP(E76,'All Products'!D:D,'All Products'!C:C,FALSE)</f>
        <v>123R-3326</v>
      </c>
      <c r="E76" s="106">
        <v>300005649</v>
      </c>
      <c r="F76" s="522" t="str">
        <f>_xlfn.XLOOKUP(E76,'All Products'!D:D,'All Products'!E:E,FALSE)</f>
        <v>3X4 HUB ADAPT CAST IRON INC HXS DWV</v>
      </c>
      <c r="G76" s="282">
        <f>_xlfn.XLOOKUP(E76,'All Products'!D:D,'All Products'!F:F,FALSE)</f>
        <v>10</v>
      </c>
      <c r="H76" s="533">
        <f>_xlfn.XLOOKUP(E76,'All Products'!D:D,'All Products'!G:G,FALSE)</f>
        <v>350</v>
      </c>
      <c r="I76" s="512">
        <f>_xlfn.XLOOKUP(E76,'All Products'!D:D,'All Products'!H:H,FALSE)</f>
        <v>923.7</v>
      </c>
      <c r="J76" s="216">
        <f>ROUNDUP(I76*Order_Quote!$L$2,2)</f>
        <v>4618.5</v>
      </c>
      <c r="K76" s="123"/>
      <c r="L76" s="79"/>
      <c r="M76" s="107">
        <f t="shared" si="1"/>
        <v>0</v>
      </c>
      <c r="O76" s="525" t="str">
        <f>_xlfn.XLOOKUP(E76,'All Products'!D:D,'All Products'!I:I,FALSE)</f>
        <v>Within 6 Weeks</v>
      </c>
      <c r="P76" s="525" t="str">
        <f>_xlfn.XLOOKUP(E76,'All Products'!D:D,'All Products'!J:J,FALSE)</f>
        <v>Sourced</v>
      </c>
      <c r="Q76" s="525" t="str">
        <f>_xlfn.XLOOKUP(F76,'All Products'!E:E,'All Products'!K:K,FALSE)</f>
        <v>812361017166</v>
      </c>
      <c r="R76" s="525" t="str">
        <f>_xlfn.XLOOKUP(E76,'All Products'!D:D,'All Products'!L:L,FALSE)</f>
        <v>-</v>
      </c>
      <c r="S76" s="525">
        <f>_xlfn.XLOOKUP(E76,'All Products'!D:D,'All Products'!M:M,FALSE)</f>
        <v>0</v>
      </c>
      <c r="T76" s="530">
        <f>_xlfn.XLOOKUP(E76,'All Products'!D:D,'All Products'!N:N,FALSE)</f>
        <v>0.96</v>
      </c>
      <c r="U76" s="530">
        <f>_xlfn.XLOOKUP(E76,'All Products'!D:D,'All Products'!P:P,FALSE)</f>
        <v>9.6</v>
      </c>
      <c r="V76" s="530" t="str">
        <f>_xlfn.XLOOKUP(E76,'All Products'!D:D,'All Products'!Q:Q,FALSE)</f>
        <v>-</v>
      </c>
    </row>
    <row r="77" spans="1:22" s="17" customFormat="1" ht="27.75" customHeight="1">
      <c r="A77" s="5" t="str">
        <f>IF(K77&gt;0,COUNT($A$7:A76)+1,"")</f>
        <v/>
      </c>
      <c r="B77" s="110"/>
      <c r="C77" s="111"/>
      <c r="D77" s="512" t="str">
        <f>_xlfn.XLOOKUP(E77,'All Products'!D:D,'All Products'!C:C,FALSE)</f>
        <v>126-6004</v>
      </c>
      <c r="E77" s="106">
        <v>300005650</v>
      </c>
      <c r="F77" s="522" t="str">
        <f>_xlfn.XLOOKUP(E77,'All Products'!D:D,'All Products'!E:E,FALSE)</f>
        <v>4 DWV SPIGOT PLUG DWV</v>
      </c>
      <c r="G77" s="282">
        <f>_xlfn.XLOOKUP(E77,'All Products'!D:D,'All Products'!F:F,FALSE)</f>
        <v>4</v>
      </c>
      <c r="H77" s="533" t="str">
        <f>_xlfn.XLOOKUP(E77,'All Products'!D:D,'All Products'!G:G,FALSE)</f>
        <v>-</v>
      </c>
      <c r="I77" s="512">
        <f>_xlfn.XLOOKUP(E77,'All Products'!D:D,'All Products'!H:H,FALSE)</f>
        <v>541.34</v>
      </c>
      <c r="J77" s="216">
        <f>ROUNDUP(I77*Order_Quote!$L$2,2)</f>
        <v>2706.7</v>
      </c>
      <c r="K77" s="123"/>
      <c r="L77" s="79"/>
      <c r="M77" s="107">
        <f t="shared" si="1"/>
        <v>0</v>
      </c>
      <c r="O77" s="525" t="str">
        <f>_xlfn.XLOOKUP(E77,'All Products'!D:D,'All Products'!I:I,FALSE)</f>
        <v>Within 3 Weeks</v>
      </c>
      <c r="P77" s="525" t="str">
        <f>_xlfn.XLOOKUP(E77,'All Products'!D:D,'All Products'!J:J,FALSE)</f>
        <v>Sourced</v>
      </c>
      <c r="Q77" s="525" t="str">
        <f>_xlfn.XLOOKUP(F77,'All Products'!E:E,'All Products'!K:K,FALSE)</f>
        <v>812361017425</v>
      </c>
      <c r="R77" s="525" t="str">
        <f>_xlfn.XLOOKUP(E77,'All Products'!D:D,'All Products'!L:L,FALSE)</f>
        <v>-</v>
      </c>
      <c r="S77" s="525">
        <f>_xlfn.XLOOKUP(E77,'All Products'!D:D,'All Products'!M:M,FALSE)</f>
        <v>0</v>
      </c>
      <c r="T77" s="530">
        <f>_xlfn.XLOOKUP(E77,'All Products'!D:D,'All Products'!N:N,FALSE)</f>
        <v>1</v>
      </c>
      <c r="U77" s="530">
        <f>_xlfn.XLOOKUP(E77,'All Products'!D:D,'All Products'!P:P,FALSE)</f>
        <v>4</v>
      </c>
      <c r="V77" s="530" t="str">
        <f>_xlfn.XLOOKUP(E77,'All Products'!D:D,'All Products'!Q:Q,FALSE)</f>
        <v>-</v>
      </c>
    </row>
    <row r="78" spans="1:22" s="17" customFormat="1" ht="27.75" customHeight="1">
      <c r="A78" s="5" t="str">
        <f>IF(K78&gt;0,COUNT($A$7:A77)+1,"")</f>
        <v/>
      </c>
      <c r="B78" s="113"/>
      <c r="C78" s="114"/>
      <c r="D78" s="512" t="str">
        <f>_xlfn.XLOOKUP(E78,'All Products'!D:D,'All Products'!C:C,FALSE)</f>
        <v>126-6006</v>
      </c>
      <c r="E78" s="106">
        <v>300005651</v>
      </c>
      <c r="F78" s="522" t="str">
        <f>_xlfn.XLOOKUP(E78,'All Products'!D:D,'All Products'!E:E,FALSE)</f>
        <v>6 DWV SPIGOT PLUG DWV</v>
      </c>
      <c r="G78" s="282">
        <f>_xlfn.XLOOKUP(E78,'All Products'!D:D,'All Products'!F:F,FALSE)</f>
        <v>6</v>
      </c>
      <c r="H78" s="533" t="str">
        <f>_xlfn.XLOOKUP(E78,'All Products'!D:D,'All Products'!G:G,FALSE)</f>
        <v>-</v>
      </c>
      <c r="I78" s="512">
        <f>_xlfn.XLOOKUP(E78,'All Products'!D:D,'All Products'!H:H,FALSE)</f>
        <v>1734.39</v>
      </c>
      <c r="J78" s="216">
        <f>ROUNDUP(I78*Order_Quote!$L$2,2)</f>
        <v>8671.9500000000007</v>
      </c>
      <c r="K78" s="123"/>
      <c r="L78" s="79"/>
      <c r="M78" s="107">
        <f t="shared" si="1"/>
        <v>0</v>
      </c>
      <c r="O78" s="525" t="str">
        <f>_xlfn.XLOOKUP(E78,'All Products'!D:D,'All Products'!I:I,FALSE)</f>
        <v>Within 3 Weeks</v>
      </c>
      <c r="P78" s="525" t="str">
        <f>_xlfn.XLOOKUP(E78,'All Products'!D:D,'All Products'!J:J,FALSE)</f>
        <v>Sourced</v>
      </c>
      <c r="Q78" s="525" t="str">
        <f>_xlfn.XLOOKUP(F78,'All Products'!E:E,'All Products'!K:K,FALSE)</f>
        <v>812361017746</v>
      </c>
      <c r="R78" s="525" t="str">
        <f>_xlfn.XLOOKUP(E78,'All Products'!D:D,'All Products'!L:L,FALSE)</f>
        <v>-</v>
      </c>
      <c r="S78" s="525">
        <f>_xlfn.XLOOKUP(E78,'All Products'!D:D,'All Products'!M:M,FALSE)</f>
        <v>0</v>
      </c>
      <c r="T78" s="530">
        <f>_xlfn.XLOOKUP(E78,'All Products'!D:D,'All Products'!N:N,FALSE)</f>
        <v>2</v>
      </c>
      <c r="U78" s="530">
        <f>_xlfn.XLOOKUP(E78,'All Products'!D:D,'All Products'!P:P,FALSE)</f>
        <v>12</v>
      </c>
      <c r="V78" s="530" t="str">
        <f>_xlfn.XLOOKUP(E78,'All Products'!D:D,'All Products'!Q:Q,FALSE)</f>
        <v>-</v>
      </c>
    </row>
    <row r="79" spans="1:22">
      <c r="A79" s="5" t="str">
        <f>IF(K79&gt;0,COUNT($A$7:A78)+1,"")</f>
        <v/>
      </c>
      <c r="B79" s="26"/>
      <c r="C79" s="49"/>
      <c r="D79" s="512" t="str">
        <f>_xlfn.XLOOKUP(E79,'All Products'!D:D,'All Products'!C:C,FALSE)</f>
        <v>130-3337</v>
      </c>
      <c r="E79" s="106">
        <v>100028913</v>
      </c>
      <c r="F79" s="522" t="str">
        <f>_xlfn.XLOOKUP(E79,'All Products'!D:D,'All Products'!E:E,FALSE)</f>
        <v>1-1/2 REPAIR COUPLING DWV</v>
      </c>
      <c r="G79" s="282">
        <f>_xlfn.XLOOKUP(E79,'All Products'!D:D,'All Products'!F:F,FALSE)</f>
        <v>25</v>
      </c>
      <c r="H79" s="533">
        <f>_xlfn.XLOOKUP(E79,'All Products'!D:D,'All Products'!G:G,FALSE)</f>
        <v>4500</v>
      </c>
      <c r="I79" s="512">
        <f>_xlfn.XLOOKUP(E79,'All Products'!D:D,'All Products'!H:H,FALSE)</f>
        <v>74.489999999999995</v>
      </c>
      <c r="J79" s="216">
        <f>ROUNDUP(I79*Order_Quote!$L$2,2)</f>
        <v>372.45</v>
      </c>
      <c r="K79" s="123"/>
      <c r="L79" s="79"/>
      <c r="M79" s="107">
        <f t="shared" si="1"/>
        <v>0</v>
      </c>
      <c r="O79" s="525" t="str">
        <f>_xlfn.XLOOKUP(E79,'All Products'!D:D,'All Products'!I:I,FALSE)</f>
        <v>Within 3 Weeks</v>
      </c>
      <c r="P79" s="525" t="str">
        <f>_xlfn.XLOOKUP(E79,'All Products'!D:D,'All Products'!J:J,FALSE)</f>
        <v>Manufactured</v>
      </c>
      <c r="Q79" s="525" t="str">
        <f>_xlfn.XLOOKUP(F79,'All Products'!E:E,'All Products'!K:K,FALSE)</f>
        <v>812361013182</v>
      </c>
      <c r="R79" s="525" t="str">
        <f>_xlfn.XLOOKUP(E79,'All Products'!D:D,'All Products'!L:L,FALSE)</f>
        <v>-</v>
      </c>
      <c r="S79" s="525" t="str">
        <f>_xlfn.XLOOKUP(E79,'All Products'!D:D,'All Products'!M:M,FALSE)</f>
        <v>812361013199</v>
      </c>
      <c r="T79" s="530">
        <f>_xlfn.XLOOKUP(E79,'All Products'!D:D,'All Products'!N:N,FALSE)</f>
        <v>0.11899999999999999</v>
      </c>
      <c r="U79" s="530">
        <f>_xlfn.XLOOKUP(E79,'All Products'!D:D,'All Products'!P:P,FALSE)</f>
        <v>2.9749999999999996</v>
      </c>
      <c r="V79" s="530">
        <f>_xlfn.XLOOKUP(E79,'All Products'!D:D,'All Products'!Q:Q,FALSE)</f>
        <v>0.21565729329437433</v>
      </c>
    </row>
    <row r="80" spans="1:22">
      <c r="A80" s="5" t="str">
        <f>IF(K80&gt;0,COUNT($A$7:A79)+1,"")</f>
        <v/>
      </c>
      <c r="B80" s="34"/>
      <c r="C80" s="50"/>
      <c r="D80" s="512" t="str">
        <f>_xlfn.XLOOKUP(E80,'All Products'!D:D,'All Products'!C:C,FALSE)</f>
        <v>130-3338</v>
      </c>
      <c r="E80" s="106">
        <v>100028914</v>
      </c>
      <c r="F80" s="522" t="str">
        <f>_xlfn.XLOOKUP(E80,'All Products'!D:D,'All Products'!E:E,FALSE)</f>
        <v>2 REPAIR COUPLING DWV</v>
      </c>
      <c r="G80" s="282">
        <f>_xlfn.XLOOKUP(E80,'All Products'!D:D,'All Products'!F:F,FALSE)</f>
        <v>25</v>
      </c>
      <c r="H80" s="533">
        <f>_xlfn.XLOOKUP(E80,'All Products'!D:D,'All Products'!G:G,FALSE)</f>
        <v>3200</v>
      </c>
      <c r="I80" s="512">
        <f>_xlfn.XLOOKUP(E80,'All Products'!D:D,'All Products'!H:H,FALSE)</f>
        <v>51.96</v>
      </c>
      <c r="J80" s="216">
        <f>ROUNDUP(I80*Order_Quote!$L$2,2)</f>
        <v>259.8</v>
      </c>
      <c r="K80" s="123"/>
      <c r="L80" s="79"/>
      <c r="M80" s="107">
        <f t="shared" si="1"/>
        <v>0</v>
      </c>
      <c r="O80" s="525" t="str">
        <f>_xlfn.XLOOKUP(E80,'All Products'!D:D,'All Products'!I:I,FALSE)</f>
        <v>In Stock</v>
      </c>
      <c r="P80" s="525" t="str">
        <f>_xlfn.XLOOKUP(E80,'All Products'!D:D,'All Products'!J:J,FALSE)</f>
        <v>Manufactured</v>
      </c>
      <c r="Q80" s="525" t="str">
        <f>_xlfn.XLOOKUP(F80,'All Products'!E:E,'All Products'!K:K,FALSE)</f>
        <v>812361013205</v>
      </c>
      <c r="R80" s="525" t="str">
        <f>_xlfn.XLOOKUP(E80,'All Products'!D:D,'All Products'!L:L,FALSE)</f>
        <v>-</v>
      </c>
      <c r="S80" s="525" t="str">
        <f>_xlfn.XLOOKUP(E80,'All Products'!D:D,'All Products'!M:M,FALSE)</f>
        <v>812361013212</v>
      </c>
      <c r="T80" s="530">
        <f>_xlfn.XLOOKUP(E80,'All Products'!D:D,'All Products'!N:N,FALSE)</f>
        <v>0.16300000000000001</v>
      </c>
      <c r="U80" s="530">
        <f>_xlfn.XLOOKUP(E80,'All Products'!D:D,'All Products'!P:P,FALSE)</f>
        <v>4.0750000000000002</v>
      </c>
      <c r="V80" s="530">
        <f>_xlfn.XLOOKUP(E80,'All Products'!D:D,'All Products'!Q:Q,FALSE)</f>
        <v>0.32375720697715193</v>
      </c>
    </row>
    <row r="81" spans="1:22">
      <c r="A81" s="5" t="str">
        <f>IF(K81&gt;0,COUNT($A$7:A80)+1,"")</f>
        <v/>
      </c>
      <c r="B81" s="34"/>
      <c r="C81" s="50"/>
      <c r="D81" s="512" t="str">
        <f>_xlfn.XLOOKUP(E81,'All Products'!D:D,'All Products'!C:C,FALSE)</f>
        <v>130-3339</v>
      </c>
      <c r="E81" s="106">
        <v>100028915</v>
      </c>
      <c r="F81" s="522" t="str">
        <f>_xlfn.XLOOKUP(E81,'All Products'!D:D,'All Products'!E:E,FALSE)</f>
        <v>3 REPAIR COUPLING DWV</v>
      </c>
      <c r="G81" s="282">
        <f>_xlfn.XLOOKUP(E81,'All Products'!D:D,'All Products'!F:F,FALSE)</f>
        <v>12</v>
      </c>
      <c r="H81" s="533">
        <f>_xlfn.XLOOKUP(E81,'All Products'!D:D,'All Products'!G:G,FALSE)</f>
        <v>960</v>
      </c>
      <c r="I81" s="512">
        <f>_xlfn.XLOOKUP(E81,'All Products'!D:D,'All Products'!H:H,FALSE)</f>
        <v>131.44999999999999</v>
      </c>
      <c r="J81" s="216">
        <f>ROUNDUP(I81*Order_Quote!$L$2,2)</f>
        <v>657.25</v>
      </c>
      <c r="K81" s="123"/>
      <c r="L81" s="79"/>
      <c r="M81" s="107">
        <f t="shared" si="1"/>
        <v>0</v>
      </c>
      <c r="O81" s="525" t="str">
        <f>_xlfn.XLOOKUP(E81,'All Products'!D:D,'All Products'!I:I,FALSE)</f>
        <v>In Stock</v>
      </c>
      <c r="P81" s="525" t="str">
        <f>_xlfn.XLOOKUP(E81,'All Products'!D:D,'All Products'!J:J,FALSE)</f>
        <v>Manufactured</v>
      </c>
      <c r="Q81" s="525" t="str">
        <f>_xlfn.XLOOKUP(F81,'All Products'!E:E,'All Products'!K:K,FALSE)</f>
        <v>812361011072</v>
      </c>
      <c r="R81" s="525" t="str">
        <f>_xlfn.XLOOKUP(E81,'All Products'!D:D,'All Products'!L:L,FALSE)</f>
        <v>-</v>
      </c>
      <c r="S81" s="525" t="str">
        <f>_xlfn.XLOOKUP(E81,'All Products'!D:D,'All Products'!M:M,FALSE)</f>
        <v>812361019375</v>
      </c>
      <c r="T81" s="530">
        <f>_xlfn.XLOOKUP(E81,'All Products'!D:D,'All Products'!N:N,FALSE)</f>
        <v>0.51600000000000001</v>
      </c>
      <c r="U81" s="530">
        <f>_xlfn.XLOOKUP(E81,'All Products'!D:D,'All Products'!P:P,FALSE)</f>
        <v>6.1920000000000002</v>
      </c>
      <c r="V81" s="530">
        <f>_xlfn.XLOOKUP(E81,'All Products'!D:D,'All Products'!Q:Q,FALSE)</f>
        <v>0.4856358104657279</v>
      </c>
    </row>
    <row r="82" spans="1:22">
      <c r="A82" s="5" t="str">
        <f>IF(K82&gt;0,COUNT($A$7:A81)+1,"")</f>
        <v/>
      </c>
      <c r="B82" s="34"/>
      <c r="C82" s="50"/>
      <c r="D82" s="512" t="str">
        <f>_xlfn.XLOOKUP(E82,'All Products'!D:D,'All Products'!C:C,FALSE)</f>
        <v>130-3340</v>
      </c>
      <c r="E82" s="106">
        <v>100028916</v>
      </c>
      <c r="F82" s="522" t="str">
        <f>_xlfn.XLOOKUP(E82,'All Products'!D:D,'All Products'!E:E,FALSE)</f>
        <v>4 REPAIR COUPLING DWV</v>
      </c>
      <c r="G82" s="282">
        <f>_xlfn.XLOOKUP(E82,'All Products'!D:D,'All Products'!F:F,FALSE)</f>
        <v>5</v>
      </c>
      <c r="H82" s="533">
        <f>_xlfn.XLOOKUP(E82,'All Products'!D:D,'All Products'!G:G,FALSE)</f>
        <v>640</v>
      </c>
      <c r="I82" s="512">
        <f>_xlfn.XLOOKUP(E82,'All Products'!D:D,'All Products'!H:H,FALSE)</f>
        <v>252.9</v>
      </c>
      <c r="J82" s="216">
        <f>ROUNDUP(I82*Order_Quote!$L$2,2)</f>
        <v>1264.5</v>
      </c>
      <c r="K82" s="123"/>
      <c r="L82" s="79"/>
      <c r="M82" s="107">
        <f t="shared" si="1"/>
        <v>0</v>
      </c>
      <c r="O82" s="525" t="str">
        <f>_xlfn.XLOOKUP(E82,'All Products'!D:D,'All Products'!I:I,FALSE)</f>
        <v>In Stock</v>
      </c>
      <c r="P82" s="525" t="str">
        <f>_xlfn.XLOOKUP(E82,'All Products'!D:D,'All Products'!J:J,FALSE)</f>
        <v>Manufactured</v>
      </c>
      <c r="Q82" s="525" t="str">
        <f>_xlfn.XLOOKUP(F82,'All Products'!E:E,'All Products'!K:K,FALSE)</f>
        <v>810673011865</v>
      </c>
      <c r="R82" s="525" t="str">
        <f>_xlfn.XLOOKUP(E82,'All Products'!D:D,'All Products'!L:L,FALSE)</f>
        <v>-</v>
      </c>
      <c r="S82" s="525" t="str">
        <f>_xlfn.XLOOKUP(E82,'All Products'!D:D,'All Products'!M:M,FALSE)</f>
        <v>810673015672</v>
      </c>
      <c r="T82" s="530">
        <f>_xlfn.XLOOKUP(E82,'All Products'!D:D,'All Products'!N:N,FALSE)</f>
        <v>0.84799999999999998</v>
      </c>
      <c r="U82" s="530">
        <f>_xlfn.XLOOKUP(E82,'All Products'!D:D,'All Products'!P:P,FALSE)</f>
        <v>4.24</v>
      </c>
      <c r="V82" s="530">
        <f>_xlfn.XLOOKUP(E82,'All Products'!D:D,'All Products'!Q:Q,FALSE)</f>
        <v>0.32375720697715193</v>
      </c>
    </row>
    <row r="83" spans="1:22">
      <c r="A83" s="5" t="str">
        <f>IF(K83&gt;0,COUNT($A$7:A82)+1,"")</f>
        <v/>
      </c>
      <c r="B83" s="23"/>
      <c r="C83" s="51"/>
      <c r="D83" s="512" t="str">
        <f>_xlfn.XLOOKUP(E83,'All Products'!D:D,'All Products'!C:C,FALSE)</f>
        <v>130-3341</v>
      </c>
      <c r="E83" s="106">
        <v>100028917</v>
      </c>
      <c r="F83" s="522" t="str">
        <f>_xlfn.XLOOKUP(E83,'All Products'!D:D,'All Products'!E:E,FALSE)</f>
        <v>6 REPAIR COUPLING DWV</v>
      </c>
      <c r="G83" s="282">
        <f>_xlfn.XLOOKUP(E83,'All Products'!D:D,'All Products'!F:F,FALSE)</f>
        <v>6</v>
      </c>
      <c r="H83" s="533">
        <f>_xlfn.XLOOKUP(E83,'All Products'!D:D,'All Products'!G:G,FALSE)</f>
        <v>144</v>
      </c>
      <c r="I83" s="512">
        <f>_xlfn.XLOOKUP(E83,'All Products'!D:D,'All Products'!H:H,FALSE)</f>
        <v>1328.55</v>
      </c>
      <c r="J83" s="216">
        <f>ROUNDUP(I83*Order_Quote!$L$2,2)</f>
        <v>6642.75</v>
      </c>
      <c r="K83" s="123"/>
      <c r="L83" s="79"/>
      <c r="M83" s="107">
        <f t="shared" si="1"/>
        <v>0</v>
      </c>
      <c r="O83" s="525" t="str">
        <f>_xlfn.XLOOKUP(E83,'All Products'!D:D,'All Products'!I:I,FALSE)</f>
        <v>In Stock</v>
      </c>
      <c r="P83" s="525" t="str">
        <f>_xlfn.XLOOKUP(E83,'All Products'!D:D,'All Products'!J:J,FALSE)</f>
        <v>Manufactured</v>
      </c>
      <c r="Q83" s="525" t="str">
        <f>_xlfn.XLOOKUP(F83,'All Products'!E:E,'All Products'!K:K,FALSE)</f>
        <v>812361013229</v>
      </c>
      <c r="R83" s="525" t="str">
        <f>_xlfn.XLOOKUP(E83,'All Products'!D:D,'All Products'!L:L,FALSE)</f>
        <v>-</v>
      </c>
      <c r="S83" s="525" t="str">
        <f>_xlfn.XLOOKUP(E83,'All Products'!D:D,'All Products'!M:M,FALSE)</f>
        <v>812361019368</v>
      </c>
      <c r="T83" s="530">
        <f>_xlfn.XLOOKUP(E83,'All Products'!D:D,'All Products'!N:N,FALSE)</f>
        <v>2.4769999999999999</v>
      </c>
      <c r="U83" s="530">
        <f>_xlfn.XLOOKUP(E83,'All Products'!D:D,'All Products'!P:P,FALSE)</f>
        <v>14.861999999999998</v>
      </c>
      <c r="V83" s="530">
        <f>_xlfn.XLOOKUP(E83,'All Products'!D:D,'All Products'!Q:Q,FALSE)</f>
        <v>1.8803145838984718</v>
      </c>
    </row>
    <row r="84" spans="1:22">
      <c r="A84" s="5" t="str">
        <f>IF(K84&gt;0,COUNT($A$7:A83)+1,"")</f>
        <v/>
      </c>
      <c r="B84" s="26"/>
      <c r="C84" s="49"/>
      <c r="D84" s="512" t="str">
        <f>_xlfn.XLOOKUP(E84,'All Products'!D:D,'All Products'!C:C,FALSE)</f>
        <v>131-5285</v>
      </c>
      <c r="E84" s="106">
        <v>300005652</v>
      </c>
      <c r="F84" s="522" t="str">
        <f>_xlfn.XLOOKUP(E84,'All Products'!D:D,'All Products'!E:E,FALSE)</f>
        <v>1-1/2 TEST CAP DWV</v>
      </c>
      <c r="G84" s="282">
        <f>_xlfn.XLOOKUP(E84,'All Products'!D:D,'All Products'!F:F,FALSE)</f>
        <v>100</v>
      </c>
      <c r="H84" s="533">
        <f>_xlfn.XLOOKUP(E84,'All Products'!D:D,'All Products'!G:G,FALSE)</f>
        <v>44800</v>
      </c>
      <c r="I84" s="512">
        <f>_xlfn.XLOOKUP(E84,'All Products'!D:D,'All Products'!H:H,FALSE)</f>
        <v>32</v>
      </c>
      <c r="J84" s="216">
        <f>ROUNDUP(I84*Order_Quote!$L$2,2)</f>
        <v>160</v>
      </c>
      <c r="K84" s="123"/>
      <c r="L84" s="79"/>
      <c r="M84" s="107">
        <f t="shared" si="1"/>
        <v>0</v>
      </c>
      <c r="O84" s="525" t="str">
        <f>_xlfn.XLOOKUP(E84,'All Products'!D:D,'All Products'!I:I,FALSE)</f>
        <v>Within 6 Weeks</v>
      </c>
      <c r="P84" s="525" t="str">
        <f>_xlfn.XLOOKUP(E84,'All Products'!D:D,'All Products'!J:J,FALSE)</f>
        <v>Sourced</v>
      </c>
      <c r="Q84" s="525" t="str">
        <f>_xlfn.XLOOKUP(F84,'All Products'!E:E,'All Products'!K:K,FALSE)</f>
        <v>810673015559</v>
      </c>
      <c r="R84" s="525" t="str">
        <f>_xlfn.XLOOKUP(E84,'All Products'!D:D,'All Products'!L:L,FALSE)</f>
        <v>-</v>
      </c>
      <c r="S84" s="525">
        <f>_xlfn.XLOOKUP(E84,'All Products'!D:D,'All Products'!M:M,FALSE)</f>
        <v>0</v>
      </c>
      <c r="T84" s="530">
        <f>_xlfn.XLOOKUP(E84,'All Products'!D:D,'All Products'!N:N,FALSE)</f>
        <v>1.2E-2</v>
      </c>
      <c r="U84" s="530">
        <f>_xlfn.XLOOKUP(E84,'All Products'!D:D,'All Products'!P:P,FALSE)</f>
        <v>1.2</v>
      </c>
      <c r="V84" s="530" t="str">
        <f>_xlfn.XLOOKUP(E84,'All Products'!D:D,'All Products'!Q:Q,FALSE)</f>
        <v>-</v>
      </c>
    </row>
    <row r="85" spans="1:22">
      <c r="A85" s="5" t="str">
        <f>IF(K85&gt;0,COUNT($A$7:A84)+1,"")</f>
        <v/>
      </c>
      <c r="B85" s="34"/>
      <c r="C85" s="50"/>
      <c r="D85" s="512" t="str">
        <f>_xlfn.XLOOKUP(E85,'All Products'!D:D,'All Products'!C:C,FALSE)</f>
        <v>131-5287</v>
      </c>
      <c r="E85" s="106">
        <v>300005653</v>
      </c>
      <c r="F85" s="522" t="str">
        <f>_xlfn.XLOOKUP(E85,'All Products'!D:D,'All Products'!E:E,FALSE)</f>
        <v>2 TEST CAP DWV</v>
      </c>
      <c r="G85" s="282">
        <f>_xlfn.XLOOKUP(E85,'All Products'!D:D,'All Products'!F:F,FALSE)</f>
        <v>100</v>
      </c>
      <c r="H85" s="533" t="str">
        <f>_xlfn.XLOOKUP(E85,'All Products'!D:D,'All Products'!G:G,FALSE)</f>
        <v>-</v>
      </c>
      <c r="I85" s="512">
        <f>_xlfn.XLOOKUP(E85,'All Products'!D:D,'All Products'!H:H,FALSE)</f>
        <v>33.75</v>
      </c>
      <c r="J85" s="216">
        <f>ROUNDUP(I85*Order_Quote!$L$2,2)</f>
        <v>168.75</v>
      </c>
      <c r="K85" s="123"/>
      <c r="L85" s="79"/>
      <c r="M85" s="107">
        <f t="shared" si="1"/>
        <v>0</v>
      </c>
      <c r="O85" s="525" t="str">
        <f>_xlfn.XLOOKUP(E85,'All Products'!D:D,'All Products'!I:I,FALSE)</f>
        <v>Within 3 Weeks</v>
      </c>
      <c r="P85" s="525" t="str">
        <f>_xlfn.XLOOKUP(E85,'All Products'!D:D,'All Products'!J:J,FALSE)</f>
        <v>Sourced</v>
      </c>
      <c r="Q85" s="525" t="str">
        <f>_xlfn.XLOOKUP(F85,'All Products'!E:E,'All Products'!K:K,FALSE)</f>
        <v>812361017197</v>
      </c>
      <c r="R85" s="525" t="str">
        <f>_xlfn.XLOOKUP(E85,'All Products'!D:D,'All Products'!L:L,FALSE)</f>
        <v>-</v>
      </c>
      <c r="S85" s="525">
        <f>_xlfn.XLOOKUP(E85,'All Products'!D:D,'All Products'!M:M,FALSE)</f>
        <v>0</v>
      </c>
      <c r="T85" s="530">
        <f>_xlfn.XLOOKUP(E85,'All Products'!D:D,'All Products'!N:N,FALSE)</f>
        <v>0.02</v>
      </c>
      <c r="U85" s="530">
        <f>_xlfn.XLOOKUP(E85,'All Products'!D:D,'All Products'!P:P,FALSE)</f>
        <v>2</v>
      </c>
      <c r="V85" s="530" t="str">
        <f>_xlfn.XLOOKUP(E85,'All Products'!D:D,'All Products'!Q:Q,FALSE)</f>
        <v>-</v>
      </c>
    </row>
    <row r="86" spans="1:22">
      <c r="A86" s="5" t="str">
        <f>IF(K86&gt;0,COUNT($A$7:A85)+1,"")</f>
        <v/>
      </c>
      <c r="B86" s="23"/>
      <c r="C86" s="51"/>
      <c r="D86" s="512" t="str">
        <f>_xlfn.XLOOKUP(E86,'All Products'!D:D,'All Products'!C:C,FALSE)</f>
        <v>131-5288</v>
      </c>
      <c r="E86" s="106">
        <v>300005654</v>
      </c>
      <c r="F86" s="522" t="str">
        <f>_xlfn.XLOOKUP(E86,'All Products'!D:D,'All Products'!E:E,FALSE)</f>
        <v>3 TEST CAP DWV</v>
      </c>
      <c r="G86" s="282">
        <f>_xlfn.XLOOKUP(E86,'All Products'!D:D,'All Products'!F:F,FALSE)</f>
        <v>50</v>
      </c>
      <c r="H86" s="533">
        <f>_xlfn.XLOOKUP(E86,'All Products'!D:D,'All Products'!G:G,FALSE)</f>
        <v>8400</v>
      </c>
      <c r="I86" s="512">
        <f>_xlfn.XLOOKUP(E86,'All Products'!D:D,'All Products'!H:H,FALSE)</f>
        <v>34.9</v>
      </c>
      <c r="J86" s="216">
        <f>ROUNDUP(I86*Order_Quote!$L$2,2)</f>
        <v>174.5</v>
      </c>
      <c r="K86" s="123"/>
      <c r="L86" s="79"/>
      <c r="M86" s="107">
        <f t="shared" si="1"/>
        <v>0</v>
      </c>
      <c r="O86" s="525" t="str">
        <f>_xlfn.XLOOKUP(E86,'All Products'!D:D,'All Products'!I:I,FALSE)</f>
        <v>Within 3 Weeks</v>
      </c>
      <c r="P86" s="525" t="str">
        <f>_xlfn.XLOOKUP(E86,'All Products'!D:D,'All Products'!J:J,FALSE)</f>
        <v>Sourced</v>
      </c>
      <c r="Q86" s="525" t="str">
        <f>_xlfn.XLOOKUP(F86,'All Products'!E:E,'All Products'!K:K,FALSE)</f>
        <v>812361017210</v>
      </c>
      <c r="R86" s="525" t="str">
        <f>_xlfn.XLOOKUP(E86,'All Products'!D:D,'All Products'!L:L,FALSE)</f>
        <v>-</v>
      </c>
      <c r="S86" s="525">
        <f>_xlfn.XLOOKUP(E86,'All Products'!D:D,'All Products'!M:M,FALSE)</f>
        <v>0</v>
      </c>
      <c r="T86" s="530">
        <f>_xlfn.XLOOKUP(E86,'All Products'!D:D,'All Products'!N:N,FALSE)</f>
        <v>0.04</v>
      </c>
      <c r="U86" s="530">
        <f>_xlfn.XLOOKUP(E86,'All Products'!D:D,'All Products'!P:P,FALSE)</f>
        <v>2</v>
      </c>
      <c r="V86" s="530" t="str">
        <f>_xlfn.XLOOKUP(E86,'All Products'!D:D,'All Products'!Q:Q,FALSE)</f>
        <v>-</v>
      </c>
    </row>
    <row r="87" spans="1:22">
      <c r="A87" s="5" t="str">
        <f>IF(K87&gt;0,COUNT($A$7:A86)+1,"")</f>
        <v/>
      </c>
      <c r="B87" s="26"/>
      <c r="C87" s="49"/>
      <c r="D87" s="512" t="str">
        <f>_xlfn.XLOOKUP(E87,'All Products'!D:D,'All Products'!C:C,FALSE)</f>
        <v>300-3354</v>
      </c>
      <c r="E87" s="106">
        <v>300005656</v>
      </c>
      <c r="F87" s="522" t="str">
        <f>_xlfn.XLOOKUP(E87,'All Products'!D:D,'All Products'!E:E,FALSE)</f>
        <v>1-1/4 1/4 BEND DWV</v>
      </c>
      <c r="G87" s="282">
        <f>_xlfn.XLOOKUP(E87,'All Products'!D:D,'All Products'!F:F,FALSE)</f>
        <v>50</v>
      </c>
      <c r="H87" s="533">
        <f>_xlfn.XLOOKUP(E87,'All Products'!D:D,'All Products'!G:G,FALSE)</f>
        <v>4500</v>
      </c>
      <c r="I87" s="512">
        <f>_xlfn.XLOOKUP(E87,'All Products'!D:D,'All Products'!H:H,FALSE)</f>
        <v>121.27</v>
      </c>
      <c r="J87" s="216">
        <f>ROUNDUP(I87*Order_Quote!$L$2,2)</f>
        <v>606.35</v>
      </c>
      <c r="K87" s="123"/>
      <c r="L87" s="79"/>
      <c r="M87" s="107">
        <f t="shared" si="1"/>
        <v>0</v>
      </c>
      <c r="O87" s="525" t="str">
        <f>_xlfn.XLOOKUP(E87,'All Products'!D:D,'All Products'!I:I,FALSE)</f>
        <v>Within 6 Weeks</v>
      </c>
      <c r="P87" s="525" t="str">
        <f>_xlfn.XLOOKUP(E87,'All Products'!D:D,'All Products'!J:J,FALSE)</f>
        <v>Sourced</v>
      </c>
      <c r="Q87" s="525" t="str">
        <f>_xlfn.XLOOKUP(F87,'All Products'!E:E,'All Products'!K:K,FALSE)</f>
        <v>810673013005</v>
      </c>
      <c r="R87" s="525" t="str">
        <f>_xlfn.XLOOKUP(E87,'All Products'!D:D,'All Products'!L:L,FALSE)</f>
        <v>-</v>
      </c>
      <c r="S87" s="525">
        <f>_xlfn.XLOOKUP(E87,'All Products'!D:D,'All Products'!M:M,FALSE)</f>
        <v>0</v>
      </c>
      <c r="T87" s="530">
        <f>_xlfn.XLOOKUP(E87,'All Products'!D:D,'All Products'!N:N,FALSE)</f>
        <v>0.17</v>
      </c>
      <c r="U87" s="530">
        <f>_xlfn.XLOOKUP(E87,'All Products'!D:D,'All Products'!P:P,FALSE)</f>
        <v>8.5</v>
      </c>
      <c r="V87" s="530" t="str">
        <f>_xlfn.XLOOKUP(E87,'All Products'!D:D,'All Products'!Q:Q,FALSE)</f>
        <v>-</v>
      </c>
    </row>
    <row r="88" spans="1:22">
      <c r="A88" s="5" t="str">
        <f>IF(K88&gt;0,COUNT($A$7:A87)+1,"")</f>
        <v/>
      </c>
      <c r="B88" s="34"/>
      <c r="C88" s="50"/>
      <c r="D88" s="512" t="str">
        <f>_xlfn.XLOOKUP(E88,'All Products'!D:D,'All Products'!C:C,FALSE)</f>
        <v>300-3355</v>
      </c>
      <c r="E88" s="106">
        <v>100028924</v>
      </c>
      <c r="F88" s="522" t="str">
        <f>_xlfn.XLOOKUP(E88,'All Products'!D:D,'All Products'!E:E,FALSE)</f>
        <v>1-1/2 1/4 BEND DWV</v>
      </c>
      <c r="G88" s="282">
        <f>_xlfn.XLOOKUP(E88,'All Products'!D:D,'All Products'!F:F,FALSE)</f>
        <v>100</v>
      </c>
      <c r="H88" s="533">
        <f>_xlfn.XLOOKUP(E88,'All Products'!D:D,'All Products'!G:G,FALSE)</f>
        <v>3200</v>
      </c>
      <c r="I88" s="512">
        <f>_xlfn.XLOOKUP(E88,'All Products'!D:D,'All Products'!H:H,FALSE)</f>
        <v>28.85</v>
      </c>
      <c r="J88" s="216">
        <f>ROUNDUP(I88*Order_Quote!$L$2,2)</f>
        <v>144.25</v>
      </c>
      <c r="K88" s="123"/>
      <c r="L88" s="79"/>
      <c r="M88" s="107">
        <f t="shared" si="1"/>
        <v>0</v>
      </c>
      <c r="O88" s="525" t="str">
        <f>_xlfn.XLOOKUP(E88,'All Products'!D:D,'All Products'!I:I,FALSE)</f>
        <v>In Stock</v>
      </c>
      <c r="P88" s="525" t="str">
        <f>_xlfn.XLOOKUP(E88,'All Products'!D:D,'All Products'!J:J,FALSE)</f>
        <v>Manufactured</v>
      </c>
      <c r="Q88" s="525" t="str">
        <f>_xlfn.XLOOKUP(F88,'All Products'!E:E,'All Products'!K:K,FALSE)</f>
        <v>810673013012</v>
      </c>
      <c r="R88" s="525" t="str">
        <f>_xlfn.XLOOKUP(E88,'All Products'!D:D,'All Products'!L:L,FALSE)</f>
        <v>-</v>
      </c>
      <c r="S88" s="525" t="str">
        <f>_xlfn.XLOOKUP(E88,'All Products'!D:D,'All Products'!M:M,FALSE)</f>
        <v>10810673013019</v>
      </c>
      <c r="T88" s="530">
        <f>_xlfn.XLOOKUP(E88,'All Products'!D:D,'All Products'!N:N,FALSE)</f>
        <v>0.23300000000000001</v>
      </c>
      <c r="U88" s="530">
        <f>_xlfn.XLOOKUP(E88,'All Products'!D:D,'All Products'!P:P,FALSE)</f>
        <v>23.3</v>
      </c>
      <c r="V88" s="530">
        <f>_xlfn.XLOOKUP(E88,'All Products'!D:D,'All Products'!Q:Q,FALSE)</f>
        <v>1.3788503419060438</v>
      </c>
    </row>
    <row r="89" spans="1:22">
      <c r="A89" s="5" t="str">
        <f>IF(K89&gt;0,COUNT($A$7:A88)+1,"")</f>
        <v/>
      </c>
      <c r="B89" s="34"/>
      <c r="C89" s="50"/>
      <c r="D89" s="512" t="str">
        <f>_xlfn.XLOOKUP(E89,'All Products'!D:D,'All Products'!C:C,FALSE)</f>
        <v>300-3356</v>
      </c>
      <c r="E89" s="106">
        <v>100028925</v>
      </c>
      <c r="F89" s="522" t="str">
        <f>_xlfn.XLOOKUP(E89,'All Products'!D:D,'All Products'!E:E,FALSE)</f>
        <v>2 1/4 BEND DWV</v>
      </c>
      <c r="G89" s="282">
        <f>_xlfn.XLOOKUP(E89,'All Products'!D:D,'All Products'!F:F,FALSE)</f>
        <v>50</v>
      </c>
      <c r="H89" s="533">
        <f>_xlfn.XLOOKUP(E89,'All Products'!D:D,'All Products'!G:G,FALSE)</f>
        <v>1600</v>
      </c>
      <c r="I89" s="512">
        <f>_xlfn.XLOOKUP(E89,'All Products'!D:D,'All Products'!H:H,FALSE)</f>
        <v>45.43</v>
      </c>
      <c r="J89" s="216">
        <f>ROUNDUP(I89*Order_Quote!$L$2,2)</f>
        <v>227.15</v>
      </c>
      <c r="K89" s="123"/>
      <c r="L89" s="79"/>
      <c r="M89" s="107">
        <f t="shared" si="1"/>
        <v>0</v>
      </c>
      <c r="O89" s="525" t="str">
        <f>_xlfn.XLOOKUP(E89,'All Products'!D:D,'All Products'!I:I,FALSE)</f>
        <v>In Stock</v>
      </c>
      <c r="P89" s="525" t="str">
        <f>_xlfn.XLOOKUP(E89,'All Products'!D:D,'All Products'!J:J,FALSE)</f>
        <v>Manufactured</v>
      </c>
      <c r="Q89" s="525" t="str">
        <f>_xlfn.XLOOKUP(F89,'All Products'!E:E,'All Products'!K:K,FALSE)</f>
        <v>810673013029</v>
      </c>
      <c r="R89" s="525" t="str">
        <f>_xlfn.XLOOKUP(E89,'All Products'!D:D,'All Products'!L:L,FALSE)</f>
        <v>-</v>
      </c>
      <c r="S89" s="525" t="str">
        <f>_xlfn.XLOOKUP(E89,'All Products'!D:D,'All Products'!M:M,FALSE)</f>
        <v>10810673013026</v>
      </c>
      <c r="T89" s="530">
        <f>_xlfn.XLOOKUP(E89,'All Products'!D:D,'All Products'!N:N,FALSE)</f>
        <v>0.36699999999999999</v>
      </c>
      <c r="U89" s="530">
        <f>_xlfn.XLOOKUP(E89,'All Products'!D:D,'All Products'!P:P,FALSE)</f>
        <v>18.350000000000001</v>
      </c>
      <c r="V89" s="530">
        <f>_xlfn.XLOOKUP(E89,'All Products'!D:D,'All Products'!Q:Q,FALSE)</f>
        <v>1.3788503419060438</v>
      </c>
    </row>
    <row r="90" spans="1:22">
      <c r="A90" s="5" t="str">
        <f>IF(K90&gt;0,COUNT($A$7:A89)+1,"")</f>
        <v/>
      </c>
      <c r="B90" s="34"/>
      <c r="C90" s="50"/>
      <c r="D90" s="512" t="str">
        <f>_xlfn.XLOOKUP(E90,'All Products'!D:D,'All Products'!C:C,FALSE)</f>
        <v>300-3357</v>
      </c>
      <c r="E90" s="106">
        <v>100028926</v>
      </c>
      <c r="F90" s="522" t="str">
        <f>_xlfn.XLOOKUP(E90,'All Products'!D:D,'All Products'!E:E,FALSE)</f>
        <v>3 1/4 BEND DWV</v>
      </c>
      <c r="G90" s="282">
        <f>_xlfn.XLOOKUP(E90,'All Products'!D:D,'All Products'!F:F,FALSE)</f>
        <v>25</v>
      </c>
      <c r="H90" s="533">
        <f>_xlfn.XLOOKUP(E90,'All Products'!D:D,'All Products'!G:G,FALSE)</f>
        <v>450</v>
      </c>
      <c r="I90" s="512">
        <f>_xlfn.XLOOKUP(E90,'All Products'!D:D,'All Products'!H:H,FALSE)</f>
        <v>133.56</v>
      </c>
      <c r="J90" s="216">
        <f>ROUNDUP(I90*Order_Quote!$L$2,2)</f>
        <v>667.8</v>
      </c>
      <c r="K90" s="123"/>
      <c r="L90" s="79"/>
      <c r="M90" s="107">
        <f t="shared" si="1"/>
        <v>0</v>
      </c>
      <c r="O90" s="525" t="str">
        <f>_xlfn.XLOOKUP(E90,'All Products'!D:D,'All Products'!I:I,FALSE)</f>
        <v>In Stock</v>
      </c>
      <c r="P90" s="525" t="str">
        <f>_xlfn.XLOOKUP(E90,'All Products'!D:D,'All Products'!J:J,FALSE)</f>
        <v>Manufactured</v>
      </c>
      <c r="Q90" s="525" t="str">
        <f>_xlfn.XLOOKUP(F90,'All Products'!E:E,'All Products'!K:K,FALSE)</f>
        <v>810673013036</v>
      </c>
      <c r="R90" s="525" t="str">
        <f>_xlfn.XLOOKUP(E90,'All Products'!D:D,'All Products'!L:L,FALSE)</f>
        <v>-</v>
      </c>
      <c r="S90" s="525" t="str">
        <f>_xlfn.XLOOKUP(E90,'All Products'!D:D,'All Products'!M:M,FALSE)</f>
        <v>10810673013033</v>
      </c>
      <c r="T90" s="530">
        <f>_xlfn.XLOOKUP(E90,'All Products'!D:D,'All Products'!N:N,FALSE)</f>
        <v>1.1459999999999999</v>
      </c>
      <c r="U90" s="530">
        <f>_xlfn.XLOOKUP(E90,'All Products'!D:D,'All Products'!P:P,FALSE)</f>
        <v>28.65</v>
      </c>
      <c r="V90" s="530">
        <f>_xlfn.XLOOKUP(E90,'All Products'!D:D,'All Products'!Q:Q,FALSE)</f>
        <v>2.361325291407383</v>
      </c>
    </row>
    <row r="91" spans="1:22">
      <c r="A91" s="5" t="str">
        <f>IF(K91&gt;0,COUNT($A$7:A90)+1,"")</f>
        <v/>
      </c>
      <c r="B91" s="34"/>
      <c r="C91" s="50"/>
      <c r="D91" s="512" t="str">
        <f>_xlfn.XLOOKUP(E91,'All Products'!D:D,'All Products'!C:C,FALSE)</f>
        <v>300-3358</v>
      </c>
      <c r="E91" s="106">
        <v>100028927</v>
      </c>
      <c r="F91" s="522" t="str">
        <f>_xlfn.XLOOKUP(E91,'All Products'!D:D,'All Products'!E:E,FALSE)</f>
        <v>4 1/4 BEND DWV</v>
      </c>
      <c r="G91" s="282">
        <f>_xlfn.XLOOKUP(E91,'All Products'!D:D,'All Products'!F:F,FALSE)</f>
        <v>10</v>
      </c>
      <c r="H91" s="533">
        <f>_xlfn.XLOOKUP(E91,'All Products'!D:D,'All Products'!G:G,FALSE)</f>
        <v>180</v>
      </c>
      <c r="I91" s="512">
        <f>_xlfn.XLOOKUP(E91,'All Products'!D:D,'All Products'!H:H,FALSE)</f>
        <v>263.77</v>
      </c>
      <c r="J91" s="216">
        <f>ROUNDUP(I91*Order_Quote!$L$2,2)</f>
        <v>1318.85</v>
      </c>
      <c r="K91" s="123"/>
      <c r="L91" s="79"/>
      <c r="M91" s="107">
        <f t="shared" si="1"/>
        <v>0</v>
      </c>
      <c r="O91" s="525" t="str">
        <f>_xlfn.XLOOKUP(E91,'All Products'!D:D,'All Products'!I:I,FALSE)</f>
        <v>In Stock</v>
      </c>
      <c r="P91" s="525" t="str">
        <f>_xlfn.XLOOKUP(E91,'All Products'!D:D,'All Products'!J:J,FALSE)</f>
        <v>Manufactured</v>
      </c>
      <c r="Q91" s="525" t="str">
        <f>_xlfn.XLOOKUP(F91,'All Products'!E:E,'All Products'!K:K,FALSE)</f>
        <v>810673013043</v>
      </c>
      <c r="R91" s="525" t="str">
        <f>_xlfn.XLOOKUP(E91,'All Products'!D:D,'All Products'!L:L,FALSE)</f>
        <v>-</v>
      </c>
      <c r="S91" s="525" t="str">
        <f>_xlfn.XLOOKUP(E91,'All Products'!D:D,'All Products'!M:M,FALSE)</f>
        <v>10810673013040</v>
      </c>
      <c r="T91" s="530">
        <f>_xlfn.XLOOKUP(E91,'All Products'!D:D,'All Products'!N:N,FALSE)</f>
        <v>2.1269999999999998</v>
      </c>
      <c r="U91" s="530">
        <f>_xlfn.XLOOKUP(E91,'All Products'!D:D,'All Products'!P:P,FALSE)</f>
        <v>21.269999999999996</v>
      </c>
      <c r="V91" s="530">
        <f>_xlfn.XLOOKUP(E91,'All Products'!D:D,'All Products'!Q:Q,FALSE)</f>
        <v>2.361325291407383</v>
      </c>
    </row>
    <row r="92" spans="1:22">
      <c r="A92" s="5" t="str">
        <f>IF(K92&gt;0,COUNT($A$7:A91)+1,"")</f>
        <v/>
      </c>
      <c r="B92" s="23"/>
      <c r="C92" s="51"/>
      <c r="D92" s="512" t="str">
        <f>_xlfn.XLOOKUP(E92,'All Products'!D:D,'All Products'!C:C,FALSE)</f>
        <v>300-3359</v>
      </c>
      <c r="E92" s="106">
        <v>100028928</v>
      </c>
      <c r="F92" s="522" t="str">
        <f>_xlfn.XLOOKUP(E92,'All Products'!D:D,'All Products'!E:E,FALSE)</f>
        <v>6 1/4 BEND DWV</v>
      </c>
      <c r="G92" s="282">
        <f>_xlfn.XLOOKUP(E92,'All Products'!D:D,'All Products'!F:F,FALSE)</f>
        <v>5</v>
      </c>
      <c r="H92" s="533">
        <f>_xlfn.XLOOKUP(E92,'All Products'!D:D,'All Products'!G:G,FALSE)</f>
        <v>60</v>
      </c>
      <c r="I92" s="512">
        <f>_xlfn.XLOOKUP(E92,'All Products'!D:D,'All Products'!H:H,FALSE)</f>
        <v>925.67</v>
      </c>
      <c r="J92" s="216">
        <f>ROUNDUP(I92*Order_Quote!$L$2,2)</f>
        <v>4628.3500000000004</v>
      </c>
      <c r="K92" s="123"/>
      <c r="L92" s="79"/>
      <c r="M92" s="107">
        <f t="shared" si="1"/>
        <v>0</v>
      </c>
      <c r="O92" s="525" t="str">
        <f>_xlfn.XLOOKUP(E92,'All Products'!D:D,'All Products'!I:I,FALSE)</f>
        <v>In Stock</v>
      </c>
      <c r="P92" s="525" t="str">
        <f>_xlfn.XLOOKUP(E92,'All Products'!D:D,'All Products'!J:J,FALSE)</f>
        <v>Manufactured</v>
      </c>
      <c r="Q92" s="525" t="str">
        <f>_xlfn.XLOOKUP(F92,'All Products'!E:E,'All Products'!K:K,FALSE)</f>
        <v>810673015252</v>
      </c>
      <c r="R92" s="525" t="str">
        <f>_xlfn.XLOOKUP(E92,'All Products'!D:D,'All Products'!L:L,FALSE)</f>
        <v>-</v>
      </c>
      <c r="S92" s="525" t="str">
        <f>_xlfn.XLOOKUP(E92,'All Products'!D:D,'All Products'!M:M,FALSE)</f>
        <v>810673015313</v>
      </c>
      <c r="T92" s="530">
        <f>_xlfn.XLOOKUP(E92,'All Products'!D:D,'All Products'!N:N,FALSE)</f>
        <v>4.6950000000000003</v>
      </c>
      <c r="U92" s="530">
        <f>_xlfn.XLOOKUP(E92,'All Products'!D:D,'All Products'!P:P,FALSE)</f>
        <v>23.475000000000001</v>
      </c>
      <c r="V92" s="530">
        <f>_xlfn.XLOOKUP(E92,'All Products'!D:D,'All Products'!Q:Q,FALSE)</f>
        <v>2.7986077527791204</v>
      </c>
    </row>
    <row r="93" spans="1:22" s="17" customFormat="1" ht="45.75" customHeight="1">
      <c r="A93" s="5" t="str">
        <f>IF(K93&gt;0,COUNT($A$7:A92)+1,"")</f>
        <v/>
      </c>
      <c r="B93" s="202"/>
      <c r="C93" s="203"/>
      <c r="D93" s="512" t="str">
        <f>_xlfn.XLOOKUP(E93,'All Products'!D:D,'All Products'!C:C,FALSE)</f>
        <v>300-S-3362</v>
      </c>
      <c r="E93" s="106">
        <v>300005655</v>
      </c>
      <c r="F93" s="522" t="str">
        <f>_xlfn.XLOOKUP(E93,'All Products'!D:D,'All Products'!E:E,FALSE)</f>
        <v>3 1/4 BEND W/2" SIDE OUTLET DWV</v>
      </c>
      <c r="G93" s="282">
        <f>_xlfn.XLOOKUP(E93,'All Products'!D:D,'All Products'!F:F,FALSE)</f>
        <v>10</v>
      </c>
      <c r="H93" s="533">
        <f>_xlfn.XLOOKUP(E93,'All Products'!D:D,'All Products'!G:G,FALSE)</f>
        <v>360</v>
      </c>
      <c r="I93" s="512">
        <f>_xlfn.XLOOKUP(E93,'All Products'!D:D,'All Products'!H:H,FALSE)</f>
        <v>445.65</v>
      </c>
      <c r="J93" s="216">
        <f>ROUNDUP(I93*Order_Quote!$L$2,2)</f>
        <v>2228.25</v>
      </c>
      <c r="K93" s="123"/>
      <c r="L93" s="79"/>
      <c r="M93" s="107">
        <f t="shared" si="1"/>
        <v>0</v>
      </c>
      <c r="O93" s="525" t="str">
        <f>_xlfn.XLOOKUP(E93,'All Products'!D:D,'All Products'!I:I,FALSE)</f>
        <v>Within 6 Weeks</v>
      </c>
      <c r="P93" s="525" t="str">
        <f>_xlfn.XLOOKUP(E93,'All Products'!D:D,'All Products'!J:J,FALSE)</f>
        <v>Sourced</v>
      </c>
      <c r="Q93" s="525" t="str">
        <f>_xlfn.XLOOKUP(F93,'All Products'!E:E,'All Products'!K:K,FALSE)</f>
        <v>812361017357</v>
      </c>
      <c r="R93" s="525" t="str">
        <f>_xlfn.XLOOKUP(E93,'All Products'!D:D,'All Products'!L:L,FALSE)</f>
        <v>-</v>
      </c>
      <c r="S93" s="525">
        <f>_xlfn.XLOOKUP(E93,'All Products'!D:D,'All Products'!M:M,FALSE)</f>
        <v>0</v>
      </c>
      <c r="T93" s="530">
        <f>_xlfn.XLOOKUP(E93,'All Products'!D:D,'All Products'!N:N,FALSE)</f>
        <v>0.11</v>
      </c>
      <c r="U93" s="530">
        <f>_xlfn.XLOOKUP(E93,'All Products'!D:D,'All Products'!P:P,FALSE)</f>
        <v>1.1000000000000001</v>
      </c>
      <c r="V93" s="530" t="str">
        <f>_xlfn.XLOOKUP(E93,'All Products'!D:D,'All Products'!Q:Q,FALSE)</f>
        <v>-</v>
      </c>
    </row>
    <row r="94" spans="1:22">
      <c r="A94" s="5" t="str">
        <f>IF(K94&gt;0,COUNT($A$7:A93)+1,"")</f>
        <v/>
      </c>
      <c r="B94" s="26"/>
      <c r="C94" s="49"/>
      <c r="D94" s="512" t="str">
        <f>_xlfn.XLOOKUP(E94,'All Products'!D:D,'All Products'!C:C,FALSE)</f>
        <v>302-3370</v>
      </c>
      <c r="E94" s="106">
        <v>100028929</v>
      </c>
      <c r="F94" s="522" t="str">
        <f>_xlfn.XLOOKUP(E94,'All Products'!D:D,'All Products'!E:E,FALSE)</f>
        <v>1-1/2 1/4 BEND STREET DWV</v>
      </c>
      <c r="G94" s="282">
        <f>_xlfn.XLOOKUP(E94,'All Products'!D:D,'All Products'!F:F,FALSE)</f>
        <v>100</v>
      </c>
      <c r="H94" s="533">
        <f>_xlfn.XLOOKUP(E94,'All Products'!D:D,'All Products'!G:G,FALSE)</f>
        <v>3200</v>
      </c>
      <c r="I94" s="512">
        <f>_xlfn.XLOOKUP(E94,'All Products'!D:D,'All Products'!H:H,FALSE)</f>
        <v>37.369999999999997</v>
      </c>
      <c r="J94" s="216">
        <f>ROUNDUP(I94*Order_Quote!$L$2,2)</f>
        <v>186.85</v>
      </c>
      <c r="K94" s="123"/>
      <c r="L94" s="79"/>
      <c r="M94" s="107">
        <f t="shared" si="1"/>
        <v>0</v>
      </c>
      <c r="O94" s="525" t="str">
        <f>_xlfn.XLOOKUP(E94,'All Products'!D:D,'All Products'!I:I,FALSE)</f>
        <v>In Stock</v>
      </c>
      <c r="P94" s="525" t="str">
        <f>_xlfn.XLOOKUP(E94,'All Products'!D:D,'All Products'!J:J,FALSE)</f>
        <v>Manufactured</v>
      </c>
      <c r="Q94" s="525" t="str">
        <f>_xlfn.XLOOKUP(F94,'All Products'!E:E,'All Products'!K:K,FALSE)</f>
        <v>810673014033</v>
      </c>
      <c r="R94" s="525" t="str">
        <f>_xlfn.XLOOKUP(E94,'All Products'!D:D,'All Products'!L:L,FALSE)</f>
        <v>-</v>
      </c>
      <c r="S94" s="525" t="str">
        <f>_xlfn.XLOOKUP(E94,'All Products'!D:D,'All Products'!M:M,FALSE)</f>
        <v>10810673014030</v>
      </c>
      <c r="T94" s="530">
        <f>_xlfn.XLOOKUP(E94,'All Products'!D:D,'All Products'!N:N,FALSE)</f>
        <v>0.20799999999999999</v>
      </c>
      <c r="U94" s="530">
        <f>_xlfn.XLOOKUP(E94,'All Products'!D:D,'All Products'!P:P,FALSE)</f>
        <v>20.8</v>
      </c>
      <c r="V94" s="530">
        <f>_xlfn.XLOOKUP(E94,'All Products'!D:D,'All Products'!Q:Q,FALSE)</f>
        <v>1.3788503419060438</v>
      </c>
    </row>
    <row r="95" spans="1:22">
      <c r="A95" s="5" t="str">
        <f>IF(K95&gt;0,COUNT($A$7:A94)+1,"")</f>
        <v/>
      </c>
      <c r="B95" s="34"/>
      <c r="C95" s="50"/>
      <c r="D95" s="512" t="str">
        <f>_xlfn.XLOOKUP(E95,'All Products'!D:D,'All Products'!C:C,FALSE)</f>
        <v>302-3371</v>
      </c>
      <c r="E95" s="106">
        <v>100028930</v>
      </c>
      <c r="F95" s="522" t="str">
        <f>_xlfn.XLOOKUP(E95,'All Products'!D:D,'All Products'!E:E,FALSE)</f>
        <v>2 1/4 BEND STREET DWV</v>
      </c>
      <c r="G95" s="282">
        <f>_xlfn.XLOOKUP(E95,'All Products'!D:D,'All Products'!F:F,FALSE)</f>
        <v>50</v>
      </c>
      <c r="H95" s="533">
        <f>_xlfn.XLOOKUP(E95,'All Products'!D:D,'All Products'!G:G,FALSE)</f>
        <v>1600</v>
      </c>
      <c r="I95" s="512">
        <f>_xlfn.XLOOKUP(E95,'All Products'!D:D,'All Products'!H:H,FALSE)</f>
        <v>57.33</v>
      </c>
      <c r="J95" s="216">
        <f>ROUNDUP(I95*Order_Quote!$L$2,2)</f>
        <v>286.64999999999998</v>
      </c>
      <c r="K95" s="123"/>
      <c r="L95" s="79"/>
      <c r="M95" s="107">
        <f t="shared" si="1"/>
        <v>0</v>
      </c>
      <c r="O95" s="525" t="str">
        <f>_xlfn.XLOOKUP(E95,'All Products'!D:D,'All Products'!I:I,FALSE)</f>
        <v>In Stock</v>
      </c>
      <c r="P95" s="525" t="str">
        <f>_xlfn.XLOOKUP(E95,'All Products'!D:D,'All Products'!J:J,FALSE)</f>
        <v>Manufactured</v>
      </c>
      <c r="Q95" s="525" t="str">
        <f>_xlfn.XLOOKUP(F95,'All Products'!E:E,'All Products'!K:K,FALSE)</f>
        <v>810673014040</v>
      </c>
      <c r="R95" s="525" t="str">
        <f>_xlfn.XLOOKUP(E95,'All Products'!D:D,'All Products'!L:L,FALSE)</f>
        <v>-</v>
      </c>
      <c r="S95" s="525" t="str">
        <f>_xlfn.XLOOKUP(E95,'All Products'!D:D,'All Products'!M:M,FALSE)</f>
        <v>10810673014047</v>
      </c>
      <c r="T95" s="530">
        <f>_xlfn.XLOOKUP(E95,'All Products'!D:D,'All Products'!N:N,FALSE)</f>
        <v>0.34399999999999997</v>
      </c>
      <c r="U95" s="530">
        <f>_xlfn.XLOOKUP(E95,'All Products'!D:D,'All Products'!P:P,FALSE)</f>
        <v>17.2</v>
      </c>
      <c r="V95" s="530">
        <f>_xlfn.XLOOKUP(E95,'All Products'!D:D,'All Products'!Q:Q,FALSE)</f>
        <v>1.3788503419060438</v>
      </c>
    </row>
    <row r="96" spans="1:22">
      <c r="A96" s="5" t="str">
        <f>IF(K96&gt;0,COUNT($A$7:A95)+1,"")</f>
        <v/>
      </c>
      <c r="B96" s="34"/>
      <c r="C96" s="50"/>
      <c r="D96" s="512" t="str">
        <f>_xlfn.XLOOKUP(E96,'All Products'!D:D,'All Products'!C:C,FALSE)</f>
        <v>302-3372</v>
      </c>
      <c r="E96" s="106">
        <v>100028931</v>
      </c>
      <c r="F96" s="522" t="str">
        <f>_xlfn.XLOOKUP(E96,'All Products'!D:D,'All Products'!E:E,FALSE)</f>
        <v>3 1/4 BEND STREET DWV</v>
      </c>
      <c r="G96" s="282">
        <f>_xlfn.XLOOKUP(E96,'All Products'!D:D,'All Products'!F:F,FALSE)</f>
        <v>20</v>
      </c>
      <c r="H96" s="533">
        <f>_xlfn.XLOOKUP(E96,'All Products'!D:D,'All Products'!G:G,FALSE)</f>
        <v>480</v>
      </c>
      <c r="I96" s="512">
        <f>_xlfn.XLOOKUP(E96,'All Products'!D:D,'All Products'!H:H,FALSE)</f>
        <v>159.69</v>
      </c>
      <c r="J96" s="216">
        <f>ROUNDUP(I96*Order_Quote!$L$2,2)</f>
        <v>798.45</v>
      </c>
      <c r="K96" s="123"/>
      <c r="L96" s="79"/>
      <c r="M96" s="107">
        <f t="shared" si="1"/>
        <v>0</v>
      </c>
      <c r="O96" s="525" t="str">
        <f>_xlfn.XLOOKUP(E96,'All Products'!D:D,'All Products'!I:I,FALSE)</f>
        <v>In Stock</v>
      </c>
      <c r="P96" s="525" t="str">
        <f>_xlfn.XLOOKUP(E96,'All Products'!D:D,'All Products'!J:J,FALSE)</f>
        <v>Manufactured</v>
      </c>
      <c r="Q96" s="525" t="str">
        <f>_xlfn.XLOOKUP(F96,'All Products'!E:E,'All Products'!K:K,FALSE)</f>
        <v>810673014057</v>
      </c>
      <c r="R96" s="525" t="str">
        <f>_xlfn.XLOOKUP(E96,'All Products'!D:D,'All Products'!L:L,FALSE)</f>
        <v>-</v>
      </c>
      <c r="S96" s="525" t="str">
        <f>_xlfn.XLOOKUP(E96,'All Products'!D:D,'All Products'!M:M,FALSE)</f>
        <v>10810673014054</v>
      </c>
      <c r="T96" s="530">
        <f>_xlfn.XLOOKUP(E96,'All Products'!D:D,'All Products'!N:N,FALSE)</f>
        <v>1.0880000000000001</v>
      </c>
      <c r="U96" s="530">
        <f>_xlfn.XLOOKUP(E96,'All Products'!D:D,'All Products'!P:P,FALSE)</f>
        <v>21.76</v>
      </c>
      <c r="V96" s="530">
        <f>_xlfn.XLOOKUP(E96,'All Products'!D:D,'All Products'!Q:Q,FALSE)</f>
        <v>1.8803145838984718</v>
      </c>
    </row>
    <row r="97" spans="1:22">
      <c r="A97" s="5" t="str">
        <f>IF(K97&gt;0,COUNT($A$7:A96)+1,"")</f>
        <v/>
      </c>
      <c r="B97" s="34"/>
      <c r="C97" s="50"/>
      <c r="D97" s="512" t="str">
        <f>_xlfn.XLOOKUP(E97,'All Products'!D:D,'All Products'!C:C,FALSE)</f>
        <v>302-3373</v>
      </c>
      <c r="E97" s="106">
        <v>100028932</v>
      </c>
      <c r="F97" s="522" t="str">
        <f>_xlfn.XLOOKUP(E97,'All Products'!D:D,'All Products'!E:E,FALSE)</f>
        <v>4 1/4 BEND STREET DWV</v>
      </c>
      <c r="G97" s="282">
        <f>_xlfn.XLOOKUP(E97,'All Products'!D:D,'All Products'!F:F,FALSE)</f>
        <v>10</v>
      </c>
      <c r="H97" s="533">
        <f>_xlfn.XLOOKUP(E97,'All Products'!D:D,'All Products'!G:G,FALSE)</f>
        <v>240</v>
      </c>
      <c r="I97" s="512">
        <f>_xlfn.XLOOKUP(E97,'All Products'!D:D,'All Products'!H:H,FALSE)</f>
        <v>266.95</v>
      </c>
      <c r="J97" s="216">
        <f>ROUNDUP(I97*Order_Quote!$L$2,2)</f>
        <v>1334.75</v>
      </c>
      <c r="K97" s="123"/>
      <c r="L97" s="79"/>
      <c r="M97" s="107">
        <f t="shared" si="1"/>
        <v>0</v>
      </c>
      <c r="O97" s="525" t="str">
        <f>_xlfn.XLOOKUP(E97,'All Products'!D:D,'All Products'!I:I,FALSE)</f>
        <v>In Stock</v>
      </c>
      <c r="P97" s="525" t="str">
        <f>_xlfn.XLOOKUP(E97,'All Products'!D:D,'All Products'!J:J,FALSE)</f>
        <v>Manufactured</v>
      </c>
      <c r="Q97" s="525" t="str">
        <f>_xlfn.XLOOKUP(F97,'All Products'!E:E,'All Products'!K:K,FALSE)</f>
        <v>810673014064</v>
      </c>
      <c r="R97" s="525" t="str">
        <f>_xlfn.XLOOKUP(E97,'All Products'!D:D,'All Products'!L:L,FALSE)</f>
        <v>-</v>
      </c>
      <c r="S97" s="525" t="str">
        <f>_xlfn.XLOOKUP(E97,'All Products'!D:D,'All Products'!M:M,FALSE)</f>
        <v>10810673014061</v>
      </c>
      <c r="T97" s="530">
        <f>_xlfn.XLOOKUP(E97,'All Products'!D:D,'All Products'!N:N,FALSE)</f>
        <v>2.0289999999999999</v>
      </c>
      <c r="U97" s="530">
        <f>_xlfn.XLOOKUP(E97,'All Products'!D:D,'All Products'!P:P,FALSE)</f>
        <v>20.29</v>
      </c>
      <c r="V97" s="530">
        <f>_xlfn.XLOOKUP(E97,'All Products'!D:D,'All Products'!Q:Q,FALSE)</f>
        <v>1.8803145838984718</v>
      </c>
    </row>
    <row r="98" spans="1:22">
      <c r="A98" s="5" t="str">
        <f>IF(K98&gt;0,COUNT($A$7:A97)+1,"")</f>
        <v/>
      </c>
      <c r="B98" s="23"/>
      <c r="C98" s="51"/>
      <c r="D98" s="512" t="str">
        <f>_xlfn.XLOOKUP(E98,'All Products'!D:D,'All Products'!C:C,FALSE)</f>
        <v>302-3374</v>
      </c>
      <c r="E98" s="106">
        <v>100028933</v>
      </c>
      <c r="F98" s="522" t="str">
        <f>_xlfn.XLOOKUP(E98,'All Products'!D:D,'All Products'!E:E,FALSE)</f>
        <v>6 1/4 BEND STREET DWV</v>
      </c>
      <c r="G98" s="282">
        <f>_xlfn.XLOOKUP(E98,'All Products'!D:D,'All Products'!F:F,FALSE)</f>
        <v>5</v>
      </c>
      <c r="H98" s="533">
        <f>_xlfn.XLOOKUP(E98,'All Products'!D:D,'All Products'!G:G,FALSE)</f>
        <v>60</v>
      </c>
      <c r="I98" s="512">
        <f>_xlfn.XLOOKUP(E98,'All Products'!D:D,'All Products'!H:H,FALSE)</f>
        <v>1193.94</v>
      </c>
      <c r="J98" s="216">
        <f>ROUNDUP(I98*Order_Quote!$L$2,2)</f>
        <v>5969.7</v>
      </c>
      <c r="K98" s="123"/>
      <c r="L98" s="79"/>
      <c r="M98" s="107">
        <f t="shared" si="1"/>
        <v>0</v>
      </c>
      <c r="O98" s="525" t="str">
        <f>_xlfn.XLOOKUP(E98,'All Products'!D:D,'All Products'!I:I,FALSE)</f>
        <v>In Stock</v>
      </c>
      <c r="P98" s="525" t="str">
        <f>_xlfn.XLOOKUP(E98,'All Products'!D:D,'All Products'!J:J,FALSE)</f>
        <v>Manufactured</v>
      </c>
      <c r="Q98" s="525" t="str">
        <f>_xlfn.XLOOKUP(F98,'All Products'!E:E,'All Products'!K:K,FALSE)</f>
        <v>810673015320</v>
      </c>
      <c r="R98" s="525" t="str">
        <f>_xlfn.XLOOKUP(E98,'All Products'!D:D,'All Products'!L:L,FALSE)</f>
        <v>-</v>
      </c>
      <c r="S98" s="525" t="str">
        <f>_xlfn.XLOOKUP(E98,'All Products'!D:D,'All Products'!M:M,FALSE)</f>
        <v>810673015344</v>
      </c>
      <c r="T98" s="530">
        <f>_xlfn.XLOOKUP(E98,'All Products'!D:D,'All Products'!N:N,FALSE)</f>
        <v>4.7229999999999999</v>
      </c>
      <c r="U98" s="530">
        <f>_xlfn.XLOOKUP(E98,'All Products'!D:D,'All Products'!P:P,FALSE)</f>
        <v>23.614999999999998</v>
      </c>
      <c r="V98" s="530">
        <f>_xlfn.XLOOKUP(E98,'All Products'!D:D,'All Products'!Q:Q,FALSE)</f>
        <v>2.7986077527791204</v>
      </c>
    </row>
    <row r="99" spans="1:22" ht="21.75" customHeight="1">
      <c r="A99" s="5" t="str">
        <f>IF(K99&gt;0,COUNT($A$7:A98)+1,"")</f>
        <v/>
      </c>
      <c r="B99" s="26"/>
      <c r="C99" s="49"/>
      <c r="D99" s="512" t="str">
        <f>_xlfn.XLOOKUP(E99,'All Products'!D:D,'All Products'!C:C,FALSE)</f>
        <v>303-3376</v>
      </c>
      <c r="E99" s="106">
        <v>100028934</v>
      </c>
      <c r="F99" s="522" t="str">
        <f>_xlfn.XLOOKUP(E99,'All Products'!D:D,'All Products'!E:E,FALSE)</f>
        <v>3 1/4 BEND W/2" LOW HEEL INLET DWV</v>
      </c>
      <c r="G99" s="282">
        <f>_xlfn.XLOOKUP(E99,'All Products'!D:D,'All Products'!F:F,FALSE)</f>
        <v>25</v>
      </c>
      <c r="H99" s="533">
        <f>_xlfn.XLOOKUP(E99,'All Products'!D:D,'All Products'!G:G,FALSE)</f>
        <v>450</v>
      </c>
      <c r="I99" s="512">
        <f>_xlfn.XLOOKUP(E99,'All Products'!D:D,'All Products'!H:H,FALSE)</f>
        <v>230.5</v>
      </c>
      <c r="J99" s="216">
        <f>ROUNDUP(I99*Order_Quote!$L$2,2)</f>
        <v>1152.5</v>
      </c>
      <c r="K99" s="123"/>
      <c r="L99" s="79"/>
      <c r="M99" s="107">
        <f t="shared" si="1"/>
        <v>0</v>
      </c>
      <c r="O99" s="525" t="str">
        <f>_xlfn.XLOOKUP(E99,'All Products'!D:D,'All Products'!I:I,FALSE)</f>
        <v>In Stock</v>
      </c>
      <c r="P99" s="525" t="str">
        <f>_xlfn.XLOOKUP(E99,'All Products'!D:D,'All Products'!J:J,FALSE)</f>
        <v>Manufactured</v>
      </c>
      <c r="Q99" s="525" t="str">
        <f>_xlfn.XLOOKUP(F99,'All Products'!E:E,'All Products'!K:K,FALSE)</f>
        <v>810673015276</v>
      </c>
      <c r="R99" s="525" t="str">
        <f>_xlfn.XLOOKUP(E99,'All Products'!D:D,'All Products'!L:L,FALSE)</f>
        <v>-</v>
      </c>
      <c r="S99" s="525" t="str">
        <f>_xlfn.XLOOKUP(E99,'All Products'!D:D,'All Products'!M:M,FALSE)</f>
        <v>810673016099</v>
      </c>
      <c r="T99" s="530">
        <f>_xlfn.XLOOKUP(E99,'All Products'!D:D,'All Products'!N:N,FALSE)</f>
        <v>1.1759999999999999</v>
      </c>
      <c r="U99" s="530">
        <f>_xlfn.XLOOKUP(E99,'All Products'!D:D,'All Products'!P:P,FALSE)</f>
        <v>29.4</v>
      </c>
      <c r="V99" s="530">
        <f>_xlfn.XLOOKUP(E99,'All Products'!D:D,'All Products'!Q:Q,FALSE)</f>
        <v>2.361325291407383</v>
      </c>
    </row>
    <row r="100" spans="1:22" ht="21.75" customHeight="1">
      <c r="A100" s="5" t="str">
        <f>IF(K100&gt;0,COUNT($A$7:A99)+1,"")</f>
        <v/>
      </c>
      <c r="B100" s="23"/>
      <c r="C100" s="51"/>
      <c r="D100" s="512" t="str">
        <f>_xlfn.XLOOKUP(E100,'All Products'!D:D,'All Products'!C:C,FALSE)</f>
        <v>303-3377</v>
      </c>
      <c r="E100" s="106">
        <v>300005657</v>
      </c>
      <c r="F100" s="522" t="str">
        <f>_xlfn.XLOOKUP(E100,'All Products'!D:D,'All Products'!E:E,FALSE)</f>
        <v>4 1/4 BEND W/2" LOW HEEL INLET DWV</v>
      </c>
      <c r="G100" s="282">
        <f>_xlfn.XLOOKUP(E100,'All Products'!D:D,'All Products'!F:F,FALSE)</f>
        <v>15</v>
      </c>
      <c r="H100" s="533">
        <f>_xlfn.XLOOKUP(E100,'All Products'!D:D,'All Products'!G:G,FALSE)</f>
        <v>180</v>
      </c>
      <c r="I100" s="512">
        <f>_xlfn.XLOOKUP(E100,'All Products'!D:D,'All Products'!H:H,FALSE)</f>
        <v>984.7</v>
      </c>
      <c r="J100" s="216">
        <f>ROUNDUP(I100*Order_Quote!$L$2,2)</f>
        <v>4923.5</v>
      </c>
      <c r="K100" s="123"/>
      <c r="L100" s="79"/>
      <c r="M100" s="107">
        <f t="shared" si="1"/>
        <v>0</v>
      </c>
      <c r="O100" s="525" t="str">
        <f>_xlfn.XLOOKUP(E100,'All Products'!D:D,'All Products'!I:I,FALSE)</f>
        <v>Within 6 Weeks</v>
      </c>
      <c r="P100" s="525" t="str">
        <f>_xlfn.XLOOKUP(E100,'All Products'!D:D,'All Products'!J:J,FALSE)</f>
        <v>Sourced</v>
      </c>
      <c r="Q100" s="525" t="str">
        <f>_xlfn.XLOOKUP(F100,'All Products'!E:E,'All Products'!K:K,FALSE)</f>
        <v>812361017340</v>
      </c>
      <c r="R100" s="525" t="str">
        <f>_xlfn.XLOOKUP(E100,'All Products'!D:D,'All Products'!L:L,FALSE)</f>
        <v>-</v>
      </c>
      <c r="S100" s="525">
        <f>_xlfn.XLOOKUP(E100,'All Products'!D:D,'All Products'!M:M,FALSE)</f>
        <v>0</v>
      </c>
      <c r="T100" s="530">
        <f>_xlfn.XLOOKUP(E100,'All Products'!D:D,'All Products'!N:N,FALSE)</f>
        <v>1.84</v>
      </c>
      <c r="U100" s="530">
        <f>_xlfn.XLOOKUP(E100,'All Products'!D:D,'All Products'!P:P,FALSE)</f>
        <v>27.6</v>
      </c>
      <c r="V100" s="530" t="str">
        <f>_xlfn.XLOOKUP(E100,'All Products'!D:D,'All Products'!Q:Q,FALSE)</f>
        <v>-</v>
      </c>
    </row>
    <row r="101" spans="1:22">
      <c r="A101" s="5" t="str">
        <f>IF(K101&gt;0,COUNT($A$7:A100)+1,"")</f>
        <v/>
      </c>
      <c r="B101" s="26"/>
      <c r="C101" s="49"/>
      <c r="D101" s="512" t="str">
        <f>_xlfn.XLOOKUP(E101,'All Products'!D:D,'All Products'!C:C,FALSE)</f>
        <v>304-3378</v>
      </c>
      <c r="E101" s="106">
        <v>100028936</v>
      </c>
      <c r="F101" s="522" t="str">
        <f>_xlfn.XLOOKUP(E101,'All Products'!D:D,'All Products'!E:E,FALSE)</f>
        <v>1-1/2 LONG SWEEP 1/4 BEND DWV</v>
      </c>
      <c r="G101" s="282">
        <f>_xlfn.XLOOKUP(E101,'All Products'!D:D,'All Products'!F:F,FALSE)</f>
        <v>50</v>
      </c>
      <c r="H101" s="533">
        <f>_xlfn.XLOOKUP(E101,'All Products'!D:D,'All Products'!G:G,FALSE)</f>
        <v>2250</v>
      </c>
      <c r="I101" s="512">
        <f>_xlfn.XLOOKUP(E101,'All Products'!D:D,'All Products'!H:H,FALSE)</f>
        <v>66.97</v>
      </c>
      <c r="J101" s="216">
        <f>ROUNDUP(I101*Order_Quote!$L$2,2)</f>
        <v>334.85</v>
      </c>
      <c r="K101" s="123"/>
      <c r="L101" s="79"/>
      <c r="M101" s="107">
        <f t="shared" si="1"/>
        <v>0</v>
      </c>
      <c r="O101" s="525" t="str">
        <f>_xlfn.XLOOKUP(E101,'All Products'!D:D,'All Products'!I:I,FALSE)</f>
        <v>Within 3 Weeks</v>
      </c>
      <c r="P101" s="525" t="str">
        <f>_xlfn.XLOOKUP(E101,'All Products'!D:D,'All Products'!J:J,FALSE)</f>
        <v>Manufactured</v>
      </c>
      <c r="Q101" s="525" t="str">
        <f>_xlfn.XLOOKUP(F101,'All Products'!E:E,'All Products'!K:K,FALSE)</f>
        <v>810673013050</v>
      </c>
      <c r="R101" s="525" t="str">
        <f>_xlfn.XLOOKUP(E101,'All Products'!D:D,'All Products'!L:L,FALSE)</f>
        <v>-</v>
      </c>
      <c r="S101" s="525" t="str">
        <f>_xlfn.XLOOKUP(E101,'All Products'!D:D,'All Products'!M:M,FALSE)</f>
        <v>10810673013057</v>
      </c>
      <c r="T101" s="530">
        <f>_xlfn.XLOOKUP(E101,'All Products'!D:D,'All Products'!N:N,FALSE)</f>
        <v>0.3</v>
      </c>
      <c r="U101" s="530">
        <f>_xlfn.XLOOKUP(E101,'All Products'!D:D,'All Products'!P:P,FALSE)</f>
        <v>15</v>
      </c>
      <c r="V101" s="530">
        <f>_xlfn.XLOOKUP(E101,'All Products'!D:D,'All Products'!Q:Q,FALSE)</f>
        <v>0.98955954024750914</v>
      </c>
    </row>
    <row r="102" spans="1:22">
      <c r="A102" s="5" t="str">
        <f>IF(K102&gt;0,COUNT($A$7:A101)+1,"")</f>
        <v/>
      </c>
      <c r="B102" s="34"/>
      <c r="C102" s="50"/>
      <c r="D102" s="512" t="str">
        <f>_xlfn.XLOOKUP(E102,'All Products'!D:D,'All Products'!C:C,FALSE)</f>
        <v>304-3379</v>
      </c>
      <c r="E102" s="106">
        <v>100028937</v>
      </c>
      <c r="F102" s="522" t="str">
        <f>_xlfn.XLOOKUP(E102,'All Products'!D:D,'All Products'!E:E,FALSE)</f>
        <v>2 LONG SWEEP 1/4 BEND DWV</v>
      </c>
      <c r="G102" s="282">
        <f>_xlfn.XLOOKUP(E102,'All Products'!D:D,'All Products'!F:F,FALSE)</f>
        <v>25</v>
      </c>
      <c r="H102" s="533">
        <f>_xlfn.XLOOKUP(E102,'All Products'!D:D,'All Products'!G:G,FALSE)</f>
        <v>800</v>
      </c>
      <c r="I102" s="512">
        <f>_xlfn.XLOOKUP(E102,'All Products'!D:D,'All Products'!H:H,FALSE)</f>
        <v>74.569999999999993</v>
      </c>
      <c r="J102" s="216">
        <f>ROUNDUP(I102*Order_Quote!$L$2,2)</f>
        <v>372.85</v>
      </c>
      <c r="K102" s="123"/>
      <c r="L102" s="79"/>
      <c r="M102" s="107">
        <f t="shared" si="1"/>
        <v>0</v>
      </c>
      <c r="O102" s="525" t="str">
        <f>_xlfn.XLOOKUP(E102,'All Products'!D:D,'All Products'!I:I,FALSE)</f>
        <v>In Stock</v>
      </c>
      <c r="P102" s="525" t="str">
        <f>_xlfn.XLOOKUP(E102,'All Products'!D:D,'All Products'!J:J,FALSE)</f>
        <v>Manufactured</v>
      </c>
      <c r="Q102" s="525" t="str">
        <f>_xlfn.XLOOKUP(F102,'All Products'!E:E,'All Products'!K:K,FALSE)</f>
        <v>810673013067</v>
      </c>
      <c r="R102" s="525" t="str">
        <f>_xlfn.XLOOKUP(E102,'All Products'!D:D,'All Products'!L:L,FALSE)</f>
        <v>-</v>
      </c>
      <c r="S102" s="525" t="str">
        <f>_xlfn.XLOOKUP(E102,'All Products'!D:D,'All Products'!M:M,FALSE)</f>
        <v>10810673013064</v>
      </c>
      <c r="T102" s="530">
        <f>_xlfn.XLOOKUP(E102,'All Products'!D:D,'All Products'!N:N,FALSE)</f>
        <v>0.51</v>
      </c>
      <c r="U102" s="530">
        <f>_xlfn.XLOOKUP(E102,'All Products'!D:D,'All Products'!P:P,FALSE)</f>
        <v>12.75</v>
      </c>
      <c r="V102" s="530">
        <f>_xlfn.XLOOKUP(E102,'All Products'!D:D,'All Products'!Q:Q,FALSE)</f>
        <v>1.3788503419060438</v>
      </c>
    </row>
    <row r="103" spans="1:22">
      <c r="A103" s="5" t="str">
        <f>IF(K103&gt;0,COUNT($A$7:A102)+1,"")</f>
        <v/>
      </c>
      <c r="B103" s="34"/>
      <c r="C103" s="50"/>
      <c r="D103" s="512" t="str">
        <f>_xlfn.XLOOKUP(E103,'All Products'!D:D,'All Products'!C:C,FALSE)</f>
        <v>304-3380</v>
      </c>
      <c r="E103" s="106">
        <v>100028938</v>
      </c>
      <c r="F103" s="522" t="str">
        <f>_xlfn.XLOOKUP(E103,'All Products'!D:D,'All Products'!E:E,FALSE)</f>
        <v>3 LONG SWEEP 1/4 BEND DWV</v>
      </c>
      <c r="G103" s="282">
        <f>_xlfn.XLOOKUP(E103,'All Products'!D:D,'All Products'!F:F,FALSE)</f>
        <v>10</v>
      </c>
      <c r="H103" s="533">
        <f>_xlfn.XLOOKUP(E103,'All Products'!D:D,'All Products'!G:G,FALSE)</f>
        <v>320</v>
      </c>
      <c r="I103" s="512">
        <f>_xlfn.XLOOKUP(E103,'All Products'!D:D,'All Products'!H:H,FALSE)</f>
        <v>171.71</v>
      </c>
      <c r="J103" s="216">
        <f>ROUNDUP(I103*Order_Quote!$L$2,2)</f>
        <v>858.55</v>
      </c>
      <c r="K103" s="123"/>
      <c r="L103" s="79"/>
      <c r="M103" s="107">
        <f t="shared" si="1"/>
        <v>0</v>
      </c>
      <c r="O103" s="525" t="str">
        <f>_xlfn.XLOOKUP(E103,'All Products'!D:D,'All Products'!I:I,FALSE)</f>
        <v>In Stock</v>
      </c>
      <c r="P103" s="525" t="str">
        <f>_xlfn.XLOOKUP(E103,'All Products'!D:D,'All Products'!J:J,FALSE)</f>
        <v>Manufactured</v>
      </c>
      <c r="Q103" s="525" t="str">
        <f>_xlfn.XLOOKUP(F103,'All Products'!E:E,'All Products'!K:K,FALSE)</f>
        <v>810673013968</v>
      </c>
      <c r="R103" s="525" t="str">
        <f>_xlfn.XLOOKUP(E103,'All Products'!D:D,'All Products'!L:L,FALSE)</f>
        <v>-</v>
      </c>
      <c r="S103" s="525" t="str">
        <f>_xlfn.XLOOKUP(E103,'All Products'!D:D,'All Products'!M:M,FALSE)</f>
        <v>10810673013965</v>
      </c>
      <c r="T103" s="530">
        <f>_xlfn.XLOOKUP(E103,'All Products'!D:D,'All Products'!N:N,FALSE)</f>
        <v>1.476</v>
      </c>
      <c r="U103" s="530">
        <f>_xlfn.XLOOKUP(E103,'All Products'!D:D,'All Products'!P:P,FALSE)</f>
        <v>14.76</v>
      </c>
      <c r="V103" s="530">
        <f>_xlfn.XLOOKUP(E103,'All Products'!D:D,'All Products'!Q:Q,FALSE)</f>
        <v>1.3788503419060438</v>
      </c>
    </row>
    <row r="104" spans="1:22">
      <c r="A104" s="5" t="str">
        <f>IF(K104&gt;0,COUNT($A$7:A103)+1,"")</f>
        <v/>
      </c>
      <c r="B104" s="34"/>
      <c r="C104" s="50"/>
      <c r="D104" s="512" t="str">
        <f>_xlfn.XLOOKUP(E104,'All Products'!D:D,'All Products'!C:C,FALSE)</f>
        <v>304-3381</v>
      </c>
      <c r="E104" s="106">
        <v>100028939</v>
      </c>
      <c r="F104" s="522" t="str">
        <f>_xlfn.XLOOKUP(E104,'All Products'!D:D,'All Products'!E:E,FALSE)</f>
        <v>4 LONG SWEEP 1/4 BEND DWV</v>
      </c>
      <c r="G104" s="282">
        <f>_xlfn.XLOOKUP(E104,'All Products'!D:D,'All Products'!F:F,FALSE)</f>
        <v>5</v>
      </c>
      <c r="H104" s="533">
        <f>_xlfn.XLOOKUP(E104,'All Products'!D:D,'All Products'!G:G,FALSE)</f>
        <v>160</v>
      </c>
      <c r="I104" s="512">
        <f>_xlfn.XLOOKUP(E104,'All Products'!D:D,'All Products'!H:H,FALSE)</f>
        <v>324.70999999999998</v>
      </c>
      <c r="J104" s="216">
        <f>ROUNDUP(I104*Order_Quote!$L$2,2)</f>
        <v>1623.55</v>
      </c>
      <c r="K104" s="123"/>
      <c r="L104" s="79"/>
      <c r="M104" s="107">
        <f t="shared" si="1"/>
        <v>0</v>
      </c>
      <c r="O104" s="525" t="str">
        <f>_xlfn.XLOOKUP(E104,'All Products'!D:D,'All Products'!I:I,FALSE)</f>
        <v>In Stock</v>
      </c>
      <c r="P104" s="525" t="str">
        <f>_xlfn.XLOOKUP(E104,'All Products'!D:D,'All Products'!J:J,FALSE)</f>
        <v>Manufactured</v>
      </c>
      <c r="Q104" s="525" t="str">
        <f>_xlfn.XLOOKUP(F104,'All Products'!E:E,'All Products'!K:K,FALSE)</f>
        <v>810673013975</v>
      </c>
      <c r="R104" s="525" t="str">
        <f>_xlfn.XLOOKUP(E104,'All Products'!D:D,'All Products'!L:L,FALSE)</f>
        <v>-</v>
      </c>
      <c r="S104" s="525" t="str">
        <f>_xlfn.XLOOKUP(E104,'All Products'!D:D,'All Products'!M:M,FALSE)</f>
        <v>10810673013972</v>
      </c>
      <c r="T104" s="530">
        <f>_xlfn.XLOOKUP(E104,'All Products'!D:D,'All Products'!N:N,FALSE)</f>
        <v>2.6579999999999999</v>
      </c>
      <c r="U104" s="530">
        <f>_xlfn.XLOOKUP(E104,'All Products'!D:D,'All Products'!P:P,FALSE)</f>
        <v>13.29</v>
      </c>
      <c r="V104" s="530">
        <f>_xlfn.XLOOKUP(E104,'All Products'!D:D,'All Products'!Q:Q,FALSE)</f>
        <v>1.3788503419060438</v>
      </c>
    </row>
    <row r="105" spans="1:22">
      <c r="A105" s="5" t="str">
        <f>IF(K105&gt;0,COUNT($A$7:A104)+1,"")</f>
        <v/>
      </c>
      <c r="B105" s="260"/>
      <c r="C105" s="16"/>
      <c r="D105" s="512" t="str">
        <f>_xlfn.XLOOKUP(E105,'All Products'!D:D,'All Products'!C:C,FALSE)</f>
        <v>304-3382</v>
      </c>
      <c r="E105" s="106">
        <v>100028940</v>
      </c>
      <c r="F105" s="522" t="str">
        <f>_xlfn.XLOOKUP(E105,'All Products'!D:D,'All Products'!E:E,FALSE)</f>
        <v>6 LONG SWEEP 1/4 BEND DWV</v>
      </c>
      <c r="G105" s="282">
        <f>_xlfn.XLOOKUP(E105,'All Products'!D:D,'All Products'!F:F,FALSE)</f>
        <v>3</v>
      </c>
      <c r="H105" s="533">
        <f>_xlfn.XLOOKUP(E105,'All Products'!D:D,'All Products'!G:G,FALSE)</f>
        <v>36</v>
      </c>
      <c r="I105" s="512">
        <f>_xlfn.XLOOKUP(E105,'All Products'!D:D,'All Products'!H:H,FALSE)</f>
        <v>1294.74</v>
      </c>
      <c r="J105" s="216">
        <f>ROUNDUP(I105*Order_Quote!$L$2,2)</f>
        <v>6473.7</v>
      </c>
      <c r="K105" s="123"/>
      <c r="L105" s="79"/>
      <c r="M105" s="107">
        <f t="shared" si="1"/>
        <v>0</v>
      </c>
      <c r="O105" s="525" t="str">
        <f>_xlfn.XLOOKUP(E105,'All Products'!D:D,'All Products'!I:I,FALSE)</f>
        <v>In Stock</v>
      </c>
      <c r="P105" s="525" t="str">
        <f>_xlfn.XLOOKUP(E105,'All Products'!D:D,'All Products'!J:J,FALSE)</f>
        <v>Manufactured</v>
      </c>
      <c r="Q105" s="525" t="str">
        <f>_xlfn.XLOOKUP(F105,'All Products'!E:E,'All Products'!K:K,FALSE)</f>
        <v>812361017258</v>
      </c>
      <c r="R105" s="525" t="str">
        <f>_xlfn.XLOOKUP(E105,'All Products'!D:D,'All Products'!L:L,FALSE)</f>
        <v>-</v>
      </c>
      <c r="S105" s="525" t="str">
        <f>_xlfn.XLOOKUP(E105,'All Products'!D:D,'All Products'!M:M,FALSE)</f>
        <v>810116840168</v>
      </c>
      <c r="T105" s="530">
        <f>_xlfn.XLOOKUP(E105,'All Products'!D:D,'All Products'!N:N,FALSE)</f>
        <v>7.2</v>
      </c>
      <c r="U105" s="530">
        <f>_xlfn.XLOOKUP(E105,'All Products'!D:D,'All Products'!P:P,FALSE)</f>
        <v>21.6</v>
      </c>
      <c r="V105" s="530">
        <f>_xlfn.XLOOKUP(E105,'All Products'!D:D,'All Products'!Q:Q,FALSE)</f>
        <v>3.6731726755225957</v>
      </c>
    </row>
    <row r="106" spans="1:22">
      <c r="A106" s="5" t="str">
        <f>IF(K106&gt;0,COUNT($A$7:A105)+1,"")</f>
        <v/>
      </c>
      <c r="B106" s="26"/>
      <c r="C106" s="49"/>
      <c r="D106" s="512" t="str">
        <f>_xlfn.XLOOKUP(E106,'All Products'!D:D,'All Products'!C:C,FALSE)</f>
        <v>309-3386</v>
      </c>
      <c r="E106" s="106">
        <v>300005658</v>
      </c>
      <c r="F106" s="522" t="str">
        <f>_xlfn.XLOOKUP(E106,'All Products'!D:D,'All Products'!E:E,FALSE)</f>
        <v>1-1/2 LONG SWP 1/4 BEND STREET DWV</v>
      </c>
      <c r="G106" s="282">
        <f>_xlfn.XLOOKUP(E106,'All Products'!D:D,'All Products'!F:F,FALSE)</f>
        <v>10</v>
      </c>
      <c r="H106" s="533">
        <f>_xlfn.XLOOKUP(E106,'All Products'!D:D,'All Products'!G:G,FALSE)</f>
        <v>2250</v>
      </c>
      <c r="I106" s="512">
        <f>_xlfn.XLOOKUP(E106,'All Products'!D:D,'All Products'!H:H,FALSE)</f>
        <v>96.74</v>
      </c>
      <c r="J106" s="216">
        <f>ROUNDUP(I106*Order_Quote!$L$2,2)</f>
        <v>483.7</v>
      </c>
      <c r="K106" s="123"/>
      <c r="L106" s="79"/>
      <c r="M106" s="107">
        <f t="shared" si="1"/>
        <v>0</v>
      </c>
      <c r="O106" s="525" t="str">
        <f>_xlfn.XLOOKUP(E106,'All Products'!D:D,'All Products'!I:I,FALSE)</f>
        <v>Within 6 Weeks</v>
      </c>
      <c r="P106" s="525" t="str">
        <f>_xlfn.XLOOKUP(E106,'All Products'!D:D,'All Products'!J:J,FALSE)</f>
        <v>Sourced</v>
      </c>
      <c r="Q106" s="525" t="str">
        <f>_xlfn.XLOOKUP(F106,'All Products'!E:E,'All Products'!K:K,FALSE)</f>
        <v>810673014071</v>
      </c>
      <c r="R106" s="525" t="str">
        <f>_xlfn.XLOOKUP(E106,'All Products'!D:D,'All Products'!L:L,FALSE)</f>
        <v>-</v>
      </c>
      <c r="S106" s="525">
        <f>_xlfn.XLOOKUP(E106,'All Products'!D:D,'All Products'!M:M,FALSE)</f>
        <v>0</v>
      </c>
      <c r="T106" s="530">
        <f>_xlfn.XLOOKUP(E106,'All Products'!D:D,'All Products'!N:N,FALSE)</f>
        <v>0.27</v>
      </c>
      <c r="U106" s="530">
        <f>_xlfn.XLOOKUP(E106,'All Products'!D:D,'All Products'!P:P,FALSE)</f>
        <v>2.7</v>
      </c>
      <c r="V106" s="530" t="str">
        <f>_xlfn.XLOOKUP(E106,'All Products'!D:D,'All Products'!Q:Q,FALSE)</f>
        <v>-</v>
      </c>
    </row>
    <row r="107" spans="1:22">
      <c r="A107" s="5" t="str">
        <f>IF(K107&gt;0,COUNT($A$7:A106)+1,"")</f>
        <v/>
      </c>
      <c r="B107" s="34"/>
      <c r="C107" s="50"/>
      <c r="D107" s="512" t="str">
        <f>_xlfn.XLOOKUP(E107,'All Products'!D:D,'All Products'!C:C,FALSE)</f>
        <v>309-3387</v>
      </c>
      <c r="E107" s="106">
        <v>100028942</v>
      </c>
      <c r="F107" s="522" t="str">
        <f>_xlfn.XLOOKUP(E107,'All Products'!D:D,'All Products'!E:E,FALSE)</f>
        <v>2 LONG SWEEP 1/4 BEND STREET DWV</v>
      </c>
      <c r="G107" s="282">
        <f>_xlfn.XLOOKUP(E107,'All Products'!D:D,'All Products'!F:F,FALSE)</f>
        <v>25</v>
      </c>
      <c r="H107" s="533">
        <f>_xlfn.XLOOKUP(E107,'All Products'!D:D,'All Products'!G:G,FALSE)</f>
        <v>1125</v>
      </c>
      <c r="I107" s="512">
        <f>_xlfn.XLOOKUP(E107,'All Products'!D:D,'All Products'!H:H,FALSE)</f>
        <v>122.9</v>
      </c>
      <c r="J107" s="216">
        <f>ROUNDUP(I107*Order_Quote!$L$2,2)</f>
        <v>614.5</v>
      </c>
      <c r="K107" s="123"/>
      <c r="L107" s="79"/>
      <c r="M107" s="107">
        <f t="shared" si="1"/>
        <v>0</v>
      </c>
      <c r="O107" s="525" t="str">
        <f>_xlfn.XLOOKUP(E107,'All Products'!D:D,'All Products'!I:I,FALSE)</f>
        <v>In Stock</v>
      </c>
      <c r="P107" s="525" t="str">
        <f>_xlfn.XLOOKUP(E107,'All Products'!D:D,'All Products'!J:J,FALSE)</f>
        <v>Manufactured</v>
      </c>
      <c r="Q107" s="525" t="str">
        <f>_xlfn.XLOOKUP(F107,'All Products'!E:E,'All Products'!K:K,FALSE)</f>
        <v>810673014088</v>
      </c>
      <c r="R107" s="525" t="str">
        <f>_xlfn.XLOOKUP(E107,'All Products'!D:D,'All Products'!L:L,FALSE)</f>
        <v>-</v>
      </c>
      <c r="S107" s="525" t="str">
        <f>_xlfn.XLOOKUP(E107,'All Products'!D:D,'All Products'!M:M,FALSE)</f>
        <v>810673012145</v>
      </c>
      <c r="T107" s="530">
        <f>_xlfn.XLOOKUP(E107,'All Products'!D:D,'All Products'!N:N,FALSE)</f>
        <v>0.44</v>
      </c>
      <c r="U107" s="530">
        <f>_xlfn.XLOOKUP(E107,'All Products'!D:D,'All Products'!P:P,FALSE)</f>
        <v>11</v>
      </c>
      <c r="V107" s="530">
        <f>_xlfn.XLOOKUP(E107,'All Products'!D:D,'All Products'!Q:Q,FALSE)</f>
        <v>0.98955954024750914</v>
      </c>
    </row>
    <row r="108" spans="1:22">
      <c r="A108" s="5" t="str">
        <f>IF(K108&gt;0,COUNT($A$7:A107)+1,"")</f>
        <v/>
      </c>
      <c r="B108" s="34"/>
      <c r="C108" s="50"/>
      <c r="D108" s="512" t="str">
        <f>_xlfn.XLOOKUP(E108,'All Products'!D:D,'All Products'!C:C,FALSE)</f>
        <v>309-3388</v>
      </c>
      <c r="E108" s="106">
        <v>100028943</v>
      </c>
      <c r="F108" s="522" t="str">
        <f>_xlfn.XLOOKUP(E108,'All Products'!D:D,'All Products'!E:E,FALSE)</f>
        <v>3 LONG SWEEP 1/4 BEND STREET DWV</v>
      </c>
      <c r="G108" s="282">
        <f>_xlfn.XLOOKUP(E108,'All Products'!D:D,'All Products'!F:F,FALSE)</f>
        <v>20</v>
      </c>
      <c r="H108" s="533">
        <f>_xlfn.XLOOKUP(E108,'All Products'!D:D,'All Products'!G:G,FALSE)</f>
        <v>360</v>
      </c>
      <c r="I108" s="512">
        <f>_xlfn.XLOOKUP(E108,'All Products'!D:D,'All Products'!H:H,FALSE)</f>
        <v>305.94</v>
      </c>
      <c r="J108" s="216">
        <f>ROUNDUP(I108*Order_Quote!$L$2,2)</f>
        <v>1529.7</v>
      </c>
      <c r="K108" s="123"/>
      <c r="L108" s="79"/>
      <c r="M108" s="107">
        <f t="shared" si="1"/>
        <v>0</v>
      </c>
      <c r="O108" s="525" t="str">
        <f>_xlfn.XLOOKUP(E108,'All Products'!D:D,'All Products'!I:I,FALSE)</f>
        <v>In Stock</v>
      </c>
      <c r="P108" s="525" t="str">
        <f>_xlfn.XLOOKUP(E108,'All Products'!D:D,'All Products'!J:J,FALSE)</f>
        <v>Manufactured</v>
      </c>
      <c r="Q108" s="525" t="str">
        <f>_xlfn.XLOOKUP(F108,'All Products'!E:E,'All Products'!K:K,FALSE)</f>
        <v>810673014095</v>
      </c>
      <c r="R108" s="525" t="str">
        <f>_xlfn.XLOOKUP(E108,'All Products'!D:D,'All Products'!L:L,FALSE)</f>
        <v>-</v>
      </c>
      <c r="S108" s="525" t="str">
        <f>_xlfn.XLOOKUP(E108,'All Products'!D:D,'All Products'!M:M,FALSE)</f>
        <v>810673012152</v>
      </c>
      <c r="T108" s="530">
        <f>_xlfn.XLOOKUP(E108,'All Products'!D:D,'All Products'!N:N,FALSE)</f>
        <v>1.2549999999999999</v>
      </c>
      <c r="U108" s="530">
        <f>_xlfn.XLOOKUP(E108,'All Products'!D:D,'All Products'!P:P,FALSE)</f>
        <v>25.099999999999998</v>
      </c>
      <c r="V108" s="530">
        <f>_xlfn.XLOOKUP(E108,'All Products'!D:D,'All Products'!Q:Q,FALSE)</f>
        <v>2.361325291407383</v>
      </c>
    </row>
    <row r="109" spans="1:22">
      <c r="A109" s="5" t="str">
        <f>IF(K109&gt;0,COUNT($A$7:A108)+1,"")</f>
        <v/>
      </c>
      <c r="B109" s="23"/>
      <c r="C109" s="51"/>
      <c r="D109" s="512" t="str">
        <f>_xlfn.XLOOKUP(E109,'All Products'!D:D,'All Products'!C:C,FALSE)</f>
        <v>309-3389</v>
      </c>
      <c r="E109" s="106">
        <v>100028944</v>
      </c>
      <c r="F109" s="522" t="str">
        <f>_xlfn.XLOOKUP(E109,'All Products'!D:D,'All Products'!E:E,FALSE)</f>
        <v>4 LONG SWEEP 1/4 BEND STREET DWV</v>
      </c>
      <c r="G109" s="282">
        <f>_xlfn.XLOOKUP(E109,'All Products'!D:D,'All Products'!F:F,FALSE)</f>
        <v>5</v>
      </c>
      <c r="H109" s="533">
        <f>_xlfn.XLOOKUP(E109,'All Products'!D:D,'All Products'!G:G,FALSE)</f>
        <v>160</v>
      </c>
      <c r="I109" s="512">
        <f>_xlfn.XLOOKUP(E109,'All Products'!D:D,'All Products'!H:H,FALSE)</f>
        <v>471.25</v>
      </c>
      <c r="J109" s="216">
        <f>ROUNDUP(I109*Order_Quote!$L$2,2)</f>
        <v>2356.25</v>
      </c>
      <c r="K109" s="123"/>
      <c r="L109" s="79"/>
      <c r="M109" s="107">
        <f t="shared" si="1"/>
        <v>0</v>
      </c>
      <c r="O109" s="525" t="str">
        <f>_xlfn.XLOOKUP(E109,'All Products'!D:D,'All Products'!I:I,FALSE)</f>
        <v>Within 3 Weeks</v>
      </c>
      <c r="P109" s="525" t="str">
        <f>_xlfn.XLOOKUP(E109,'All Products'!D:D,'All Products'!J:J,FALSE)</f>
        <v>Manufactured</v>
      </c>
      <c r="Q109" s="525" t="str">
        <f>_xlfn.XLOOKUP(F109,'All Products'!E:E,'All Products'!K:K,FALSE)</f>
        <v>810673014101</v>
      </c>
      <c r="R109" s="525" t="str">
        <f>_xlfn.XLOOKUP(E109,'All Products'!D:D,'All Products'!L:L,FALSE)</f>
        <v>-</v>
      </c>
      <c r="S109" s="525" t="str">
        <f>_xlfn.XLOOKUP(E109,'All Products'!D:D,'All Products'!M:M,FALSE)</f>
        <v>810673012169</v>
      </c>
      <c r="T109" s="530">
        <f>_xlfn.XLOOKUP(E109,'All Products'!D:D,'All Products'!N:N,FALSE)</f>
        <v>2.52</v>
      </c>
      <c r="U109" s="530">
        <f>_xlfn.XLOOKUP(E109,'All Products'!D:D,'All Products'!P:P,FALSE)</f>
        <v>12.6</v>
      </c>
      <c r="V109" s="530">
        <f>_xlfn.XLOOKUP(E109,'All Products'!D:D,'All Products'!Q:Q,FALSE)</f>
        <v>1.3788503419060438</v>
      </c>
    </row>
    <row r="110" spans="1:22">
      <c r="A110" s="5" t="str">
        <f>IF(K110&gt;0,COUNT($A$7:A109)+1,"")</f>
        <v/>
      </c>
      <c r="B110" s="26"/>
      <c r="C110" s="49"/>
      <c r="D110" s="512" t="str">
        <f>_xlfn.XLOOKUP(E110,'All Products'!D:D,'All Products'!C:C,FALSE)</f>
        <v>319-3392</v>
      </c>
      <c r="E110" s="106">
        <v>100028947</v>
      </c>
      <c r="F110" s="522" t="str">
        <f>_xlfn.XLOOKUP(E110,'All Products'!D:D,'All Products'!E:E,FALSE)</f>
        <v>1-1/2 1/6 BEND DWV</v>
      </c>
      <c r="G110" s="282">
        <f>_xlfn.XLOOKUP(E110,'All Products'!D:D,'All Products'!F:F,FALSE)</f>
        <v>40</v>
      </c>
      <c r="H110" s="533">
        <f>_xlfn.XLOOKUP(E110,'All Products'!D:D,'All Products'!G:G,FALSE)</f>
        <v>2520</v>
      </c>
      <c r="I110" s="512">
        <f>_xlfn.XLOOKUP(E110,'All Products'!D:D,'All Products'!H:H,FALSE)</f>
        <v>67.260000000000005</v>
      </c>
      <c r="J110" s="216">
        <f>ROUNDUP(I110*Order_Quote!$L$2,2)</f>
        <v>336.3</v>
      </c>
      <c r="K110" s="123"/>
      <c r="L110" s="79"/>
      <c r="M110" s="107">
        <f t="shared" si="1"/>
        <v>0</v>
      </c>
      <c r="O110" s="525" t="str">
        <f>_xlfn.XLOOKUP(E110,'All Products'!D:D,'All Products'!I:I,FALSE)</f>
        <v>In Stock</v>
      </c>
      <c r="P110" s="525" t="str">
        <f>_xlfn.XLOOKUP(E110,'All Products'!D:D,'All Products'!J:J,FALSE)</f>
        <v>Manufactured</v>
      </c>
      <c r="Q110" s="525" t="str">
        <f>_xlfn.XLOOKUP(F110,'All Products'!E:E,'All Products'!K:K,FALSE)</f>
        <v>812361012390</v>
      </c>
      <c r="R110" s="525" t="str">
        <f>_xlfn.XLOOKUP(E110,'All Products'!D:D,'All Products'!L:L,FALSE)</f>
        <v>-</v>
      </c>
      <c r="S110" s="525" t="str">
        <f>_xlfn.XLOOKUP(E110,'All Products'!D:D,'All Products'!M:M,FALSE)</f>
        <v>812361012406</v>
      </c>
      <c r="T110" s="530">
        <f>_xlfn.XLOOKUP(E110,'All Products'!D:D,'All Products'!N:N,FALSE)</f>
        <v>0.21199999999999999</v>
      </c>
      <c r="U110" s="530">
        <f>_xlfn.XLOOKUP(E110,'All Products'!D:D,'All Products'!P:P,FALSE)</f>
        <v>8.48</v>
      </c>
      <c r="V110" s="530">
        <f>_xlfn.XLOOKUP(E110,'All Products'!D:D,'All Products'!Q:Q,FALSE)</f>
        <v>0.66940792428507967</v>
      </c>
    </row>
    <row r="111" spans="1:22">
      <c r="A111" s="5" t="str">
        <f>IF(K111&gt;0,COUNT($A$7:A110)+1,"")</f>
        <v/>
      </c>
      <c r="B111" s="34"/>
      <c r="C111" s="50"/>
      <c r="D111" s="512" t="str">
        <f>_xlfn.XLOOKUP(E111,'All Products'!D:D,'All Products'!C:C,FALSE)</f>
        <v>319-3393</v>
      </c>
      <c r="E111" s="106">
        <v>100028948</v>
      </c>
      <c r="F111" s="522" t="str">
        <f>_xlfn.XLOOKUP(E111,'All Products'!D:D,'All Products'!E:E,FALSE)</f>
        <v>2 1/6 BEND DWV</v>
      </c>
      <c r="G111" s="282">
        <f>_xlfn.XLOOKUP(E111,'All Products'!D:D,'All Products'!F:F,FALSE)</f>
        <v>25</v>
      </c>
      <c r="H111" s="533">
        <f>_xlfn.XLOOKUP(E111,'All Products'!D:D,'All Products'!G:G,FALSE)</f>
        <v>1575</v>
      </c>
      <c r="I111" s="512">
        <f>_xlfn.XLOOKUP(E111,'All Products'!D:D,'All Products'!H:H,FALSE)</f>
        <v>78.209999999999994</v>
      </c>
      <c r="J111" s="216">
        <f>ROUNDUP(I111*Order_Quote!$L$2,2)</f>
        <v>391.05</v>
      </c>
      <c r="K111" s="123"/>
      <c r="L111" s="79"/>
      <c r="M111" s="107">
        <f t="shared" si="1"/>
        <v>0</v>
      </c>
      <c r="O111" s="525" t="str">
        <f>_xlfn.XLOOKUP(E111,'All Products'!D:D,'All Products'!I:I,FALSE)</f>
        <v>Within 3 Weeks</v>
      </c>
      <c r="P111" s="525" t="str">
        <f>_xlfn.XLOOKUP(E111,'All Products'!D:D,'All Products'!J:J,FALSE)</f>
        <v>Manufactured</v>
      </c>
      <c r="Q111" s="525" t="str">
        <f>_xlfn.XLOOKUP(F111,'All Products'!E:E,'All Products'!K:K,FALSE)</f>
        <v>812361012413</v>
      </c>
      <c r="R111" s="525" t="str">
        <f>_xlfn.XLOOKUP(E111,'All Products'!D:D,'All Products'!L:L,FALSE)</f>
        <v>-</v>
      </c>
      <c r="S111" s="525" t="str">
        <f>_xlfn.XLOOKUP(E111,'All Products'!D:D,'All Products'!M:M,FALSE)</f>
        <v>812361012420</v>
      </c>
      <c r="T111" s="530">
        <f>_xlfn.XLOOKUP(E111,'All Products'!D:D,'All Products'!N:N,FALSE)</f>
        <v>0.309</v>
      </c>
      <c r="U111" s="530">
        <f>_xlfn.XLOOKUP(E111,'All Products'!D:D,'All Products'!P:P,FALSE)</f>
        <v>7.7249999999999996</v>
      </c>
      <c r="V111" s="530">
        <f>_xlfn.XLOOKUP(E111,'All Products'!D:D,'All Products'!Q:Q,FALSE)</f>
        <v>0.66940792428507967</v>
      </c>
    </row>
    <row r="112" spans="1:22">
      <c r="A112" s="5" t="str">
        <f>IF(K112&gt;0,COUNT($A$7:A111)+1,"")</f>
        <v/>
      </c>
      <c r="B112" s="34"/>
      <c r="C112" s="50"/>
      <c r="D112" s="512" t="str">
        <f>_xlfn.XLOOKUP(E112,'All Products'!D:D,'All Products'!C:C,FALSE)</f>
        <v>319-3394</v>
      </c>
      <c r="E112" s="106">
        <v>100028949</v>
      </c>
      <c r="F112" s="522" t="str">
        <f>_xlfn.XLOOKUP(E112,'All Products'!D:D,'All Products'!E:E,FALSE)</f>
        <v>3 1/6 BEND DWV</v>
      </c>
      <c r="G112" s="282">
        <f>_xlfn.XLOOKUP(E112,'All Products'!D:D,'All Products'!F:F,FALSE)</f>
        <v>20</v>
      </c>
      <c r="H112" s="533">
        <f>_xlfn.XLOOKUP(E112,'All Products'!D:D,'All Products'!G:G,FALSE)</f>
        <v>640</v>
      </c>
      <c r="I112" s="512">
        <f>_xlfn.XLOOKUP(E112,'All Products'!D:D,'All Products'!H:H,FALSE)</f>
        <v>288.89999999999998</v>
      </c>
      <c r="J112" s="216">
        <f>ROUNDUP(I112*Order_Quote!$L$2,2)</f>
        <v>1444.5</v>
      </c>
      <c r="K112" s="123"/>
      <c r="L112" s="79"/>
      <c r="M112" s="107">
        <f t="shared" si="1"/>
        <v>0</v>
      </c>
      <c r="O112" s="525" t="str">
        <f>_xlfn.XLOOKUP(E112,'All Products'!D:D,'All Products'!I:I,FALSE)</f>
        <v>In Stock</v>
      </c>
      <c r="P112" s="525" t="str">
        <f>_xlfn.XLOOKUP(E112,'All Products'!D:D,'All Products'!J:J,FALSE)</f>
        <v>Manufactured</v>
      </c>
      <c r="Q112" s="525" t="str">
        <f>_xlfn.XLOOKUP(F112,'All Products'!E:E,'All Products'!K:K,FALSE)</f>
        <v>812361012437</v>
      </c>
      <c r="R112" s="525" t="str">
        <f>_xlfn.XLOOKUP(E112,'All Products'!D:D,'All Products'!L:L,FALSE)</f>
        <v>-</v>
      </c>
      <c r="S112" s="525" t="str">
        <f>_xlfn.XLOOKUP(E112,'All Products'!D:D,'All Products'!M:M,FALSE)</f>
        <v>812361012444</v>
      </c>
      <c r="T112" s="530">
        <f>_xlfn.XLOOKUP(E112,'All Products'!D:D,'All Products'!N:N,FALSE)</f>
        <v>0.93500000000000005</v>
      </c>
      <c r="U112" s="530">
        <f>_xlfn.XLOOKUP(E112,'All Products'!D:D,'All Products'!P:P,FALSE)</f>
        <v>18.700000000000003</v>
      </c>
      <c r="V112" s="530">
        <f>_xlfn.XLOOKUP(E112,'All Products'!D:D,'All Products'!Q:Q,FALSE)</f>
        <v>1.3788503419060438</v>
      </c>
    </row>
    <row r="113" spans="1:22">
      <c r="A113" s="5" t="str">
        <f>IF(K113&gt;0,COUNT($A$7:A112)+1,"")</f>
        <v/>
      </c>
      <c r="B113" s="23"/>
      <c r="C113" s="51"/>
      <c r="D113" s="512" t="str">
        <f>_xlfn.XLOOKUP(E113,'All Products'!D:D,'All Products'!C:C,FALSE)</f>
        <v>319-3395</v>
      </c>
      <c r="E113" s="106">
        <v>100028950</v>
      </c>
      <c r="F113" s="522" t="str">
        <f>_xlfn.XLOOKUP(E113,'All Products'!D:D,'All Products'!E:E,FALSE)</f>
        <v>4 1/6 BEND DWV</v>
      </c>
      <c r="G113" s="282">
        <f>_xlfn.XLOOKUP(E113,'All Products'!D:D,'All Products'!F:F,FALSE)</f>
        <v>10</v>
      </c>
      <c r="H113" s="533">
        <f>_xlfn.XLOOKUP(E113,'All Products'!D:D,'All Products'!G:G,FALSE)</f>
        <v>320</v>
      </c>
      <c r="I113" s="512">
        <f>_xlfn.XLOOKUP(E113,'All Products'!D:D,'All Products'!H:H,FALSE)</f>
        <v>385.06</v>
      </c>
      <c r="J113" s="216">
        <f>ROUNDUP(I113*Order_Quote!$L$2,2)</f>
        <v>1925.3</v>
      </c>
      <c r="K113" s="123"/>
      <c r="L113" s="79"/>
      <c r="M113" s="107">
        <f t="shared" si="1"/>
        <v>0</v>
      </c>
      <c r="O113" s="525" t="str">
        <f>_xlfn.XLOOKUP(E113,'All Products'!D:D,'All Products'!I:I,FALSE)</f>
        <v>In Stock</v>
      </c>
      <c r="P113" s="525" t="str">
        <f>_xlfn.XLOOKUP(E113,'All Products'!D:D,'All Products'!J:J,FALSE)</f>
        <v>Manufactured</v>
      </c>
      <c r="Q113" s="525" t="str">
        <f>_xlfn.XLOOKUP(F113,'All Products'!E:E,'All Products'!K:K,FALSE)</f>
        <v>812361012451</v>
      </c>
      <c r="R113" s="525" t="str">
        <f>_xlfn.XLOOKUP(E113,'All Products'!D:D,'All Products'!L:L,FALSE)</f>
        <v>-</v>
      </c>
      <c r="S113" s="525" t="str">
        <f>_xlfn.XLOOKUP(E113,'All Products'!D:D,'All Products'!M:M,FALSE)</f>
        <v>812361012468</v>
      </c>
      <c r="T113" s="530">
        <f>_xlfn.XLOOKUP(E113,'All Products'!D:D,'All Products'!N:N,FALSE)</f>
        <v>1.66</v>
      </c>
      <c r="U113" s="530">
        <f>_xlfn.XLOOKUP(E113,'All Products'!D:D,'All Products'!P:P,FALSE)</f>
        <v>16.599999999999998</v>
      </c>
      <c r="V113" s="530">
        <f>_xlfn.XLOOKUP(E113,'All Products'!D:D,'All Products'!Q:Q,FALSE)</f>
        <v>1.3788503419060438</v>
      </c>
    </row>
    <row r="114" spans="1:22">
      <c r="A114" s="5" t="str">
        <f>IF(K114&gt;0,COUNT($A$7:A113)+1,"")</f>
        <v/>
      </c>
      <c r="B114" s="26"/>
      <c r="C114" s="49"/>
      <c r="D114" s="512" t="str">
        <f>_xlfn.XLOOKUP(E114,'All Products'!D:D,'All Products'!C:C,FALSE)</f>
        <v>320-3396</v>
      </c>
      <c r="E114" s="106">
        <v>300005659</v>
      </c>
      <c r="F114" s="522" t="str">
        <f>_xlfn.XLOOKUP(E114,'All Products'!D:D,'All Products'!E:E,FALSE)</f>
        <v>1-1/2 1/6 BEND STREET DWV</v>
      </c>
      <c r="G114" s="282">
        <f>_xlfn.XLOOKUP(E114,'All Products'!D:D,'All Products'!F:F,FALSE)</f>
        <v>40</v>
      </c>
      <c r="H114" s="533">
        <f>_xlfn.XLOOKUP(E114,'All Products'!D:D,'All Products'!G:G,FALSE)</f>
        <v>3200</v>
      </c>
      <c r="I114" s="512">
        <f>_xlfn.XLOOKUP(E114,'All Products'!D:D,'All Products'!H:H,FALSE)</f>
        <v>147.13999999999999</v>
      </c>
      <c r="J114" s="216">
        <f>ROUNDUP(I114*Order_Quote!$L$2,2)</f>
        <v>735.7</v>
      </c>
      <c r="K114" s="123"/>
      <c r="L114" s="79"/>
      <c r="M114" s="107">
        <f t="shared" si="1"/>
        <v>0</v>
      </c>
      <c r="O114" s="525" t="str">
        <f>_xlfn.XLOOKUP(E114,'All Products'!D:D,'All Products'!I:I,FALSE)</f>
        <v>Within 6 Weeks</v>
      </c>
      <c r="P114" s="525" t="str">
        <f>_xlfn.XLOOKUP(E114,'All Products'!D:D,'All Products'!J:J,FALSE)</f>
        <v>Sourced</v>
      </c>
      <c r="Q114" s="525" t="str">
        <f>_xlfn.XLOOKUP(F114,'All Products'!E:E,'All Products'!K:K,FALSE)</f>
        <v>812361012574</v>
      </c>
      <c r="R114" s="525" t="str">
        <f>_xlfn.XLOOKUP(E114,'All Products'!D:D,'All Products'!L:L,FALSE)</f>
        <v>-</v>
      </c>
      <c r="S114" s="525">
        <f>_xlfn.XLOOKUP(E114,'All Products'!D:D,'All Products'!M:M,FALSE)</f>
        <v>0</v>
      </c>
      <c r="T114" s="530">
        <f>_xlfn.XLOOKUP(E114,'All Products'!D:D,'All Products'!N:N,FALSE)</f>
        <v>0.16800000000000001</v>
      </c>
      <c r="U114" s="530">
        <f>_xlfn.XLOOKUP(E114,'All Products'!D:D,'All Products'!P:P,FALSE)</f>
        <v>6.7200000000000006</v>
      </c>
      <c r="V114" s="530" t="str">
        <f>_xlfn.XLOOKUP(E114,'All Products'!D:D,'All Products'!Q:Q,FALSE)</f>
        <v>-</v>
      </c>
    </row>
    <row r="115" spans="1:22">
      <c r="A115" s="5" t="str">
        <f>IF(K115&gt;0,COUNT($A$7:A114)+1,"")</f>
        <v/>
      </c>
      <c r="B115" s="34"/>
      <c r="C115" s="50"/>
      <c r="D115" s="512" t="str">
        <f>_xlfn.XLOOKUP(E115,'All Products'!D:D,'All Products'!C:C,FALSE)</f>
        <v>320-3397</v>
      </c>
      <c r="E115" s="106">
        <v>100028952</v>
      </c>
      <c r="F115" s="522" t="str">
        <f>_xlfn.XLOOKUP(E115,'All Products'!D:D,'All Products'!E:E,FALSE)</f>
        <v>2 1/6 BEND STREET DWV</v>
      </c>
      <c r="G115" s="282">
        <f>_xlfn.XLOOKUP(E115,'All Products'!D:D,'All Products'!F:F,FALSE)</f>
        <v>25</v>
      </c>
      <c r="H115" s="533">
        <f>_xlfn.XLOOKUP(E115,'All Products'!D:D,'All Products'!G:G,FALSE)</f>
        <v>1575</v>
      </c>
      <c r="I115" s="512">
        <f>_xlfn.XLOOKUP(E115,'All Products'!D:D,'All Products'!H:H,FALSE)</f>
        <v>157.16</v>
      </c>
      <c r="J115" s="216">
        <f>ROUNDUP(I115*Order_Quote!$L$2,2)</f>
        <v>785.8</v>
      </c>
      <c r="K115" s="123"/>
      <c r="L115" s="79"/>
      <c r="M115" s="107">
        <f t="shared" si="1"/>
        <v>0</v>
      </c>
      <c r="O115" s="525" t="str">
        <f>_xlfn.XLOOKUP(E115,'All Products'!D:D,'All Products'!I:I,FALSE)</f>
        <v>Within 3 Weeks</v>
      </c>
      <c r="P115" s="525" t="str">
        <f>_xlfn.XLOOKUP(E115,'All Products'!D:D,'All Products'!J:J,FALSE)</f>
        <v>Manufactured</v>
      </c>
      <c r="Q115" s="525" t="str">
        <f>_xlfn.XLOOKUP(F115,'All Products'!E:E,'All Products'!K:K,FALSE)</f>
        <v>812361012598</v>
      </c>
      <c r="R115" s="525" t="str">
        <f>_xlfn.XLOOKUP(E115,'All Products'!D:D,'All Products'!L:L,FALSE)</f>
        <v>-</v>
      </c>
      <c r="S115" s="525" t="str">
        <f>_xlfn.XLOOKUP(E115,'All Products'!D:D,'All Products'!M:M,FALSE)</f>
        <v>812361012604</v>
      </c>
      <c r="T115" s="530">
        <f>_xlfn.XLOOKUP(E115,'All Products'!D:D,'All Products'!N:N,FALSE)</f>
        <v>0.318</v>
      </c>
      <c r="U115" s="530">
        <f>_xlfn.XLOOKUP(E115,'All Products'!D:D,'All Products'!P:P,FALSE)</f>
        <v>7.95</v>
      </c>
      <c r="V115" s="530">
        <f>_xlfn.XLOOKUP(E115,'All Products'!D:D,'All Products'!Q:Q,FALSE)</f>
        <v>0.66940792428507967</v>
      </c>
    </row>
    <row r="116" spans="1:22">
      <c r="A116" s="5" t="str">
        <f>IF(K116&gt;0,COUNT($A$7:A115)+1,"")</f>
        <v/>
      </c>
      <c r="B116" s="34"/>
      <c r="C116" s="50"/>
      <c r="D116" s="512" t="str">
        <f>_xlfn.XLOOKUP(E116,'All Products'!D:D,'All Products'!C:C,FALSE)</f>
        <v>320-3398</v>
      </c>
      <c r="E116" s="106">
        <v>100028953</v>
      </c>
      <c r="F116" s="522" t="str">
        <f>_xlfn.XLOOKUP(E116,'All Products'!D:D,'All Products'!E:E,FALSE)</f>
        <v>3 1/6 BEND STREET DWV</v>
      </c>
      <c r="G116" s="282">
        <f>_xlfn.XLOOKUP(E116,'All Products'!D:D,'All Products'!F:F,FALSE)</f>
        <v>20</v>
      </c>
      <c r="H116" s="533">
        <f>_xlfn.XLOOKUP(E116,'All Products'!D:D,'All Products'!G:G,FALSE)</f>
        <v>480</v>
      </c>
      <c r="I116" s="512">
        <f>_xlfn.XLOOKUP(E116,'All Products'!D:D,'All Products'!H:H,FALSE)</f>
        <v>338.96</v>
      </c>
      <c r="J116" s="216">
        <f>ROUNDUP(I116*Order_Quote!$L$2,2)</f>
        <v>1694.8</v>
      </c>
      <c r="K116" s="123"/>
      <c r="L116" s="79"/>
      <c r="M116" s="107">
        <f t="shared" si="1"/>
        <v>0</v>
      </c>
      <c r="O116" s="525" t="str">
        <f>_xlfn.XLOOKUP(E116,'All Products'!D:D,'All Products'!I:I,FALSE)</f>
        <v>In Stock</v>
      </c>
      <c r="P116" s="525" t="str">
        <f>_xlfn.XLOOKUP(E116,'All Products'!D:D,'All Products'!J:J,FALSE)</f>
        <v>Manufactured</v>
      </c>
      <c r="Q116" s="525" t="str">
        <f>_xlfn.XLOOKUP(F116,'All Products'!E:E,'All Products'!K:K,FALSE)</f>
        <v>812361012611</v>
      </c>
      <c r="R116" s="525" t="str">
        <f>_xlfn.XLOOKUP(E116,'All Products'!D:D,'All Products'!L:L,FALSE)</f>
        <v>-</v>
      </c>
      <c r="S116" s="525" t="str">
        <f>_xlfn.XLOOKUP(E116,'All Products'!D:D,'All Products'!M:M,FALSE)</f>
        <v>812361012628</v>
      </c>
      <c r="T116" s="530">
        <f>_xlfn.XLOOKUP(E116,'All Products'!D:D,'All Products'!N:N,FALSE)</f>
        <v>0.88800000000000001</v>
      </c>
      <c r="U116" s="530">
        <f>_xlfn.XLOOKUP(E116,'All Products'!D:D,'All Products'!P:P,FALSE)</f>
        <v>17.760000000000002</v>
      </c>
      <c r="V116" s="530">
        <f>_xlfn.XLOOKUP(E116,'All Products'!D:D,'All Products'!Q:Q,FALSE)</f>
        <v>1.8803145838984718</v>
      </c>
    </row>
    <row r="117" spans="1:22">
      <c r="A117" s="5" t="str">
        <f>IF(K117&gt;0,COUNT($A$7:A116)+1,"")</f>
        <v/>
      </c>
      <c r="B117" s="23"/>
      <c r="C117" s="51"/>
      <c r="D117" s="512" t="str">
        <f>_xlfn.XLOOKUP(E117,'All Products'!D:D,'All Products'!C:C,FALSE)</f>
        <v>320-3399</v>
      </c>
      <c r="E117" s="106">
        <v>300005660</v>
      </c>
      <c r="F117" s="522" t="str">
        <f>_xlfn.XLOOKUP(E117,'All Products'!D:D,'All Products'!E:E,FALSE)</f>
        <v>4 1/6 BEND STREET DWV</v>
      </c>
      <c r="G117" s="282">
        <f>_xlfn.XLOOKUP(E117,'All Products'!D:D,'All Products'!F:F,FALSE)</f>
        <v>10</v>
      </c>
      <c r="H117" s="533">
        <f>_xlfn.XLOOKUP(E117,'All Products'!D:D,'All Products'!G:G,FALSE)</f>
        <v>320</v>
      </c>
      <c r="I117" s="512">
        <f>_xlfn.XLOOKUP(E117,'All Products'!D:D,'All Products'!H:H,FALSE)</f>
        <v>1175.19</v>
      </c>
      <c r="J117" s="216">
        <f>ROUNDUP(I117*Order_Quote!$L$2,2)</f>
        <v>5875.95</v>
      </c>
      <c r="K117" s="123"/>
      <c r="L117" s="79"/>
      <c r="M117" s="107">
        <f t="shared" si="1"/>
        <v>0</v>
      </c>
      <c r="O117" s="525" t="str">
        <f>_xlfn.XLOOKUP(E117,'All Products'!D:D,'All Products'!I:I,FALSE)</f>
        <v>Within 6 Weeks</v>
      </c>
      <c r="P117" s="525" t="str">
        <f>_xlfn.XLOOKUP(E117,'All Products'!D:D,'All Products'!J:J,FALSE)</f>
        <v>Sourced</v>
      </c>
      <c r="Q117" s="525" t="str">
        <f>_xlfn.XLOOKUP(F117,'All Products'!E:E,'All Products'!K:K,FALSE)</f>
        <v>812361012635</v>
      </c>
      <c r="R117" s="525" t="str">
        <f>_xlfn.XLOOKUP(E117,'All Products'!D:D,'All Products'!L:L,FALSE)</f>
        <v>-</v>
      </c>
      <c r="S117" s="525">
        <f>_xlfn.XLOOKUP(E117,'All Products'!D:D,'All Products'!M:M,FALSE)</f>
        <v>0</v>
      </c>
      <c r="T117" s="530">
        <f>_xlfn.XLOOKUP(E117,'All Products'!D:D,'All Products'!N:N,FALSE)</f>
        <v>1.431</v>
      </c>
      <c r="U117" s="530">
        <f>_xlfn.XLOOKUP(E117,'All Products'!D:D,'All Products'!P:P,FALSE)</f>
        <v>14.31</v>
      </c>
      <c r="V117" s="530" t="str">
        <f>_xlfn.XLOOKUP(E117,'All Products'!D:D,'All Products'!Q:Q,FALSE)</f>
        <v>-</v>
      </c>
    </row>
    <row r="118" spans="1:22">
      <c r="A118" s="5" t="str">
        <f>IF(K118&gt;0,COUNT($A$7:A117)+1,"")</f>
        <v/>
      </c>
      <c r="B118" s="26"/>
      <c r="C118" s="49"/>
      <c r="D118" s="512" t="str">
        <f>_xlfn.XLOOKUP(E118,'All Products'!D:D,'All Products'!C:C,FALSE)</f>
        <v>321-3401</v>
      </c>
      <c r="E118" s="106">
        <v>100028955</v>
      </c>
      <c r="F118" s="522" t="str">
        <f>_xlfn.XLOOKUP(E118,'All Products'!D:D,'All Products'!E:E,FALSE)</f>
        <v>1-1/2 1/8 BEND DWV</v>
      </c>
      <c r="G118" s="282">
        <f>_xlfn.XLOOKUP(E118,'All Products'!D:D,'All Products'!F:F,FALSE)</f>
        <v>100</v>
      </c>
      <c r="H118" s="533">
        <f>_xlfn.XLOOKUP(E118,'All Products'!D:D,'All Products'!G:G,FALSE)</f>
        <v>3200</v>
      </c>
      <c r="I118" s="512">
        <f>_xlfn.XLOOKUP(E118,'All Products'!D:D,'All Products'!H:H,FALSE)</f>
        <v>28.23</v>
      </c>
      <c r="J118" s="216">
        <f>ROUNDUP(I118*Order_Quote!$L$2,2)</f>
        <v>141.15</v>
      </c>
      <c r="K118" s="123"/>
      <c r="L118" s="79"/>
      <c r="M118" s="107">
        <f t="shared" si="1"/>
        <v>0</v>
      </c>
      <c r="O118" s="525" t="str">
        <f>_xlfn.XLOOKUP(E118,'All Products'!D:D,'All Products'!I:I,FALSE)</f>
        <v>In Stock</v>
      </c>
      <c r="P118" s="525" t="str">
        <f>_xlfn.XLOOKUP(E118,'All Products'!D:D,'All Products'!J:J,FALSE)</f>
        <v>Manufactured</v>
      </c>
      <c r="Q118" s="525" t="str">
        <f>_xlfn.XLOOKUP(F118,'All Products'!E:E,'All Products'!K:K,FALSE)</f>
        <v>810673012961</v>
      </c>
      <c r="R118" s="525" t="str">
        <f>_xlfn.XLOOKUP(E118,'All Products'!D:D,'All Products'!L:L,FALSE)</f>
        <v>-</v>
      </c>
      <c r="S118" s="525" t="str">
        <f>_xlfn.XLOOKUP(E118,'All Products'!D:D,'All Products'!M:M,FALSE)</f>
        <v>10810673012968</v>
      </c>
      <c r="T118" s="530">
        <f>_xlfn.XLOOKUP(E118,'All Products'!D:D,'All Products'!N:N,FALSE)</f>
        <v>0.20100000000000001</v>
      </c>
      <c r="U118" s="530">
        <f>_xlfn.XLOOKUP(E118,'All Products'!D:D,'All Products'!P:P,FALSE)</f>
        <v>20.100000000000001</v>
      </c>
      <c r="V118" s="530">
        <f>_xlfn.XLOOKUP(E118,'All Products'!D:D,'All Products'!Q:Q,FALSE)</f>
        <v>1.3788503419060438</v>
      </c>
    </row>
    <row r="119" spans="1:22">
      <c r="A119" s="5" t="str">
        <f>IF(K119&gt;0,COUNT($A$7:A118)+1,"")</f>
        <v/>
      </c>
      <c r="B119" s="34"/>
      <c r="C119" s="50"/>
      <c r="D119" s="512" t="str">
        <f>_xlfn.XLOOKUP(E119,'All Products'!D:D,'All Products'!C:C,FALSE)</f>
        <v>321-3402</v>
      </c>
      <c r="E119" s="106">
        <v>100028956</v>
      </c>
      <c r="F119" s="522" t="str">
        <f>_xlfn.XLOOKUP(E119,'All Products'!D:D,'All Products'!E:E,FALSE)</f>
        <v>2 1/8 BEND DWV</v>
      </c>
      <c r="G119" s="282">
        <f>_xlfn.XLOOKUP(E119,'All Products'!D:D,'All Products'!F:F,FALSE)</f>
        <v>50</v>
      </c>
      <c r="H119" s="533">
        <f>_xlfn.XLOOKUP(E119,'All Products'!D:D,'All Products'!G:G,FALSE)</f>
        <v>1600</v>
      </c>
      <c r="I119" s="512">
        <f>_xlfn.XLOOKUP(E119,'All Products'!D:D,'All Products'!H:H,FALSE)</f>
        <v>42.12</v>
      </c>
      <c r="J119" s="216">
        <f>ROUNDUP(I119*Order_Quote!$L$2,2)</f>
        <v>210.6</v>
      </c>
      <c r="K119" s="123"/>
      <c r="L119" s="79"/>
      <c r="M119" s="107">
        <f t="shared" si="1"/>
        <v>0</v>
      </c>
      <c r="O119" s="525" t="str">
        <f>_xlfn.XLOOKUP(E119,'All Products'!D:D,'All Products'!I:I,FALSE)</f>
        <v>In Stock</v>
      </c>
      <c r="P119" s="525" t="str">
        <f>_xlfn.XLOOKUP(E119,'All Products'!D:D,'All Products'!J:J,FALSE)</f>
        <v>Manufactured</v>
      </c>
      <c r="Q119" s="525" t="str">
        <f>_xlfn.XLOOKUP(F119,'All Products'!E:E,'All Products'!K:K,FALSE)</f>
        <v>810673012978</v>
      </c>
      <c r="R119" s="525" t="str">
        <f>_xlfn.XLOOKUP(E119,'All Products'!D:D,'All Products'!L:L,FALSE)</f>
        <v>-</v>
      </c>
      <c r="S119" s="525" t="str">
        <f>_xlfn.XLOOKUP(E119,'All Products'!D:D,'All Products'!M:M,FALSE)</f>
        <v>10810673012975</v>
      </c>
      <c r="T119" s="530">
        <f>_xlfn.XLOOKUP(E119,'All Products'!D:D,'All Products'!N:N,FALSE)</f>
        <v>0.35599999999999998</v>
      </c>
      <c r="U119" s="530">
        <f>_xlfn.XLOOKUP(E119,'All Products'!D:D,'All Products'!P:P,FALSE)</f>
        <v>17.8</v>
      </c>
      <c r="V119" s="530">
        <f>_xlfn.XLOOKUP(E119,'All Products'!D:D,'All Products'!Q:Q,FALSE)</f>
        <v>1.3788503419060438</v>
      </c>
    </row>
    <row r="120" spans="1:22">
      <c r="A120" s="5" t="str">
        <f>IF(K120&gt;0,COUNT($A$7:A119)+1,"")</f>
        <v/>
      </c>
      <c r="B120" s="34"/>
      <c r="C120" s="50"/>
      <c r="D120" s="512" t="str">
        <f>_xlfn.XLOOKUP(E120,'All Products'!D:D,'All Products'!C:C,FALSE)</f>
        <v>321-3403</v>
      </c>
      <c r="E120" s="106">
        <v>100028957</v>
      </c>
      <c r="F120" s="522" t="str">
        <f>_xlfn.XLOOKUP(E120,'All Products'!D:D,'All Products'!E:E,FALSE)</f>
        <v>3 1/8 BEND DWV</v>
      </c>
      <c r="G120" s="282">
        <f>_xlfn.XLOOKUP(E120,'All Products'!D:D,'All Products'!F:F,FALSE)</f>
        <v>20</v>
      </c>
      <c r="H120" s="533">
        <f>_xlfn.XLOOKUP(E120,'All Products'!D:D,'All Products'!G:G,FALSE)</f>
        <v>480</v>
      </c>
      <c r="I120" s="512">
        <f>_xlfn.XLOOKUP(E120,'All Products'!D:D,'All Products'!H:H,FALSE)</f>
        <v>119.59</v>
      </c>
      <c r="J120" s="216">
        <f>ROUNDUP(I120*Order_Quote!$L$2,2)</f>
        <v>597.95000000000005</v>
      </c>
      <c r="K120" s="123"/>
      <c r="L120" s="79"/>
      <c r="M120" s="107">
        <f t="shared" si="1"/>
        <v>0</v>
      </c>
      <c r="O120" s="525" t="str">
        <f>_xlfn.XLOOKUP(E120,'All Products'!D:D,'All Products'!I:I,FALSE)</f>
        <v>In Stock</v>
      </c>
      <c r="P120" s="525" t="str">
        <f>_xlfn.XLOOKUP(E120,'All Products'!D:D,'All Products'!J:J,FALSE)</f>
        <v>Manufactured</v>
      </c>
      <c r="Q120" s="525" t="str">
        <f>_xlfn.XLOOKUP(F120,'All Products'!E:E,'All Products'!K:K,FALSE)</f>
        <v>810673012985</v>
      </c>
      <c r="R120" s="525" t="str">
        <f>_xlfn.XLOOKUP(E120,'All Products'!D:D,'All Products'!L:L,FALSE)</f>
        <v>-</v>
      </c>
      <c r="S120" s="525" t="str">
        <f>_xlfn.XLOOKUP(E120,'All Products'!D:D,'All Products'!M:M,FALSE)</f>
        <v>10810673012982</v>
      </c>
      <c r="T120" s="530">
        <f>_xlfn.XLOOKUP(E120,'All Products'!D:D,'All Products'!N:N,FALSE)</f>
        <v>1.0109999999999999</v>
      </c>
      <c r="U120" s="530">
        <f>_xlfn.XLOOKUP(E120,'All Products'!D:D,'All Products'!P:P,FALSE)</f>
        <v>20.22</v>
      </c>
      <c r="V120" s="530">
        <f>_xlfn.XLOOKUP(E120,'All Products'!D:D,'All Products'!Q:Q,FALSE)</f>
        <v>1.8803145838984718</v>
      </c>
    </row>
    <row r="121" spans="1:22">
      <c r="A121" s="5" t="str">
        <f>IF(K121&gt;0,COUNT($A$7:A120)+1,"")</f>
        <v/>
      </c>
      <c r="B121" s="34"/>
      <c r="C121" s="50"/>
      <c r="D121" s="512" t="str">
        <f>_xlfn.XLOOKUP(E121,'All Products'!D:D,'All Products'!C:C,FALSE)</f>
        <v>321-3404</v>
      </c>
      <c r="E121" s="106">
        <v>100028958</v>
      </c>
      <c r="F121" s="522" t="str">
        <f>_xlfn.XLOOKUP(E121,'All Products'!D:D,'All Products'!E:E,FALSE)</f>
        <v>4 1/8 BEND DWV</v>
      </c>
      <c r="G121" s="282">
        <f>_xlfn.XLOOKUP(E121,'All Products'!D:D,'All Products'!F:F,FALSE)</f>
        <v>10</v>
      </c>
      <c r="H121" s="533">
        <f>_xlfn.XLOOKUP(E121,'All Products'!D:D,'All Products'!G:G,FALSE)</f>
        <v>240</v>
      </c>
      <c r="I121" s="512">
        <f>_xlfn.XLOOKUP(E121,'All Products'!D:D,'All Products'!H:H,FALSE)</f>
        <v>219.08</v>
      </c>
      <c r="J121" s="216">
        <f>ROUNDUP(I121*Order_Quote!$L$2,2)</f>
        <v>1095.4000000000001</v>
      </c>
      <c r="K121" s="123"/>
      <c r="L121" s="79"/>
      <c r="M121" s="107">
        <f t="shared" si="1"/>
        <v>0</v>
      </c>
      <c r="O121" s="525" t="str">
        <f>_xlfn.XLOOKUP(E121,'All Products'!D:D,'All Products'!I:I,FALSE)</f>
        <v>In Stock</v>
      </c>
      <c r="P121" s="525" t="str">
        <f>_xlfn.XLOOKUP(E121,'All Products'!D:D,'All Products'!J:J,FALSE)</f>
        <v>Manufactured</v>
      </c>
      <c r="Q121" s="525" t="str">
        <f>_xlfn.XLOOKUP(F121,'All Products'!E:E,'All Products'!K:K,FALSE)</f>
        <v>810673012992</v>
      </c>
      <c r="R121" s="525" t="str">
        <f>_xlfn.XLOOKUP(E121,'All Products'!D:D,'All Products'!L:L,FALSE)</f>
        <v>-</v>
      </c>
      <c r="S121" s="525" t="str">
        <f>_xlfn.XLOOKUP(E121,'All Products'!D:D,'All Products'!M:M,FALSE)</f>
        <v>10810673012999</v>
      </c>
      <c r="T121" s="530">
        <f>_xlfn.XLOOKUP(E121,'All Products'!D:D,'All Products'!N:N,FALSE)</f>
        <v>1.8540000000000001</v>
      </c>
      <c r="U121" s="530">
        <f>_xlfn.XLOOKUP(E121,'All Products'!D:D,'All Products'!P:P,FALSE)</f>
        <v>18.54</v>
      </c>
      <c r="V121" s="530">
        <f>_xlfn.XLOOKUP(E121,'All Products'!D:D,'All Products'!Q:Q,FALSE)</f>
        <v>1.8803145838984718</v>
      </c>
    </row>
    <row r="122" spans="1:22">
      <c r="A122" s="5" t="str">
        <f>IF(K122&gt;0,COUNT($A$7:A121)+1,"")</f>
        <v/>
      </c>
      <c r="B122" s="23"/>
      <c r="C122" s="51"/>
      <c r="D122" s="512" t="str">
        <f>_xlfn.XLOOKUP(E122,'All Products'!D:D,'All Products'!C:C,FALSE)</f>
        <v>321-3405</v>
      </c>
      <c r="E122" s="106">
        <v>100028959</v>
      </c>
      <c r="F122" s="522" t="str">
        <f>_xlfn.XLOOKUP(E122,'All Products'!D:D,'All Products'!E:E,FALSE)</f>
        <v>6 1/8 BEND DWV</v>
      </c>
      <c r="G122" s="282">
        <f>_xlfn.XLOOKUP(E122,'All Products'!D:D,'All Products'!F:F,FALSE)</f>
        <v>3</v>
      </c>
      <c r="H122" s="533">
        <f>_xlfn.XLOOKUP(E122,'All Products'!D:D,'All Products'!G:G,FALSE)</f>
        <v>72</v>
      </c>
      <c r="I122" s="512">
        <f>_xlfn.XLOOKUP(E122,'All Products'!D:D,'All Products'!H:H,FALSE)</f>
        <v>811.2</v>
      </c>
      <c r="J122" s="216">
        <f>ROUNDUP(I122*Order_Quote!$L$2,2)</f>
        <v>4056</v>
      </c>
      <c r="K122" s="123"/>
      <c r="L122" s="79"/>
      <c r="M122" s="107">
        <f t="shared" si="1"/>
        <v>0</v>
      </c>
      <c r="O122" s="525" t="str">
        <f>_xlfn.XLOOKUP(E122,'All Products'!D:D,'All Products'!I:I,FALSE)</f>
        <v>In Stock</v>
      </c>
      <c r="P122" s="525" t="str">
        <f>_xlfn.XLOOKUP(E122,'All Products'!D:D,'All Products'!J:J,FALSE)</f>
        <v>Manufactured</v>
      </c>
      <c r="Q122" s="525" t="str">
        <f>_xlfn.XLOOKUP(F122,'All Products'!E:E,'All Products'!K:K,FALSE)</f>
        <v>810673015429</v>
      </c>
      <c r="R122" s="525" t="str">
        <f>_xlfn.XLOOKUP(E122,'All Products'!D:D,'All Products'!L:L,FALSE)</f>
        <v>-</v>
      </c>
      <c r="S122" s="525" t="str">
        <f>_xlfn.XLOOKUP(E122,'All Products'!D:D,'All Products'!M:M,FALSE)</f>
        <v>810673015436</v>
      </c>
      <c r="T122" s="530">
        <f>_xlfn.XLOOKUP(E122,'All Products'!D:D,'All Products'!N:N,FALSE)</f>
        <v>3.9820000000000002</v>
      </c>
      <c r="U122" s="530">
        <f>_xlfn.XLOOKUP(E122,'All Products'!D:D,'All Products'!P:P,FALSE)</f>
        <v>11.946000000000002</v>
      </c>
      <c r="V122" s="530">
        <f>_xlfn.XLOOKUP(E122,'All Products'!D:D,'All Products'!Q:Q,FALSE)</f>
        <v>1.8803145838984718</v>
      </c>
    </row>
    <row r="123" spans="1:22">
      <c r="A123" s="5" t="str">
        <f>IF(K123&gt;0,COUNT($A$7:A122)+1,"")</f>
        <v/>
      </c>
      <c r="B123" s="26"/>
      <c r="C123" s="49"/>
      <c r="D123" s="512" t="str">
        <f>_xlfn.XLOOKUP(E123,'All Products'!D:D,'All Products'!C:C,FALSE)</f>
        <v>323-3408</v>
      </c>
      <c r="E123" s="106">
        <v>100028960</v>
      </c>
      <c r="F123" s="522" t="str">
        <f>_xlfn.XLOOKUP(E123,'All Products'!D:D,'All Products'!E:E,FALSE)</f>
        <v>1-1/2 1/8 BEND STREET DWV</v>
      </c>
      <c r="G123" s="282">
        <f>_xlfn.XLOOKUP(E123,'All Products'!D:D,'All Products'!F:F,FALSE)</f>
        <v>100</v>
      </c>
      <c r="H123" s="533">
        <f>_xlfn.XLOOKUP(E123,'All Products'!D:D,'All Products'!G:G,FALSE)</f>
        <v>3200</v>
      </c>
      <c r="I123" s="512">
        <f>_xlfn.XLOOKUP(E123,'All Products'!D:D,'All Products'!H:H,FALSE)</f>
        <v>27.07</v>
      </c>
      <c r="J123" s="216">
        <f>ROUNDUP(I123*Order_Quote!$L$2,2)</f>
        <v>135.35</v>
      </c>
      <c r="K123" s="123"/>
      <c r="L123" s="79"/>
      <c r="M123" s="107">
        <f t="shared" si="1"/>
        <v>0</v>
      </c>
      <c r="O123" s="525" t="str">
        <f>_xlfn.XLOOKUP(E123,'All Products'!D:D,'All Products'!I:I,FALSE)</f>
        <v>In Stock</v>
      </c>
      <c r="P123" s="525" t="str">
        <f>_xlfn.XLOOKUP(E123,'All Products'!D:D,'All Products'!J:J,FALSE)</f>
        <v>Manufactured</v>
      </c>
      <c r="Q123" s="525" t="str">
        <f>_xlfn.XLOOKUP(F123,'All Products'!E:E,'All Products'!K:K,FALSE)</f>
        <v>810673013982</v>
      </c>
      <c r="R123" s="525" t="str">
        <f>_xlfn.XLOOKUP(E123,'All Products'!D:D,'All Products'!L:L,FALSE)</f>
        <v>-</v>
      </c>
      <c r="S123" s="525" t="str">
        <f>_xlfn.XLOOKUP(E123,'All Products'!D:D,'All Products'!M:M,FALSE)</f>
        <v>10810673013989</v>
      </c>
      <c r="T123" s="530">
        <f>_xlfn.XLOOKUP(E123,'All Products'!D:D,'All Products'!N:N,FALSE)</f>
        <v>0.192</v>
      </c>
      <c r="U123" s="530">
        <f>_xlfn.XLOOKUP(E123,'All Products'!D:D,'All Products'!P:P,FALSE)</f>
        <v>19.2</v>
      </c>
      <c r="V123" s="530">
        <f>_xlfn.XLOOKUP(E123,'All Products'!D:D,'All Products'!Q:Q,FALSE)</f>
        <v>1.3788503419060438</v>
      </c>
    </row>
    <row r="124" spans="1:22">
      <c r="A124" s="5" t="str">
        <f>IF(K124&gt;0,COUNT($A$7:A123)+1,"")</f>
        <v/>
      </c>
      <c r="B124" s="34"/>
      <c r="C124" s="50"/>
      <c r="D124" s="512" t="str">
        <f>_xlfn.XLOOKUP(E124,'All Products'!D:D,'All Products'!C:C,FALSE)</f>
        <v>323-3409</v>
      </c>
      <c r="E124" s="106">
        <v>100028961</v>
      </c>
      <c r="F124" s="522" t="str">
        <f>_xlfn.XLOOKUP(E124,'All Products'!D:D,'All Products'!E:E,FALSE)</f>
        <v>2 1/8 BEND STREET DWV</v>
      </c>
      <c r="G124" s="282">
        <f>_xlfn.XLOOKUP(E124,'All Products'!D:D,'All Products'!F:F,FALSE)</f>
        <v>50</v>
      </c>
      <c r="H124" s="533">
        <f>_xlfn.XLOOKUP(E124,'All Products'!D:D,'All Products'!G:G,FALSE)</f>
        <v>1600</v>
      </c>
      <c r="I124" s="512">
        <f>_xlfn.XLOOKUP(E124,'All Products'!D:D,'All Products'!H:H,FALSE)</f>
        <v>42.94</v>
      </c>
      <c r="J124" s="216">
        <f>ROUNDUP(I124*Order_Quote!$L$2,2)</f>
        <v>214.7</v>
      </c>
      <c r="K124" s="123"/>
      <c r="L124" s="79"/>
      <c r="M124" s="107">
        <f t="shared" si="1"/>
        <v>0</v>
      </c>
      <c r="O124" s="525" t="str">
        <f>_xlfn.XLOOKUP(E124,'All Products'!D:D,'All Products'!I:I,FALSE)</f>
        <v>In Stock</v>
      </c>
      <c r="P124" s="525" t="str">
        <f>_xlfn.XLOOKUP(E124,'All Products'!D:D,'All Products'!J:J,FALSE)</f>
        <v>Manufactured</v>
      </c>
      <c r="Q124" s="525" t="str">
        <f>_xlfn.XLOOKUP(F124,'All Products'!E:E,'All Products'!K:K,FALSE)</f>
        <v>810673013999</v>
      </c>
      <c r="R124" s="525" t="str">
        <f>_xlfn.XLOOKUP(E124,'All Products'!D:D,'All Products'!L:L,FALSE)</f>
        <v>-</v>
      </c>
      <c r="S124" s="525" t="str">
        <f>_xlfn.XLOOKUP(E124,'All Products'!D:D,'All Products'!M:M,FALSE)</f>
        <v>10810673013996</v>
      </c>
      <c r="T124" s="530">
        <f>_xlfn.XLOOKUP(E124,'All Products'!D:D,'All Products'!N:N,FALSE)</f>
        <v>0.31</v>
      </c>
      <c r="U124" s="530">
        <f>_xlfn.XLOOKUP(E124,'All Products'!D:D,'All Products'!P:P,FALSE)</f>
        <v>15.5</v>
      </c>
      <c r="V124" s="530">
        <f>_xlfn.XLOOKUP(E124,'All Products'!D:D,'All Products'!Q:Q,FALSE)</f>
        <v>1.3788503419060438</v>
      </c>
    </row>
    <row r="125" spans="1:22">
      <c r="A125" s="5" t="str">
        <f>IF(K125&gt;0,COUNT($A$7:A124)+1,"")</f>
        <v/>
      </c>
      <c r="B125" s="34"/>
      <c r="C125" s="50"/>
      <c r="D125" s="512" t="str">
        <f>_xlfn.XLOOKUP(E125,'All Products'!D:D,'All Products'!C:C,FALSE)</f>
        <v>323-3410</v>
      </c>
      <c r="E125" s="106">
        <v>100028962</v>
      </c>
      <c r="F125" s="522" t="str">
        <f>_xlfn.XLOOKUP(E125,'All Products'!D:D,'All Products'!E:E,FALSE)</f>
        <v>3 1/8 BEND STREET DWV</v>
      </c>
      <c r="G125" s="282">
        <f>_xlfn.XLOOKUP(E125,'All Products'!D:D,'All Products'!F:F,FALSE)</f>
        <v>20</v>
      </c>
      <c r="H125" s="533">
        <f>_xlfn.XLOOKUP(E125,'All Products'!D:D,'All Products'!G:G,FALSE)</f>
        <v>480</v>
      </c>
      <c r="I125" s="512">
        <f>_xlfn.XLOOKUP(E125,'All Products'!D:D,'All Products'!H:H,FALSE)</f>
        <v>113.39</v>
      </c>
      <c r="J125" s="216">
        <f>ROUNDUP(I125*Order_Quote!$L$2,2)</f>
        <v>566.95000000000005</v>
      </c>
      <c r="K125" s="123"/>
      <c r="L125" s="79"/>
      <c r="M125" s="107">
        <f t="shared" si="1"/>
        <v>0</v>
      </c>
      <c r="O125" s="525" t="str">
        <f>_xlfn.XLOOKUP(E125,'All Products'!D:D,'All Products'!I:I,FALSE)</f>
        <v>In Stock</v>
      </c>
      <c r="P125" s="525" t="str">
        <f>_xlfn.XLOOKUP(E125,'All Products'!D:D,'All Products'!J:J,FALSE)</f>
        <v>Manufactured</v>
      </c>
      <c r="Q125" s="525" t="str">
        <f>_xlfn.XLOOKUP(F125,'All Products'!E:E,'All Products'!K:K,FALSE)</f>
        <v>810673014002</v>
      </c>
      <c r="R125" s="525" t="str">
        <f>_xlfn.XLOOKUP(E125,'All Products'!D:D,'All Products'!L:L,FALSE)</f>
        <v>-</v>
      </c>
      <c r="S125" s="525" t="str">
        <f>_xlfn.XLOOKUP(E125,'All Products'!D:D,'All Products'!M:M,FALSE)</f>
        <v>10810673014009</v>
      </c>
      <c r="T125" s="530">
        <f>_xlfn.XLOOKUP(E125,'All Products'!D:D,'All Products'!N:N,FALSE)</f>
        <v>0.93200000000000005</v>
      </c>
      <c r="U125" s="530">
        <f>_xlfn.XLOOKUP(E125,'All Products'!D:D,'All Products'!P:P,FALSE)</f>
        <v>18.64</v>
      </c>
      <c r="V125" s="530">
        <f>_xlfn.XLOOKUP(E125,'All Products'!D:D,'All Products'!Q:Q,FALSE)</f>
        <v>1.8803145838984718</v>
      </c>
    </row>
    <row r="126" spans="1:22">
      <c r="A126" s="5" t="str">
        <f>IF(K126&gt;0,COUNT($A$7:A125)+1,"")</f>
        <v/>
      </c>
      <c r="B126" s="34"/>
      <c r="C126" s="50"/>
      <c r="D126" s="512" t="str">
        <f>_xlfn.XLOOKUP(E126,'All Products'!D:D,'All Products'!C:C,FALSE)</f>
        <v>323-3411</v>
      </c>
      <c r="E126" s="106">
        <v>100028963</v>
      </c>
      <c r="F126" s="522" t="str">
        <f>_xlfn.XLOOKUP(E126,'All Products'!D:D,'All Products'!E:E,FALSE)</f>
        <v>4 1/8 BEND STREET DWV</v>
      </c>
      <c r="G126" s="282">
        <f>_xlfn.XLOOKUP(E126,'All Products'!D:D,'All Products'!F:F,FALSE)</f>
        <v>10</v>
      </c>
      <c r="H126" s="533">
        <f>_xlfn.XLOOKUP(E126,'All Products'!D:D,'All Products'!G:G,FALSE)</f>
        <v>240</v>
      </c>
      <c r="I126" s="512">
        <f>_xlfn.XLOOKUP(E126,'All Products'!D:D,'All Products'!H:H,FALSE)</f>
        <v>194.41</v>
      </c>
      <c r="J126" s="216">
        <f>ROUNDUP(I126*Order_Quote!$L$2,2)</f>
        <v>972.05</v>
      </c>
      <c r="K126" s="123"/>
      <c r="L126" s="79"/>
      <c r="M126" s="107">
        <f t="shared" si="1"/>
        <v>0</v>
      </c>
      <c r="O126" s="525" t="str">
        <f>_xlfn.XLOOKUP(E126,'All Products'!D:D,'All Products'!I:I,FALSE)</f>
        <v>In Stock</v>
      </c>
      <c r="P126" s="525" t="str">
        <f>_xlfn.XLOOKUP(E126,'All Products'!D:D,'All Products'!J:J,FALSE)</f>
        <v>Manufactured</v>
      </c>
      <c r="Q126" s="525" t="str">
        <f>_xlfn.XLOOKUP(F126,'All Products'!E:E,'All Products'!K:K,FALSE)</f>
        <v>810673014019</v>
      </c>
      <c r="R126" s="525" t="str">
        <f>_xlfn.XLOOKUP(E126,'All Products'!D:D,'All Products'!L:L,FALSE)</f>
        <v>-</v>
      </c>
      <c r="S126" s="525" t="str">
        <f>_xlfn.XLOOKUP(E126,'All Products'!D:D,'All Products'!M:M,FALSE)</f>
        <v>10810673014016</v>
      </c>
      <c r="T126" s="530">
        <f>_xlfn.XLOOKUP(E126,'All Products'!D:D,'All Products'!N:N,FALSE)</f>
        <v>1.6879999999999999</v>
      </c>
      <c r="U126" s="530">
        <f>_xlfn.XLOOKUP(E126,'All Products'!D:D,'All Products'!P:P,FALSE)</f>
        <v>16.88</v>
      </c>
      <c r="V126" s="530">
        <f>_xlfn.XLOOKUP(E126,'All Products'!D:D,'All Products'!Q:Q,FALSE)</f>
        <v>1.8803145838984718</v>
      </c>
    </row>
    <row r="127" spans="1:22">
      <c r="A127" s="5" t="str">
        <f>IF(K127&gt;0,COUNT($A$7:A126)+1,"")</f>
        <v/>
      </c>
      <c r="B127" s="23"/>
      <c r="C127" s="51"/>
      <c r="D127" s="512" t="str">
        <f>_xlfn.XLOOKUP(E127,'All Products'!D:D,'All Products'!C:C,FALSE)</f>
        <v>323-3412</v>
      </c>
      <c r="E127" s="106">
        <v>100028964</v>
      </c>
      <c r="F127" s="522" t="str">
        <f>_xlfn.XLOOKUP(E127,'All Products'!D:D,'All Products'!E:E,FALSE)</f>
        <v>6 1/8 BEND STREET DWV</v>
      </c>
      <c r="G127" s="282">
        <f>_xlfn.XLOOKUP(E127,'All Products'!D:D,'All Products'!F:F,FALSE)</f>
        <v>3</v>
      </c>
      <c r="H127" s="533">
        <f>_xlfn.XLOOKUP(E127,'All Products'!D:D,'All Products'!G:G,FALSE)</f>
        <v>96</v>
      </c>
      <c r="I127" s="512">
        <f>_xlfn.XLOOKUP(E127,'All Products'!D:D,'All Products'!H:H,FALSE)</f>
        <v>960.8</v>
      </c>
      <c r="J127" s="216">
        <f>ROUNDUP(I127*Order_Quote!$L$2,2)</f>
        <v>4804</v>
      </c>
      <c r="K127" s="123"/>
      <c r="L127" s="79"/>
      <c r="M127" s="107">
        <f t="shared" si="1"/>
        <v>0</v>
      </c>
      <c r="O127" s="525" t="str">
        <f>_xlfn.XLOOKUP(E127,'All Products'!D:D,'All Products'!I:I,FALSE)</f>
        <v>In Stock</v>
      </c>
      <c r="P127" s="525" t="str">
        <f>_xlfn.XLOOKUP(E127,'All Products'!D:D,'All Products'!J:J,FALSE)</f>
        <v>Manufactured</v>
      </c>
      <c r="Q127" s="525" t="str">
        <f>_xlfn.XLOOKUP(F127,'All Products'!E:E,'All Products'!K:K,FALSE)</f>
        <v>810673011438</v>
      </c>
      <c r="R127" s="525" t="str">
        <f>_xlfn.XLOOKUP(E127,'All Products'!D:D,'All Products'!L:L,FALSE)</f>
        <v>-</v>
      </c>
      <c r="S127" s="525" t="str">
        <f>_xlfn.XLOOKUP(E127,'All Products'!D:D,'All Products'!M:M,FALSE)</f>
        <v>810673015412</v>
      </c>
      <c r="T127" s="530">
        <f>_xlfn.XLOOKUP(E127,'All Products'!D:D,'All Products'!N:N,FALSE)</f>
        <v>3.8239999999999998</v>
      </c>
      <c r="U127" s="530">
        <f>_xlfn.XLOOKUP(E127,'All Products'!D:D,'All Products'!P:P,FALSE)</f>
        <v>11.472</v>
      </c>
      <c r="V127" s="530">
        <f>_xlfn.XLOOKUP(E127,'All Products'!D:D,'All Products'!Q:Q,FALSE)</f>
        <v>1.3788503419060438</v>
      </c>
    </row>
    <row r="128" spans="1:22">
      <c r="A128" s="5" t="str">
        <f>IF(K128&gt;0,COUNT($A$7:A127)+1,"")</f>
        <v/>
      </c>
      <c r="B128" s="26"/>
      <c r="C128" s="49"/>
      <c r="D128" s="512" t="str">
        <f>_xlfn.XLOOKUP(E128,'All Products'!D:D,'All Products'!C:C,FALSE)</f>
        <v>324-3416</v>
      </c>
      <c r="E128" s="106">
        <v>100028965</v>
      </c>
      <c r="F128" s="522" t="str">
        <f>_xlfn.XLOOKUP(E128,'All Products'!D:D,'All Products'!E:E,FALSE)</f>
        <v>1-1/2 1/16 BEND DWV</v>
      </c>
      <c r="G128" s="282">
        <f>_xlfn.XLOOKUP(E128,'All Products'!D:D,'All Products'!F:F,FALSE)</f>
        <v>50</v>
      </c>
      <c r="H128" s="533">
        <f>_xlfn.XLOOKUP(E128,'All Products'!D:D,'All Products'!G:G,FALSE)</f>
        <v>4000</v>
      </c>
      <c r="I128" s="512">
        <f>_xlfn.XLOOKUP(E128,'All Products'!D:D,'All Products'!H:H,FALSE)</f>
        <v>40.18</v>
      </c>
      <c r="J128" s="216">
        <f>ROUNDUP(I128*Order_Quote!$L$2,2)</f>
        <v>200.9</v>
      </c>
      <c r="K128" s="123"/>
      <c r="L128" s="79"/>
      <c r="M128" s="107">
        <f t="shared" si="1"/>
        <v>0</v>
      </c>
      <c r="O128" s="525" t="str">
        <f>_xlfn.XLOOKUP(E128,'All Products'!D:D,'All Products'!I:I,FALSE)</f>
        <v>In Stock</v>
      </c>
      <c r="P128" s="525" t="str">
        <f>_xlfn.XLOOKUP(E128,'All Products'!D:D,'All Products'!J:J,FALSE)</f>
        <v>Manufactured</v>
      </c>
      <c r="Q128" s="525" t="str">
        <f>_xlfn.XLOOKUP(F128,'All Products'!E:E,'All Products'!K:K,FALSE)</f>
        <v>810673014408</v>
      </c>
      <c r="R128" s="525" t="str">
        <f>_xlfn.XLOOKUP(E128,'All Products'!D:D,'All Products'!L:L,FALSE)</f>
        <v>-</v>
      </c>
      <c r="S128" s="525" t="str">
        <f>_xlfn.XLOOKUP(E128,'All Products'!D:D,'All Products'!M:M,FALSE)</f>
        <v>10810673014405</v>
      </c>
      <c r="T128" s="530">
        <f>_xlfn.XLOOKUP(E128,'All Products'!D:D,'All Products'!N:N,FALSE)</f>
        <v>0.16</v>
      </c>
      <c r="U128" s="530">
        <f>_xlfn.XLOOKUP(E128,'All Products'!D:D,'All Products'!P:P,FALSE)</f>
        <v>8</v>
      </c>
      <c r="V128" s="530">
        <f>_xlfn.XLOOKUP(E128,'All Products'!D:D,'All Products'!Q:Q,FALSE)</f>
        <v>0.4856358104657279</v>
      </c>
    </row>
    <row r="129" spans="1:22">
      <c r="A129" s="5" t="str">
        <f>IF(K129&gt;0,COUNT($A$7:A128)+1,"")</f>
        <v/>
      </c>
      <c r="B129" s="34"/>
      <c r="C129" s="50"/>
      <c r="D129" s="512" t="str">
        <f>_xlfn.XLOOKUP(E129,'All Products'!D:D,'All Products'!C:C,FALSE)</f>
        <v>324-3417</v>
      </c>
      <c r="E129" s="106">
        <v>100028966</v>
      </c>
      <c r="F129" s="522" t="str">
        <f>_xlfn.XLOOKUP(E129,'All Products'!D:D,'All Products'!E:E,FALSE)</f>
        <v>2 1/16 BEND DWV</v>
      </c>
      <c r="G129" s="282">
        <f>_xlfn.XLOOKUP(E129,'All Products'!D:D,'All Products'!F:F,FALSE)</f>
        <v>25</v>
      </c>
      <c r="H129" s="533">
        <f>_xlfn.XLOOKUP(E129,'All Products'!D:D,'All Products'!G:G,FALSE)</f>
        <v>2000</v>
      </c>
      <c r="I129" s="512">
        <f>_xlfn.XLOOKUP(E129,'All Products'!D:D,'All Products'!H:H,FALSE)</f>
        <v>47.53</v>
      </c>
      <c r="J129" s="216">
        <f>ROUNDUP(I129*Order_Quote!$L$2,2)</f>
        <v>237.65</v>
      </c>
      <c r="K129" s="123"/>
      <c r="L129" s="79"/>
      <c r="M129" s="107">
        <f t="shared" si="1"/>
        <v>0</v>
      </c>
      <c r="O129" s="525" t="str">
        <f>_xlfn.XLOOKUP(E129,'All Products'!D:D,'All Products'!I:I,FALSE)</f>
        <v>In Stock</v>
      </c>
      <c r="P129" s="525" t="str">
        <f>_xlfn.XLOOKUP(E129,'All Products'!D:D,'All Products'!J:J,FALSE)</f>
        <v>Manufactured</v>
      </c>
      <c r="Q129" s="525" t="str">
        <f>_xlfn.XLOOKUP(F129,'All Products'!E:E,'All Products'!K:K,FALSE)</f>
        <v>810673014422</v>
      </c>
      <c r="R129" s="525" t="str">
        <f>_xlfn.XLOOKUP(E129,'All Products'!D:D,'All Products'!L:L,FALSE)</f>
        <v>-</v>
      </c>
      <c r="S129" s="525" t="str">
        <f>_xlfn.XLOOKUP(E129,'All Products'!D:D,'All Products'!M:M,FALSE)</f>
        <v>10810673014429</v>
      </c>
      <c r="T129" s="530">
        <f>_xlfn.XLOOKUP(E129,'All Products'!D:D,'All Products'!N:N,FALSE)</f>
        <v>0.217</v>
      </c>
      <c r="U129" s="530">
        <f>_xlfn.XLOOKUP(E129,'All Products'!D:D,'All Products'!P:P,FALSE)</f>
        <v>5.4249999999999998</v>
      </c>
      <c r="V129" s="530">
        <f>_xlfn.XLOOKUP(E129,'All Products'!D:D,'All Products'!Q:Q,FALSE)</f>
        <v>0.4856358104657279</v>
      </c>
    </row>
    <row r="130" spans="1:22">
      <c r="A130" s="5" t="str">
        <f>IF(K130&gt;0,COUNT($A$7:A129)+1,"")</f>
        <v/>
      </c>
      <c r="B130" s="34"/>
      <c r="C130" s="50"/>
      <c r="D130" s="512" t="str">
        <f>_xlfn.XLOOKUP(E130,'All Products'!D:D,'All Products'!C:C,FALSE)</f>
        <v>324-3418</v>
      </c>
      <c r="E130" s="106">
        <v>100028967</v>
      </c>
      <c r="F130" s="522" t="str">
        <f>_xlfn.XLOOKUP(E130,'All Products'!D:D,'All Products'!E:E,FALSE)</f>
        <v>3 1/16 BEND DWV</v>
      </c>
      <c r="G130" s="282">
        <f>_xlfn.XLOOKUP(E130,'All Products'!D:D,'All Products'!F:F,FALSE)</f>
        <v>20</v>
      </c>
      <c r="H130" s="533">
        <f>_xlfn.XLOOKUP(E130,'All Products'!D:D,'All Products'!G:G,FALSE)</f>
        <v>640</v>
      </c>
      <c r="I130" s="512">
        <f>_xlfn.XLOOKUP(E130,'All Products'!D:D,'All Products'!H:H,FALSE)</f>
        <v>117.31</v>
      </c>
      <c r="J130" s="216">
        <f>ROUNDUP(I130*Order_Quote!$L$2,2)</f>
        <v>586.54999999999995</v>
      </c>
      <c r="K130" s="123"/>
      <c r="L130" s="79"/>
      <c r="M130" s="107">
        <f t="shared" si="1"/>
        <v>0</v>
      </c>
      <c r="O130" s="525" t="str">
        <f>_xlfn.XLOOKUP(E130,'All Products'!D:D,'All Products'!I:I,FALSE)</f>
        <v>In Stock</v>
      </c>
      <c r="P130" s="525" t="str">
        <f>_xlfn.XLOOKUP(E130,'All Products'!D:D,'All Products'!J:J,FALSE)</f>
        <v>Manufactured</v>
      </c>
      <c r="Q130" s="525" t="str">
        <f>_xlfn.XLOOKUP(F130,'All Products'!E:E,'All Products'!K:K,FALSE)</f>
        <v>810673014446</v>
      </c>
      <c r="R130" s="525" t="str">
        <f>_xlfn.XLOOKUP(E130,'All Products'!D:D,'All Products'!L:L,FALSE)</f>
        <v>-</v>
      </c>
      <c r="S130" s="525" t="str">
        <f>_xlfn.XLOOKUP(E130,'All Products'!D:D,'All Products'!M:M,FALSE)</f>
        <v>10810673014443</v>
      </c>
      <c r="T130" s="530">
        <f>_xlfn.XLOOKUP(E130,'All Products'!D:D,'All Products'!N:N,FALSE)</f>
        <v>0.77600000000000002</v>
      </c>
      <c r="U130" s="530">
        <f>_xlfn.XLOOKUP(E130,'All Products'!D:D,'All Products'!P:P,FALSE)</f>
        <v>15.52</v>
      </c>
      <c r="V130" s="530">
        <f>_xlfn.XLOOKUP(E130,'All Products'!D:D,'All Products'!Q:Q,FALSE)</f>
        <v>1.3788503419060438</v>
      </c>
    </row>
    <row r="131" spans="1:22">
      <c r="A131" s="5" t="str">
        <f>IF(K131&gt;0,COUNT($A$7:A130)+1,"")</f>
        <v/>
      </c>
      <c r="B131" s="34"/>
      <c r="C131" s="50"/>
      <c r="D131" s="512" t="str">
        <f>_xlfn.XLOOKUP(E131,'All Products'!D:D,'All Products'!C:C,FALSE)</f>
        <v>324-3419</v>
      </c>
      <c r="E131" s="106">
        <v>100028968</v>
      </c>
      <c r="F131" s="522" t="str">
        <f>_xlfn.XLOOKUP(E131,'All Products'!D:D,'All Products'!E:E,FALSE)</f>
        <v>4 1/16 BEND DWV</v>
      </c>
      <c r="G131" s="282">
        <f>_xlfn.XLOOKUP(E131,'All Products'!D:D,'All Products'!F:F,FALSE)</f>
        <v>15</v>
      </c>
      <c r="H131" s="533">
        <f>_xlfn.XLOOKUP(E131,'All Products'!D:D,'All Products'!G:G,FALSE)</f>
        <v>480</v>
      </c>
      <c r="I131" s="512">
        <f>_xlfn.XLOOKUP(E131,'All Products'!D:D,'All Products'!H:H,FALSE)</f>
        <v>185.44</v>
      </c>
      <c r="J131" s="216">
        <f>ROUNDUP(I131*Order_Quote!$L$2,2)</f>
        <v>927.2</v>
      </c>
      <c r="K131" s="123"/>
      <c r="L131" s="79"/>
      <c r="M131" s="107">
        <f t="shared" si="1"/>
        <v>0</v>
      </c>
      <c r="O131" s="525" t="str">
        <f>_xlfn.XLOOKUP(E131,'All Products'!D:D,'All Products'!I:I,FALSE)</f>
        <v>In Stock</v>
      </c>
      <c r="P131" s="525" t="str">
        <f>_xlfn.XLOOKUP(E131,'All Products'!D:D,'All Products'!J:J,FALSE)</f>
        <v>Manufactured</v>
      </c>
      <c r="Q131" s="525" t="str">
        <f>_xlfn.XLOOKUP(F131,'All Products'!E:E,'All Products'!K:K,FALSE)</f>
        <v>810673012114</v>
      </c>
      <c r="R131" s="525" t="str">
        <f>_xlfn.XLOOKUP(E131,'All Products'!D:D,'All Products'!L:L,FALSE)</f>
        <v>-</v>
      </c>
      <c r="S131" s="525" t="str">
        <f>_xlfn.XLOOKUP(E131,'All Products'!D:D,'All Products'!M:M,FALSE)</f>
        <v>10810673012111</v>
      </c>
      <c r="T131" s="530">
        <f>_xlfn.XLOOKUP(E131,'All Products'!D:D,'All Products'!N:N,FALSE)</f>
        <v>1.3080000000000001</v>
      </c>
      <c r="U131" s="530">
        <f>_xlfn.XLOOKUP(E131,'All Products'!D:D,'All Products'!P:P,FALSE)</f>
        <v>19.62</v>
      </c>
      <c r="V131" s="530">
        <f>_xlfn.XLOOKUP(E131,'All Products'!D:D,'All Products'!Q:Q,FALSE)</f>
        <v>1.3788503419060438</v>
      </c>
    </row>
    <row r="132" spans="1:22">
      <c r="A132" s="5" t="str">
        <f>IF(K132&gt;0,COUNT($A$7:A131)+1,"")</f>
        <v/>
      </c>
      <c r="B132" s="23"/>
      <c r="C132" s="51"/>
      <c r="D132" s="512" t="str">
        <f>_xlfn.XLOOKUP(E132,'All Products'!D:D,'All Products'!C:C,FALSE)</f>
        <v>324-3420</v>
      </c>
      <c r="E132" s="106">
        <v>100028969</v>
      </c>
      <c r="F132" s="522" t="str">
        <f>_xlfn.XLOOKUP(E132,'All Products'!D:D,'All Products'!E:E,FALSE)</f>
        <v>6 1/16 BEND DWV</v>
      </c>
      <c r="G132" s="282">
        <f>_xlfn.XLOOKUP(E132,'All Products'!D:D,'All Products'!F:F,FALSE)</f>
        <v>3</v>
      </c>
      <c r="H132" s="533">
        <f>_xlfn.XLOOKUP(E132,'All Products'!D:D,'All Products'!G:G,FALSE)</f>
        <v>96</v>
      </c>
      <c r="I132" s="512">
        <f>_xlfn.XLOOKUP(E132,'All Products'!D:D,'All Products'!H:H,FALSE)</f>
        <v>1070.93</v>
      </c>
      <c r="J132" s="216">
        <f>ROUNDUP(I132*Order_Quote!$L$2,2)</f>
        <v>5354.65</v>
      </c>
      <c r="K132" s="123"/>
      <c r="L132" s="79"/>
      <c r="M132" s="107">
        <f t="shared" si="1"/>
        <v>0</v>
      </c>
      <c r="O132" s="525" t="str">
        <f>_xlfn.XLOOKUP(E132,'All Products'!D:D,'All Products'!I:I,FALSE)</f>
        <v>In Stock</v>
      </c>
      <c r="P132" s="525" t="str">
        <f>_xlfn.XLOOKUP(E132,'All Products'!D:D,'All Products'!J:J,FALSE)</f>
        <v>Manufactured</v>
      </c>
      <c r="Q132" s="525" t="str">
        <f>_xlfn.XLOOKUP(F132,'All Products'!E:E,'All Products'!K:K,FALSE)</f>
        <v>812361012659</v>
      </c>
      <c r="R132" s="525" t="str">
        <f>_xlfn.XLOOKUP(E132,'All Products'!D:D,'All Products'!L:L,FALSE)</f>
        <v>-</v>
      </c>
      <c r="S132" s="525" t="str">
        <f>_xlfn.XLOOKUP(E132,'All Products'!D:D,'All Products'!M:M,FALSE)</f>
        <v>812361012666</v>
      </c>
      <c r="T132" s="530">
        <f>_xlfn.XLOOKUP(E132,'All Products'!D:D,'All Products'!N:N,FALSE)</f>
        <v>3.7759999999999998</v>
      </c>
      <c r="U132" s="530">
        <f>_xlfn.XLOOKUP(E132,'All Products'!D:D,'All Products'!P:P,FALSE)</f>
        <v>11.327999999999999</v>
      </c>
      <c r="V132" s="530">
        <f>_xlfn.XLOOKUP(E132,'All Products'!D:D,'All Products'!Q:Q,FALSE)</f>
        <v>1.3788503419060438</v>
      </c>
    </row>
    <row r="133" spans="1:22">
      <c r="A133" s="5" t="str">
        <f>IF(K133&gt;0,COUNT($A$7:A132)+1,"")</f>
        <v/>
      </c>
      <c r="B133" s="26"/>
      <c r="C133" s="49"/>
      <c r="D133" s="512" t="str">
        <f>_xlfn.XLOOKUP(E133,'All Products'!D:D,'All Products'!C:C,FALSE)</f>
        <v>326-3421</v>
      </c>
      <c r="E133" s="106">
        <v>100028970</v>
      </c>
      <c r="F133" s="522" t="str">
        <f>_xlfn.XLOOKUP(E133,'All Products'!D:D,'All Products'!E:E,FALSE)</f>
        <v>1-1/2 1/16 BEND STREET DWV</v>
      </c>
      <c r="G133" s="282">
        <f>_xlfn.XLOOKUP(E133,'All Products'!D:D,'All Products'!F:F,FALSE)</f>
        <v>50</v>
      </c>
      <c r="H133" s="533">
        <f>_xlfn.XLOOKUP(E133,'All Products'!D:D,'All Products'!G:G,FALSE)</f>
        <v>4000</v>
      </c>
      <c r="I133" s="512">
        <f>_xlfn.XLOOKUP(E133,'All Products'!D:D,'All Products'!H:H,FALSE)</f>
        <v>108.72</v>
      </c>
      <c r="J133" s="216">
        <f>ROUNDUP(I133*Order_Quote!$L$2,2)</f>
        <v>543.6</v>
      </c>
      <c r="K133" s="123"/>
      <c r="L133" s="79"/>
      <c r="M133" s="107">
        <f t="shared" ref="M133:M193" si="2">K133/G133</f>
        <v>0</v>
      </c>
      <c r="O133" s="525" t="str">
        <f>_xlfn.XLOOKUP(E133,'All Products'!D:D,'All Products'!I:I,FALSE)</f>
        <v>In Stock</v>
      </c>
      <c r="P133" s="525" t="str">
        <f>_xlfn.XLOOKUP(E133,'All Products'!D:D,'All Products'!J:J,FALSE)</f>
        <v>Manufactured</v>
      </c>
      <c r="Q133" s="525" t="str">
        <f>_xlfn.XLOOKUP(F133,'All Products'!E:E,'All Products'!K:K,FALSE)</f>
        <v>810673014477</v>
      </c>
      <c r="R133" s="525" t="str">
        <f>_xlfn.XLOOKUP(E133,'All Products'!D:D,'All Products'!L:L,FALSE)</f>
        <v>-</v>
      </c>
      <c r="S133" s="525" t="str">
        <f>_xlfn.XLOOKUP(E133,'All Products'!D:D,'All Products'!M:M,FALSE)</f>
        <v>812361011935</v>
      </c>
      <c r="T133" s="530">
        <f>_xlfn.XLOOKUP(E133,'All Products'!D:D,'All Products'!N:N,FALSE)</f>
        <v>0.14299999999999999</v>
      </c>
      <c r="U133" s="530">
        <f>_xlfn.XLOOKUP(E133,'All Products'!D:D,'All Products'!P:P,FALSE)</f>
        <v>7.1499999999999995</v>
      </c>
      <c r="V133" s="530">
        <f>_xlfn.XLOOKUP(E133,'All Products'!D:D,'All Products'!Q:Q,FALSE)</f>
        <v>0.4856358104657279</v>
      </c>
    </row>
    <row r="134" spans="1:22">
      <c r="A134" s="5" t="str">
        <f>IF(K134&gt;0,COUNT($A$7:A133)+1,"")</f>
        <v/>
      </c>
      <c r="B134" s="34"/>
      <c r="C134" s="50"/>
      <c r="D134" s="512" t="str">
        <f>_xlfn.XLOOKUP(E134,'All Products'!D:D,'All Products'!C:C,FALSE)</f>
        <v>326-3422</v>
      </c>
      <c r="E134" s="106">
        <v>100028971</v>
      </c>
      <c r="F134" s="522" t="str">
        <f>_xlfn.XLOOKUP(E134,'All Products'!D:D,'All Products'!E:E,FALSE)</f>
        <v>2 1/16 BEND STREET DWV</v>
      </c>
      <c r="G134" s="282">
        <f>_xlfn.XLOOKUP(E134,'All Products'!D:D,'All Products'!F:F,FALSE)</f>
        <v>25</v>
      </c>
      <c r="H134" s="533">
        <f>_xlfn.XLOOKUP(E134,'All Products'!D:D,'All Products'!G:G,FALSE)</f>
        <v>2000</v>
      </c>
      <c r="I134" s="512">
        <f>_xlfn.XLOOKUP(E134,'All Products'!D:D,'All Products'!H:H,FALSE)</f>
        <v>116.32</v>
      </c>
      <c r="J134" s="216">
        <f>ROUNDUP(I134*Order_Quote!$L$2,2)</f>
        <v>581.6</v>
      </c>
      <c r="K134" s="123"/>
      <c r="L134" s="79"/>
      <c r="M134" s="107">
        <f t="shared" si="2"/>
        <v>0</v>
      </c>
      <c r="O134" s="525" t="str">
        <f>_xlfn.XLOOKUP(E134,'All Products'!D:D,'All Products'!I:I,FALSE)</f>
        <v>In Stock</v>
      </c>
      <c r="P134" s="525" t="str">
        <f>_xlfn.XLOOKUP(E134,'All Products'!D:D,'All Products'!J:J,FALSE)</f>
        <v>Manufactured</v>
      </c>
      <c r="Q134" s="525" t="str">
        <f>_xlfn.XLOOKUP(F134,'All Products'!E:E,'All Products'!K:K,FALSE)</f>
        <v>810673014491</v>
      </c>
      <c r="R134" s="525" t="str">
        <f>_xlfn.XLOOKUP(E134,'All Products'!D:D,'All Products'!L:L,FALSE)</f>
        <v>-</v>
      </c>
      <c r="S134" s="525" t="str">
        <f>_xlfn.XLOOKUP(E134,'All Products'!D:D,'All Products'!M:M,FALSE)</f>
        <v>810673014507</v>
      </c>
      <c r="T134" s="530">
        <f>_xlfn.XLOOKUP(E134,'All Products'!D:D,'All Products'!N:N,FALSE)</f>
        <v>0.21199999999999999</v>
      </c>
      <c r="U134" s="530">
        <f>_xlfn.XLOOKUP(E134,'All Products'!D:D,'All Products'!P:P,FALSE)</f>
        <v>5.3</v>
      </c>
      <c r="V134" s="530">
        <f>_xlfn.XLOOKUP(E134,'All Products'!D:D,'All Products'!Q:Q,FALSE)</f>
        <v>0.4856358104657279</v>
      </c>
    </row>
    <row r="135" spans="1:22">
      <c r="A135" s="5" t="str">
        <f>IF(K135&gt;0,COUNT($A$7:A134)+1,"")</f>
        <v/>
      </c>
      <c r="B135" s="34"/>
      <c r="C135" s="50"/>
      <c r="D135" s="512" t="str">
        <f>_xlfn.XLOOKUP(E135,'All Products'!D:D,'All Products'!C:C,FALSE)</f>
        <v>326-3423</v>
      </c>
      <c r="E135" s="106">
        <v>100028972</v>
      </c>
      <c r="F135" s="522" t="str">
        <f>_xlfn.XLOOKUP(E135,'All Products'!D:D,'All Products'!E:E,FALSE)</f>
        <v>3 1/16 BEND STREET DWV</v>
      </c>
      <c r="G135" s="282">
        <f>_xlfn.XLOOKUP(E135,'All Products'!D:D,'All Products'!F:F,FALSE)</f>
        <v>20</v>
      </c>
      <c r="H135" s="533">
        <f>_xlfn.XLOOKUP(E135,'All Products'!D:D,'All Products'!G:G,FALSE)</f>
        <v>640</v>
      </c>
      <c r="I135" s="512">
        <f>_xlfn.XLOOKUP(E135,'All Products'!D:D,'All Products'!H:H,FALSE)</f>
        <v>181.72</v>
      </c>
      <c r="J135" s="216">
        <f>ROUNDUP(I135*Order_Quote!$L$2,2)</f>
        <v>908.6</v>
      </c>
      <c r="K135" s="123"/>
      <c r="L135" s="79"/>
      <c r="M135" s="107">
        <f t="shared" si="2"/>
        <v>0</v>
      </c>
      <c r="O135" s="525" t="str">
        <f>_xlfn.XLOOKUP(E135,'All Products'!D:D,'All Products'!I:I,FALSE)</f>
        <v>In Stock</v>
      </c>
      <c r="P135" s="525" t="str">
        <f>_xlfn.XLOOKUP(E135,'All Products'!D:D,'All Products'!J:J,FALSE)</f>
        <v>Manufactured</v>
      </c>
      <c r="Q135" s="525" t="str">
        <f>_xlfn.XLOOKUP(F135,'All Products'!E:E,'All Products'!K:K,FALSE)</f>
        <v>810673014514</v>
      </c>
      <c r="R135" s="525" t="str">
        <f>_xlfn.XLOOKUP(E135,'All Products'!D:D,'All Products'!L:L,FALSE)</f>
        <v>-</v>
      </c>
      <c r="S135" s="525" t="str">
        <f>_xlfn.XLOOKUP(E135,'All Products'!D:D,'All Products'!M:M,FALSE)</f>
        <v>810673014521</v>
      </c>
      <c r="T135" s="530">
        <f>_xlfn.XLOOKUP(E135,'All Products'!D:D,'All Products'!N:N,FALSE)</f>
        <v>0.73199999999999998</v>
      </c>
      <c r="U135" s="530">
        <f>_xlfn.XLOOKUP(E135,'All Products'!D:D,'All Products'!P:P,FALSE)</f>
        <v>14.64</v>
      </c>
      <c r="V135" s="530">
        <f>_xlfn.XLOOKUP(E135,'All Products'!D:D,'All Products'!Q:Q,FALSE)</f>
        <v>1.3788503419060438</v>
      </c>
    </row>
    <row r="136" spans="1:22">
      <c r="A136" s="5" t="str">
        <f>IF(K136&gt;0,COUNT($A$7:A135)+1,"")</f>
        <v/>
      </c>
      <c r="B136" s="34"/>
      <c r="C136" s="50"/>
      <c r="D136" s="512" t="str">
        <f>_xlfn.XLOOKUP(E136,'All Products'!D:D,'All Products'!C:C,FALSE)</f>
        <v>326-3424</v>
      </c>
      <c r="E136" s="106">
        <v>100028973</v>
      </c>
      <c r="F136" s="522" t="str">
        <f>_xlfn.XLOOKUP(E136,'All Products'!D:D,'All Products'!E:E,FALSE)</f>
        <v>4 1/16 BEND STREET DWV</v>
      </c>
      <c r="G136" s="282">
        <f>_xlfn.XLOOKUP(E136,'All Products'!D:D,'All Products'!F:F,FALSE)</f>
        <v>10</v>
      </c>
      <c r="H136" s="533">
        <f>_xlfn.XLOOKUP(E136,'All Products'!D:D,'All Products'!G:G,FALSE)</f>
        <v>320</v>
      </c>
      <c r="I136" s="512">
        <f>_xlfn.XLOOKUP(E136,'All Products'!D:D,'All Products'!H:H,FALSE)</f>
        <v>263.64</v>
      </c>
      <c r="J136" s="216">
        <f>ROUNDUP(I136*Order_Quote!$L$2,2)</f>
        <v>1318.2</v>
      </c>
      <c r="K136" s="123"/>
      <c r="L136" s="79"/>
      <c r="M136" s="107">
        <f t="shared" si="2"/>
        <v>0</v>
      </c>
      <c r="O136" s="525" t="str">
        <f>_xlfn.XLOOKUP(E136,'All Products'!D:D,'All Products'!I:I,FALSE)</f>
        <v>In Stock</v>
      </c>
      <c r="P136" s="525" t="str">
        <f>_xlfn.XLOOKUP(E136,'All Products'!D:D,'All Products'!J:J,FALSE)</f>
        <v>Manufactured</v>
      </c>
      <c r="Q136" s="525" t="str">
        <f>_xlfn.XLOOKUP(F136,'All Products'!E:E,'All Products'!K:K,FALSE)</f>
        <v>810673012121</v>
      </c>
      <c r="R136" s="525" t="str">
        <f>_xlfn.XLOOKUP(E136,'All Products'!D:D,'All Products'!L:L,FALSE)</f>
        <v>-</v>
      </c>
      <c r="S136" s="525" t="str">
        <f>_xlfn.XLOOKUP(E136,'All Products'!D:D,'All Products'!M:M,FALSE)</f>
        <v>810673014538</v>
      </c>
      <c r="T136" s="530">
        <f>_xlfn.XLOOKUP(E136,'All Products'!D:D,'All Products'!N:N,FALSE)</f>
        <v>1.2889999999999999</v>
      </c>
      <c r="U136" s="530">
        <f>_xlfn.XLOOKUP(E136,'All Products'!D:D,'All Products'!P:P,FALSE)</f>
        <v>12.889999999999999</v>
      </c>
      <c r="V136" s="530">
        <f>_xlfn.XLOOKUP(E136,'All Products'!D:D,'All Products'!Q:Q,FALSE)</f>
        <v>1.3788503419060438</v>
      </c>
    </row>
    <row r="137" spans="1:22">
      <c r="A137" s="5" t="str">
        <f>IF(K137&gt;0,COUNT($A$7:A136)+1,"")</f>
        <v/>
      </c>
      <c r="B137" s="23"/>
      <c r="C137" s="51"/>
      <c r="D137" s="512" t="str">
        <f>_xlfn.XLOOKUP(E137,'All Products'!D:D,'All Products'!C:C,FALSE)</f>
        <v>326-3425</v>
      </c>
      <c r="E137" s="106">
        <v>100028974</v>
      </c>
      <c r="F137" s="522" t="str">
        <f>_xlfn.XLOOKUP(E137,'All Products'!D:D,'All Products'!E:E,FALSE)</f>
        <v>6 1/16 BEND STREET DWV</v>
      </c>
      <c r="G137" s="282">
        <f>_xlfn.XLOOKUP(E137,'All Products'!D:D,'All Products'!F:F,FALSE)</f>
        <v>5</v>
      </c>
      <c r="H137" s="533">
        <f>_xlfn.XLOOKUP(E137,'All Products'!D:D,'All Products'!G:G,FALSE)</f>
        <v>120</v>
      </c>
      <c r="I137" s="512">
        <f>_xlfn.XLOOKUP(E137,'All Products'!D:D,'All Products'!H:H,FALSE)</f>
        <v>1037.56</v>
      </c>
      <c r="J137" s="216">
        <f>ROUNDUP(I137*Order_Quote!$L$2,2)</f>
        <v>5187.8</v>
      </c>
      <c r="K137" s="123"/>
      <c r="L137" s="79"/>
      <c r="M137" s="107">
        <f t="shared" si="2"/>
        <v>0</v>
      </c>
      <c r="O137" s="525" t="str">
        <f>_xlfn.XLOOKUP(E137,'All Products'!D:D,'All Products'!I:I,FALSE)</f>
        <v>Within 3 Weeks</v>
      </c>
      <c r="P137" s="525" t="str">
        <f>_xlfn.XLOOKUP(E137,'All Products'!D:D,'All Products'!J:J,FALSE)</f>
        <v>Manufactured</v>
      </c>
      <c r="Q137" s="525" t="str">
        <f>_xlfn.XLOOKUP(F137,'All Products'!E:E,'All Products'!K:K,FALSE)</f>
        <v>812361012673</v>
      </c>
      <c r="R137" s="525" t="str">
        <f>_xlfn.XLOOKUP(E137,'All Products'!D:D,'All Products'!L:L,FALSE)</f>
        <v>-</v>
      </c>
      <c r="S137" s="525" t="str">
        <f>_xlfn.XLOOKUP(E137,'All Products'!D:D,'All Products'!M:M,FALSE)</f>
        <v>812361019351</v>
      </c>
      <c r="T137" s="530">
        <f>_xlfn.XLOOKUP(E137,'All Products'!D:D,'All Products'!N:N,FALSE)</f>
        <v>3.3759999999999999</v>
      </c>
      <c r="U137" s="530">
        <f>_xlfn.XLOOKUP(E137,'All Products'!D:D,'All Products'!P:P,FALSE)</f>
        <v>16.88</v>
      </c>
      <c r="V137" s="530">
        <f>_xlfn.XLOOKUP(E137,'All Products'!D:D,'All Products'!Q:Q,FALSE)</f>
        <v>1.8803145838984718</v>
      </c>
    </row>
    <row r="138" spans="1:22">
      <c r="A138" s="5" t="str">
        <f>IF(K138&gt;0,COUNT($A$7:A137)+1,"")</f>
        <v/>
      </c>
      <c r="B138" s="26"/>
      <c r="C138" s="49"/>
      <c r="D138" s="512" t="str">
        <f>_xlfn.XLOOKUP(E138,'All Products'!D:D,'All Products'!C:C,FALSE)</f>
        <v>327-3040</v>
      </c>
      <c r="E138" s="106">
        <v>300005661</v>
      </c>
      <c r="F138" s="522" t="str">
        <f>_xlfn.XLOOKUP(E138,'All Products'!D:D,'All Products'!E:E,FALSE)</f>
        <v>4 DOUBLE 1/4 BEND DWV</v>
      </c>
      <c r="G138" s="282">
        <f>_xlfn.XLOOKUP(E138,'All Products'!D:D,'All Products'!F:F,FALSE)</f>
        <v>6</v>
      </c>
      <c r="H138" s="533">
        <f>_xlfn.XLOOKUP(E138,'All Products'!D:D,'All Products'!G:G,FALSE)</f>
        <v>108</v>
      </c>
      <c r="I138" s="512">
        <f>_xlfn.XLOOKUP(E138,'All Products'!D:D,'All Products'!H:H,FALSE)</f>
        <v>1026.4000000000001</v>
      </c>
      <c r="J138" s="216">
        <f>ROUNDUP(I138*Order_Quote!$L$2,2)</f>
        <v>5132</v>
      </c>
      <c r="K138" s="123"/>
      <c r="L138" s="79"/>
      <c r="M138" s="107">
        <f t="shared" si="2"/>
        <v>0</v>
      </c>
      <c r="O138" s="525" t="str">
        <f>_xlfn.XLOOKUP(E138,'All Products'!D:D,'All Products'!I:I,FALSE)</f>
        <v>Within 6 Weeks</v>
      </c>
      <c r="P138" s="525" t="str">
        <f>_xlfn.XLOOKUP(E138,'All Products'!D:D,'All Products'!J:J,FALSE)</f>
        <v>Sourced</v>
      </c>
      <c r="Q138" s="525" t="str">
        <f>_xlfn.XLOOKUP(F138,'All Products'!E:E,'All Products'!K:K,FALSE)</f>
        <v>812361018057</v>
      </c>
      <c r="R138" s="525" t="str">
        <f>_xlfn.XLOOKUP(E138,'All Products'!D:D,'All Products'!L:L,FALSE)</f>
        <v>-</v>
      </c>
      <c r="S138" s="525">
        <f>_xlfn.XLOOKUP(E138,'All Products'!D:D,'All Products'!M:M,FALSE)</f>
        <v>0</v>
      </c>
      <c r="T138" s="530">
        <f>_xlfn.XLOOKUP(E138,'All Products'!D:D,'All Products'!N:N,FALSE)</f>
        <v>2.5299999999999998</v>
      </c>
      <c r="U138" s="530">
        <f>_xlfn.XLOOKUP(E138,'All Products'!D:D,'All Products'!P:P,FALSE)</f>
        <v>15.18</v>
      </c>
      <c r="V138" s="530" t="str">
        <f>_xlfn.XLOOKUP(E138,'All Products'!D:D,'All Products'!Q:Q,FALSE)</f>
        <v>-</v>
      </c>
    </row>
    <row r="139" spans="1:22">
      <c r="A139" s="5" t="str">
        <f>IF(K139&gt;0,COUNT($A$7:A138)+1,"")</f>
        <v/>
      </c>
      <c r="B139" s="34"/>
      <c r="C139" s="50"/>
      <c r="D139" s="512" t="str">
        <f>_xlfn.XLOOKUP(E139,'All Products'!D:D,'All Products'!C:C,FALSE)</f>
        <v>327-3426</v>
      </c>
      <c r="E139" s="106">
        <v>300005662</v>
      </c>
      <c r="F139" s="522" t="str">
        <f>_xlfn.XLOOKUP(E139,'All Products'!D:D,'All Products'!E:E,FALSE)</f>
        <v>1-1/2 DOUBLE 1/4 BEND DWV</v>
      </c>
      <c r="G139" s="282">
        <f>_xlfn.XLOOKUP(E139,'All Products'!D:D,'All Products'!F:F,FALSE)</f>
        <v>50</v>
      </c>
      <c r="H139" s="533">
        <f>_xlfn.XLOOKUP(E139,'All Products'!D:D,'All Products'!G:G,FALSE)</f>
        <v>1440</v>
      </c>
      <c r="I139" s="512">
        <f>_xlfn.XLOOKUP(E139,'All Products'!D:D,'All Products'!H:H,FALSE)</f>
        <v>254.44</v>
      </c>
      <c r="J139" s="216">
        <f>ROUNDUP(I139*Order_Quote!$L$2,2)</f>
        <v>1272.2</v>
      </c>
      <c r="K139" s="123"/>
      <c r="L139" s="79"/>
      <c r="M139" s="107">
        <f t="shared" si="2"/>
        <v>0</v>
      </c>
      <c r="O139" s="525" t="str">
        <f>_xlfn.XLOOKUP(E139,'All Products'!D:D,'All Products'!I:I,FALSE)</f>
        <v>Within 6 Weeks</v>
      </c>
      <c r="P139" s="525" t="str">
        <f>_xlfn.XLOOKUP(E139,'All Products'!D:D,'All Products'!J:J,FALSE)</f>
        <v>Sourced</v>
      </c>
      <c r="Q139" s="525" t="str">
        <f>_xlfn.XLOOKUP(F139,'All Products'!E:E,'All Products'!K:K,FALSE)</f>
        <v>812361012970</v>
      </c>
      <c r="R139" s="525" t="str">
        <f>_xlfn.XLOOKUP(E139,'All Products'!D:D,'All Products'!L:L,FALSE)</f>
        <v>-</v>
      </c>
      <c r="S139" s="525">
        <f>_xlfn.XLOOKUP(E139,'All Products'!D:D,'All Products'!M:M,FALSE)</f>
        <v>0</v>
      </c>
      <c r="T139" s="530">
        <f>_xlfn.XLOOKUP(E139,'All Products'!D:D,'All Products'!N:N,FALSE)</f>
        <v>0.34300000000000003</v>
      </c>
      <c r="U139" s="530">
        <f>_xlfn.XLOOKUP(E139,'All Products'!D:D,'All Products'!P:P,FALSE)</f>
        <v>17.150000000000002</v>
      </c>
      <c r="V139" s="530" t="str">
        <f>_xlfn.XLOOKUP(E139,'All Products'!D:D,'All Products'!Q:Q,FALSE)</f>
        <v>-</v>
      </c>
    </row>
    <row r="140" spans="1:22">
      <c r="A140" s="5" t="str">
        <f>IF(K140&gt;0,COUNT($A$7:A139)+1,"")</f>
        <v/>
      </c>
      <c r="B140" s="34"/>
      <c r="C140" s="50"/>
      <c r="D140" s="512" t="str">
        <f>_xlfn.XLOOKUP(E140,'All Products'!D:D,'All Products'!C:C,FALSE)</f>
        <v>327-3427</v>
      </c>
      <c r="E140" s="106">
        <v>100028977</v>
      </c>
      <c r="F140" s="522" t="str">
        <f>_xlfn.XLOOKUP(E140,'All Products'!D:D,'All Products'!E:E,FALSE)</f>
        <v>2 DOUBLE 1/4 BEND DWV</v>
      </c>
      <c r="G140" s="282">
        <f>_xlfn.XLOOKUP(E140,'All Products'!D:D,'All Products'!F:F,FALSE)</f>
        <v>25</v>
      </c>
      <c r="H140" s="533">
        <f>_xlfn.XLOOKUP(E140,'All Products'!D:D,'All Products'!G:G,FALSE)</f>
        <v>875</v>
      </c>
      <c r="I140" s="512">
        <f>_xlfn.XLOOKUP(E140,'All Products'!D:D,'All Products'!H:H,FALSE)</f>
        <v>158.54</v>
      </c>
      <c r="J140" s="216">
        <f>ROUNDUP(I140*Order_Quote!$L$2,2)</f>
        <v>792.7</v>
      </c>
      <c r="K140" s="123"/>
      <c r="L140" s="79"/>
      <c r="M140" s="107">
        <f t="shared" si="2"/>
        <v>0</v>
      </c>
      <c r="O140" s="525" t="str">
        <f>_xlfn.XLOOKUP(E140,'All Products'!D:D,'All Products'!I:I,FALSE)</f>
        <v>In Stock</v>
      </c>
      <c r="P140" s="525" t="str">
        <f>_xlfn.XLOOKUP(E140,'All Products'!D:D,'All Products'!J:J,FALSE)</f>
        <v>Manufactured</v>
      </c>
      <c r="Q140" s="525" t="str">
        <f>_xlfn.XLOOKUP(F140,'All Products'!E:E,'All Products'!K:K,FALSE)</f>
        <v>812361012994</v>
      </c>
      <c r="R140" s="525" t="str">
        <f>_xlfn.XLOOKUP(E140,'All Products'!D:D,'All Products'!L:L,FALSE)</f>
        <v>-</v>
      </c>
      <c r="S140" s="525" t="str">
        <f>_xlfn.XLOOKUP(E140,'All Products'!D:D,'All Products'!M:M,FALSE)</f>
        <v>812361013007</v>
      </c>
      <c r="T140" s="530">
        <f>_xlfn.XLOOKUP(E140,'All Products'!D:D,'All Products'!N:N,FALSE)</f>
        <v>0.56399999999999995</v>
      </c>
      <c r="U140" s="530">
        <f>_xlfn.XLOOKUP(E140,'All Products'!D:D,'All Products'!P:P,FALSE)</f>
        <v>14.099999999999998</v>
      </c>
      <c r="V140" s="530">
        <f>_xlfn.XLOOKUP(E140,'All Products'!D:D,'All Products'!Q:Q,FALSE)</f>
        <v>1.3788503419060438</v>
      </c>
    </row>
    <row r="141" spans="1:22">
      <c r="A141" s="5" t="str">
        <f>IF(K141&gt;0,COUNT($A$7:A140)+1,"")</f>
        <v/>
      </c>
      <c r="B141" s="34"/>
      <c r="C141" s="50"/>
      <c r="D141" s="512" t="str">
        <f>_xlfn.XLOOKUP(E141,'All Products'!D:D,'All Products'!C:C,FALSE)</f>
        <v>327-3428</v>
      </c>
      <c r="E141" s="106">
        <v>300005663</v>
      </c>
      <c r="F141" s="522" t="str">
        <f>_xlfn.XLOOKUP(E141,'All Products'!D:D,'All Products'!E:E,FALSE)</f>
        <v>2X1-1/2X1-1/2 DOUBLE 1/4 BEND DWV</v>
      </c>
      <c r="G141" s="282">
        <f>_xlfn.XLOOKUP(E141,'All Products'!D:D,'All Products'!F:F,FALSE)</f>
        <v>20</v>
      </c>
      <c r="H141" s="533">
        <f>_xlfn.XLOOKUP(E141,'All Products'!D:D,'All Products'!G:G,FALSE)</f>
        <v>1200</v>
      </c>
      <c r="I141" s="512">
        <f>_xlfn.XLOOKUP(E141,'All Products'!D:D,'All Products'!H:H,FALSE)</f>
        <v>154.57</v>
      </c>
      <c r="J141" s="216">
        <f>ROUNDUP(I141*Order_Quote!$L$2,2)</f>
        <v>772.85</v>
      </c>
      <c r="K141" s="123"/>
      <c r="L141" s="79"/>
      <c r="M141" s="107">
        <f t="shared" si="2"/>
        <v>0</v>
      </c>
      <c r="O141" s="525" t="str">
        <f>_xlfn.XLOOKUP(E141,'All Products'!D:D,'All Products'!I:I,FALSE)</f>
        <v>Within 6 Weeks</v>
      </c>
      <c r="P141" s="525" t="str">
        <f>_xlfn.XLOOKUP(E141,'All Products'!D:D,'All Products'!J:J,FALSE)</f>
        <v>Sourced</v>
      </c>
      <c r="Q141" s="525" t="str">
        <f>_xlfn.XLOOKUP(F141,'All Products'!E:E,'All Products'!K:K,FALSE)</f>
        <v>812361013014</v>
      </c>
      <c r="R141" s="525" t="str">
        <f>_xlfn.XLOOKUP(E141,'All Products'!D:D,'All Products'!L:L,FALSE)</f>
        <v>-</v>
      </c>
      <c r="S141" s="525">
        <f>_xlfn.XLOOKUP(E141,'All Products'!D:D,'All Products'!M:M,FALSE)</f>
        <v>0</v>
      </c>
      <c r="T141" s="530">
        <f>_xlfn.XLOOKUP(E141,'All Products'!D:D,'All Products'!N:N,FALSE)</f>
        <v>0.379</v>
      </c>
      <c r="U141" s="530">
        <f>_xlfn.XLOOKUP(E141,'All Products'!D:D,'All Products'!P:P,FALSE)</f>
        <v>7.58</v>
      </c>
      <c r="V141" s="530" t="str">
        <f>_xlfn.XLOOKUP(E141,'All Products'!D:D,'All Products'!Q:Q,FALSE)</f>
        <v>-</v>
      </c>
    </row>
    <row r="142" spans="1:22">
      <c r="A142" s="5" t="str">
        <f>IF(K142&gt;0,COUNT($A$7:A141)+1,"")</f>
        <v/>
      </c>
      <c r="B142" s="23"/>
      <c r="C142" s="51"/>
      <c r="D142" s="512" t="str">
        <f>_xlfn.XLOOKUP(E142,'All Products'!D:D,'All Products'!C:C,FALSE)</f>
        <v>327-3429</v>
      </c>
      <c r="E142" s="106">
        <v>100028979</v>
      </c>
      <c r="F142" s="522" t="str">
        <f>_xlfn.XLOOKUP(E142,'All Products'!D:D,'All Products'!E:E,FALSE)</f>
        <v>3 DOUBLE 1/4 BEND DWV</v>
      </c>
      <c r="G142" s="282">
        <f>_xlfn.XLOOKUP(E142,'All Products'!D:D,'All Products'!F:F,FALSE)</f>
        <v>10</v>
      </c>
      <c r="H142" s="533">
        <f>_xlfn.XLOOKUP(E142,'All Products'!D:D,'All Products'!G:G,FALSE)</f>
        <v>270</v>
      </c>
      <c r="I142" s="512">
        <f>_xlfn.XLOOKUP(E142,'All Products'!D:D,'All Products'!H:H,FALSE)</f>
        <v>439</v>
      </c>
      <c r="J142" s="216">
        <f>ROUNDUP(I142*Order_Quote!$L$2,2)</f>
        <v>2195</v>
      </c>
      <c r="K142" s="123"/>
      <c r="L142" s="79"/>
      <c r="M142" s="107">
        <f t="shared" si="2"/>
        <v>0</v>
      </c>
      <c r="O142" s="525" t="str">
        <f>_xlfn.XLOOKUP(E142,'All Products'!D:D,'All Products'!I:I,FALSE)</f>
        <v>Within 3 Weeks</v>
      </c>
      <c r="P142" s="525" t="str">
        <f>_xlfn.XLOOKUP(E142,'All Products'!D:D,'All Products'!J:J,FALSE)</f>
        <v>Manufactured</v>
      </c>
      <c r="Q142" s="525" t="str">
        <f>_xlfn.XLOOKUP(F142,'All Products'!E:E,'All Products'!K:K,FALSE)</f>
        <v>812361013038</v>
      </c>
      <c r="R142" s="525" t="str">
        <f>_xlfn.XLOOKUP(E142,'All Products'!D:D,'All Products'!L:L,FALSE)</f>
        <v>-</v>
      </c>
      <c r="S142" s="525" t="str">
        <f>_xlfn.XLOOKUP(E142,'All Products'!D:D,'All Products'!M:M,FALSE)</f>
        <v>812361013045</v>
      </c>
      <c r="T142" s="530">
        <f>_xlfn.XLOOKUP(E142,'All Products'!D:D,'All Products'!N:N,FALSE)</f>
        <v>1.6919999999999999</v>
      </c>
      <c r="U142" s="530">
        <f>_xlfn.XLOOKUP(E142,'All Products'!D:D,'All Products'!P:P,FALSE)</f>
        <v>16.919999999999998</v>
      </c>
      <c r="V142" s="530">
        <f>_xlfn.XLOOKUP(E142,'All Products'!D:D,'All Products'!Q:Q,FALSE)</f>
        <v>1.8803145838984718</v>
      </c>
    </row>
    <row r="143" spans="1:22" s="17" customFormat="1" ht="42" customHeight="1">
      <c r="A143" s="5" t="str">
        <f>IF(K143&gt;0,COUNT($A$7:A142)+1,"")</f>
        <v/>
      </c>
      <c r="B143" s="202"/>
      <c r="C143" s="203"/>
      <c r="D143" s="512" t="str">
        <f>_xlfn.XLOOKUP(E143,'All Products'!D:D,'All Products'!C:C,FALSE)</f>
        <v>328-3711</v>
      </c>
      <c r="E143" s="106">
        <v>300005664</v>
      </c>
      <c r="F143" s="522" t="str">
        <f>_xlfn.XLOOKUP(E143,'All Products'!D:D,'All Products'!E:E,FALSE)</f>
        <v>6 1/32 BEND DWV</v>
      </c>
      <c r="G143" s="282">
        <f>_xlfn.XLOOKUP(E143,'All Products'!D:D,'All Products'!F:F,FALSE)</f>
        <v>1</v>
      </c>
      <c r="H143" s="533" t="str">
        <f>_xlfn.XLOOKUP(E143,'All Products'!D:D,'All Products'!G:G,FALSE)</f>
        <v>-</v>
      </c>
      <c r="I143" s="512">
        <f>_xlfn.XLOOKUP(E143,'All Products'!D:D,'All Products'!H:H,FALSE)</f>
        <v>5509.85</v>
      </c>
      <c r="J143" s="216">
        <f>ROUNDUP(I143*Order_Quote!$L$2,2)</f>
        <v>27549.25</v>
      </c>
      <c r="K143" s="123"/>
      <c r="L143" s="79"/>
      <c r="M143" s="107">
        <f t="shared" si="2"/>
        <v>0</v>
      </c>
      <c r="O143" s="525" t="str">
        <f>_xlfn.XLOOKUP(E143,'All Products'!D:D,'All Products'!I:I,FALSE)</f>
        <v>Within 6 Weeks</v>
      </c>
      <c r="P143" s="525" t="str">
        <f>_xlfn.XLOOKUP(E143,'All Products'!D:D,'All Products'!J:J,FALSE)</f>
        <v>Sourced</v>
      </c>
      <c r="Q143" s="525" t="str">
        <f>_xlfn.XLOOKUP(F143,'All Products'!E:E,'All Products'!K:K,FALSE)</f>
        <v>812361017296</v>
      </c>
      <c r="R143" s="525" t="str">
        <f>_xlfn.XLOOKUP(E143,'All Products'!D:D,'All Products'!L:L,FALSE)</f>
        <v>-</v>
      </c>
      <c r="S143" s="525">
        <f>_xlfn.XLOOKUP(E143,'All Products'!D:D,'All Products'!M:M,FALSE)</f>
        <v>0</v>
      </c>
      <c r="T143" s="530">
        <f>_xlfn.XLOOKUP(E143,'All Products'!D:D,'All Products'!N:N,FALSE)</f>
        <v>2.95</v>
      </c>
      <c r="U143" s="530">
        <f>_xlfn.XLOOKUP(E143,'All Products'!D:D,'All Products'!P:P,FALSE)</f>
        <v>2.95</v>
      </c>
      <c r="V143" s="530" t="str">
        <f>_xlfn.XLOOKUP(E143,'All Products'!D:D,'All Products'!Q:Q,FALSE)</f>
        <v>-</v>
      </c>
    </row>
    <row r="144" spans="1:22" s="17" customFormat="1" ht="38.25" customHeight="1">
      <c r="A144" s="5" t="str">
        <f>IF(K144&gt;0,COUNT($A$7:A143)+1,"")</f>
        <v/>
      </c>
      <c r="B144" s="202"/>
      <c r="C144" s="203"/>
      <c r="D144" s="512" t="str">
        <f>_xlfn.XLOOKUP(E144,'All Products'!D:D,'All Products'!C:C,FALSE)</f>
        <v>329-3430</v>
      </c>
      <c r="E144" s="106">
        <v>100028981</v>
      </c>
      <c r="F144" s="522" t="str">
        <f>_xlfn.XLOOKUP(E144,'All Products'!D:D,'All Products'!E:E,FALSE)</f>
        <v>3X4 CLOSET BEND REDUCING HXH DWV</v>
      </c>
      <c r="G144" s="282">
        <f>_xlfn.XLOOKUP(E144,'All Products'!D:D,'All Products'!F:F,FALSE)</f>
        <v>10</v>
      </c>
      <c r="H144" s="533">
        <f>_xlfn.XLOOKUP(E144,'All Products'!D:D,'All Products'!G:G,FALSE)</f>
        <v>240</v>
      </c>
      <c r="I144" s="512">
        <f>_xlfn.XLOOKUP(E144,'All Products'!D:D,'All Products'!H:H,FALSE)</f>
        <v>214.79</v>
      </c>
      <c r="J144" s="216">
        <f>ROUNDUP(I144*Order_Quote!$L$2,2)</f>
        <v>1073.95</v>
      </c>
      <c r="K144" s="123"/>
      <c r="L144" s="79"/>
      <c r="M144" s="107">
        <f t="shared" si="2"/>
        <v>0</v>
      </c>
      <c r="O144" s="525" t="str">
        <f>_xlfn.XLOOKUP(E144,'All Products'!D:D,'All Products'!I:I,FALSE)</f>
        <v>In Stock</v>
      </c>
      <c r="P144" s="525" t="str">
        <f>_xlfn.XLOOKUP(E144,'All Products'!D:D,'All Products'!J:J,FALSE)</f>
        <v>Manufactured</v>
      </c>
      <c r="Q144" s="525" t="str">
        <f>_xlfn.XLOOKUP(F144,'All Products'!E:E,'All Products'!K:K,FALSE)</f>
        <v>812361012512</v>
      </c>
      <c r="R144" s="525" t="str">
        <f>_xlfn.XLOOKUP(E144,'All Products'!D:D,'All Products'!L:L,FALSE)</f>
        <v>-</v>
      </c>
      <c r="S144" s="525" t="str">
        <f>_xlfn.XLOOKUP(E144,'All Products'!D:D,'All Products'!M:M,FALSE)</f>
        <v>812361012529</v>
      </c>
      <c r="T144" s="530">
        <f>_xlfn.XLOOKUP(E144,'All Products'!D:D,'All Products'!N:N,FALSE)</f>
        <v>1.77</v>
      </c>
      <c r="U144" s="530">
        <f>_xlfn.XLOOKUP(E144,'All Products'!D:D,'All Products'!P:P,FALSE)</f>
        <v>17.7</v>
      </c>
      <c r="V144" s="530">
        <f>_xlfn.XLOOKUP(E144,'All Products'!D:D,'All Products'!Q:Q,FALSE)</f>
        <v>1.8803145838984718</v>
      </c>
    </row>
    <row r="145" spans="1:22" s="17" customFormat="1" ht="38.25" customHeight="1">
      <c r="A145" s="5" t="str">
        <f>IF(K145&gt;0,COUNT($A$7:A144)+1,"")</f>
        <v/>
      </c>
      <c r="B145" s="202"/>
      <c r="C145" s="203"/>
      <c r="D145" s="512" t="str">
        <f>_xlfn.XLOOKUP(E145,'All Products'!D:D,'All Products'!C:C,FALSE)</f>
        <v>330-3431</v>
      </c>
      <c r="E145" s="106">
        <v>100028982</v>
      </c>
      <c r="F145" s="522" t="str">
        <f>_xlfn.XLOOKUP(E145,'All Products'!D:D,'All Products'!E:E,FALSE)</f>
        <v>3X4 CLOSET BEND REDUCING HXS DWV</v>
      </c>
      <c r="G145" s="282">
        <f>_xlfn.XLOOKUP(E145,'All Products'!D:D,'All Products'!F:F,FALSE)</f>
        <v>10</v>
      </c>
      <c r="H145" s="533">
        <f>_xlfn.XLOOKUP(E145,'All Products'!D:D,'All Products'!G:G,FALSE)</f>
        <v>240</v>
      </c>
      <c r="I145" s="512">
        <f>_xlfn.XLOOKUP(E145,'All Products'!D:D,'All Products'!H:H,FALSE)</f>
        <v>454.27</v>
      </c>
      <c r="J145" s="216">
        <f>ROUNDUP(I145*Order_Quote!$L$2,2)</f>
        <v>2271.35</v>
      </c>
      <c r="K145" s="123"/>
      <c r="L145" s="79"/>
      <c r="M145" s="107">
        <f t="shared" si="2"/>
        <v>0</v>
      </c>
      <c r="O145" s="525" t="str">
        <f>_xlfn.XLOOKUP(E145,'All Products'!D:D,'All Products'!I:I,FALSE)</f>
        <v>Within 3 Weeks</v>
      </c>
      <c r="P145" s="525" t="str">
        <f>_xlfn.XLOOKUP(E145,'All Products'!D:D,'All Products'!J:J,FALSE)</f>
        <v>Manufactured</v>
      </c>
      <c r="Q145" s="525" t="str">
        <f>_xlfn.XLOOKUP(F145,'All Products'!E:E,'All Products'!K:K,FALSE)</f>
        <v>812361013052</v>
      </c>
      <c r="R145" s="525" t="str">
        <f>_xlfn.XLOOKUP(E145,'All Products'!D:D,'All Products'!L:L,FALSE)</f>
        <v>-</v>
      </c>
      <c r="S145" s="525" t="str">
        <f>_xlfn.XLOOKUP(E145,'All Products'!D:D,'All Products'!M:M,FALSE)</f>
        <v>812361013069</v>
      </c>
      <c r="T145" s="530">
        <f>_xlfn.XLOOKUP(E145,'All Products'!D:D,'All Products'!N:N,FALSE)</f>
        <v>1.7869999999999999</v>
      </c>
      <c r="U145" s="530">
        <f>_xlfn.XLOOKUP(E145,'All Products'!D:D,'All Products'!P:P,FALSE)</f>
        <v>17.869999999999997</v>
      </c>
      <c r="V145" s="530">
        <f>_xlfn.XLOOKUP(E145,'All Products'!D:D,'All Products'!Q:Q,FALSE)</f>
        <v>1.8803145838984718</v>
      </c>
    </row>
    <row r="146" spans="1:22">
      <c r="A146" s="5" t="str">
        <f>IF(K146&gt;0,COUNT($A$7:A145)+1,"")</f>
        <v/>
      </c>
      <c r="B146" s="26"/>
      <c r="C146" s="49"/>
      <c r="D146" s="512" t="str">
        <f>_xlfn.XLOOKUP(E146,'All Products'!D:D,'All Products'!C:C,FALSE)</f>
        <v>331-3434</v>
      </c>
      <c r="E146" s="106">
        <v>300005665</v>
      </c>
      <c r="F146" s="522" t="str">
        <f>_xlfn.XLOOKUP(E146,'All Products'!D:D,'All Products'!E:E,FALSE)</f>
        <v>1-1/2 VENT ELL DWV</v>
      </c>
      <c r="G146" s="282">
        <f>_xlfn.XLOOKUP(E146,'All Products'!D:D,'All Products'!F:F,FALSE)</f>
        <v>20</v>
      </c>
      <c r="H146" s="533">
        <f>_xlfn.XLOOKUP(E146,'All Products'!D:D,'All Products'!G:G,FALSE)</f>
        <v>2880</v>
      </c>
      <c r="I146" s="512">
        <f>_xlfn.XLOOKUP(E146,'All Products'!D:D,'All Products'!H:H,FALSE)</f>
        <v>166.03</v>
      </c>
      <c r="J146" s="216">
        <f>ROUNDUP(I146*Order_Quote!$L$2,2)</f>
        <v>830.15</v>
      </c>
      <c r="K146" s="123"/>
      <c r="L146" s="79"/>
      <c r="M146" s="107">
        <f t="shared" si="2"/>
        <v>0</v>
      </c>
      <c r="O146" s="525" t="str">
        <f>_xlfn.XLOOKUP(E146,'All Products'!D:D,'All Products'!I:I,FALSE)</f>
        <v>Within 6 Weeks</v>
      </c>
      <c r="P146" s="525" t="str">
        <f>_xlfn.XLOOKUP(E146,'All Products'!D:D,'All Products'!J:J,FALSE)</f>
        <v>Sourced</v>
      </c>
      <c r="Q146" s="525" t="str">
        <f>_xlfn.XLOOKUP(F146,'All Products'!E:E,'All Products'!K:K,FALSE)</f>
        <v>810673013692</v>
      </c>
      <c r="R146" s="525" t="str">
        <f>_xlfn.XLOOKUP(E146,'All Products'!D:D,'All Products'!L:L,FALSE)</f>
        <v>-</v>
      </c>
      <c r="S146" s="525" t="str">
        <f>_xlfn.XLOOKUP(E146,'All Products'!D:D,'All Products'!M:M,FALSE)</f>
        <v>10810673013699</v>
      </c>
      <c r="T146" s="530">
        <f>_xlfn.XLOOKUP(E146,'All Products'!D:D,'All Products'!N:N,FALSE)</f>
        <v>0.18</v>
      </c>
      <c r="U146" s="530">
        <f>_xlfn.XLOOKUP(E146,'All Products'!D:D,'All Products'!P:P,FALSE)</f>
        <v>3.5999999999999996</v>
      </c>
      <c r="V146" s="530" t="str">
        <f>_xlfn.XLOOKUP(E146,'All Products'!D:D,'All Products'!Q:Q,FALSE)</f>
        <v>-</v>
      </c>
    </row>
    <row r="147" spans="1:22">
      <c r="A147" s="5" t="str">
        <f>IF(K147&gt;0,COUNT($A$7:A146)+1,"")</f>
        <v/>
      </c>
      <c r="B147" s="34"/>
      <c r="C147" s="50"/>
      <c r="D147" s="512" t="str">
        <f>_xlfn.XLOOKUP(E147,'All Products'!D:D,'All Products'!C:C,FALSE)</f>
        <v>331-3435</v>
      </c>
      <c r="E147" s="106">
        <v>100028984</v>
      </c>
      <c r="F147" s="522" t="str">
        <f>_xlfn.XLOOKUP(E147,'All Products'!D:D,'All Products'!E:E,FALSE)</f>
        <v>2 VENT ELL DWV</v>
      </c>
      <c r="G147" s="282">
        <f>_xlfn.XLOOKUP(E147,'All Products'!D:D,'All Products'!F:F,FALSE)</f>
        <v>30</v>
      </c>
      <c r="H147" s="533">
        <f>_xlfn.XLOOKUP(E147,'All Products'!D:D,'All Products'!G:G,FALSE)</f>
        <v>1890</v>
      </c>
      <c r="I147" s="512">
        <f>_xlfn.XLOOKUP(E147,'All Products'!D:D,'All Products'!H:H,FALSE)</f>
        <v>77.09</v>
      </c>
      <c r="J147" s="216">
        <f>ROUNDUP(I147*Order_Quote!$L$2,2)</f>
        <v>385.45</v>
      </c>
      <c r="K147" s="123"/>
      <c r="L147" s="79"/>
      <c r="M147" s="107">
        <f t="shared" si="2"/>
        <v>0</v>
      </c>
      <c r="O147" s="525" t="str">
        <f>_xlfn.XLOOKUP(E147,'All Products'!D:D,'All Products'!I:I,FALSE)</f>
        <v>Within 3 Weeks</v>
      </c>
      <c r="P147" s="525" t="str">
        <f>_xlfn.XLOOKUP(E147,'All Products'!D:D,'All Products'!J:J,FALSE)</f>
        <v>Manufactured</v>
      </c>
      <c r="Q147" s="525" t="str">
        <f>_xlfn.XLOOKUP(F147,'All Products'!E:E,'All Products'!K:K,FALSE)</f>
        <v>810673013708</v>
      </c>
      <c r="R147" s="525" t="str">
        <f>_xlfn.XLOOKUP(E147,'All Products'!D:D,'All Products'!L:L,FALSE)</f>
        <v>-</v>
      </c>
      <c r="S147" s="525" t="str">
        <f>_xlfn.XLOOKUP(E147,'All Products'!D:D,'All Products'!M:M,FALSE)</f>
        <v>10810673013705</v>
      </c>
      <c r="T147" s="530">
        <f>_xlfn.XLOOKUP(E147,'All Products'!D:D,'All Products'!N:N,FALSE)</f>
        <v>0.32</v>
      </c>
      <c r="U147" s="530">
        <f>_xlfn.XLOOKUP(E147,'All Products'!D:D,'All Products'!P:P,FALSE)</f>
        <v>9.6</v>
      </c>
      <c r="V147" s="530">
        <f>_xlfn.XLOOKUP(E147,'All Products'!D:D,'All Products'!Q:Q,FALSE)</f>
        <v>0.66940792428507967</v>
      </c>
    </row>
    <row r="148" spans="1:22">
      <c r="A148" s="5" t="str">
        <f>IF(K148&gt;0,COUNT($A$7:A147)+1,"")</f>
        <v/>
      </c>
      <c r="B148" s="34"/>
      <c r="C148" s="50"/>
      <c r="D148" s="512" t="str">
        <f>_xlfn.XLOOKUP(E148,'All Products'!D:D,'All Products'!C:C,FALSE)</f>
        <v>331-3436</v>
      </c>
      <c r="E148" s="106">
        <v>100028985</v>
      </c>
      <c r="F148" s="522" t="str">
        <f>_xlfn.XLOOKUP(E148,'All Products'!D:D,'All Products'!E:E,FALSE)</f>
        <v>3 VENT ELL DWV</v>
      </c>
      <c r="G148" s="282">
        <f>_xlfn.XLOOKUP(E148,'All Products'!D:D,'All Products'!F:F,FALSE)</f>
        <v>25</v>
      </c>
      <c r="H148" s="533">
        <f>_xlfn.XLOOKUP(E148,'All Products'!D:D,'All Products'!G:G,FALSE)</f>
        <v>450</v>
      </c>
      <c r="I148" s="512">
        <f>_xlfn.XLOOKUP(E148,'All Products'!D:D,'All Products'!H:H,FALSE)</f>
        <v>199.82</v>
      </c>
      <c r="J148" s="216">
        <f>ROUNDUP(I148*Order_Quote!$L$2,2)</f>
        <v>999.1</v>
      </c>
      <c r="K148" s="123"/>
      <c r="L148" s="79"/>
      <c r="M148" s="107">
        <f t="shared" si="2"/>
        <v>0</v>
      </c>
      <c r="O148" s="525" t="str">
        <f>_xlfn.XLOOKUP(E148,'All Products'!D:D,'All Products'!I:I,FALSE)</f>
        <v>In Stock</v>
      </c>
      <c r="P148" s="525" t="str">
        <f>_xlfn.XLOOKUP(E148,'All Products'!D:D,'All Products'!J:J,FALSE)</f>
        <v>Manufactured</v>
      </c>
      <c r="Q148" s="525" t="str">
        <f>_xlfn.XLOOKUP(F148,'All Products'!E:E,'All Products'!K:K,FALSE)</f>
        <v>810673013715</v>
      </c>
      <c r="R148" s="525" t="str">
        <f>_xlfn.XLOOKUP(E148,'All Products'!D:D,'All Products'!L:L,FALSE)</f>
        <v>-</v>
      </c>
      <c r="S148" s="525" t="str">
        <f>_xlfn.XLOOKUP(E148,'All Products'!D:D,'All Products'!M:M,FALSE)</f>
        <v>810673011339</v>
      </c>
      <c r="T148" s="530">
        <f>_xlfn.XLOOKUP(E148,'All Products'!D:D,'All Products'!N:N,FALSE)</f>
        <v>0.99399999999999999</v>
      </c>
      <c r="U148" s="530">
        <f>_xlfn.XLOOKUP(E148,'All Products'!D:D,'All Products'!P:P,FALSE)</f>
        <v>24.85</v>
      </c>
      <c r="V148" s="530">
        <f>_xlfn.XLOOKUP(E148,'All Products'!D:D,'All Products'!Q:Q,FALSE)</f>
        <v>2.361325291407383</v>
      </c>
    </row>
    <row r="149" spans="1:22">
      <c r="A149" s="5" t="str">
        <f>IF(K149&gt;0,COUNT($A$7:A148)+1,"")</f>
        <v/>
      </c>
      <c r="B149" s="23"/>
      <c r="C149" s="51"/>
      <c r="D149" s="512" t="str">
        <f>_xlfn.XLOOKUP(E149,'All Products'!D:D,'All Products'!C:C,FALSE)</f>
        <v>331-3437</v>
      </c>
      <c r="E149" s="106">
        <v>300005666</v>
      </c>
      <c r="F149" s="522" t="str">
        <f>_xlfn.XLOOKUP(E149,'All Products'!D:D,'All Products'!E:E,FALSE)</f>
        <v>4 VENT ELL DWV</v>
      </c>
      <c r="G149" s="282">
        <f>_xlfn.XLOOKUP(E149,'All Products'!D:D,'All Products'!F:F,FALSE)</f>
        <v>5</v>
      </c>
      <c r="H149" s="533" t="str">
        <f>_xlfn.XLOOKUP(E149,'All Products'!D:D,'All Products'!G:G,FALSE)</f>
        <v>-</v>
      </c>
      <c r="I149" s="512">
        <f>_xlfn.XLOOKUP(E149,'All Products'!D:D,'All Products'!H:H,FALSE)</f>
        <v>811.96</v>
      </c>
      <c r="J149" s="216">
        <f>ROUNDUP(I149*Order_Quote!$L$2,2)</f>
        <v>4059.8</v>
      </c>
      <c r="K149" s="123"/>
      <c r="L149" s="79"/>
      <c r="M149" s="107">
        <f t="shared" si="2"/>
        <v>0</v>
      </c>
      <c r="O149" s="525" t="str">
        <f>_xlfn.XLOOKUP(E149,'All Products'!D:D,'All Products'!I:I,FALSE)</f>
        <v>Within 3 Weeks</v>
      </c>
      <c r="P149" s="525" t="str">
        <f>_xlfn.XLOOKUP(E149,'All Products'!D:D,'All Products'!J:J,FALSE)</f>
        <v>Sourced</v>
      </c>
      <c r="Q149" s="525" t="str">
        <f>_xlfn.XLOOKUP(F149,'All Products'!E:E,'All Products'!K:K,FALSE)</f>
        <v>812361017364</v>
      </c>
      <c r="R149" s="525" t="str">
        <f>_xlfn.XLOOKUP(E149,'All Products'!D:D,'All Products'!L:L,FALSE)</f>
        <v>-</v>
      </c>
      <c r="S149" s="525">
        <f>_xlfn.XLOOKUP(E149,'All Products'!D:D,'All Products'!M:M,FALSE)</f>
        <v>0</v>
      </c>
      <c r="T149" s="530">
        <f>_xlfn.XLOOKUP(E149,'All Products'!D:D,'All Products'!N:N,FALSE)</f>
        <v>1.6</v>
      </c>
      <c r="U149" s="530">
        <f>_xlfn.XLOOKUP(E149,'All Products'!D:D,'All Products'!P:P,FALSE)</f>
        <v>8</v>
      </c>
      <c r="V149" s="530" t="str">
        <f>_xlfn.XLOOKUP(E149,'All Products'!D:D,'All Products'!Q:Q,FALSE)</f>
        <v>-</v>
      </c>
    </row>
    <row r="150" spans="1:22">
      <c r="A150" s="5" t="str">
        <f>IF(K150&gt;0,COUNT($A$7:A149)+1,"")</f>
        <v/>
      </c>
      <c r="B150" s="26"/>
      <c r="C150" s="49"/>
      <c r="D150" s="512" t="str">
        <f>_xlfn.XLOOKUP(E150,'All Products'!D:D,'All Products'!C:C,FALSE)</f>
        <v>333-3441</v>
      </c>
      <c r="E150" s="106">
        <v>100028987</v>
      </c>
      <c r="F150" s="522" t="str">
        <f>_xlfn.XLOOKUP(E150,'All Products'!D:D,'All Products'!E:E,FALSE)</f>
        <v>1-1/2 VENT ELL STREET DWV</v>
      </c>
      <c r="G150" s="282">
        <f>_xlfn.XLOOKUP(E150,'All Products'!D:D,'All Products'!F:F,FALSE)</f>
        <v>25</v>
      </c>
      <c r="H150" s="533">
        <f>_xlfn.XLOOKUP(E150,'All Products'!D:D,'All Products'!G:G,FALSE)</f>
        <v>2250</v>
      </c>
      <c r="I150" s="512">
        <f>_xlfn.XLOOKUP(E150,'All Products'!D:D,'All Products'!H:H,FALSE)</f>
        <v>64.989999999999995</v>
      </c>
      <c r="J150" s="216">
        <f>ROUNDUP(I150*Order_Quote!$L$2,2)</f>
        <v>324.95</v>
      </c>
      <c r="K150" s="123"/>
      <c r="L150" s="79"/>
      <c r="M150" s="107">
        <f t="shared" si="2"/>
        <v>0</v>
      </c>
      <c r="O150" s="525" t="str">
        <f>_xlfn.XLOOKUP(E150,'All Products'!D:D,'All Products'!I:I,FALSE)</f>
        <v>Within 3 Weeks</v>
      </c>
      <c r="P150" s="525" t="str">
        <f>_xlfn.XLOOKUP(E150,'All Products'!D:D,'All Products'!J:J,FALSE)</f>
        <v>Manufactured</v>
      </c>
      <c r="Q150" s="525" t="str">
        <f>_xlfn.XLOOKUP(F150,'All Products'!E:E,'All Products'!K:K,FALSE)</f>
        <v>810673013722</v>
      </c>
      <c r="R150" s="525" t="str">
        <f>_xlfn.XLOOKUP(E150,'All Products'!D:D,'All Products'!L:L,FALSE)</f>
        <v>-</v>
      </c>
      <c r="S150" s="525" t="str">
        <f>_xlfn.XLOOKUP(E150,'All Products'!D:D,'All Products'!M:M,FALSE)</f>
        <v>10810673013729</v>
      </c>
      <c r="T150" s="530">
        <f>_xlfn.XLOOKUP(E150,'All Products'!D:D,'All Products'!N:N,FALSE)</f>
        <v>0.20200000000000001</v>
      </c>
      <c r="U150" s="530">
        <f>_xlfn.XLOOKUP(E150,'All Products'!D:D,'All Products'!P:P,FALSE)</f>
        <v>5.0500000000000007</v>
      </c>
      <c r="V150" s="530">
        <f>_xlfn.XLOOKUP(E150,'All Products'!D:D,'All Products'!Q:Q,FALSE)</f>
        <v>0.32375720697715193</v>
      </c>
    </row>
    <row r="151" spans="1:22">
      <c r="A151" s="5" t="str">
        <f>IF(K151&gt;0,COUNT($A$7:A150)+1,"")</f>
        <v/>
      </c>
      <c r="B151" s="34"/>
      <c r="C151" s="50"/>
      <c r="D151" s="512" t="str">
        <f>_xlfn.XLOOKUP(E151,'All Products'!D:D,'All Products'!C:C,FALSE)</f>
        <v>333-3442</v>
      </c>
      <c r="E151" s="106">
        <v>100028988</v>
      </c>
      <c r="F151" s="522" t="str">
        <f>_xlfn.XLOOKUP(E151,'All Products'!D:D,'All Products'!E:E,FALSE)</f>
        <v>2 VENT ELL STREET DWV</v>
      </c>
      <c r="G151" s="282">
        <f>_xlfn.XLOOKUP(E151,'All Products'!D:D,'All Products'!F:F,FALSE)</f>
        <v>20</v>
      </c>
      <c r="H151" s="533">
        <f>_xlfn.XLOOKUP(E151,'All Products'!D:D,'All Products'!G:G,FALSE)</f>
        <v>1600</v>
      </c>
      <c r="I151" s="512">
        <f>_xlfn.XLOOKUP(E151,'All Products'!D:D,'All Products'!H:H,FALSE)</f>
        <v>89.25</v>
      </c>
      <c r="J151" s="216">
        <f>ROUNDUP(I151*Order_Quote!$L$2,2)</f>
        <v>446.25</v>
      </c>
      <c r="K151" s="123"/>
      <c r="L151" s="79"/>
      <c r="M151" s="107">
        <f t="shared" si="2"/>
        <v>0</v>
      </c>
      <c r="O151" s="525" t="str">
        <f>_xlfn.XLOOKUP(E151,'All Products'!D:D,'All Products'!I:I,FALSE)</f>
        <v>Within 3 Weeks</v>
      </c>
      <c r="P151" s="525" t="str">
        <f>_xlfn.XLOOKUP(E151,'All Products'!D:D,'All Products'!J:J,FALSE)</f>
        <v>Manufactured</v>
      </c>
      <c r="Q151" s="525" t="str">
        <f>_xlfn.XLOOKUP(F151,'All Products'!E:E,'All Products'!K:K,FALSE)</f>
        <v>810673013739</v>
      </c>
      <c r="R151" s="525" t="str">
        <f>_xlfn.XLOOKUP(E151,'All Products'!D:D,'All Products'!L:L,FALSE)</f>
        <v>-</v>
      </c>
      <c r="S151" s="525" t="str">
        <f>_xlfn.XLOOKUP(E151,'All Products'!D:D,'All Products'!M:M,FALSE)</f>
        <v>10810673013736</v>
      </c>
      <c r="T151" s="530">
        <f>_xlfn.XLOOKUP(E151,'All Products'!D:D,'All Products'!N:N,FALSE)</f>
        <v>0.30199999999999999</v>
      </c>
      <c r="U151" s="530">
        <f>_xlfn.XLOOKUP(E151,'All Products'!D:D,'All Products'!P:P,FALSE)</f>
        <v>6.04</v>
      </c>
      <c r="V151" s="530">
        <f>_xlfn.XLOOKUP(E151,'All Products'!D:D,'All Products'!Q:Q,FALSE)</f>
        <v>0.4856358104657279</v>
      </c>
    </row>
    <row r="152" spans="1:22">
      <c r="A152" s="5" t="str">
        <f>IF(K152&gt;0,COUNT($A$7:A151)+1,"")</f>
        <v/>
      </c>
      <c r="B152" s="23"/>
      <c r="C152" s="51"/>
      <c r="D152" s="512" t="str">
        <f>_xlfn.XLOOKUP(E152,'All Products'!D:D,'All Products'!C:C,FALSE)</f>
        <v>333-3443</v>
      </c>
      <c r="E152" s="106">
        <v>100028989</v>
      </c>
      <c r="F152" s="522" t="str">
        <f>_xlfn.XLOOKUP(E152,'All Products'!D:D,'All Products'!E:E,FALSE)</f>
        <v>3 VENT ELL STREET DWV</v>
      </c>
      <c r="G152" s="282">
        <f>_xlfn.XLOOKUP(E152,'All Products'!D:D,'All Products'!F:F,FALSE)</f>
        <v>5</v>
      </c>
      <c r="H152" s="533">
        <f>_xlfn.XLOOKUP(E152,'All Products'!D:D,'All Products'!G:G,FALSE)</f>
        <v>400</v>
      </c>
      <c r="I152" s="512">
        <f>_xlfn.XLOOKUP(E152,'All Products'!D:D,'All Products'!H:H,FALSE)</f>
        <v>239.22</v>
      </c>
      <c r="J152" s="216">
        <f>ROUNDUP(I152*Order_Quote!$L$2,2)</f>
        <v>1196.0999999999999</v>
      </c>
      <c r="K152" s="123"/>
      <c r="L152" s="79"/>
      <c r="M152" s="107">
        <f t="shared" si="2"/>
        <v>0</v>
      </c>
      <c r="O152" s="525" t="str">
        <f>_xlfn.XLOOKUP(E152,'All Products'!D:D,'All Products'!I:I,FALSE)</f>
        <v>Within 3 Weeks</v>
      </c>
      <c r="P152" s="525" t="str">
        <f>_xlfn.XLOOKUP(E152,'All Products'!D:D,'All Products'!J:J,FALSE)</f>
        <v>Manufactured</v>
      </c>
      <c r="Q152" s="525" t="str">
        <f>_xlfn.XLOOKUP(F152,'All Products'!E:E,'All Products'!K:K,FALSE)</f>
        <v>810673013746</v>
      </c>
      <c r="R152" s="525" t="str">
        <f>_xlfn.XLOOKUP(E152,'All Products'!D:D,'All Products'!L:L,FALSE)</f>
        <v>-</v>
      </c>
      <c r="S152" s="525" t="str">
        <f>_xlfn.XLOOKUP(E152,'All Products'!D:D,'All Products'!M:M,FALSE)</f>
        <v>810673011513</v>
      </c>
      <c r="T152" s="530">
        <f>_xlfn.XLOOKUP(E152,'All Products'!D:D,'All Products'!N:N,FALSE)</f>
        <v>1.0009999999999999</v>
      </c>
      <c r="U152" s="530">
        <f>_xlfn.XLOOKUP(E152,'All Products'!D:D,'All Products'!P:P,FALSE)</f>
        <v>5.004999999999999</v>
      </c>
      <c r="V152" s="530">
        <f>_xlfn.XLOOKUP(E152,'All Products'!D:D,'All Products'!Q:Q,FALSE)</f>
        <v>0.4856358104657279</v>
      </c>
    </row>
    <row r="153" spans="1:22">
      <c r="A153" s="5" t="str">
        <f>IF(K153&gt;0,COUNT($A$7:A152)+1,"")</f>
        <v/>
      </c>
      <c r="B153" s="26"/>
      <c r="C153" s="49"/>
      <c r="D153" s="512" t="str">
        <f>_xlfn.XLOOKUP(E153,'All Products'!D:D,'All Products'!C:C,FALSE)</f>
        <v>400-3462</v>
      </c>
      <c r="E153" s="106">
        <v>300005667</v>
      </c>
      <c r="F153" s="522" t="str">
        <f>_xlfn.XLOOKUP(E153,'All Products'!D:D,'All Products'!E:E,FALSE)</f>
        <v>1-1/4 SANITARY TEE DWV</v>
      </c>
      <c r="G153" s="282">
        <f>_xlfn.XLOOKUP(E153,'All Products'!D:D,'All Products'!F:F,FALSE)</f>
        <v>50</v>
      </c>
      <c r="H153" s="533">
        <f>_xlfn.XLOOKUP(E153,'All Products'!D:D,'All Products'!G:G,FALSE)</f>
        <v>2000</v>
      </c>
      <c r="I153" s="512">
        <f>_xlfn.XLOOKUP(E153,'All Products'!D:D,'All Products'!H:H,FALSE)</f>
        <v>130.01</v>
      </c>
      <c r="J153" s="216">
        <f>ROUNDUP(I153*Order_Quote!$L$2,2)</f>
        <v>650.04999999999995</v>
      </c>
      <c r="K153" s="123"/>
      <c r="L153" s="79"/>
      <c r="M153" s="107">
        <f t="shared" si="2"/>
        <v>0</v>
      </c>
      <c r="O153" s="525" t="str">
        <f>_xlfn.XLOOKUP(E153,'All Products'!D:D,'All Products'!I:I,FALSE)</f>
        <v>Within 6 Weeks</v>
      </c>
      <c r="P153" s="525" t="str">
        <f>_xlfn.XLOOKUP(E153,'All Products'!D:D,'All Products'!J:J,FALSE)</f>
        <v>Sourced</v>
      </c>
      <c r="Q153" s="525" t="str">
        <f>_xlfn.XLOOKUP(F153,'All Products'!E:E,'All Products'!K:K,FALSE)</f>
        <v>810673013913</v>
      </c>
      <c r="R153" s="525" t="str">
        <f>_xlfn.XLOOKUP(E153,'All Products'!D:D,'All Products'!L:L,FALSE)</f>
        <v>-</v>
      </c>
      <c r="S153" s="525">
        <f>_xlfn.XLOOKUP(E153,'All Products'!D:D,'All Products'!M:M,FALSE)</f>
        <v>0</v>
      </c>
      <c r="T153" s="530">
        <f>_xlfn.XLOOKUP(E153,'All Products'!D:D,'All Products'!N:N,FALSE)</f>
        <v>0.24</v>
      </c>
      <c r="U153" s="530">
        <f>_xlfn.XLOOKUP(E153,'All Products'!D:D,'All Products'!P:P,FALSE)</f>
        <v>12</v>
      </c>
      <c r="V153" s="530" t="str">
        <f>_xlfn.XLOOKUP(E153,'All Products'!D:D,'All Products'!Q:Q,FALSE)</f>
        <v>-</v>
      </c>
    </row>
    <row r="154" spans="1:22">
      <c r="A154" s="5" t="str">
        <f>IF(K154&gt;0,COUNT($A$7:A153)+1,"")</f>
        <v/>
      </c>
      <c r="B154" s="34"/>
      <c r="C154" s="50"/>
      <c r="D154" s="512" t="str">
        <f>_xlfn.XLOOKUP(E154,'All Products'!D:D,'All Products'!C:C,FALSE)</f>
        <v>400-3463</v>
      </c>
      <c r="E154" s="106">
        <v>100028992</v>
      </c>
      <c r="F154" s="522" t="str">
        <f>_xlfn.XLOOKUP(E154,'All Products'!D:D,'All Products'!E:E,FALSE)</f>
        <v>1-1/2 SANITARY TEE DWV</v>
      </c>
      <c r="G154" s="282">
        <f>_xlfn.XLOOKUP(E154,'All Products'!D:D,'All Products'!F:F,FALSE)</f>
        <v>100</v>
      </c>
      <c r="H154" s="533">
        <f>_xlfn.XLOOKUP(E154,'All Products'!D:D,'All Products'!G:G,FALSE)</f>
        <v>1800</v>
      </c>
      <c r="I154" s="512">
        <f>_xlfn.XLOOKUP(E154,'All Products'!D:D,'All Products'!H:H,FALSE)</f>
        <v>50.31</v>
      </c>
      <c r="J154" s="216">
        <f>ROUNDUP(I154*Order_Quote!$L$2,2)</f>
        <v>251.55</v>
      </c>
      <c r="K154" s="123"/>
      <c r="L154" s="79"/>
      <c r="M154" s="107">
        <f t="shared" si="2"/>
        <v>0</v>
      </c>
      <c r="O154" s="525" t="str">
        <f>_xlfn.XLOOKUP(E154,'All Products'!D:D,'All Products'!I:I,FALSE)</f>
        <v>In Stock</v>
      </c>
      <c r="P154" s="525" t="str">
        <f>_xlfn.XLOOKUP(E154,'All Products'!D:D,'All Products'!J:J,FALSE)</f>
        <v>Manufactured</v>
      </c>
      <c r="Q154" s="525" t="str">
        <f>_xlfn.XLOOKUP(F154,'All Products'!E:E,'All Products'!K:K,FALSE)</f>
        <v>810673013920</v>
      </c>
      <c r="R154" s="525" t="str">
        <f>_xlfn.XLOOKUP(E154,'All Products'!D:D,'All Products'!L:L,FALSE)</f>
        <v>-</v>
      </c>
      <c r="S154" s="525" t="str">
        <f>_xlfn.XLOOKUP(E154,'All Products'!D:D,'All Products'!M:M,FALSE)</f>
        <v>10810673013927</v>
      </c>
      <c r="T154" s="530">
        <f>_xlfn.XLOOKUP(E154,'All Products'!D:D,'All Products'!N:N,FALSE)</f>
        <v>0.30499999999999999</v>
      </c>
      <c r="U154" s="530">
        <f>_xlfn.XLOOKUP(E154,'All Products'!D:D,'All Products'!P:P,FALSE)</f>
        <v>30.5</v>
      </c>
      <c r="V154" s="530">
        <f>_xlfn.XLOOKUP(E154,'All Products'!D:D,'All Products'!Q:Q,FALSE)</f>
        <v>2.361325291407383</v>
      </c>
    </row>
    <row r="155" spans="1:22">
      <c r="A155" s="5" t="str">
        <f>IF(K155&gt;0,COUNT($A$7:A154)+1,"")</f>
        <v/>
      </c>
      <c r="B155" s="34"/>
      <c r="C155" s="50"/>
      <c r="D155" s="512" t="str">
        <f>_xlfn.XLOOKUP(E155,'All Products'!D:D,'All Products'!C:C,FALSE)</f>
        <v>400-3464</v>
      </c>
      <c r="E155" s="106">
        <v>100028993</v>
      </c>
      <c r="F155" s="522" t="str">
        <f>_xlfn.XLOOKUP(E155,'All Products'!D:D,'All Products'!E:E,FALSE)</f>
        <v>2 SANITARY TEE DWV</v>
      </c>
      <c r="G155" s="282">
        <f>_xlfn.XLOOKUP(E155,'All Products'!D:D,'All Products'!F:F,FALSE)</f>
        <v>35</v>
      </c>
      <c r="H155" s="533">
        <f>_xlfn.XLOOKUP(E155,'All Products'!D:D,'All Products'!G:G,FALSE)</f>
        <v>840</v>
      </c>
      <c r="I155" s="512">
        <f>_xlfn.XLOOKUP(E155,'All Products'!D:D,'All Products'!H:H,FALSE)</f>
        <v>74.069999999999993</v>
      </c>
      <c r="J155" s="216">
        <f>ROUNDUP(I155*Order_Quote!$L$2,2)</f>
        <v>370.35</v>
      </c>
      <c r="K155" s="123"/>
      <c r="L155" s="79"/>
      <c r="M155" s="107">
        <f t="shared" si="2"/>
        <v>0</v>
      </c>
      <c r="O155" s="525" t="str">
        <f>_xlfn.XLOOKUP(E155,'All Products'!D:D,'All Products'!I:I,FALSE)</f>
        <v>In Stock</v>
      </c>
      <c r="P155" s="525" t="str">
        <f>_xlfn.XLOOKUP(E155,'All Products'!D:D,'All Products'!J:J,FALSE)</f>
        <v>Manufactured</v>
      </c>
      <c r="Q155" s="525" t="str">
        <f>_xlfn.XLOOKUP(F155,'All Products'!E:E,'All Products'!K:K,FALSE)</f>
        <v>810673013937</v>
      </c>
      <c r="R155" s="525" t="str">
        <f>_xlfn.XLOOKUP(E155,'All Products'!D:D,'All Products'!L:L,FALSE)</f>
        <v>-</v>
      </c>
      <c r="S155" s="525" t="str">
        <f>_xlfn.XLOOKUP(E155,'All Products'!D:D,'All Products'!M:M,FALSE)</f>
        <v>10810673013934</v>
      </c>
      <c r="T155" s="530">
        <f>_xlfn.XLOOKUP(E155,'All Products'!D:D,'All Products'!N:N,FALSE)</f>
        <v>0.51700000000000002</v>
      </c>
      <c r="U155" s="530">
        <f>_xlfn.XLOOKUP(E155,'All Products'!D:D,'All Products'!P:P,FALSE)</f>
        <v>18.094999999999999</v>
      </c>
      <c r="V155" s="530">
        <f>_xlfn.XLOOKUP(E155,'All Products'!D:D,'All Products'!Q:Q,FALSE)</f>
        <v>1.8803145838984718</v>
      </c>
    </row>
    <row r="156" spans="1:22">
      <c r="A156" s="5" t="str">
        <f>IF(K156&gt;0,COUNT($A$7:A155)+1,"")</f>
        <v/>
      </c>
      <c r="B156" s="34"/>
      <c r="C156" s="50"/>
      <c r="D156" s="512" t="str">
        <f>_xlfn.XLOOKUP(E156,'All Products'!D:D,'All Products'!C:C,FALSE)</f>
        <v>400-3465</v>
      </c>
      <c r="E156" s="106">
        <v>100028994</v>
      </c>
      <c r="F156" s="522" t="str">
        <f>_xlfn.XLOOKUP(E156,'All Products'!D:D,'All Products'!E:E,FALSE)</f>
        <v>3 SANITARY TEE DWV</v>
      </c>
      <c r="G156" s="282">
        <f>_xlfn.XLOOKUP(E156,'All Products'!D:D,'All Products'!F:F,FALSE)</f>
        <v>30</v>
      </c>
      <c r="H156" s="533">
        <f>_xlfn.XLOOKUP(E156,'All Products'!D:D,'All Products'!G:G,FALSE)</f>
        <v>360</v>
      </c>
      <c r="I156" s="512">
        <f>_xlfn.XLOOKUP(E156,'All Products'!D:D,'All Products'!H:H,FALSE)</f>
        <v>195.07</v>
      </c>
      <c r="J156" s="216">
        <f>ROUNDUP(I156*Order_Quote!$L$2,2)</f>
        <v>975.35</v>
      </c>
      <c r="K156" s="123"/>
      <c r="L156" s="79"/>
      <c r="M156" s="107">
        <f t="shared" si="2"/>
        <v>0</v>
      </c>
      <c r="O156" s="525" t="str">
        <f>_xlfn.XLOOKUP(E156,'All Products'!D:D,'All Products'!I:I,FALSE)</f>
        <v>In Stock</v>
      </c>
      <c r="P156" s="525" t="str">
        <f>_xlfn.XLOOKUP(E156,'All Products'!D:D,'All Products'!J:J,FALSE)</f>
        <v>Manufactured</v>
      </c>
      <c r="Q156" s="525" t="str">
        <f>_xlfn.XLOOKUP(F156,'All Products'!E:E,'All Products'!K:K,FALSE)</f>
        <v>810673013944</v>
      </c>
      <c r="R156" s="525" t="str">
        <f>_xlfn.XLOOKUP(E156,'All Products'!D:D,'All Products'!L:L,FALSE)</f>
        <v>-</v>
      </c>
      <c r="S156" s="525" t="str">
        <f>_xlfn.XLOOKUP(E156,'All Products'!D:D,'All Products'!M:M,FALSE)</f>
        <v>10810673013941</v>
      </c>
      <c r="T156" s="530">
        <f>_xlfn.XLOOKUP(E156,'All Products'!D:D,'All Products'!N:N,FALSE)</f>
        <v>1.4930000000000001</v>
      </c>
      <c r="U156" s="530">
        <f>_xlfn.XLOOKUP(E156,'All Products'!D:D,'All Products'!P:P,FALSE)</f>
        <v>44.790000000000006</v>
      </c>
      <c r="V156" s="530">
        <f>_xlfn.XLOOKUP(E156,'All Products'!D:D,'All Products'!Q:Q,FALSE)</f>
        <v>3.6731726755225957</v>
      </c>
    </row>
    <row r="157" spans="1:22">
      <c r="A157" s="5" t="str">
        <f>IF(K157&gt;0,COUNT($A$7:A156)+1,"")</f>
        <v/>
      </c>
      <c r="B157" s="34"/>
      <c r="C157" s="50"/>
      <c r="D157" s="512" t="str">
        <f>_xlfn.XLOOKUP(E157,'All Products'!D:D,'All Products'!C:C,FALSE)</f>
        <v>400-3466</v>
      </c>
      <c r="E157" s="106">
        <v>100028995</v>
      </c>
      <c r="F157" s="522" t="str">
        <f>_xlfn.XLOOKUP(E157,'All Products'!D:D,'All Products'!E:E,FALSE)</f>
        <v>4 SANITARY TEE DWV</v>
      </c>
      <c r="G157" s="282">
        <f>_xlfn.XLOOKUP(E157,'All Products'!D:D,'All Products'!F:F,FALSE)</f>
        <v>5</v>
      </c>
      <c r="H157" s="533">
        <f>_xlfn.XLOOKUP(E157,'All Products'!D:D,'All Products'!G:G,FALSE)</f>
        <v>160</v>
      </c>
      <c r="I157" s="512">
        <f>_xlfn.XLOOKUP(E157,'All Products'!D:D,'All Products'!H:H,FALSE)</f>
        <v>356.21</v>
      </c>
      <c r="J157" s="216">
        <f>ROUNDUP(I157*Order_Quote!$L$2,2)</f>
        <v>1781.05</v>
      </c>
      <c r="K157" s="123"/>
      <c r="L157" s="79"/>
      <c r="M157" s="107">
        <f t="shared" si="2"/>
        <v>0</v>
      </c>
      <c r="O157" s="525" t="str">
        <f>_xlfn.XLOOKUP(E157,'All Products'!D:D,'All Products'!I:I,FALSE)</f>
        <v>In Stock</v>
      </c>
      <c r="P157" s="525" t="str">
        <f>_xlfn.XLOOKUP(E157,'All Products'!D:D,'All Products'!J:J,FALSE)</f>
        <v>Manufactured</v>
      </c>
      <c r="Q157" s="525" t="str">
        <f>_xlfn.XLOOKUP(F157,'All Products'!E:E,'All Products'!K:K,FALSE)</f>
        <v>810673013951</v>
      </c>
      <c r="R157" s="525" t="str">
        <f>_xlfn.XLOOKUP(E157,'All Products'!D:D,'All Products'!L:L,FALSE)</f>
        <v>-</v>
      </c>
      <c r="S157" s="525" t="str">
        <f>_xlfn.XLOOKUP(E157,'All Products'!D:D,'All Products'!M:M,FALSE)</f>
        <v>10810673013958</v>
      </c>
      <c r="T157" s="530">
        <f>_xlfn.XLOOKUP(E157,'All Products'!D:D,'All Products'!N:N,FALSE)</f>
        <v>2.9740000000000002</v>
      </c>
      <c r="U157" s="530">
        <f>_xlfn.XLOOKUP(E157,'All Products'!D:D,'All Products'!P:P,FALSE)</f>
        <v>14.870000000000001</v>
      </c>
      <c r="V157" s="530">
        <f>_xlfn.XLOOKUP(E157,'All Products'!D:D,'All Products'!Q:Q,FALSE)</f>
        <v>1.3788503419060438</v>
      </c>
    </row>
    <row r="158" spans="1:22">
      <c r="A158" s="5" t="str">
        <f>IF(K158&gt;0,COUNT($A$7:A157)+1,"")</f>
        <v/>
      </c>
      <c r="B158" s="23"/>
      <c r="C158" s="51"/>
      <c r="D158" s="512" t="str">
        <f>_xlfn.XLOOKUP(E158,'All Products'!D:D,'All Products'!C:C,FALSE)</f>
        <v>400-3467</v>
      </c>
      <c r="E158" s="106">
        <v>100028996</v>
      </c>
      <c r="F158" s="522" t="str">
        <f>_xlfn.XLOOKUP(E158,'All Products'!D:D,'All Products'!E:E,FALSE)</f>
        <v>6 SANITARY TEE DWV</v>
      </c>
      <c r="G158" s="282">
        <f>_xlfn.XLOOKUP(E158,'All Products'!D:D,'All Products'!F:F,FALSE)</f>
        <v>4</v>
      </c>
      <c r="H158" s="533">
        <f>_xlfn.XLOOKUP(E158,'All Products'!D:D,'All Products'!G:G,FALSE)</f>
        <v>48</v>
      </c>
      <c r="I158" s="512">
        <f>_xlfn.XLOOKUP(E158,'All Products'!D:D,'All Products'!H:H,FALSE)</f>
        <v>1430.47</v>
      </c>
      <c r="J158" s="216">
        <f>ROUNDUP(I158*Order_Quote!$L$2,2)</f>
        <v>7152.35</v>
      </c>
      <c r="K158" s="123"/>
      <c r="L158" s="79"/>
      <c r="M158" s="107">
        <f t="shared" si="2"/>
        <v>0</v>
      </c>
      <c r="O158" s="525" t="str">
        <f>_xlfn.XLOOKUP(E158,'All Products'!D:D,'All Products'!I:I,FALSE)</f>
        <v>In Stock</v>
      </c>
      <c r="P158" s="525" t="str">
        <f>_xlfn.XLOOKUP(E158,'All Products'!D:D,'All Products'!J:J,FALSE)</f>
        <v>Manufactured</v>
      </c>
      <c r="Q158" s="525" t="str">
        <f>_xlfn.XLOOKUP(F158,'All Products'!E:E,'All Products'!K:K,FALSE)</f>
        <v>810673014118</v>
      </c>
      <c r="R158" s="525" t="str">
        <f>_xlfn.XLOOKUP(E158,'All Products'!D:D,'All Products'!L:L,FALSE)</f>
        <v>-</v>
      </c>
      <c r="S158" s="525" t="str">
        <f>_xlfn.XLOOKUP(E158,'All Products'!D:D,'All Products'!M:M,FALSE)</f>
        <v>812361015575</v>
      </c>
      <c r="T158" s="530">
        <f>_xlfn.XLOOKUP(E158,'All Products'!D:D,'All Products'!N:N,FALSE)</f>
        <v>6.8339999999999996</v>
      </c>
      <c r="U158" s="530">
        <f>_xlfn.XLOOKUP(E158,'All Products'!D:D,'All Products'!P:P,FALSE)</f>
        <v>27.335999999999999</v>
      </c>
      <c r="V158" s="530">
        <f>_xlfn.XLOOKUP(E158,'All Products'!D:D,'All Products'!Q:Q,FALSE)</f>
        <v>3.6731726755225957</v>
      </c>
    </row>
    <row r="159" spans="1:22">
      <c r="A159" s="5" t="str">
        <f>IF(K159&gt;0,COUNT($A$7:A158)+1,"")</f>
        <v/>
      </c>
      <c r="B159" s="26"/>
      <c r="C159" s="49"/>
      <c r="D159" s="512" t="str">
        <f>_xlfn.XLOOKUP(E159,'All Products'!D:D,'All Products'!C:C,FALSE)</f>
        <v>401-3469</v>
      </c>
      <c r="E159" s="106">
        <v>100028997</v>
      </c>
      <c r="F159" s="522" t="str">
        <f>_xlfn.XLOOKUP(E159,'All Products'!D:D,'All Products'!E:E,FALSE)</f>
        <v>2X1-1/2X1-1/2 SANITARY TEE RED DWV</v>
      </c>
      <c r="G159" s="282">
        <f>_xlfn.XLOOKUP(E159,'All Products'!D:D,'All Products'!F:F,FALSE)</f>
        <v>25</v>
      </c>
      <c r="H159" s="533">
        <f>_xlfn.XLOOKUP(E159,'All Products'!D:D,'All Products'!G:G,FALSE)</f>
        <v>1125</v>
      </c>
      <c r="I159" s="512">
        <f>_xlfn.XLOOKUP(E159,'All Products'!D:D,'All Products'!H:H,FALSE)</f>
        <v>65.19</v>
      </c>
      <c r="J159" s="216">
        <f>ROUNDUP(I159*Order_Quote!$L$2,2)</f>
        <v>325.95</v>
      </c>
      <c r="K159" s="123"/>
      <c r="L159" s="79"/>
      <c r="M159" s="107">
        <f t="shared" si="2"/>
        <v>0</v>
      </c>
      <c r="O159" s="525" t="str">
        <f>_xlfn.XLOOKUP(E159,'All Products'!D:D,'All Products'!I:I,FALSE)</f>
        <v>In Stock</v>
      </c>
      <c r="P159" s="525" t="str">
        <f>_xlfn.XLOOKUP(E159,'All Products'!D:D,'All Products'!J:J,FALSE)</f>
        <v>Manufactured</v>
      </c>
      <c r="Q159" s="525" t="str">
        <f>_xlfn.XLOOKUP(F159,'All Products'!E:E,'All Products'!K:K,FALSE)</f>
        <v>810673014897</v>
      </c>
      <c r="R159" s="525" t="str">
        <f>_xlfn.XLOOKUP(E159,'All Products'!D:D,'All Products'!L:L,FALSE)</f>
        <v>-</v>
      </c>
      <c r="S159" s="525" t="str">
        <f>_xlfn.XLOOKUP(E159,'All Products'!D:D,'All Products'!M:M,FALSE)</f>
        <v>810673014910</v>
      </c>
      <c r="T159" s="530">
        <f>_xlfn.XLOOKUP(E159,'All Products'!D:D,'All Products'!N:N,FALSE)</f>
        <v>0.42699999999999999</v>
      </c>
      <c r="U159" s="530">
        <f>_xlfn.XLOOKUP(E159,'All Products'!D:D,'All Products'!P:P,FALSE)</f>
        <v>10.674999999999999</v>
      </c>
      <c r="V159" s="530">
        <f>_xlfn.XLOOKUP(E159,'All Products'!D:D,'All Products'!Q:Q,FALSE)</f>
        <v>0.98955954024750914</v>
      </c>
    </row>
    <row r="160" spans="1:22">
      <c r="A160" s="5" t="str">
        <f>IF(K160&gt;0,COUNT($A$7:A159)+1,"")</f>
        <v/>
      </c>
      <c r="B160" s="34"/>
      <c r="C160" s="50"/>
      <c r="D160" s="512" t="str">
        <f>_xlfn.XLOOKUP(E160,'All Products'!D:D,'All Products'!C:C,FALSE)</f>
        <v>401-3470</v>
      </c>
      <c r="E160" s="106">
        <v>100028998</v>
      </c>
      <c r="F160" s="522" t="str">
        <f>_xlfn.XLOOKUP(E160,'All Products'!D:D,'All Products'!E:E,FALSE)</f>
        <v>2X1-1/2X2 SANITARY TEE RED DWV</v>
      </c>
      <c r="G160" s="282">
        <f>_xlfn.XLOOKUP(E160,'All Products'!D:D,'All Products'!F:F,FALSE)</f>
        <v>25</v>
      </c>
      <c r="H160" s="533">
        <f>_xlfn.XLOOKUP(E160,'All Products'!D:D,'All Products'!G:G,FALSE)</f>
        <v>800</v>
      </c>
      <c r="I160" s="512">
        <f>_xlfn.XLOOKUP(E160,'All Products'!D:D,'All Products'!H:H,FALSE)</f>
        <v>78.66</v>
      </c>
      <c r="J160" s="216">
        <f>ROUNDUP(I160*Order_Quote!$L$2,2)</f>
        <v>393.3</v>
      </c>
      <c r="K160" s="123"/>
      <c r="L160" s="79"/>
      <c r="M160" s="107">
        <f t="shared" si="2"/>
        <v>0</v>
      </c>
      <c r="O160" s="525" t="str">
        <f>_xlfn.XLOOKUP(E160,'All Products'!D:D,'All Products'!I:I,FALSE)</f>
        <v>In Stock</v>
      </c>
      <c r="P160" s="525" t="str">
        <f>_xlfn.XLOOKUP(E160,'All Products'!D:D,'All Products'!J:J,FALSE)</f>
        <v>Manufactured</v>
      </c>
      <c r="Q160" s="525" t="str">
        <f>_xlfn.XLOOKUP(F160,'All Products'!E:E,'All Products'!K:K,FALSE)</f>
        <v>810673014927</v>
      </c>
      <c r="R160" s="525" t="str">
        <f>_xlfn.XLOOKUP(E160,'All Products'!D:D,'All Products'!L:L,FALSE)</f>
        <v>-</v>
      </c>
      <c r="S160" s="525" t="str">
        <f>_xlfn.XLOOKUP(E160,'All Products'!D:D,'All Products'!M:M,FALSE)</f>
        <v>810673014934</v>
      </c>
      <c r="T160" s="530">
        <f>_xlfn.XLOOKUP(E160,'All Products'!D:D,'All Products'!N:N,FALSE)</f>
        <v>0.53</v>
      </c>
      <c r="U160" s="530">
        <f>_xlfn.XLOOKUP(E160,'All Products'!D:D,'All Products'!P:P,FALSE)</f>
        <v>13.25</v>
      </c>
      <c r="V160" s="530">
        <f>_xlfn.XLOOKUP(E160,'All Products'!D:D,'All Products'!Q:Q,FALSE)</f>
        <v>1.3788503419060438</v>
      </c>
    </row>
    <row r="161" spans="1:22">
      <c r="A161" s="5" t="str">
        <f>IF(K161&gt;0,COUNT($A$7:A160)+1,"")</f>
        <v/>
      </c>
      <c r="B161" s="34"/>
      <c r="C161" s="50"/>
      <c r="D161" s="512" t="str">
        <f>_xlfn.XLOOKUP(E161,'All Products'!D:D,'All Products'!C:C,FALSE)</f>
        <v>401-3471</v>
      </c>
      <c r="E161" s="106">
        <v>100028999</v>
      </c>
      <c r="F161" s="522" t="str">
        <f>_xlfn.XLOOKUP(E161,'All Products'!D:D,'All Products'!E:E,FALSE)</f>
        <v>2X2X1-1/2 SANITARY TEE RED DWV</v>
      </c>
      <c r="G161" s="282">
        <f>_xlfn.XLOOKUP(E161,'All Products'!D:D,'All Products'!F:F,FALSE)</f>
        <v>50</v>
      </c>
      <c r="H161" s="533">
        <f>_xlfn.XLOOKUP(E161,'All Products'!D:D,'All Products'!G:G,FALSE)</f>
        <v>1200</v>
      </c>
      <c r="I161" s="512">
        <f>_xlfn.XLOOKUP(E161,'All Products'!D:D,'All Products'!H:H,FALSE)</f>
        <v>65.44</v>
      </c>
      <c r="J161" s="216">
        <f>ROUNDUP(I161*Order_Quote!$L$2,2)</f>
        <v>327.2</v>
      </c>
      <c r="K161" s="123"/>
      <c r="L161" s="79"/>
      <c r="M161" s="107">
        <f t="shared" si="2"/>
        <v>0</v>
      </c>
      <c r="O161" s="525" t="str">
        <f>_xlfn.XLOOKUP(E161,'All Products'!D:D,'All Products'!I:I,FALSE)</f>
        <v>In Stock</v>
      </c>
      <c r="P161" s="525" t="str">
        <f>_xlfn.XLOOKUP(E161,'All Products'!D:D,'All Products'!J:J,FALSE)</f>
        <v>Manufactured</v>
      </c>
      <c r="Q161" s="525" t="str">
        <f>_xlfn.XLOOKUP(F161,'All Products'!E:E,'All Products'!K:K,FALSE)</f>
        <v>810673014941</v>
      </c>
      <c r="R161" s="525" t="str">
        <f>_xlfn.XLOOKUP(E161,'All Products'!D:D,'All Products'!L:L,FALSE)</f>
        <v>-</v>
      </c>
      <c r="S161" s="525" t="str">
        <f>_xlfn.XLOOKUP(E161,'All Products'!D:D,'All Products'!M:M,FALSE)</f>
        <v>10810673014948</v>
      </c>
      <c r="T161" s="530">
        <f>_xlfn.XLOOKUP(E161,'All Products'!D:D,'All Products'!N:N,FALSE)</f>
        <v>0.42599999999999999</v>
      </c>
      <c r="U161" s="530">
        <f>_xlfn.XLOOKUP(E161,'All Products'!D:D,'All Products'!P:P,FALSE)</f>
        <v>21.3</v>
      </c>
      <c r="V161" s="530">
        <f>_xlfn.XLOOKUP(E161,'All Products'!D:D,'All Products'!Q:Q,FALSE)</f>
        <v>1.8803145838984718</v>
      </c>
    </row>
    <row r="162" spans="1:22">
      <c r="A162" s="5" t="str">
        <f>IF(K162&gt;0,COUNT($A$7:A161)+1,"")</f>
        <v/>
      </c>
      <c r="B162" s="34"/>
      <c r="C162" s="50"/>
      <c r="D162" s="512" t="str">
        <f>_xlfn.XLOOKUP(E162,'All Products'!D:D,'All Products'!C:C,FALSE)</f>
        <v>401-3472</v>
      </c>
      <c r="E162" s="106">
        <v>100029000</v>
      </c>
      <c r="F162" s="522" t="str">
        <f>_xlfn.XLOOKUP(E162,'All Products'!D:D,'All Products'!E:E,FALSE)</f>
        <v>3X3X1-1/2 SANITARY TEE RED DWV</v>
      </c>
      <c r="G162" s="282">
        <f>_xlfn.XLOOKUP(E162,'All Products'!D:D,'All Products'!F:F,FALSE)</f>
        <v>20</v>
      </c>
      <c r="H162" s="533">
        <f>_xlfn.XLOOKUP(E162,'All Products'!D:D,'All Products'!G:G,FALSE)</f>
        <v>640</v>
      </c>
      <c r="I162" s="512">
        <f>_xlfn.XLOOKUP(E162,'All Products'!D:D,'All Products'!H:H,FALSE)</f>
        <v>141.69999999999999</v>
      </c>
      <c r="J162" s="216">
        <f>ROUNDUP(I162*Order_Quote!$L$2,2)</f>
        <v>708.5</v>
      </c>
      <c r="K162" s="123"/>
      <c r="L162" s="79"/>
      <c r="M162" s="107">
        <f t="shared" si="2"/>
        <v>0</v>
      </c>
      <c r="O162" s="525" t="str">
        <f>_xlfn.XLOOKUP(E162,'All Products'!D:D,'All Products'!I:I,FALSE)</f>
        <v>In Stock</v>
      </c>
      <c r="P162" s="525" t="str">
        <f>_xlfn.XLOOKUP(E162,'All Products'!D:D,'All Products'!J:J,FALSE)</f>
        <v>Manufactured</v>
      </c>
      <c r="Q162" s="525" t="str">
        <f>_xlfn.XLOOKUP(F162,'All Products'!E:E,'All Products'!K:K,FALSE)</f>
        <v>810673014965</v>
      </c>
      <c r="R162" s="525" t="str">
        <f>_xlfn.XLOOKUP(E162,'All Products'!D:D,'All Products'!L:L,FALSE)</f>
        <v>-</v>
      </c>
      <c r="S162" s="525" t="str">
        <f>_xlfn.XLOOKUP(E162,'All Products'!D:D,'All Products'!M:M,FALSE)</f>
        <v>10810673014962</v>
      </c>
      <c r="T162" s="530">
        <f>_xlfn.XLOOKUP(E162,'All Products'!D:D,'All Products'!N:N,FALSE)</f>
        <v>0.93899999999999995</v>
      </c>
      <c r="U162" s="530">
        <f>_xlfn.XLOOKUP(E162,'All Products'!D:D,'All Products'!P:P,FALSE)</f>
        <v>18.779999999999998</v>
      </c>
      <c r="V162" s="530">
        <f>_xlfn.XLOOKUP(E162,'All Products'!D:D,'All Products'!Q:Q,FALSE)</f>
        <v>1.3788503419060438</v>
      </c>
    </row>
    <row r="163" spans="1:22">
      <c r="A163" s="5" t="str">
        <f>IF(K163&gt;0,COUNT($A$7:A162)+1,"")</f>
        <v/>
      </c>
      <c r="B163" s="34"/>
      <c r="C163" s="50"/>
      <c r="D163" s="512" t="str">
        <f>_xlfn.XLOOKUP(E163,'All Products'!D:D,'All Products'!C:C,FALSE)</f>
        <v>401-3473</v>
      </c>
      <c r="E163" s="106">
        <v>100029001</v>
      </c>
      <c r="F163" s="522" t="str">
        <f>_xlfn.XLOOKUP(E163,'All Products'!D:D,'All Products'!E:E,FALSE)</f>
        <v>3X3X2 SANITARY TEE RED DWV</v>
      </c>
      <c r="G163" s="282">
        <f>_xlfn.XLOOKUP(E163,'All Products'!D:D,'All Products'!F:F,FALSE)</f>
        <v>10</v>
      </c>
      <c r="H163" s="533">
        <f>_xlfn.XLOOKUP(E163,'All Products'!D:D,'All Products'!G:G,FALSE)</f>
        <v>320</v>
      </c>
      <c r="I163" s="512">
        <f>_xlfn.XLOOKUP(E163,'All Products'!D:D,'All Products'!H:H,FALSE)</f>
        <v>146.69999999999999</v>
      </c>
      <c r="J163" s="216">
        <f>ROUNDUP(I163*Order_Quote!$L$2,2)</f>
        <v>733.5</v>
      </c>
      <c r="K163" s="123"/>
      <c r="L163" s="79"/>
      <c r="M163" s="107">
        <f t="shared" si="2"/>
        <v>0</v>
      </c>
      <c r="O163" s="525" t="str">
        <f>_xlfn.XLOOKUP(E163,'All Products'!D:D,'All Products'!I:I,FALSE)</f>
        <v>In Stock</v>
      </c>
      <c r="P163" s="525" t="str">
        <f>_xlfn.XLOOKUP(E163,'All Products'!D:D,'All Products'!J:J,FALSE)</f>
        <v>Manufactured</v>
      </c>
      <c r="Q163" s="525" t="str">
        <f>_xlfn.XLOOKUP(F163,'All Products'!E:E,'All Products'!K:K,FALSE)</f>
        <v>810673014989</v>
      </c>
      <c r="R163" s="525" t="str">
        <f>_xlfn.XLOOKUP(E163,'All Products'!D:D,'All Products'!L:L,FALSE)</f>
        <v>-</v>
      </c>
      <c r="S163" s="525" t="str">
        <f>_xlfn.XLOOKUP(E163,'All Products'!D:D,'All Products'!M:M,FALSE)</f>
        <v>10810673014986</v>
      </c>
      <c r="T163" s="530">
        <f>_xlfn.XLOOKUP(E163,'All Products'!D:D,'All Products'!N:N,FALSE)</f>
        <v>1.1180000000000001</v>
      </c>
      <c r="U163" s="530">
        <f>_xlfn.XLOOKUP(E163,'All Products'!D:D,'All Products'!P:P,FALSE)</f>
        <v>11.180000000000001</v>
      </c>
      <c r="V163" s="530">
        <f>_xlfn.XLOOKUP(E163,'All Products'!D:D,'All Products'!Q:Q,FALSE)</f>
        <v>1.3788503419060438</v>
      </c>
    </row>
    <row r="164" spans="1:22">
      <c r="A164" s="5" t="str">
        <f>IF(K164&gt;0,COUNT($A$7:A163)+1,"")</f>
        <v/>
      </c>
      <c r="B164" s="34"/>
      <c r="C164" s="50"/>
      <c r="D164" s="512" t="str">
        <f>_xlfn.XLOOKUP(E164,'All Products'!D:D,'All Products'!C:C,FALSE)</f>
        <v>401-3475</v>
      </c>
      <c r="E164" s="106">
        <v>100029002</v>
      </c>
      <c r="F164" s="522" t="str">
        <f>_xlfn.XLOOKUP(E164,'All Products'!D:D,'All Products'!E:E,FALSE)</f>
        <v>4X4X2 SANITARY TEE RED DWV</v>
      </c>
      <c r="G164" s="282">
        <f>_xlfn.XLOOKUP(E164,'All Products'!D:D,'All Products'!F:F,FALSE)</f>
        <v>10</v>
      </c>
      <c r="H164" s="533">
        <f>_xlfn.XLOOKUP(E164,'All Products'!D:D,'All Products'!G:G,FALSE)</f>
        <v>320</v>
      </c>
      <c r="I164" s="512">
        <f>_xlfn.XLOOKUP(E164,'All Products'!D:D,'All Products'!H:H,FALSE)</f>
        <v>306.51</v>
      </c>
      <c r="J164" s="216">
        <f>ROUNDUP(I164*Order_Quote!$L$2,2)</f>
        <v>1532.55</v>
      </c>
      <c r="K164" s="123"/>
      <c r="L164" s="79"/>
      <c r="M164" s="107">
        <f t="shared" si="2"/>
        <v>0</v>
      </c>
      <c r="O164" s="525" t="str">
        <f>_xlfn.XLOOKUP(E164,'All Products'!D:D,'All Products'!I:I,FALSE)</f>
        <v>In Stock</v>
      </c>
      <c r="P164" s="525" t="str">
        <f>_xlfn.XLOOKUP(E164,'All Products'!D:D,'All Products'!J:J,FALSE)</f>
        <v>Manufactured</v>
      </c>
      <c r="Q164" s="525" t="str">
        <f>_xlfn.XLOOKUP(F164,'All Products'!E:E,'All Products'!K:K,FALSE)</f>
        <v>810673015009</v>
      </c>
      <c r="R164" s="525" t="str">
        <f>_xlfn.XLOOKUP(E164,'All Products'!D:D,'All Products'!L:L,FALSE)</f>
        <v>-</v>
      </c>
      <c r="S164" s="525" t="str">
        <f>_xlfn.XLOOKUP(E164,'All Products'!D:D,'All Products'!M:M,FALSE)</f>
        <v>10810673015006</v>
      </c>
      <c r="T164" s="530">
        <f>_xlfn.XLOOKUP(E164,'All Products'!D:D,'All Products'!N:N,FALSE)</f>
        <v>1.671</v>
      </c>
      <c r="U164" s="530">
        <f>_xlfn.XLOOKUP(E164,'All Products'!D:D,'All Products'!P:P,FALSE)</f>
        <v>16.71</v>
      </c>
      <c r="V164" s="530">
        <f>_xlfn.XLOOKUP(E164,'All Products'!D:D,'All Products'!Q:Q,FALSE)</f>
        <v>1.3788503419060438</v>
      </c>
    </row>
    <row r="165" spans="1:22">
      <c r="A165" s="5" t="str">
        <f>IF(K165&gt;0,COUNT($A$7:A164)+1,"")</f>
        <v/>
      </c>
      <c r="B165" s="34"/>
      <c r="C165" s="50"/>
      <c r="D165" s="512" t="str">
        <f>_xlfn.XLOOKUP(E165,'All Products'!D:D,'All Products'!C:C,FALSE)</f>
        <v>401-3476</v>
      </c>
      <c r="E165" s="106">
        <v>100029003</v>
      </c>
      <c r="F165" s="522" t="str">
        <f>_xlfn.XLOOKUP(E165,'All Products'!D:D,'All Products'!E:E,FALSE)</f>
        <v>4X4X3 SANITARY TEE RED DWV</v>
      </c>
      <c r="G165" s="282">
        <f>_xlfn.XLOOKUP(E165,'All Products'!D:D,'All Products'!F:F,FALSE)</f>
        <v>10</v>
      </c>
      <c r="H165" s="533">
        <f>_xlfn.XLOOKUP(E165,'All Products'!D:D,'All Products'!G:G,FALSE)</f>
        <v>180</v>
      </c>
      <c r="I165" s="512">
        <f>_xlfn.XLOOKUP(E165,'All Products'!D:D,'All Products'!H:H,FALSE)</f>
        <v>416.6</v>
      </c>
      <c r="J165" s="216">
        <f>ROUNDUP(I165*Order_Quote!$L$2,2)</f>
        <v>2083</v>
      </c>
      <c r="K165" s="123"/>
      <c r="L165" s="79"/>
      <c r="M165" s="107">
        <f t="shared" si="2"/>
        <v>0</v>
      </c>
      <c r="O165" s="525" t="str">
        <f>_xlfn.XLOOKUP(E165,'All Products'!D:D,'All Products'!I:I,FALSE)</f>
        <v>In Stock</v>
      </c>
      <c r="P165" s="525" t="str">
        <f>_xlfn.XLOOKUP(E165,'All Products'!D:D,'All Products'!J:J,FALSE)</f>
        <v>Manufactured</v>
      </c>
      <c r="Q165" s="525" t="str">
        <f>_xlfn.XLOOKUP(F165,'All Products'!E:E,'All Products'!K:K,FALSE)</f>
        <v>810673015023</v>
      </c>
      <c r="R165" s="525" t="str">
        <f>_xlfn.XLOOKUP(E165,'All Products'!D:D,'All Products'!L:L,FALSE)</f>
        <v>-</v>
      </c>
      <c r="S165" s="525" t="str">
        <f>_xlfn.XLOOKUP(E165,'All Products'!D:D,'All Products'!M:M,FALSE)</f>
        <v>10810673015020</v>
      </c>
      <c r="T165" s="530">
        <f>_xlfn.XLOOKUP(E165,'All Products'!D:D,'All Products'!N:N,FALSE)</f>
        <v>2.1989999999999998</v>
      </c>
      <c r="U165" s="530">
        <f>_xlfn.XLOOKUP(E165,'All Products'!D:D,'All Products'!P:P,FALSE)</f>
        <v>21.99</v>
      </c>
      <c r="V165" s="530">
        <f>_xlfn.XLOOKUP(E165,'All Products'!D:D,'All Products'!Q:Q,FALSE)</f>
        <v>2.361325291407383</v>
      </c>
    </row>
    <row r="166" spans="1:22">
      <c r="A166" s="5" t="str">
        <f>IF(K166&gt;0,COUNT($A$7:A165)+1,"")</f>
        <v/>
      </c>
      <c r="B166" s="23"/>
      <c r="C166" s="51"/>
      <c r="D166" s="512" t="str">
        <f>_xlfn.XLOOKUP(E166,'All Products'!D:D,'All Products'!C:C,FALSE)</f>
        <v>401-3477</v>
      </c>
      <c r="E166" s="106">
        <v>100029004</v>
      </c>
      <c r="F166" s="522" t="str">
        <f>_xlfn.XLOOKUP(E166,'All Products'!D:D,'All Products'!E:E,FALSE)</f>
        <v>6X6X4 SANITARY TEE RED DWV</v>
      </c>
      <c r="G166" s="282">
        <f>_xlfn.XLOOKUP(E166,'All Products'!D:D,'All Products'!F:F,FALSE)</f>
        <v>6</v>
      </c>
      <c r="H166" s="533">
        <f>_xlfn.XLOOKUP(E166,'All Products'!D:D,'All Products'!G:G,FALSE)</f>
        <v>72</v>
      </c>
      <c r="I166" s="512">
        <f>_xlfn.XLOOKUP(E166,'All Products'!D:D,'All Products'!H:H,FALSE)</f>
        <v>1383.4</v>
      </c>
      <c r="J166" s="216">
        <f>ROUNDUP(I166*Order_Quote!$L$2,2)</f>
        <v>6917</v>
      </c>
      <c r="K166" s="123"/>
      <c r="L166" s="79"/>
      <c r="M166" s="107">
        <f t="shared" si="2"/>
        <v>0</v>
      </c>
      <c r="O166" s="525" t="str">
        <f>_xlfn.XLOOKUP(E166,'All Products'!D:D,'All Products'!I:I,FALSE)</f>
        <v>In Stock</v>
      </c>
      <c r="P166" s="525" t="str">
        <f>_xlfn.XLOOKUP(E166,'All Products'!D:D,'All Products'!J:J,FALSE)</f>
        <v>Manufactured</v>
      </c>
      <c r="Q166" s="525" t="str">
        <f>_xlfn.XLOOKUP(F166,'All Products'!E:E,'All Products'!K:K,FALSE)</f>
        <v>812361013380</v>
      </c>
      <c r="R166" s="525" t="str">
        <f>_xlfn.XLOOKUP(E166,'All Products'!D:D,'All Products'!L:L,FALSE)</f>
        <v>-</v>
      </c>
      <c r="S166" s="525" t="str">
        <f>_xlfn.XLOOKUP(E166,'All Products'!D:D,'All Products'!M:M,FALSE)</f>
        <v>812361013397</v>
      </c>
      <c r="T166" s="530">
        <f>_xlfn.XLOOKUP(E166,'All Products'!D:D,'All Products'!N:N,FALSE)</f>
        <v>4.883</v>
      </c>
      <c r="U166" s="530">
        <f>_xlfn.XLOOKUP(E166,'All Products'!D:D,'All Products'!P:P,FALSE)</f>
        <v>29.298000000000002</v>
      </c>
      <c r="V166" s="530">
        <f>_xlfn.XLOOKUP(E166,'All Products'!D:D,'All Products'!Q:Q,FALSE)</f>
        <v>3.6731726755225957</v>
      </c>
    </row>
    <row r="167" spans="1:22">
      <c r="A167" s="5" t="str">
        <f>IF(K167&gt;0,COUNT($A$7:A166)+1,"")</f>
        <v/>
      </c>
      <c r="B167" s="26"/>
      <c r="C167" s="49"/>
      <c r="D167" s="512" t="str">
        <f>_xlfn.XLOOKUP(E167,'All Products'!D:D,'All Products'!C:C,FALSE)</f>
        <v>403-3479</v>
      </c>
      <c r="E167" s="106">
        <v>100029005</v>
      </c>
      <c r="F167" s="522" t="str">
        <f>_xlfn.XLOOKUP(E167,'All Products'!D:D,'All Products'!E:E,FALSE)</f>
        <v>1-1/2 SANITARY TEE STREET DWV</v>
      </c>
      <c r="G167" s="282">
        <f>_xlfn.XLOOKUP(E167,'All Products'!D:D,'All Products'!F:F,FALSE)</f>
        <v>20</v>
      </c>
      <c r="H167" s="533">
        <f>_xlfn.XLOOKUP(E167,'All Products'!D:D,'All Products'!G:G,FALSE)</f>
        <v>1600</v>
      </c>
      <c r="I167" s="512">
        <f>_xlfn.XLOOKUP(E167,'All Products'!D:D,'All Products'!H:H,FALSE)</f>
        <v>150.91999999999999</v>
      </c>
      <c r="J167" s="216">
        <f>ROUNDUP(I167*Order_Quote!$L$2,2)</f>
        <v>754.6</v>
      </c>
      <c r="K167" s="123"/>
      <c r="L167" s="79"/>
      <c r="M167" s="107">
        <f t="shared" si="2"/>
        <v>0</v>
      </c>
      <c r="O167" s="525" t="str">
        <f>_xlfn.XLOOKUP(E167,'All Products'!D:D,'All Products'!I:I,FALSE)</f>
        <v>Within 3 Weeks</v>
      </c>
      <c r="P167" s="525" t="str">
        <f>_xlfn.XLOOKUP(E167,'All Products'!D:D,'All Products'!J:J,FALSE)</f>
        <v>Manufactured</v>
      </c>
      <c r="Q167" s="525" t="str">
        <f>_xlfn.XLOOKUP(F167,'All Products'!E:E,'All Products'!K:K,FALSE)</f>
        <v>810673014170</v>
      </c>
      <c r="R167" s="525" t="str">
        <f>_xlfn.XLOOKUP(E167,'All Products'!D:D,'All Products'!L:L,FALSE)</f>
        <v>-</v>
      </c>
      <c r="S167" s="525" t="str">
        <f>_xlfn.XLOOKUP(E167,'All Products'!D:D,'All Products'!M:M,FALSE)</f>
        <v>810673014187</v>
      </c>
      <c r="T167" s="530">
        <f>_xlfn.XLOOKUP(E167,'All Products'!D:D,'All Products'!N:N,FALSE)</f>
        <v>0.32100000000000001</v>
      </c>
      <c r="U167" s="530">
        <f>_xlfn.XLOOKUP(E167,'All Products'!D:D,'All Products'!P:P,FALSE)</f>
        <v>6.42</v>
      </c>
      <c r="V167" s="530">
        <f>_xlfn.XLOOKUP(E167,'All Products'!D:D,'All Products'!Q:Q,FALSE)</f>
        <v>0.4856358104657279</v>
      </c>
    </row>
    <row r="168" spans="1:22">
      <c r="A168" s="5" t="str">
        <f>IF(K168&gt;0,COUNT($A$7:A167)+1,"")</f>
        <v/>
      </c>
      <c r="B168" s="34"/>
      <c r="C168" s="50"/>
      <c r="D168" s="512" t="str">
        <f>_xlfn.XLOOKUP(E168,'All Products'!D:D,'All Products'!C:C,FALSE)</f>
        <v>403-3480</v>
      </c>
      <c r="E168" s="106">
        <v>100029006</v>
      </c>
      <c r="F168" s="522" t="str">
        <f>_xlfn.XLOOKUP(E168,'All Products'!D:D,'All Products'!E:E,FALSE)</f>
        <v>2 SANITARY TEE STREET DWV</v>
      </c>
      <c r="G168" s="282">
        <f>_xlfn.XLOOKUP(E168,'All Products'!D:D,'All Products'!F:F,FALSE)</f>
        <v>25</v>
      </c>
      <c r="H168" s="533">
        <f>_xlfn.XLOOKUP(E168,'All Products'!D:D,'All Products'!G:G,FALSE)</f>
        <v>800</v>
      </c>
      <c r="I168" s="512">
        <f>_xlfn.XLOOKUP(E168,'All Products'!D:D,'All Products'!H:H,FALSE)</f>
        <v>146.38</v>
      </c>
      <c r="J168" s="216">
        <f>ROUNDUP(I168*Order_Quote!$L$2,2)</f>
        <v>731.9</v>
      </c>
      <c r="K168" s="123"/>
      <c r="L168" s="79"/>
      <c r="M168" s="107">
        <f t="shared" si="2"/>
        <v>0</v>
      </c>
      <c r="O168" s="525" t="str">
        <f>_xlfn.XLOOKUP(E168,'All Products'!D:D,'All Products'!I:I,FALSE)</f>
        <v>In Stock</v>
      </c>
      <c r="P168" s="525" t="str">
        <f>_xlfn.XLOOKUP(E168,'All Products'!D:D,'All Products'!J:J,FALSE)</f>
        <v>Manufactured</v>
      </c>
      <c r="Q168" s="525" t="str">
        <f>_xlfn.XLOOKUP(F168,'All Products'!E:E,'All Products'!K:K,FALSE)</f>
        <v>810673014194</v>
      </c>
      <c r="R168" s="525" t="str">
        <f>_xlfn.XLOOKUP(E168,'All Products'!D:D,'All Products'!L:L,FALSE)</f>
        <v>-</v>
      </c>
      <c r="S168" s="525" t="str">
        <f>_xlfn.XLOOKUP(E168,'All Products'!D:D,'All Products'!M:M,FALSE)</f>
        <v>810673014200</v>
      </c>
      <c r="T168" s="530">
        <f>_xlfn.XLOOKUP(E168,'All Products'!D:D,'All Products'!N:N,FALSE)</f>
        <v>0.52200000000000002</v>
      </c>
      <c r="U168" s="530">
        <f>_xlfn.XLOOKUP(E168,'All Products'!D:D,'All Products'!P:P,FALSE)</f>
        <v>13.05</v>
      </c>
      <c r="V168" s="530">
        <f>_xlfn.XLOOKUP(E168,'All Products'!D:D,'All Products'!Q:Q,FALSE)</f>
        <v>1.3788503419060438</v>
      </c>
    </row>
    <row r="169" spans="1:22">
      <c r="A169" s="5" t="str">
        <f>IF(K169&gt;0,COUNT($A$7:A168)+1,"")</f>
        <v/>
      </c>
      <c r="B169" s="34"/>
      <c r="C169" s="50"/>
      <c r="D169" s="512" t="str">
        <f>_xlfn.XLOOKUP(E169,'All Products'!D:D,'All Products'!C:C,FALSE)</f>
        <v>403-3481</v>
      </c>
      <c r="E169" s="106">
        <v>100029007</v>
      </c>
      <c r="F169" s="522" t="str">
        <f>_xlfn.XLOOKUP(E169,'All Products'!D:D,'All Products'!E:E,FALSE)</f>
        <v>3 SANITARY TEE STREET DWV</v>
      </c>
      <c r="G169" s="282">
        <f>_xlfn.XLOOKUP(E169,'All Products'!D:D,'All Products'!F:F,FALSE)</f>
        <v>30</v>
      </c>
      <c r="H169" s="533">
        <f>_xlfn.XLOOKUP(E169,'All Products'!D:D,'All Products'!G:G,FALSE)</f>
        <v>360</v>
      </c>
      <c r="I169" s="512">
        <f>_xlfn.XLOOKUP(E169,'All Products'!D:D,'All Products'!H:H,FALSE)</f>
        <v>244.02</v>
      </c>
      <c r="J169" s="216">
        <f>ROUNDUP(I169*Order_Quote!$L$2,2)</f>
        <v>1220.0999999999999</v>
      </c>
      <c r="K169" s="123"/>
      <c r="L169" s="79"/>
      <c r="M169" s="107">
        <f t="shared" si="2"/>
        <v>0</v>
      </c>
      <c r="O169" s="525" t="str">
        <f>_xlfn.XLOOKUP(E169,'All Products'!D:D,'All Products'!I:I,FALSE)</f>
        <v>In Stock</v>
      </c>
      <c r="P169" s="525" t="str">
        <f>_xlfn.XLOOKUP(E169,'All Products'!D:D,'All Products'!J:J,FALSE)</f>
        <v>Manufactured</v>
      </c>
      <c r="Q169" s="525" t="str">
        <f>_xlfn.XLOOKUP(F169,'All Products'!E:E,'All Products'!K:K,FALSE)</f>
        <v>810673014217</v>
      </c>
      <c r="R169" s="525" t="str">
        <f>_xlfn.XLOOKUP(E169,'All Products'!D:D,'All Products'!L:L,FALSE)</f>
        <v>-</v>
      </c>
      <c r="S169" s="525" t="str">
        <f>_xlfn.XLOOKUP(E169,'All Products'!D:D,'All Products'!M:M,FALSE)</f>
        <v>810673014224</v>
      </c>
      <c r="T169" s="530">
        <f>_xlfn.XLOOKUP(E169,'All Products'!D:D,'All Products'!N:N,FALSE)</f>
        <v>1.4670000000000001</v>
      </c>
      <c r="U169" s="530">
        <f>_xlfn.XLOOKUP(E169,'All Products'!D:D,'All Products'!P:P,FALSE)</f>
        <v>44.010000000000005</v>
      </c>
      <c r="V169" s="530">
        <f>_xlfn.XLOOKUP(E169,'All Products'!D:D,'All Products'!Q:Q,FALSE)</f>
        <v>3.6731726755225957</v>
      </c>
    </row>
    <row r="170" spans="1:22">
      <c r="A170" s="5" t="str">
        <f>IF(K170&gt;0,COUNT($A$7:A169)+1,"")</f>
        <v/>
      </c>
      <c r="B170" s="23"/>
      <c r="C170" s="51"/>
      <c r="D170" s="512" t="str">
        <f>_xlfn.XLOOKUP(E170,'All Products'!D:D,'All Products'!C:C,FALSE)</f>
        <v>403-3482</v>
      </c>
      <c r="E170" s="106">
        <v>100029008</v>
      </c>
      <c r="F170" s="522" t="str">
        <f>_xlfn.XLOOKUP(E170,'All Products'!D:D,'All Products'!E:E,FALSE)</f>
        <v>4 SANITARY TEE STREET DWV</v>
      </c>
      <c r="G170" s="282">
        <f>_xlfn.XLOOKUP(E170,'All Products'!D:D,'All Products'!F:F,FALSE)</f>
        <v>10</v>
      </c>
      <c r="H170" s="533">
        <f>_xlfn.XLOOKUP(E170,'All Products'!D:D,'All Products'!G:G,FALSE)</f>
        <v>180</v>
      </c>
      <c r="I170" s="512">
        <f>_xlfn.XLOOKUP(E170,'All Products'!D:D,'All Products'!H:H,FALSE)</f>
        <v>616.21</v>
      </c>
      <c r="J170" s="216">
        <f>ROUNDUP(I170*Order_Quote!$L$2,2)</f>
        <v>3081.05</v>
      </c>
      <c r="K170" s="123"/>
      <c r="L170" s="79"/>
      <c r="M170" s="107">
        <f t="shared" si="2"/>
        <v>0</v>
      </c>
      <c r="O170" s="525" t="str">
        <f>_xlfn.XLOOKUP(E170,'All Products'!D:D,'All Products'!I:I,FALSE)</f>
        <v>In Stock</v>
      </c>
      <c r="P170" s="525" t="str">
        <f>_xlfn.XLOOKUP(E170,'All Products'!D:D,'All Products'!J:J,FALSE)</f>
        <v>Manufactured</v>
      </c>
      <c r="Q170" s="525" t="str">
        <f>_xlfn.XLOOKUP(F170,'All Products'!E:E,'All Products'!K:K,FALSE)</f>
        <v>810673012237</v>
      </c>
      <c r="R170" s="525" t="str">
        <f>_xlfn.XLOOKUP(E170,'All Products'!D:D,'All Products'!L:L,FALSE)</f>
        <v>-</v>
      </c>
      <c r="S170" s="525" t="str">
        <f>_xlfn.XLOOKUP(E170,'All Products'!D:D,'All Products'!M:M,FALSE)</f>
        <v>812361015209</v>
      </c>
      <c r="T170" s="530">
        <f>_xlfn.XLOOKUP(E170,'All Products'!D:D,'All Products'!N:N,FALSE)</f>
        <v>2.7050000000000001</v>
      </c>
      <c r="U170" s="530">
        <f>_xlfn.XLOOKUP(E170,'All Products'!D:D,'All Products'!P:P,FALSE)</f>
        <v>27.05</v>
      </c>
      <c r="V170" s="530">
        <f>_xlfn.XLOOKUP(E170,'All Products'!D:D,'All Products'!Q:Q,FALSE)</f>
        <v>2.361325291407383</v>
      </c>
    </row>
    <row r="171" spans="1:22">
      <c r="A171" s="5" t="str">
        <f>IF(K171&gt;0,COUNT($A$7:A170)+1,"")</f>
        <v/>
      </c>
      <c r="B171" s="26"/>
      <c r="C171" s="49"/>
      <c r="D171" s="512" t="str">
        <f>_xlfn.XLOOKUP(E171,'All Products'!D:D,'All Products'!C:C,FALSE)</f>
        <v>404-3484</v>
      </c>
      <c r="E171" s="106">
        <v>100029010</v>
      </c>
      <c r="F171" s="522" t="str">
        <f>_xlfn.XLOOKUP(E171,'All Products'!D:D,'All Products'!E:E,FALSE)</f>
        <v>2X2X1-1/2 SANITARY TEE STREET DWV</v>
      </c>
      <c r="G171" s="282">
        <f>_xlfn.XLOOKUP(E171,'All Products'!D:D,'All Products'!F:F,FALSE)</f>
        <v>50</v>
      </c>
      <c r="H171" s="533">
        <f>_xlfn.XLOOKUP(E171,'All Products'!D:D,'All Products'!G:G,FALSE)</f>
        <v>1200</v>
      </c>
      <c r="I171" s="512">
        <f>_xlfn.XLOOKUP(E171,'All Products'!D:D,'All Products'!H:H,FALSE)</f>
        <v>139.79</v>
      </c>
      <c r="J171" s="216">
        <f>ROUNDUP(I171*Order_Quote!$L$2,2)</f>
        <v>698.95</v>
      </c>
      <c r="K171" s="123"/>
      <c r="L171" s="79"/>
      <c r="M171" s="107">
        <f t="shared" si="2"/>
        <v>0</v>
      </c>
      <c r="O171" s="525" t="str">
        <f>_xlfn.XLOOKUP(E171,'All Products'!D:D,'All Products'!I:I,FALSE)</f>
        <v>In Stock</v>
      </c>
      <c r="P171" s="525" t="str">
        <f>_xlfn.XLOOKUP(E171,'All Products'!D:D,'All Products'!J:J,FALSE)</f>
        <v>Manufactured</v>
      </c>
      <c r="Q171" s="525" t="str">
        <f>_xlfn.XLOOKUP(F171,'All Products'!E:E,'All Products'!K:K,FALSE)</f>
        <v>812361017975</v>
      </c>
      <c r="R171" s="525" t="str">
        <f>_xlfn.XLOOKUP(E171,'All Products'!D:D,'All Products'!L:L,FALSE)</f>
        <v>-</v>
      </c>
      <c r="S171" s="525" t="str">
        <f>_xlfn.XLOOKUP(E171,'All Products'!D:D,'All Products'!M:M,FALSE)</f>
        <v>812361017968</v>
      </c>
      <c r="T171" s="530">
        <f>_xlfn.XLOOKUP(E171,'All Products'!D:D,'All Products'!N:N,FALSE)</f>
        <v>0.42899999999999999</v>
      </c>
      <c r="U171" s="530">
        <f>_xlfn.XLOOKUP(E171,'All Products'!D:D,'All Products'!P:P,FALSE)</f>
        <v>21.45</v>
      </c>
      <c r="V171" s="530">
        <f>_xlfn.XLOOKUP(E171,'All Products'!D:D,'All Products'!Q:Q,FALSE)</f>
        <v>1.8803145838984718</v>
      </c>
    </row>
    <row r="172" spans="1:22">
      <c r="A172" s="5" t="str">
        <f>IF(K172&gt;0,COUNT($A$7:A171)+1,"")</f>
        <v/>
      </c>
      <c r="B172" s="34"/>
      <c r="C172" s="50"/>
      <c r="D172" s="512" t="str">
        <f>_xlfn.XLOOKUP(E172,'All Products'!D:D,'All Products'!C:C,FALSE)</f>
        <v>404-3485</v>
      </c>
      <c r="E172" s="106">
        <v>300005668</v>
      </c>
      <c r="F172" s="522" t="str">
        <f>_xlfn.XLOOKUP(E172,'All Products'!D:D,'All Products'!E:E,FALSE)</f>
        <v>3X3X1-1/2 SANITARY TEE ST RED DWV</v>
      </c>
      <c r="G172" s="282">
        <f>_xlfn.XLOOKUP(E172,'All Products'!D:D,'All Products'!F:F,FALSE)</f>
        <v>10</v>
      </c>
      <c r="H172" s="533">
        <f>_xlfn.XLOOKUP(E172,'All Products'!D:D,'All Products'!G:G,FALSE)</f>
        <v>450</v>
      </c>
      <c r="I172" s="512">
        <f>_xlfn.XLOOKUP(E172,'All Products'!D:D,'All Products'!H:H,FALSE)</f>
        <v>513.32000000000005</v>
      </c>
      <c r="J172" s="216">
        <f>ROUNDUP(I172*Order_Quote!$L$2,2)</f>
        <v>2566.6</v>
      </c>
      <c r="K172" s="123"/>
      <c r="L172" s="79"/>
      <c r="M172" s="107">
        <f t="shared" si="2"/>
        <v>0</v>
      </c>
      <c r="O172" s="525" t="str">
        <f>_xlfn.XLOOKUP(E172,'All Products'!D:D,'All Products'!I:I,FALSE)</f>
        <v>Within 6 Weeks</v>
      </c>
      <c r="P172" s="525" t="str">
        <f>_xlfn.XLOOKUP(E172,'All Products'!D:D,'All Products'!J:J,FALSE)</f>
        <v>Sourced</v>
      </c>
      <c r="Q172" s="525" t="str">
        <f>_xlfn.XLOOKUP(F172,'All Products'!E:E,'All Products'!K:K,FALSE)</f>
        <v>812361017944</v>
      </c>
      <c r="R172" s="525" t="str">
        <f>_xlfn.XLOOKUP(E172,'All Products'!D:D,'All Products'!L:L,FALSE)</f>
        <v>-</v>
      </c>
      <c r="S172" s="525">
        <f>_xlfn.XLOOKUP(E172,'All Products'!D:D,'All Products'!M:M,FALSE)</f>
        <v>0</v>
      </c>
      <c r="T172" s="530">
        <f>_xlfn.XLOOKUP(E172,'All Products'!D:D,'All Products'!N:N,FALSE)</f>
        <v>0.78600000000000003</v>
      </c>
      <c r="U172" s="530">
        <f>_xlfn.XLOOKUP(E172,'All Products'!D:D,'All Products'!P:P,FALSE)</f>
        <v>7.86</v>
      </c>
      <c r="V172" s="530" t="str">
        <f>_xlfn.XLOOKUP(E172,'All Products'!D:D,'All Products'!Q:Q,FALSE)</f>
        <v>-</v>
      </c>
    </row>
    <row r="173" spans="1:22">
      <c r="A173" s="5" t="str">
        <f>IF(K173&gt;0,COUNT($A$7:A172)+1,"")</f>
        <v/>
      </c>
      <c r="B173" s="23"/>
      <c r="C173" s="51"/>
      <c r="D173" s="512" t="str">
        <f>_xlfn.XLOOKUP(E173,'All Products'!D:D,'All Products'!C:C,FALSE)</f>
        <v>404-3486</v>
      </c>
      <c r="E173" s="106">
        <v>300005669</v>
      </c>
      <c r="F173" s="522" t="str">
        <f>_xlfn.XLOOKUP(E173,'All Products'!D:D,'All Products'!E:E,FALSE)</f>
        <v>3X3X2 SANITARY TEE STREET RED DWV</v>
      </c>
      <c r="G173" s="282">
        <f>_xlfn.XLOOKUP(E173,'All Products'!D:D,'All Products'!F:F,FALSE)</f>
        <v>20</v>
      </c>
      <c r="H173" s="533">
        <f>_xlfn.XLOOKUP(E173,'All Products'!D:D,'All Products'!G:G,FALSE)</f>
        <v>350</v>
      </c>
      <c r="I173" s="512">
        <f>_xlfn.XLOOKUP(E173,'All Products'!D:D,'All Products'!H:H,FALSE)</f>
        <v>458.4</v>
      </c>
      <c r="J173" s="216">
        <f>ROUNDUP(I173*Order_Quote!$L$2,2)</f>
        <v>2292</v>
      </c>
      <c r="K173" s="123"/>
      <c r="L173" s="79"/>
      <c r="M173" s="107">
        <f t="shared" si="2"/>
        <v>0</v>
      </c>
      <c r="O173" s="525" t="str">
        <f>_xlfn.XLOOKUP(E173,'All Products'!D:D,'All Products'!I:I,FALSE)</f>
        <v>Within 6 Weeks</v>
      </c>
      <c r="P173" s="525" t="str">
        <f>_xlfn.XLOOKUP(E173,'All Products'!D:D,'All Products'!J:J,FALSE)</f>
        <v>Sourced</v>
      </c>
      <c r="Q173" s="525" t="str">
        <f>_xlfn.XLOOKUP(F173,'All Products'!E:E,'All Products'!K:K,FALSE)</f>
        <v>812361018125</v>
      </c>
      <c r="R173" s="525" t="str">
        <f>_xlfn.XLOOKUP(E173,'All Products'!D:D,'All Products'!L:L,FALSE)</f>
        <v>-</v>
      </c>
      <c r="S173" s="525">
        <f>_xlfn.XLOOKUP(E173,'All Products'!D:D,'All Products'!M:M,FALSE)</f>
        <v>0</v>
      </c>
      <c r="T173" s="530">
        <f>_xlfn.XLOOKUP(E173,'All Products'!D:D,'All Products'!N:N,FALSE)</f>
        <v>0.85</v>
      </c>
      <c r="U173" s="530">
        <f>_xlfn.XLOOKUP(E173,'All Products'!D:D,'All Products'!P:P,FALSE)</f>
        <v>17</v>
      </c>
      <c r="V173" s="530" t="str">
        <f>_xlfn.XLOOKUP(E173,'All Products'!D:D,'All Products'!Q:Q,FALSE)</f>
        <v>-</v>
      </c>
    </row>
    <row r="174" spans="1:22">
      <c r="A174" s="5" t="str">
        <f>IF(K174&gt;0,COUNT($A$7:A173)+1,"")</f>
        <v/>
      </c>
      <c r="B174" s="26"/>
      <c r="C174" s="49"/>
      <c r="D174" s="512" t="str">
        <f>_xlfn.XLOOKUP(E174,'All Products'!D:D,'All Products'!C:C,FALSE)</f>
        <v>416-3500</v>
      </c>
      <c r="E174" s="106">
        <v>300005670</v>
      </c>
      <c r="F174" s="522" t="str">
        <f>_xlfn.XLOOKUP(E174,'All Products'!D:D,'All Products'!E:E,FALSE)</f>
        <v>3 SAN TEE W/1-1/2" L SIDE INLET DWV</v>
      </c>
      <c r="G174" s="282">
        <f>_xlfn.XLOOKUP(E174,'All Products'!D:D,'All Products'!F:F,FALSE)</f>
        <v>10</v>
      </c>
      <c r="H174" s="533">
        <f>_xlfn.XLOOKUP(E174,'All Products'!D:D,'All Products'!G:G,FALSE)</f>
        <v>180</v>
      </c>
      <c r="I174" s="512">
        <f>_xlfn.XLOOKUP(E174,'All Products'!D:D,'All Products'!H:H,FALSE)</f>
        <v>595.45000000000005</v>
      </c>
      <c r="J174" s="216">
        <f>ROUNDUP(I174*Order_Quote!$L$2,2)</f>
        <v>2977.25</v>
      </c>
      <c r="K174" s="123"/>
      <c r="L174" s="79"/>
      <c r="M174" s="107">
        <f t="shared" si="2"/>
        <v>0</v>
      </c>
      <c r="O174" s="525" t="str">
        <f>_xlfn.XLOOKUP(E174,'All Products'!D:D,'All Products'!I:I,FALSE)</f>
        <v>Within 6 Weeks</v>
      </c>
      <c r="P174" s="525" t="str">
        <f>_xlfn.XLOOKUP(E174,'All Products'!D:D,'All Products'!J:J,FALSE)</f>
        <v>Sourced</v>
      </c>
      <c r="Q174" s="525" t="str">
        <f>_xlfn.XLOOKUP(F174,'All Products'!E:E,'All Products'!K:K,FALSE)</f>
        <v>812361013502</v>
      </c>
      <c r="R174" s="525" t="str">
        <f>_xlfn.XLOOKUP(E174,'All Products'!D:D,'All Products'!L:L,FALSE)</f>
        <v>-</v>
      </c>
      <c r="S174" s="525">
        <f>_xlfn.XLOOKUP(E174,'All Products'!D:D,'All Products'!M:M,FALSE)</f>
        <v>0</v>
      </c>
      <c r="T174" s="530">
        <f>_xlfn.XLOOKUP(E174,'All Products'!D:D,'All Products'!N:N,FALSE)</f>
        <v>1.629</v>
      </c>
      <c r="U174" s="530">
        <f>_xlfn.XLOOKUP(E174,'All Products'!D:D,'All Products'!P:P,FALSE)</f>
        <v>16.29</v>
      </c>
      <c r="V174" s="530" t="str">
        <f>_xlfn.XLOOKUP(E174,'All Products'!D:D,'All Products'!Q:Q,FALSE)</f>
        <v>-</v>
      </c>
    </row>
    <row r="175" spans="1:22">
      <c r="A175" s="5" t="str">
        <f>IF(K175&gt;0,COUNT($A$7:A174)+1,"")</f>
        <v/>
      </c>
      <c r="B175" s="34"/>
      <c r="C175" s="50"/>
      <c r="D175" s="512" t="str">
        <f>_xlfn.XLOOKUP(E175,'All Products'!D:D,'All Products'!C:C,FALSE)</f>
        <v>416-3501</v>
      </c>
      <c r="E175" s="106">
        <v>300005671</v>
      </c>
      <c r="F175" s="522" t="str">
        <f>_xlfn.XLOOKUP(E175,'All Products'!D:D,'All Products'!E:E,FALSE)</f>
        <v>3 SAN TEE W/2" L SIDE INLET DWV</v>
      </c>
      <c r="G175" s="282">
        <f>_xlfn.XLOOKUP(E175,'All Products'!D:D,'All Products'!F:F,FALSE)</f>
        <v>10</v>
      </c>
      <c r="H175" s="533">
        <f>_xlfn.XLOOKUP(E175,'All Products'!D:D,'All Products'!G:G,FALSE)</f>
        <v>180</v>
      </c>
      <c r="I175" s="512">
        <f>_xlfn.XLOOKUP(E175,'All Products'!D:D,'All Products'!H:H,FALSE)</f>
        <v>908.49</v>
      </c>
      <c r="J175" s="216">
        <f>ROUNDUP(I175*Order_Quote!$L$2,2)</f>
        <v>4542.45</v>
      </c>
      <c r="K175" s="123"/>
      <c r="L175" s="79"/>
      <c r="M175" s="107">
        <f t="shared" si="2"/>
        <v>0</v>
      </c>
      <c r="O175" s="525" t="str">
        <f>_xlfn.XLOOKUP(E175,'All Products'!D:D,'All Products'!I:I,FALSE)</f>
        <v>Within 6 Weeks</v>
      </c>
      <c r="P175" s="525" t="str">
        <f>_xlfn.XLOOKUP(E175,'All Products'!D:D,'All Products'!J:J,FALSE)</f>
        <v>Sourced</v>
      </c>
      <c r="Q175" s="525" t="str">
        <f>_xlfn.XLOOKUP(F175,'All Products'!E:E,'All Products'!K:K,FALSE)</f>
        <v>812361013526</v>
      </c>
      <c r="R175" s="525" t="str">
        <f>_xlfn.XLOOKUP(E175,'All Products'!D:D,'All Products'!L:L,FALSE)</f>
        <v>-</v>
      </c>
      <c r="S175" s="525">
        <f>_xlfn.XLOOKUP(E175,'All Products'!D:D,'All Products'!M:M,FALSE)</f>
        <v>0</v>
      </c>
      <c r="T175" s="530">
        <f>_xlfn.XLOOKUP(E175,'All Products'!D:D,'All Products'!N:N,FALSE)</f>
        <v>1.756</v>
      </c>
      <c r="U175" s="530">
        <f>_xlfn.XLOOKUP(E175,'All Products'!D:D,'All Products'!P:P,FALSE)</f>
        <v>17.559999999999999</v>
      </c>
      <c r="V175" s="530" t="str">
        <f>_xlfn.XLOOKUP(E175,'All Products'!D:D,'All Products'!Q:Q,FALSE)</f>
        <v>-</v>
      </c>
    </row>
    <row r="176" spans="1:22">
      <c r="A176" s="5" t="str">
        <f>IF(K176&gt;0,COUNT($A$7:A175)+1,"")</f>
        <v/>
      </c>
      <c r="B176" s="23"/>
      <c r="C176" s="51"/>
      <c r="D176" s="512" t="str">
        <f>_xlfn.XLOOKUP(E176,'All Products'!D:D,'All Products'!C:C,FALSE)</f>
        <v>416-3502</v>
      </c>
      <c r="E176" s="106">
        <v>300005672</v>
      </c>
      <c r="F176" s="522" t="str">
        <f>_xlfn.XLOOKUP(E176,'All Products'!D:D,'All Products'!E:E,FALSE)</f>
        <v>4 SAN TEE W/2" L SIDE INLET DWV</v>
      </c>
      <c r="G176" s="282">
        <f>_xlfn.XLOOKUP(E176,'All Products'!D:D,'All Products'!F:F,FALSE)</f>
        <v>5</v>
      </c>
      <c r="H176" s="533">
        <f>_xlfn.XLOOKUP(E176,'All Products'!D:D,'All Products'!G:G,FALSE)</f>
        <v>120</v>
      </c>
      <c r="I176" s="512">
        <f>_xlfn.XLOOKUP(E176,'All Products'!D:D,'All Products'!H:H,FALSE)</f>
        <v>927.6</v>
      </c>
      <c r="J176" s="216">
        <f>ROUNDUP(I176*Order_Quote!$L$2,2)</f>
        <v>4638</v>
      </c>
      <c r="K176" s="123"/>
      <c r="L176" s="79"/>
      <c r="M176" s="107">
        <f t="shared" si="2"/>
        <v>0</v>
      </c>
      <c r="O176" s="525" t="str">
        <f>_xlfn.XLOOKUP(E176,'All Products'!D:D,'All Products'!I:I,FALSE)</f>
        <v>Within 3 Weeks</v>
      </c>
      <c r="P176" s="525" t="str">
        <f>_xlfn.XLOOKUP(E176,'All Products'!D:D,'All Products'!J:J,FALSE)</f>
        <v>Sourced</v>
      </c>
      <c r="Q176" s="525" t="str">
        <f>_xlfn.XLOOKUP(F176,'All Products'!E:E,'All Products'!K:K,FALSE)</f>
        <v>812361013540</v>
      </c>
      <c r="R176" s="525" t="str">
        <f>_xlfn.XLOOKUP(E176,'All Products'!D:D,'All Products'!L:L,FALSE)</f>
        <v>-</v>
      </c>
      <c r="S176" s="525">
        <f>_xlfn.XLOOKUP(E176,'All Products'!D:D,'All Products'!M:M,FALSE)</f>
        <v>0</v>
      </c>
      <c r="T176" s="530">
        <f>_xlfn.XLOOKUP(E176,'All Products'!D:D,'All Products'!N:N,FALSE)</f>
        <v>2.78</v>
      </c>
      <c r="U176" s="530">
        <f>_xlfn.XLOOKUP(E176,'All Products'!D:D,'All Products'!P:P,FALSE)</f>
        <v>13.899999999999999</v>
      </c>
      <c r="V176" s="530" t="str">
        <f>_xlfn.XLOOKUP(E176,'All Products'!D:D,'All Products'!Q:Q,FALSE)</f>
        <v>-</v>
      </c>
    </row>
    <row r="177" spans="1:22">
      <c r="A177" s="5" t="str">
        <f>IF(K177&gt;0,COUNT($A$7:A176)+1,"")</f>
        <v/>
      </c>
      <c r="B177" s="26"/>
      <c r="C177" s="49"/>
      <c r="D177" s="512" t="str">
        <f>_xlfn.XLOOKUP(E177,'All Products'!D:D,'All Products'!C:C,FALSE)</f>
        <v>417-3503</v>
      </c>
      <c r="E177" s="106">
        <v>300005673</v>
      </c>
      <c r="F177" s="522" t="str">
        <f>_xlfn.XLOOKUP(E177,'All Products'!D:D,'All Products'!E:E,FALSE)</f>
        <v>3 SAN TEE W/1-1/2" R SIDE INLET DWV</v>
      </c>
      <c r="G177" s="282">
        <f>_xlfn.XLOOKUP(E177,'All Products'!D:D,'All Products'!F:F,FALSE)</f>
        <v>10</v>
      </c>
      <c r="H177" s="533">
        <f>_xlfn.XLOOKUP(E177,'All Products'!D:D,'All Products'!G:G,FALSE)</f>
        <v>180</v>
      </c>
      <c r="I177" s="512">
        <f>_xlfn.XLOOKUP(E177,'All Products'!D:D,'All Products'!H:H,FALSE)</f>
        <v>595.45000000000005</v>
      </c>
      <c r="J177" s="216">
        <f>ROUNDUP(I177*Order_Quote!$L$2,2)</f>
        <v>2977.25</v>
      </c>
      <c r="K177" s="123"/>
      <c r="L177" s="79"/>
      <c r="M177" s="107">
        <f t="shared" si="2"/>
        <v>0</v>
      </c>
      <c r="O177" s="525" t="str">
        <f>_xlfn.XLOOKUP(E177,'All Products'!D:D,'All Products'!I:I,FALSE)</f>
        <v>Within 6 Weeks</v>
      </c>
      <c r="P177" s="525" t="str">
        <f>_xlfn.XLOOKUP(E177,'All Products'!D:D,'All Products'!J:J,FALSE)</f>
        <v>Sourced</v>
      </c>
      <c r="Q177" s="525" t="str">
        <f>_xlfn.XLOOKUP(F177,'All Products'!E:E,'All Products'!K:K,FALSE)</f>
        <v>812361013564</v>
      </c>
      <c r="R177" s="525" t="str">
        <f>_xlfn.XLOOKUP(E177,'All Products'!D:D,'All Products'!L:L,FALSE)</f>
        <v>-</v>
      </c>
      <c r="S177" s="525">
        <f>_xlfn.XLOOKUP(E177,'All Products'!D:D,'All Products'!M:M,FALSE)</f>
        <v>0</v>
      </c>
      <c r="T177" s="530">
        <f>_xlfn.XLOOKUP(E177,'All Products'!D:D,'All Products'!N:N,FALSE)</f>
        <v>1.647</v>
      </c>
      <c r="U177" s="530">
        <f>_xlfn.XLOOKUP(E177,'All Products'!D:D,'All Products'!P:P,FALSE)</f>
        <v>16.47</v>
      </c>
      <c r="V177" s="530" t="str">
        <f>_xlfn.XLOOKUP(E177,'All Products'!D:D,'All Products'!Q:Q,FALSE)</f>
        <v>-</v>
      </c>
    </row>
    <row r="178" spans="1:22">
      <c r="A178" s="5" t="str">
        <f>IF(K178&gt;0,COUNT($A$7:A177)+1,"")</f>
        <v/>
      </c>
      <c r="B178" s="34"/>
      <c r="C178" s="50"/>
      <c r="D178" s="512" t="str">
        <f>_xlfn.XLOOKUP(E178,'All Products'!D:D,'All Products'!C:C,FALSE)</f>
        <v>417-3504</v>
      </c>
      <c r="E178" s="106">
        <v>300005674</v>
      </c>
      <c r="F178" s="522" t="str">
        <f>_xlfn.XLOOKUP(E178,'All Products'!D:D,'All Products'!E:E,FALSE)</f>
        <v>3 SAN TEE W/2" R SIDE INLET DWV</v>
      </c>
      <c r="G178" s="282">
        <f>_xlfn.XLOOKUP(E178,'All Products'!D:D,'All Products'!F:F,FALSE)</f>
        <v>10</v>
      </c>
      <c r="H178" s="533">
        <f>_xlfn.XLOOKUP(E178,'All Products'!D:D,'All Products'!G:G,FALSE)</f>
        <v>180</v>
      </c>
      <c r="I178" s="512">
        <f>_xlfn.XLOOKUP(E178,'All Products'!D:D,'All Products'!H:H,FALSE)</f>
        <v>1028.02</v>
      </c>
      <c r="J178" s="216">
        <f>ROUNDUP(I178*Order_Quote!$L$2,2)</f>
        <v>5140.1000000000004</v>
      </c>
      <c r="K178" s="123"/>
      <c r="L178" s="79"/>
      <c r="M178" s="107">
        <f t="shared" si="2"/>
        <v>0</v>
      </c>
      <c r="O178" s="525" t="str">
        <f>_xlfn.XLOOKUP(E178,'All Products'!D:D,'All Products'!I:I,FALSE)</f>
        <v>Within 6 Weeks</v>
      </c>
      <c r="P178" s="525" t="str">
        <f>_xlfn.XLOOKUP(E178,'All Products'!D:D,'All Products'!J:J,FALSE)</f>
        <v>Sourced</v>
      </c>
      <c r="Q178" s="525" t="str">
        <f>_xlfn.XLOOKUP(F178,'All Products'!E:E,'All Products'!K:K,FALSE)</f>
        <v>812361013588</v>
      </c>
      <c r="R178" s="525" t="str">
        <f>_xlfn.XLOOKUP(E178,'All Products'!D:D,'All Products'!L:L,FALSE)</f>
        <v>-</v>
      </c>
      <c r="S178" s="525">
        <f>_xlfn.XLOOKUP(E178,'All Products'!D:D,'All Products'!M:M,FALSE)</f>
        <v>0</v>
      </c>
      <c r="T178" s="530">
        <f>_xlfn.XLOOKUP(E178,'All Products'!D:D,'All Products'!N:N,FALSE)</f>
        <v>1.7729999999999999</v>
      </c>
      <c r="U178" s="530">
        <f>_xlfn.XLOOKUP(E178,'All Products'!D:D,'All Products'!P:P,FALSE)</f>
        <v>17.73</v>
      </c>
      <c r="V178" s="530" t="str">
        <f>_xlfn.XLOOKUP(E178,'All Products'!D:D,'All Products'!Q:Q,FALSE)</f>
        <v>-</v>
      </c>
    </row>
    <row r="179" spans="1:22">
      <c r="A179" s="5" t="str">
        <f>IF(K179&gt;0,COUNT($A$7:A178)+1,"")</f>
        <v/>
      </c>
      <c r="B179" s="23"/>
      <c r="C179" s="51"/>
      <c r="D179" s="512" t="str">
        <f>_xlfn.XLOOKUP(E179,'All Products'!D:D,'All Products'!C:C,FALSE)</f>
        <v>417-3505</v>
      </c>
      <c r="E179" s="106">
        <v>300005675</v>
      </c>
      <c r="F179" s="522" t="str">
        <f>_xlfn.XLOOKUP(E179,'All Products'!D:D,'All Products'!E:E,FALSE)</f>
        <v>4 SAN TEE W/2" R SIDE INLET DWV</v>
      </c>
      <c r="G179" s="282">
        <f>_xlfn.XLOOKUP(E179,'All Products'!D:D,'All Products'!F:F,FALSE)</f>
        <v>5</v>
      </c>
      <c r="H179" s="533">
        <f>_xlfn.XLOOKUP(E179,'All Products'!D:D,'All Products'!G:G,FALSE)</f>
        <v>80</v>
      </c>
      <c r="I179" s="512">
        <f>_xlfn.XLOOKUP(E179,'All Products'!D:D,'All Products'!H:H,FALSE)</f>
        <v>927.6</v>
      </c>
      <c r="J179" s="216">
        <f>ROUNDUP(I179*Order_Quote!$L$2,2)</f>
        <v>4638</v>
      </c>
      <c r="K179" s="123"/>
      <c r="L179" s="79"/>
      <c r="M179" s="107">
        <f t="shared" si="2"/>
        <v>0</v>
      </c>
      <c r="O179" s="525" t="str">
        <f>_xlfn.XLOOKUP(E179,'All Products'!D:D,'All Products'!I:I,FALSE)</f>
        <v>Within 3 Weeks</v>
      </c>
      <c r="P179" s="525" t="str">
        <f>_xlfn.XLOOKUP(E179,'All Products'!D:D,'All Products'!J:J,FALSE)</f>
        <v>Sourced</v>
      </c>
      <c r="Q179" s="525" t="str">
        <f>_xlfn.XLOOKUP(F179,'All Products'!E:E,'All Products'!K:K,FALSE)</f>
        <v>812361013601</v>
      </c>
      <c r="R179" s="525" t="str">
        <f>_xlfn.XLOOKUP(E179,'All Products'!D:D,'All Products'!L:L,FALSE)</f>
        <v>-</v>
      </c>
      <c r="S179" s="525">
        <f>_xlfn.XLOOKUP(E179,'All Products'!D:D,'All Products'!M:M,FALSE)</f>
        <v>0</v>
      </c>
      <c r="T179" s="530">
        <f>_xlfn.XLOOKUP(E179,'All Products'!D:D,'All Products'!N:N,FALSE)</f>
        <v>2.78</v>
      </c>
      <c r="U179" s="530">
        <f>_xlfn.XLOOKUP(E179,'All Products'!D:D,'All Products'!P:P,FALSE)</f>
        <v>13.899999999999999</v>
      </c>
      <c r="V179" s="530" t="str">
        <f>_xlfn.XLOOKUP(E179,'All Products'!D:D,'All Products'!Q:Q,FALSE)</f>
        <v>-</v>
      </c>
    </row>
    <row r="180" spans="1:22" s="17" customFormat="1" ht="26.25" customHeight="1">
      <c r="A180" s="5" t="str">
        <f>IF(K180&gt;0,COUNT($A$7:A179)+1,"")</f>
        <v/>
      </c>
      <c r="B180" s="110"/>
      <c r="C180" s="111"/>
      <c r="D180" s="512" t="str">
        <f>_xlfn.XLOOKUP(E180,'All Products'!D:D,'All Products'!C:C,FALSE)</f>
        <v>418-3507</v>
      </c>
      <c r="E180" s="106">
        <v>300005676</v>
      </c>
      <c r="F180" s="522" t="str">
        <f>_xlfn.XLOOKUP(E180,'All Products'!D:D,'All Products'!E:E,FALSE)</f>
        <v>3 SAN TEE W/2" R&amp;L SIDE INLETS DWV</v>
      </c>
      <c r="G180" s="282">
        <f>_xlfn.XLOOKUP(E180,'All Products'!D:D,'All Products'!F:F,FALSE)</f>
        <v>5</v>
      </c>
      <c r="H180" s="533">
        <f>_xlfn.XLOOKUP(E180,'All Products'!D:D,'All Products'!G:G,FALSE)</f>
        <v>150</v>
      </c>
      <c r="I180" s="512">
        <f>_xlfn.XLOOKUP(E180,'All Products'!D:D,'All Products'!H:H,FALSE)</f>
        <v>583.85</v>
      </c>
      <c r="J180" s="216">
        <f>ROUNDUP(I180*Order_Quote!$L$2,2)</f>
        <v>2919.25</v>
      </c>
      <c r="K180" s="123"/>
      <c r="L180" s="79"/>
      <c r="M180" s="107">
        <f t="shared" si="2"/>
        <v>0</v>
      </c>
      <c r="O180" s="525" t="str">
        <f>_xlfn.XLOOKUP(E180,'All Products'!D:D,'All Products'!I:I,FALSE)</f>
        <v>Within 6 Weeks</v>
      </c>
      <c r="P180" s="525" t="str">
        <f>_xlfn.XLOOKUP(E180,'All Products'!D:D,'All Products'!J:J,FALSE)</f>
        <v>Sourced</v>
      </c>
      <c r="Q180" s="525" t="str">
        <f>_xlfn.XLOOKUP(F180,'All Products'!E:E,'All Products'!K:K,FALSE)</f>
        <v>812361013625</v>
      </c>
      <c r="R180" s="525" t="str">
        <f>_xlfn.XLOOKUP(E180,'All Products'!D:D,'All Products'!L:L,FALSE)</f>
        <v>-</v>
      </c>
      <c r="S180" s="525">
        <f>_xlfn.XLOOKUP(E180,'All Products'!D:D,'All Products'!M:M,FALSE)</f>
        <v>0</v>
      </c>
      <c r="T180" s="530">
        <f>_xlfn.XLOOKUP(E180,'All Products'!D:D,'All Products'!N:N,FALSE)</f>
        <v>1.9910000000000001</v>
      </c>
      <c r="U180" s="530">
        <f>_xlfn.XLOOKUP(E180,'All Products'!D:D,'All Products'!P:P,FALSE)</f>
        <v>9.9550000000000001</v>
      </c>
      <c r="V180" s="530" t="str">
        <f>_xlfn.XLOOKUP(E180,'All Products'!D:D,'All Products'!Q:Q,FALSE)</f>
        <v>-</v>
      </c>
    </row>
    <row r="181" spans="1:22" s="17" customFormat="1" ht="26.25" customHeight="1">
      <c r="A181" s="5" t="str">
        <f>IF(K181&gt;0,COUNT($A$7:A180)+1,"")</f>
        <v/>
      </c>
      <c r="B181" s="113"/>
      <c r="C181" s="114"/>
      <c r="D181" s="512" t="str">
        <f>_xlfn.XLOOKUP(E181,'All Products'!D:D,'All Products'!C:C,FALSE)</f>
        <v>418-3508</v>
      </c>
      <c r="E181" s="106">
        <v>300005677</v>
      </c>
      <c r="F181" s="522" t="str">
        <f>_xlfn.XLOOKUP(E181,'All Products'!D:D,'All Products'!E:E,FALSE)</f>
        <v>4 SAN TEE W/2" R&amp;L SIDE INLETS DWV</v>
      </c>
      <c r="G181" s="282">
        <f>_xlfn.XLOOKUP(E181,'All Products'!D:D,'All Products'!F:F,FALSE)</f>
        <v>5</v>
      </c>
      <c r="H181" s="533">
        <f>_xlfn.XLOOKUP(E181,'All Products'!D:D,'All Products'!G:G,FALSE)</f>
        <v>90</v>
      </c>
      <c r="I181" s="512">
        <f>_xlfn.XLOOKUP(E181,'All Products'!D:D,'All Products'!H:H,FALSE)</f>
        <v>2302.16</v>
      </c>
      <c r="J181" s="216">
        <f>ROUNDUP(I181*Order_Quote!$L$2,2)</f>
        <v>11510.8</v>
      </c>
      <c r="K181" s="123"/>
      <c r="L181" s="79"/>
      <c r="M181" s="107">
        <f t="shared" si="2"/>
        <v>0</v>
      </c>
      <c r="O181" s="525" t="str">
        <f>_xlfn.XLOOKUP(E181,'All Products'!D:D,'All Products'!I:I,FALSE)</f>
        <v>Within 6 Weeks</v>
      </c>
      <c r="P181" s="525" t="str">
        <f>_xlfn.XLOOKUP(E181,'All Products'!D:D,'All Products'!J:J,FALSE)</f>
        <v>Sourced</v>
      </c>
      <c r="Q181" s="525" t="str">
        <f>_xlfn.XLOOKUP(F181,'All Products'!E:E,'All Products'!K:K,FALSE)</f>
        <v>812361013649</v>
      </c>
      <c r="R181" s="525" t="str">
        <f>_xlfn.XLOOKUP(E181,'All Products'!D:D,'All Products'!L:L,FALSE)</f>
        <v>-</v>
      </c>
      <c r="S181" s="525">
        <f>_xlfn.XLOOKUP(E181,'All Products'!D:D,'All Products'!M:M,FALSE)</f>
        <v>0</v>
      </c>
      <c r="T181" s="530">
        <f>_xlfn.XLOOKUP(E181,'All Products'!D:D,'All Products'!N:N,FALSE)</f>
        <v>2.9</v>
      </c>
      <c r="U181" s="530">
        <f>_xlfn.XLOOKUP(E181,'All Products'!D:D,'All Products'!P:P,FALSE)</f>
        <v>14.5</v>
      </c>
      <c r="V181" s="530" t="str">
        <f>_xlfn.XLOOKUP(E181,'All Products'!D:D,'All Products'!Q:Q,FALSE)</f>
        <v>-</v>
      </c>
    </row>
    <row r="182" spans="1:22">
      <c r="A182" s="5" t="str">
        <f>IF(K182&gt;0,COUNT($A$7:A181)+1,"")</f>
        <v/>
      </c>
      <c r="B182" s="26"/>
      <c r="C182" s="49"/>
      <c r="D182" s="512" t="str">
        <f>_xlfn.XLOOKUP(E182,'All Products'!D:D,'All Products'!C:C,FALSE)</f>
        <v>428-3509</v>
      </c>
      <c r="E182" s="106">
        <v>100029023</v>
      </c>
      <c r="F182" s="522" t="str">
        <f>_xlfn.XLOOKUP(E182,'All Products'!D:D,'All Products'!E:E,FALSE)</f>
        <v>1-1/2 DOUBLE SAN TEE ALL HUB DWV</v>
      </c>
      <c r="G182" s="282">
        <f>_xlfn.XLOOKUP(E182,'All Products'!D:D,'All Products'!F:F,FALSE)</f>
        <v>25</v>
      </c>
      <c r="H182" s="533">
        <f>_xlfn.XLOOKUP(E182,'All Products'!D:D,'All Products'!G:G,FALSE)</f>
        <v>1125</v>
      </c>
      <c r="I182" s="512">
        <f>_xlfn.XLOOKUP(E182,'All Products'!D:D,'All Products'!H:H,FALSE)</f>
        <v>110.95</v>
      </c>
      <c r="J182" s="216">
        <f>ROUNDUP(I182*Order_Quote!$L$2,2)</f>
        <v>554.75</v>
      </c>
      <c r="K182" s="123"/>
      <c r="L182" s="79"/>
      <c r="M182" s="107">
        <f t="shared" si="2"/>
        <v>0</v>
      </c>
      <c r="O182" s="525" t="str">
        <f>_xlfn.XLOOKUP(E182,'All Products'!D:D,'All Products'!I:I,FALSE)</f>
        <v>Within 3 Weeks</v>
      </c>
      <c r="P182" s="525" t="str">
        <f>_xlfn.XLOOKUP(E182,'All Products'!D:D,'All Products'!J:J,FALSE)</f>
        <v>Manufactured</v>
      </c>
      <c r="Q182" s="525" t="str">
        <f>_xlfn.XLOOKUP(F182,'All Products'!E:E,'All Products'!K:K,FALSE)</f>
        <v>812361013441</v>
      </c>
      <c r="R182" s="525" t="str">
        <f>_xlfn.XLOOKUP(E182,'All Products'!D:D,'All Products'!L:L,FALSE)</f>
        <v>-</v>
      </c>
      <c r="S182" s="525" t="str">
        <f>_xlfn.XLOOKUP(E182,'All Products'!D:D,'All Products'!M:M,FALSE)</f>
        <v>10812361013448</v>
      </c>
      <c r="T182" s="530">
        <f>_xlfn.XLOOKUP(E182,'All Products'!D:D,'All Products'!N:N,FALSE)</f>
        <v>0.41799999999999998</v>
      </c>
      <c r="U182" s="530">
        <f>_xlfn.XLOOKUP(E182,'All Products'!D:D,'All Products'!P:P,FALSE)</f>
        <v>10.45</v>
      </c>
      <c r="V182" s="530">
        <f>_xlfn.XLOOKUP(E182,'All Products'!D:D,'All Products'!Q:Q,FALSE)</f>
        <v>0.98955954024750914</v>
      </c>
    </row>
    <row r="183" spans="1:22">
      <c r="A183" s="5" t="str">
        <f>IF(K183&gt;0,COUNT($A$7:A182)+1,"")</f>
        <v/>
      </c>
      <c r="B183" s="34"/>
      <c r="C183" s="50"/>
      <c r="D183" s="512" t="str">
        <f>_xlfn.XLOOKUP(E183,'All Products'!D:D,'All Products'!C:C,FALSE)</f>
        <v>428-3510</v>
      </c>
      <c r="E183" s="106">
        <v>100029024</v>
      </c>
      <c r="F183" s="522" t="str">
        <f>_xlfn.XLOOKUP(E183,'All Products'!D:D,'All Products'!E:E,FALSE)</f>
        <v>2 DOUBLE SANITARY TEE ALL HUB DWV</v>
      </c>
      <c r="G183" s="282">
        <f>_xlfn.XLOOKUP(E183,'All Products'!D:D,'All Products'!F:F,FALSE)</f>
        <v>20</v>
      </c>
      <c r="H183" s="533">
        <f>_xlfn.XLOOKUP(E183,'All Products'!D:D,'All Products'!G:G,FALSE)</f>
        <v>640</v>
      </c>
      <c r="I183" s="512">
        <f>_xlfn.XLOOKUP(E183,'All Products'!D:D,'All Products'!H:H,FALSE)</f>
        <v>153.18</v>
      </c>
      <c r="J183" s="216">
        <f>ROUNDUP(I183*Order_Quote!$L$2,2)</f>
        <v>765.9</v>
      </c>
      <c r="K183" s="123"/>
      <c r="L183" s="79"/>
      <c r="M183" s="107">
        <f t="shared" si="2"/>
        <v>0</v>
      </c>
      <c r="O183" s="525" t="str">
        <f>_xlfn.XLOOKUP(E183,'All Products'!D:D,'All Products'!I:I,FALSE)</f>
        <v>Within 3 Weeks</v>
      </c>
      <c r="P183" s="525" t="str">
        <f>_xlfn.XLOOKUP(E183,'All Products'!D:D,'All Products'!J:J,FALSE)</f>
        <v>Manufactured</v>
      </c>
      <c r="Q183" s="525" t="str">
        <f>_xlfn.XLOOKUP(F183,'All Products'!E:E,'All Products'!K:K,FALSE)</f>
        <v>810673015597</v>
      </c>
      <c r="R183" s="525" t="str">
        <f>_xlfn.XLOOKUP(E183,'All Products'!D:D,'All Products'!L:L,FALSE)</f>
        <v>-</v>
      </c>
      <c r="S183" s="525" t="str">
        <f>_xlfn.XLOOKUP(E183,'All Products'!D:D,'All Products'!M:M,FALSE)</f>
        <v>10810673015594</v>
      </c>
      <c r="T183" s="530">
        <f>_xlfn.XLOOKUP(E183,'All Products'!D:D,'All Products'!N:N,FALSE)</f>
        <v>0.65600000000000003</v>
      </c>
      <c r="U183" s="530">
        <f>_xlfn.XLOOKUP(E183,'All Products'!D:D,'All Products'!P:P,FALSE)</f>
        <v>13.120000000000001</v>
      </c>
      <c r="V183" s="530">
        <f>_xlfn.XLOOKUP(E183,'All Products'!D:D,'All Products'!Q:Q,FALSE)</f>
        <v>1.3788503419060438</v>
      </c>
    </row>
    <row r="184" spans="1:22">
      <c r="A184" s="5" t="str">
        <f>IF(K184&gt;0,COUNT($A$7:A183)+1,"")</f>
        <v/>
      </c>
      <c r="B184" s="34"/>
      <c r="C184" s="50"/>
      <c r="D184" s="512" t="str">
        <f>_xlfn.XLOOKUP(E184,'All Products'!D:D,'All Products'!C:C,FALSE)</f>
        <v>428-3511</v>
      </c>
      <c r="E184" s="106">
        <v>100026960</v>
      </c>
      <c r="F184" s="522" t="str">
        <f>_xlfn.XLOOKUP(E184,'All Products'!D:D,'All Products'!E:E,FALSE)</f>
        <v>3 DOUBLE SANITARY TEE ALL HUB DWV</v>
      </c>
      <c r="G184" s="282">
        <f>_xlfn.XLOOKUP(E184,'All Products'!D:D,'All Products'!F:F,FALSE)</f>
        <v>10</v>
      </c>
      <c r="H184" s="533">
        <f>_xlfn.XLOOKUP(E184,'All Products'!D:D,'All Products'!G:G,FALSE)</f>
        <v>180</v>
      </c>
      <c r="I184" s="512">
        <f>_xlfn.XLOOKUP(E184,'All Products'!D:D,'All Products'!H:H,FALSE)</f>
        <v>428.35</v>
      </c>
      <c r="J184" s="216">
        <f>ROUNDUP(I184*Order_Quote!$L$2,2)</f>
        <v>2141.75</v>
      </c>
      <c r="K184" s="123"/>
      <c r="L184" s="79"/>
      <c r="M184" s="107">
        <f t="shared" si="2"/>
        <v>0</v>
      </c>
      <c r="O184" s="525" t="str">
        <f>_xlfn.XLOOKUP(E184,'All Products'!D:D,'All Products'!I:I,FALSE)</f>
        <v>Within 3 Weeks</v>
      </c>
      <c r="P184" s="525" t="str">
        <f>_xlfn.XLOOKUP(E184,'All Products'!D:D,'All Products'!J:J,FALSE)</f>
        <v>Manufactured</v>
      </c>
      <c r="Q184" s="525" t="str">
        <f>_xlfn.XLOOKUP(F184,'All Products'!E:E,'All Products'!K:K,FALSE)</f>
        <v>812361010792</v>
      </c>
      <c r="R184" s="525" t="str">
        <f>_xlfn.XLOOKUP(E184,'All Products'!D:D,'All Products'!L:L,FALSE)</f>
        <v>-</v>
      </c>
      <c r="S184" s="525" t="str">
        <f>_xlfn.XLOOKUP(E184,'All Products'!D:D,'All Products'!M:M,FALSE)</f>
        <v>10812361010799</v>
      </c>
      <c r="T184" s="530">
        <f>_xlfn.XLOOKUP(E184,'All Products'!D:D,'All Products'!N:N,FALSE)</f>
        <v>1.925</v>
      </c>
      <c r="U184" s="530">
        <f>_xlfn.XLOOKUP(E184,'All Products'!D:D,'All Products'!P:P,FALSE)</f>
        <v>19.25</v>
      </c>
      <c r="V184" s="530">
        <f>_xlfn.XLOOKUP(E184,'All Products'!D:D,'All Products'!Q:Q,FALSE)</f>
        <v>2.361325291407383</v>
      </c>
    </row>
    <row r="185" spans="1:22">
      <c r="A185" s="5" t="str">
        <f>IF(K185&gt;0,COUNT($A$7:A184)+1,"")</f>
        <v/>
      </c>
      <c r="B185" s="23"/>
      <c r="C185" s="51"/>
      <c r="D185" s="512" t="str">
        <f>_xlfn.XLOOKUP(E185,'All Products'!D:D,'All Products'!C:C,FALSE)</f>
        <v>428-3512</v>
      </c>
      <c r="E185" s="106">
        <v>100029026</v>
      </c>
      <c r="F185" s="522" t="str">
        <f>_xlfn.XLOOKUP(E185,'All Products'!D:D,'All Products'!E:E,FALSE)</f>
        <v>4 DOUBLE SANITARY TEE ALL HUB DWV</v>
      </c>
      <c r="G185" s="282">
        <f>_xlfn.XLOOKUP(E185,'All Products'!D:D,'All Products'!F:F,FALSE)</f>
        <v>6</v>
      </c>
      <c r="H185" s="533">
        <f>_xlfn.XLOOKUP(E185,'All Products'!D:D,'All Products'!G:G,FALSE)</f>
        <v>108</v>
      </c>
      <c r="I185" s="512">
        <f>_xlfn.XLOOKUP(E185,'All Products'!D:D,'All Products'!H:H,FALSE)</f>
        <v>688.94</v>
      </c>
      <c r="J185" s="216">
        <f>ROUNDUP(I185*Order_Quote!$L$2,2)</f>
        <v>3444.7</v>
      </c>
      <c r="K185" s="123"/>
      <c r="L185" s="79"/>
      <c r="M185" s="107">
        <f t="shared" si="2"/>
        <v>0</v>
      </c>
      <c r="O185" s="525" t="str">
        <f>_xlfn.XLOOKUP(E185,'All Products'!D:D,'All Products'!I:I,FALSE)</f>
        <v>In Stock</v>
      </c>
      <c r="P185" s="525" t="str">
        <f>_xlfn.XLOOKUP(E185,'All Products'!D:D,'All Products'!J:J,FALSE)</f>
        <v>Manufactured</v>
      </c>
      <c r="Q185" s="525" t="str">
        <f>_xlfn.XLOOKUP(F185,'All Products'!E:E,'All Products'!K:K,FALSE)</f>
        <v>812361013663</v>
      </c>
      <c r="R185" s="525" t="str">
        <f>_xlfn.XLOOKUP(E185,'All Products'!D:D,'All Products'!L:L,FALSE)</f>
        <v>-</v>
      </c>
      <c r="S185" s="525" t="str">
        <f>_xlfn.XLOOKUP(E185,'All Products'!D:D,'All Products'!M:M,FALSE)</f>
        <v>812361019313</v>
      </c>
      <c r="T185" s="530">
        <f>_xlfn.XLOOKUP(E185,'All Products'!D:D,'All Products'!N:N,FALSE)</f>
        <v>3.4870000000000001</v>
      </c>
      <c r="U185" s="530">
        <f>_xlfn.XLOOKUP(E185,'All Products'!D:D,'All Products'!P:P,FALSE)</f>
        <v>20.922000000000001</v>
      </c>
      <c r="V185" s="530">
        <f>_xlfn.XLOOKUP(E185,'All Products'!D:D,'All Products'!Q:Q,FALSE)</f>
        <v>2.361325291407383</v>
      </c>
    </row>
    <row r="186" spans="1:22">
      <c r="A186" s="5" t="str">
        <f>IF(K186&gt;0,COUNT($A$7:A185)+1,"")</f>
        <v/>
      </c>
      <c r="B186" s="26"/>
      <c r="C186" s="49"/>
      <c r="D186" s="512" t="str">
        <f>_xlfn.XLOOKUP(E186,'All Products'!D:D,'All Products'!C:C,FALSE)</f>
        <v>429-3513</v>
      </c>
      <c r="E186" s="106">
        <v>100029027</v>
      </c>
      <c r="F186" s="522" t="str">
        <f>_xlfn.XLOOKUP(E186,'All Products'!D:D,'All Products'!E:E,FALSE)</f>
        <v>2X2X1-1/2X1-1/2 DBL SAN TEE RED DWV</v>
      </c>
      <c r="G186" s="282">
        <f>_xlfn.XLOOKUP(E186,'All Products'!D:D,'All Products'!F:F,FALSE)</f>
        <v>25</v>
      </c>
      <c r="H186" s="533">
        <f>_xlfn.XLOOKUP(E186,'All Products'!D:D,'All Products'!G:G,FALSE)</f>
        <v>800</v>
      </c>
      <c r="I186" s="512">
        <f>_xlfn.XLOOKUP(E186,'All Products'!D:D,'All Products'!H:H,FALSE)</f>
        <v>117.65</v>
      </c>
      <c r="J186" s="216">
        <f>ROUNDUP(I186*Order_Quote!$L$2,2)</f>
        <v>588.25</v>
      </c>
      <c r="K186" s="123"/>
      <c r="L186" s="79"/>
      <c r="M186" s="107">
        <f t="shared" si="2"/>
        <v>0</v>
      </c>
      <c r="O186" s="525" t="str">
        <f>_xlfn.XLOOKUP(E186,'All Products'!D:D,'All Products'!I:I,FALSE)</f>
        <v>In Stock</v>
      </c>
      <c r="P186" s="525" t="str">
        <f>_xlfn.XLOOKUP(E186,'All Products'!D:D,'All Products'!J:J,FALSE)</f>
        <v>Manufactured</v>
      </c>
      <c r="Q186" s="525" t="str">
        <f>_xlfn.XLOOKUP(F186,'All Products'!E:E,'All Products'!K:K,FALSE)</f>
        <v>812361013403</v>
      </c>
      <c r="R186" s="525" t="str">
        <f>_xlfn.XLOOKUP(E186,'All Products'!D:D,'All Products'!L:L,FALSE)</f>
        <v>-</v>
      </c>
      <c r="S186" s="525" t="str">
        <f>_xlfn.XLOOKUP(E186,'All Products'!D:D,'All Products'!M:M,FALSE)</f>
        <v>812361019078</v>
      </c>
      <c r="T186" s="530">
        <f>_xlfn.XLOOKUP(E186,'All Products'!D:D,'All Products'!N:N,FALSE)</f>
        <v>0.56399999999999995</v>
      </c>
      <c r="U186" s="530">
        <f>_xlfn.XLOOKUP(E186,'All Products'!D:D,'All Products'!P:P,FALSE)</f>
        <v>14.099999999999998</v>
      </c>
      <c r="V186" s="530">
        <f>_xlfn.XLOOKUP(E186,'All Products'!D:D,'All Products'!Q:Q,FALSE)</f>
        <v>1.3788503419060438</v>
      </c>
    </row>
    <row r="187" spans="1:22">
      <c r="A187" s="5" t="str">
        <f>IF(K187&gt;0,COUNT($A$7:A186)+1,"")</f>
        <v/>
      </c>
      <c r="B187" s="34"/>
      <c r="C187" s="50"/>
      <c r="D187" s="512" t="str">
        <f>_xlfn.XLOOKUP(E187,'All Products'!D:D,'All Products'!C:C,FALSE)</f>
        <v>429-3514</v>
      </c>
      <c r="E187" s="106">
        <v>100029028</v>
      </c>
      <c r="F187" s="522" t="str">
        <f>_xlfn.XLOOKUP(E187,'All Products'!D:D,'All Products'!E:E,FALSE)</f>
        <v>3X3X1-1/2X1-1/2 DBL SAN TEE RED DWV</v>
      </c>
      <c r="G187" s="282">
        <f>_xlfn.XLOOKUP(E187,'All Products'!D:D,'All Products'!F:F,FALSE)</f>
        <v>20</v>
      </c>
      <c r="H187" s="533">
        <f>_xlfn.XLOOKUP(E187,'All Products'!D:D,'All Products'!G:G,FALSE)</f>
        <v>360</v>
      </c>
      <c r="I187" s="512">
        <f>_xlfn.XLOOKUP(E187,'All Products'!D:D,'All Products'!H:H,FALSE)</f>
        <v>278.93</v>
      </c>
      <c r="J187" s="216">
        <f>ROUNDUP(I187*Order_Quote!$L$2,2)</f>
        <v>1394.65</v>
      </c>
      <c r="K187" s="123"/>
      <c r="L187" s="79"/>
      <c r="M187" s="107">
        <f t="shared" si="2"/>
        <v>0</v>
      </c>
      <c r="O187" s="525" t="str">
        <f>_xlfn.XLOOKUP(E187,'All Products'!D:D,'All Products'!I:I,FALSE)</f>
        <v>Within 3 Weeks</v>
      </c>
      <c r="P187" s="525" t="str">
        <f>_xlfn.XLOOKUP(E187,'All Products'!D:D,'All Products'!J:J,FALSE)</f>
        <v>Manufactured</v>
      </c>
      <c r="Q187" s="525" t="str">
        <f>_xlfn.XLOOKUP(F187,'All Products'!E:E,'All Products'!K:K,FALSE)</f>
        <v>810673015610</v>
      </c>
      <c r="R187" s="525" t="str">
        <f>_xlfn.XLOOKUP(E187,'All Products'!D:D,'All Products'!L:L,FALSE)</f>
        <v>-</v>
      </c>
      <c r="S187" s="525" t="str">
        <f>_xlfn.XLOOKUP(E187,'All Products'!D:D,'All Products'!M:M,FALSE)</f>
        <v>10810673015617</v>
      </c>
      <c r="T187" s="530">
        <f>_xlfn.XLOOKUP(E187,'All Products'!D:D,'All Products'!N:N,FALSE)</f>
        <v>1.091</v>
      </c>
      <c r="U187" s="530">
        <f>_xlfn.XLOOKUP(E187,'All Products'!D:D,'All Products'!P:P,FALSE)</f>
        <v>21.82</v>
      </c>
      <c r="V187" s="530">
        <f>_xlfn.XLOOKUP(E187,'All Products'!D:D,'All Products'!Q:Q,FALSE)</f>
        <v>2.361325291407383</v>
      </c>
    </row>
    <row r="188" spans="1:22">
      <c r="A188" s="5" t="str">
        <f>IF(K188&gt;0,COUNT($A$7:A187)+1,"")</f>
        <v/>
      </c>
      <c r="B188" s="34"/>
      <c r="C188" s="50"/>
      <c r="D188" s="512" t="str">
        <f>_xlfn.XLOOKUP(E188,'All Products'!D:D,'All Products'!C:C,FALSE)</f>
        <v>429-3516</v>
      </c>
      <c r="E188" s="106">
        <v>100029029</v>
      </c>
      <c r="F188" s="522" t="str">
        <f>_xlfn.XLOOKUP(E188,'All Products'!D:D,'All Products'!E:E,FALSE)</f>
        <v>3X3X2X2 DBL SAN TEE RED DWV</v>
      </c>
      <c r="G188" s="282">
        <f>_xlfn.XLOOKUP(E188,'All Products'!D:D,'All Products'!F:F,FALSE)</f>
        <v>10</v>
      </c>
      <c r="H188" s="533">
        <f>_xlfn.XLOOKUP(E188,'All Products'!D:D,'All Products'!G:G,FALSE)</f>
        <v>450</v>
      </c>
      <c r="I188" s="512">
        <f>_xlfn.XLOOKUP(E188,'All Products'!D:D,'All Products'!H:H,FALSE)</f>
        <v>296.64</v>
      </c>
      <c r="J188" s="216">
        <f>ROUNDUP(I188*Order_Quote!$L$2,2)</f>
        <v>1483.2</v>
      </c>
      <c r="K188" s="123"/>
      <c r="L188" s="79"/>
      <c r="M188" s="107">
        <f t="shared" si="2"/>
        <v>0</v>
      </c>
      <c r="O188" s="525" t="str">
        <f>_xlfn.XLOOKUP(E188,'All Products'!D:D,'All Products'!I:I,FALSE)</f>
        <v>Within 3 Weeks</v>
      </c>
      <c r="P188" s="525" t="str">
        <f>_xlfn.XLOOKUP(E188,'All Products'!D:D,'All Products'!J:J,FALSE)</f>
        <v>Manufactured</v>
      </c>
      <c r="Q188" s="525" t="str">
        <f>_xlfn.XLOOKUP(F188,'All Products'!E:E,'All Products'!K:K,FALSE)</f>
        <v>812361010815</v>
      </c>
      <c r="R188" s="525" t="str">
        <f>_xlfn.XLOOKUP(E188,'All Products'!D:D,'All Products'!L:L,FALSE)</f>
        <v>-</v>
      </c>
      <c r="S188" s="525" t="str">
        <f>_xlfn.XLOOKUP(E188,'All Products'!D:D,'All Products'!M:M,FALSE)</f>
        <v>10812361010812</v>
      </c>
      <c r="T188" s="530">
        <f>_xlfn.XLOOKUP(E188,'All Products'!D:D,'All Products'!N:N,FALSE)</f>
        <v>1.1519999999999999</v>
      </c>
      <c r="U188" s="530">
        <f>_xlfn.XLOOKUP(E188,'All Products'!D:D,'All Products'!P:P,FALSE)</f>
        <v>11.52</v>
      </c>
      <c r="V188" s="530">
        <f>_xlfn.XLOOKUP(E188,'All Products'!D:D,'All Products'!Q:Q,FALSE)</f>
        <v>0.98955954024750914</v>
      </c>
    </row>
    <row r="189" spans="1:22">
      <c r="A189" s="5" t="str">
        <f>IF(K189&gt;0,COUNT($A$7:A188)+1,"")</f>
        <v/>
      </c>
      <c r="B189" s="34"/>
      <c r="C189" s="50"/>
      <c r="D189" s="512" t="str">
        <f>_xlfn.XLOOKUP(E189,'All Products'!D:D,'All Products'!C:C,FALSE)</f>
        <v>429-3518</v>
      </c>
      <c r="E189" s="106">
        <v>100029030</v>
      </c>
      <c r="F189" s="522" t="str">
        <f>_xlfn.XLOOKUP(E189,'All Products'!D:D,'All Products'!E:E,FALSE)</f>
        <v>4X4X2X2 DBL SAN TEE RED DWV</v>
      </c>
      <c r="G189" s="282">
        <f>_xlfn.XLOOKUP(E189,'All Products'!D:D,'All Products'!F:F,FALSE)</f>
        <v>7</v>
      </c>
      <c r="H189" s="533">
        <f>_xlfn.XLOOKUP(E189,'All Products'!D:D,'All Products'!G:G,FALSE)</f>
        <v>224</v>
      </c>
      <c r="I189" s="512">
        <f>_xlfn.XLOOKUP(E189,'All Products'!D:D,'All Products'!H:H,FALSE)</f>
        <v>557.39</v>
      </c>
      <c r="J189" s="216">
        <f>ROUNDUP(I189*Order_Quote!$L$2,2)</f>
        <v>2786.95</v>
      </c>
      <c r="K189" s="123"/>
      <c r="L189" s="79"/>
      <c r="M189" s="107">
        <f t="shared" si="2"/>
        <v>0</v>
      </c>
      <c r="O189" s="525" t="str">
        <f>_xlfn.XLOOKUP(E189,'All Products'!D:D,'All Products'!I:I,FALSE)</f>
        <v>Within 3 Weeks</v>
      </c>
      <c r="P189" s="525" t="str">
        <f>_xlfn.XLOOKUP(E189,'All Products'!D:D,'All Products'!J:J,FALSE)</f>
        <v>Manufactured</v>
      </c>
      <c r="Q189" s="525" t="str">
        <f>_xlfn.XLOOKUP(F189,'All Products'!E:E,'All Products'!K:K,FALSE)</f>
        <v>812361013427</v>
      </c>
      <c r="R189" s="525" t="str">
        <f>_xlfn.XLOOKUP(E189,'All Products'!D:D,'All Products'!L:L,FALSE)</f>
        <v>-</v>
      </c>
      <c r="S189" s="525" t="str">
        <f>_xlfn.XLOOKUP(E189,'All Products'!D:D,'All Products'!M:M,FALSE)</f>
        <v>812361019238</v>
      </c>
      <c r="T189" s="530">
        <f>_xlfn.XLOOKUP(E189,'All Products'!D:D,'All Products'!N:N,FALSE)</f>
        <v>1.861</v>
      </c>
      <c r="U189" s="530">
        <f>_xlfn.XLOOKUP(E189,'All Products'!D:D,'All Products'!P:P,FALSE)</f>
        <v>13.026999999999999</v>
      </c>
      <c r="V189" s="530">
        <f>_xlfn.XLOOKUP(E189,'All Products'!D:D,'All Products'!Q:Q,FALSE)</f>
        <v>1.3788503419060438</v>
      </c>
    </row>
    <row r="190" spans="1:22">
      <c r="A190" s="5" t="str">
        <f>IF(K190&gt;0,COUNT($A$7:A189)+1,"")</f>
        <v/>
      </c>
      <c r="B190" s="23"/>
      <c r="C190" s="51"/>
      <c r="D190" s="512" t="str">
        <f>_xlfn.XLOOKUP(E190,'All Products'!D:D,'All Products'!C:C,FALSE)</f>
        <v>429-3519</v>
      </c>
      <c r="E190" s="106">
        <v>100029031</v>
      </c>
      <c r="F190" s="522" t="str">
        <f>_xlfn.XLOOKUP(E190,'All Products'!D:D,'All Products'!E:E,FALSE)</f>
        <v>4X4X3X3 DBL SAN TEE RED DWV</v>
      </c>
      <c r="G190" s="282">
        <f>_xlfn.XLOOKUP(E190,'All Products'!D:D,'All Products'!F:F,FALSE)</f>
        <v>8</v>
      </c>
      <c r="H190" s="533">
        <f>_xlfn.XLOOKUP(E190,'All Products'!D:D,'All Products'!G:G,FALSE)</f>
        <v>144</v>
      </c>
      <c r="I190" s="512">
        <f>_xlfn.XLOOKUP(E190,'All Products'!D:D,'All Products'!H:H,FALSE)</f>
        <v>591.24</v>
      </c>
      <c r="J190" s="216">
        <f>ROUNDUP(I190*Order_Quote!$L$2,2)</f>
        <v>2956.2</v>
      </c>
      <c r="K190" s="123"/>
      <c r="L190" s="79"/>
      <c r="M190" s="107">
        <f t="shared" si="2"/>
        <v>0</v>
      </c>
      <c r="O190" s="525" t="str">
        <f>_xlfn.XLOOKUP(E190,'All Products'!D:D,'All Products'!I:I,FALSE)</f>
        <v>Within 3 Weeks</v>
      </c>
      <c r="P190" s="525" t="str">
        <f>_xlfn.XLOOKUP(E190,'All Products'!D:D,'All Products'!J:J,FALSE)</f>
        <v>Manufactured</v>
      </c>
      <c r="Q190" s="525" t="str">
        <f>_xlfn.XLOOKUP(F190,'All Products'!E:E,'All Products'!K:K,FALSE)</f>
        <v>812361011881</v>
      </c>
      <c r="R190" s="525" t="str">
        <f>_xlfn.XLOOKUP(E190,'All Products'!D:D,'All Products'!L:L,FALSE)</f>
        <v>-</v>
      </c>
      <c r="S190" s="525" t="str">
        <f>_xlfn.XLOOKUP(E190,'All Products'!D:D,'All Products'!M:M,FALSE)</f>
        <v>812361019221</v>
      </c>
      <c r="T190" s="530">
        <f>_xlfn.XLOOKUP(E190,'All Products'!D:D,'All Products'!N:N,FALSE)</f>
        <v>2.472</v>
      </c>
      <c r="U190" s="530">
        <f>_xlfn.XLOOKUP(E190,'All Products'!D:D,'All Products'!P:P,FALSE)</f>
        <v>19.776</v>
      </c>
      <c r="V190" s="530">
        <f>_xlfn.XLOOKUP(E190,'All Products'!D:D,'All Products'!Q:Q,FALSE)</f>
        <v>2.361325291407383</v>
      </c>
    </row>
    <row r="191" spans="1:22" ht="39.75" customHeight="1">
      <c r="A191" s="5" t="str">
        <f>IF(K191&gt;0,COUNT($A$7:A190)+1,"")</f>
        <v/>
      </c>
      <c r="B191" s="260"/>
      <c r="C191" s="16"/>
      <c r="D191" s="512" t="str">
        <f>_xlfn.XLOOKUP(E191,'All Products'!D:D,'All Products'!C:C,FALSE)</f>
        <v>438-3524</v>
      </c>
      <c r="E191" s="106">
        <v>300005833</v>
      </c>
      <c r="F191" s="522" t="str">
        <f>_xlfn.XLOOKUP(E191,'All Products'!D:D,'All Products'!E:E,FALSE)</f>
        <v>4X4X4X4X2  DBL SAN TEE W/SIDE INLET</v>
      </c>
      <c r="G191" s="282">
        <f>_xlfn.XLOOKUP(E191,'All Products'!D:D,'All Products'!F:F,FALSE)</f>
        <v>10</v>
      </c>
      <c r="H191" s="533">
        <f>_xlfn.XLOOKUP(E191,'All Products'!D:D,'All Products'!G:G,FALSE)</f>
        <v>72</v>
      </c>
      <c r="I191" s="512">
        <f>_xlfn.XLOOKUP(E191,'All Products'!D:D,'All Products'!H:H,FALSE)</f>
        <v>1468.2</v>
      </c>
      <c r="J191" s="216">
        <f>ROUNDUP(I191*Order_Quote!$L$2,2)</f>
        <v>7341</v>
      </c>
      <c r="K191" s="123"/>
      <c r="L191" s="79"/>
      <c r="M191" s="107">
        <f t="shared" si="2"/>
        <v>0</v>
      </c>
      <c r="O191" s="525" t="str">
        <f>_xlfn.XLOOKUP(E191,'All Products'!D:D,'All Products'!I:I,FALSE)</f>
        <v>Within 6 Weeks</v>
      </c>
      <c r="P191" s="525" t="str">
        <f>_xlfn.XLOOKUP(E191,'All Products'!D:D,'All Products'!J:J,FALSE)</f>
        <v>Sourced</v>
      </c>
      <c r="Q191" s="525" t="str">
        <f>_xlfn.XLOOKUP(F191,'All Products'!E:E,'All Products'!K:K,FALSE)</f>
        <v>812361013076</v>
      </c>
      <c r="R191" s="525" t="str">
        <f>_xlfn.XLOOKUP(E191,'All Products'!D:D,'All Products'!L:L,FALSE)</f>
        <v>-</v>
      </c>
      <c r="S191" s="525">
        <f>_xlfn.XLOOKUP(E191,'All Products'!D:D,'All Products'!M:M,FALSE)</f>
        <v>0</v>
      </c>
      <c r="T191" s="530">
        <f>_xlfn.XLOOKUP(E191,'All Products'!D:D,'All Products'!N:N,FALSE)</f>
        <v>3.25</v>
      </c>
      <c r="U191" s="530">
        <f>_xlfn.XLOOKUP(E191,'All Products'!D:D,'All Products'!P:P,FALSE)</f>
        <v>32.5</v>
      </c>
      <c r="V191" s="530" t="str">
        <f>_xlfn.XLOOKUP(E191,'All Products'!D:D,'All Products'!Q:Q,FALSE)</f>
        <v>-</v>
      </c>
    </row>
    <row r="192" spans="1:22" s="17" customFormat="1" ht="39" customHeight="1">
      <c r="A192" s="5" t="str">
        <f>IF(K192&gt;0,COUNT($A$7:A191)+1,"")</f>
        <v/>
      </c>
      <c r="B192" s="202"/>
      <c r="C192" s="203"/>
      <c r="D192" s="512" t="str">
        <f>_xlfn.XLOOKUP(E192,'All Products'!D:D,'All Products'!C:C,FALSE)</f>
        <v>439-3528</v>
      </c>
      <c r="E192" s="106">
        <v>300005678</v>
      </c>
      <c r="F192" s="522" t="str">
        <f>_xlfn.XLOOKUP(E192,'All Products'!D:D,'All Products'!E:E,FALSE)</f>
        <v>4 DBL SAN T W/2" R&amp;L SIDE INLET</v>
      </c>
      <c r="G192" s="282">
        <f>_xlfn.XLOOKUP(E192,'All Products'!D:D,'All Products'!F:F,FALSE)</f>
        <v>5</v>
      </c>
      <c r="H192" s="533">
        <f>_xlfn.XLOOKUP(E192,'All Products'!D:D,'All Products'!G:G,FALSE)</f>
        <v>72</v>
      </c>
      <c r="I192" s="512">
        <f>_xlfn.XLOOKUP(E192,'All Products'!D:D,'All Products'!H:H,FALSE)</f>
        <v>1630.75</v>
      </c>
      <c r="J192" s="216">
        <f>ROUNDUP(I192*Order_Quote!$L$2,2)</f>
        <v>8153.75</v>
      </c>
      <c r="K192" s="123"/>
      <c r="L192" s="79"/>
      <c r="M192" s="107">
        <f t="shared" si="2"/>
        <v>0</v>
      </c>
      <c r="O192" s="525" t="str">
        <f>_xlfn.XLOOKUP(E192,'All Products'!D:D,'All Products'!I:I,FALSE)</f>
        <v>Within 3 Weeks</v>
      </c>
      <c r="P192" s="525" t="str">
        <f>_xlfn.XLOOKUP(E192,'All Products'!D:D,'All Products'!J:J,FALSE)</f>
        <v>Sourced</v>
      </c>
      <c r="Q192" s="525" t="str">
        <f>_xlfn.XLOOKUP(F192,'All Products'!E:E,'All Products'!K:K,FALSE)</f>
        <v>812361012956</v>
      </c>
      <c r="R192" s="525" t="str">
        <f>_xlfn.XLOOKUP(E192,'All Products'!D:D,'All Products'!L:L,FALSE)</f>
        <v>-</v>
      </c>
      <c r="S192" s="525">
        <f>_xlfn.XLOOKUP(E192,'All Products'!D:D,'All Products'!M:M,FALSE)</f>
        <v>0</v>
      </c>
      <c r="T192" s="530">
        <f>_xlfn.XLOOKUP(E192,'All Products'!D:D,'All Products'!N:N,FALSE)</f>
        <v>3.5339999999999998</v>
      </c>
      <c r="U192" s="530">
        <f>_xlfn.XLOOKUP(E192,'All Products'!D:D,'All Products'!P:P,FALSE)</f>
        <v>17.669999999999998</v>
      </c>
      <c r="V192" s="530" t="str">
        <f>_xlfn.XLOOKUP(E192,'All Products'!D:D,'All Products'!Q:Q,FALSE)</f>
        <v>-</v>
      </c>
    </row>
    <row r="193" spans="1:22">
      <c r="A193" s="5" t="str">
        <f>IF(K193&gt;0,COUNT($A$7:A192)+1,"")</f>
        <v/>
      </c>
      <c r="B193" s="26"/>
      <c r="C193" s="49"/>
      <c r="D193" s="512" t="str">
        <f>_xlfn.XLOOKUP(E193,'All Products'!D:D,'All Products'!C:C,FALSE)</f>
        <v>441-3531</v>
      </c>
      <c r="E193" s="106">
        <v>300005679</v>
      </c>
      <c r="F193" s="522" t="str">
        <f>_xlfn.XLOOKUP(E193,'All Products'!D:D,'All Products'!E:E,FALSE)</f>
        <v>2 VENT TEE DWV</v>
      </c>
      <c r="G193" s="282">
        <f>_xlfn.XLOOKUP(E193,'All Products'!D:D,'All Products'!F:F,FALSE)</f>
        <v>25</v>
      </c>
      <c r="H193" s="533">
        <f>_xlfn.XLOOKUP(E193,'All Products'!D:D,'All Products'!G:G,FALSE)</f>
        <v>900</v>
      </c>
      <c r="I193" s="512">
        <f>_xlfn.XLOOKUP(E193,'All Products'!D:D,'All Products'!H:H,FALSE)</f>
        <v>316.61</v>
      </c>
      <c r="J193" s="216">
        <f>ROUNDUP(I193*Order_Quote!$L$2,2)</f>
        <v>1583.05</v>
      </c>
      <c r="K193" s="123"/>
      <c r="L193" s="79"/>
      <c r="M193" s="107">
        <f t="shared" si="2"/>
        <v>0</v>
      </c>
      <c r="O193" s="525" t="str">
        <f>_xlfn.XLOOKUP(E193,'All Products'!D:D,'All Products'!I:I,FALSE)</f>
        <v>Within 6 Weeks</v>
      </c>
      <c r="P193" s="525" t="str">
        <f>_xlfn.XLOOKUP(E193,'All Products'!D:D,'All Products'!J:J,FALSE)</f>
        <v>Sourced</v>
      </c>
      <c r="Q193" s="525" t="str">
        <f>_xlfn.XLOOKUP(F193,'All Products'!E:E,'All Products'!K:K,FALSE)</f>
        <v>812361017371</v>
      </c>
      <c r="R193" s="525" t="str">
        <f>_xlfn.XLOOKUP(E193,'All Products'!D:D,'All Products'!L:L,FALSE)</f>
        <v>-</v>
      </c>
      <c r="S193" s="525">
        <f>_xlfn.XLOOKUP(E193,'All Products'!D:D,'All Products'!M:M,FALSE)</f>
        <v>0</v>
      </c>
      <c r="T193" s="530">
        <f>_xlfn.XLOOKUP(E193,'All Products'!D:D,'All Products'!N:N,FALSE)</f>
        <v>0.37</v>
      </c>
      <c r="U193" s="530">
        <f>_xlfn.XLOOKUP(E193,'All Products'!D:D,'All Products'!P:P,FALSE)</f>
        <v>9.25</v>
      </c>
      <c r="V193" s="530" t="str">
        <f>_xlfn.XLOOKUP(E193,'All Products'!D:D,'All Products'!Q:Q,FALSE)</f>
        <v>-</v>
      </c>
    </row>
    <row r="194" spans="1:22">
      <c r="A194" s="5" t="str">
        <f>IF(K194&gt;0,COUNT($A$7:A193)+1,"")</f>
        <v/>
      </c>
      <c r="B194" s="34"/>
      <c r="C194" s="50"/>
      <c r="D194" s="512" t="str">
        <f>_xlfn.XLOOKUP(E194,'All Products'!D:D,'All Products'!C:C,FALSE)</f>
        <v>441-3533</v>
      </c>
      <c r="E194" s="106">
        <v>300005680</v>
      </c>
      <c r="F194" s="522" t="str">
        <f>_xlfn.XLOOKUP(E194,'All Products'!D:D,'All Products'!E:E,FALSE)</f>
        <v>4 VENT TEE DWV</v>
      </c>
      <c r="G194" s="282">
        <f>_xlfn.XLOOKUP(E194,'All Products'!D:D,'All Products'!F:F,FALSE)</f>
        <v>5</v>
      </c>
      <c r="H194" s="533">
        <f>_xlfn.XLOOKUP(E194,'All Products'!D:D,'All Products'!G:G,FALSE)</f>
        <v>175</v>
      </c>
      <c r="I194" s="512">
        <f>_xlfn.XLOOKUP(E194,'All Products'!D:D,'All Products'!H:H,FALSE)</f>
        <v>724.4</v>
      </c>
      <c r="J194" s="216">
        <f>ROUNDUP(I194*Order_Quote!$L$2,2)</f>
        <v>3622</v>
      </c>
      <c r="K194" s="123"/>
      <c r="L194" s="79"/>
      <c r="M194" s="107">
        <f t="shared" ref="M194:M209" si="3">K194/G194</f>
        <v>0</v>
      </c>
      <c r="O194" s="525" t="str">
        <f>_xlfn.XLOOKUP(E194,'All Products'!D:D,'All Products'!I:I,FALSE)</f>
        <v>Within 6 Weeks</v>
      </c>
      <c r="P194" s="525" t="str">
        <f>_xlfn.XLOOKUP(E194,'All Products'!D:D,'All Products'!J:J,FALSE)</f>
        <v>Sourced</v>
      </c>
      <c r="Q194" s="525" t="str">
        <f>_xlfn.XLOOKUP(F194,'All Products'!E:E,'All Products'!K:K,FALSE)</f>
        <v>812361017418</v>
      </c>
      <c r="R194" s="525" t="str">
        <f>_xlfn.XLOOKUP(E194,'All Products'!D:D,'All Products'!L:L,FALSE)</f>
        <v>-</v>
      </c>
      <c r="S194" s="525">
        <f>_xlfn.XLOOKUP(E194,'All Products'!D:D,'All Products'!M:M,FALSE)</f>
        <v>0</v>
      </c>
      <c r="T194" s="530">
        <f>_xlfn.XLOOKUP(E194,'All Products'!D:D,'All Products'!N:N,FALSE)</f>
        <v>2.2200000000000002</v>
      </c>
      <c r="U194" s="530">
        <f>_xlfn.XLOOKUP(E194,'All Products'!D:D,'All Products'!P:P,FALSE)</f>
        <v>11.100000000000001</v>
      </c>
      <c r="V194" s="530" t="str">
        <f>_xlfn.XLOOKUP(E194,'All Products'!D:D,'All Products'!Q:Q,FALSE)</f>
        <v>-</v>
      </c>
    </row>
    <row r="195" spans="1:22">
      <c r="A195" s="5" t="str">
        <f>IF(K195&gt;0,COUNT($A$7:A194)+1,"")</f>
        <v/>
      </c>
      <c r="B195" s="23"/>
      <c r="C195" s="51"/>
      <c r="D195" s="512" t="str">
        <f>_xlfn.XLOOKUP(E195,'All Products'!D:D,'All Products'!C:C,FALSE)</f>
        <v>441-3534</v>
      </c>
      <c r="E195" s="106">
        <v>300005681</v>
      </c>
      <c r="F195" s="522" t="str">
        <f>_xlfn.XLOOKUP(E195,'All Products'!D:D,'All Products'!E:E,FALSE)</f>
        <v>6 VENT TEE DWV</v>
      </c>
      <c r="G195" s="282">
        <f>_xlfn.XLOOKUP(E195,'All Products'!D:D,'All Products'!F:F,FALSE)</f>
        <v>4</v>
      </c>
      <c r="H195" s="533">
        <f>_xlfn.XLOOKUP(E195,'All Products'!D:D,'All Products'!G:G,FALSE)</f>
        <v>32</v>
      </c>
      <c r="I195" s="512">
        <f>_xlfn.XLOOKUP(E195,'All Products'!D:D,'All Products'!H:H,FALSE)</f>
        <v>1328.3</v>
      </c>
      <c r="J195" s="216">
        <f>ROUNDUP(I195*Order_Quote!$L$2,2)</f>
        <v>6641.5</v>
      </c>
      <c r="K195" s="123"/>
      <c r="L195" s="79"/>
      <c r="M195" s="107">
        <f t="shared" si="3"/>
        <v>0</v>
      </c>
      <c r="O195" s="525" t="str">
        <f>_xlfn.XLOOKUP(E195,'All Products'!D:D,'All Products'!I:I,FALSE)</f>
        <v>Within 6 Weeks</v>
      </c>
      <c r="P195" s="525" t="str">
        <f>_xlfn.XLOOKUP(E195,'All Products'!D:D,'All Products'!J:J,FALSE)</f>
        <v>Sourced</v>
      </c>
      <c r="Q195" s="525" t="str">
        <f>_xlfn.XLOOKUP(F195,'All Products'!E:E,'All Products'!K:K,FALSE)</f>
        <v>816842021215</v>
      </c>
      <c r="R195" s="525" t="str">
        <f>_xlfn.XLOOKUP(E195,'All Products'!D:D,'All Products'!L:L,FALSE)</f>
        <v>-</v>
      </c>
      <c r="S195" s="525">
        <f>_xlfn.XLOOKUP(E195,'All Products'!D:D,'All Products'!M:M,FALSE)</f>
        <v>0</v>
      </c>
      <c r="T195" s="530">
        <f>_xlfn.XLOOKUP(E195,'All Products'!D:D,'All Products'!N:N,FALSE)</f>
        <v>6.33</v>
      </c>
      <c r="U195" s="530">
        <f>_xlfn.XLOOKUP(E195,'All Products'!D:D,'All Products'!P:P,FALSE)</f>
        <v>25.32</v>
      </c>
      <c r="V195" s="530" t="str">
        <f>_xlfn.XLOOKUP(E195,'All Products'!D:D,'All Products'!Q:Q,FALSE)</f>
        <v>-</v>
      </c>
    </row>
    <row r="196" spans="1:22">
      <c r="A196" s="5" t="str">
        <f>IF(K196&gt;0,COUNT($A$7:A195)+1,"")</f>
        <v/>
      </c>
      <c r="B196" s="26"/>
      <c r="C196" s="49"/>
      <c r="D196" s="512" t="str">
        <f>_xlfn.XLOOKUP(E196,'All Products'!D:D,'All Products'!C:C,FALSE)</f>
        <v>444-3534</v>
      </c>
      <c r="E196" s="106">
        <v>100029044</v>
      </c>
      <c r="F196" s="522" t="str">
        <f>_xlfn.XLOOKUP(E196,'All Products'!D:D,'All Products'!E:E,FALSE)</f>
        <v>1-1/2 CLEAN OUT TEE HXHXFPT DWV</v>
      </c>
      <c r="G196" s="282">
        <f>_xlfn.XLOOKUP(E196,'All Products'!D:D,'All Products'!F:F,FALSE)</f>
        <v>20</v>
      </c>
      <c r="H196" s="533">
        <f>_xlfn.XLOOKUP(E196,'All Products'!D:D,'All Products'!G:G,FALSE)</f>
        <v>2560</v>
      </c>
      <c r="I196" s="512">
        <f>_xlfn.XLOOKUP(E196,'All Products'!D:D,'All Products'!H:H,FALSE)</f>
        <v>112.38</v>
      </c>
      <c r="J196" s="216">
        <f>ROUNDUP(I196*Order_Quote!$L$2,2)</f>
        <v>561.9</v>
      </c>
      <c r="K196" s="123"/>
      <c r="L196" s="79"/>
      <c r="M196" s="107">
        <f t="shared" si="3"/>
        <v>0</v>
      </c>
      <c r="O196" s="525" t="str">
        <f>_xlfn.XLOOKUP(E196,'All Products'!D:D,'All Products'!I:I,FALSE)</f>
        <v>In Stock</v>
      </c>
      <c r="P196" s="525" t="str">
        <f>_xlfn.XLOOKUP(E196,'All Products'!D:D,'All Products'!J:J,FALSE)</f>
        <v>Manufactured</v>
      </c>
      <c r="Q196" s="525" t="str">
        <f>_xlfn.XLOOKUP(F196,'All Products'!E:E,'All Products'!K:K,FALSE)</f>
        <v>810673015726</v>
      </c>
      <c r="R196" s="525" t="str">
        <f>_xlfn.XLOOKUP(E196,'All Products'!D:D,'All Products'!L:L,FALSE)</f>
        <v>-</v>
      </c>
      <c r="S196" s="525" t="str">
        <f>_xlfn.XLOOKUP(E196,'All Products'!D:D,'All Products'!M:M,FALSE)</f>
        <v>810673015733</v>
      </c>
      <c r="T196" s="530">
        <f>_xlfn.XLOOKUP(E196,'All Products'!D:D,'All Products'!N:N,FALSE)</f>
        <v>0.27700000000000002</v>
      </c>
      <c r="U196" s="530">
        <f>_xlfn.XLOOKUP(E196,'All Products'!D:D,'All Products'!P:P,FALSE)</f>
        <v>5.5400000000000009</v>
      </c>
      <c r="V196" s="530">
        <f>_xlfn.XLOOKUP(E196,'All Products'!D:D,'All Products'!Q:Q,FALSE)</f>
        <v>0.32375720697715193</v>
      </c>
    </row>
    <row r="197" spans="1:22">
      <c r="A197" s="5" t="str">
        <f>IF(K197&gt;0,COUNT($A$7:A196)+1,"")</f>
        <v/>
      </c>
      <c r="B197" s="34"/>
      <c r="C197" s="50"/>
      <c r="D197" s="512" t="str">
        <f>_xlfn.XLOOKUP(E197,'All Products'!D:D,'All Products'!C:C,FALSE)</f>
        <v>444-3535</v>
      </c>
      <c r="E197" s="106">
        <v>100029045</v>
      </c>
      <c r="F197" s="522" t="str">
        <f>_xlfn.XLOOKUP(E197,'All Products'!D:D,'All Products'!E:E,FALSE)</f>
        <v>2 CLEAN OUT TEE HXHXFPT DWV</v>
      </c>
      <c r="G197" s="282">
        <f>_xlfn.XLOOKUP(E197,'All Products'!D:D,'All Products'!F:F,FALSE)</f>
        <v>20</v>
      </c>
      <c r="H197" s="533">
        <f>_xlfn.XLOOKUP(E197,'All Products'!D:D,'All Products'!G:G,FALSE)</f>
        <v>1260</v>
      </c>
      <c r="I197" s="512">
        <f>_xlfn.XLOOKUP(E197,'All Products'!D:D,'All Products'!H:H,FALSE)</f>
        <v>121.12</v>
      </c>
      <c r="J197" s="216">
        <f>ROUNDUP(I197*Order_Quote!$L$2,2)</f>
        <v>605.6</v>
      </c>
      <c r="K197" s="123"/>
      <c r="L197" s="79"/>
      <c r="M197" s="107">
        <f t="shared" si="3"/>
        <v>0</v>
      </c>
      <c r="O197" s="525" t="str">
        <f>_xlfn.XLOOKUP(E197,'All Products'!D:D,'All Products'!I:I,FALSE)</f>
        <v>In Stock</v>
      </c>
      <c r="P197" s="525" t="str">
        <f>_xlfn.XLOOKUP(E197,'All Products'!D:D,'All Products'!J:J,FALSE)</f>
        <v>Manufactured</v>
      </c>
      <c r="Q197" s="525" t="str">
        <f>_xlfn.XLOOKUP(F197,'All Products'!E:E,'All Products'!K:K,FALSE)</f>
        <v>810673015740</v>
      </c>
      <c r="R197" s="525" t="str">
        <f>_xlfn.XLOOKUP(E197,'All Products'!D:D,'All Products'!L:L,FALSE)</f>
        <v>-</v>
      </c>
      <c r="S197" s="525" t="str">
        <f>_xlfn.XLOOKUP(E197,'All Products'!D:D,'All Products'!M:M,FALSE)</f>
        <v>810673015757</v>
      </c>
      <c r="T197" s="530">
        <f>_xlfn.XLOOKUP(E197,'All Products'!D:D,'All Products'!N:N,FALSE)</f>
        <v>0.41</v>
      </c>
      <c r="U197" s="530">
        <f>_xlfn.XLOOKUP(E197,'All Products'!D:D,'All Products'!P:P,FALSE)</f>
        <v>8.1999999999999993</v>
      </c>
      <c r="V197" s="530">
        <f>_xlfn.XLOOKUP(E197,'All Products'!D:D,'All Products'!Q:Q,FALSE)</f>
        <v>0.66940792428507967</v>
      </c>
    </row>
    <row r="198" spans="1:22">
      <c r="A198" s="5" t="str">
        <f>IF(K198&gt;0,COUNT($A$7:A197)+1,"")</f>
        <v/>
      </c>
      <c r="B198" s="34"/>
      <c r="C198" s="50"/>
      <c r="D198" s="512" t="str">
        <f>_xlfn.XLOOKUP(E198,'All Products'!D:D,'All Products'!C:C,FALSE)</f>
        <v>444-3536</v>
      </c>
      <c r="E198" s="106">
        <v>100029046</v>
      </c>
      <c r="F198" s="522" t="str">
        <f>_xlfn.XLOOKUP(E198,'All Products'!D:D,'All Products'!E:E,FALSE)</f>
        <v>3 CLEAN OUT TEE HXHXFPT DWV</v>
      </c>
      <c r="G198" s="282">
        <f>_xlfn.XLOOKUP(E198,'All Products'!D:D,'All Products'!F:F,FALSE)</f>
        <v>10</v>
      </c>
      <c r="H198" s="533">
        <f>_xlfn.XLOOKUP(E198,'All Products'!D:D,'All Products'!G:G,FALSE)</f>
        <v>450</v>
      </c>
      <c r="I198" s="512">
        <f>_xlfn.XLOOKUP(E198,'All Products'!D:D,'All Products'!H:H,FALSE)</f>
        <v>234.96</v>
      </c>
      <c r="J198" s="216">
        <f>ROUNDUP(I198*Order_Quote!$L$2,2)</f>
        <v>1174.8</v>
      </c>
      <c r="K198" s="123"/>
      <c r="L198" s="79"/>
      <c r="M198" s="107">
        <f t="shared" si="3"/>
        <v>0</v>
      </c>
      <c r="O198" s="525" t="str">
        <f>_xlfn.XLOOKUP(E198,'All Products'!D:D,'All Products'!I:I,FALSE)</f>
        <v>In Stock</v>
      </c>
      <c r="P198" s="525" t="str">
        <f>_xlfn.XLOOKUP(E198,'All Products'!D:D,'All Products'!J:J,FALSE)</f>
        <v>Manufactured</v>
      </c>
      <c r="Q198" s="525" t="str">
        <f>_xlfn.XLOOKUP(F198,'All Products'!E:E,'All Products'!K:K,FALSE)</f>
        <v>810673015764</v>
      </c>
      <c r="R198" s="525" t="str">
        <f>_xlfn.XLOOKUP(E198,'All Products'!D:D,'All Products'!L:L,FALSE)</f>
        <v>-</v>
      </c>
      <c r="S198" s="525" t="str">
        <f>_xlfn.XLOOKUP(E198,'All Products'!D:D,'All Products'!M:M,FALSE)</f>
        <v>810673015771</v>
      </c>
      <c r="T198" s="530">
        <f>_xlfn.XLOOKUP(E198,'All Products'!D:D,'All Products'!N:N,FALSE)</f>
        <v>1.1659999999999999</v>
      </c>
      <c r="U198" s="530">
        <f>_xlfn.XLOOKUP(E198,'All Products'!D:D,'All Products'!P:P,FALSE)</f>
        <v>11.66</v>
      </c>
      <c r="V198" s="530">
        <f>_xlfn.XLOOKUP(E198,'All Products'!D:D,'All Products'!Q:Q,FALSE)</f>
        <v>0.98955954024750914</v>
      </c>
    </row>
    <row r="199" spans="1:22">
      <c r="A199" s="5" t="str">
        <f>IF(K199&gt;0,COUNT($A$7:A198)+1,"")</f>
        <v/>
      </c>
      <c r="B199" s="23"/>
      <c r="C199" s="51"/>
      <c r="D199" s="512" t="str">
        <f>_xlfn.XLOOKUP(E199,'All Products'!D:D,'All Products'!C:C,FALSE)</f>
        <v>444-3537</v>
      </c>
      <c r="E199" s="106">
        <v>100029047</v>
      </c>
      <c r="F199" s="522" t="str">
        <f>_xlfn.XLOOKUP(E199,'All Products'!D:D,'All Products'!E:E,FALSE)</f>
        <v>4 CLEANOUT TEE HXHXFPT DWV</v>
      </c>
      <c r="G199" s="282">
        <f>_xlfn.XLOOKUP(E199,'All Products'!D:D,'All Products'!F:F,FALSE)</f>
        <v>10</v>
      </c>
      <c r="H199" s="533">
        <f>_xlfn.XLOOKUP(E199,'All Products'!D:D,'All Products'!G:G,FALSE)</f>
        <v>240</v>
      </c>
      <c r="I199" s="512">
        <f>_xlfn.XLOOKUP(E199,'All Products'!D:D,'All Products'!H:H,FALSE)</f>
        <v>417.88</v>
      </c>
      <c r="J199" s="216">
        <f>ROUNDUP(I199*Order_Quote!$L$2,2)</f>
        <v>2089.4</v>
      </c>
      <c r="K199" s="123"/>
      <c r="L199" s="79"/>
      <c r="M199" s="107">
        <f t="shared" si="3"/>
        <v>0</v>
      </c>
      <c r="O199" s="525" t="str">
        <f>_xlfn.XLOOKUP(E199,'All Products'!D:D,'All Products'!I:I,FALSE)</f>
        <v>Within 3 Weeks</v>
      </c>
      <c r="P199" s="525" t="str">
        <f>_xlfn.XLOOKUP(E199,'All Products'!D:D,'All Products'!J:J,FALSE)</f>
        <v>Manufactured</v>
      </c>
      <c r="Q199" s="525" t="str">
        <f>_xlfn.XLOOKUP(F199,'All Products'!E:E,'All Products'!K:K,FALSE)</f>
        <v>810673011407</v>
      </c>
      <c r="R199" s="525" t="str">
        <f>_xlfn.XLOOKUP(E199,'All Products'!D:D,'All Products'!L:L,FALSE)</f>
        <v>-</v>
      </c>
      <c r="S199" s="525" t="str">
        <f>_xlfn.XLOOKUP(E199,'All Products'!D:D,'All Products'!M:M,FALSE)</f>
        <v>810673015788</v>
      </c>
      <c r="T199" s="530">
        <f>_xlfn.XLOOKUP(E199,'All Products'!D:D,'All Products'!N:N,FALSE)</f>
        <v>2.1030000000000002</v>
      </c>
      <c r="U199" s="530">
        <f>_xlfn.XLOOKUP(E199,'All Products'!D:D,'All Products'!P:P,FALSE)</f>
        <v>21.03</v>
      </c>
      <c r="V199" s="530">
        <f>_xlfn.XLOOKUP(E199,'All Products'!D:D,'All Products'!Q:Q,FALSE)</f>
        <v>1.8803145838984718</v>
      </c>
    </row>
    <row r="200" spans="1:22">
      <c r="A200" s="5" t="str">
        <f>IF(K200&gt;0,COUNT($A$7:A199)+1,"")</f>
        <v/>
      </c>
      <c r="B200" s="26"/>
      <c r="C200" s="49"/>
      <c r="D200" s="512" t="str">
        <f>_xlfn.XLOOKUP(E200,'All Products'!D:D,'All Products'!C:C,FALSE)</f>
        <v>444-X-0216</v>
      </c>
      <c r="E200" s="106">
        <v>100029039</v>
      </c>
      <c r="F200" s="522" t="str">
        <f>_xlfn.XLOOKUP(E200,'All Products'!D:D,'All Products'!E:E,FALSE)</f>
        <v>6 CLEANOUT TEE W/CO PLUG DWV</v>
      </c>
      <c r="G200" s="282">
        <f>_xlfn.XLOOKUP(E200,'All Products'!D:D,'All Products'!F:F,FALSE)</f>
        <v>5</v>
      </c>
      <c r="H200" s="533">
        <f>_xlfn.XLOOKUP(E200,'All Products'!D:D,'All Products'!G:G,FALSE)</f>
        <v>70</v>
      </c>
      <c r="I200" s="512">
        <f>_xlfn.XLOOKUP(E200,'All Products'!D:D,'All Products'!H:H,FALSE)</f>
        <v>2341.2600000000002</v>
      </c>
      <c r="J200" s="216">
        <f>ROUNDUP(I200*Order_Quote!$L$2,2)</f>
        <v>11706.3</v>
      </c>
      <c r="K200" s="123"/>
      <c r="L200" s="79"/>
      <c r="M200" s="107">
        <f t="shared" si="3"/>
        <v>0</v>
      </c>
      <c r="O200" s="525" t="str">
        <f>_xlfn.XLOOKUP(E200,'All Products'!D:D,'All Products'!I:I,FALSE)</f>
        <v>In Stock</v>
      </c>
      <c r="P200" s="525" t="str">
        <f>_xlfn.XLOOKUP(E200,'All Products'!D:D,'All Products'!J:J,FALSE)</f>
        <v>Manufactured</v>
      </c>
      <c r="Q200" s="525" t="str">
        <f>_xlfn.XLOOKUP(F200,'All Products'!E:E,'All Products'!K:K,FALSE)</f>
        <v>812361018118</v>
      </c>
      <c r="R200" s="525" t="str">
        <f>_xlfn.XLOOKUP(E200,'All Products'!D:D,'All Products'!L:L,FALSE)</f>
        <v>-</v>
      </c>
      <c r="S200" s="525" t="str">
        <f>_xlfn.XLOOKUP(E200,'All Products'!D:D,'All Products'!M:M,FALSE)</f>
        <v>816842027927</v>
      </c>
      <c r="T200" s="530">
        <f>_xlfn.XLOOKUP(E200,'All Products'!D:D,'All Products'!N:N,FALSE)</f>
        <v>6.5350000000000001</v>
      </c>
      <c r="U200" s="530">
        <f>_xlfn.XLOOKUP(E200,'All Products'!D:D,'All Products'!P:P,FALSE)</f>
        <v>32.674999999999997</v>
      </c>
      <c r="V200" s="530">
        <f>_xlfn.XLOOKUP(E200,'All Products'!D:D,'All Products'!Q:Q,FALSE)</f>
        <v>3.6731726755225957</v>
      </c>
    </row>
    <row r="201" spans="1:22">
      <c r="A201" s="5" t="str">
        <f>IF(K201&gt;0,COUNT($A$7:A200)+1,"")</f>
        <v/>
      </c>
      <c r="B201" s="34"/>
      <c r="C201" s="50"/>
      <c r="D201" s="512" t="str">
        <f>_xlfn.XLOOKUP(E201,'All Products'!D:D,'All Products'!C:C,FALSE)</f>
        <v>444-X-3539</v>
      </c>
      <c r="E201" s="106">
        <v>100029040</v>
      </c>
      <c r="F201" s="522" t="str">
        <f>_xlfn.XLOOKUP(E201,'All Products'!D:D,'All Products'!E:E,FALSE)</f>
        <v>1-1/2 CLEAN OUT TEE W/CO PLUG DWV</v>
      </c>
      <c r="G201" s="282">
        <f>_xlfn.XLOOKUP(E201,'All Products'!D:D,'All Products'!F:F,FALSE)</f>
        <v>10</v>
      </c>
      <c r="H201" s="533">
        <f>_xlfn.XLOOKUP(E201,'All Products'!D:D,'All Products'!G:G,FALSE)</f>
        <v>1800</v>
      </c>
      <c r="I201" s="512">
        <f>_xlfn.XLOOKUP(E201,'All Products'!D:D,'All Products'!H:H,FALSE)</f>
        <v>127.98</v>
      </c>
      <c r="J201" s="216">
        <f>ROUNDUP(I201*Order_Quote!$L$2,2)</f>
        <v>639.9</v>
      </c>
      <c r="K201" s="123"/>
      <c r="L201" s="79"/>
      <c r="M201" s="107">
        <f t="shared" si="3"/>
        <v>0</v>
      </c>
      <c r="O201" s="525" t="str">
        <f>_xlfn.XLOOKUP(E201,'All Products'!D:D,'All Products'!I:I,FALSE)</f>
        <v>Within 3 Weeks</v>
      </c>
      <c r="P201" s="525" t="str">
        <f>_xlfn.XLOOKUP(E201,'All Products'!D:D,'All Products'!J:J,FALSE)</f>
        <v>Manufactured</v>
      </c>
      <c r="Q201" s="525" t="str">
        <f>_xlfn.XLOOKUP(F201,'All Products'!E:E,'All Products'!K:K,FALSE)</f>
        <v>810673014644</v>
      </c>
      <c r="R201" s="525" t="str">
        <f>_xlfn.XLOOKUP(E201,'All Products'!D:D,'All Products'!L:L,FALSE)</f>
        <v>-</v>
      </c>
      <c r="S201" s="525" t="str">
        <f>_xlfn.XLOOKUP(E201,'All Products'!D:D,'All Products'!M:M,FALSE)</f>
        <v>810673014651</v>
      </c>
      <c r="T201" s="530">
        <f>_xlfn.XLOOKUP(E201,'All Products'!D:D,'All Products'!N:N,FALSE)</f>
        <v>0.35699999999999998</v>
      </c>
      <c r="U201" s="530">
        <f>_xlfn.XLOOKUP(E201,'All Products'!D:D,'All Products'!P:P,FALSE)</f>
        <v>3.57</v>
      </c>
      <c r="V201" s="530">
        <f>_xlfn.XLOOKUP(E201,'All Products'!D:D,'All Products'!Q:Q,FALSE)</f>
        <v>0.21565729329437433</v>
      </c>
    </row>
    <row r="202" spans="1:22">
      <c r="A202" s="5" t="str">
        <f>IF(K202&gt;0,COUNT($A$7:A201)+1,"")</f>
        <v/>
      </c>
      <c r="B202" s="34"/>
      <c r="C202" s="50"/>
      <c r="D202" s="512" t="str">
        <f>_xlfn.XLOOKUP(E202,'All Products'!D:D,'All Products'!C:C,FALSE)</f>
        <v>444-X-3540</v>
      </c>
      <c r="E202" s="106">
        <v>100029041</v>
      </c>
      <c r="F202" s="522" t="str">
        <f>_xlfn.XLOOKUP(E202,'All Products'!D:D,'All Products'!E:E,FALSE)</f>
        <v>2 CLEAN OUT TEE W/CO PLUG DWV</v>
      </c>
      <c r="G202" s="282">
        <f>_xlfn.XLOOKUP(E202,'All Products'!D:D,'All Products'!F:F,FALSE)</f>
        <v>10</v>
      </c>
      <c r="H202" s="533">
        <f>_xlfn.XLOOKUP(E202,'All Products'!D:D,'All Products'!G:G,FALSE)</f>
        <v>800</v>
      </c>
      <c r="I202" s="512">
        <f>_xlfn.XLOOKUP(E202,'All Products'!D:D,'All Products'!H:H,FALSE)</f>
        <v>148.44</v>
      </c>
      <c r="J202" s="216">
        <f>ROUNDUP(I202*Order_Quote!$L$2,2)</f>
        <v>742.2</v>
      </c>
      <c r="K202" s="123"/>
      <c r="L202" s="79"/>
      <c r="M202" s="107">
        <f t="shared" si="3"/>
        <v>0</v>
      </c>
      <c r="O202" s="525" t="str">
        <f>_xlfn.XLOOKUP(E202,'All Products'!D:D,'All Products'!I:I,FALSE)</f>
        <v>In Stock</v>
      </c>
      <c r="P202" s="525" t="str">
        <f>_xlfn.XLOOKUP(E202,'All Products'!D:D,'All Products'!J:J,FALSE)</f>
        <v>Manufactured</v>
      </c>
      <c r="Q202" s="525" t="str">
        <f>_xlfn.XLOOKUP(F202,'All Products'!E:E,'All Products'!K:K,FALSE)</f>
        <v>810673014668</v>
      </c>
      <c r="R202" s="525" t="str">
        <f>_xlfn.XLOOKUP(E202,'All Products'!D:D,'All Products'!L:L,FALSE)</f>
        <v>-</v>
      </c>
      <c r="S202" s="525" t="str">
        <f>_xlfn.XLOOKUP(E202,'All Products'!D:D,'All Products'!M:M,FALSE)</f>
        <v>810673014675</v>
      </c>
      <c r="T202" s="530">
        <f>_xlfn.XLOOKUP(E202,'All Products'!D:D,'All Products'!N:N,FALSE)</f>
        <v>0.51300000000000001</v>
      </c>
      <c r="U202" s="530">
        <f>_xlfn.XLOOKUP(E202,'All Products'!D:D,'All Products'!P:P,FALSE)</f>
        <v>5.13</v>
      </c>
      <c r="V202" s="530">
        <f>_xlfn.XLOOKUP(E202,'All Products'!D:D,'All Products'!Q:Q,FALSE)</f>
        <v>0.4856358104657279</v>
      </c>
    </row>
    <row r="203" spans="1:22">
      <c r="A203" s="5" t="str">
        <f>IF(K203&gt;0,COUNT($A$7:A202)+1,"")</f>
        <v/>
      </c>
      <c r="B203" s="34"/>
      <c r="C203" s="50"/>
      <c r="D203" s="512" t="str">
        <f>_xlfn.XLOOKUP(E203,'All Products'!D:D,'All Products'!C:C,FALSE)</f>
        <v>444-X-3541</v>
      </c>
      <c r="E203" s="106">
        <v>100029042</v>
      </c>
      <c r="F203" s="522" t="str">
        <f>_xlfn.XLOOKUP(E203,'All Products'!D:D,'All Products'!E:E,FALSE)</f>
        <v>3 CLEANOUT TEE W/CO PLUG DWV</v>
      </c>
      <c r="G203" s="282">
        <f>_xlfn.XLOOKUP(E203,'All Products'!D:D,'All Products'!F:F,FALSE)</f>
        <v>10</v>
      </c>
      <c r="H203" s="533">
        <f>_xlfn.XLOOKUP(E203,'All Products'!D:D,'All Products'!G:G,FALSE)</f>
        <v>450</v>
      </c>
      <c r="I203" s="512">
        <f>_xlfn.XLOOKUP(E203,'All Products'!D:D,'All Products'!H:H,FALSE)</f>
        <v>283.58</v>
      </c>
      <c r="J203" s="216">
        <f>ROUNDUP(I203*Order_Quote!$L$2,2)</f>
        <v>1417.9</v>
      </c>
      <c r="K203" s="123"/>
      <c r="L203" s="79"/>
      <c r="M203" s="107">
        <f t="shared" si="3"/>
        <v>0</v>
      </c>
      <c r="O203" s="525" t="str">
        <f>_xlfn.XLOOKUP(E203,'All Products'!D:D,'All Products'!I:I,FALSE)</f>
        <v>In Stock</v>
      </c>
      <c r="P203" s="525" t="str">
        <f>_xlfn.XLOOKUP(E203,'All Products'!D:D,'All Products'!J:J,FALSE)</f>
        <v>Manufactured</v>
      </c>
      <c r="Q203" s="525" t="str">
        <f>_xlfn.XLOOKUP(F203,'All Products'!E:E,'All Products'!K:K,FALSE)</f>
        <v>810673014682</v>
      </c>
      <c r="R203" s="525" t="str">
        <f>_xlfn.XLOOKUP(E203,'All Products'!D:D,'All Products'!L:L,FALSE)</f>
        <v>-</v>
      </c>
      <c r="S203" s="525" t="str">
        <f>_xlfn.XLOOKUP(E203,'All Products'!D:D,'All Products'!M:M,FALSE)</f>
        <v>810673014699</v>
      </c>
      <c r="T203" s="530">
        <f>_xlfn.XLOOKUP(E203,'All Products'!D:D,'All Products'!N:N,FALSE)</f>
        <v>1.4079999999999999</v>
      </c>
      <c r="U203" s="530">
        <f>_xlfn.XLOOKUP(E203,'All Products'!D:D,'All Products'!P:P,FALSE)</f>
        <v>14.079999999999998</v>
      </c>
      <c r="V203" s="530">
        <f>_xlfn.XLOOKUP(E203,'All Products'!D:D,'All Products'!Q:Q,FALSE)</f>
        <v>0.98955954024750914</v>
      </c>
    </row>
    <row r="204" spans="1:22">
      <c r="A204" s="5" t="str">
        <f>IF(K204&gt;0,COUNT($A$7:A203)+1,"")</f>
        <v/>
      </c>
      <c r="B204" s="23"/>
      <c r="C204" s="51"/>
      <c r="D204" s="512" t="str">
        <f>_xlfn.XLOOKUP(E204,'All Products'!D:D,'All Products'!C:C,FALSE)</f>
        <v>444-X-3542</v>
      </c>
      <c r="E204" s="106">
        <v>100029043</v>
      </c>
      <c r="F204" s="522" t="str">
        <f>_xlfn.XLOOKUP(E204,'All Products'!D:D,'All Products'!E:E,FALSE)</f>
        <v>4 CLEANOUT TEE W/CO PLUG DWV</v>
      </c>
      <c r="G204" s="282">
        <f>_xlfn.XLOOKUP(E204,'All Products'!D:D,'All Products'!F:F,FALSE)</f>
        <v>5</v>
      </c>
      <c r="H204" s="533">
        <f>_xlfn.XLOOKUP(E204,'All Products'!D:D,'All Products'!G:G,FALSE)</f>
        <v>225</v>
      </c>
      <c r="I204" s="512">
        <f>_xlfn.XLOOKUP(E204,'All Products'!D:D,'All Products'!H:H,FALSE)</f>
        <v>489.93</v>
      </c>
      <c r="J204" s="216">
        <f>ROUNDUP(I204*Order_Quote!$L$2,2)</f>
        <v>2449.65</v>
      </c>
      <c r="K204" s="123"/>
      <c r="L204" s="79"/>
      <c r="M204" s="107">
        <f t="shared" si="3"/>
        <v>0</v>
      </c>
      <c r="O204" s="525" t="str">
        <f>_xlfn.XLOOKUP(E204,'All Products'!D:D,'All Products'!I:I,FALSE)</f>
        <v>In Stock</v>
      </c>
      <c r="P204" s="525" t="str">
        <f>_xlfn.XLOOKUP(E204,'All Products'!D:D,'All Products'!J:J,FALSE)</f>
        <v>Manufactured</v>
      </c>
      <c r="Q204" s="525" t="str">
        <f>_xlfn.XLOOKUP(F204,'All Products'!E:E,'All Products'!K:K,FALSE)</f>
        <v>810673011414</v>
      </c>
      <c r="R204" s="525" t="str">
        <f>_xlfn.XLOOKUP(E204,'All Products'!D:D,'All Products'!L:L,FALSE)</f>
        <v>-</v>
      </c>
      <c r="S204" s="525" t="str">
        <f>_xlfn.XLOOKUP(E204,'All Products'!D:D,'All Products'!M:M,FALSE)</f>
        <v>810673014705</v>
      </c>
      <c r="T204" s="530">
        <f>_xlfn.XLOOKUP(E204,'All Products'!D:D,'All Products'!N:N,FALSE)</f>
        <v>2.5550000000000002</v>
      </c>
      <c r="U204" s="530">
        <f>_xlfn.XLOOKUP(E204,'All Products'!D:D,'All Products'!P:P,FALSE)</f>
        <v>12.775</v>
      </c>
      <c r="V204" s="530">
        <f>_xlfn.XLOOKUP(E204,'All Products'!D:D,'All Products'!Q:Q,FALSE)</f>
        <v>0.98955954024750914</v>
      </c>
    </row>
    <row r="205" spans="1:22" s="17" customFormat="1" ht="30" customHeight="1">
      <c r="A205" s="5" t="str">
        <f>IF(K205&gt;0,COUNT($A$7:A204)+1,"")</f>
        <v/>
      </c>
      <c r="B205" s="110"/>
      <c r="C205" s="111"/>
      <c r="D205" s="512" t="str">
        <f>_xlfn.XLOOKUP(E205,'All Products'!D:D,'All Products'!C:C,FALSE)</f>
        <v>445-X-3548</v>
      </c>
      <c r="E205" s="106">
        <v>100029048</v>
      </c>
      <c r="F205" s="522" t="str">
        <f>_xlfn.XLOOKUP(E205,'All Products'!D:D,'All Products'!E:E,FALSE)</f>
        <v>3 CLEANOUT TEE W/FLUSH PLUG DWV</v>
      </c>
      <c r="G205" s="282">
        <f>_xlfn.XLOOKUP(E205,'All Products'!D:D,'All Products'!F:F,FALSE)</f>
        <v>10</v>
      </c>
      <c r="H205" s="533">
        <f>_xlfn.XLOOKUP(E205,'All Products'!D:D,'All Products'!G:G,FALSE)</f>
        <v>300</v>
      </c>
      <c r="I205" s="512">
        <f>_xlfn.XLOOKUP(E205,'All Products'!D:D,'All Products'!H:H,FALSE)</f>
        <v>396.67</v>
      </c>
      <c r="J205" s="216">
        <f>ROUNDUP(I205*Order_Quote!$L$2,2)</f>
        <v>1983.35</v>
      </c>
      <c r="K205" s="123"/>
      <c r="L205" s="79"/>
      <c r="M205" s="107">
        <f t="shared" si="3"/>
        <v>0</v>
      </c>
      <c r="O205" s="525" t="str">
        <f>_xlfn.XLOOKUP(E205,'All Products'!D:D,'All Products'!I:I,FALSE)</f>
        <v>In Stock</v>
      </c>
      <c r="P205" s="525" t="str">
        <f>_xlfn.XLOOKUP(E205,'All Products'!D:D,'All Products'!J:J,FALSE)</f>
        <v>Manufactured</v>
      </c>
      <c r="Q205" s="525" t="str">
        <f>_xlfn.XLOOKUP(F205,'All Products'!E:E,'All Products'!K:K,FALSE)</f>
        <v>816842023189</v>
      </c>
      <c r="R205" s="525" t="str">
        <f>_xlfn.XLOOKUP(E205,'All Products'!D:D,'All Products'!L:L,FALSE)</f>
        <v>-</v>
      </c>
      <c r="S205" s="525" t="str">
        <f>_xlfn.XLOOKUP(E205,'All Products'!D:D,'All Products'!M:M,FALSE)</f>
        <v>816842023172</v>
      </c>
      <c r="T205" s="530">
        <f>_xlfn.XLOOKUP(E205,'All Products'!D:D,'All Products'!N:N,FALSE)</f>
        <v>1.3260000000000001</v>
      </c>
      <c r="U205" s="530">
        <f>_xlfn.XLOOKUP(E205,'All Products'!D:D,'All Products'!P:P,FALSE)</f>
        <v>13.260000000000002</v>
      </c>
      <c r="V205" s="530">
        <f>_xlfn.XLOOKUP(E205,'All Products'!D:D,'All Products'!Q:Q,FALSE)</f>
        <v>0.98955954024750914</v>
      </c>
    </row>
    <row r="206" spans="1:22" s="17" customFormat="1" ht="30" customHeight="1">
      <c r="A206" s="5" t="str">
        <f>IF(K206&gt;0,COUNT($A$7:A205)+1,"")</f>
        <v/>
      </c>
      <c r="B206" s="113"/>
      <c r="C206" s="114"/>
      <c r="D206" s="512" t="str">
        <f>_xlfn.XLOOKUP(E206,'All Products'!D:D,'All Products'!C:C,FALSE)</f>
        <v>445-X-3549</v>
      </c>
      <c r="E206" s="106">
        <v>100029049</v>
      </c>
      <c r="F206" s="522" t="str">
        <f>_xlfn.XLOOKUP(E206,'All Products'!D:D,'All Products'!E:E,FALSE)</f>
        <v>4 CLEANOUT TEE W/FLUSH PLUG DWV</v>
      </c>
      <c r="G206" s="282">
        <f>_xlfn.XLOOKUP(E206,'All Products'!D:D,'All Products'!F:F,FALSE)</f>
        <v>10</v>
      </c>
      <c r="H206" s="533">
        <f>_xlfn.XLOOKUP(E206,'All Products'!D:D,'All Products'!G:G,FALSE)</f>
        <v>180</v>
      </c>
      <c r="I206" s="512">
        <f>_xlfn.XLOOKUP(E206,'All Products'!D:D,'All Products'!H:H,FALSE)</f>
        <v>570.02</v>
      </c>
      <c r="J206" s="216">
        <f>ROUNDUP(I206*Order_Quote!$L$2,2)</f>
        <v>2850.1</v>
      </c>
      <c r="K206" s="123"/>
      <c r="L206" s="79"/>
      <c r="M206" s="107">
        <f t="shared" si="3"/>
        <v>0</v>
      </c>
      <c r="O206" s="525" t="str">
        <f>_xlfn.XLOOKUP(E206,'All Products'!D:D,'All Products'!I:I,FALSE)</f>
        <v>Within 3 Weeks</v>
      </c>
      <c r="P206" s="525" t="str">
        <f>_xlfn.XLOOKUP(E206,'All Products'!D:D,'All Products'!J:J,FALSE)</f>
        <v>Manufactured</v>
      </c>
      <c r="Q206" s="525" t="str">
        <f>_xlfn.XLOOKUP(F206,'All Products'!E:E,'All Products'!K:K,FALSE)</f>
        <v>816842023134</v>
      </c>
      <c r="R206" s="525" t="str">
        <f>_xlfn.XLOOKUP(E206,'All Products'!D:D,'All Products'!L:L,FALSE)</f>
        <v>-</v>
      </c>
      <c r="S206" s="525" t="str">
        <f>_xlfn.XLOOKUP(E206,'All Products'!D:D,'All Products'!M:M,FALSE)</f>
        <v>816842023141</v>
      </c>
      <c r="T206" s="530">
        <f>_xlfn.XLOOKUP(E206,'All Products'!D:D,'All Products'!N:N,FALSE)</f>
        <v>2.391</v>
      </c>
      <c r="U206" s="530">
        <f>_xlfn.XLOOKUP(E206,'All Products'!D:D,'All Products'!P:P,FALSE)</f>
        <v>23.91</v>
      </c>
      <c r="V206" s="530">
        <f>_xlfn.XLOOKUP(E206,'All Products'!D:D,'All Products'!Q:Q,FALSE)</f>
        <v>1.8803145838984718</v>
      </c>
    </row>
    <row r="207" spans="1:22">
      <c r="A207" s="5" t="str">
        <f>IF(K207&gt;0,COUNT($A$7:A206)+1,"")</f>
        <v/>
      </c>
      <c r="B207" s="26"/>
      <c r="C207" s="49"/>
      <c r="D207" s="512" t="str">
        <f>_xlfn.XLOOKUP(E207,'All Products'!D:D,'All Products'!C:C,FALSE)</f>
        <v>448-3557</v>
      </c>
      <c r="E207" s="106">
        <v>100029050</v>
      </c>
      <c r="F207" s="522" t="str">
        <f>_xlfn.XLOOKUP(E207,'All Products'!D:D,'All Products'!E:E,FALSE)</f>
        <v>3 TWO WAY CLEANOUT TEE HXHXH DWV</v>
      </c>
      <c r="G207" s="282">
        <f>_xlfn.XLOOKUP(E207,'All Products'!D:D,'All Products'!F:F,FALSE)</f>
        <v>12</v>
      </c>
      <c r="H207" s="533">
        <f>_xlfn.XLOOKUP(E207,'All Products'!D:D,'All Products'!G:G,FALSE)</f>
        <v>216</v>
      </c>
      <c r="I207" s="512">
        <f>_xlfn.XLOOKUP(E207,'All Products'!D:D,'All Products'!H:H,FALSE)</f>
        <v>448.92</v>
      </c>
      <c r="J207" s="216">
        <f>ROUNDUP(I207*Order_Quote!$L$2,2)</f>
        <v>2244.6</v>
      </c>
      <c r="K207" s="123"/>
      <c r="L207" s="79"/>
      <c r="M207" s="107">
        <f t="shared" si="3"/>
        <v>0</v>
      </c>
      <c r="O207" s="525" t="str">
        <f>_xlfn.XLOOKUP(E207,'All Products'!D:D,'All Products'!I:I,FALSE)</f>
        <v>In Stock</v>
      </c>
      <c r="P207" s="525" t="str">
        <f>_xlfn.XLOOKUP(E207,'All Products'!D:D,'All Products'!J:J,FALSE)</f>
        <v>Manufactured</v>
      </c>
      <c r="Q207" s="525" t="str">
        <f>_xlfn.XLOOKUP(F207,'All Products'!E:E,'All Products'!K:K,FALSE)</f>
        <v>812361013465</v>
      </c>
      <c r="R207" s="525" t="str">
        <f>_xlfn.XLOOKUP(E207,'All Products'!D:D,'All Products'!L:L,FALSE)</f>
        <v>-</v>
      </c>
      <c r="S207" s="525" t="str">
        <f>_xlfn.XLOOKUP(E207,'All Products'!D:D,'All Products'!M:M,FALSE)</f>
        <v>812361019009</v>
      </c>
      <c r="T207" s="530">
        <f>_xlfn.XLOOKUP(E207,'All Products'!D:D,'All Products'!N:N,FALSE)</f>
        <v>2.1019999999999999</v>
      </c>
      <c r="U207" s="530">
        <f>_xlfn.XLOOKUP(E207,'All Products'!D:D,'All Products'!P:P,FALSE)</f>
        <v>25.223999999999997</v>
      </c>
      <c r="V207" s="530">
        <f>_xlfn.XLOOKUP(E207,'All Products'!D:D,'All Products'!Q:Q,FALSE)</f>
        <v>2.361325291407383</v>
      </c>
    </row>
    <row r="208" spans="1:22">
      <c r="A208" s="5" t="str">
        <f>IF(K208&gt;0,COUNT($A$7:A207)+1,"")</f>
        <v/>
      </c>
      <c r="B208" s="34"/>
      <c r="C208" s="50"/>
      <c r="D208" s="512" t="str">
        <f>_xlfn.XLOOKUP(E208,'All Products'!D:D,'All Products'!C:C,FALSE)</f>
        <v>448-3558</v>
      </c>
      <c r="E208" s="106">
        <v>100029051</v>
      </c>
      <c r="F208" s="522" t="str">
        <f>_xlfn.XLOOKUP(E208,'All Products'!D:D,'All Products'!E:E,FALSE)</f>
        <v>4 TWO WAY CLEANOUT TEE HXHXH DWV</v>
      </c>
      <c r="G208" s="282">
        <f>_xlfn.XLOOKUP(E208,'All Products'!D:D,'All Products'!F:F,FALSE)</f>
        <v>5</v>
      </c>
      <c r="H208" s="533">
        <f>_xlfn.XLOOKUP(E208,'All Products'!D:D,'All Products'!G:G,FALSE)</f>
        <v>120</v>
      </c>
      <c r="I208" s="512">
        <f>_xlfn.XLOOKUP(E208,'All Products'!D:D,'All Products'!H:H,FALSE)</f>
        <v>581.12</v>
      </c>
      <c r="J208" s="216">
        <f>ROUNDUP(I208*Order_Quote!$L$2,2)</f>
        <v>2905.6</v>
      </c>
      <c r="K208" s="123"/>
      <c r="L208" s="79"/>
      <c r="M208" s="107">
        <f t="shared" si="3"/>
        <v>0</v>
      </c>
      <c r="O208" s="525" t="str">
        <f>_xlfn.XLOOKUP(E208,'All Products'!D:D,'All Products'!I:I,FALSE)</f>
        <v>In Stock</v>
      </c>
      <c r="P208" s="525" t="str">
        <f>_xlfn.XLOOKUP(E208,'All Products'!D:D,'All Products'!J:J,FALSE)</f>
        <v>Manufactured</v>
      </c>
      <c r="Q208" s="525" t="str">
        <f>_xlfn.XLOOKUP(F208,'All Products'!E:E,'All Products'!K:K,FALSE)</f>
        <v>812361013489</v>
      </c>
      <c r="R208" s="525" t="str">
        <f>_xlfn.XLOOKUP(E208,'All Products'!D:D,'All Products'!L:L,FALSE)</f>
        <v>-</v>
      </c>
      <c r="S208" s="525" t="str">
        <f>_xlfn.XLOOKUP(E208,'All Products'!D:D,'All Products'!M:M,FALSE)</f>
        <v>812361013496</v>
      </c>
      <c r="T208" s="530">
        <f>_xlfn.XLOOKUP(E208,'All Products'!D:D,'All Products'!N:N,FALSE)</f>
        <v>3.9220000000000002</v>
      </c>
      <c r="U208" s="530">
        <f>_xlfn.XLOOKUP(E208,'All Products'!D:D,'All Products'!P:P,FALSE)</f>
        <v>19.61</v>
      </c>
      <c r="V208" s="530">
        <f>_xlfn.XLOOKUP(E208,'All Products'!D:D,'All Products'!Q:Q,FALSE)</f>
        <v>1.8803145838984718</v>
      </c>
    </row>
    <row r="209" spans="1:22">
      <c r="A209" s="5" t="str">
        <f>IF(K209&gt;0,COUNT($A$7:A208)+1,"")</f>
        <v/>
      </c>
      <c r="B209" s="23"/>
      <c r="C209" s="51"/>
      <c r="D209" s="512" t="str">
        <f>_xlfn.XLOOKUP(E209,'All Products'!D:D,'All Products'!C:C,FALSE)</f>
        <v>448-3559</v>
      </c>
      <c r="E209" s="106">
        <v>300005682</v>
      </c>
      <c r="F209" s="522" t="str">
        <f>_xlfn.XLOOKUP(E209,'All Products'!D:D,'All Products'!E:E,FALSE)</f>
        <v>6 TWO WAY CLEANOUT TEE HXHXH DWV</v>
      </c>
      <c r="G209" s="282">
        <f>_xlfn.XLOOKUP(E209,'All Products'!D:D,'All Products'!F:F,FALSE)</f>
        <v>3</v>
      </c>
      <c r="H209" s="533" t="str">
        <f>_xlfn.XLOOKUP(E209,'All Products'!D:D,'All Products'!G:G,FALSE)</f>
        <v>-</v>
      </c>
      <c r="I209" s="512">
        <f>_xlfn.XLOOKUP(E209,'All Products'!D:D,'All Products'!H:H,FALSE)</f>
        <v>5809.97</v>
      </c>
      <c r="J209" s="216">
        <f>ROUNDUP(I209*Order_Quote!$L$2,2)</f>
        <v>29049.85</v>
      </c>
      <c r="K209" s="123"/>
      <c r="L209" s="79"/>
      <c r="M209" s="107">
        <f t="shared" si="3"/>
        <v>0</v>
      </c>
      <c r="O209" s="525" t="str">
        <f>_xlfn.XLOOKUP(E209,'All Products'!D:D,'All Products'!I:I,FALSE)</f>
        <v>Within 6 Weeks</v>
      </c>
      <c r="P209" s="525" t="str">
        <f>_xlfn.XLOOKUP(E209,'All Products'!D:D,'All Products'!J:J,FALSE)</f>
        <v>Sourced</v>
      </c>
      <c r="Q209" s="525" t="str">
        <f>_xlfn.XLOOKUP(F209,'All Products'!E:E,'All Products'!K:K,FALSE)</f>
        <v>812361017531</v>
      </c>
      <c r="R209" s="525" t="str">
        <f>_xlfn.XLOOKUP(E209,'All Products'!D:D,'All Products'!L:L,FALSE)</f>
        <v>-</v>
      </c>
      <c r="S209" s="525">
        <f>_xlfn.XLOOKUP(E209,'All Products'!D:D,'All Products'!M:M,FALSE)</f>
        <v>0</v>
      </c>
      <c r="T209" s="530">
        <f>_xlfn.XLOOKUP(E209,'All Products'!D:D,'All Products'!N:N,FALSE)</f>
        <v>7.54</v>
      </c>
      <c r="U209" s="530">
        <f>_xlfn.XLOOKUP(E209,'All Products'!D:D,'All Products'!P:P,FALSE)</f>
        <v>22.62</v>
      </c>
      <c r="V209" s="530" t="str">
        <f>_xlfn.XLOOKUP(E209,'All Products'!D:D,'All Products'!Q:Q,FALSE)</f>
        <v>-</v>
      </c>
    </row>
    <row r="210" spans="1:22">
      <c r="A210" s="5" t="str">
        <f>IF(K210&gt;0,COUNT($A$7:A209)+1,"")</f>
        <v/>
      </c>
      <c r="B210" s="26"/>
      <c r="C210" s="49"/>
      <c r="D210" s="512" t="str">
        <f>_xlfn.XLOOKUP(E210,'All Products'!D:D,'All Products'!C:C,FALSE)</f>
        <v>500-4001</v>
      </c>
      <c r="E210" s="106">
        <v>300005683</v>
      </c>
      <c r="F210" s="522" t="str">
        <f>_xlfn.XLOOKUP(E210,'All Products'!D:D,'All Products'!E:E,FALSE)</f>
        <v>3 DBL FIXTURE FITTING HXHXHXH DWV</v>
      </c>
      <c r="G210" s="282">
        <f>_xlfn.XLOOKUP(E210,'All Products'!D:D,'All Products'!F:F,FALSE)</f>
        <v>10</v>
      </c>
      <c r="H210" s="533">
        <f>_xlfn.XLOOKUP(E210,'All Products'!D:D,'All Products'!G:G,FALSE)</f>
        <v>0</v>
      </c>
      <c r="I210" s="512">
        <f>_xlfn.XLOOKUP(E210,'All Products'!D:D,'All Products'!H:H,FALSE)</f>
        <v>921.01</v>
      </c>
      <c r="J210" s="216">
        <f>ROUNDUP(I210*Order_Quote!$L$2,2)</f>
        <v>4605.05</v>
      </c>
      <c r="K210" s="123"/>
      <c r="L210" s="79"/>
      <c r="M210" s="107"/>
      <c r="O210" s="525" t="str">
        <f>_xlfn.XLOOKUP(E210,'All Products'!D:D,'All Products'!I:I,FALSE)</f>
        <v>Within 6 Weeks</v>
      </c>
      <c r="P210" s="525" t="str">
        <f>_xlfn.XLOOKUP(E210,'All Products'!D:D,'All Products'!J:J,FALSE)</f>
        <v>Sourced</v>
      </c>
      <c r="Q210" s="525" t="str">
        <f>_xlfn.XLOOKUP(F210,'All Products'!E:E,'All Products'!K:K,FALSE)</f>
        <v>812361010778</v>
      </c>
      <c r="R210" s="525" t="str">
        <f>_xlfn.XLOOKUP(E210,'All Products'!D:D,'All Products'!L:L,FALSE)</f>
        <v>-</v>
      </c>
      <c r="S210" s="525">
        <f>_xlfn.XLOOKUP(E210,'All Products'!D:D,'All Products'!M:M,FALSE)</f>
        <v>0</v>
      </c>
      <c r="T210" s="530">
        <f>_xlfn.XLOOKUP(E210,'All Products'!D:D,'All Products'!N:N,FALSE)</f>
        <v>2.48</v>
      </c>
      <c r="U210" s="530">
        <f>_xlfn.XLOOKUP(E210,'All Products'!D:D,'All Products'!P:P,FALSE)</f>
        <v>24.8</v>
      </c>
      <c r="V210" s="530" t="str">
        <f>_xlfn.XLOOKUP(E210,'All Products'!D:D,'All Products'!Q:Q,FALSE)</f>
        <v>-</v>
      </c>
    </row>
    <row r="211" spans="1:22">
      <c r="A211" s="5" t="str">
        <f>IF(K211&gt;0,COUNT($A$7:A210)+1,"")</f>
        <v/>
      </c>
      <c r="B211" s="34"/>
      <c r="C211" s="50"/>
      <c r="D211" s="512" t="str">
        <f>_xlfn.XLOOKUP(E211,'All Products'!D:D,'All Products'!C:C,FALSE)</f>
        <v>500-4002</v>
      </c>
      <c r="E211" s="106">
        <v>300005684</v>
      </c>
      <c r="F211" s="522" t="str">
        <f>_xlfn.XLOOKUP(E211,'All Products'!D:D,'All Products'!E:E,FALSE)</f>
        <v>2X2X1-1/2X1-1/2 DBL FIXTURE FITTING HXHXHXH DWV</v>
      </c>
      <c r="G211" s="282">
        <f>_xlfn.XLOOKUP(E211,'All Products'!D:D,'All Products'!F:F,FALSE)</f>
        <v>20</v>
      </c>
      <c r="H211" s="533">
        <f>_xlfn.XLOOKUP(E211,'All Products'!D:D,'All Products'!G:G,FALSE)</f>
        <v>0</v>
      </c>
      <c r="I211" s="512">
        <f>_xlfn.XLOOKUP(E211,'All Products'!D:D,'All Products'!H:H,FALSE)</f>
        <v>299.75</v>
      </c>
      <c r="J211" s="216">
        <f>ROUNDUP(I211*Order_Quote!$L$2,2)</f>
        <v>1498.75</v>
      </c>
      <c r="K211" s="123"/>
      <c r="L211" s="79"/>
      <c r="M211" s="107"/>
      <c r="O211" s="525" t="str">
        <f>_xlfn.XLOOKUP(E211,'All Products'!D:D,'All Products'!I:I,FALSE)</f>
        <v>Within 6 Weeks</v>
      </c>
      <c r="P211" s="525" t="str">
        <f>_xlfn.XLOOKUP(E211,'All Products'!D:D,'All Products'!J:J,FALSE)</f>
        <v>Sourced</v>
      </c>
      <c r="Q211" s="525" t="str">
        <f>_xlfn.XLOOKUP(F211,'All Products'!E:E,'All Products'!K:K,FALSE)</f>
        <v>812361010785</v>
      </c>
      <c r="R211" s="525" t="str">
        <f>_xlfn.XLOOKUP(E211,'All Products'!D:D,'All Products'!L:L,FALSE)</f>
        <v>-</v>
      </c>
      <c r="S211" s="525">
        <f>_xlfn.XLOOKUP(E211,'All Products'!D:D,'All Products'!M:M,FALSE)</f>
        <v>0</v>
      </c>
      <c r="T211" s="530">
        <f>_xlfn.XLOOKUP(E211,'All Products'!D:D,'All Products'!N:N,FALSE)</f>
        <v>0.55100000000000005</v>
      </c>
      <c r="U211" s="530">
        <f>_xlfn.XLOOKUP(E211,'All Products'!D:D,'All Products'!P:P,FALSE)</f>
        <v>11.020000000000001</v>
      </c>
      <c r="V211" s="530" t="str">
        <f>_xlfn.XLOOKUP(E211,'All Products'!D:D,'All Products'!Q:Q,FALSE)</f>
        <v>-</v>
      </c>
    </row>
    <row r="212" spans="1:22" s="17" customFormat="1">
      <c r="A212" s="5" t="str">
        <f>IF(K212&gt;0,COUNT($A$7:A211)+1,"")</f>
        <v/>
      </c>
      <c r="B212" s="23"/>
      <c r="C212" s="51"/>
      <c r="D212" s="512" t="str">
        <f>_xlfn.XLOOKUP(E212,'All Products'!D:D,'All Products'!C:C,FALSE)</f>
        <v>500-4155</v>
      </c>
      <c r="E212" s="106">
        <v>300005685</v>
      </c>
      <c r="F212" s="522" t="str">
        <f>_xlfn.XLOOKUP(E212,'All Products'!D:D,'All Products'!E:E,FALSE)</f>
        <v>2 DBL FIXTURE FITTING HXHXHXH DWV</v>
      </c>
      <c r="G212" s="282">
        <f>_xlfn.XLOOKUP(E212,'All Products'!D:D,'All Products'!F:F,FALSE)</f>
        <v>25</v>
      </c>
      <c r="H212" s="533">
        <f>_xlfn.XLOOKUP(E212,'All Products'!D:D,'All Products'!G:G,FALSE)</f>
        <v>360</v>
      </c>
      <c r="I212" s="512">
        <f>_xlfn.XLOOKUP(E212,'All Products'!D:D,'All Products'!H:H,FALSE)</f>
        <v>442</v>
      </c>
      <c r="J212" s="216">
        <f>ROUNDUP(I212*Order_Quote!$L$2,2)</f>
        <v>2210</v>
      </c>
      <c r="K212" s="123"/>
      <c r="L212" s="79"/>
      <c r="M212" s="107">
        <f t="shared" ref="M212:M238" si="4">K212/G212</f>
        <v>0</v>
      </c>
      <c r="O212" s="525" t="str">
        <f>_xlfn.XLOOKUP(E212,'All Products'!D:D,'All Products'!I:I,FALSE)</f>
        <v>Within 3 Weeks</v>
      </c>
      <c r="P212" s="525" t="str">
        <f>_xlfn.XLOOKUP(E212,'All Products'!D:D,'All Products'!J:J,FALSE)</f>
        <v>Sourced</v>
      </c>
      <c r="Q212" s="525" t="str">
        <f>_xlfn.XLOOKUP(F212,'All Products'!E:E,'All Products'!K:K,FALSE)</f>
        <v>812361017913</v>
      </c>
      <c r="R212" s="525" t="str">
        <f>_xlfn.XLOOKUP(E212,'All Products'!D:D,'All Products'!L:L,FALSE)</f>
        <v>-</v>
      </c>
      <c r="S212" s="525">
        <f>_xlfn.XLOOKUP(E212,'All Products'!D:D,'All Products'!M:M,FALSE)</f>
        <v>0</v>
      </c>
      <c r="T212" s="530">
        <f>_xlfn.XLOOKUP(E212,'All Products'!D:D,'All Products'!N:N,FALSE)</f>
        <v>0.74</v>
      </c>
      <c r="U212" s="530">
        <f>_xlfn.XLOOKUP(E212,'All Products'!D:D,'All Products'!P:P,FALSE)</f>
        <v>18.5</v>
      </c>
      <c r="V212" s="530" t="str">
        <f>_xlfn.XLOOKUP(E212,'All Products'!D:D,'All Products'!Q:Q,FALSE)</f>
        <v>-</v>
      </c>
    </row>
    <row r="213" spans="1:22">
      <c r="A213" s="5" t="str">
        <f>IF(K213&gt;0,COUNT($A$7:A212)+1,"")</f>
        <v/>
      </c>
      <c r="B213" s="26"/>
      <c r="C213" s="49"/>
      <c r="D213" s="512" t="str">
        <f>_xlfn.XLOOKUP(E213,'All Products'!D:D,'All Products'!C:C,FALSE)</f>
        <v>501-3561</v>
      </c>
      <c r="E213" s="106">
        <v>100029056</v>
      </c>
      <c r="F213" s="522" t="str">
        <f>_xlfn.XLOOKUP(E213,'All Products'!D:D,'All Products'!E:E,FALSE)</f>
        <v>1-1/2 COMBO WYE &amp; 1/8 BEND 1PC DWV</v>
      </c>
      <c r="G213" s="282">
        <f>_xlfn.XLOOKUP(E213,'All Products'!D:D,'All Products'!F:F,FALSE)</f>
        <v>50</v>
      </c>
      <c r="H213" s="533">
        <f>_xlfn.XLOOKUP(E213,'All Products'!D:D,'All Products'!G:G,FALSE)</f>
        <v>900</v>
      </c>
      <c r="I213" s="512">
        <f>_xlfn.XLOOKUP(E213,'All Products'!D:D,'All Products'!H:H,FALSE)</f>
        <v>122.03</v>
      </c>
      <c r="J213" s="216">
        <f>ROUNDUP(I213*Order_Quote!$L$2,2)</f>
        <v>610.15</v>
      </c>
      <c r="K213" s="123"/>
      <c r="L213" s="79"/>
      <c r="M213" s="107">
        <f t="shared" si="4"/>
        <v>0</v>
      </c>
      <c r="O213" s="525" t="str">
        <f>_xlfn.XLOOKUP(E213,'All Products'!D:D,'All Products'!I:I,FALSE)</f>
        <v>In Stock</v>
      </c>
      <c r="P213" s="525" t="str">
        <f>_xlfn.XLOOKUP(E213,'All Products'!D:D,'All Products'!J:J,FALSE)</f>
        <v>Manufactured</v>
      </c>
      <c r="Q213" s="525" t="str">
        <f>_xlfn.XLOOKUP(F213,'All Products'!E:E,'All Products'!K:K,FALSE)</f>
        <v>812361012710</v>
      </c>
      <c r="R213" s="525" t="str">
        <f>_xlfn.XLOOKUP(E213,'All Products'!D:D,'All Products'!L:L,FALSE)</f>
        <v>-</v>
      </c>
      <c r="S213" s="525" t="str">
        <f>_xlfn.XLOOKUP(E213,'All Products'!D:D,'All Products'!M:M,FALSE)</f>
        <v>10812361012717</v>
      </c>
      <c r="T213" s="530">
        <f>_xlfn.XLOOKUP(E213,'All Products'!D:D,'All Products'!N:N,FALSE)</f>
        <v>0.51100000000000001</v>
      </c>
      <c r="U213" s="530">
        <f>_xlfn.XLOOKUP(E213,'All Products'!D:D,'All Products'!P:P,FALSE)</f>
        <v>25.55</v>
      </c>
      <c r="V213" s="530">
        <f>_xlfn.XLOOKUP(E213,'All Products'!D:D,'All Products'!Q:Q,FALSE)</f>
        <v>2.361325291407383</v>
      </c>
    </row>
    <row r="214" spans="1:22">
      <c r="A214" s="5" t="str">
        <f>IF(K214&gt;0,COUNT($A$7:A213)+1,"")</f>
        <v/>
      </c>
      <c r="B214" s="34"/>
      <c r="C214" s="50"/>
      <c r="D214" s="512" t="str">
        <f>_xlfn.XLOOKUP(E214,'All Products'!D:D,'All Products'!C:C,FALSE)</f>
        <v>501-3562</v>
      </c>
      <c r="E214" s="106">
        <v>100029057</v>
      </c>
      <c r="F214" s="522" t="str">
        <f>_xlfn.XLOOKUP(E214,'All Products'!D:D,'All Products'!E:E,FALSE)</f>
        <v>2 COMBO WYE &amp; 1/8 BEND 1PC DWV</v>
      </c>
      <c r="G214" s="282">
        <f>_xlfn.XLOOKUP(E214,'All Products'!D:D,'All Products'!F:F,FALSE)</f>
        <v>20</v>
      </c>
      <c r="H214" s="533">
        <f>_xlfn.XLOOKUP(E214,'All Products'!D:D,'All Products'!G:G,FALSE)</f>
        <v>640</v>
      </c>
      <c r="I214" s="512">
        <f>_xlfn.XLOOKUP(E214,'All Products'!D:D,'All Products'!H:H,FALSE)</f>
        <v>152.41</v>
      </c>
      <c r="J214" s="216">
        <f>ROUNDUP(I214*Order_Quote!$L$2,2)</f>
        <v>762.05</v>
      </c>
      <c r="K214" s="123"/>
      <c r="L214" s="79"/>
      <c r="M214" s="107">
        <f t="shared" si="4"/>
        <v>0</v>
      </c>
      <c r="O214" s="525" t="str">
        <f>_xlfn.XLOOKUP(E214,'All Products'!D:D,'All Products'!I:I,FALSE)</f>
        <v>In Stock</v>
      </c>
      <c r="P214" s="525" t="str">
        <f>_xlfn.XLOOKUP(E214,'All Products'!D:D,'All Products'!J:J,FALSE)</f>
        <v>Manufactured</v>
      </c>
      <c r="Q214" s="525" t="str">
        <f>_xlfn.XLOOKUP(F214,'All Products'!E:E,'All Products'!K:K,FALSE)</f>
        <v>812361012734</v>
      </c>
      <c r="R214" s="525" t="str">
        <f>_xlfn.XLOOKUP(E214,'All Products'!D:D,'All Products'!L:L,FALSE)</f>
        <v>-</v>
      </c>
      <c r="S214" s="525" t="str">
        <f>_xlfn.XLOOKUP(E214,'All Products'!D:D,'All Products'!M:M,FALSE)</f>
        <v>10812361012731</v>
      </c>
      <c r="T214" s="530">
        <f>_xlfn.XLOOKUP(E214,'All Products'!D:D,'All Products'!N:N,FALSE)</f>
        <v>0.79800000000000004</v>
      </c>
      <c r="U214" s="530">
        <f>_xlfn.XLOOKUP(E214,'All Products'!D:D,'All Products'!P:P,FALSE)</f>
        <v>15.96</v>
      </c>
      <c r="V214" s="530">
        <f>_xlfn.XLOOKUP(E214,'All Products'!D:D,'All Products'!Q:Q,FALSE)</f>
        <v>1.3788503419060438</v>
      </c>
    </row>
    <row r="215" spans="1:22">
      <c r="A215" s="5" t="str">
        <f>IF(K215&gt;0,COUNT($A$7:A214)+1,"")</f>
        <v/>
      </c>
      <c r="B215" s="34"/>
      <c r="C215" s="50"/>
      <c r="D215" s="512" t="str">
        <f>_xlfn.XLOOKUP(E215,'All Products'!D:D,'All Products'!C:C,FALSE)</f>
        <v>501-3563</v>
      </c>
      <c r="E215" s="106">
        <v>100029058</v>
      </c>
      <c r="F215" s="522" t="str">
        <f>_xlfn.XLOOKUP(E215,'All Products'!D:D,'All Products'!E:E,FALSE)</f>
        <v>3 COMBO WYE &amp; 1/8 BEND 1PC DWV</v>
      </c>
      <c r="G215" s="282">
        <f>_xlfn.XLOOKUP(E215,'All Products'!D:D,'All Products'!F:F,FALSE)</f>
        <v>10</v>
      </c>
      <c r="H215" s="533">
        <f>_xlfn.XLOOKUP(E215,'All Products'!D:D,'All Products'!G:G,FALSE)</f>
        <v>180</v>
      </c>
      <c r="I215" s="512">
        <f>_xlfn.XLOOKUP(E215,'All Products'!D:D,'All Products'!H:H,FALSE)</f>
        <v>335.58</v>
      </c>
      <c r="J215" s="216">
        <f>ROUNDUP(I215*Order_Quote!$L$2,2)</f>
        <v>1677.9</v>
      </c>
      <c r="K215" s="123"/>
      <c r="L215" s="79"/>
      <c r="M215" s="107">
        <f t="shared" si="4"/>
        <v>0</v>
      </c>
      <c r="O215" s="525" t="str">
        <f>_xlfn.XLOOKUP(E215,'All Products'!D:D,'All Products'!I:I,FALSE)</f>
        <v>In Stock</v>
      </c>
      <c r="P215" s="525" t="str">
        <f>_xlfn.XLOOKUP(E215,'All Products'!D:D,'All Products'!J:J,FALSE)</f>
        <v>Manufactured</v>
      </c>
      <c r="Q215" s="525" t="str">
        <f>_xlfn.XLOOKUP(F215,'All Products'!E:E,'All Products'!K:K,FALSE)</f>
        <v>812361012758</v>
      </c>
      <c r="R215" s="525" t="str">
        <f>_xlfn.XLOOKUP(E215,'All Products'!D:D,'All Products'!L:L,FALSE)</f>
        <v>-</v>
      </c>
      <c r="S215" s="525" t="str">
        <f>_xlfn.XLOOKUP(E215,'All Products'!D:D,'All Products'!M:M,FALSE)</f>
        <v>812361012765</v>
      </c>
      <c r="T215" s="530">
        <f>_xlfn.XLOOKUP(E215,'All Products'!D:D,'All Products'!N:N,FALSE)</f>
        <v>2.4990000000000001</v>
      </c>
      <c r="U215" s="530">
        <f>_xlfn.XLOOKUP(E215,'All Products'!D:D,'All Products'!P:P,FALSE)</f>
        <v>24.990000000000002</v>
      </c>
      <c r="V215" s="530">
        <f>_xlfn.XLOOKUP(E215,'All Products'!D:D,'All Products'!Q:Q,FALSE)</f>
        <v>2.361325291407383</v>
      </c>
    </row>
    <row r="216" spans="1:22">
      <c r="A216" s="5" t="str">
        <f>IF(K216&gt;0,COUNT($A$7:A215)+1,"")</f>
        <v/>
      </c>
      <c r="B216" s="23"/>
      <c r="C216" s="51"/>
      <c r="D216" s="512" t="str">
        <f>_xlfn.XLOOKUP(E216,'All Products'!D:D,'All Products'!C:C,FALSE)</f>
        <v>501-3564</v>
      </c>
      <c r="E216" s="106">
        <v>100029059</v>
      </c>
      <c r="F216" s="522" t="str">
        <f>_xlfn.XLOOKUP(E216,'All Products'!D:D,'All Products'!E:E,FALSE)</f>
        <v>4 COMBO WYE &amp; 1/8 BEND 1PC DWV</v>
      </c>
      <c r="G216" s="282">
        <f>_xlfn.XLOOKUP(E216,'All Products'!D:D,'All Products'!F:F,FALSE)</f>
        <v>8</v>
      </c>
      <c r="H216" s="533">
        <f>_xlfn.XLOOKUP(E216,'All Products'!D:D,'All Products'!G:G,FALSE)</f>
        <v>96</v>
      </c>
      <c r="I216" s="512">
        <f>_xlfn.XLOOKUP(E216,'All Products'!D:D,'All Products'!H:H,FALSE)</f>
        <v>660.94</v>
      </c>
      <c r="J216" s="216">
        <f>ROUNDUP(I216*Order_Quote!$L$2,2)</f>
        <v>3304.7</v>
      </c>
      <c r="K216" s="123"/>
      <c r="L216" s="79"/>
      <c r="M216" s="107">
        <f t="shared" si="4"/>
        <v>0</v>
      </c>
      <c r="O216" s="525" t="str">
        <f>_xlfn.XLOOKUP(E216,'All Products'!D:D,'All Products'!I:I,FALSE)</f>
        <v>In Stock</v>
      </c>
      <c r="P216" s="525" t="str">
        <f>_xlfn.XLOOKUP(E216,'All Products'!D:D,'All Products'!J:J,FALSE)</f>
        <v>Manufactured</v>
      </c>
      <c r="Q216" s="525" t="str">
        <f>_xlfn.XLOOKUP(F216,'All Products'!E:E,'All Products'!K:K,FALSE)</f>
        <v>812361012772</v>
      </c>
      <c r="R216" s="525" t="str">
        <f>_xlfn.XLOOKUP(E216,'All Products'!D:D,'All Products'!L:L,FALSE)</f>
        <v>-</v>
      </c>
      <c r="S216" s="525" t="str">
        <f>_xlfn.XLOOKUP(E216,'All Products'!D:D,'All Products'!M:M,FALSE)</f>
        <v>812361019016</v>
      </c>
      <c r="T216" s="530">
        <f>_xlfn.XLOOKUP(E216,'All Products'!D:D,'All Products'!N:N,FALSE)</f>
        <v>4.5990000000000002</v>
      </c>
      <c r="U216" s="530">
        <f>_xlfn.XLOOKUP(E216,'All Products'!D:D,'All Products'!P:P,FALSE)</f>
        <v>36.792000000000002</v>
      </c>
      <c r="V216" s="530">
        <f>_xlfn.XLOOKUP(E216,'All Products'!D:D,'All Products'!Q:Q,FALSE)</f>
        <v>3.6731726755225957</v>
      </c>
    </row>
    <row r="217" spans="1:22">
      <c r="A217" s="5" t="str">
        <f>IF(K217&gt;0,COUNT($A$7:A216)+1,"")</f>
        <v/>
      </c>
      <c r="B217" s="26"/>
      <c r="C217" s="49"/>
      <c r="D217" s="512" t="str">
        <f>_xlfn.XLOOKUP(E217,'All Products'!D:D,'All Products'!C:C,FALSE)</f>
        <v>502-3567</v>
      </c>
      <c r="E217" s="106">
        <v>100029060</v>
      </c>
      <c r="F217" s="522" t="str">
        <f>_xlfn.XLOOKUP(E217,'All Products'!D:D,'All Products'!E:E,FALSE)</f>
        <v>2X2X1-1/2 COMB WYE &amp; 1/8 BEND 1PC</v>
      </c>
      <c r="G217" s="282">
        <f>_xlfn.XLOOKUP(E217,'All Products'!D:D,'All Products'!F:F,FALSE)</f>
        <v>20</v>
      </c>
      <c r="H217" s="533">
        <f>_xlfn.XLOOKUP(E217,'All Products'!D:D,'All Products'!G:G,FALSE)</f>
        <v>900</v>
      </c>
      <c r="I217" s="512">
        <f>_xlfn.XLOOKUP(E217,'All Products'!D:D,'All Products'!H:H,FALSE)</f>
        <v>201.56</v>
      </c>
      <c r="J217" s="216">
        <f>ROUNDUP(I217*Order_Quote!$L$2,2)</f>
        <v>1007.8</v>
      </c>
      <c r="K217" s="123"/>
      <c r="L217" s="79"/>
      <c r="M217" s="107">
        <f t="shared" si="4"/>
        <v>0</v>
      </c>
      <c r="O217" s="525" t="str">
        <f>_xlfn.XLOOKUP(E217,'All Products'!D:D,'All Products'!I:I,FALSE)</f>
        <v>In Stock</v>
      </c>
      <c r="P217" s="525" t="str">
        <f>_xlfn.XLOOKUP(E217,'All Products'!D:D,'All Products'!J:J,FALSE)</f>
        <v>Manufactured</v>
      </c>
      <c r="Q217" s="525" t="str">
        <f>_xlfn.XLOOKUP(F217,'All Products'!E:E,'All Products'!K:K,FALSE)</f>
        <v>812361012819</v>
      </c>
      <c r="R217" s="525" t="str">
        <f>_xlfn.XLOOKUP(E217,'All Products'!D:D,'All Products'!L:L,FALSE)</f>
        <v>-</v>
      </c>
      <c r="S217" s="525" t="str">
        <f>_xlfn.XLOOKUP(E217,'All Products'!D:D,'All Products'!M:M,FALSE)</f>
        <v>812361012826</v>
      </c>
      <c r="T217" s="530">
        <f>_xlfn.XLOOKUP(E217,'All Products'!D:D,'All Products'!N:N,FALSE)</f>
        <v>0.59599999999999997</v>
      </c>
      <c r="U217" s="530">
        <f>_xlfn.XLOOKUP(E217,'All Products'!D:D,'All Products'!P:P,FALSE)</f>
        <v>11.92</v>
      </c>
      <c r="V217" s="530">
        <f>_xlfn.XLOOKUP(E217,'All Products'!D:D,'All Products'!Q:Q,FALSE)</f>
        <v>0.98955954024750914</v>
      </c>
    </row>
    <row r="218" spans="1:22">
      <c r="A218" s="5" t="str">
        <f>IF(K218&gt;0,COUNT($A$7:A217)+1,"")</f>
        <v/>
      </c>
      <c r="B218" s="34"/>
      <c r="C218" s="50"/>
      <c r="D218" s="512" t="str">
        <f>_xlfn.XLOOKUP(E218,'All Products'!D:D,'All Products'!C:C,FALSE)</f>
        <v>502-3568</v>
      </c>
      <c r="E218" s="106">
        <v>100029061</v>
      </c>
      <c r="F218" s="522" t="str">
        <f>_xlfn.XLOOKUP(E218,'All Products'!D:D,'All Products'!E:E,FALSE)</f>
        <v>3X3X1-1/2 COMB WYE &amp; 1/8 BEND 1PC</v>
      </c>
      <c r="G218" s="282">
        <f>_xlfn.XLOOKUP(E218,'All Products'!D:D,'All Products'!F:F,FALSE)</f>
        <v>15</v>
      </c>
      <c r="H218" s="533">
        <f>_xlfn.XLOOKUP(E218,'All Products'!D:D,'All Products'!G:G,FALSE)</f>
        <v>450</v>
      </c>
      <c r="I218" s="512">
        <f>_xlfn.XLOOKUP(E218,'All Products'!D:D,'All Products'!H:H,FALSE)</f>
        <v>331.5</v>
      </c>
      <c r="J218" s="216">
        <f>ROUNDUP(I218*Order_Quote!$L$2,2)</f>
        <v>1657.5</v>
      </c>
      <c r="K218" s="123"/>
      <c r="L218" s="79"/>
      <c r="M218" s="107">
        <f t="shared" si="4"/>
        <v>0</v>
      </c>
      <c r="O218" s="525" t="str">
        <f>_xlfn.XLOOKUP(E218,'All Products'!D:D,'All Products'!I:I,FALSE)</f>
        <v>In Stock</v>
      </c>
      <c r="P218" s="525" t="str">
        <f>_xlfn.XLOOKUP(E218,'All Products'!D:D,'All Products'!J:J,FALSE)</f>
        <v>Manufactured</v>
      </c>
      <c r="Q218" s="525" t="str">
        <f>_xlfn.XLOOKUP(F218,'All Products'!E:E,'All Products'!K:K,FALSE)</f>
        <v>812361012833</v>
      </c>
      <c r="R218" s="525" t="str">
        <f>_xlfn.XLOOKUP(E218,'All Products'!D:D,'All Products'!L:L,FALSE)</f>
        <v>-</v>
      </c>
      <c r="S218" s="525" t="str">
        <f>_xlfn.XLOOKUP(E218,'All Products'!D:D,'All Products'!M:M,FALSE)</f>
        <v>812361012840</v>
      </c>
      <c r="T218" s="530">
        <f>_xlfn.XLOOKUP(E218,'All Products'!D:D,'All Products'!N:N,FALSE)</f>
        <v>1.1459999999999999</v>
      </c>
      <c r="U218" s="530">
        <f>_xlfn.XLOOKUP(E218,'All Products'!D:D,'All Products'!P:P,FALSE)</f>
        <v>17.189999999999998</v>
      </c>
      <c r="V218" s="530">
        <f>_xlfn.XLOOKUP(E218,'All Products'!D:D,'All Products'!Q:Q,FALSE)</f>
        <v>2.361325291407383</v>
      </c>
    </row>
    <row r="219" spans="1:22">
      <c r="A219" s="5" t="str">
        <f>IF(K219&gt;0,COUNT($A$7:A218)+1,"")</f>
        <v/>
      </c>
      <c r="B219" s="34"/>
      <c r="C219" s="50"/>
      <c r="D219" s="512" t="str">
        <f>_xlfn.XLOOKUP(E219,'All Products'!D:D,'All Products'!C:C,FALSE)</f>
        <v>502-3569</v>
      </c>
      <c r="E219" s="106">
        <v>100029062</v>
      </c>
      <c r="F219" s="522" t="str">
        <f>_xlfn.XLOOKUP(E219,'All Products'!D:D,'All Products'!E:E,FALSE)</f>
        <v>3X3X2 COMB WYE &amp; 1/8 BEND 1PC DWV</v>
      </c>
      <c r="G219" s="282">
        <f>_xlfn.XLOOKUP(E219,'All Products'!D:D,'All Products'!F:F,FALSE)</f>
        <v>10</v>
      </c>
      <c r="H219" s="533">
        <f>_xlfn.XLOOKUP(E219,'All Products'!D:D,'All Products'!G:G,FALSE)</f>
        <v>320</v>
      </c>
      <c r="I219" s="512">
        <f>_xlfn.XLOOKUP(E219,'All Products'!D:D,'All Products'!H:H,FALSE)</f>
        <v>229.26</v>
      </c>
      <c r="J219" s="216">
        <f>ROUNDUP(I219*Order_Quote!$L$2,2)</f>
        <v>1146.3</v>
      </c>
      <c r="K219" s="123"/>
      <c r="L219" s="79"/>
      <c r="M219" s="107">
        <f t="shared" si="4"/>
        <v>0</v>
      </c>
      <c r="O219" s="525" t="str">
        <f>_xlfn.XLOOKUP(E219,'All Products'!D:D,'All Products'!I:I,FALSE)</f>
        <v>In Stock</v>
      </c>
      <c r="P219" s="525" t="str">
        <f>_xlfn.XLOOKUP(E219,'All Products'!D:D,'All Products'!J:J,FALSE)</f>
        <v>Manufactured</v>
      </c>
      <c r="Q219" s="525" t="str">
        <f>_xlfn.XLOOKUP(F219,'All Products'!E:E,'All Products'!K:K,FALSE)</f>
        <v>812361012857</v>
      </c>
      <c r="R219" s="525" t="str">
        <f>_xlfn.XLOOKUP(E219,'All Products'!D:D,'All Products'!L:L,FALSE)</f>
        <v>-</v>
      </c>
      <c r="S219" s="525" t="str">
        <f>_xlfn.XLOOKUP(E219,'All Products'!D:D,'All Products'!M:M,FALSE)</f>
        <v>812361012864</v>
      </c>
      <c r="T219" s="530">
        <f>_xlfn.XLOOKUP(E219,'All Products'!D:D,'All Products'!N:N,FALSE)</f>
        <v>1.4610000000000001</v>
      </c>
      <c r="U219" s="530">
        <f>_xlfn.XLOOKUP(E219,'All Products'!D:D,'All Products'!P:P,FALSE)</f>
        <v>14.610000000000001</v>
      </c>
      <c r="V219" s="530">
        <f>_xlfn.XLOOKUP(E219,'All Products'!D:D,'All Products'!Q:Q,FALSE)</f>
        <v>1.3788503419060438</v>
      </c>
    </row>
    <row r="220" spans="1:22">
      <c r="A220" s="5" t="str">
        <f>IF(K220&gt;0,COUNT($A$7:A219)+1,"")</f>
        <v/>
      </c>
      <c r="B220" s="34"/>
      <c r="C220" s="50"/>
      <c r="D220" s="512" t="str">
        <f>_xlfn.XLOOKUP(E220,'All Products'!D:D,'All Products'!C:C,FALSE)</f>
        <v>502-3570</v>
      </c>
      <c r="E220" s="106">
        <v>100029063</v>
      </c>
      <c r="F220" s="522" t="str">
        <f>_xlfn.XLOOKUP(E220,'All Products'!D:D,'All Products'!E:E,FALSE)</f>
        <v>4X4X2 COMB WYE &amp; 1/8 BEND 1PC DWV</v>
      </c>
      <c r="G220" s="282">
        <f>_xlfn.XLOOKUP(E220,'All Products'!D:D,'All Products'!F:F,FALSE)</f>
        <v>5</v>
      </c>
      <c r="H220" s="533">
        <f>_xlfn.XLOOKUP(E220,'All Products'!D:D,'All Products'!G:G,FALSE)</f>
        <v>225</v>
      </c>
      <c r="I220" s="512">
        <f>_xlfn.XLOOKUP(E220,'All Products'!D:D,'All Products'!H:H,FALSE)</f>
        <v>345.25</v>
      </c>
      <c r="J220" s="216">
        <f>ROUNDUP(I220*Order_Quote!$L$2,2)</f>
        <v>1726.25</v>
      </c>
      <c r="K220" s="123"/>
      <c r="L220" s="79"/>
      <c r="M220" s="107">
        <f t="shared" si="4"/>
        <v>0</v>
      </c>
      <c r="O220" s="525" t="str">
        <f>_xlfn.XLOOKUP(E220,'All Products'!D:D,'All Products'!I:I,FALSE)</f>
        <v>In Stock</v>
      </c>
      <c r="P220" s="525" t="str">
        <f>_xlfn.XLOOKUP(E220,'All Products'!D:D,'All Products'!J:J,FALSE)</f>
        <v>Manufactured</v>
      </c>
      <c r="Q220" s="525" t="str">
        <f>_xlfn.XLOOKUP(F220,'All Products'!E:E,'All Products'!K:K,FALSE)</f>
        <v>812361012871</v>
      </c>
      <c r="R220" s="525" t="str">
        <f>_xlfn.XLOOKUP(E220,'All Products'!D:D,'All Products'!L:L,FALSE)</f>
        <v>-</v>
      </c>
      <c r="S220" s="525" t="str">
        <f>_xlfn.XLOOKUP(E220,'All Products'!D:D,'All Products'!M:M,FALSE)</f>
        <v>812361012888</v>
      </c>
      <c r="T220" s="530">
        <f>_xlfn.XLOOKUP(E220,'All Products'!D:D,'All Products'!N:N,FALSE)</f>
        <v>2.1139999999999999</v>
      </c>
      <c r="U220" s="530">
        <f>_xlfn.XLOOKUP(E220,'All Products'!D:D,'All Products'!P:P,FALSE)</f>
        <v>10.57</v>
      </c>
      <c r="V220" s="530">
        <f>_xlfn.XLOOKUP(E220,'All Products'!D:D,'All Products'!Q:Q,FALSE)</f>
        <v>0.98955954024750914</v>
      </c>
    </row>
    <row r="221" spans="1:22">
      <c r="A221" s="5" t="str">
        <f>IF(K221&gt;0,COUNT($A$7:A220)+1,"")</f>
        <v/>
      </c>
      <c r="B221" s="23"/>
      <c r="C221" s="51"/>
      <c r="D221" s="512" t="str">
        <f>_xlfn.XLOOKUP(E221,'All Products'!D:D,'All Products'!C:C,FALSE)</f>
        <v>502-3571</v>
      </c>
      <c r="E221" s="106">
        <v>100029064</v>
      </c>
      <c r="F221" s="522" t="str">
        <f>_xlfn.XLOOKUP(E221,'All Products'!D:D,'All Products'!E:E,FALSE)</f>
        <v>4X4X3 COMB WYE &amp; 1/8 BEND 1PC DWV</v>
      </c>
      <c r="G221" s="282">
        <f>_xlfn.XLOOKUP(E221,'All Products'!D:D,'All Products'!F:F,FALSE)</f>
        <v>6</v>
      </c>
      <c r="H221" s="533">
        <f>_xlfn.XLOOKUP(E221,'All Products'!D:D,'All Products'!G:G,FALSE)</f>
        <v>144</v>
      </c>
      <c r="I221" s="512">
        <f>_xlfn.XLOOKUP(E221,'All Products'!D:D,'All Products'!H:H,FALSE)</f>
        <v>445.4</v>
      </c>
      <c r="J221" s="216">
        <f>ROUNDUP(I221*Order_Quote!$L$2,2)</f>
        <v>2227</v>
      </c>
      <c r="K221" s="123"/>
      <c r="L221" s="79"/>
      <c r="M221" s="107">
        <f t="shared" si="4"/>
        <v>0</v>
      </c>
      <c r="O221" s="525" t="str">
        <f>_xlfn.XLOOKUP(E221,'All Products'!D:D,'All Products'!I:I,FALSE)</f>
        <v>In Stock</v>
      </c>
      <c r="P221" s="525" t="str">
        <f>_xlfn.XLOOKUP(E221,'All Products'!D:D,'All Products'!J:J,FALSE)</f>
        <v>Manufactured</v>
      </c>
      <c r="Q221" s="525" t="str">
        <f>_xlfn.XLOOKUP(F221,'All Products'!E:E,'All Products'!K:K,FALSE)</f>
        <v>812361012895</v>
      </c>
      <c r="R221" s="525" t="str">
        <f>_xlfn.XLOOKUP(E221,'All Products'!D:D,'All Products'!L:L,FALSE)</f>
        <v>-</v>
      </c>
      <c r="S221" s="525" t="str">
        <f>_xlfn.XLOOKUP(E221,'All Products'!D:D,'All Products'!M:M,FALSE)</f>
        <v>812361019214</v>
      </c>
      <c r="T221" s="530">
        <f>_xlfn.XLOOKUP(E221,'All Products'!D:D,'All Products'!N:N,FALSE)</f>
        <v>3.3769999999999998</v>
      </c>
      <c r="U221" s="530">
        <f>_xlfn.XLOOKUP(E221,'All Products'!D:D,'All Products'!P:P,FALSE)</f>
        <v>20.262</v>
      </c>
      <c r="V221" s="530">
        <f>_xlfn.XLOOKUP(E221,'All Products'!D:D,'All Products'!Q:Q,FALSE)</f>
        <v>1.8803145838984718</v>
      </c>
    </row>
    <row r="222" spans="1:22" ht="49.5" customHeight="1">
      <c r="A222" s="5" t="str">
        <f>IF(K222&gt;0,COUNT($A$7:A221)+1,"")</f>
        <v/>
      </c>
      <c r="B222" s="121"/>
      <c r="C222" s="122"/>
      <c r="D222" s="512" t="str">
        <f>_xlfn.XLOOKUP(E222,'All Products'!D:D,'All Products'!C:C,FALSE)</f>
        <v>504-3582</v>
      </c>
      <c r="E222" s="106">
        <v>100029070</v>
      </c>
      <c r="F222" s="522" t="str">
        <f>_xlfn.XLOOKUP(E222,'All Products'!D:D,'All Products'!E:E,FALSE)</f>
        <v>6X6X4 COMBO WYE &amp; 1/8 BEND 2PC DWV</v>
      </c>
      <c r="G222" s="282">
        <f>_xlfn.XLOOKUP(E222,'All Products'!D:D,'All Products'!F:F,FALSE)</f>
        <v>4</v>
      </c>
      <c r="H222" s="533">
        <f>_xlfn.XLOOKUP(E222,'All Products'!D:D,'All Products'!G:G,FALSE)</f>
        <v>48</v>
      </c>
      <c r="I222" s="512">
        <f>_xlfn.XLOOKUP(E222,'All Products'!D:D,'All Products'!H:H,FALSE)</f>
        <v>2689.35</v>
      </c>
      <c r="J222" s="216">
        <f>ROUNDUP(I222*Order_Quote!$L$2,2)</f>
        <v>13446.75</v>
      </c>
      <c r="K222" s="123"/>
      <c r="L222" s="79"/>
      <c r="M222" s="107">
        <f t="shared" si="4"/>
        <v>0</v>
      </c>
      <c r="O222" s="525" t="str">
        <f>_xlfn.XLOOKUP(E222,'All Products'!D:D,'All Products'!I:I,FALSE)</f>
        <v>Within 3 Weeks</v>
      </c>
      <c r="P222" s="525" t="str">
        <f>_xlfn.XLOOKUP(E222,'All Products'!D:D,'All Products'!J:J,FALSE)</f>
        <v>Manufactured</v>
      </c>
      <c r="Q222" s="525" t="str">
        <f>_xlfn.XLOOKUP(F222,'All Products'!E:E,'All Products'!K:K,FALSE)</f>
        <v>810673015856</v>
      </c>
      <c r="R222" s="525" t="str">
        <f>_xlfn.XLOOKUP(E222,'All Products'!D:D,'All Products'!L:L,FALSE)</f>
        <v>-</v>
      </c>
      <c r="S222" s="525" t="str">
        <f>_xlfn.XLOOKUP(E222,'All Products'!D:D,'All Products'!M:M,FALSE)</f>
        <v>812361015582</v>
      </c>
      <c r="T222" s="530">
        <f>_xlfn.XLOOKUP(E222,'All Products'!D:D,'All Products'!N:N,FALSE)</f>
        <v>6.9989999999999997</v>
      </c>
      <c r="U222" s="530">
        <f>_xlfn.XLOOKUP(E222,'All Products'!D:D,'All Products'!P:P,FALSE)</f>
        <v>27.995999999999999</v>
      </c>
      <c r="V222" s="530">
        <f>_xlfn.XLOOKUP(E222,'All Products'!D:D,'All Products'!Q:Q,FALSE)</f>
        <v>3.6731726755225957</v>
      </c>
    </row>
    <row r="223" spans="1:22">
      <c r="A223" s="5" t="str">
        <f>IF(K223&gt;0,COUNT($A$7:A222)+1,"")</f>
        <v/>
      </c>
      <c r="B223" s="26"/>
      <c r="C223" s="49"/>
      <c r="D223" s="512" t="str">
        <f>_xlfn.XLOOKUP(E223,'All Products'!D:D,'All Products'!C:C,FALSE)</f>
        <v>507-3590</v>
      </c>
      <c r="E223" s="106">
        <v>300005686</v>
      </c>
      <c r="F223" s="522" t="str">
        <f>_xlfn.XLOOKUP(E223,'All Products'!D:D,'All Products'!E:E,FALSE)</f>
        <v>1-1/2 DBL COMB WYE &amp; 1/8 BEND DWV</v>
      </c>
      <c r="G223" s="282">
        <f>_xlfn.XLOOKUP(E223,'All Products'!D:D,'All Products'!F:F,FALSE)</f>
        <v>10</v>
      </c>
      <c r="H223" s="533">
        <f>_xlfn.XLOOKUP(E223,'All Products'!D:D,'All Products'!G:G,FALSE)</f>
        <v>450</v>
      </c>
      <c r="I223" s="512">
        <f>_xlfn.XLOOKUP(E223,'All Products'!D:D,'All Products'!H:H,FALSE)</f>
        <v>576.75</v>
      </c>
      <c r="J223" s="216">
        <f>ROUNDUP(I223*Order_Quote!$L$2,2)</f>
        <v>2883.75</v>
      </c>
      <c r="K223" s="123"/>
      <c r="L223" s="79"/>
      <c r="M223" s="107">
        <f t="shared" si="4"/>
        <v>0</v>
      </c>
      <c r="O223" s="525" t="str">
        <f>_xlfn.XLOOKUP(E223,'All Products'!D:D,'All Products'!I:I,FALSE)</f>
        <v>Within 6 Weeks</v>
      </c>
      <c r="P223" s="525" t="str">
        <f>_xlfn.XLOOKUP(E223,'All Products'!D:D,'All Products'!J:J,FALSE)</f>
        <v>Sourced</v>
      </c>
      <c r="Q223" s="525" t="str">
        <f>_xlfn.XLOOKUP(F223,'All Products'!E:E,'All Products'!K:K,FALSE)</f>
        <v>810673015870</v>
      </c>
      <c r="R223" s="525" t="str">
        <f>_xlfn.XLOOKUP(E223,'All Products'!D:D,'All Products'!L:L,FALSE)</f>
        <v>-</v>
      </c>
      <c r="S223" s="525">
        <f>_xlfn.XLOOKUP(E223,'All Products'!D:D,'All Products'!M:M,FALSE)</f>
        <v>0</v>
      </c>
      <c r="T223" s="530">
        <f>_xlfn.XLOOKUP(E223,'All Products'!D:D,'All Products'!N:N,FALSE)</f>
        <v>0.65200000000000002</v>
      </c>
      <c r="U223" s="530">
        <f>_xlfn.XLOOKUP(E223,'All Products'!D:D,'All Products'!P:P,FALSE)</f>
        <v>6.5200000000000005</v>
      </c>
      <c r="V223" s="530" t="str">
        <f>_xlfn.XLOOKUP(E223,'All Products'!D:D,'All Products'!Q:Q,FALSE)</f>
        <v>-</v>
      </c>
    </row>
    <row r="224" spans="1:22">
      <c r="A224" s="5" t="str">
        <f>IF(K224&gt;0,COUNT($A$7:A223)+1,"")</f>
        <v/>
      </c>
      <c r="B224" s="34"/>
      <c r="C224" s="50"/>
      <c r="D224" s="512" t="str">
        <f>_xlfn.XLOOKUP(E224,'All Products'!D:D,'All Products'!C:C,FALSE)</f>
        <v>507-3591</v>
      </c>
      <c r="E224" s="106">
        <v>300005687</v>
      </c>
      <c r="F224" s="522" t="str">
        <f>_xlfn.XLOOKUP(E224,'All Products'!D:D,'All Products'!E:E,FALSE)</f>
        <v>2 DBL COMB WYE &amp; 1/8 BEND DWV</v>
      </c>
      <c r="G224" s="282">
        <f>_xlfn.XLOOKUP(E224,'All Products'!D:D,'All Products'!F:F,FALSE)</f>
        <v>10</v>
      </c>
      <c r="H224" s="533">
        <f>_xlfn.XLOOKUP(E224,'All Products'!D:D,'All Products'!G:G,FALSE)</f>
        <v>300</v>
      </c>
      <c r="I224" s="512">
        <f>_xlfn.XLOOKUP(E224,'All Products'!D:D,'All Products'!H:H,FALSE)</f>
        <v>430.94</v>
      </c>
      <c r="J224" s="216">
        <f>ROUNDUP(I224*Order_Quote!$L$2,2)</f>
        <v>2154.6999999999998</v>
      </c>
      <c r="K224" s="123"/>
      <c r="L224" s="79"/>
      <c r="M224" s="107">
        <f t="shared" si="4"/>
        <v>0</v>
      </c>
      <c r="O224" s="525" t="str">
        <f>_xlfn.XLOOKUP(E224,'All Products'!D:D,'All Products'!I:I,FALSE)</f>
        <v>Within 6 Weeks</v>
      </c>
      <c r="P224" s="525" t="str">
        <f>_xlfn.XLOOKUP(E224,'All Products'!D:D,'All Products'!J:J,FALSE)</f>
        <v>Sourced</v>
      </c>
      <c r="Q224" s="525" t="str">
        <f>_xlfn.XLOOKUP(F224,'All Products'!E:E,'All Products'!K:K,FALSE)</f>
        <v>812361017555</v>
      </c>
      <c r="R224" s="525" t="str">
        <f>_xlfn.XLOOKUP(E224,'All Products'!D:D,'All Products'!L:L,FALSE)</f>
        <v>-</v>
      </c>
      <c r="S224" s="525">
        <f>_xlfn.XLOOKUP(E224,'All Products'!D:D,'All Products'!M:M,FALSE)</f>
        <v>0</v>
      </c>
      <c r="T224" s="530">
        <f>_xlfn.XLOOKUP(E224,'All Products'!D:D,'All Products'!N:N,FALSE)</f>
        <v>1.2450000000000001</v>
      </c>
      <c r="U224" s="530">
        <f>_xlfn.XLOOKUP(E224,'All Products'!D:D,'All Products'!P:P,FALSE)</f>
        <v>12.450000000000001</v>
      </c>
      <c r="V224" s="530" t="str">
        <f>_xlfn.XLOOKUP(E224,'All Products'!D:D,'All Products'!Q:Q,FALSE)</f>
        <v>-</v>
      </c>
    </row>
    <row r="225" spans="1:22">
      <c r="A225" s="5" t="str">
        <f>IF(K225&gt;0,COUNT($A$7:A224)+1,"")</f>
        <v/>
      </c>
      <c r="B225" s="34"/>
      <c r="C225" s="50"/>
      <c r="D225" s="512" t="str">
        <f>_xlfn.XLOOKUP(E225,'All Products'!D:D,'All Products'!C:C,FALSE)</f>
        <v>507-3593</v>
      </c>
      <c r="E225" s="106">
        <v>300005688</v>
      </c>
      <c r="F225" s="522" t="str">
        <f>_xlfn.XLOOKUP(E225,'All Products'!D:D,'All Products'!E:E,FALSE)</f>
        <v>3 DBL COMB WYE &amp; 1/8 BEND DWV</v>
      </c>
      <c r="G225" s="282">
        <f>_xlfn.XLOOKUP(E225,'All Products'!D:D,'All Products'!F:F,FALSE)</f>
        <v>10</v>
      </c>
      <c r="H225" s="533">
        <f>_xlfn.XLOOKUP(E225,'All Products'!D:D,'All Products'!G:G,FALSE)</f>
        <v>80</v>
      </c>
      <c r="I225" s="512">
        <f>_xlfn.XLOOKUP(E225,'All Products'!D:D,'All Products'!H:H,FALSE)</f>
        <v>2485.39</v>
      </c>
      <c r="J225" s="216">
        <f>ROUNDUP(I225*Order_Quote!$L$2,2)</f>
        <v>12426.95</v>
      </c>
      <c r="K225" s="123"/>
      <c r="L225" s="79"/>
      <c r="M225" s="107">
        <f t="shared" si="4"/>
        <v>0</v>
      </c>
      <c r="O225" s="525" t="str">
        <f>_xlfn.XLOOKUP(E225,'All Products'!D:D,'All Products'!I:I,FALSE)</f>
        <v>Within 6 Weeks</v>
      </c>
      <c r="P225" s="525" t="str">
        <f>_xlfn.XLOOKUP(E225,'All Products'!D:D,'All Products'!J:J,FALSE)</f>
        <v>Sourced</v>
      </c>
      <c r="Q225" s="525" t="str">
        <f>_xlfn.XLOOKUP(F225,'All Products'!E:E,'All Products'!K:K,FALSE)</f>
        <v>812361017586</v>
      </c>
      <c r="R225" s="525" t="str">
        <f>_xlfn.XLOOKUP(E225,'All Products'!D:D,'All Products'!L:L,FALSE)</f>
        <v>-</v>
      </c>
      <c r="S225" s="525">
        <f>_xlfn.XLOOKUP(E225,'All Products'!D:D,'All Products'!M:M,FALSE)</f>
        <v>0</v>
      </c>
      <c r="T225" s="530">
        <f>_xlfn.XLOOKUP(E225,'All Products'!D:D,'All Products'!N:N,FALSE)</f>
        <v>3.7229999999999999</v>
      </c>
      <c r="U225" s="530">
        <f>_xlfn.XLOOKUP(E225,'All Products'!D:D,'All Products'!P:P,FALSE)</f>
        <v>37.229999999999997</v>
      </c>
      <c r="V225" s="530" t="str">
        <f>_xlfn.XLOOKUP(E225,'All Products'!D:D,'All Products'!Q:Q,FALSE)</f>
        <v>-</v>
      </c>
    </row>
    <row r="226" spans="1:22">
      <c r="A226" s="5" t="str">
        <f>IF(K226&gt;0,COUNT($A$7:A225)+1,"")</f>
        <v/>
      </c>
      <c r="B226" s="23"/>
      <c r="C226" s="51"/>
      <c r="D226" s="512" t="str">
        <f>_xlfn.XLOOKUP(E226,'All Products'!D:D,'All Products'!C:C,FALSE)</f>
        <v>507-3594</v>
      </c>
      <c r="E226" s="106">
        <v>300005689</v>
      </c>
      <c r="F226" s="522" t="str">
        <f>_xlfn.XLOOKUP(E226,'All Products'!D:D,'All Products'!E:E,FALSE)</f>
        <v>4 DBL COMB WYE &amp; 1/8 BEND DWV</v>
      </c>
      <c r="G226" s="282">
        <f>_xlfn.XLOOKUP(E226,'All Products'!D:D,'All Products'!F:F,FALSE)</f>
        <v>5</v>
      </c>
      <c r="H226" s="533">
        <f>_xlfn.XLOOKUP(E226,'All Products'!D:D,'All Products'!G:G,FALSE)</f>
        <v>35</v>
      </c>
      <c r="I226" s="512">
        <f>_xlfn.XLOOKUP(E226,'All Products'!D:D,'All Products'!H:H,FALSE)</f>
        <v>2914.77</v>
      </c>
      <c r="J226" s="216">
        <f>ROUNDUP(I226*Order_Quote!$L$2,2)</f>
        <v>14573.85</v>
      </c>
      <c r="K226" s="123"/>
      <c r="L226" s="79"/>
      <c r="M226" s="107">
        <f t="shared" si="4"/>
        <v>0</v>
      </c>
      <c r="O226" s="525" t="str">
        <f>_xlfn.XLOOKUP(E226,'All Products'!D:D,'All Products'!I:I,FALSE)</f>
        <v>Within 6 Weeks</v>
      </c>
      <c r="P226" s="525" t="str">
        <f>_xlfn.XLOOKUP(E226,'All Products'!D:D,'All Products'!J:J,FALSE)</f>
        <v>Sourced</v>
      </c>
      <c r="Q226" s="525" t="str">
        <f>_xlfn.XLOOKUP(F226,'All Products'!E:E,'All Products'!K:K,FALSE)</f>
        <v>812361018101</v>
      </c>
      <c r="R226" s="525" t="str">
        <f>_xlfn.XLOOKUP(E226,'All Products'!D:D,'All Products'!L:L,FALSE)</f>
        <v>-</v>
      </c>
      <c r="S226" s="525">
        <f>_xlfn.XLOOKUP(E226,'All Products'!D:D,'All Products'!M:M,FALSE)</f>
        <v>0</v>
      </c>
      <c r="T226" s="530">
        <f>_xlfn.XLOOKUP(E226,'All Products'!D:D,'All Products'!N:N,FALSE)</f>
        <v>6.53</v>
      </c>
      <c r="U226" s="530">
        <f>_xlfn.XLOOKUP(E226,'All Products'!D:D,'All Products'!P:P,FALSE)</f>
        <v>32.65</v>
      </c>
      <c r="V226" s="530" t="str">
        <f>_xlfn.XLOOKUP(E226,'All Products'!D:D,'All Products'!Q:Q,FALSE)</f>
        <v>-</v>
      </c>
    </row>
    <row r="227" spans="1:22">
      <c r="A227" s="5" t="str">
        <f>IF(K227&gt;0,COUNT($A$7:A226)+1,"")</f>
        <v/>
      </c>
      <c r="B227" s="26"/>
      <c r="C227" s="49"/>
      <c r="D227" s="512" t="str">
        <f>_xlfn.XLOOKUP(E227,'All Products'!D:D,'All Products'!C:C,FALSE)</f>
        <v>600-3607</v>
      </c>
      <c r="E227" s="106">
        <v>100029077</v>
      </c>
      <c r="F227" s="522" t="str">
        <f>_xlfn.XLOOKUP(E227,'All Products'!D:D,'All Products'!E:E,FALSE)</f>
        <v>1-1/2 WYE DWV</v>
      </c>
      <c r="G227" s="282">
        <f>_xlfn.XLOOKUP(E227,'All Products'!D:D,'All Products'!F:F,FALSE)</f>
        <v>50</v>
      </c>
      <c r="H227" s="533">
        <f>_xlfn.XLOOKUP(E227,'All Products'!D:D,'All Products'!G:G,FALSE)</f>
        <v>1200</v>
      </c>
      <c r="I227" s="512">
        <f>_xlfn.XLOOKUP(E227,'All Products'!D:D,'All Products'!H:H,FALSE)</f>
        <v>91.68</v>
      </c>
      <c r="J227" s="216">
        <f>ROUNDUP(I227*Order_Quote!$L$2,2)</f>
        <v>458.4</v>
      </c>
      <c r="K227" s="123"/>
      <c r="L227" s="79"/>
      <c r="M227" s="107">
        <f t="shared" si="4"/>
        <v>0</v>
      </c>
      <c r="O227" s="525" t="str">
        <f>_xlfn.XLOOKUP(E227,'All Products'!D:D,'All Products'!I:I,FALSE)</f>
        <v>Within 3 Weeks</v>
      </c>
      <c r="P227" s="525" t="str">
        <f>_xlfn.XLOOKUP(E227,'All Products'!D:D,'All Products'!J:J,FALSE)</f>
        <v>Manufactured</v>
      </c>
      <c r="Q227" s="525" t="str">
        <f>_xlfn.XLOOKUP(F227,'All Products'!E:E,'All Products'!K:K,FALSE)</f>
        <v>810673013777</v>
      </c>
      <c r="R227" s="525" t="str">
        <f>_xlfn.XLOOKUP(E227,'All Products'!D:D,'All Products'!L:L,FALSE)</f>
        <v>-</v>
      </c>
      <c r="S227" s="525" t="str">
        <f>_xlfn.XLOOKUP(E227,'All Products'!D:D,'All Products'!M:M,FALSE)</f>
        <v>10810673013774</v>
      </c>
      <c r="T227" s="530">
        <f>_xlfn.XLOOKUP(E227,'All Products'!D:D,'All Products'!N:N,FALSE)</f>
        <v>0.41899999999999998</v>
      </c>
      <c r="U227" s="530">
        <f>_xlfn.XLOOKUP(E227,'All Products'!D:D,'All Products'!P:P,FALSE)</f>
        <v>20.95</v>
      </c>
      <c r="V227" s="530">
        <f>_xlfn.XLOOKUP(E227,'All Products'!D:D,'All Products'!Q:Q,FALSE)</f>
        <v>1.8803145838984718</v>
      </c>
    </row>
    <row r="228" spans="1:22">
      <c r="A228" s="5" t="str">
        <f>IF(K228&gt;0,COUNT($A$7:A227)+1,"")</f>
        <v/>
      </c>
      <c r="B228" s="34"/>
      <c r="C228" s="50"/>
      <c r="D228" s="512" t="str">
        <f>_xlfn.XLOOKUP(E228,'All Products'!D:D,'All Products'!C:C,FALSE)</f>
        <v>600-3608</v>
      </c>
      <c r="E228" s="106">
        <v>100029078</v>
      </c>
      <c r="F228" s="522" t="str">
        <f>_xlfn.XLOOKUP(E228,'All Products'!D:D,'All Products'!E:E,FALSE)</f>
        <v>2 WYE DWV</v>
      </c>
      <c r="G228" s="282">
        <f>_xlfn.XLOOKUP(E228,'All Products'!D:D,'All Products'!F:F,FALSE)</f>
        <v>25</v>
      </c>
      <c r="H228" s="533">
        <f>_xlfn.XLOOKUP(E228,'All Products'!D:D,'All Products'!G:G,FALSE)</f>
        <v>600</v>
      </c>
      <c r="I228" s="512">
        <f>_xlfn.XLOOKUP(E228,'All Products'!D:D,'All Products'!H:H,FALSE)</f>
        <v>90.24</v>
      </c>
      <c r="J228" s="216">
        <f>ROUNDUP(I228*Order_Quote!$L$2,2)</f>
        <v>451.2</v>
      </c>
      <c r="K228" s="123"/>
      <c r="L228" s="79"/>
      <c r="M228" s="107">
        <f t="shared" si="4"/>
        <v>0</v>
      </c>
      <c r="O228" s="525" t="str">
        <f>_xlfn.XLOOKUP(E228,'All Products'!D:D,'All Products'!I:I,FALSE)</f>
        <v>In Stock</v>
      </c>
      <c r="P228" s="525" t="str">
        <f>_xlfn.XLOOKUP(E228,'All Products'!D:D,'All Products'!J:J,FALSE)</f>
        <v>Manufactured</v>
      </c>
      <c r="Q228" s="525" t="str">
        <f>_xlfn.XLOOKUP(F228,'All Products'!E:E,'All Products'!K:K,FALSE)</f>
        <v>810673013791</v>
      </c>
      <c r="R228" s="525" t="str">
        <f>_xlfn.XLOOKUP(E228,'All Products'!D:D,'All Products'!L:L,FALSE)</f>
        <v>-</v>
      </c>
      <c r="S228" s="525" t="str">
        <f>_xlfn.XLOOKUP(E228,'All Products'!D:D,'All Products'!M:M,FALSE)</f>
        <v>10810673013798</v>
      </c>
      <c r="T228" s="530">
        <f>_xlfn.XLOOKUP(E228,'All Products'!D:D,'All Products'!N:N,FALSE)</f>
        <v>0.65700000000000003</v>
      </c>
      <c r="U228" s="530">
        <f>_xlfn.XLOOKUP(E228,'All Products'!D:D,'All Products'!P:P,FALSE)</f>
        <v>16.425000000000001</v>
      </c>
      <c r="V228" s="530">
        <f>_xlfn.XLOOKUP(E228,'All Products'!D:D,'All Products'!Q:Q,FALSE)</f>
        <v>1.8803145838984718</v>
      </c>
    </row>
    <row r="229" spans="1:22">
      <c r="A229" s="5" t="str">
        <f>IF(K229&gt;0,COUNT($A$7:A228)+1,"")</f>
        <v/>
      </c>
      <c r="B229" s="34"/>
      <c r="C229" s="50"/>
      <c r="D229" s="512" t="str">
        <f>_xlfn.XLOOKUP(E229,'All Products'!D:D,'All Products'!C:C,FALSE)</f>
        <v>600-3609</v>
      </c>
      <c r="E229" s="106">
        <v>100029079</v>
      </c>
      <c r="F229" s="522" t="str">
        <f>_xlfn.XLOOKUP(E229,'All Products'!D:D,'All Products'!E:E,FALSE)</f>
        <v>3 WYE DWV</v>
      </c>
      <c r="G229" s="282">
        <f>_xlfn.XLOOKUP(E229,'All Products'!D:D,'All Products'!F:F,FALSE)</f>
        <v>25</v>
      </c>
      <c r="H229" s="533">
        <f>_xlfn.XLOOKUP(E229,'All Products'!D:D,'All Products'!G:G,FALSE)</f>
        <v>300</v>
      </c>
      <c r="I229" s="512">
        <f>_xlfn.XLOOKUP(E229,'All Products'!D:D,'All Products'!H:H,FALSE)</f>
        <v>243.68</v>
      </c>
      <c r="J229" s="216">
        <f>ROUNDUP(I229*Order_Quote!$L$2,2)</f>
        <v>1218.4000000000001</v>
      </c>
      <c r="K229" s="123"/>
      <c r="L229" s="79"/>
      <c r="M229" s="107">
        <f t="shared" si="4"/>
        <v>0</v>
      </c>
      <c r="O229" s="525" t="str">
        <f>_xlfn.XLOOKUP(E229,'All Products'!D:D,'All Products'!I:I,FALSE)</f>
        <v>In Stock</v>
      </c>
      <c r="P229" s="525" t="str">
        <f>_xlfn.XLOOKUP(E229,'All Products'!D:D,'All Products'!J:J,FALSE)</f>
        <v>Manufactured</v>
      </c>
      <c r="Q229" s="525" t="str">
        <f>_xlfn.XLOOKUP(F229,'All Products'!E:E,'All Products'!K:K,FALSE)</f>
        <v>810673013807</v>
      </c>
      <c r="R229" s="525" t="str">
        <f>_xlfn.XLOOKUP(E229,'All Products'!D:D,'All Products'!L:L,FALSE)</f>
        <v>-</v>
      </c>
      <c r="S229" s="525" t="str">
        <f>_xlfn.XLOOKUP(E229,'All Products'!D:D,'All Products'!M:M,FALSE)</f>
        <v>10810673013804</v>
      </c>
      <c r="T229" s="530">
        <f>_xlfn.XLOOKUP(E229,'All Products'!D:D,'All Products'!N:N,FALSE)</f>
        <v>1.917</v>
      </c>
      <c r="U229" s="530">
        <f>_xlfn.XLOOKUP(E229,'All Products'!D:D,'All Products'!P:P,FALSE)</f>
        <v>47.925000000000004</v>
      </c>
      <c r="V229" s="530">
        <f>_xlfn.XLOOKUP(E229,'All Products'!D:D,'All Products'!Q:Q,FALSE)</f>
        <v>3.6731726755225957</v>
      </c>
    </row>
    <row r="230" spans="1:22">
      <c r="A230" s="5" t="str">
        <f>IF(K230&gt;0,COUNT($A$7:A229)+1,"")</f>
        <v/>
      </c>
      <c r="B230" s="34"/>
      <c r="C230" s="50"/>
      <c r="D230" s="512" t="str">
        <f>_xlfn.XLOOKUP(E230,'All Products'!D:D,'All Products'!C:C,FALSE)</f>
        <v>600-3610</v>
      </c>
      <c r="E230" s="106">
        <v>100029080</v>
      </c>
      <c r="F230" s="522" t="str">
        <f>_xlfn.XLOOKUP(E230,'All Products'!D:D,'All Products'!E:E,FALSE)</f>
        <v>4 WYE DWV</v>
      </c>
      <c r="G230" s="282">
        <f>_xlfn.XLOOKUP(E230,'All Products'!D:D,'All Products'!F:F,FALSE)</f>
        <v>5</v>
      </c>
      <c r="H230" s="533">
        <f>_xlfn.XLOOKUP(E230,'All Products'!D:D,'All Products'!G:G,FALSE)</f>
        <v>120</v>
      </c>
      <c r="I230" s="512">
        <f>_xlfn.XLOOKUP(E230,'All Products'!D:D,'All Products'!H:H,FALSE)</f>
        <v>443.18</v>
      </c>
      <c r="J230" s="216">
        <f>ROUNDUP(I230*Order_Quote!$L$2,2)</f>
        <v>2215.9</v>
      </c>
      <c r="K230" s="123"/>
      <c r="L230" s="79"/>
      <c r="M230" s="107">
        <f t="shared" si="4"/>
        <v>0</v>
      </c>
      <c r="O230" s="525" t="str">
        <f>_xlfn.XLOOKUP(E230,'All Products'!D:D,'All Products'!I:I,FALSE)</f>
        <v>In Stock</v>
      </c>
      <c r="P230" s="525" t="str">
        <f>_xlfn.XLOOKUP(E230,'All Products'!D:D,'All Products'!J:J,FALSE)</f>
        <v>Manufactured</v>
      </c>
      <c r="Q230" s="525" t="str">
        <f>_xlfn.XLOOKUP(F230,'All Products'!E:E,'All Products'!K:K,FALSE)</f>
        <v>810673013814</v>
      </c>
      <c r="R230" s="525" t="str">
        <f>_xlfn.XLOOKUP(E230,'All Products'!D:D,'All Products'!L:L,FALSE)</f>
        <v>-</v>
      </c>
      <c r="S230" s="525" t="str">
        <f>_xlfn.XLOOKUP(E230,'All Products'!D:D,'All Products'!M:M,FALSE)</f>
        <v>10810673013811</v>
      </c>
      <c r="T230" s="530">
        <f>_xlfn.XLOOKUP(E230,'All Products'!D:D,'All Products'!N:N,FALSE)</f>
        <v>3.6349999999999998</v>
      </c>
      <c r="U230" s="530">
        <f>_xlfn.XLOOKUP(E230,'All Products'!D:D,'All Products'!P:P,FALSE)</f>
        <v>18.174999999999997</v>
      </c>
      <c r="V230" s="530">
        <f>_xlfn.XLOOKUP(E230,'All Products'!D:D,'All Products'!Q:Q,FALSE)</f>
        <v>1.8803145838984718</v>
      </c>
    </row>
    <row r="231" spans="1:22">
      <c r="A231" s="5" t="str">
        <f>IF(K231&gt;0,COUNT($A$7:A230)+1,"")</f>
        <v/>
      </c>
      <c r="B231" s="23"/>
      <c r="C231" s="51"/>
      <c r="D231" s="512" t="str">
        <f>_xlfn.XLOOKUP(E231,'All Products'!D:D,'All Products'!C:C,FALSE)</f>
        <v>600-3611</v>
      </c>
      <c r="E231" s="106">
        <v>100029081</v>
      </c>
      <c r="F231" s="522" t="str">
        <f>_xlfn.XLOOKUP(E231,'All Products'!D:D,'All Products'!E:E,FALSE)</f>
        <v>6 WYE DWV</v>
      </c>
      <c r="G231" s="282">
        <f>_xlfn.XLOOKUP(E231,'All Products'!D:D,'All Products'!F:F,FALSE)</f>
        <v>4</v>
      </c>
      <c r="H231" s="533">
        <f>_xlfn.XLOOKUP(E231,'All Products'!D:D,'All Products'!G:G,FALSE)</f>
        <v>48</v>
      </c>
      <c r="I231" s="512">
        <f>_xlfn.XLOOKUP(E231,'All Products'!D:D,'All Products'!H:H,FALSE)</f>
        <v>1279.27</v>
      </c>
      <c r="J231" s="216">
        <f>ROUNDUP(I231*Order_Quote!$L$2,2)</f>
        <v>6396.35</v>
      </c>
      <c r="K231" s="123"/>
      <c r="L231" s="79"/>
      <c r="M231" s="107">
        <f t="shared" si="4"/>
        <v>0</v>
      </c>
      <c r="O231" s="525" t="str">
        <f>_xlfn.XLOOKUP(E231,'All Products'!D:D,'All Products'!I:I,FALSE)</f>
        <v>In Stock</v>
      </c>
      <c r="P231" s="525" t="str">
        <f>_xlfn.XLOOKUP(E231,'All Products'!D:D,'All Products'!J:J,FALSE)</f>
        <v>Manufactured</v>
      </c>
      <c r="Q231" s="525" t="str">
        <f>_xlfn.XLOOKUP(F231,'All Products'!E:E,'All Products'!K:K,FALSE)</f>
        <v>810673011674</v>
      </c>
      <c r="R231" s="525" t="str">
        <f>_xlfn.XLOOKUP(E231,'All Products'!D:D,'All Products'!L:L,FALSE)</f>
        <v>-</v>
      </c>
      <c r="S231" s="525" t="str">
        <f>_xlfn.XLOOKUP(E231,'All Products'!D:D,'All Products'!M:M,FALSE)</f>
        <v>810673015542</v>
      </c>
      <c r="T231" s="530">
        <f>_xlfn.XLOOKUP(E231,'All Products'!D:D,'All Products'!N:N,FALSE)</f>
        <v>7.734</v>
      </c>
      <c r="U231" s="530">
        <f>_xlfn.XLOOKUP(E231,'All Products'!D:D,'All Products'!P:P,FALSE)</f>
        <v>30.936</v>
      </c>
      <c r="V231" s="530">
        <f>_xlfn.XLOOKUP(E231,'All Products'!D:D,'All Products'!Q:Q,FALSE)</f>
        <v>3.6731726755225957</v>
      </c>
    </row>
    <row r="232" spans="1:22">
      <c r="A232" s="5" t="str">
        <f>IF(K232&gt;0,COUNT($A$7:A231)+1,"")</f>
        <v/>
      </c>
      <c r="B232" s="26"/>
      <c r="C232" s="49"/>
      <c r="D232" s="512" t="str">
        <f>_xlfn.XLOOKUP(E232,'All Products'!D:D,'All Products'!C:C,FALSE)</f>
        <v>601-3615</v>
      </c>
      <c r="E232" s="106">
        <v>100029082</v>
      </c>
      <c r="F232" s="522" t="str">
        <f>_xlfn.XLOOKUP(E232,'All Products'!D:D,'All Products'!E:E,FALSE)</f>
        <v>2X1-1/2X1-1/2 WYE REDUCING DWV</v>
      </c>
      <c r="G232" s="282">
        <f>_xlfn.XLOOKUP(E232,'All Products'!D:D,'All Products'!F:F,FALSE)</f>
        <v>25</v>
      </c>
      <c r="H232" s="533">
        <f>_xlfn.XLOOKUP(E232,'All Products'!D:D,'All Products'!G:G,FALSE)</f>
        <v>800</v>
      </c>
      <c r="I232" s="512">
        <f>_xlfn.XLOOKUP(E232,'All Products'!D:D,'All Products'!H:H,FALSE)</f>
        <v>126.24</v>
      </c>
      <c r="J232" s="216">
        <f>ROUNDUP(I232*Order_Quote!$L$2,2)</f>
        <v>631.20000000000005</v>
      </c>
      <c r="K232" s="123"/>
      <c r="L232" s="79"/>
      <c r="M232" s="107">
        <f t="shared" si="4"/>
        <v>0</v>
      </c>
      <c r="O232" s="525" t="str">
        <f>_xlfn.XLOOKUP(E232,'All Products'!D:D,'All Products'!I:I,FALSE)</f>
        <v>Within 3 Weeks</v>
      </c>
      <c r="P232" s="525" t="str">
        <f>_xlfn.XLOOKUP(E232,'All Products'!D:D,'All Products'!J:J,FALSE)</f>
        <v>Manufactured</v>
      </c>
      <c r="Q232" s="525" t="str">
        <f>_xlfn.XLOOKUP(F232,'All Products'!E:E,'All Products'!K:K,FALSE)</f>
        <v>810673015047</v>
      </c>
      <c r="R232" s="525" t="str">
        <f>_xlfn.XLOOKUP(E232,'All Products'!D:D,'All Products'!L:L,FALSE)</f>
        <v>-</v>
      </c>
      <c r="S232" s="525" t="str">
        <f>_xlfn.XLOOKUP(E232,'All Products'!D:D,'All Products'!M:M,FALSE)</f>
        <v>810673015054</v>
      </c>
      <c r="T232" s="530">
        <f>_xlfn.XLOOKUP(E232,'All Products'!D:D,'All Products'!N:N,FALSE)</f>
        <v>0.49099999999999999</v>
      </c>
      <c r="U232" s="530">
        <f>_xlfn.XLOOKUP(E232,'All Products'!D:D,'All Products'!P:P,FALSE)</f>
        <v>12.275</v>
      </c>
      <c r="V232" s="530">
        <f>_xlfn.XLOOKUP(E232,'All Products'!D:D,'All Products'!Q:Q,FALSE)</f>
        <v>1.3788503419060438</v>
      </c>
    </row>
    <row r="233" spans="1:22">
      <c r="A233" s="5" t="str">
        <f>IF(K233&gt;0,COUNT($A$7:A232)+1,"")</f>
        <v/>
      </c>
      <c r="B233" s="34"/>
      <c r="C233" s="50"/>
      <c r="D233" s="512" t="str">
        <f>_xlfn.XLOOKUP(E233,'All Products'!D:D,'All Products'!C:C,FALSE)</f>
        <v>601-3616</v>
      </c>
      <c r="E233" s="106">
        <v>300005690</v>
      </c>
      <c r="F233" s="522" t="str">
        <f>_xlfn.XLOOKUP(E233,'All Products'!D:D,'All Products'!E:E,FALSE)</f>
        <v>2X1-1/2X2 WYE REDUCING DWV</v>
      </c>
      <c r="G233" s="282">
        <f>_xlfn.XLOOKUP(E233,'All Products'!D:D,'All Products'!F:F,FALSE)</f>
        <v>10</v>
      </c>
      <c r="H233" s="533">
        <f>_xlfn.XLOOKUP(E233,'All Products'!D:D,'All Products'!G:G,FALSE)</f>
        <v>480</v>
      </c>
      <c r="I233" s="512">
        <f>_xlfn.XLOOKUP(E233,'All Products'!D:D,'All Products'!H:H,FALSE)</f>
        <v>586.29</v>
      </c>
      <c r="J233" s="216">
        <f>ROUNDUP(I233*Order_Quote!$L$2,2)</f>
        <v>2931.45</v>
      </c>
      <c r="K233" s="123"/>
      <c r="L233" s="79"/>
      <c r="M233" s="107">
        <f t="shared" si="4"/>
        <v>0</v>
      </c>
      <c r="O233" s="525" t="str">
        <f>_xlfn.XLOOKUP(E233,'All Products'!D:D,'All Products'!I:I,FALSE)</f>
        <v>Within 6 Weeks</v>
      </c>
      <c r="P233" s="525" t="str">
        <f>_xlfn.XLOOKUP(E233,'All Products'!D:D,'All Products'!J:J,FALSE)</f>
        <v>Sourced</v>
      </c>
      <c r="Q233" s="525" t="str">
        <f>_xlfn.XLOOKUP(F233,'All Products'!E:E,'All Products'!K:K,FALSE)</f>
        <v>812361012697</v>
      </c>
      <c r="R233" s="525" t="str">
        <f>_xlfn.XLOOKUP(E233,'All Products'!D:D,'All Products'!L:L,FALSE)</f>
        <v>-</v>
      </c>
      <c r="S233" s="525">
        <f>_xlfn.XLOOKUP(E233,'All Products'!D:D,'All Products'!M:M,FALSE)</f>
        <v>0</v>
      </c>
      <c r="T233" s="530">
        <f>_xlfn.XLOOKUP(E233,'All Products'!D:D,'All Products'!N:N,FALSE)</f>
        <v>0.60899999999999999</v>
      </c>
      <c r="U233" s="530">
        <f>_xlfn.XLOOKUP(E233,'All Products'!D:D,'All Products'!P:P,FALSE)</f>
        <v>6.09</v>
      </c>
      <c r="V233" s="530" t="str">
        <f>_xlfn.XLOOKUP(E233,'All Products'!D:D,'All Products'!Q:Q,FALSE)</f>
        <v>-</v>
      </c>
    </row>
    <row r="234" spans="1:22">
      <c r="A234" s="5" t="str">
        <f>IF(K234&gt;0,COUNT($A$7:A233)+1,"")</f>
        <v/>
      </c>
      <c r="B234" s="34"/>
      <c r="C234" s="50"/>
      <c r="D234" s="512" t="str">
        <f>_xlfn.XLOOKUP(E234,'All Products'!D:D,'All Products'!C:C,FALSE)</f>
        <v>601-3617</v>
      </c>
      <c r="E234" s="106">
        <v>100029084</v>
      </c>
      <c r="F234" s="522" t="str">
        <f>_xlfn.XLOOKUP(E234,'All Products'!D:D,'All Products'!E:E,FALSE)</f>
        <v>2X2X1-1/2 WYE REDUCING DWV</v>
      </c>
      <c r="G234" s="282">
        <f>_xlfn.XLOOKUP(E234,'All Products'!D:D,'All Products'!F:F,FALSE)</f>
        <v>25</v>
      </c>
      <c r="H234" s="533">
        <f>_xlfn.XLOOKUP(E234,'All Products'!D:D,'All Products'!G:G,FALSE)</f>
        <v>800</v>
      </c>
      <c r="I234" s="512">
        <f>_xlfn.XLOOKUP(E234,'All Products'!D:D,'All Products'!H:H,FALSE)</f>
        <v>110.41</v>
      </c>
      <c r="J234" s="216">
        <f>ROUNDUP(I234*Order_Quote!$L$2,2)</f>
        <v>552.04999999999995</v>
      </c>
      <c r="K234" s="123"/>
      <c r="L234" s="79"/>
      <c r="M234" s="107">
        <f t="shared" si="4"/>
        <v>0</v>
      </c>
      <c r="O234" s="525" t="str">
        <f>_xlfn.XLOOKUP(E234,'All Products'!D:D,'All Products'!I:I,FALSE)</f>
        <v>In Stock</v>
      </c>
      <c r="P234" s="525" t="str">
        <f>_xlfn.XLOOKUP(E234,'All Products'!D:D,'All Products'!J:J,FALSE)</f>
        <v>Manufactured</v>
      </c>
      <c r="Q234" s="525" t="str">
        <f>_xlfn.XLOOKUP(F234,'All Products'!E:E,'All Products'!K:K,FALSE)</f>
        <v>810673015061</v>
      </c>
      <c r="R234" s="525" t="str">
        <f>_xlfn.XLOOKUP(E234,'All Products'!D:D,'All Products'!L:L,FALSE)</f>
        <v>-</v>
      </c>
      <c r="S234" s="525" t="str">
        <f>_xlfn.XLOOKUP(E234,'All Products'!D:D,'All Products'!M:M,FALSE)</f>
        <v>10810673015068</v>
      </c>
      <c r="T234" s="530">
        <f>_xlfn.XLOOKUP(E234,'All Products'!D:D,'All Products'!N:N,FALSE)</f>
        <v>0.54600000000000004</v>
      </c>
      <c r="U234" s="530">
        <f>_xlfn.XLOOKUP(E234,'All Products'!D:D,'All Products'!P:P,FALSE)</f>
        <v>13.65</v>
      </c>
      <c r="V234" s="530">
        <f>_xlfn.XLOOKUP(E234,'All Products'!D:D,'All Products'!Q:Q,FALSE)</f>
        <v>1.3788503419060438</v>
      </c>
    </row>
    <row r="235" spans="1:22">
      <c r="A235" s="5" t="str">
        <f>IF(K235&gt;0,COUNT($A$7:A234)+1,"")</f>
        <v/>
      </c>
      <c r="B235" s="34"/>
      <c r="C235" s="50"/>
      <c r="D235" s="512" t="str">
        <f>_xlfn.XLOOKUP(E235,'All Products'!D:D,'All Products'!C:C,FALSE)</f>
        <v>601-3618</v>
      </c>
      <c r="E235" s="106">
        <v>100029085</v>
      </c>
      <c r="F235" s="522" t="str">
        <f>_xlfn.XLOOKUP(E235,'All Products'!D:D,'All Products'!E:E,FALSE)</f>
        <v>3X3X1-1/2 WYE REDUCING DWV</v>
      </c>
      <c r="G235" s="282">
        <f>_xlfn.XLOOKUP(E235,'All Products'!D:D,'All Products'!F:F,FALSE)</f>
        <v>15</v>
      </c>
      <c r="H235" s="533">
        <f>_xlfn.XLOOKUP(E235,'All Products'!D:D,'All Products'!G:G,FALSE)</f>
        <v>270</v>
      </c>
      <c r="I235" s="512">
        <f>_xlfn.XLOOKUP(E235,'All Products'!D:D,'All Products'!H:H,FALSE)</f>
        <v>163.33000000000001</v>
      </c>
      <c r="J235" s="216">
        <f>ROUNDUP(I235*Order_Quote!$L$2,2)</f>
        <v>816.65</v>
      </c>
      <c r="K235" s="123"/>
      <c r="L235" s="79"/>
      <c r="M235" s="107">
        <f t="shared" si="4"/>
        <v>0</v>
      </c>
      <c r="O235" s="525" t="str">
        <f>_xlfn.XLOOKUP(E235,'All Products'!D:D,'All Products'!I:I,FALSE)</f>
        <v>In Stock</v>
      </c>
      <c r="P235" s="525" t="str">
        <f>_xlfn.XLOOKUP(E235,'All Products'!D:D,'All Products'!J:J,FALSE)</f>
        <v>Manufactured</v>
      </c>
      <c r="Q235" s="525" t="str">
        <f>_xlfn.XLOOKUP(F235,'All Products'!E:E,'All Products'!K:K,FALSE)</f>
        <v>810673015085</v>
      </c>
      <c r="R235" s="525" t="str">
        <f>_xlfn.XLOOKUP(E235,'All Products'!D:D,'All Products'!L:L,FALSE)</f>
        <v>-</v>
      </c>
      <c r="S235" s="525" t="str">
        <f>_xlfn.XLOOKUP(E235,'All Products'!D:D,'All Products'!M:M,FALSE)</f>
        <v>10810673015082</v>
      </c>
      <c r="T235" s="530">
        <f>_xlfn.XLOOKUP(E235,'All Products'!D:D,'All Products'!N:N,FALSE)</f>
        <v>1.228</v>
      </c>
      <c r="U235" s="530">
        <f>_xlfn.XLOOKUP(E235,'All Products'!D:D,'All Products'!P:P,FALSE)</f>
        <v>18.419999999999998</v>
      </c>
      <c r="V235" s="530">
        <f>_xlfn.XLOOKUP(E235,'All Products'!D:D,'All Products'!Q:Q,FALSE)</f>
        <v>2.361325291407383</v>
      </c>
    </row>
    <row r="236" spans="1:22">
      <c r="A236" s="5" t="str">
        <f>IF(K236&gt;0,COUNT($A$7:A235)+1,"")</f>
        <v/>
      </c>
      <c r="B236" s="34"/>
      <c r="C236" s="50"/>
      <c r="D236" s="512" t="str">
        <f>_xlfn.XLOOKUP(E236,'All Products'!D:D,'All Products'!C:C,FALSE)</f>
        <v>601-3619</v>
      </c>
      <c r="E236" s="106">
        <v>100029086</v>
      </c>
      <c r="F236" s="522" t="str">
        <f>_xlfn.XLOOKUP(E236,'All Products'!D:D,'All Products'!E:E,FALSE)</f>
        <v>3X3X2 WYE REDUCING DWV</v>
      </c>
      <c r="G236" s="282">
        <f>_xlfn.XLOOKUP(E236,'All Products'!D:D,'All Products'!F:F,FALSE)</f>
        <v>25</v>
      </c>
      <c r="H236" s="533">
        <f>_xlfn.XLOOKUP(E236,'All Products'!D:D,'All Products'!G:G,FALSE)</f>
        <v>300</v>
      </c>
      <c r="I236" s="512">
        <f>_xlfn.XLOOKUP(E236,'All Products'!D:D,'All Products'!H:H,FALSE)</f>
        <v>180.27</v>
      </c>
      <c r="J236" s="216">
        <f>ROUNDUP(I236*Order_Quote!$L$2,2)</f>
        <v>901.35</v>
      </c>
      <c r="K236" s="123"/>
      <c r="L236" s="79"/>
      <c r="M236" s="107">
        <f t="shared" si="4"/>
        <v>0</v>
      </c>
      <c r="O236" s="525" t="str">
        <f>_xlfn.XLOOKUP(E236,'All Products'!D:D,'All Products'!I:I,FALSE)</f>
        <v>In Stock</v>
      </c>
      <c r="P236" s="525" t="str">
        <f>_xlfn.XLOOKUP(E236,'All Products'!D:D,'All Products'!J:J,FALSE)</f>
        <v>Manufactured</v>
      </c>
      <c r="Q236" s="525" t="str">
        <f>_xlfn.XLOOKUP(F236,'All Products'!E:E,'All Products'!K:K,FALSE)</f>
        <v>810673015108</v>
      </c>
      <c r="R236" s="525" t="str">
        <f>_xlfn.XLOOKUP(E236,'All Products'!D:D,'All Products'!L:L,FALSE)</f>
        <v>-</v>
      </c>
      <c r="S236" s="525" t="str">
        <f>_xlfn.XLOOKUP(E236,'All Products'!D:D,'All Products'!M:M,FALSE)</f>
        <v>810673015115</v>
      </c>
      <c r="T236" s="530">
        <f>_xlfn.XLOOKUP(E236,'All Products'!D:D,'All Products'!N:N,FALSE)</f>
        <v>1.3420000000000001</v>
      </c>
      <c r="U236" s="530">
        <f>_xlfn.XLOOKUP(E236,'All Products'!D:D,'All Products'!P:P,FALSE)</f>
        <v>33.550000000000004</v>
      </c>
      <c r="V236" s="530">
        <f>_xlfn.XLOOKUP(E236,'All Products'!D:D,'All Products'!Q:Q,FALSE)</f>
        <v>2.7986077527791204</v>
      </c>
    </row>
    <row r="237" spans="1:22">
      <c r="A237" s="5" t="str">
        <f>IF(K237&gt;0,COUNT($A$7:A236)+1,"")</f>
        <v/>
      </c>
      <c r="B237" s="34"/>
      <c r="C237" s="50"/>
      <c r="D237" s="512" t="str">
        <f>_xlfn.XLOOKUP(E237,'All Products'!D:D,'All Products'!C:C,FALSE)</f>
        <v>601-3620</v>
      </c>
      <c r="E237" s="106">
        <v>300005691</v>
      </c>
      <c r="F237" s="522" t="str">
        <f>_xlfn.XLOOKUP(E237,'All Products'!D:D,'All Products'!E:E,FALSE)</f>
        <v>4X4X1-1/2 WYE REDUCING DWV</v>
      </c>
      <c r="G237" s="282">
        <f>_xlfn.XLOOKUP(E237,'All Products'!D:D,'All Products'!F:F,FALSE)</f>
        <v>10</v>
      </c>
      <c r="H237" s="533">
        <f>_xlfn.XLOOKUP(E237,'All Products'!D:D,'All Products'!G:G,FALSE)</f>
        <v>180</v>
      </c>
      <c r="I237" s="512">
        <f>_xlfn.XLOOKUP(E237,'All Products'!D:D,'All Products'!H:H,FALSE)</f>
        <v>1102.3</v>
      </c>
      <c r="J237" s="216">
        <f>ROUNDUP(I237*Order_Quote!$L$2,2)</f>
        <v>5511.5</v>
      </c>
      <c r="K237" s="123"/>
      <c r="L237" s="79"/>
      <c r="M237" s="107">
        <f t="shared" si="4"/>
        <v>0</v>
      </c>
      <c r="O237" s="525" t="str">
        <f>_xlfn.XLOOKUP(E237,'All Products'!D:D,'All Products'!I:I,FALSE)</f>
        <v>Within 6 Weeks</v>
      </c>
      <c r="P237" s="525" t="str">
        <f>_xlfn.XLOOKUP(E237,'All Products'!D:D,'All Products'!J:J,FALSE)</f>
        <v>Sourced</v>
      </c>
      <c r="Q237" s="525" t="str">
        <f>_xlfn.XLOOKUP(F237,'All Products'!E:E,'All Products'!K:K,FALSE)</f>
        <v>812361018064</v>
      </c>
      <c r="R237" s="525" t="str">
        <f>_xlfn.XLOOKUP(E237,'All Products'!D:D,'All Products'!L:L,FALSE)</f>
        <v>-</v>
      </c>
      <c r="S237" s="525">
        <f>_xlfn.XLOOKUP(E237,'All Products'!D:D,'All Products'!M:M,FALSE)</f>
        <v>0</v>
      </c>
      <c r="T237" s="530">
        <f>_xlfn.XLOOKUP(E237,'All Products'!D:D,'All Products'!N:N,FALSE)</f>
        <v>1.45</v>
      </c>
      <c r="U237" s="530">
        <f>_xlfn.XLOOKUP(E237,'All Products'!D:D,'All Products'!P:P,FALSE)</f>
        <v>14.5</v>
      </c>
      <c r="V237" s="530" t="str">
        <f>_xlfn.XLOOKUP(E237,'All Products'!D:D,'All Products'!Q:Q,FALSE)</f>
        <v>-</v>
      </c>
    </row>
    <row r="238" spans="1:22">
      <c r="A238" s="5" t="str">
        <f>IF(K238&gt;0,COUNT($A$7:A237)+1,"")</f>
        <v/>
      </c>
      <c r="B238" s="34"/>
      <c r="C238" s="50"/>
      <c r="D238" s="512" t="str">
        <f>_xlfn.XLOOKUP(E238,'All Products'!D:D,'All Products'!C:C,FALSE)</f>
        <v>601-3621</v>
      </c>
      <c r="E238" s="106">
        <v>100029088</v>
      </c>
      <c r="F238" s="522" t="str">
        <f>_xlfn.XLOOKUP(E238,'All Products'!D:D,'All Products'!E:E,FALSE)</f>
        <v>4X4X2 WYE REDUCING DWV</v>
      </c>
      <c r="G238" s="282">
        <f>_xlfn.XLOOKUP(E238,'All Products'!D:D,'All Products'!F:F,FALSE)</f>
        <v>10</v>
      </c>
      <c r="H238" s="533">
        <f>_xlfn.XLOOKUP(E238,'All Products'!D:D,'All Products'!G:G,FALSE)</f>
        <v>180</v>
      </c>
      <c r="I238" s="512">
        <f>_xlfn.XLOOKUP(E238,'All Products'!D:D,'All Products'!H:H,FALSE)</f>
        <v>265.22000000000003</v>
      </c>
      <c r="J238" s="216">
        <f>ROUNDUP(I238*Order_Quote!$L$2,2)</f>
        <v>1326.1</v>
      </c>
      <c r="K238" s="123"/>
      <c r="L238" s="79"/>
      <c r="M238" s="107">
        <f t="shared" si="4"/>
        <v>0</v>
      </c>
      <c r="O238" s="525" t="str">
        <f>_xlfn.XLOOKUP(E238,'All Products'!D:D,'All Products'!I:I,FALSE)</f>
        <v>In Stock</v>
      </c>
      <c r="P238" s="525" t="str">
        <f>_xlfn.XLOOKUP(E238,'All Products'!D:D,'All Products'!J:J,FALSE)</f>
        <v>Manufactured</v>
      </c>
      <c r="Q238" s="525" t="str">
        <f>_xlfn.XLOOKUP(F238,'All Products'!E:E,'All Products'!K:K,FALSE)</f>
        <v>810673015122</v>
      </c>
      <c r="R238" s="525" t="str">
        <f>_xlfn.XLOOKUP(E238,'All Products'!D:D,'All Products'!L:L,FALSE)</f>
        <v>-</v>
      </c>
      <c r="S238" s="525" t="str">
        <f>_xlfn.XLOOKUP(E238,'All Products'!D:D,'All Products'!M:M,FALSE)</f>
        <v>810673015139</v>
      </c>
      <c r="T238" s="530">
        <f>_xlfn.XLOOKUP(E238,'All Products'!D:D,'All Products'!N:N,FALSE)</f>
        <v>2.0129999999999999</v>
      </c>
      <c r="U238" s="530">
        <f>_xlfn.XLOOKUP(E238,'All Products'!D:D,'All Products'!P:P,FALSE)</f>
        <v>20.13</v>
      </c>
      <c r="V238" s="530">
        <f>_xlfn.XLOOKUP(E238,'All Products'!D:D,'All Products'!Q:Q,FALSE)</f>
        <v>2.361325291407383</v>
      </c>
    </row>
    <row r="239" spans="1:22">
      <c r="A239" s="5" t="str">
        <f>IF(K239&gt;0,COUNT($A$7:A238)+1,"")</f>
        <v/>
      </c>
      <c r="B239" s="34"/>
      <c r="C239" s="50"/>
      <c r="D239" s="512" t="str">
        <f>_xlfn.XLOOKUP(E239,'All Products'!D:D,'All Products'!C:C,FALSE)</f>
        <v>601-3622</v>
      </c>
      <c r="E239" s="106">
        <v>100029089</v>
      </c>
      <c r="F239" s="522" t="str">
        <f>_xlfn.XLOOKUP(E239,'All Products'!D:D,'All Products'!E:E,FALSE)</f>
        <v>4X4X3 WYE REDUCING DWV</v>
      </c>
      <c r="G239" s="282">
        <f>_xlfn.XLOOKUP(E239,'All Products'!D:D,'All Products'!F:F,FALSE)</f>
        <v>10</v>
      </c>
      <c r="H239" s="533">
        <f>_xlfn.XLOOKUP(E239,'All Products'!D:D,'All Products'!G:G,FALSE)</f>
        <v>180</v>
      </c>
      <c r="I239" s="512">
        <f>_xlfn.XLOOKUP(E239,'All Products'!D:D,'All Products'!H:H,FALSE)</f>
        <v>359.75</v>
      </c>
      <c r="J239" s="216">
        <f>ROUNDUP(I239*Order_Quote!$L$2,2)</f>
        <v>1798.75</v>
      </c>
      <c r="K239" s="123"/>
      <c r="L239" s="79"/>
      <c r="M239" s="107">
        <f t="shared" ref="M239:M270" si="5">K239/G239</f>
        <v>0</v>
      </c>
      <c r="O239" s="525" t="str">
        <f>_xlfn.XLOOKUP(E239,'All Products'!D:D,'All Products'!I:I,FALSE)</f>
        <v>In Stock</v>
      </c>
      <c r="P239" s="525" t="str">
        <f>_xlfn.XLOOKUP(E239,'All Products'!D:D,'All Products'!J:J,FALSE)</f>
        <v>Manufactured</v>
      </c>
      <c r="Q239" s="525" t="str">
        <f>_xlfn.XLOOKUP(F239,'All Products'!E:E,'All Products'!K:K,FALSE)</f>
        <v>810673015146</v>
      </c>
      <c r="R239" s="525" t="str">
        <f>_xlfn.XLOOKUP(E239,'All Products'!D:D,'All Products'!L:L,FALSE)</f>
        <v>-</v>
      </c>
      <c r="S239" s="525" t="str">
        <f>_xlfn.XLOOKUP(E239,'All Products'!D:D,'All Products'!M:M,FALSE)</f>
        <v>10810673015143</v>
      </c>
      <c r="T239" s="530">
        <f>_xlfn.XLOOKUP(E239,'All Products'!D:D,'All Products'!N:N,FALSE)</f>
        <v>2.7389999999999999</v>
      </c>
      <c r="U239" s="530">
        <f>_xlfn.XLOOKUP(E239,'All Products'!D:D,'All Products'!P:P,FALSE)</f>
        <v>27.39</v>
      </c>
      <c r="V239" s="530">
        <f>_xlfn.XLOOKUP(E239,'All Products'!D:D,'All Products'!Q:Q,FALSE)</f>
        <v>2.361325291407383</v>
      </c>
    </row>
    <row r="240" spans="1:22">
      <c r="A240" s="5" t="str">
        <f>IF(K240&gt;0,COUNT($A$7:A239)+1,"")</f>
        <v/>
      </c>
      <c r="B240" s="34"/>
      <c r="C240" s="50"/>
      <c r="D240" s="512" t="str">
        <f>_xlfn.XLOOKUP(E240,'All Products'!D:D,'All Products'!C:C,FALSE)</f>
        <v>601-3623</v>
      </c>
      <c r="E240" s="106">
        <v>100029090</v>
      </c>
      <c r="F240" s="522" t="str">
        <f>_xlfn.XLOOKUP(E240,'All Products'!D:D,'All Products'!E:E,FALSE)</f>
        <v>6X6X3 WYE REDUCING DWV</v>
      </c>
      <c r="G240" s="282">
        <f>_xlfn.XLOOKUP(E240,'All Products'!D:D,'All Products'!F:F,FALSE)</f>
        <v>5</v>
      </c>
      <c r="H240" s="533">
        <f>_xlfn.XLOOKUP(E240,'All Products'!D:D,'All Products'!G:G,FALSE)</f>
        <v>60</v>
      </c>
      <c r="I240" s="512">
        <f>_xlfn.XLOOKUP(E240,'All Products'!D:D,'All Products'!H:H,FALSE)</f>
        <v>1270.43</v>
      </c>
      <c r="J240" s="216">
        <f>ROUNDUP(I240*Order_Quote!$L$2,2)</f>
        <v>6352.15</v>
      </c>
      <c r="K240" s="123"/>
      <c r="L240" s="79"/>
      <c r="M240" s="107">
        <f t="shared" si="5"/>
        <v>0</v>
      </c>
      <c r="O240" s="525" t="str">
        <f>_xlfn.XLOOKUP(E240,'All Products'!D:D,'All Products'!I:I,FALSE)</f>
        <v>In Stock</v>
      </c>
      <c r="P240" s="525" t="str">
        <f>_xlfn.XLOOKUP(E240,'All Products'!D:D,'All Products'!J:J,FALSE)</f>
        <v>Manufactured</v>
      </c>
      <c r="Q240" s="525" t="str">
        <f>_xlfn.XLOOKUP(F240,'All Products'!E:E,'All Products'!K:K,FALSE)</f>
        <v>812361018071</v>
      </c>
      <c r="R240" s="525" t="str">
        <f>_xlfn.XLOOKUP(E240,'All Products'!D:D,'All Products'!L:L,FALSE)</f>
        <v>-</v>
      </c>
      <c r="S240" s="525" t="str">
        <f>_xlfn.XLOOKUP(E240,'All Products'!D:D,'All Products'!M:M,FALSE)</f>
        <v>810116840175</v>
      </c>
      <c r="T240" s="530">
        <f>_xlfn.XLOOKUP(E240,'All Products'!D:D,'All Products'!N:N,FALSE)</f>
        <v>5.2489999999999997</v>
      </c>
      <c r="U240" s="530">
        <f>_xlfn.XLOOKUP(E240,'All Products'!D:D,'All Products'!P:P,FALSE)</f>
        <v>26.244999999999997</v>
      </c>
      <c r="V240" s="530">
        <f>_xlfn.XLOOKUP(E240,'All Products'!D:D,'All Products'!Q:Q,FALSE)</f>
        <v>3.6731726755225957</v>
      </c>
    </row>
    <row r="241" spans="1:22">
      <c r="A241" s="5" t="str">
        <f>IF(K241&gt;0,COUNT($A$7:A240)+1,"")</f>
        <v/>
      </c>
      <c r="B241" s="23"/>
      <c r="C241" s="51"/>
      <c r="D241" s="512" t="str">
        <f>_xlfn.XLOOKUP(E241,'All Products'!D:D,'All Products'!C:C,FALSE)</f>
        <v>601-3624</v>
      </c>
      <c r="E241" s="106">
        <v>100029091</v>
      </c>
      <c r="F241" s="522" t="str">
        <f>_xlfn.XLOOKUP(E241,'All Products'!D:D,'All Products'!E:E,FALSE)</f>
        <v>6X6X4 WYE REDUCING DWV</v>
      </c>
      <c r="G241" s="282">
        <f>_xlfn.XLOOKUP(E241,'All Products'!D:D,'All Products'!F:F,FALSE)</f>
        <v>5</v>
      </c>
      <c r="H241" s="533">
        <f>_xlfn.XLOOKUP(E241,'All Products'!D:D,'All Products'!G:G,FALSE)</f>
        <v>60</v>
      </c>
      <c r="I241" s="512">
        <f>_xlfn.XLOOKUP(E241,'All Products'!D:D,'All Products'!H:H,FALSE)</f>
        <v>1032.8900000000001</v>
      </c>
      <c r="J241" s="216">
        <f>ROUNDUP(I241*Order_Quote!$L$2,2)</f>
        <v>5164.45</v>
      </c>
      <c r="K241" s="123"/>
      <c r="L241" s="79"/>
      <c r="M241" s="107">
        <f t="shared" si="5"/>
        <v>0</v>
      </c>
      <c r="O241" s="525" t="str">
        <f>_xlfn.XLOOKUP(E241,'All Products'!D:D,'All Products'!I:I,FALSE)</f>
        <v>In Stock</v>
      </c>
      <c r="P241" s="525" t="str">
        <f>_xlfn.XLOOKUP(E241,'All Products'!D:D,'All Products'!J:J,FALSE)</f>
        <v>Manufactured</v>
      </c>
      <c r="Q241" s="525" t="str">
        <f>_xlfn.XLOOKUP(F241,'All Products'!E:E,'All Products'!K:K,FALSE)</f>
        <v>810673011681</v>
      </c>
      <c r="R241" s="525" t="str">
        <f>_xlfn.XLOOKUP(E241,'All Products'!D:D,'All Products'!L:L,FALSE)</f>
        <v>-</v>
      </c>
      <c r="S241" s="525" t="str">
        <f>_xlfn.XLOOKUP(E241,'All Products'!D:D,'All Products'!M:M,FALSE)</f>
        <v>810673015160</v>
      </c>
      <c r="T241" s="530">
        <f>_xlfn.XLOOKUP(E241,'All Products'!D:D,'All Products'!N:N,FALSE)</f>
        <v>5.3769999999999998</v>
      </c>
      <c r="U241" s="530">
        <f>_xlfn.XLOOKUP(E241,'All Products'!D:D,'All Products'!P:P,FALSE)</f>
        <v>26.884999999999998</v>
      </c>
      <c r="V241" s="530">
        <f>_xlfn.XLOOKUP(E241,'All Products'!D:D,'All Products'!Q:Q,FALSE)</f>
        <v>3.6731726755225957</v>
      </c>
    </row>
    <row r="242" spans="1:22">
      <c r="A242" s="5" t="str">
        <f>IF(K242&gt;0,COUNT($A$7:A241)+1,"")</f>
        <v/>
      </c>
      <c r="B242" s="26"/>
      <c r="C242" s="49"/>
      <c r="D242" s="512" t="str">
        <f>_xlfn.XLOOKUP(E242,'All Products'!D:D,'All Products'!C:C,FALSE)</f>
        <v>602-3629</v>
      </c>
      <c r="E242" s="106">
        <v>300005692</v>
      </c>
      <c r="F242" s="522" t="str">
        <f>_xlfn.XLOOKUP(E242,'All Products'!D:D,'All Products'!E:E,FALSE)</f>
        <v>1-1/2 WYE STREET SXHXH DWV</v>
      </c>
      <c r="G242" s="282">
        <f>_xlfn.XLOOKUP(E242,'All Products'!D:D,'All Products'!F:F,FALSE)</f>
        <v>50</v>
      </c>
      <c r="H242" s="533">
        <f>_xlfn.XLOOKUP(E242,'All Products'!D:D,'All Products'!G:G,FALSE)</f>
        <v>1600</v>
      </c>
      <c r="I242" s="512">
        <f>_xlfn.XLOOKUP(E242,'All Products'!D:D,'All Products'!H:H,FALSE)</f>
        <v>288.67</v>
      </c>
      <c r="J242" s="216">
        <f>ROUNDUP(I242*Order_Quote!$L$2,2)</f>
        <v>1443.35</v>
      </c>
      <c r="K242" s="123"/>
      <c r="L242" s="79"/>
      <c r="M242" s="107">
        <f t="shared" si="5"/>
        <v>0</v>
      </c>
      <c r="O242" s="525" t="str">
        <f>_xlfn.XLOOKUP(E242,'All Products'!D:D,'All Products'!I:I,FALSE)</f>
        <v>Within 3 Weeks</v>
      </c>
      <c r="P242" s="525" t="str">
        <f>_xlfn.XLOOKUP(E242,'All Products'!D:D,'All Products'!J:J,FALSE)</f>
        <v>Sourced</v>
      </c>
      <c r="Q242" s="525" t="str">
        <f>_xlfn.XLOOKUP(F242,'All Products'!E:E,'All Products'!K:K,FALSE)</f>
        <v>810673011568</v>
      </c>
      <c r="R242" s="525" t="str">
        <f>_xlfn.XLOOKUP(E242,'All Products'!D:D,'All Products'!L:L,FALSE)</f>
        <v>-</v>
      </c>
      <c r="S242" s="525">
        <f>_xlfn.XLOOKUP(E242,'All Products'!D:D,'All Products'!M:M,FALSE)</f>
        <v>0</v>
      </c>
      <c r="T242" s="530">
        <f>_xlfn.XLOOKUP(E242,'All Products'!D:D,'All Products'!N:N,FALSE)</f>
        <v>0.37</v>
      </c>
      <c r="U242" s="530">
        <f>_xlfn.XLOOKUP(E242,'All Products'!D:D,'All Products'!P:P,FALSE)</f>
        <v>18.5</v>
      </c>
      <c r="V242" s="530" t="str">
        <f>_xlfn.XLOOKUP(E242,'All Products'!D:D,'All Products'!Q:Q,FALSE)</f>
        <v>-</v>
      </c>
    </row>
    <row r="243" spans="1:22">
      <c r="A243" s="5" t="str">
        <f>IF(K243&gt;0,COUNT($A$7:A242)+1,"")</f>
        <v/>
      </c>
      <c r="B243" s="34"/>
      <c r="C243" s="50"/>
      <c r="D243" s="512" t="str">
        <f>_xlfn.XLOOKUP(E243,'All Products'!D:D,'All Products'!C:C,FALSE)</f>
        <v>602-3630</v>
      </c>
      <c r="E243" s="106">
        <v>300005693</v>
      </c>
      <c r="F243" s="522" t="str">
        <f>_xlfn.XLOOKUP(E243,'All Products'!D:D,'All Products'!E:E,FALSE)</f>
        <v>2 WYE STREET SXHXH DWV</v>
      </c>
      <c r="G243" s="282">
        <f>_xlfn.XLOOKUP(E243,'All Products'!D:D,'All Products'!F:F,FALSE)</f>
        <v>30</v>
      </c>
      <c r="H243" s="533">
        <f>_xlfn.XLOOKUP(E243,'All Products'!D:D,'All Products'!G:G,FALSE)</f>
        <v>720</v>
      </c>
      <c r="I243" s="512">
        <f>_xlfn.XLOOKUP(E243,'All Products'!D:D,'All Products'!H:H,FALSE)</f>
        <v>363.71</v>
      </c>
      <c r="J243" s="216">
        <f>ROUNDUP(I243*Order_Quote!$L$2,2)</f>
        <v>1818.55</v>
      </c>
      <c r="K243" s="123"/>
      <c r="L243" s="79"/>
      <c r="M243" s="107">
        <f t="shared" si="5"/>
        <v>0</v>
      </c>
      <c r="O243" s="525" t="str">
        <f>_xlfn.XLOOKUP(E243,'All Products'!D:D,'All Products'!I:I,FALSE)</f>
        <v>Within 6 Weeks</v>
      </c>
      <c r="P243" s="525" t="str">
        <f>_xlfn.XLOOKUP(E243,'All Products'!D:D,'All Products'!J:J,FALSE)</f>
        <v>Sourced</v>
      </c>
      <c r="Q243" s="525" t="str">
        <f>_xlfn.XLOOKUP(F243,'All Products'!E:E,'All Products'!K:K,FALSE)</f>
        <v>810673011575</v>
      </c>
      <c r="R243" s="525" t="str">
        <f>_xlfn.XLOOKUP(E243,'All Products'!D:D,'All Products'!L:L,FALSE)</f>
        <v>-</v>
      </c>
      <c r="S243" s="525">
        <f>_xlfn.XLOOKUP(E243,'All Products'!D:D,'All Products'!M:M,FALSE)</f>
        <v>0</v>
      </c>
      <c r="T243" s="530">
        <f>_xlfn.XLOOKUP(E243,'All Products'!D:D,'All Products'!N:N,FALSE)</f>
        <v>0.56000000000000005</v>
      </c>
      <c r="U243" s="530">
        <f>_xlfn.XLOOKUP(E243,'All Products'!D:D,'All Products'!P:P,FALSE)</f>
        <v>16.8</v>
      </c>
      <c r="V243" s="530" t="str">
        <f>_xlfn.XLOOKUP(E243,'All Products'!D:D,'All Products'!Q:Q,FALSE)</f>
        <v>-</v>
      </c>
    </row>
    <row r="244" spans="1:22">
      <c r="A244" s="5" t="str">
        <f>IF(K244&gt;0,COUNT($A$7:A243)+1,"")</f>
        <v/>
      </c>
      <c r="B244" s="34"/>
      <c r="C244" s="50"/>
      <c r="D244" s="512" t="str">
        <f>_xlfn.XLOOKUP(E244,'All Products'!D:D,'All Products'!C:C,FALSE)</f>
        <v>602-3631</v>
      </c>
      <c r="E244" s="106">
        <v>300005694</v>
      </c>
      <c r="F244" s="522" t="str">
        <f>_xlfn.XLOOKUP(E244,'All Products'!D:D,'All Products'!E:E,FALSE)</f>
        <v>3 WYE STREET SXHXH DWV</v>
      </c>
      <c r="G244" s="282">
        <f>_xlfn.XLOOKUP(E244,'All Products'!D:D,'All Products'!F:F,FALSE)</f>
        <v>10</v>
      </c>
      <c r="H244" s="533">
        <f>_xlfn.XLOOKUP(E244,'All Products'!D:D,'All Products'!G:G,FALSE)</f>
        <v>320</v>
      </c>
      <c r="I244" s="512">
        <f>_xlfn.XLOOKUP(E244,'All Products'!D:D,'All Products'!H:H,FALSE)</f>
        <v>769.47</v>
      </c>
      <c r="J244" s="216">
        <f>ROUNDUP(I244*Order_Quote!$L$2,2)</f>
        <v>3847.35</v>
      </c>
      <c r="K244" s="123"/>
      <c r="L244" s="79"/>
      <c r="M244" s="107">
        <f t="shared" si="5"/>
        <v>0</v>
      </c>
      <c r="O244" s="525" t="str">
        <f>_xlfn.XLOOKUP(E244,'All Products'!D:D,'All Products'!I:I,FALSE)</f>
        <v>Within 6 Weeks</v>
      </c>
      <c r="P244" s="525" t="str">
        <f>_xlfn.XLOOKUP(E244,'All Products'!D:D,'All Products'!J:J,FALSE)</f>
        <v>Sourced</v>
      </c>
      <c r="Q244" s="525" t="str">
        <f>_xlfn.XLOOKUP(F244,'All Products'!E:E,'All Products'!K:K,FALSE)</f>
        <v>810673011582</v>
      </c>
      <c r="R244" s="525" t="str">
        <f>_xlfn.XLOOKUP(E244,'All Products'!D:D,'All Products'!L:L,FALSE)</f>
        <v>-</v>
      </c>
      <c r="S244" s="525">
        <f>_xlfn.XLOOKUP(E244,'All Products'!D:D,'All Products'!M:M,FALSE)</f>
        <v>0</v>
      </c>
      <c r="T244" s="530">
        <f>_xlfn.XLOOKUP(E244,'All Products'!D:D,'All Products'!N:N,FALSE)</f>
        <v>1.66</v>
      </c>
      <c r="U244" s="530">
        <f>_xlfn.XLOOKUP(E244,'All Products'!D:D,'All Products'!P:P,FALSE)</f>
        <v>16.599999999999998</v>
      </c>
      <c r="V244" s="530" t="str">
        <f>_xlfn.XLOOKUP(E244,'All Products'!D:D,'All Products'!Q:Q,FALSE)</f>
        <v>-</v>
      </c>
    </row>
    <row r="245" spans="1:22">
      <c r="A245" s="5" t="str">
        <f>IF(K245&gt;0,COUNT($A$7:A244)+1,"")</f>
        <v/>
      </c>
      <c r="B245" s="23"/>
      <c r="C245" s="51"/>
      <c r="D245" s="512" t="str">
        <f>_xlfn.XLOOKUP(E245,'All Products'!D:D,'All Products'!C:C,FALSE)</f>
        <v>602-3632</v>
      </c>
      <c r="E245" s="106">
        <v>100029095</v>
      </c>
      <c r="F245" s="522" t="str">
        <f>_xlfn.XLOOKUP(E245,'All Products'!D:D,'All Products'!E:E,FALSE)</f>
        <v>4 WYE STREET SXHXH DWV</v>
      </c>
      <c r="G245" s="282">
        <f>_xlfn.XLOOKUP(E245,'All Products'!D:D,'All Products'!F:F,FALSE)</f>
        <v>10</v>
      </c>
      <c r="H245" s="533">
        <f>_xlfn.XLOOKUP(E245,'All Products'!D:D,'All Products'!G:G,FALSE)</f>
        <v>120</v>
      </c>
      <c r="I245" s="512">
        <f>_xlfn.XLOOKUP(E245,'All Products'!D:D,'All Products'!H:H,FALSE)</f>
        <v>742.65</v>
      </c>
      <c r="J245" s="216">
        <f>ROUNDUP(I245*Order_Quote!$L$2,2)</f>
        <v>3713.25</v>
      </c>
      <c r="K245" s="123"/>
      <c r="L245" s="79"/>
      <c r="M245" s="107">
        <f t="shared" si="5"/>
        <v>0</v>
      </c>
      <c r="O245" s="525" t="str">
        <f>_xlfn.XLOOKUP(E245,'All Products'!D:D,'All Products'!I:I,FALSE)</f>
        <v>In Stock</v>
      </c>
      <c r="P245" s="525" t="str">
        <f>_xlfn.XLOOKUP(E245,'All Products'!D:D,'All Products'!J:J,FALSE)</f>
        <v>Manufactured</v>
      </c>
      <c r="Q245" s="525" t="str">
        <f>_xlfn.XLOOKUP(F245,'All Products'!E:E,'All Products'!K:K,FALSE)</f>
        <v>810673013753</v>
      </c>
      <c r="R245" s="525" t="str">
        <f>_xlfn.XLOOKUP(E245,'All Products'!D:D,'All Products'!L:L,FALSE)</f>
        <v>-</v>
      </c>
      <c r="S245" s="525" t="str">
        <f>_xlfn.XLOOKUP(E245,'All Products'!D:D,'All Products'!M:M,FALSE)</f>
        <v>810673011599</v>
      </c>
      <c r="T245" s="530">
        <f>_xlfn.XLOOKUP(E245,'All Products'!D:D,'All Products'!N:N,FALSE)</f>
        <v>3.3959999999999999</v>
      </c>
      <c r="U245" s="530">
        <f>_xlfn.XLOOKUP(E245,'All Products'!D:D,'All Products'!P:P,FALSE)</f>
        <v>33.96</v>
      </c>
      <c r="V245" s="530">
        <f>_xlfn.XLOOKUP(E245,'All Products'!D:D,'All Products'!Q:Q,FALSE)</f>
        <v>3.6731726755225957</v>
      </c>
    </row>
    <row r="246" spans="1:22">
      <c r="A246" s="5" t="str">
        <f>IF(K246&gt;0,COUNT($A$7:A245)+1,"")</f>
        <v/>
      </c>
      <c r="B246" s="26"/>
      <c r="C246" s="49"/>
      <c r="D246" s="512" t="str">
        <f>_xlfn.XLOOKUP(E246,'All Products'!D:D,'All Products'!C:C,FALSE)</f>
        <v>603-3633</v>
      </c>
      <c r="E246" s="106">
        <v>300005695</v>
      </c>
      <c r="F246" s="522" t="str">
        <f>_xlfn.XLOOKUP(E246,'All Products'!D:D,'All Products'!E:E,FALSE)</f>
        <v>3X3X1-1/2 WYE RED STREET SXHXH DWV</v>
      </c>
      <c r="G246" s="282">
        <f>_xlfn.XLOOKUP(E246,'All Products'!D:D,'All Products'!F:F,FALSE)</f>
        <v>20</v>
      </c>
      <c r="H246" s="533">
        <f>_xlfn.XLOOKUP(E246,'All Products'!D:D,'All Products'!G:G,FALSE)</f>
        <v>480</v>
      </c>
      <c r="I246" s="512">
        <f>_xlfn.XLOOKUP(E246,'All Products'!D:D,'All Products'!H:H,FALSE)</f>
        <v>727.41</v>
      </c>
      <c r="J246" s="216">
        <f>ROUNDUP(I246*Order_Quote!$L$2,2)</f>
        <v>3637.05</v>
      </c>
      <c r="K246" s="123"/>
      <c r="L246" s="79"/>
      <c r="M246" s="107">
        <f t="shared" si="5"/>
        <v>0</v>
      </c>
      <c r="O246" s="525" t="str">
        <f>_xlfn.XLOOKUP(E246,'All Products'!D:D,'All Products'!I:I,FALSE)</f>
        <v>Within 6 Weeks</v>
      </c>
      <c r="P246" s="525" t="str">
        <f>_xlfn.XLOOKUP(E246,'All Products'!D:D,'All Products'!J:J,FALSE)</f>
        <v>Sourced</v>
      </c>
      <c r="Q246" s="525" t="str">
        <f>_xlfn.XLOOKUP(F246,'All Products'!E:E,'All Products'!K:K,FALSE)</f>
        <v>812361017920</v>
      </c>
      <c r="R246" s="525" t="str">
        <f>_xlfn.XLOOKUP(E246,'All Products'!D:D,'All Products'!L:L,FALSE)</f>
        <v>-</v>
      </c>
      <c r="S246" s="525">
        <f>_xlfn.XLOOKUP(E246,'All Products'!D:D,'All Products'!M:M,FALSE)</f>
        <v>0</v>
      </c>
      <c r="T246" s="530">
        <f>_xlfn.XLOOKUP(E246,'All Products'!D:D,'All Products'!N:N,FALSE)</f>
        <v>1.0509999999999999</v>
      </c>
      <c r="U246" s="530">
        <f>_xlfn.XLOOKUP(E246,'All Products'!D:D,'All Products'!P:P,FALSE)</f>
        <v>21.02</v>
      </c>
      <c r="V246" s="530" t="str">
        <f>_xlfn.XLOOKUP(E246,'All Products'!D:D,'All Products'!Q:Q,FALSE)</f>
        <v>-</v>
      </c>
    </row>
    <row r="247" spans="1:22">
      <c r="A247" s="5" t="str">
        <f>IF(K247&gt;0,COUNT($A$7:A246)+1,"")</f>
        <v/>
      </c>
      <c r="B247" s="34"/>
      <c r="C247" s="50"/>
      <c r="D247" s="512" t="str">
        <f>_xlfn.XLOOKUP(E247,'All Products'!D:D,'All Products'!C:C,FALSE)</f>
        <v>603-3635</v>
      </c>
      <c r="E247" s="106">
        <v>300005696</v>
      </c>
      <c r="F247" s="522" t="str">
        <f>_xlfn.XLOOKUP(E247,'All Products'!D:D,'All Products'!E:E,FALSE)</f>
        <v>4X4X2 WYE RED STREET SXHXH DWV</v>
      </c>
      <c r="G247" s="282">
        <f>_xlfn.XLOOKUP(E247,'All Products'!D:D,'All Products'!F:F,FALSE)</f>
        <v>10</v>
      </c>
      <c r="H247" s="533">
        <f>_xlfn.XLOOKUP(E247,'All Products'!D:D,'All Products'!G:G,FALSE)</f>
        <v>240</v>
      </c>
      <c r="I247" s="512">
        <f>_xlfn.XLOOKUP(E247,'All Products'!D:D,'All Products'!H:H,FALSE)</f>
        <v>1000.16</v>
      </c>
      <c r="J247" s="216">
        <f>ROUNDUP(I247*Order_Quote!$L$2,2)</f>
        <v>5000.8</v>
      </c>
      <c r="K247" s="125"/>
      <c r="L247" s="79"/>
      <c r="M247" s="107">
        <f t="shared" si="5"/>
        <v>0</v>
      </c>
      <c r="O247" s="525" t="str">
        <f>_xlfn.XLOOKUP(E247,'All Products'!D:D,'All Products'!I:I,FALSE)</f>
        <v>Within 3 Weeks</v>
      </c>
      <c r="P247" s="525" t="str">
        <f>_xlfn.XLOOKUP(E247,'All Products'!D:D,'All Products'!J:J,FALSE)</f>
        <v>Sourced</v>
      </c>
      <c r="Q247" s="525" t="str">
        <f>_xlfn.XLOOKUP(F247,'All Products'!E:E,'All Products'!K:K,FALSE)</f>
        <v>810673015917</v>
      </c>
      <c r="R247" s="525" t="str">
        <f>_xlfn.XLOOKUP(E247,'All Products'!D:D,'All Products'!L:L,FALSE)</f>
        <v>-</v>
      </c>
      <c r="S247" s="525">
        <f>_xlfn.XLOOKUP(E247,'All Products'!D:D,'All Products'!M:M,FALSE)</f>
        <v>0</v>
      </c>
      <c r="T247" s="530">
        <f>_xlfn.XLOOKUP(E247,'All Products'!D:D,'All Products'!N:N,FALSE)</f>
        <v>1.7809999999999999</v>
      </c>
      <c r="U247" s="530">
        <f>_xlfn.XLOOKUP(E247,'All Products'!D:D,'All Products'!P:P,FALSE)</f>
        <v>17.809999999999999</v>
      </c>
      <c r="V247" s="530" t="str">
        <f>_xlfn.XLOOKUP(E247,'All Products'!D:D,'All Products'!Q:Q,FALSE)</f>
        <v>-</v>
      </c>
    </row>
    <row r="248" spans="1:22">
      <c r="A248" s="5" t="str">
        <f>IF(K248&gt;0,COUNT($A$7:A247)+1,"")</f>
        <v/>
      </c>
      <c r="B248" s="23"/>
      <c r="C248" s="51"/>
      <c r="D248" s="512" t="str">
        <f>_xlfn.XLOOKUP(E248,'All Products'!D:D,'All Products'!C:C,FALSE)</f>
        <v>603-3636</v>
      </c>
      <c r="E248" s="106">
        <v>300005697</v>
      </c>
      <c r="F248" s="522" t="str">
        <f>_xlfn.XLOOKUP(E248,'All Products'!D:D,'All Products'!E:E,FALSE)</f>
        <v>4X4X3 WYE RED STREET SXHXH DWV</v>
      </c>
      <c r="G248" s="282">
        <f>_xlfn.XLOOKUP(E248,'All Products'!D:D,'All Products'!F:F,FALSE)</f>
        <v>10</v>
      </c>
      <c r="H248" s="533">
        <f>_xlfn.XLOOKUP(E248,'All Products'!D:D,'All Products'!G:G,FALSE)</f>
        <v>80</v>
      </c>
      <c r="I248" s="512">
        <f>_xlfn.XLOOKUP(E248,'All Products'!D:D,'All Products'!H:H,FALSE)</f>
        <v>1645.4</v>
      </c>
      <c r="J248" s="216">
        <f>ROUNDUP(I248*Order_Quote!$L$2,2)</f>
        <v>8227</v>
      </c>
      <c r="K248" s="126"/>
      <c r="L248" s="79"/>
      <c r="M248" s="107">
        <f t="shared" si="5"/>
        <v>0</v>
      </c>
      <c r="O248" s="525" t="str">
        <f>_xlfn.XLOOKUP(E248,'All Products'!D:D,'All Products'!I:I,FALSE)</f>
        <v>Within 6 Weeks</v>
      </c>
      <c r="P248" s="525" t="str">
        <f>_xlfn.XLOOKUP(E248,'All Products'!D:D,'All Products'!J:J,FALSE)</f>
        <v>Sourced</v>
      </c>
      <c r="Q248" s="525" t="str">
        <f>_xlfn.XLOOKUP(F248,'All Products'!E:E,'All Products'!K:K,FALSE)</f>
        <v>810673015931</v>
      </c>
      <c r="R248" s="525" t="str">
        <f>_xlfn.XLOOKUP(E248,'All Products'!D:D,'All Products'!L:L,FALSE)</f>
        <v>-</v>
      </c>
      <c r="S248" s="525">
        <f>_xlfn.XLOOKUP(E248,'All Products'!D:D,'All Products'!M:M,FALSE)</f>
        <v>0</v>
      </c>
      <c r="T248" s="530">
        <f>_xlfn.XLOOKUP(E248,'All Products'!D:D,'All Products'!N:N,FALSE)</f>
        <v>2.4630000000000001</v>
      </c>
      <c r="U248" s="530">
        <f>_xlfn.XLOOKUP(E248,'All Products'!D:D,'All Products'!P:P,FALSE)</f>
        <v>24.630000000000003</v>
      </c>
      <c r="V248" s="530" t="str">
        <f>_xlfn.XLOOKUP(E248,'All Products'!D:D,'All Products'!Q:Q,FALSE)</f>
        <v>-</v>
      </c>
    </row>
    <row r="249" spans="1:22">
      <c r="A249" s="5" t="str">
        <f>IF(K249&gt;0,COUNT($A$7:A248)+1,"")</f>
        <v/>
      </c>
      <c r="B249" s="26"/>
      <c r="C249" s="49"/>
      <c r="D249" s="512" t="str">
        <f>_xlfn.XLOOKUP(E249,'All Products'!D:D,'All Products'!C:C,FALSE)</f>
        <v>611-3637</v>
      </c>
      <c r="E249" s="106">
        <v>100029099</v>
      </c>
      <c r="F249" s="522" t="str">
        <f>_xlfn.XLOOKUP(E249,'All Products'!D:D,'All Products'!E:E,FALSE)</f>
        <v>1-1/2 DOUBLE WYE DWV</v>
      </c>
      <c r="G249" s="282">
        <f>_xlfn.XLOOKUP(E249,'All Products'!D:D,'All Products'!F:F,FALSE)</f>
        <v>25</v>
      </c>
      <c r="H249" s="533">
        <f>_xlfn.XLOOKUP(E249,'All Products'!D:D,'All Products'!G:G,FALSE)</f>
        <v>1280</v>
      </c>
      <c r="I249" s="512">
        <f>_xlfn.XLOOKUP(E249,'All Products'!D:D,'All Products'!H:H,FALSE)</f>
        <v>210.98</v>
      </c>
      <c r="J249" s="216">
        <f>ROUNDUP(I249*Order_Quote!$L$2,2)</f>
        <v>1054.9000000000001</v>
      </c>
      <c r="K249" s="123"/>
      <c r="L249" s="79"/>
      <c r="M249" s="107">
        <f t="shared" si="5"/>
        <v>0</v>
      </c>
      <c r="O249" s="525" t="str">
        <f>_xlfn.XLOOKUP(E249,'All Products'!D:D,'All Products'!I:I,FALSE)</f>
        <v>Within 3 Weeks</v>
      </c>
      <c r="P249" s="525" t="str">
        <f>_xlfn.XLOOKUP(E249,'All Products'!D:D,'All Products'!J:J,FALSE)</f>
        <v>Manufactured</v>
      </c>
      <c r="Q249" s="525" t="str">
        <f>_xlfn.XLOOKUP(F249,'All Products'!E:E,'All Products'!K:K,FALSE)</f>
        <v>810673015443</v>
      </c>
      <c r="R249" s="525" t="str">
        <f>_xlfn.XLOOKUP(E249,'All Products'!D:D,'All Products'!L:L,FALSE)</f>
        <v>-</v>
      </c>
      <c r="S249" s="525" t="str">
        <f>_xlfn.XLOOKUP(E249,'All Products'!D:D,'All Products'!M:M,FALSE)</f>
        <v>10810673015440</v>
      </c>
      <c r="T249" s="530">
        <f>_xlfn.XLOOKUP(E249,'All Products'!D:D,'All Products'!N:N,FALSE)</f>
        <v>0.56000000000000005</v>
      </c>
      <c r="U249" s="530">
        <f>_xlfn.XLOOKUP(E249,'All Products'!D:D,'All Products'!P:P,FALSE)</f>
        <v>14.000000000000002</v>
      </c>
      <c r="V249" s="530">
        <f>_xlfn.XLOOKUP(E249,'All Products'!D:D,'All Products'!Q:Q,FALSE)</f>
        <v>1.3788503419060438</v>
      </c>
    </row>
    <row r="250" spans="1:22">
      <c r="A250" s="5" t="str">
        <f>IF(K250&gt;0,COUNT($A$7:A249)+1,"")</f>
        <v/>
      </c>
      <c r="B250" s="34"/>
      <c r="C250" s="50"/>
      <c r="D250" s="512" t="str">
        <f>_xlfn.XLOOKUP(E250,'All Products'!D:D,'All Products'!C:C,FALSE)</f>
        <v>611-3638</v>
      </c>
      <c r="E250" s="106">
        <v>300005698</v>
      </c>
      <c r="F250" s="522" t="str">
        <f>_xlfn.XLOOKUP(E250,'All Products'!D:D,'All Products'!E:E,FALSE)</f>
        <v>2 DOUBLE WYE DWV</v>
      </c>
      <c r="G250" s="282">
        <f>_xlfn.XLOOKUP(E250,'All Products'!D:D,'All Products'!F:F,FALSE)</f>
        <v>20</v>
      </c>
      <c r="H250" s="533">
        <f>_xlfn.XLOOKUP(E250,'All Products'!D:D,'All Products'!G:G,FALSE)</f>
        <v>600</v>
      </c>
      <c r="I250" s="512">
        <f>_xlfn.XLOOKUP(E250,'All Products'!D:D,'All Products'!H:H,FALSE)</f>
        <v>244.6</v>
      </c>
      <c r="J250" s="216">
        <f>ROUNDUP(I250*Order_Quote!$L$2,2)</f>
        <v>1223</v>
      </c>
      <c r="K250" s="123"/>
      <c r="L250" s="79"/>
      <c r="M250" s="107">
        <f t="shared" si="5"/>
        <v>0</v>
      </c>
      <c r="O250" s="525" t="str">
        <f>_xlfn.XLOOKUP(E250,'All Products'!D:D,'All Products'!I:I,FALSE)</f>
        <v>Within 6 Weeks</v>
      </c>
      <c r="P250" s="525" t="str">
        <f>_xlfn.XLOOKUP(E250,'All Products'!D:D,'All Products'!J:J,FALSE)</f>
        <v>Sourced</v>
      </c>
      <c r="Q250" s="525" t="str">
        <f>_xlfn.XLOOKUP(F250,'All Products'!E:E,'All Products'!K:K,FALSE)</f>
        <v>812361013243</v>
      </c>
      <c r="R250" s="525" t="str">
        <f>_xlfn.XLOOKUP(E250,'All Products'!D:D,'All Products'!L:L,FALSE)</f>
        <v>-</v>
      </c>
      <c r="S250" s="525" t="str">
        <f>_xlfn.XLOOKUP(E250,'All Products'!D:D,'All Products'!M:M,FALSE)</f>
        <v>10812361013240</v>
      </c>
      <c r="T250" s="530">
        <f>_xlfn.XLOOKUP(E250,'All Products'!D:D,'All Products'!N:N,FALSE)</f>
        <v>0.81100000000000005</v>
      </c>
      <c r="U250" s="530">
        <f>_xlfn.XLOOKUP(E250,'All Products'!D:D,'All Products'!P:P,FALSE)</f>
        <v>16.220000000000002</v>
      </c>
      <c r="V250" s="530" t="str">
        <f>_xlfn.XLOOKUP(E250,'All Products'!D:D,'All Products'!Q:Q,FALSE)</f>
        <v>-</v>
      </c>
    </row>
    <row r="251" spans="1:22">
      <c r="A251" s="5" t="str">
        <f>IF(K251&gt;0,COUNT($A$7:A250)+1,"")</f>
        <v/>
      </c>
      <c r="B251" s="34"/>
      <c r="C251" s="50"/>
      <c r="D251" s="512" t="str">
        <f>_xlfn.XLOOKUP(E251,'All Products'!D:D,'All Products'!C:C,FALSE)</f>
        <v>611-3639</v>
      </c>
      <c r="E251" s="106">
        <v>100029101</v>
      </c>
      <c r="F251" s="522" t="str">
        <f>_xlfn.XLOOKUP(E251,'All Products'!D:D,'All Products'!E:E,FALSE)</f>
        <v>3 DOUBLE WYE DWV</v>
      </c>
      <c r="G251" s="282">
        <f>_xlfn.XLOOKUP(E251,'All Products'!D:D,'All Products'!F:F,FALSE)</f>
        <v>10</v>
      </c>
      <c r="H251" s="533">
        <f>_xlfn.XLOOKUP(E251,'All Products'!D:D,'All Products'!G:G,FALSE)</f>
        <v>120</v>
      </c>
      <c r="I251" s="512">
        <f>_xlfn.XLOOKUP(E251,'All Products'!D:D,'All Products'!H:H,FALSE)</f>
        <v>489.62</v>
      </c>
      <c r="J251" s="216">
        <f>ROUNDUP(I251*Order_Quote!$L$2,2)</f>
        <v>2448.1</v>
      </c>
      <c r="K251" s="123"/>
      <c r="L251" s="79"/>
      <c r="M251" s="107">
        <f t="shared" si="5"/>
        <v>0</v>
      </c>
      <c r="O251" s="525" t="str">
        <f>_xlfn.XLOOKUP(E251,'All Products'!D:D,'All Products'!I:I,FALSE)</f>
        <v>In Stock</v>
      </c>
      <c r="P251" s="525" t="str">
        <f>_xlfn.XLOOKUP(E251,'All Products'!D:D,'All Products'!J:J,FALSE)</f>
        <v>Manufactured</v>
      </c>
      <c r="Q251" s="525" t="str">
        <f>_xlfn.XLOOKUP(F251,'All Products'!E:E,'All Products'!K:K,FALSE)</f>
        <v>812361013267</v>
      </c>
      <c r="R251" s="525" t="str">
        <f>_xlfn.XLOOKUP(E251,'All Products'!D:D,'All Products'!L:L,FALSE)</f>
        <v>-</v>
      </c>
      <c r="S251" s="525" t="str">
        <f>_xlfn.XLOOKUP(E251,'All Products'!D:D,'All Products'!M:M,FALSE)</f>
        <v>810116840052</v>
      </c>
      <c r="T251" s="530">
        <f>_xlfn.XLOOKUP(E251,'All Products'!D:D,'All Products'!N:N,FALSE)</f>
        <v>2.4409999999999998</v>
      </c>
      <c r="U251" s="530">
        <f>_xlfn.XLOOKUP(E251,'All Products'!D:D,'All Products'!P:P,FALSE)</f>
        <v>24.409999999999997</v>
      </c>
      <c r="V251" s="530">
        <f>_xlfn.XLOOKUP(E251,'All Products'!D:D,'All Products'!Q:Q,FALSE)</f>
        <v>3.6731726755225957</v>
      </c>
    </row>
    <row r="252" spans="1:22">
      <c r="A252" s="5" t="str">
        <f>IF(K252&gt;0,COUNT($A$7:A251)+1,"")</f>
        <v/>
      </c>
      <c r="B252" s="34"/>
      <c r="C252" s="50"/>
      <c r="D252" s="512" t="str">
        <f>_xlfn.XLOOKUP(E252,'All Products'!D:D,'All Products'!C:C,FALSE)</f>
        <v>611-3640</v>
      </c>
      <c r="E252" s="106">
        <v>100029102</v>
      </c>
      <c r="F252" s="522" t="str">
        <f>_xlfn.XLOOKUP(E252,'All Products'!D:D,'All Products'!E:E,FALSE)</f>
        <v>4 DOUBLE WYE DWV</v>
      </c>
      <c r="G252" s="282">
        <f>_xlfn.XLOOKUP(E252,'All Products'!D:D,'All Products'!F:F,FALSE)</f>
        <v>5</v>
      </c>
      <c r="H252" s="533">
        <f>_xlfn.XLOOKUP(E252,'All Products'!D:D,'All Products'!G:G,FALSE)</f>
        <v>70</v>
      </c>
      <c r="I252" s="512">
        <f>_xlfn.XLOOKUP(E252,'All Products'!D:D,'All Products'!H:H,FALSE)</f>
        <v>1055.22</v>
      </c>
      <c r="J252" s="216">
        <f>ROUNDUP(I252*Order_Quote!$L$2,2)</f>
        <v>5276.1</v>
      </c>
      <c r="K252" s="123"/>
      <c r="L252" s="79"/>
      <c r="M252" s="107">
        <f t="shared" si="5"/>
        <v>0</v>
      </c>
      <c r="O252" s="525" t="str">
        <f>_xlfn.XLOOKUP(E252,'All Products'!D:D,'All Products'!I:I,FALSE)</f>
        <v>In Stock</v>
      </c>
      <c r="P252" s="525" t="str">
        <f>_xlfn.XLOOKUP(E252,'All Products'!D:D,'All Products'!J:J,FALSE)</f>
        <v>Manufactured</v>
      </c>
      <c r="Q252" s="525" t="str">
        <f>_xlfn.XLOOKUP(F252,'All Products'!E:E,'All Products'!K:K,FALSE)</f>
        <v>812361013090</v>
      </c>
      <c r="R252" s="525" t="str">
        <f>_xlfn.XLOOKUP(E252,'All Products'!D:D,'All Products'!L:L,FALSE)</f>
        <v>-</v>
      </c>
      <c r="S252" s="525" t="str">
        <f>_xlfn.XLOOKUP(E252,'All Products'!D:D,'All Products'!M:M,FALSE)</f>
        <v>10812361013097</v>
      </c>
      <c r="T252" s="530">
        <f>_xlfn.XLOOKUP(E252,'All Products'!D:D,'All Products'!N:N,FALSE)</f>
        <v>4.4690000000000003</v>
      </c>
      <c r="U252" s="530">
        <f>_xlfn.XLOOKUP(E252,'All Products'!D:D,'All Products'!P:P,FALSE)</f>
        <v>22.345000000000002</v>
      </c>
      <c r="V252" s="530">
        <f>_xlfn.XLOOKUP(E252,'All Products'!D:D,'All Products'!Q:Q,FALSE)</f>
        <v>3.6731726755225957</v>
      </c>
    </row>
    <row r="253" spans="1:22">
      <c r="A253" s="5" t="str">
        <f>IF(K253&gt;0,COUNT($A$7:A252)+1,"")</f>
        <v/>
      </c>
      <c r="B253" s="23"/>
      <c r="C253" s="51"/>
      <c r="D253" s="512" t="str">
        <f>_xlfn.XLOOKUP(E253,'All Products'!D:D,'All Products'!C:C,FALSE)</f>
        <v>611-3641</v>
      </c>
      <c r="E253" s="106">
        <v>300005699</v>
      </c>
      <c r="F253" s="522" t="str">
        <f>_xlfn.XLOOKUP(E253,'All Products'!D:D,'All Products'!E:E,FALSE)</f>
        <v>6 DOUBLE WYE DWV</v>
      </c>
      <c r="G253" s="282">
        <f>_xlfn.XLOOKUP(E253,'All Products'!D:D,'All Products'!F:F,FALSE)</f>
        <v>2</v>
      </c>
      <c r="H253" s="533">
        <f>_xlfn.XLOOKUP(E253,'All Products'!D:D,'All Products'!G:G,FALSE)</f>
        <v>16</v>
      </c>
      <c r="I253" s="512">
        <f>_xlfn.XLOOKUP(E253,'All Products'!D:D,'All Products'!H:H,FALSE)</f>
        <v>7397.5</v>
      </c>
      <c r="J253" s="216">
        <f>ROUNDUP(I253*Order_Quote!$L$2,2)</f>
        <v>36987.5</v>
      </c>
      <c r="K253" s="123"/>
      <c r="L253" s="79"/>
      <c r="M253" s="107">
        <f t="shared" si="5"/>
        <v>0</v>
      </c>
      <c r="O253" s="525" t="str">
        <f>_xlfn.XLOOKUP(E253,'All Products'!D:D,'All Products'!I:I,FALSE)</f>
        <v>Within 6 Weeks</v>
      </c>
      <c r="P253" s="525" t="str">
        <f>_xlfn.XLOOKUP(E253,'All Products'!D:D,'All Products'!J:J,FALSE)</f>
        <v>Sourced</v>
      </c>
      <c r="Q253" s="525" t="str">
        <f>_xlfn.XLOOKUP(F253,'All Products'!E:E,'All Products'!K:K,FALSE)</f>
        <v>810673015955</v>
      </c>
      <c r="R253" s="525" t="str">
        <f>_xlfn.XLOOKUP(E253,'All Products'!D:D,'All Products'!L:L,FALSE)</f>
        <v>-</v>
      </c>
      <c r="S253" s="525">
        <f>_xlfn.XLOOKUP(E253,'All Products'!D:D,'All Products'!M:M,FALSE)</f>
        <v>0</v>
      </c>
      <c r="T253" s="530">
        <f>_xlfn.XLOOKUP(E253,'All Products'!D:D,'All Products'!N:N,FALSE)</f>
        <v>9.9019999999999992</v>
      </c>
      <c r="U253" s="530">
        <f>_xlfn.XLOOKUP(E253,'All Products'!D:D,'All Products'!P:P,FALSE)</f>
        <v>19.803999999999998</v>
      </c>
      <c r="V253" s="530" t="str">
        <f>_xlfn.XLOOKUP(E253,'All Products'!D:D,'All Products'!Q:Q,FALSE)</f>
        <v>-</v>
      </c>
    </row>
    <row r="254" spans="1:22">
      <c r="A254" s="5" t="str">
        <f>IF(K254&gt;0,COUNT($A$7:A253)+1,"")</f>
        <v/>
      </c>
      <c r="B254" s="26"/>
      <c r="C254" s="49"/>
      <c r="D254" s="512" t="str">
        <f>_xlfn.XLOOKUP(E254,'All Products'!D:D,'All Products'!C:C,FALSE)</f>
        <v>612-0615</v>
      </c>
      <c r="E254" s="106">
        <v>300005700</v>
      </c>
      <c r="F254" s="522" t="str">
        <f>_xlfn.XLOOKUP(E254,'All Products'!D:D,'All Products'!E:E,FALSE)</f>
        <v>6X6X4X4 DOUBLE WYE DWV</v>
      </c>
      <c r="G254" s="282">
        <f>_xlfn.XLOOKUP(E254,'All Products'!D:D,'All Products'!F:F,FALSE)</f>
        <v>3</v>
      </c>
      <c r="H254" s="533">
        <f>_xlfn.XLOOKUP(E254,'All Products'!D:D,'All Products'!G:G,FALSE)</f>
        <v>35</v>
      </c>
      <c r="I254" s="512">
        <f>_xlfn.XLOOKUP(E254,'All Products'!D:D,'All Products'!H:H,FALSE)</f>
        <v>6062.91</v>
      </c>
      <c r="J254" s="216">
        <f>ROUNDUP(I254*Order_Quote!$L$2,2)</f>
        <v>30314.55</v>
      </c>
      <c r="K254" s="123"/>
      <c r="L254" s="79"/>
      <c r="M254" s="107">
        <f t="shared" si="5"/>
        <v>0</v>
      </c>
      <c r="O254" s="525" t="str">
        <f>_xlfn.XLOOKUP(E254,'All Products'!D:D,'All Products'!I:I,FALSE)</f>
        <v>Within 3 Weeks</v>
      </c>
      <c r="P254" s="525" t="str">
        <f>_xlfn.XLOOKUP(E254,'All Products'!D:D,'All Products'!J:J,FALSE)</f>
        <v>Sourced</v>
      </c>
      <c r="Q254" s="525" t="str">
        <f>_xlfn.XLOOKUP(F254,'All Products'!E:E,'All Products'!K:K,FALSE)</f>
        <v>812361018088</v>
      </c>
      <c r="R254" s="525" t="str">
        <f>_xlfn.XLOOKUP(E254,'All Products'!D:D,'All Products'!L:L,FALSE)</f>
        <v>-</v>
      </c>
      <c r="S254" s="525">
        <f>_xlfn.XLOOKUP(E254,'All Products'!D:D,'All Products'!M:M,FALSE)</f>
        <v>0</v>
      </c>
      <c r="T254" s="530">
        <f>_xlfn.XLOOKUP(E254,'All Products'!D:D,'All Products'!N:N,FALSE)</f>
        <v>5.16</v>
      </c>
      <c r="U254" s="530">
        <f>_xlfn.XLOOKUP(E254,'All Products'!D:D,'All Products'!P:P,FALSE)</f>
        <v>15.48</v>
      </c>
      <c r="V254" s="530" t="str">
        <f>_xlfn.XLOOKUP(E254,'All Products'!D:D,'All Products'!Q:Q,FALSE)</f>
        <v>-</v>
      </c>
    </row>
    <row r="255" spans="1:22">
      <c r="A255" s="5" t="str">
        <f>IF(K255&gt;0,COUNT($A$7:A254)+1,"")</f>
        <v/>
      </c>
      <c r="B255" s="34"/>
      <c r="C255" s="50"/>
      <c r="D255" s="512" t="str">
        <f>_xlfn.XLOOKUP(E255,'All Products'!D:D,'All Products'!C:C,FALSE)</f>
        <v>612-3643</v>
      </c>
      <c r="E255" s="106">
        <v>100029105</v>
      </c>
      <c r="F255" s="522" t="str">
        <f>_xlfn.XLOOKUP(E255,'All Products'!D:D,'All Products'!E:E,FALSE)</f>
        <v>2X2X1-1/2X1-1/2 DOUBLE WYE DWV</v>
      </c>
      <c r="G255" s="282">
        <f>_xlfn.XLOOKUP(E255,'All Products'!D:D,'All Products'!F:F,FALSE)</f>
        <v>10</v>
      </c>
      <c r="H255" s="533">
        <f>_xlfn.XLOOKUP(E255,'All Products'!D:D,'All Products'!G:G,FALSE)</f>
        <v>630</v>
      </c>
      <c r="I255" s="512">
        <f>_xlfn.XLOOKUP(E255,'All Products'!D:D,'All Products'!H:H,FALSE)</f>
        <v>227.94</v>
      </c>
      <c r="J255" s="216">
        <f>ROUNDUP(I255*Order_Quote!$L$2,2)</f>
        <v>1139.7</v>
      </c>
      <c r="K255" s="123"/>
      <c r="L255" s="79"/>
      <c r="M255" s="107">
        <f t="shared" si="5"/>
        <v>0</v>
      </c>
      <c r="O255" s="525" t="str">
        <f>_xlfn.XLOOKUP(E255,'All Products'!D:D,'All Products'!I:I,FALSE)</f>
        <v>Within 3 Weeks</v>
      </c>
      <c r="P255" s="525" t="str">
        <f>_xlfn.XLOOKUP(E255,'All Products'!D:D,'All Products'!J:J,FALSE)</f>
        <v>Manufactured</v>
      </c>
      <c r="Q255" s="525" t="str">
        <f>_xlfn.XLOOKUP(F255,'All Products'!E:E,'All Products'!K:K,FALSE)</f>
        <v>810673015467</v>
      </c>
      <c r="R255" s="525" t="str">
        <f>_xlfn.XLOOKUP(E255,'All Products'!D:D,'All Products'!L:L,FALSE)</f>
        <v>-</v>
      </c>
      <c r="S255" s="525" t="str">
        <f>_xlfn.XLOOKUP(E255,'All Products'!D:D,'All Products'!M:M,FALSE)</f>
        <v>810673015474</v>
      </c>
      <c r="T255" s="530">
        <f>_xlfn.XLOOKUP(E255,'All Products'!D:D,'All Products'!N:N,FALSE)</f>
        <v>0.72899999999999998</v>
      </c>
      <c r="U255" s="530">
        <f>_xlfn.XLOOKUP(E255,'All Products'!D:D,'All Products'!P:P,FALSE)</f>
        <v>7.29</v>
      </c>
      <c r="V255" s="530">
        <f>_xlfn.XLOOKUP(E255,'All Products'!D:D,'All Products'!Q:Q,FALSE)</f>
        <v>0.66940792428507967</v>
      </c>
    </row>
    <row r="256" spans="1:22">
      <c r="A256" s="5" t="str">
        <f>IF(K256&gt;0,COUNT($A$7:A255)+1,"")</f>
        <v/>
      </c>
      <c r="B256" s="34"/>
      <c r="C256" s="50"/>
      <c r="D256" s="512" t="str">
        <f>_xlfn.XLOOKUP(E256,'All Products'!D:D,'All Products'!C:C,FALSE)</f>
        <v>612-3644</v>
      </c>
      <c r="E256" s="106">
        <v>300005701</v>
      </c>
      <c r="F256" s="522" t="str">
        <f>_xlfn.XLOOKUP(E256,'All Products'!D:D,'All Products'!E:E,FALSE)</f>
        <v>3X3X1-1/2X1-1/2 DOUBLE WYE DWV</v>
      </c>
      <c r="G256" s="282">
        <f>_xlfn.XLOOKUP(E256,'All Products'!D:D,'All Products'!F:F,FALSE)</f>
        <v>10</v>
      </c>
      <c r="H256" s="533">
        <f>_xlfn.XLOOKUP(E256,'All Products'!D:D,'All Products'!G:G,FALSE)</f>
        <v>300</v>
      </c>
      <c r="I256" s="512">
        <f>_xlfn.XLOOKUP(E256,'All Products'!D:D,'All Products'!H:H,FALSE)</f>
        <v>474.81</v>
      </c>
      <c r="J256" s="216">
        <f>ROUNDUP(I256*Order_Quote!$L$2,2)</f>
        <v>2374.0500000000002</v>
      </c>
      <c r="K256" s="123"/>
      <c r="L256" s="79"/>
      <c r="M256" s="107">
        <f t="shared" si="5"/>
        <v>0</v>
      </c>
      <c r="O256" s="525" t="str">
        <f>_xlfn.XLOOKUP(E256,'All Products'!D:D,'All Products'!I:I,FALSE)</f>
        <v>Within 6 Weeks</v>
      </c>
      <c r="P256" s="525" t="str">
        <f>_xlfn.XLOOKUP(E256,'All Products'!D:D,'All Products'!J:J,FALSE)</f>
        <v>Sourced</v>
      </c>
      <c r="Q256" s="525" t="str">
        <f>_xlfn.XLOOKUP(F256,'All Products'!E:E,'All Products'!K:K,FALSE)</f>
        <v>812361013113</v>
      </c>
      <c r="R256" s="525" t="str">
        <f>_xlfn.XLOOKUP(E256,'All Products'!D:D,'All Products'!L:L,FALSE)</f>
        <v>-</v>
      </c>
      <c r="S256" s="525">
        <f>_xlfn.XLOOKUP(E256,'All Products'!D:D,'All Products'!M:M,FALSE)</f>
        <v>0</v>
      </c>
      <c r="T256" s="530">
        <f>_xlfn.XLOOKUP(E256,'All Products'!D:D,'All Products'!N:N,FALSE)</f>
        <v>1.19</v>
      </c>
      <c r="U256" s="530">
        <f>_xlfn.XLOOKUP(E256,'All Products'!D:D,'All Products'!P:P,FALSE)</f>
        <v>11.899999999999999</v>
      </c>
      <c r="V256" s="530" t="str">
        <f>_xlfn.XLOOKUP(E256,'All Products'!D:D,'All Products'!Q:Q,FALSE)</f>
        <v>-</v>
      </c>
    </row>
    <row r="257" spans="1:22">
      <c r="A257" s="5" t="str">
        <f>IF(K257&gt;0,COUNT($A$7:A256)+1,"")</f>
        <v/>
      </c>
      <c r="B257" s="34"/>
      <c r="C257" s="50"/>
      <c r="D257" s="512" t="str">
        <f>_xlfn.XLOOKUP(E257,'All Products'!D:D,'All Products'!C:C,FALSE)</f>
        <v>612-3645</v>
      </c>
      <c r="E257" s="106">
        <v>100029107</v>
      </c>
      <c r="F257" s="522" t="str">
        <f>_xlfn.XLOOKUP(E257,'All Products'!D:D,'All Products'!E:E,FALSE)</f>
        <v>3X3X2X2 DOUBLE WYE DWV</v>
      </c>
      <c r="G257" s="282">
        <f>_xlfn.XLOOKUP(E257,'All Products'!D:D,'All Products'!F:F,FALSE)</f>
        <v>10</v>
      </c>
      <c r="H257" s="533">
        <f>_xlfn.XLOOKUP(E257,'All Products'!D:D,'All Products'!G:G,FALSE)</f>
        <v>210</v>
      </c>
      <c r="I257" s="512">
        <f>_xlfn.XLOOKUP(E257,'All Products'!D:D,'All Products'!H:H,FALSE)</f>
        <v>364.92</v>
      </c>
      <c r="J257" s="216">
        <f>ROUNDUP(I257*Order_Quote!$L$2,2)</f>
        <v>1824.6</v>
      </c>
      <c r="K257" s="123"/>
      <c r="L257" s="79"/>
      <c r="M257" s="107">
        <f t="shared" si="5"/>
        <v>0</v>
      </c>
      <c r="O257" s="525" t="str">
        <f>_xlfn.XLOOKUP(E257,'All Products'!D:D,'All Products'!I:I,FALSE)</f>
        <v>In Stock</v>
      </c>
      <c r="P257" s="525" t="str">
        <f>_xlfn.XLOOKUP(E257,'All Products'!D:D,'All Products'!J:J,FALSE)</f>
        <v>Manufactured</v>
      </c>
      <c r="Q257" s="525" t="str">
        <f>_xlfn.XLOOKUP(F257,'All Products'!E:E,'All Products'!K:K,FALSE)</f>
        <v>812361013137</v>
      </c>
      <c r="R257" s="525" t="str">
        <f>_xlfn.XLOOKUP(E257,'All Products'!D:D,'All Products'!L:L,FALSE)</f>
        <v>-</v>
      </c>
      <c r="S257" s="525" t="str">
        <f>_xlfn.XLOOKUP(E257,'All Products'!D:D,'All Products'!M:M,FALSE)</f>
        <v>812361013144</v>
      </c>
      <c r="T257" s="530">
        <f>_xlfn.XLOOKUP(E257,'All Products'!D:D,'All Products'!N:N,FALSE)</f>
        <v>1.5289999999999999</v>
      </c>
      <c r="U257" s="530">
        <f>_xlfn.XLOOKUP(E257,'All Products'!D:D,'All Products'!P:P,FALSE)</f>
        <v>15.29</v>
      </c>
      <c r="V257" s="530">
        <f>_xlfn.XLOOKUP(E257,'All Products'!D:D,'All Products'!Q:Q,FALSE)</f>
        <v>1.8803145838984718</v>
      </c>
    </row>
    <row r="258" spans="1:22">
      <c r="A258" s="5" t="str">
        <f>IF(K258&gt;0,COUNT($A$7:A257)+1,"")</f>
        <v/>
      </c>
      <c r="B258" s="34"/>
      <c r="C258" s="50"/>
      <c r="D258" s="512" t="str">
        <f>_xlfn.XLOOKUP(E258,'All Products'!D:D,'All Products'!C:C,FALSE)</f>
        <v>612-3646</v>
      </c>
      <c r="E258" s="106">
        <v>300005702</v>
      </c>
      <c r="F258" s="522" t="str">
        <f>_xlfn.XLOOKUP(E258,'All Products'!D:D,'All Products'!E:E,FALSE)</f>
        <v>4X4X2X2 DOUBLE WYE DWV</v>
      </c>
      <c r="G258" s="282">
        <f>_xlfn.XLOOKUP(E258,'All Products'!D:D,'All Products'!F:F,FALSE)</f>
        <v>5</v>
      </c>
      <c r="H258" s="533">
        <f>_xlfn.XLOOKUP(E258,'All Products'!D:D,'All Products'!G:G,FALSE)</f>
        <v>150</v>
      </c>
      <c r="I258" s="512">
        <f>_xlfn.XLOOKUP(E258,'All Products'!D:D,'All Products'!H:H,FALSE)</f>
        <v>1579.5</v>
      </c>
      <c r="J258" s="216">
        <f>ROUNDUP(I258*Order_Quote!$L$2,2)</f>
        <v>7897.5</v>
      </c>
      <c r="K258" s="123"/>
      <c r="L258" s="79"/>
      <c r="M258" s="107">
        <f t="shared" si="5"/>
        <v>0</v>
      </c>
      <c r="O258" s="525" t="str">
        <f>_xlfn.XLOOKUP(E258,'All Products'!D:D,'All Products'!I:I,FALSE)</f>
        <v>Within 6 Weeks</v>
      </c>
      <c r="P258" s="525" t="str">
        <f>_xlfn.XLOOKUP(E258,'All Products'!D:D,'All Products'!J:J,FALSE)</f>
        <v>Sourced</v>
      </c>
      <c r="Q258" s="525" t="str">
        <f>_xlfn.XLOOKUP(F258,'All Products'!E:E,'All Products'!K:K,FALSE)</f>
        <v>812361013151</v>
      </c>
      <c r="R258" s="525" t="str">
        <f>_xlfn.XLOOKUP(E258,'All Products'!D:D,'All Products'!L:L,FALSE)</f>
        <v>-</v>
      </c>
      <c r="S258" s="525">
        <f>_xlfn.XLOOKUP(E258,'All Products'!D:D,'All Products'!M:M,FALSE)</f>
        <v>0</v>
      </c>
      <c r="T258" s="530">
        <f>_xlfn.XLOOKUP(E258,'All Products'!D:D,'All Products'!N:N,FALSE)</f>
        <v>1.71</v>
      </c>
      <c r="U258" s="530">
        <f>_xlfn.XLOOKUP(E258,'All Products'!D:D,'All Products'!P:P,FALSE)</f>
        <v>8.5500000000000007</v>
      </c>
      <c r="V258" s="530" t="str">
        <f>_xlfn.XLOOKUP(E258,'All Products'!D:D,'All Products'!Q:Q,FALSE)</f>
        <v>-</v>
      </c>
    </row>
    <row r="259" spans="1:22">
      <c r="A259" s="5" t="str">
        <f>IF(K259&gt;0,COUNT($A$7:A258)+1,"")</f>
        <v/>
      </c>
      <c r="B259" s="23"/>
      <c r="C259" s="51"/>
      <c r="D259" s="512" t="str">
        <f>_xlfn.XLOOKUP(E259,'All Products'!D:D,'All Products'!C:C,FALSE)</f>
        <v>612-3647</v>
      </c>
      <c r="E259" s="106">
        <v>100029109</v>
      </c>
      <c r="F259" s="522" t="str">
        <f>_xlfn.XLOOKUP(E259,'All Products'!D:D,'All Products'!E:E,FALSE)</f>
        <v>4X4X3X3 DOUBLE WYE DWV</v>
      </c>
      <c r="G259" s="282">
        <f>_xlfn.XLOOKUP(E259,'All Products'!D:D,'All Products'!F:F,FALSE)</f>
        <v>5</v>
      </c>
      <c r="H259" s="533">
        <f>_xlfn.XLOOKUP(E259,'All Products'!D:D,'All Products'!G:G,FALSE)</f>
        <v>90</v>
      </c>
      <c r="I259" s="512">
        <f>_xlfn.XLOOKUP(E259,'All Products'!D:D,'All Products'!H:H,FALSE)</f>
        <v>786.55</v>
      </c>
      <c r="J259" s="216">
        <f>ROUNDUP(I259*Order_Quote!$L$2,2)</f>
        <v>3932.75</v>
      </c>
      <c r="K259" s="123"/>
      <c r="L259" s="79"/>
      <c r="M259" s="107">
        <f t="shared" si="5"/>
        <v>0</v>
      </c>
      <c r="O259" s="525" t="str">
        <f>_xlfn.XLOOKUP(E259,'All Products'!D:D,'All Products'!I:I,FALSE)</f>
        <v>In Stock</v>
      </c>
      <c r="P259" s="525" t="str">
        <f>_xlfn.XLOOKUP(E259,'All Products'!D:D,'All Products'!J:J,FALSE)</f>
        <v>Manufactured</v>
      </c>
      <c r="Q259" s="525" t="str">
        <f>_xlfn.XLOOKUP(F259,'All Products'!E:E,'All Products'!K:K,FALSE)</f>
        <v>812361013168</v>
      </c>
      <c r="R259" s="525" t="str">
        <f>_xlfn.XLOOKUP(E259,'All Products'!D:D,'All Products'!L:L,FALSE)</f>
        <v>-</v>
      </c>
      <c r="S259" s="525" t="str">
        <f>_xlfn.XLOOKUP(E259,'All Products'!D:D,'All Products'!M:M,FALSE)</f>
        <v>812361019108</v>
      </c>
      <c r="T259" s="530">
        <f>_xlfn.XLOOKUP(E259,'All Products'!D:D,'All Products'!N:N,FALSE)</f>
        <v>3.2930000000000001</v>
      </c>
      <c r="U259" s="530">
        <f>_xlfn.XLOOKUP(E259,'All Products'!D:D,'All Products'!P:P,FALSE)</f>
        <v>16.465</v>
      </c>
      <c r="V259" s="530">
        <f>_xlfn.XLOOKUP(E259,'All Products'!D:D,'All Products'!Q:Q,FALSE)</f>
        <v>2.7986077527791204</v>
      </c>
    </row>
    <row r="260" spans="1:22">
      <c r="A260" s="5" t="str">
        <f>IF(K260&gt;0,COUNT($A$7:A259)+1,"")</f>
        <v/>
      </c>
      <c r="B260" s="26"/>
      <c r="C260" s="49"/>
      <c r="D260" s="512" t="str">
        <f>_xlfn.XLOOKUP(E260,'All Products'!D:D,'All Products'!C:C,FALSE)</f>
        <v>700-3653</v>
      </c>
      <c r="E260" s="106">
        <v>100029110</v>
      </c>
      <c r="F260" s="522" t="str">
        <f>_xlfn.XLOOKUP(E260,'All Products'!D:D,'All Products'!E:E,FALSE)</f>
        <v>1-1/2 RETURN BEND DWV</v>
      </c>
      <c r="G260" s="282">
        <f>_xlfn.XLOOKUP(E260,'All Products'!D:D,'All Products'!F:F,FALSE)</f>
        <v>20</v>
      </c>
      <c r="H260" s="533">
        <f>_xlfn.XLOOKUP(E260,'All Products'!D:D,'All Products'!G:G,FALSE)</f>
        <v>1260</v>
      </c>
      <c r="I260" s="512">
        <f>_xlfn.XLOOKUP(E260,'All Products'!D:D,'All Products'!H:H,FALSE)</f>
        <v>91.52</v>
      </c>
      <c r="J260" s="216">
        <f>ROUNDUP(I260*Order_Quote!$L$2,2)</f>
        <v>457.6</v>
      </c>
      <c r="K260" s="123"/>
      <c r="L260" s="79"/>
      <c r="M260" s="107">
        <f t="shared" si="5"/>
        <v>0</v>
      </c>
      <c r="O260" s="525" t="str">
        <f>_xlfn.XLOOKUP(E260,'All Products'!D:D,'All Products'!I:I,FALSE)</f>
        <v>In Stock</v>
      </c>
      <c r="P260" s="525" t="str">
        <f>_xlfn.XLOOKUP(E260,'All Products'!D:D,'All Products'!J:J,FALSE)</f>
        <v>Manufactured</v>
      </c>
      <c r="Q260" s="525" t="str">
        <f>_xlfn.XLOOKUP(F260,'All Products'!E:E,'All Products'!K:K,FALSE)</f>
        <v>812361010013</v>
      </c>
      <c r="R260" s="525" t="str">
        <f>_xlfn.XLOOKUP(E260,'All Products'!D:D,'All Products'!L:L,FALSE)</f>
        <v>-</v>
      </c>
      <c r="S260" s="525" t="str">
        <f>_xlfn.XLOOKUP(E260,'All Products'!D:D,'All Products'!M:M,FALSE)</f>
        <v>812361010020</v>
      </c>
      <c r="T260" s="530">
        <f>_xlfn.XLOOKUP(E260,'All Products'!D:D,'All Products'!N:N,FALSE)</f>
        <v>0.378</v>
      </c>
      <c r="U260" s="530">
        <f>_xlfn.XLOOKUP(E260,'All Products'!D:D,'All Products'!P:P,FALSE)</f>
        <v>7.5600000000000005</v>
      </c>
      <c r="V260" s="530">
        <f>_xlfn.XLOOKUP(E260,'All Products'!D:D,'All Products'!Q:Q,FALSE)</f>
        <v>0.66940792428507967</v>
      </c>
    </row>
    <row r="261" spans="1:22">
      <c r="A261" s="5" t="str">
        <f>IF(K261&gt;0,COUNT($A$7:A260)+1,"")</f>
        <v/>
      </c>
      <c r="B261" s="34"/>
      <c r="C261" s="50"/>
      <c r="D261" s="512" t="str">
        <f>_xlfn.XLOOKUP(E261,'All Products'!D:D,'All Products'!C:C,FALSE)</f>
        <v>700-3654</v>
      </c>
      <c r="E261" s="106">
        <v>100029111</v>
      </c>
      <c r="F261" s="522" t="str">
        <f>_xlfn.XLOOKUP(E261,'All Products'!D:D,'All Products'!E:E,FALSE)</f>
        <v>2 RETURN BEND DWV</v>
      </c>
      <c r="G261" s="282">
        <f>_xlfn.XLOOKUP(E261,'All Products'!D:D,'All Products'!F:F,FALSE)</f>
        <v>35</v>
      </c>
      <c r="H261" s="533">
        <f>_xlfn.XLOOKUP(E261,'All Products'!D:D,'All Products'!G:G,FALSE)</f>
        <v>840</v>
      </c>
      <c r="I261" s="512">
        <f>_xlfn.XLOOKUP(E261,'All Products'!D:D,'All Products'!H:H,FALSE)</f>
        <v>174.03</v>
      </c>
      <c r="J261" s="216">
        <f>ROUNDUP(I261*Order_Quote!$L$2,2)</f>
        <v>870.15</v>
      </c>
      <c r="K261" s="123"/>
      <c r="L261" s="79"/>
      <c r="M261" s="107">
        <f t="shared" si="5"/>
        <v>0</v>
      </c>
      <c r="O261" s="525" t="str">
        <f>_xlfn.XLOOKUP(E261,'All Products'!D:D,'All Products'!I:I,FALSE)</f>
        <v>In Stock</v>
      </c>
      <c r="P261" s="525" t="str">
        <f>_xlfn.XLOOKUP(E261,'All Products'!D:D,'All Products'!J:J,FALSE)</f>
        <v>Manufactured</v>
      </c>
      <c r="Q261" s="525" t="str">
        <f>_xlfn.XLOOKUP(F261,'All Products'!E:E,'All Products'!K:K,FALSE)</f>
        <v>812361010037</v>
      </c>
      <c r="R261" s="525" t="str">
        <f>_xlfn.XLOOKUP(E261,'All Products'!D:D,'All Products'!L:L,FALSE)</f>
        <v>-</v>
      </c>
      <c r="S261" s="525" t="str">
        <f>_xlfn.XLOOKUP(E261,'All Products'!D:D,'All Products'!M:M,FALSE)</f>
        <v>812361010044</v>
      </c>
      <c r="T261" s="530">
        <f>_xlfn.XLOOKUP(E261,'All Products'!D:D,'All Products'!N:N,FALSE)</f>
        <v>0.66500000000000004</v>
      </c>
      <c r="U261" s="530">
        <f>_xlfn.XLOOKUP(E261,'All Products'!D:D,'All Products'!P:P,FALSE)</f>
        <v>23.275000000000002</v>
      </c>
      <c r="V261" s="530">
        <f>_xlfn.XLOOKUP(E261,'All Products'!D:D,'All Products'!Q:Q,FALSE)</f>
        <v>1.8803145838984718</v>
      </c>
    </row>
    <row r="262" spans="1:22">
      <c r="A262" s="5" t="str">
        <f>IF(K262&gt;0,COUNT($A$7:A261)+1,"")</f>
        <v/>
      </c>
      <c r="B262" s="34"/>
      <c r="C262" s="50"/>
      <c r="D262" s="512" t="str">
        <f>_xlfn.XLOOKUP(E262,'All Products'!D:D,'All Products'!C:C,FALSE)</f>
        <v>700-3655</v>
      </c>
      <c r="E262" s="106">
        <v>100029112</v>
      </c>
      <c r="F262" s="522" t="str">
        <f>_xlfn.XLOOKUP(E262,'All Products'!D:D,'All Products'!E:E,FALSE)</f>
        <v>3 RETURN BEND DWV</v>
      </c>
      <c r="G262" s="282">
        <f>_xlfn.XLOOKUP(E262,'All Products'!D:D,'All Products'!F:F,FALSE)</f>
        <v>10</v>
      </c>
      <c r="H262" s="533">
        <f>_xlfn.XLOOKUP(E262,'All Products'!D:D,'All Products'!G:G,FALSE)</f>
        <v>240</v>
      </c>
      <c r="I262" s="512">
        <f>_xlfn.XLOOKUP(E262,'All Products'!D:D,'All Products'!H:H,FALSE)</f>
        <v>573.46</v>
      </c>
      <c r="J262" s="216">
        <f>ROUNDUP(I262*Order_Quote!$L$2,2)</f>
        <v>2867.3</v>
      </c>
      <c r="K262" s="123"/>
      <c r="L262" s="79"/>
      <c r="M262" s="107">
        <f t="shared" si="5"/>
        <v>0</v>
      </c>
      <c r="O262" s="525" t="str">
        <f>_xlfn.XLOOKUP(E262,'All Products'!D:D,'All Products'!I:I,FALSE)</f>
        <v>Within 3 Weeks</v>
      </c>
      <c r="P262" s="525" t="str">
        <f>_xlfn.XLOOKUP(E262,'All Products'!D:D,'All Products'!J:J,FALSE)</f>
        <v>Manufactured</v>
      </c>
      <c r="Q262" s="525" t="str">
        <f>_xlfn.XLOOKUP(F262,'All Products'!E:E,'All Products'!K:K,FALSE)</f>
        <v>812361010051</v>
      </c>
      <c r="R262" s="525" t="str">
        <f>_xlfn.XLOOKUP(E262,'All Products'!D:D,'All Products'!L:L,FALSE)</f>
        <v>-</v>
      </c>
      <c r="S262" s="525" t="str">
        <f>_xlfn.XLOOKUP(E262,'All Products'!D:D,'All Products'!M:M,FALSE)</f>
        <v>812361010068</v>
      </c>
      <c r="T262" s="530">
        <f>_xlfn.XLOOKUP(E262,'All Products'!D:D,'All Products'!N:N,FALSE)</f>
        <v>1.9530000000000001</v>
      </c>
      <c r="U262" s="530">
        <f>_xlfn.XLOOKUP(E262,'All Products'!D:D,'All Products'!P:P,FALSE)</f>
        <v>19.53</v>
      </c>
      <c r="V262" s="530">
        <f>_xlfn.XLOOKUP(E262,'All Products'!D:D,'All Products'!Q:Q,FALSE)</f>
        <v>1.8803145838984718</v>
      </c>
    </row>
    <row r="263" spans="1:22">
      <c r="A263" s="5" t="str">
        <f>IF(K263&gt;0,COUNT($A$7:A262)+1,"")</f>
        <v/>
      </c>
      <c r="B263" s="23"/>
      <c r="C263" s="51"/>
      <c r="D263" s="512" t="str">
        <f>_xlfn.XLOOKUP(E263,'All Products'!D:D,'All Products'!C:C,FALSE)</f>
        <v>700-3656</v>
      </c>
      <c r="E263" s="106">
        <v>100029113</v>
      </c>
      <c r="F263" s="522" t="str">
        <f>_xlfn.XLOOKUP(E263,'All Products'!D:D,'All Products'!E:E,FALSE)</f>
        <v>4 RETURN BEND DWV</v>
      </c>
      <c r="G263" s="282">
        <f>_xlfn.XLOOKUP(E263,'All Products'!D:D,'All Products'!F:F,FALSE)</f>
        <v>5</v>
      </c>
      <c r="H263" s="533">
        <f>_xlfn.XLOOKUP(E263,'All Products'!D:D,'All Products'!G:G,FALSE)</f>
        <v>120</v>
      </c>
      <c r="I263" s="512">
        <f>_xlfn.XLOOKUP(E263,'All Products'!D:D,'All Products'!H:H,FALSE)</f>
        <v>886.35</v>
      </c>
      <c r="J263" s="216">
        <f>ROUNDUP(I263*Order_Quote!$L$2,2)</f>
        <v>4431.75</v>
      </c>
      <c r="K263" s="123"/>
      <c r="L263" s="79"/>
      <c r="M263" s="107">
        <f t="shared" si="5"/>
        <v>0</v>
      </c>
      <c r="O263" s="525" t="str">
        <f>_xlfn.XLOOKUP(E263,'All Products'!D:D,'All Products'!I:I,FALSE)</f>
        <v>Within 3 Weeks</v>
      </c>
      <c r="P263" s="525" t="str">
        <f>_xlfn.XLOOKUP(E263,'All Products'!D:D,'All Products'!J:J,FALSE)</f>
        <v>Manufactured</v>
      </c>
      <c r="Q263" s="525" t="str">
        <f>_xlfn.XLOOKUP(F263,'All Products'!E:E,'All Products'!K:K,FALSE)</f>
        <v>812361010075</v>
      </c>
      <c r="R263" s="525" t="str">
        <f>_xlfn.XLOOKUP(E263,'All Products'!D:D,'All Products'!L:L,FALSE)</f>
        <v>-</v>
      </c>
      <c r="S263" s="525" t="str">
        <f>_xlfn.XLOOKUP(E263,'All Products'!D:D,'All Products'!M:M,FALSE)</f>
        <v>812361010082</v>
      </c>
      <c r="T263" s="530">
        <f>_xlfn.XLOOKUP(E263,'All Products'!D:D,'All Products'!N:N,FALSE)</f>
        <v>3.4220000000000002</v>
      </c>
      <c r="U263" s="530">
        <f>_xlfn.XLOOKUP(E263,'All Products'!D:D,'All Products'!P:P,FALSE)</f>
        <v>17.11</v>
      </c>
      <c r="V263" s="530">
        <f>_xlfn.XLOOKUP(E263,'All Products'!D:D,'All Products'!Q:Q,FALSE)</f>
        <v>1.8803145838984718</v>
      </c>
    </row>
    <row r="264" spans="1:22">
      <c r="A264" s="5" t="str">
        <f>IF(K264&gt;0,COUNT($A$7:A263)+1,"")</f>
        <v/>
      </c>
      <c r="B264" s="26"/>
      <c r="C264" s="49"/>
      <c r="D264" s="512" t="str">
        <f>_xlfn.XLOOKUP(E264,'All Products'!D:D,'All Products'!C:C,FALSE)</f>
        <v>706-X-3668</v>
      </c>
      <c r="E264" s="106">
        <v>100029114</v>
      </c>
      <c r="F264" s="522" t="str">
        <f>_xlfn.XLOOKUP(E264,'All Products'!D:D,'All Products'!E:E,FALSE)</f>
        <v>1-1/2 PTRAP DWV</v>
      </c>
      <c r="G264" s="282">
        <f>_xlfn.XLOOKUP(E264,'All Products'!D:D,'All Products'!F:F,FALSE)</f>
        <v>25</v>
      </c>
      <c r="H264" s="533">
        <f>_xlfn.XLOOKUP(E264,'All Products'!D:D,'All Products'!G:G,FALSE)</f>
        <v>1125</v>
      </c>
      <c r="I264" s="512">
        <f>_xlfn.XLOOKUP(E264,'All Products'!D:D,'All Products'!H:H,FALSE)</f>
        <v>107.07</v>
      </c>
      <c r="J264" s="216">
        <f>ROUNDUP(I264*Order_Quote!$L$2,2)</f>
        <v>535.35</v>
      </c>
      <c r="K264" s="123"/>
      <c r="L264" s="79"/>
      <c r="M264" s="107">
        <f t="shared" si="5"/>
        <v>0</v>
      </c>
      <c r="O264" s="525" t="str">
        <f>_xlfn.XLOOKUP(E264,'All Products'!D:D,'All Products'!I:I,FALSE)</f>
        <v>In Stock</v>
      </c>
      <c r="P264" s="525" t="str">
        <f>_xlfn.XLOOKUP(E264,'All Products'!D:D,'All Products'!J:J,FALSE)</f>
        <v>Manufactured</v>
      </c>
      <c r="Q264" s="525" t="str">
        <f>_xlfn.XLOOKUP(F264,'All Products'!E:E,'All Products'!K:K,FALSE)</f>
        <v>810673014712</v>
      </c>
      <c r="R264" s="525" t="str">
        <f>_xlfn.XLOOKUP(E264,'All Products'!D:D,'All Products'!L:L,FALSE)</f>
        <v>-</v>
      </c>
      <c r="S264" s="525" t="str">
        <f>_xlfn.XLOOKUP(E264,'All Products'!D:D,'All Products'!M:M,FALSE)</f>
        <v>10810673014719</v>
      </c>
      <c r="T264" s="530">
        <f>_xlfn.XLOOKUP(E264,'All Products'!D:D,'All Products'!N:N,FALSE)</f>
        <v>0.54200000000000004</v>
      </c>
      <c r="U264" s="530">
        <f>_xlfn.XLOOKUP(E264,'All Products'!D:D,'All Products'!P:P,FALSE)</f>
        <v>13.55</v>
      </c>
      <c r="V264" s="530">
        <f>_xlfn.XLOOKUP(E264,'All Products'!D:D,'All Products'!Q:Q,FALSE)</f>
        <v>0.98955954024750914</v>
      </c>
    </row>
    <row r="265" spans="1:22">
      <c r="A265" s="5" t="str">
        <f>IF(K265&gt;0,COUNT($A$7:A264)+1,"")</f>
        <v/>
      </c>
      <c r="B265" s="34"/>
      <c r="C265" s="50"/>
      <c r="D265" s="512" t="str">
        <f>_xlfn.XLOOKUP(E265,'All Products'!D:D,'All Products'!C:C,FALSE)</f>
        <v>706-X-3669</v>
      </c>
      <c r="E265" s="106">
        <v>100029115</v>
      </c>
      <c r="F265" s="522" t="str">
        <f>_xlfn.XLOOKUP(E265,'All Products'!D:D,'All Products'!E:E,FALSE)</f>
        <v>2 PTRAP DWV</v>
      </c>
      <c r="G265" s="282">
        <f>_xlfn.XLOOKUP(E265,'All Products'!D:D,'All Products'!F:F,FALSE)</f>
        <v>20</v>
      </c>
      <c r="H265" s="533">
        <f>_xlfn.XLOOKUP(E265,'All Products'!D:D,'All Products'!G:G,FALSE)</f>
        <v>640</v>
      </c>
      <c r="I265" s="512">
        <f>_xlfn.XLOOKUP(E265,'All Products'!D:D,'All Products'!H:H,FALSE)</f>
        <v>130.25</v>
      </c>
      <c r="J265" s="216">
        <f>ROUNDUP(I265*Order_Quote!$L$2,2)</f>
        <v>651.25</v>
      </c>
      <c r="K265" s="123"/>
      <c r="L265" s="79"/>
      <c r="M265" s="107">
        <f t="shared" si="5"/>
        <v>0</v>
      </c>
      <c r="O265" s="525" t="str">
        <f>_xlfn.XLOOKUP(E265,'All Products'!D:D,'All Products'!I:I,FALSE)</f>
        <v>In Stock</v>
      </c>
      <c r="P265" s="525" t="str">
        <f>_xlfn.XLOOKUP(E265,'All Products'!D:D,'All Products'!J:J,FALSE)</f>
        <v>Manufactured</v>
      </c>
      <c r="Q265" s="525" t="str">
        <f>_xlfn.XLOOKUP(F265,'All Products'!E:E,'All Products'!K:K,FALSE)</f>
        <v>810673014736</v>
      </c>
      <c r="R265" s="525" t="str">
        <f>_xlfn.XLOOKUP(E265,'All Products'!D:D,'All Products'!L:L,FALSE)</f>
        <v>-</v>
      </c>
      <c r="S265" s="525" t="str">
        <f>_xlfn.XLOOKUP(E265,'All Products'!D:D,'All Products'!M:M,FALSE)</f>
        <v>10810673014733</v>
      </c>
      <c r="T265" s="530">
        <f>_xlfn.XLOOKUP(E265,'All Products'!D:D,'All Products'!N:N,FALSE)</f>
        <v>0.98299999999999998</v>
      </c>
      <c r="U265" s="530">
        <f>_xlfn.XLOOKUP(E265,'All Products'!D:D,'All Products'!P:P,FALSE)</f>
        <v>19.66</v>
      </c>
      <c r="V265" s="530">
        <f>_xlfn.XLOOKUP(E265,'All Products'!D:D,'All Products'!Q:Q,FALSE)</f>
        <v>1.3788503419060438</v>
      </c>
    </row>
    <row r="266" spans="1:22">
      <c r="A266" s="5" t="str">
        <f>IF(K266&gt;0,COUNT($A$7:A265)+1,"")</f>
        <v/>
      </c>
      <c r="B266" s="34"/>
      <c r="C266" s="50"/>
      <c r="D266" s="512" t="str">
        <f>_xlfn.XLOOKUP(E266,'All Products'!D:D,'All Products'!C:C,FALSE)</f>
        <v>706-X-3670</v>
      </c>
      <c r="E266" s="106">
        <v>100029116</v>
      </c>
      <c r="F266" s="522" t="str">
        <f>_xlfn.XLOOKUP(E266,'All Products'!D:D,'All Products'!E:E,FALSE)</f>
        <v>3 PTRAP DWV</v>
      </c>
      <c r="G266" s="282">
        <f>_xlfn.XLOOKUP(E266,'All Products'!D:D,'All Products'!F:F,FALSE)</f>
        <v>10</v>
      </c>
      <c r="H266" s="533">
        <f>_xlfn.XLOOKUP(E266,'All Products'!D:D,'All Products'!G:G,FALSE)</f>
        <v>180</v>
      </c>
      <c r="I266" s="512">
        <f>_xlfn.XLOOKUP(E266,'All Products'!D:D,'All Products'!H:H,FALSE)</f>
        <v>440.33</v>
      </c>
      <c r="J266" s="216">
        <f>ROUNDUP(I266*Order_Quote!$L$2,2)</f>
        <v>2201.65</v>
      </c>
      <c r="K266" s="123"/>
      <c r="L266" s="79"/>
      <c r="M266" s="107">
        <f t="shared" si="5"/>
        <v>0</v>
      </c>
      <c r="O266" s="525" t="str">
        <f>_xlfn.XLOOKUP(E266,'All Products'!D:D,'All Products'!I:I,FALSE)</f>
        <v>In Stock</v>
      </c>
      <c r="P266" s="525" t="str">
        <f>_xlfn.XLOOKUP(E266,'All Products'!D:D,'All Products'!J:J,FALSE)</f>
        <v>Manufactured</v>
      </c>
      <c r="Q266" s="525" t="str">
        <f>_xlfn.XLOOKUP(F266,'All Products'!E:E,'All Products'!K:K,FALSE)</f>
        <v>810673014750</v>
      </c>
      <c r="R266" s="525" t="str">
        <f>_xlfn.XLOOKUP(E266,'All Products'!D:D,'All Products'!L:L,FALSE)</f>
        <v>-</v>
      </c>
      <c r="S266" s="525" t="str">
        <f>_xlfn.XLOOKUP(E266,'All Products'!D:D,'All Products'!M:M,FALSE)</f>
        <v>810673014767</v>
      </c>
      <c r="T266" s="530">
        <f>_xlfn.XLOOKUP(E266,'All Products'!D:D,'All Products'!N:N,FALSE)</f>
        <v>2.782</v>
      </c>
      <c r="U266" s="530">
        <f>_xlfn.XLOOKUP(E266,'All Products'!D:D,'All Products'!P:P,FALSE)</f>
        <v>27.82</v>
      </c>
      <c r="V266" s="530">
        <f>_xlfn.XLOOKUP(E266,'All Products'!D:D,'All Products'!Q:Q,FALSE)</f>
        <v>2.361325291407383</v>
      </c>
    </row>
    <row r="267" spans="1:22">
      <c r="A267" s="5" t="str">
        <f>IF(K267&gt;0,COUNT($A$7:A266)+1,"")</f>
        <v/>
      </c>
      <c r="B267" s="23"/>
      <c r="C267" s="51"/>
      <c r="D267" s="512" t="str">
        <f>_xlfn.XLOOKUP(E267,'All Products'!D:D,'All Products'!C:C,FALSE)</f>
        <v>706-X-3671</v>
      </c>
      <c r="E267" s="106">
        <v>100029117</v>
      </c>
      <c r="F267" s="522" t="str">
        <f>_xlfn.XLOOKUP(E267,'All Products'!D:D,'All Products'!E:E,FALSE)</f>
        <v>4 PTRAP DWV</v>
      </c>
      <c r="G267" s="282">
        <f>_xlfn.XLOOKUP(E267,'All Products'!D:D,'All Products'!F:F,FALSE)</f>
        <v>4</v>
      </c>
      <c r="H267" s="533">
        <f>_xlfn.XLOOKUP(E267,'All Products'!D:D,'All Products'!G:G,FALSE)</f>
        <v>96</v>
      </c>
      <c r="I267" s="512">
        <f>_xlfn.XLOOKUP(E267,'All Products'!D:D,'All Products'!H:H,FALSE)</f>
        <v>1060.47</v>
      </c>
      <c r="J267" s="216">
        <f>ROUNDUP(I267*Order_Quote!$L$2,2)</f>
        <v>5302.35</v>
      </c>
      <c r="K267" s="123"/>
      <c r="L267" s="79"/>
      <c r="M267" s="107">
        <f t="shared" si="5"/>
        <v>0</v>
      </c>
      <c r="O267" s="525" t="str">
        <f>_xlfn.XLOOKUP(E267,'All Products'!D:D,'All Products'!I:I,FALSE)</f>
        <v>In Stock</v>
      </c>
      <c r="P267" s="525" t="str">
        <f>_xlfn.XLOOKUP(E267,'All Products'!D:D,'All Products'!J:J,FALSE)</f>
        <v>Manufactured</v>
      </c>
      <c r="Q267" s="525" t="str">
        <f>_xlfn.XLOOKUP(F267,'All Products'!E:E,'All Products'!K:K,FALSE)</f>
        <v>810673014774</v>
      </c>
      <c r="R267" s="525" t="str">
        <f>_xlfn.XLOOKUP(E267,'All Products'!D:D,'All Products'!L:L,FALSE)</f>
        <v>-</v>
      </c>
      <c r="S267" s="525" t="str">
        <f>_xlfn.XLOOKUP(E267,'All Products'!D:D,'All Products'!M:M,FALSE)</f>
        <v>810673014781</v>
      </c>
      <c r="T267" s="530">
        <f>_xlfn.XLOOKUP(E267,'All Products'!D:D,'All Products'!N:N,FALSE)</f>
        <v>5.0449999999999999</v>
      </c>
      <c r="U267" s="530">
        <f>_xlfn.XLOOKUP(E267,'All Products'!D:D,'All Products'!P:P,FALSE)</f>
        <v>20.18</v>
      </c>
      <c r="V267" s="530">
        <f>_xlfn.XLOOKUP(E267,'All Products'!D:D,'All Products'!Q:Q,FALSE)</f>
        <v>1.8803145838984718</v>
      </c>
    </row>
    <row r="268" spans="1:22" s="17" customFormat="1" ht="45.75" customHeight="1">
      <c r="A268" s="5" t="str">
        <f>IF(K268&gt;0,COUNT($A$7:A267)+1,"")</f>
        <v/>
      </c>
      <c r="B268" s="202"/>
      <c r="C268" s="203"/>
      <c r="D268" s="512" t="str">
        <f>_xlfn.XLOOKUP(E268,'All Products'!D:D,'All Products'!C:C,FALSE)</f>
        <v>707-X-3676</v>
      </c>
      <c r="E268" s="106">
        <v>100029118</v>
      </c>
      <c r="F268" s="522" t="str">
        <f>_xlfn.XLOOKUP(E268,'All Products'!D:D,'All Products'!E:E,FALSE)</f>
        <v>1-1/2 PTRAP W/CO HXH DWV</v>
      </c>
      <c r="G268" s="282">
        <f>_xlfn.XLOOKUP(E268,'All Products'!D:D,'All Products'!F:F,FALSE)</f>
        <v>50</v>
      </c>
      <c r="H268" s="533">
        <f>_xlfn.XLOOKUP(E268,'All Products'!D:D,'All Products'!G:G,FALSE)</f>
        <v>900</v>
      </c>
      <c r="I268" s="512">
        <f>_xlfn.XLOOKUP(E268,'All Products'!D:D,'All Products'!H:H,FALSE)</f>
        <v>167.29</v>
      </c>
      <c r="J268" s="216">
        <f>ROUNDUP(I268*Order_Quote!$L$2,2)</f>
        <v>836.45</v>
      </c>
      <c r="K268" s="123"/>
      <c r="L268" s="79"/>
      <c r="M268" s="107">
        <f t="shared" si="5"/>
        <v>0</v>
      </c>
      <c r="O268" s="525" t="str">
        <f>_xlfn.XLOOKUP(E268,'All Products'!D:D,'All Products'!I:I,FALSE)</f>
        <v>Within 3 Weeks</v>
      </c>
      <c r="P268" s="525" t="str">
        <f>_xlfn.XLOOKUP(E268,'All Products'!D:D,'All Products'!J:J,FALSE)</f>
        <v>Manufactured</v>
      </c>
      <c r="Q268" s="525" t="str">
        <f>_xlfn.XLOOKUP(F268,'All Products'!E:E,'All Products'!K:K,FALSE)</f>
        <v>812361013342</v>
      </c>
      <c r="R268" s="525" t="str">
        <f>_xlfn.XLOOKUP(E268,'All Products'!D:D,'All Products'!L:L,FALSE)</f>
        <v>-</v>
      </c>
      <c r="S268" s="525" t="str">
        <f>_xlfn.XLOOKUP(E268,'All Products'!D:D,'All Products'!M:M,FALSE)</f>
        <v>10812361013349</v>
      </c>
      <c r="T268" s="530">
        <f>_xlfn.XLOOKUP(E268,'All Products'!D:D,'All Products'!N:N,FALSE)</f>
        <v>0.63</v>
      </c>
      <c r="U268" s="530">
        <f>_xlfn.XLOOKUP(E268,'All Products'!D:D,'All Products'!P:P,FALSE)</f>
        <v>31.5</v>
      </c>
      <c r="V268" s="530">
        <f>_xlfn.XLOOKUP(E268,'All Products'!D:D,'All Products'!Q:Q,FALSE)</f>
        <v>2.361325291407383</v>
      </c>
    </row>
    <row r="269" spans="1:22" s="17" customFormat="1" ht="29.25" customHeight="1">
      <c r="A269" s="5" t="str">
        <f>IF(K269&gt;0,COUNT($A$7:A268)+1,"")</f>
        <v/>
      </c>
      <c r="B269" s="110"/>
      <c r="C269" s="111"/>
      <c r="D269" s="512" t="str">
        <f>_xlfn.XLOOKUP(E269,'All Products'!D:D,'All Products'!C:C,FALSE)</f>
        <v>708-P-3681</v>
      </c>
      <c r="E269" s="106">
        <v>100029119</v>
      </c>
      <c r="F269" s="522" t="str">
        <f>_xlfn.XLOOKUP(E269,'All Products'!D:D,'All Products'!E:E,FALSE)</f>
        <v>1-1/2 PTRAP HXH W/PLSTC NUT DWV</v>
      </c>
      <c r="G269" s="282">
        <f>_xlfn.XLOOKUP(E269,'All Products'!D:D,'All Products'!F:F,FALSE)</f>
        <v>25</v>
      </c>
      <c r="H269" s="533">
        <f>_xlfn.XLOOKUP(E269,'All Products'!D:D,'All Products'!G:G,FALSE)</f>
        <v>800</v>
      </c>
      <c r="I269" s="512">
        <f>_xlfn.XLOOKUP(E269,'All Products'!D:D,'All Products'!H:H,FALSE)</f>
        <v>127.52</v>
      </c>
      <c r="J269" s="216">
        <f>ROUNDUP(I269*Order_Quote!$L$2,2)</f>
        <v>637.6</v>
      </c>
      <c r="K269" s="123"/>
      <c r="L269" s="79"/>
      <c r="M269" s="107">
        <f t="shared" si="5"/>
        <v>0</v>
      </c>
      <c r="O269" s="525" t="str">
        <f>_xlfn.XLOOKUP(E269,'All Products'!D:D,'All Products'!I:I,FALSE)</f>
        <v>In Stock</v>
      </c>
      <c r="P269" s="525" t="str">
        <f>_xlfn.XLOOKUP(E269,'All Products'!D:D,'All Products'!J:J,FALSE)</f>
        <v>Manufactured</v>
      </c>
      <c r="Q269" s="525" t="str">
        <f>_xlfn.XLOOKUP(F269,'All Products'!E:E,'All Products'!K:K,FALSE)</f>
        <v>812361013304</v>
      </c>
      <c r="R269" s="525" t="str">
        <f>_xlfn.XLOOKUP(E269,'All Products'!D:D,'All Products'!L:L,FALSE)</f>
        <v>-</v>
      </c>
      <c r="S269" s="525" t="str">
        <f>_xlfn.XLOOKUP(E269,'All Products'!D:D,'All Products'!M:M,FALSE)</f>
        <v>10812361013301</v>
      </c>
      <c r="T269" s="530">
        <f>_xlfn.XLOOKUP(E269,'All Products'!D:D,'All Products'!N:N,FALSE)</f>
        <v>0.63900000000000001</v>
      </c>
      <c r="U269" s="530">
        <f>_xlfn.XLOOKUP(E269,'All Products'!D:D,'All Products'!P:P,FALSE)</f>
        <v>15.975</v>
      </c>
      <c r="V269" s="530">
        <f>_xlfn.XLOOKUP(E269,'All Products'!D:D,'All Products'!Q:Q,FALSE)</f>
        <v>1.3788503419060438</v>
      </c>
    </row>
    <row r="270" spans="1:22" s="17" customFormat="1" ht="29.25" customHeight="1">
      <c r="A270" s="5" t="str">
        <f>IF(K270&gt;0,COUNT($A$7:A269)+1,"")</f>
        <v/>
      </c>
      <c r="B270" s="113"/>
      <c r="C270" s="114"/>
      <c r="D270" s="512" t="str">
        <f>_xlfn.XLOOKUP(E270,'All Products'!D:D,'All Products'!C:C,FALSE)</f>
        <v>708-P-3682</v>
      </c>
      <c r="E270" s="106">
        <v>100029120</v>
      </c>
      <c r="F270" s="522" t="str">
        <f>_xlfn.XLOOKUP(E270,'All Products'!D:D,'All Products'!E:E,FALSE)</f>
        <v>2 PTRAP HXH W/PLSTC NUT DWV</v>
      </c>
      <c r="G270" s="282">
        <f>_xlfn.XLOOKUP(E270,'All Products'!D:D,'All Products'!F:F,FALSE)</f>
        <v>20</v>
      </c>
      <c r="H270" s="533">
        <f>_xlfn.XLOOKUP(E270,'All Products'!D:D,'All Products'!G:G,FALSE)</f>
        <v>360</v>
      </c>
      <c r="I270" s="512">
        <f>_xlfn.XLOOKUP(E270,'All Products'!D:D,'All Products'!H:H,FALSE)</f>
        <v>293.86</v>
      </c>
      <c r="J270" s="216">
        <f>ROUNDUP(I270*Order_Quote!$L$2,2)</f>
        <v>1469.3</v>
      </c>
      <c r="K270" s="123"/>
      <c r="L270" s="79"/>
      <c r="M270" s="107">
        <f t="shared" si="5"/>
        <v>0</v>
      </c>
      <c r="O270" s="525" t="str">
        <f>_xlfn.XLOOKUP(E270,'All Products'!D:D,'All Products'!I:I,FALSE)</f>
        <v>Within 3 Weeks</v>
      </c>
      <c r="P270" s="525" t="str">
        <f>_xlfn.XLOOKUP(E270,'All Products'!D:D,'All Products'!J:J,FALSE)</f>
        <v>Manufactured</v>
      </c>
      <c r="Q270" s="525" t="str">
        <f>_xlfn.XLOOKUP(F270,'All Products'!E:E,'All Products'!K:K,FALSE)</f>
        <v>812361013328</v>
      </c>
      <c r="R270" s="525" t="str">
        <f>_xlfn.XLOOKUP(E270,'All Products'!D:D,'All Products'!L:L,FALSE)</f>
        <v>-</v>
      </c>
      <c r="S270" s="525" t="str">
        <f>_xlfn.XLOOKUP(E270,'All Products'!D:D,'All Products'!M:M,FALSE)</f>
        <v>10812361013325</v>
      </c>
      <c r="T270" s="530">
        <f>_xlfn.XLOOKUP(E270,'All Products'!D:D,'All Products'!N:N,FALSE)</f>
        <v>1.014</v>
      </c>
      <c r="U270" s="530">
        <f>_xlfn.XLOOKUP(E270,'All Products'!D:D,'All Products'!P:P,FALSE)</f>
        <v>20.28</v>
      </c>
      <c r="V270" s="530">
        <f>_xlfn.XLOOKUP(E270,'All Products'!D:D,'All Products'!Q:Q,FALSE)</f>
        <v>2.361325291407383</v>
      </c>
    </row>
    <row r="271" spans="1:22" s="17" customFormat="1" ht="56.25" customHeight="1">
      <c r="A271" s="5" t="str">
        <f>IF(K271&gt;0,COUNT($A$7:A270)+1,"")</f>
        <v/>
      </c>
      <c r="B271" s="202"/>
      <c r="C271" s="203"/>
      <c r="D271" s="512" t="str">
        <f>_xlfn.XLOOKUP(E271,'All Products'!D:D,'All Products'!C:C,FALSE)</f>
        <v>711-P-3694</v>
      </c>
      <c r="E271" s="106">
        <v>300005703</v>
      </c>
      <c r="F271" s="522" t="str">
        <f>_xlfn.XLOOKUP(E271,'All Products'!D:D,'All Products'!E:E,FALSE)</f>
        <v>1-1/2 LA PATTERN PTRAP W/PL NUT SXH</v>
      </c>
      <c r="G271" s="282">
        <f>_xlfn.XLOOKUP(E271,'All Products'!D:D,'All Products'!F:F,FALSE)</f>
        <v>25</v>
      </c>
      <c r="H271" s="533">
        <f>_xlfn.XLOOKUP(E271,'All Products'!D:D,'All Products'!G:G,FALSE)</f>
        <v>750</v>
      </c>
      <c r="I271" s="512">
        <f>_xlfn.XLOOKUP(E271,'All Products'!D:D,'All Products'!H:H,FALSE)</f>
        <v>632.04</v>
      </c>
      <c r="J271" s="216">
        <f>ROUNDUP(I271*Order_Quote!$L$2,2)</f>
        <v>3160.2</v>
      </c>
      <c r="K271" s="123"/>
      <c r="L271" s="79"/>
      <c r="M271" s="107">
        <f t="shared" ref="M271:M284" si="6">K271/G271</f>
        <v>0</v>
      </c>
      <c r="O271" s="525" t="str">
        <f>_xlfn.XLOOKUP(E271,'All Products'!D:D,'All Products'!I:I,FALSE)</f>
        <v>Within 6 Weeks</v>
      </c>
      <c r="P271" s="525" t="str">
        <f>_xlfn.XLOOKUP(E271,'All Products'!D:D,'All Products'!J:J,FALSE)</f>
        <v>Sourced</v>
      </c>
      <c r="Q271" s="525" t="str">
        <f>_xlfn.XLOOKUP(F271,'All Products'!E:E,'All Products'!K:K,FALSE)</f>
        <v>812361017289</v>
      </c>
      <c r="R271" s="525" t="str">
        <f>_xlfn.XLOOKUP(E271,'All Products'!D:D,'All Products'!L:L,FALSE)</f>
        <v>-</v>
      </c>
      <c r="S271" s="525">
        <f>_xlfn.XLOOKUP(E271,'All Products'!D:D,'All Products'!M:M,FALSE)</f>
        <v>0</v>
      </c>
      <c r="T271" s="530">
        <f>_xlfn.XLOOKUP(E271,'All Products'!D:D,'All Products'!N:N,FALSE)</f>
        <v>0.61</v>
      </c>
      <c r="U271" s="530">
        <f>_xlfn.XLOOKUP(E271,'All Products'!D:D,'All Products'!P:P,FALSE)</f>
        <v>15.25</v>
      </c>
      <c r="V271" s="530" t="str">
        <f>_xlfn.XLOOKUP(E271,'All Products'!D:D,'All Products'!Q:Q,FALSE)</f>
        <v>-</v>
      </c>
    </row>
    <row r="272" spans="1:22" s="17" customFormat="1" ht="21.75" customHeight="1">
      <c r="A272" s="5" t="str">
        <f>IF(K272&gt;0,COUNT($A$7:A271)+1,"")</f>
        <v/>
      </c>
      <c r="B272" s="110"/>
      <c r="C272" s="111"/>
      <c r="D272" s="512" t="str">
        <f>_xlfn.XLOOKUP(E272,'All Products'!D:D,'All Products'!C:C,FALSE)</f>
        <v>800-3703</v>
      </c>
      <c r="E272" s="106">
        <v>100029124</v>
      </c>
      <c r="F272" s="522" t="str">
        <f>_xlfn.XLOOKUP(E272,'All Products'!D:D,'All Products'!E:E,FALSE)</f>
        <v>4X3 CLOSET FLANGE HUB DWV</v>
      </c>
      <c r="G272" s="282">
        <f>_xlfn.XLOOKUP(E272,'All Products'!D:D,'All Products'!F:F,FALSE)</f>
        <v>25</v>
      </c>
      <c r="H272" s="533">
        <f>_xlfn.XLOOKUP(E272,'All Products'!D:D,'All Products'!G:G,FALSE)</f>
        <v>600</v>
      </c>
      <c r="I272" s="512">
        <f>_xlfn.XLOOKUP(E272,'All Products'!D:D,'All Products'!H:H,FALSE)</f>
        <v>120.71</v>
      </c>
      <c r="J272" s="216">
        <f>ROUNDUP(I272*Order_Quote!$L$2,2)</f>
        <v>603.54999999999995</v>
      </c>
      <c r="K272" s="123"/>
      <c r="L272" s="79"/>
      <c r="M272" s="107">
        <f t="shared" si="6"/>
        <v>0</v>
      </c>
      <c r="O272" s="525" t="str">
        <f>_xlfn.XLOOKUP(E272,'All Products'!D:D,'All Products'!I:I,FALSE)</f>
        <v>Within 3 Weeks</v>
      </c>
      <c r="P272" s="525" t="str">
        <f>_xlfn.XLOOKUP(E272,'All Products'!D:D,'All Products'!J:J,FALSE)</f>
        <v>Manufactured</v>
      </c>
      <c r="Q272" s="525" t="str">
        <f>_xlfn.XLOOKUP(F272,'All Products'!E:E,'All Products'!K:K,FALSE)</f>
        <v>810673015993</v>
      </c>
      <c r="R272" s="525" t="str">
        <f>_xlfn.XLOOKUP(E272,'All Products'!D:D,'All Products'!L:L,FALSE)</f>
        <v>-</v>
      </c>
      <c r="S272" s="525" t="str">
        <f>_xlfn.XLOOKUP(E272,'All Products'!D:D,'All Products'!M:M,FALSE)</f>
        <v>810673016006</v>
      </c>
      <c r="T272" s="530">
        <f>_xlfn.XLOOKUP(E272,'All Products'!D:D,'All Products'!N:N,FALSE)</f>
        <v>0.79700000000000004</v>
      </c>
      <c r="U272" s="530">
        <f>_xlfn.XLOOKUP(E272,'All Products'!D:D,'All Products'!P:P,FALSE)</f>
        <v>19.925000000000001</v>
      </c>
      <c r="V272" s="530">
        <f>_xlfn.XLOOKUP(E272,'All Products'!D:D,'All Products'!Q:Q,FALSE)</f>
        <v>1.8803145838984718</v>
      </c>
    </row>
    <row r="273" spans="1:22" s="17" customFormat="1" ht="21.75" customHeight="1">
      <c r="A273" s="5" t="str">
        <f>IF(K273&gt;0,COUNT($A$7:A272)+1,"")</f>
        <v/>
      </c>
      <c r="B273" s="113"/>
      <c r="C273" s="114"/>
      <c r="D273" s="512" t="str">
        <f>_xlfn.XLOOKUP(E273,'All Products'!D:D,'All Products'!C:C,FALSE)</f>
        <v>800-3704</v>
      </c>
      <c r="E273" s="106">
        <v>300005706</v>
      </c>
      <c r="F273" s="522" t="str">
        <f>_xlfn.XLOOKUP(E273,'All Products'!D:D,'All Products'!E:E,FALSE)</f>
        <v>4 CLOSET FLANGE HUB DWV</v>
      </c>
      <c r="G273" s="282">
        <f>_xlfn.XLOOKUP(E273,'All Products'!D:D,'All Products'!F:F,FALSE)</f>
        <v>25</v>
      </c>
      <c r="H273" s="533" t="str">
        <f>_xlfn.XLOOKUP(E273,'All Products'!D:D,'All Products'!G:G,FALSE)</f>
        <v>-</v>
      </c>
      <c r="I273" s="512">
        <f>_xlfn.XLOOKUP(E273,'All Products'!D:D,'All Products'!H:H,FALSE)</f>
        <v>204.41</v>
      </c>
      <c r="J273" s="216">
        <f>ROUNDUP(I273*Order_Quote!$L$2,2)</f>
        <v>1022.05</v>
      </c>
      <c r="K273" s="123"/>
      <c r="L273" s="79"/>
      <c r="M273" s="107">
        <f t="shared" si="6"/>
        <v>0</v>
      </c>
      <c r="O273" s="525" t="str">
        <f>_xlfn.XLOOKUP(E273,'All Products'!D:D,'All Products'!I:I,FALSE)</f>
        <v>Within 6 Weeks</v>
      </c>
      <c r="P273" s="525" t="str">
        <f>_xlfn.XLOOKUP(E273,'All Products'!D:D,'All Products'!J:J,FALSE)</f>
        <v>Sourced</v>
      </c>
      <c r="Q273" s="525" t="str">
        <f>_xlfn.XLOOKUP(F273,'All Products'!E:E,'All Products'!K:K,FALSE)</f>
        <v>812361012475</v>
      </c>
      <c r="R273" s="525" t="str">
        <f>_xlfn.XLOOKUP(E273,'All Products'!D:D,'All Products'!L:L,FALSE)</f>
        <v>-</v>
      </c>
      <c r="S273" s="525">
        <f>_xlfn.XLOOKUP(E273,'All Products'!D:D,'All Products'!M:M,FALSE)</f>
        <v>0</v>
      </c>
      <c r="T273" s="530">
        <f>_xlfn.XLOOKUP(E273,'All Products'!D:D,'All Products'!N:N,FALSE)</f>
        <v>0.85799999999999998</v>
      </c>
      <c r="U273" s="530">
        <f>_xlfn.XLOOKUP(E273,'All Products'!D:D,'All Products'!P:P,FALSE)</f>
        <v>21.45</v>
      </c>
      <c r="V273" s="530" t="str">
        <f>_xlfn.XLOOKUP(E273,'All Products'!D:D,'All Products'!Q:Q,FALSE)</f>
        <v>-</v>
      </c>
    </row>
    <row r="274" spans="1:22" s="17" customFormat="1" ht="24.75" customHeight="1">
      <c r="A274" s="5" t="str">
        <f>IF(K274&gt;0,COUNT($A$7:A273)+1,"")</f>
        <v/>
      </c>
      <c r="B274" s="110"/>
      <c r="C274" s="111"/>
      <c r="D274" s="512" t="str">
        <f>_xlfn.XLOOKUP(E274,'All Products'!D:D,'All Products'!C:C,FALSE)</f>
        <v>800-KO-3705</v>
      </c>
      <c r="E274" s="106">
        <v>300005704</v>
      </c>
      <c r="F274" s="522" t="str">
        <f>_xlfn.XLOOKUP(E274,'All Products'!D:D,'All Products'!E:E,FALSE)</f>
        <v>4X3 CLOSET FLANGE W/KO H DWV</v>
      </c>
      <c r="G274" s="282">
        <f>_xlfn.XLOOKUP(E274,'All Products'!D:D,'All Products'!F:F,FALSE)</f>
        <v>25</v>
      </c>
      <c r="H274" s="533" t="str">
        <f>_xlfn.XLOOKUP(E274,'All Products'!D:D,'All Products'!G:G,FALSE)</f>
        <v>-</v>
      </c>
      <c r="I274" s="512">
        <f>_xlfn.XLOOKUP(E274,'All Products'!D:D,'All Products'!H:H,FALSE)</f>
        <v>145.69999999999999</v>
      </c>
      <c r="J274" s="216">
        <f>ROUNDUP(I274*Order_Quote!$L$2,2)</f>
        <v>728.5</v>
      </c>
      <c r="K274" s="123"/>
      <c r="L274" s="79"/>
      <c r="M274" s="107">
        <f t="shared" si="6"/>
        <v>0</v>
      </c>
      <c r="O274" s="525" t="str">
        <f>_xlfn.XLOOKUP(E274,'All Products'!D:D,'All Products'!I:I,FALSE)</f>
        <v>Within 3 Weeks</v>
      </c>
      <c r="P274" s="525" t="str">
        <f>_xlfn.XLOOKUP(E274,'All Products'!D:D,'All Products'!J:J,FALSE)</f>
        <v>Sourced</v>
      </c>
      <c r="Q274" s="525" t="str">
        <f>_xlfn.XLOOKUP(F274,'All Products'!E:E,'All Products'!K:K,FALSE)</f>
        <v>812361012499</v>
      </c>
      <c r="R274" s="525" t="str">
        <f>_xlfn.XLOOKUP(E274,'All Products'!D:D,'All Products'!L:L,FALSE)</f>
        <v>-</v>
      </c>
      <c r="S274" s="525" t="str">
        <f>_xlfn.XLOOKUP(E274,'All Products'!D:D,'All Products'!M:M,FALSE)</f>
        <v>10812361012496</v>
      </c>
      <c r="T274" s="530">
        <f>_xlfn.XLOOKUP(E274,'All Products'!D:D,'All Products'!N:N,FALSE)</f>
        <v>0.92600000000000005</v>
      </c>
      <c r="U274" s="530">
        <f>_xlfn.XLOOKUP(E274,'All Products'!D:D,'All Products'!P:P,FALSE)</f>
        <v>23.150000000000002</v>
      </c>
      <c r="V274" s="530" t="str">
        <f>_xlfn.XLOOKUP(E274,'All Products'!D:D,'All Products'!Q:Q,FALSE)</f>
        <v>-</v>
      </c>
    </row>
    <row r="275" spans="1:22" s="17" customFormat="1" ht="24.75" customHeight="1">
      <c r="A275" s="5" t="str">
        <f>IF(K275&gt;0,COUNT($A$7:A274)+1,"")</f>
        <v/>
      </c>
      <c r="B275" s="113"/>
      <c r="C275" s="114"/>
      <c r="D275" s="512" t="str">
        <f>_xlfn.XLOOKUP(E275,'All Products'!D:D,'All Products'!C:C,FALSE)</f>
        <v>800-KO-3706</v>
      </c>
      <c r="E275" s="106">
        <v>300005705</v>
      </c>
      <c r="F275" s="522" t="str">
        <f>_xlfn.XLOOKUP(E275,'All Products'!D:D,'All Products'!E:E,FALSE)</f>
        <v>4 CLOSET FLANGE W/KO H DWV</v>
      </c>
      <c r="G275" s="282">
        <f>_xlfn.XLOOKUP(E275,'All Products'!D:D,'All Products'!F:F,FALSE)</f>
        <v>25</v>
      </c>
      <c r="H275" s="533" t="str">
        <f>_xlfn.XLOOKUP(E275,'All Products'!D:D,'All Products'!G:G,FALSE)</f>
        <v>-</v>
      </c>
      <c r="I275" s="512">
        <f>_xlfn.XLOOKUP(E275,'All Products'!D:D,'All Products'!H:H,FALSE)</f>
        <v>261.05</v>
      </c>
      <c r="J275" s="216">
        <f>ROUNDUP(I275*Order_Quote!$L$2,2)</f>
        <v>1305.25</v>
      </c>
      <c r="K275" s="123"/>
      <c r="L275" s="79"/>
      <c r="M275" s="107">
        <f t="shared" si="6"/>
        <v>0</v>
      </c>
      <c r="O275" s="525" t="str">
        <f>_xlfn.XLOOKUP(E275,'All Products'!D:D,'All Products'!I:I,FALSE)</f>
        <v>Within 3 Weeks</v>
      </c>
      <c r="P275" s="525" t="str">
        <f>_xlfn.XLOOKUP(E275,'All Products'!D:D,'All Products'!J:J,FALSE)</f>
        <v>Sourced</v>
      </c>
      <c r="Q275" s="525" t="str">
        <f>_xlfn.XLOOKUP(F275,'All Products'!E:E,'All Products'!K:K,FALSE)</f>
        <v>810673015375</v>
      </c>
      <c r="R275" s="525" t="str">
        <f>_xlfn.XLOOKUP(E275,'All Products'!D:D,'All Products'!L:L,FALSE)</f>
        <v>-</v>
      </c>
      <c r="S275" s="525" t="str">
        <f>_xlfn.XLOOKUP(E275,'All Products'!D:D,'All Products'!M:M,FALSE)</f>
        <v>10810673015372</v>
      </c>
      <c r="T275" s="530">
        <f>_xlfn.XLOOKUP(E275,'All Products'!D:D,'All Products'!N:N,FALSE)</f>
        <v>0.82599999999999996</v>
      </c>
      <c r="U275" s="530">
        <f>_xlfn.XLOOKUP(E275,'All Products'!D:D,'All Products'!P:P,FALSE)</f>
        <v>20.65</v>
      </c>
      <c r="V275" s="530" t="str">
        <f>_xlfn.XLOOKUP(E275,'All Products'!D:D,'All Products'!Q:Q,FALSE)</f>
        <v>-</v>
      </c>
    </row>
    <row r="276" spans="1:22" s="17" customFormat="1" ht="43.5" customHeight="1">
      <c r="A276" s="5" t="str">
        <f>IF(K276&gt;0,COUNT($A$7:A275)+1,"")</f>
        <v/>
      </c>
      <c r="B276" s="202"/>
      <c r="C276" s="203"/>
      <c r="D276" s="512" t="str">
        <f>_xlfn.XLOOKUP(E276,'All Products'!D:D,'All Products'!C:C,FALSE)</f>
        <v>801-3707</v>
      </c>
      <c r="E276" s="106">
        <v>300005834</v>
      </c>
      <c r="F276" s="522" t="str">
        <f>_xlfn.XLOOKUP(E276,'All Products'!D:D,'All Products'!E:E,FALSE)</f>
        <v>4X3 CLOSET FLANGE RED SPIGOT DWV</v>
      </c>
      <c r="G276" s="282">
        <f>_xlfn.XLOOKUP(E276,'All Products'!D:D,'All Products'!F:F,FALSE)</f>
        <v>25</v>
      </c>
      <c r="H276" s="533">
        <f>_xlfn.XLOOKUP(E276,'All Products'!D:D,'All Products'!G:G,FALSE)</f>
        <v>800</v>
      </c>
      <c r="I276" s="512">
        <f>_xlfn.XLOOKUP(E276,'All Products'!D:D,'All Products'!H:H,FALSE)</f>
        <v>367</v>
      </c>
      <c r="J276" s="216">
        <f>ROUNDUP(I276*Order_Quote!$L$2,2)</f>
        <v>1835</v>
      </c>
      <c r="K276" s="123"/>
      <c r="L276" s="79"/>
      <c r="M276" s="107">
        <f t="shared" si="6"/>
        <v>0</v>
      </c>
      <c r="O276" s="525" t="str">
        <f>_xlfn.XLOOKUP(E276,'All Products'!D:D,'All Products'!I:I,FALSE)</f>
        <v>Within 6 Weeks</v>
      </c>
      <c r="P276" s="525" t="str">
        <f>_xlfn.XLOOKUP(E276,'All Products'!D:D,'All Products'!J:J,FALSE)</f>
        <v>Sourced</v>
      </c>
      <c r="Q276" s="525" t="str">
        <f>_xlfn.XLOOKUP(F276,'All Products'!E:E,'All Products'!K:K,FALSE)</f>
        <v>810673015979</v>
      </c>
      <c r="R276" s="525" t="str">
        <f>_xlfn.XLOOKUP(E276,'All Products'!D:D,'All Products'!L:L,FALSE)</f>
        <v>-</v>
      </c>
      <c r="S276" s="525">
        <f>_xlfn.XLOOKUP(E276,'All Products'!D:D,'All Products'!M:M,FALSE)</f>
        <v>0</v>
      </c>
      <c r="T276" s="530">
        <f>_xlfn.XLOOKUP(E276,'All Products'!D:D,'All Products'!N:N,FALSE)</f>
        <v>0.64200000000000002</v>
      </c>
      <c r="U276" s="530">
        <f>_xlfn.XLOOKUP(E276,'All Products'!D:D,'All Products'!P:P,FALSE)</f>
        <v>16.05</v>
      </c>
      <c r="V276" s="530" t="str">
        <f>_xlfn.XLOOKUP(E276,'All Products'!D:D,'All Products'!Q:Q,FALSE)</f>
        <v>-</v>
      </c>
    </row>
    <row r="277" spans="1:22" ht="19.5" customHeight="1">
      <c r="A277" s="5" t="str">
        <f>IF(K277&gt;0,COUNT($A$7:A276)+1,"")</f>
        <v/>
      </c>
      <c r="B277" s="26"/>
      <c r="C277" s="49"/>
      <c r="D277" s="512" t="str">
        <f>_xlfn.XLOOKUP(E277,'All Products'!D:D,'All Products'!C:C,FALSE)</f>
        <v>811-3710</v>
      </c>
      <c r="E277" s="106">
        <v>300005707</v>
      </c>
      <c r="F277" s="522" t="str">
        <f>_xlfn.XLOOKUP(E277,'All Products'!D:D,'All Products'!E:E,FALSE)</f>
        <v>4X3 CLOSET FLG W/ADJ MTL RNG H DWV</v>
      </c>
      <c r="G277" s="282">
        <f>_xlfn.XLOOKUP(E277,'All Products'!D:D,'All Products'!F:F,FALSE)</f>
        <v>25</v>
      </c>
      <c r="H277" s="533" t="str">
        <f>_xlfn.XLOOKUP(E277,'All Products'!D:D,'All Products'!G:G,FALSE)</f>
        <v>-</v>
      </c>
      <c r="I277" s="512">
        <f>_xlfn.XLOOKUP(E277,'All Products'!D:D,'All Products'!H:H,FALSE)</f>
        <v>393.6</v>
      </c>
      <c r="J277" s="216">
        <f>ROUNDUP(I277*Order_Quote!$L$2,2)</f>
        <v>1968</v>
      </c>
      <c r="K277" s="123"/>
      <c r="L277" s="79"/>
      <c r="M277" s="107">
        <f t="shared" si="6"/>
        <v>0</v>
      </c>
      <c r="O277" s="525" t="str">
        <f>_xlfn.XLOOKUP(E277,'All Products'!D:D,'All Products'!I:I,FALSE)</f>
        <v>Within 6 Weeks</v>
      </c>
      <c r="P277" s="525" t="str">
        <f>_xlfn.XLOOKUP(E277,'All Products'!D:D,'All Products'!J:J,FALSE)</f>
        <v>Sourced</v>
      </c>
      <c r="Q277" s="525" t="str">
        <f>_xlfn.XLOOKUP(F277,'All Products'!E:E,'All Products'!K:K,FALSE)</f>
        <v>810673011445</v>
      </c>
      <c r="R277" s="525" t="str">
        <f>_xlfn.XLOOKUP(E277,'All Products'!D:D,'All Products'!L:L,FALSE)</f>
        <v>-</v>
      </c>
      <c r="S277" s="525" t="str">
        <f>_xlfn.XLOOKUP(E277,'All Products'!D:D,'All Products'!M:M,FALSE)</f>
        <v>10810673011442</v>
      </c>
      <c r="T277" s="530">
        <f>_xlfn.XLOOKUP(E277,'All Products'!D:D,'All Products'!N:N,FALSE)</f>
        <v>0.9</v>
      </c>
      <c r="U277" s="530">
        <f>_xlfn.XLOOKUP(E277,'All Products'!D:D,'All Products'!P:P,FALSE)</f>
        <v>22.5</v>
      </c>
      <c r="V277" s="530" t="str">
        <f>_xlfn.XLOOKUP(E277,'All Products'!D:D,'All Products'!Q:Q,FALSE)</f>
        <v>-</v>
      </c>
    </row>
    <row r="278" spans="1:22" ht="19.5" customHeight="1">
      <c r="A278" s="5" t="str">
        <f>IF(K278&gt;0,COUNT($A$7:A277)+1,"")</f>
        <v/>
      </c>
      <c r="B278" s="23"/>
      <c r="C278" s="51"/>
      <c r="D278" s="512" t="str">
        <f>_xlfn.XLOOKUP(E278,'All Products'!D:D,'All Products'!C:C,FALSE)</f>
        <v>811-3711</v>
      </c>
      <c r="E278" s="106">
        <v>300005708</v>
      </c>
      <c r="F278" s="522" t="str">
        <f>_xlfn.XLOOKUP(E278,'All Products'!D:D,'All Products'!E:E,FALSE)</f>
        <v>4 CLOSET FLG W/ADJ MTL RNG H DWV</v>
      </c>
      <c r="G278" s="282">
        <f>_xlfn.XLOOKUP(E278,'All Products'!D:D,'All Products'!F:F,FALSE)</f>
        <v>25</v>
      </c>
      <c r="H278" s="533" t="str">
        <f>_xlfn.XLOOKUP(E278,'All Products'!D:D,'All Products'!G:G,FALSE)</f>
        <v>-</v>
      </c>
      <c r="I278" s="512">
        <f>_xlfn.XLOOKUP(E278,'All Products'!D:D,'All Products'!H:H,FALSE)</f>
        <v>408.45</v>
      </c>
      <c r="J278" s="216">
        <f>ROUNDUP(I278*Order_Quote!$L$2,2)</f>
        <v>2042.25</v>
      </c>
      <c r="K278" s="123"/>
      <c r="L278" s="79"/>
      <c r="M278" s="107">
        <f t="shared" si="6"/>
        <v>0</v>
      </c>
      <c r="O278" s="525" t="str">
        <f>_xlfn.XLOOKUP(E278,'All Products'!D:D,'All Products'!I:I,FALSE)</f>
        <v>Within 3 Weeks</v>
      </c>
      <c r="P278" s="525" t="str">
        <f>_xlfn.XLOOKUP(E278,'All Products'!D:D,'All Products'!J:J,FALSE)</f>
        <v>Sourced</v>
      </c>
      <c r="Q278" s="525" t="str">
        <f>_xlfn.XLOOKUP(F278,'All Products'!E:E,'All Products'!K:K,FALSE)</f>
        <v>812361017319</v>
      </c>
      <c r="R278" s="525" t="str">
        <f>_xlfn.XLOOKUP(E278,'All Products'!D:D,'All Products'!L:L,FALSE)</f>
        <v>-</v>
      </c>
      <c r="S278" s="525">
        <f>_xlfn.XLOOKUP(E278,'All Products'!D:D,'All Products'!M:M,FALSE)</f>
        <v>0</v>
      </c>
      <c r="T278" s="530">
        <f>_xlfn.XLOOKUP(E278,'All Products'!D:D,'All Products'!N:N,FALSE)</f>
        <v>0.84</v>
      </c>
      <c r="U278" s="530">
        <f>_xlfn.XLOOKUP(E278,'All Products'!D:D,'All Products'!P:P,FALSE)</f>
        <v>21</v>
      </c>
      <c r="V278" s="530" t="str">
        <f>_xlfn.XLOOKUP(E278,'All Products'!D:D,'All Products'!Q:Q,FALSE)</f>
        <v>-</v>
      </c>
    </row>
    <row r="279" spans="1:22" ht="19.5" customHeight="1">
      <c r="A279" s="5" t="str">
        <f>IF(K279&gt;0,COUNT($A$7:A278)+1,"")</f>
        <v/>
      </c>
      <c r="B279" s="26"/>
      <c r="C279" s="49"/>
      <c r="D279" s="512" t="str">
        <f>_xlfn.XLOOKUP(E279,'All Products'!D:D,'All Products'!C:C,FALSE)</f>
        <v>812-3714</v>
      </c>
      <c r="E279" s="106">
        <v>300005709</v>
      </c>
      <c r="F279" s="522" t="str">
        <f>_xlfn.XLOOKUP(E279,'All Products'!D:D,'All Products'!E:E,FALSE)</f>
        <v>4X3 CLOSET FLG ADJ MTL RNG SPG DWV</v>
      </c>
      <c r="G279" s="282">
        <f>_xlfn.XLOOKUP(E279,'All Products'!D:D,'All Products'!F:F,FALSE)</f>
        <v>25</v>
      </c>
      <c r="H279" s="533">
        <f>_xlfn.XLOOKUP(E279,'All Products'!D:D,'All Products'!G:G,FALSE)</f>
        <v>600</v>
      </c>
      <c r="I279" s="512">
        <f>_xlfn.XLOOKUP(E279,'All Products'!D:D,'All Products'!H:H,FALSE)</f>
        <v>609.26</v>
      </c>
      <c r="J279" s="216">
        <f>ROUNDUP(I279*Order_Quote!$L$2,2)</f>
        <v>3046.3</v>
      </c>
      <c r="K279" s="123"/>
      <c r="L279" s="79"/>
      <c r="M279" s="107">
        <f t="shared" si="6"/>
        <v>0</v>
      </c>
      <c r="O279" s="525" t="str">
        <f>_xlfn.XLOOKUP(E279,'All Products'!D:D,'All Products'!I:I,FALSE)</f>
        <v>Within 6 Weeks</v>
      </c>
      <c r="P279" s="525" t="str">
        <f>_xlfn.XLOOKUP(E279,'All Products'!D:D,'All Products'!J:J,FALSE)</f>
        <v>Sourced</v>
      </c>
      <c r="Q279" s="525" t="str">
        <f>_xlfn.XLOOKUP(F279,'All Products'!E:E,'All Products'!K:K,FALSE)</f>
        <v>812361017302</v>
      </c>
      <c r="R279" s="525" t="str">
        <f>_xlfn.XLOOKUP(E279,'All Products'!D:D,'All Products'!L:L,FALSE)</f>
        <v>-</v>
      </c>
      <c r="S279" s="525">
        <f>_xlfn.XLOOKUP(E279,'All Products'!D:D,'All Products'!M:M,FALSE)</f>
        <v>0</v>
      </c>
      <c r="T279" s="530">
        <f>_xlfn.XLOOKUP(E279,'All Products'!D:D,'All Products'!N:N,FALSE)</f>
        <v>0.85</v>
      </c>
      <c r="U279" s="530">
        <f>_xlfn.XLOOKUP(E279,'All Products'!D:D,'All Products'!P:P,FALSE)</f>
        <v>21.25</v>
      </c>
      <c r="V279" s="530" t="str">
        <f>_xlfn.XLOOKUP(E279,'All Products'!D:D,'All Products'!Q:Q,FALSE)</f>
        <v>-</v>
      </c>
    </row>
    <row r="280" spans="1:22" ht="19.5" customHeight="1">
      <c r="A280" s="5" t="str">
        <f>IF(K280&gt;0,COUNT($A$7:A279)+1,"")</f>
        <v/>
      </c>
      <c r="B280" s="23"/>
      <c r="C280" s="51"/>
      <c r="D280" s="512" t="str">
        <f>_xlfn.XLOOKUP(E280,'All Products'!D:D,'All Products'!C:C,FALSE)</f>
        <v>812-3715</v>
      </c>
      <c r="E280" s="106">
        <v>300005710</v>
      </c>
      <c r="F280" s="522" t="str">
        <f>_xlfn.XLOOKUP(E280,'All Products'!D:D,'All Products'!E:E,FALSE)</f>
        <v>4 CLOSET FLG W/ADJ MTL RNG SPG DWV</v>
      </c>
      <c r="G280" s="282">
        <f>_xlfn.XLOOKUP(E280,'All Products'!D:D,'All Products'!F:F,FALSE)</f>
        <v>6</v>
      </c>
      <c r="H280" s="533" t="str">
        <f>_xlfn.XLOOKUP(E280,'All Products'!D:D,'All Products'!G:G,FALSE)</f>
        <v>-</v>
      </c>
      <c r="I280" s="512">
        <f>_xlfn.XLOOKUP(E280,'All Products'!D:D,'All Products'!H:H,FALSE)</f>
        <v>459</v>
      </c>
      <c r="J280" s="216">
        <f>ROUNDUP(I280*Order_Quote!$L$2,2)</f>
        <v>2295</v>
      </c>
      <c r="K280" s="123"/>
      <c r="L280" s="79"/>
      <c r="M280" s="107">
        <f t="shared" si="6"/>
        <v>0</v>
      </c>
      <c r="O280" s="525" t="str">
        <f>_xlfn.XLOOKUP(E280,'All Products'!D:D,'All Products'!I:I,FALSE)</f>
        <v>Within 3 Weeks</v>
      </c>
      <c r="P280" s="525" t="str">
        <f>_xlfn.XLOOKUP(E280,'All Products'!D:D,'All Products'!J:J,FALSE)</f>
        <v>Sourced</v>
      </c>
      <c r="Q280" s="525" t="str">
        <f>_xlfn.XLOOKUP(F280,'All Products'!E:E,'All Products'!K:K,FALSE)</f>
        <v>812361017326</v>
      </c>
      <c r="R280" s="525" t="str">
        <f>_xlfn.XLOOKUP(E280,'All Products'!D:D,'All Products'!L:L,FALSE)</f>
        <v>-</v>
      </c>
      <c r="S280" s="525">
        <f>_xlfn.XLOOKUP(E280,'All Products'!D:D,'All Products'!M:M,FALSE)</f>
        <v>0</v>
      </c>
      <c r="T280" s="530">
        <f>_xlfn.XLOOKUP(E280,'All Products'!D:D,'All Products'!N:N,FALSE)</f>
        <v>0.89</v>
      </c>
      <c r="U280" s="530">
        <f>_xlfn.XLOOKUP(E280,'All Products'!D:D,'All Products'!P:P,FALSE)</f>
        <v>5.34</v>
      </c>
      <c r="V280" s="530" t="str">
        <f>_xlfn.XLOOKUP(E280,'All Products'!D:D,'All Products'!Q:Q,FALSE)</f>
        <v>-</v>
      </c>
    </row>
    <row r="281" spans="1:22" ht="19.5" customHeight="1">
      <c r="A281" s="5" t="str">
        <f>IF(K281&gt;0,COUNT($A$7:A280)+1,"")</f>
        <v/>
      </c>
      <c r="B281" s="26"/>
      <c r="C281" s="49"/>
      <c r="D281" s="512" t="str">
        <f>_xlfn.XLOOKUP(E281,'All Products'!D:D,'All Products'!C:C,FALSE)</f>
        <v>815-3718</v>
      </c>
      <c r="E281" s="106">
        <v>300005711</v>
      </c>
      <c r="F281" s="522" t="str">
        <f>_xlfn.XLOOKUP(E281,'All Products'!D:D,'All Products'!E:E,FALSE)</f>
        <v>4X3 FLUSH CLOSET FLANGE DWV</v>
      </c>
      <c r="G281" s="282">
        <f>_xlfn.XLOOKUP(E281,'All Products'!D:D,'All Products'!F:F,FALSE)</f>
        <v>25</v>
      </c>
      <c r="H281" s="533">
        <f>_xlfn.XLOOKUP(E281,'All Products'!D:D,'All Products'!G:G,FALSE)</f>
        <v>750</v>
      </c>
      <c r="I281" s="512">
        <f>_xlfn.XLOOKUP(E281,'All Products'!D:D,'All Products'!H:H,FALSE)</f>
        <v>229.45</v>
      </c>
      <c r="J281" s="216">
        <f>ROUNDUP(I281*Order_Quote!$L$2,2)</f>
        <v>1147.25</v>
      </c>
      <c r="K281" s="123"/>
      <c r="L281" s="79"/>
      <c r="M281" s="107">
        <f t="shared" si="6"/>
        <v>0</v>
      </c>
      <c r="O281" s="525" t="str">
        <f>_xlfn.XLOOKUP(E281,'All Products'!D:D,'All Products'!I:I,FALSE)</f>
        <v>Within 3 Weeks</v>
      </c>
      <c r="P281" s="525" t="str">
        <f>_xlfn.XLOOKUP(E281,'All Products'!D:D,'All Products'!J:J,FALSE)</f>
        <v>Sourced</v>
      </c>
      <c r="Q281" s="525" t="str">
        <f>_xlfn.XLOOKUP(F281,'All Products'!E:E,'All Products'!K:K,FALSE)</f>
        <v>812361017234</v>
      </c>
      <c r="R281" s="525" t="str">
        <f>_xlfn.XLOOKUP(E281,'All Products'!D:D,'All Products'!L:L,FALSE)</f>
        <v>-</v>
      </c>
      <c r="S281" s="525">
        <f>_xlfn.XLOOKUP(E281,'All Products'!D:D,'All Products'!M:M,FALSE)</f>
        <v>0</v>
      </c>
      <c r="T281" s="530">
        <f>_xlfn.XLOOKUP(E281,'All Products'!D:D,'All Products'!N:N,FALSE)</f>
        <v>0.65</v>
      </c>
      <c r="U281" s="530">
        <f>_xlfn.XLOOKUP(E281,'All Products'!D:D,'All Products'!P:P,FALSE)</f>
        <v>16.25</v>
      </c>
      <c r="V281" s="530" t="str">
        <f>_xlfn.XLOOKUP(E281,'All Products'!D:D,'All Products'!Q:Q,FALSE)</f>
        <v>-</v>
      </c>
    </row>
    <row r="282" spans="1:22" ht="19.5" customHeight="1">
      <c r="A282" s="5" t="str">
        <f>IF(K282&gt;0,COUNT($A$7:A281)+1,"")</f>
        <v/>
      </c>
      <c r="B282" s="23"/>
      <c r="C282" s="51"/>
      <c r="D282" s="512" t="str">
        <f>_xlfn.XLOOKUP(E282,'All Products'!D:D,'All Products'!C:C,FALSE)</f>
        <v>815-3719</v>
      </c>
      <c r="E282" s="106">
        <v>300005712</v>
      </c>
      <c r="F282" s="522" t="str">
        <f>_xlfn.XLOOKUP(E282,'All Products'!D:D,'All Products'!E:E,FALSE)</f>
        <v>4X3 FLUSH CLOSET FLANGE W/KO DWV</v>
      </c>
      <c r="G282" s="282">
        <f>_xlfn.XLOOKUP(E282,'All Products'!D:D,'All Products'!F:F,FALSE)</f>
        <v>25</v>
      </c>
      <c r="H282" s="533">
        <f>_xlfn.XLOOKUP(E282,'All Products'!D:D,'All Products'!G:G,FALSE)</f>
        <v>750</v>
      </c>
      <c r="I282" s="512">
        <f>_xlfn.XLOOKUP(E282,'All Products'!D:D,'All Products'!H:H,FALSE)</f>
        <v>233</v>
      </c>
      <c r="J282" s="216">
        <f>ROUNDUP(I282*Order_Quote!$L$2,2)</f>
        <v>1165</v>
      </c>
      <c r="K282" s="123"/>
      <c r="L282" s="79"/>
      <c r="M282" s="107">
        <f t="shared" si="6"/>
        <v>0</v>
      </c>
      <c r="O282" s="525" t="str">
        <f>_xlfn.XLOOKUP(E282,'All Products'!D:D,'All Products'!I:I,FALSE)</f>
        <v>Within 6 Weeks</v>
      </c>
      <c r="P282" s="525" t="str">
        <f>_xlfn.XLOOKUP(E282,'All Products'!D:D,'All Products'!J:J,FALSE)</f>
        <v>Sourced</v>
      </c>
      <c r="Q282" s="525" t="str">
        <f>_xlfn.XLOOKUP(F282,'All Products'!E:E,'All Products'!K:K,FALSE)</f>
        <v>812361017227</v>
      </c>
      <c r="R282" s="525" t="str">
        <f>_xlfn.XLOOKUP(E282,'All Products'!D:D,'All Products'!L:L,FALSE)</f>
        <v>-</v>
      </c>
      <c r="S282" s="525">
        <f>_xlfn.XLOOKUP(E282,'All Products'!D:D,'All Products'!M:M,FALSE)</f>
        <v>0</v>
      </c>
      <c r="T282" s="530">
        <f>_xlfn.XLOOKUP(E282,'All Products'!D:D,'All Products'!N:N,FALSE)</f>
        <v>0.73</v>
      </c>
      <c r="U282" s="530">
        <f>_xlfn.XLOOKUP(E282,'All Products'!D:D,'All Products'!P:P,FALSE)</f>
        <v>18.25</v>
      </c>
      <c r="V282" s="530" t="str">
        <f>_xlfn.XLOOKUP(E282,'All Products'!D:D,'All Products'!Q:Q,FALSE)</f>
        <v>-</v>
      </c>
    </row>
    <row r="283" spans="1:22" s="17" customFormat="1" ht="41.25" customHeight="1">
      <c r="A283" s="5" t="str">
        <f>IF(K283&gt;0,COUNT($A$7:A282)+1,"")</f>
        <v/>
      </c>
      <c r="B283" s="202"/>
      <c r="C283" s="203"/>
      <c r="D283" s="512" t="str">
        <f>_xlfn.XLOOKUP(E283,'All Products'!D:D,'All Products'!C:C,FALSE)</f>
        <v>820-3720</v>
      </c>
      <c r="E283" s="106">
        <v>300005713</v>
      </c>
      <c r="F283" s="522" t="str">
        <f>_xlfn.XLOOKUP(E283,'All Products'!D:D,'All Products'!E:E,FALSE)</f>
        <v>4X3 OFFSET CLOS FLG W/ADJ MTL RNG H</v>
      </c>
      <c r="G283" s="282">
        <f>_xlfn.XLOOKUP(E283,'All Products'!D:D,'All Products'!F:F,FALSE)</f>
        <v>20</v>
      </c>
      <c r="H283" s="533" t="str">
        <f>_xlfn.XLOOKUP(E283,'All Products'!D:D,'All Products'!G:G,FALSE)</f>
        <v>-</v>
      </c>
      <c r="I283" s="512">
        <f>_xlfn.XLOOKUP(E283,'All Products'!D:D,'All Products'!H:H,FALSE)</f>
        <v>837.62</v>
      </c>
      <c r="J283" s="216">
        <f>ROUNDUP(I283*Order_Quote!$L$2,2)</f>
        <v>4188.1000000000004</v>
      </c>
      <c r="K283" s="76"/>
      <c r="L283" s="79"/>
      <c r="M283" s="107">
        <f t="shared" si="6"/>
        <v>0</v>
      </c>
      <c r="O283" s="525" t="str">
        <f>_xlfn.XLOOKUP(E283,'All Products'!D:D,'All Products'!I:I,FALSE)</f>
        <v>Within 6 Weeks</v>
      </c>
      <c r="P283" s="525" t="str">
        <f>_xlfn.XLOOKUP(E283,'All Products'!D:D,'All Products'!J:J,FALSE)</f>
        <v>Sourced</v>
      </c>
      <c r="Q283" s="525" t="str">
        <f>_xlfn.XLOOKUP(F283,'All Products'!E:E,'All Products'!K:K,FALSE)</f>
        <v>810673012459</v>
      </c>
      <c r="R283" s="525" t="str">
        <f>_xlfn.XLOOKUP(E283,'All Products'!D:D,'All Products'!L:L,FALSE)</f>
        <v>-</v>
      </c>
      <c r="S283" s="525">
        <f>_xlfn.XLOOKUP(E283,'All Products'!D:D,'All Products'!M:M,FALSE)</f>
        <v>0</v>
      </c>
      <c r="T283" s="530">
        <f>_xlfn.XLOOKUP(E283,'All Products'!D:D,'All Products'!N:N,FALSE)</f>
        <v>1.17</v>
      </c>
      <c r="U283" s="530">
        <f>_xlfn.XLOOKUP(E283,'All Products'!D:D,'All Products'!P:P,FALSE)</f>
        <v>23.4</v>
      </c>
      <c r="V283" s="530" t="str">
        <f>_xlfn.XLOOKUP(E283,'All Products'!D:D,'All Products'!Q:Q,FALSE)</f>
        <v>-</v>
      </c>
    </row>
    <row r="284" spans="1:22" s="17" customFormat="1" ht="41.25" customHeight="1" thickBot="1">
      <c r="A284" s="5" t="str">
        <f>IF(K284&gt;0,COUNT($A$7:A283)+1,"")</f>
        <v/>
      </c>
      <c r="B284" s="202"/>
      <c r="C284" s="203"/>
      <c r="D284" s="512" t="str">
        <f>_xlfn.XLOOKUP(E284,'All Products'!D:D,'All Products'!C:C,FALSE)</f>
        <v>888-P-0003</v>
      </c>
      <c r="E284" s="106">
        <v>300005714</v>
      </c>
      <c r="F284" s="522" t="str">
        <f>_xlfn.XLOOKUP(E284,'All Products'!D:D,'All Products'!E:E,FALSE)</f>
        <v>3 INSIDE FIT CLOSET FLANGE DWV</v>
      </c>
      <c r="G284" s="282">
        <f>_xlfn.XLOOKUP(E284,'All Products'!D:D,'All Products'!F:F,FALSE)</f>
        <v>20</v>
      </c>
      <c r="H284" s="533" t="str">
        <f>_xlfn.XLOOKUP(E284,'All Products'!D:D,'All Products'!G:G,FALSE)</f>
        <v>-</v>
      </c>
      <c r="I284" s="512">
        <f>_xlfn.XLOOKUP(E284,'All Products'!D:D,'All Products'!H:H,FALSE)</f>
        <v>531.41999999999996</v>
      </c>
      <c r="J284" s="216">
        <f>ROUNDUP(I284*Order_Quote!$L$2,2)</f>
        <v>2657.1</v>
      </c>
      <c r="K284" s="108"/>
      <c r="L284" s="79"/>
      <c r="M284" s="107">
        <f t="shared" si="6"/>
        <v>0</v>
      </c>
      <c r="O284" s="525" t="str">
        <f>_xlfn.XLOOKUP(E284,'All Products'!D:D,'All Products'!I:I,FALSE)</f>
        <v>Within 6 Weeks</v>
      </c>
      <c r="P284" s="525" t="str">
        <f>_xlfn.XLOOKUP(E284,'All Products'!D:D,'All Products'!J:J,FALSE)</f>
        <v>Sourced</v>
      </c>
      <c r="Q284" s="525" t="str">
        <f>_xlfn.XLOOKUP(F284,'All Products'!E:E,'All Products'!K:K,FALSE)</f>
        <v>812361017241</v>
      </c>
      <c r="R284" s="525" t="str">
        <f>_xlfn.XLOOKUP(E284,'All Products'!D:D,'All Products'!L:L,FALSE)</f>
        <v>-</v>
      </c>
      <c r="S284" s="525">
        <f>_xlfn.XLOOKUP(E284,'All Products'!D:D,'All Products'!M:M,FALSE)</f>
        <v>0</v>
      </c>
      <c r="T284" s="530">
        <f>_xlfn.XLOOKUP(E284,'All Products'!D:D,'All Products'!N:N,FALSE)</f>
        <v>1.1100000000000001</v>
      </c>
      <c r="U284" s="530">
        <f>_xlfn.XLOOKUP(E284,'All Products'!D:D,'All Products'!P:P,FALSE)</f>
        <v>22.200000000000003</v>
      </c>
      <c r="V284" s="530" t="str">
        <f>_xlfn.XLOOKUP(E284,'All Products'!D:D,'All Products'!Q:Q,FALSE)</f>
        <v>-</v>
      </c>
    </row>
    <row r="285" spans="1:22">
      <c r="A285" s="5">
        <f>MAX(A$8:A284)+1</f>
        <v>1</v>
      </c>
      <c r="B285" s="491"/>
      <c r="C285" s="491"/>
      <c r="I285" s="534"/>
    </row>
    <row r="286" spans="1:22" ht="15" customHeight="1"/>
    <row r="287" spans="1:22" ht="15" customHeight="1"/>
    <row r="288" spans="1:22" ht="15" customHeight="1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</sheetData>
  <sheetProtection algorithmName="SHA-512" hashValue="jlsl6MhaJSR0Zt/tXZnsCQqvuwOTcjl8Ro1csgdXedHuo2WbcLKQewuSjGBqlzQOe1UKVK5ci0gjt0Bw6lWgBw==" saltValue="kfjbpR6OszTkxHHhH17xHQ==" spinCount="100000" sheet="1" formatCells="0" formatColumns="0" formatRows="0" insertColumns="0" insertRows="0" insertHyperlinks="0" deleteColumns="0" deleteRows="0" sort="0" autoFilter="0" pivotTables="0"/>
  <sortState xmlns:xlrd2="http://schemas.microsoft.com/office/spreadsheetml/2017/richdata2" ref="D8:I283">
    <sortCondition ref="D8"/>
  </sortState>
  <mergeCells count="2">
    <mergeCell ref="Q6:S6"/>
    <mergeCell ref="J2:K3"/>
  </mergeCells>
  <dataValidations xWindow="901" yWindow="381" count="3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7 K6:K7 K1 K285:L65561" xr:uid="{00000000-0002-0000-02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2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. " sqref="K8:L284" xr:uid="{00000000-0002-0000-0200-000002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&amp;L&amp;8V12112014&amp;CCopyright 2015
All rights reserved
For Tigre-ADS USA customer and rep use only&amp;R&amp;P</oddFooter>
  </headerFooter>
  <rowBreaks count="6" manualBreakCount="6">
    <brk id="47" max="8" man="1"/>
    <brk id="86" max="8" man="1"/>
    <brk id="137" max="8" man="1"/>
    <brk id="185" max="8" man="1"/>
    <brk id="221" max="8" man="1"/>
    <brk id="268" max="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  <pageSetUpPr fitToPage="1"/>
  </sheetPr>
  <dimension ref="A1:AL688"/>
  <sheetViews>
    <sheetView showGridLines="0" zoomScaleNormal="100" workbookViewId="0">
      <pane xSplit="6" ySplit="7" topLeftCell="I8" activePane="bottomRight" state="frozen"/>
      <selection pane="bottomRight" activeCell="I8" sqref="I8"/>
      <selection pane="bottomLeft" activeCell="F8" sqref="F8"/>
      <selection pane="topRight" activeCell="F8" sqref="F8"/>
    </sheetView>
  </sheetViews>
  <sheetFormatPr defaultColWidth="0" defaultRowHeight="15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538" customWidth="1"/>
    <col min="9" max="9" width="10.7109375" style="485" customWidth="1"/>
    <col min="10" max="10" width="10.7109375" style="215" customWidth="1"/>
    <col min="11" max="11" width="10.7109375" style="17" customWidth="1"/>
    <col min="12" max="12" width="1" style="17" customWidth="1"/>
    <col min="13" max="13" width="10.7109375" style="17" customWidth="1"/>
    <col min="14" max="14" width="2.28515625" style="17" customWidth="1"/>
    <col min="15" max="15" width="12.7109375" style="217" customWidth="1"/>
    <col min="16" max="16" width="10.7109375" style="217" customWidth="1"/>
    <col min="17" max="17" width="11.28515625" style="541" customWidth="1"/>
    <col min="18" max="18" width="10.7109375" style="541" customWidth="1"/>
    <col min="19" max="19" width="13.140625" style="541" customWidth="1"/>
    <col min="20" max="20" width="10.7109375" style="545" customWidth="1"/>
    <col min="21" max="21" width="10.7109375" style="541" customWidth="1"/>
    <col min="22" max="23" width="10.7109375" style="545" customWidth="1"/>
    <col min="24" max="24" width="9.140625" style="17" customWidth="1"/>
    <col min="25" max="25" width="2.140625" style="17" customWidth="1"/>
    <col min="26" max="26" width="0" style="266" hidden="1" customWidth="1"/>
    <col min="27" max="38" width="0" style="17" hidden="1" customWidth="1"/>
    <col min="39" max="16384" width="9.140625" style="17" hidden="1"/>
  </cols>
  <sheetData>
    <row r="1" spans="1:23" ht="18.75">
      <c r="F1" s="173" t="s">
        <v>332</v>
      </c>
      <c r="G1" s="535"/>
      <c r="H1" s="537"/>
      <c r="O1" s="236"/>
      <c r="P1" s="236"/>
      <c r="Q1" s="535"/>
      <c r="R1" s="535"/>
      <c r="S1" s="535"/>
      <c r="T1" s="544"/>
      <c r="U1" s="535"/>
      <c r="V1" s="544"/>
      <c r="W1" s="544"/>
    </row>
    <row r="2" spans="1:23" ht="15.75" customHeight="1">
      <c r="D2" s="238"/>
      <c r="E2" s="268"/>
      <c r="J2" s="628" t="s">
        <v>59</v>
      </c>
      <c r="K2" s="628"/>
    </row>
    <row r="3" spans="1:23">
      <c r="F3" s="436" t="s">
        <v>333</v>
      </c>
      <c r="J3" s="628"/>
      <c r="K3" s="628"/>
      <c r="O3" s="17"/>
    </row>
    <row r="4" spans="1:23">
      <c r="E4" s="163" t="s">
        <v>334</v>
      </c>
      <c r="F4" s="440" t="s">
        <v>335</v>
      </c>
      <c r="O4" s="17"/>
      <c r="P4" s="17"/>
      <c r="Q4" s="434"/>
      <c r="R4" s="434"/>
      <c r="S4" s="434"/>
      <c r="T4" s="485"/>
      <c r="U4" s="434"/>
      <c r="V4" s="485"/>
      <c r="W4" s="485"/>
    </row>
    <row r="5" spans="1:23">
      <c r="F5" s="438" t="s">
        <v>329</v>
      </c>
      <c r="O5" s="17"/>
      <c r="P5" s="17"/>
      <c r="Q5" s="434"/>
      <c r="R5" s="434"/>
      <c r="S5" s="434"/>
      <c r="T5" s="485"/>
      <c r="U5" s="434"/>
      <c r="V5" s="485"/>
      <c r="W5" s="485"/>
    </row>
    <row r="6" spans="1:23">
      <c r="F6" s="17"/>
      <c r="O6" s="486" t="s">
        <v>63</v>
      </c>
      <c r="P6" s="17"/>
      <c r="Q6" s="576" t="s">
        <v>64</v>
      </c>
      <c r="R6" s="576"/>
      <c r="S6" s="576"/>
      <c r="T6" s="485"/>
      <c r="U6" s="434"/>
      <c r="V6" s="485"/>
      <c r="W6" s="485"/>
    </row>
    <row r="7" spans="1:23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524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542" t="s">
        <v>70</v>
      </c>
      <c r="R7" s="542" t="s">
        <v>71</v>
      </c>
      <c r="S7" s="542" t="s">
        <v>72</v>
      </c>
      <c r="T7" s="529" t="s">
        <v>73</v>
      </c>
      <c r="U7" s="542" t="s">
        <v>336</v>
      </c>
      <c r="V7" s="529" t="s">
        <v>330</v>
      </c>
      <c r="W7" s="529" t="s">
        <v>331</v>
      </c>
    </row>
    <row r="8" spans="1:23" ht="15" customHeight="1">
      <c r="A8" s="104" t="str">
        <f>IF(K8&gt;0,COUNT($A$7:A7)+COUNT('DWV PVC'!$A$8:$A$284)+COUNT('DWV ABS'!$A$8:$A$116)+1,"")</f>
        <v/>
      </c>
      <c r="B8" s="577"/>
      <c r="C8" s="578"/>
      <c r="D8" s="512" t="str">
        <f>_xlfn.XLOOKUP(E8,'All Products'!D:D,'All Products'!C:C,FALSE)</f>
        <v>401-005</v>
      </c>
      <c r="E8" s="53">
        <v>100022286</v>
      </c>
      <c r="F8" s="522" t="str">
        <f>_xlfn.XLOOKUP(E8,'All Products'!D:D,'All Products'!E:E,FALSE)</f>
        <v>1/2 TEE SLIP X SLIP X SLIP</v>
      </c>
      <c r="G8" s="282">
        <f>_xlfn.XLOOKUP(E8,'All Products'!D:D,'All Products'!F:F,FALSE)</f>
        <v>150</v>
      </c>
      <c r="H8" s="533">
        <f>_xlfn.XLOOKUP(E8,'All Products'!D:D,'All Products'!G:G,FALSE)</f>
        <v>13500</v>
      </c>
      <c r="I8" s="540">
        <f>_xlfn.XLOOKUP(E8,'All Products'!D:D,'All Products'!H:H,FALSE)</f>
        <v>1.96</v>
      </c>
      <c r="J8" s="216">
        <f>ROUND(I8*Order_Quote!$L$4,2)</f>
        <v>9.8000000000000007</v>
      </c>
      <c r="K8" s="76"/>
      <c r="L8" s="79"/>
      <c r="M8" s="117">
        <f t="shared" ref="M8:M38" si="0">K8/G8</f>
        <v>0</v>
      </c>
      <c r="O8" s="530" t="str">
        <f>_xlfn.XLOOKUP(E8,'All Products'!D:D,'All Products'!I:I,FALSE)</f>
        <v>In Stock</v>
      </c>
      <c r="P8" s="530" t="str">
        <f>_xlfn.XLOOKUP(E8,'All Products'!D:D,'All Products'!J:J,FALSE)</f>
        <v>Manufactured</v>
      </c>
      <c r="Q8" s="543" t="str">
        <f>_xlfn.XLOOKUP(E8,'All Products'!D:D,'All Products'!K:K,FALSE)</f>
        <v>049081145224</v>
      </c>
      <c r="R8" s="543" t="str">
        <f>_xlfn.XLOOKUP(E8,'All Products'!D:D,'All Products'!L:L,FALSE)</f>
        <v>049081645229</v>
      </c>
      <c r="S8" s="543" t="str">
        <f>_xlfn.XLOOKUP(E8,'All Products'!D:D,'All Products'!M:M,FALSE)</f>
        <v>40049081145222</v>
      </c>
      <c r="T8" s="530">
        <f>_xlfn.XLOOKUP(E8,'All Products'!D:D,'All Products'!N:N,FALSE)</f>
        <v>7.1999999999999995E-2</v>
      </c>
      <c r="U8" s="543">
        <f>_xlfn.XLOOKUP(E8,'All Products'!D:D,'All Products'!O:O,FALSE)</f>
        <v>10</v>
      </c>
      <c r="V8" s="530">
        <f>_xlfn.XLOOKUP(E8,'All Products'!D:D,'All Products'!P:P,FALSE)</f>
        <v>12.28</v>
      </c>
      <c r="W8" s="530">
        <f>_xlfn.XLOOKUP(E8,'All Products'!D:D,'All Products'!Q:Q,FALSE)</f>
        <v>0.8</v>
      </c>
    </row>
    <row r="9" spans="1:23" ht="15" customHeight="1">
      <c r="A9" s="104" t="str">
        <f>IF(K9&gt;0,COUNT($A$7:A8)+COUNT('DWV PVC'!$A$8:$A$284)+COUNT('DWV ABS'!$A$8:$A$116)+1,"")</f>
        <v/>
      </c>
      <c r="B9" s="579"/>
      <c r="C9" s="580"/>
      <c r="D9" s="512" t="str">
        <f>_xlfn.XLOOKUP(E9,'All Products'!D:D,'All Products'!C:C,FALSE)</f>
        <v>401-007</v>
      </c>
      <c r="E9" s="53">
        <v>100022288</v>
      </c>
      <c r="F9" s="522" t="str">
        <f>_xlfn.XLOOKUP(E9,'All Products'!D:D,'All Products'!E:E,FALSE)</f>
        <v>3/4 TEE SLIP X SLIP X SLIP</v>
      </c>
      <c r="G9" s="282">
        <f>_xlfn.XLOOKUP(E9,'All Products'!D:D,'All Products'!F:F,FALSE)</f>
        <v>100</v>
      </c>
      <c r="H9" s="533">
        <f>_xlfn.XLOOKUP(E9,'All Products'!D:D,'All Products'!G:G,FALSE)</f>
        <v>9000</v>
      </c>
      <c r="I9" s="540">
        <f>_xlfn.XLOOKUP(E9,'All Products'!D:D,'All Products'!H:H,FALSE)</f>
        <v>2.29</v>
      </c>
      <c r="J9" s="216">
        <f>ROUND(I9*Order_Quote!$L$4,2)</f>
        <v>11.45</v>
      </c>
      <c r="K9" s="76"/>
      <c r="L9" s="79"/>
      <c r="M9" s="117">
        <f t="shared" si="0"/>
        <v>0</v>
      </c>
      <c r="O9" s="530" t="str">
        <f>_xlfn.XLOOKUP(E9,'All Products'!D:D,'All Products'!I:I,FALSE)</f>
        <v>In Stock</v>
      </c>
      <c r="P9" s="530" t="str">
        <f>_xlfn.XLOOKUP(E9,'All Products'!D:D,'All Products'!J:J,FALSE)</f>
        <v>Manufactured</v>
      </c>
      <c r="Q9" s="543" t="str">
        <f>_xlfn.XLOOKUP(E9,'All Products'!D:D,'All Products'!K:K,FALSE)</f>
        <v>049081145286</v>
      </c>
      <c r="R9" s="543" t="str">
        <f>_xlfn.XLOOKUP(E9,'All Products'!D:D,'All Products'!L:L,FALSE)</f>
        <v>049081645281</v>
      </c>
      <c r="S9" s="543" t="str">
        <f>_xlfn.XLOOKUP(E9,'All Products'!D:D,'All Products'!M:M,FALSE)</f>
        <v>40049081145284</v>
      </c>
      <c r="T9" s="530">
        <f>_xlfn.XLOOKUP(E9,'All Products'!D:D,'All Products'!N:N,FALSE)</f>
        <v>0.113</v>
      </c>
      <c r="U9" s="543">
        <f>_xlfn.XLOOKUP(E9,'All Products'!D:D,'All Products'!O:O,FALSE)</f>
        <v>10</v>
      </c>
      <c r="V9" s="530">
        <f>_xlfn.XLOOKUP(E9,'All Products'!D:D,'All Products'!P:P,FALSE)</f>
        <v>11.68</v>
      </c>
      <c r="W9" s="530">
        <f>_xlfn.XLOOKUP(E9,'All Products'!D:D,'All Products'!Q:Q,FALSE)</f>
        <v>0.8</v>
      </c>
    </row>
    <row r="10" spans="1:23" ht="15" customHeight="1">
      <c r="A10" s="104" t="str">
        <f>IF(K10&gt;0,COUNT($A$7:A9)+COUNT('DWV PVC'!$A$8:$A$284)+COUNT('DWV ABS'!$A$8:$A$116)+1,"")</f>
        <v/>
      </c>
      <c r="B10" s="579"/>
      <c r="C10" s="580"/>
      <c r="D10" s="512" t="str">
        <f>_xlfn.XLOOKUP(E10,'All Products'!D:D,'All Products'!C:C,FALSE)</f>
        <v>401-010</v>
      </c>
      <c r="E10" s="53">
        <v>100022291</v>
      </c>
      <c r="F10" s="522" t="str">
        <f>_xlfn.XLOOKUP(E10,'All Products'!D:D,'All Products'!E:E,FALSE)</f>
        <v>1 TEE SLIP X SLIP X SLIP</v>
      </c>
      <c r="G10" s="282">
        <f>_xlfn.XLOOKUP(E10,'All Products'!D:D,'All Products'!F:F,FALSE)</f>
        <v>50</v>
      </c>
      <c r="H10" s="533">
        <f>_xlfn.XLOOKUP(E10,'All Products'!D:D,'All Products'!G:G,FALSE)</f>
        <v>4500</v>
      </c>
      <c r="I10" s="540">
        <f>_xlfn.XLOOKUP(E10,'All Products'!D:D,'All Products'!H:H,FALSE)</f>
        <v>4.25</v>
      </c>
      <c r="J10" s="216">
        <f>ROUND(I10*Order_Quote!$L$4,2)</f>
        <v>21.25</v>
      </c>
      <c r="K10" s="76"/>
      <c r="L10" s="79"/>
      <c r="M10" s="117">
        <f t="shared" si="0"/>
        <v>0</v>
      </c>
      <c r="O10" s="530" t="str">
        <f>_xlfn.XLOOKUP(E10,'All Products'!D:D,'All Products'!I:I,FALSE)</f>
        <v>In Stock</v>
      </c>
      <c r="P10" s="530" t="str">
        <f>_xlfn.XLOOKUP(E10,'All Products'!D:D,'All Products'!J:J,FALSE)</f>
        <v>Manufactured</v>
      </c>
      <c r="Q10" s="543" t="str">
        <f>_xlfn.XLOOKUP(E10,'All Products'!D:D,'All Products'!K:K,FALSE)</f>
        <v>049081145385</v>
      </c>
      <c r="R10" s="543" t="str">
        <f>_xlfn.XLOOKUP(E10,'All Products'!D:D,'All Products'!L:L,FALSE)</f>
        <v>049081645380</v>
      </c>
      <c r="S10" s="543" t="str">
        <f>_xlfn.XLOOKUP(E10,'All Products'!D:D,'All Products'!M:M,FALSE)</f>
        <v>40049081145383</v>
      </c>
      <c r="T10" s="530">
        <f>_xlfn.XLOOKUP(E10,'All Products'!D:D,'All Products'!N:N,FALSE)</f>
        <v>0.13600000000000001</v>
      </c>
      <c r="U10" s="543">
        <f>_xlfn.XLOOKUP(E10,'All Products'!D:D,'All Products'!O:O,FALSE)</f>
        <v>10</v>
      </c>
      <c r="V10" s="530">
        <f>_xlfn.XLOOKUP(E10,'All Products'!D:D,'All Products'!P:P,FALSE)</f>
        <v>7.37</v>
      </c>
      <c r="W10" s="530">
        <f>_xlfn.XLOOKUP(E10,'All Products'!D:D,'All Products'!Q:Q,FALSE)</f>
        <v>0.8</v>
      </c>
    </row>
    <row r="11" spans="1:23" ht="15" customHeight="1">
      <c r="A11" s="104" t="str">
        <f>IF(K11&gt;0,COUNT($A$7:A10)+COUNT('DWV PVC'!$A$8:$A$284)+COUNT('DWV ABS'!$A$8:$A$116)+1,"")</f>
        <v/>
      </c>
      <c r="B11" s="579"/>
      <c r="C11" s="580"/>
      <c r="D11" s="512" t="str">
        <f>_xlfn.XLOOKUP(E11,'All Products'!D:D,'All Products'!C:C,FALSE)</f>
        <v>401-015</v>
      </c>
      <c r="E11" s="53">
        <v>100022295</v>
      </c>
      <c r="F11" s="522" t="str">
        <f>_xlfn.XLOOKUP(E11,'All Products'!D:D,'All Products'!E:E,FALSE)</f>
        <v>1-1/2 TEE SLIP X SLIP X SLIP</v>
      </c>
      <c r="G11" s="282">
        <f>_xlfn.XLOOKUP(E11,'All Products'!D:D,'All Products'!F:F,FALSE)</f>
        <v>25</v>
      </c>
      <c r="H11" s="533">
        <f>_xlfn.XLOOKUP(E11,'All Products'!D:D,'All Products'!G:G,FALSE)</f>
        <v>2250</v>
      </c>
      <c r="I11" s="540">
        <f>_xlfn.XLOOKUP(E11,'All Products'!D:D,'All Products'!H:H,FALSE)</f>
        <v>8.06</v>
      </c>
      <c r="J11" s="216">
        <f>ROUND(I11*Order_Quote!$L$4,2)</f>
        <v>40.299999999999997</v>
      </c>
      <c r="K11" s="76"/>
      <c r="L11" s="79"/>
      <c r="M11" s="117">
        <f t="shared" si="0"/>
        <v>0</v>
      </c>
      <c r="O11" s="530" t="str">
        <f>_xlfn.XLOOKUP(E11,'All Products'!D:D,'All Products'!I:I,FALSE)</f>
        <v>In Stock</v>
      </c>
      <c r="P11" s="530" t="str">
        <f>_xlfn.XLOOKUP(E11,'All Products'!D:D,'All Products'!J:J,FALSE)</f>
        <v>Manufactured</v>
      </c>
      <c r="Q11" s="543" t="str">
        <f>_xlfn.XLOOKUP(E11,'All Products'!D:D,'All Products'!K:K,FALSE)</f>
        <v>049081145866</v>
      </c>
      <c r="R11" s="543">
        <f>_xlfn.XLOOKUP(E11,'All Products'!D:D,'All Products'!L:L,FALSE)</f>
        <v>0</v>
      </c>
      <c r="S11" s="543" t="str">
        <f>_xlfn.XLOOKUP(E11,'All Products'!D:D,'All Products'!M:M,FALSE)</f>
        <v>40049081145864</v>
      </c>
      <c r="T11" s="530">
        <f>_xlfn.XLOOKUP(E11,'All Products'!D:D,'All Products'!N:N,FALSE)</f>
        <v>0.374</v>
      </c>
      <c r="U11" s="543">
        <f>_xlfn.XLOOKUP(E11,'All Products'!D:D,'All Products'!O:O,FALSE)</f>
        <v>1</v>
      </c>
      <c r="V11" s="530">
        <f>_xlfn.XLOOKUP(E11,'All Products'!D:D,'All Products'!P:P,FALSE)</f>
        <v>9.83</v>
      </c>
      <c r="W11" s="530">
        <f>_xlfn.XLOOKUP(E11,'All Products'!D:D,'All Products'!Q:Q,FALSE)</f>
        <v>0.8</v>
      </c>
    </row>
    <row r="12" spans="1:23" ht="15" customHeight="1">
      <c r="A12" s="104" t="str">
        <f>IF(K12&gt;0,COUNT($A$7:A11)+COUNT('DWV PVC'!$A$8:$A$284)+COUNT('DWV ABS'!$A$8:$A$116)+1,"")</f>
        <v/>
      </c>
      <c r="B12" s="579"/>
      <c r="C12" s="580"/>
      <c r="D12" s="512" t="str">
        <f>_xlfn.XLOOKUP(E12,'All Products'!D:D,'All Products'!C:C,FALSE)</f>
        <v>401-020</v>
      </c>
      <c r="E12" s="53">
        <v>100022297</v>
      </c>
      <c r="F12" s="522" t="str">
        <f>_xlfn.XLOOKUP(E12,'All Products'!D:D,'All Products'!E:E,FALSE)</f>
        <v>2 TEE SLIP X SLIP X SLIP</v>
      </c>
      <c r="G12" s="282">
        <f>_xlfn.XLOOKUP(E12,'All Products'!D:D,'All Products'!F:F,FALSE)</f>
        <v>15</v>
      </c>
      <c r="H12" s="533">
        <f>_xlfn.XLOOKUP(E12,'All Products'!D:D,'All Products'!G:G,FALSE)</f>
        <v>1350</v>
      </c>
      <c r="I12" s="540">
        <f>_xlfn.XLOOKUP(E12,'All Products'!D:D,'All Products'!H:H,FALSE)</f>
        <v>11.75</v>
      </c>
      <c r="J12" s="216">
        <f>ROUND(I12*Order_Quote!$L$4,2)</f>
        <v>58.75</v>
      </c>
      <c r="K12" s="76"/>
      <c r="L12" s="79"/>
      <c r="M12" s="117">
        <f t="shared" si="0"/>
        <v>0</v>
      </c>
      <c r="O12" s="530" t="str">
        <f>_xlfn.XLOOKUP(E12,'All Products'!D:D,'All Products'!I:I,FALSE)</f>
        <v>In Stock</v>
      </c>
      <c r="P12" s="530" t="str">
        <f>_xlfn.XLOOKUP(E12,'All Products'!D:D,'All Products'!J:J,FALSE)</f>
        <v>Manufactured</v>
      </c>
      <c r="Q12" s="543" t="str">
        <f>_xlfn.XLOOKUP(E12,'All Products'!D:D,'All Products'!K:K,FALSE)</f>
        <v>049081146245</v>
      </c>
      <c r="R12" s="543" t="str">
        <f>_xlfn.XLOOKUP(E12,'All Products'!D:D,'All Products'!L:L,FALSE)</f>
        <v>-</v>
      </c>
      <c r="S12" s="543" t="str">
        <f>_xlfn.XLOOKUP(E12,'All Products'!D:D,'All Products'!M:M,FALSE)</f>
        <v>40049081146243</v>
      </c>
      <c r="T12" s="530">
        <f>_xlfn.XLOOKUP(E12,'All Products'!D:D,'All Products'!N:N,FALSE)</f>
        <v>0.60699999999999998</v>
      </c>
      <c r="U12" s="543" t="str">
        <f>_xlfn.XLOOKUP(E12,'All Products'!D:D,'All Products'!O:O,FALSE)</f>
        <v>-</v>
      </c>
      <c r="V12" s="530">
        <f>_xlfn.XLOOKUP(E12,'All Products'!D:D,'All Products'!P:P,FALSE)</f>
        <v>8.84</v>
      </c>
      <c r="W12" s="530">
        <f>_xlfn.XLOOKUP(E12,'All Products'!D:D,'All Products'!Q:Q,FALSE)</f>
        <v>0.8</v>
      </c>
    </row>
    <row r="13" spans="1:23" ht="15" customHeight="1">
      <c r="A13" s="104" t="str">
        <f>IF(K13&gt;0,COUNT($A$7:A12)+COUNT('DWV PVC'!$A$8:$A$284)+COUNT('DWV ABS'!$A$8:$A$116)+1,"")</f>
        <v/>
      </c>
      <c r="B13" s="579"/>
      <c r="C13" s="580"/>
      <c r="D13" s="512" t="str">
        <f>_xlfn.XLOOKUP(E13,'All Products'!D:D,'All Products'!C:C,FALSE)</f>
        <v>401-025</v>
      </c>
      <c r="E13" s="53">
        <v>100022299</v>
      </c>
      <c r="F13" s="522" t="str">
        <f>_xlfn.XLOOKUP(E13,'All Products'!D:D,'All Products'!E:E,FALSE)</f>
        <v>2-1/2 TEE SLIP X SLIP X SLIP</v>
      </c>
      <c r="G13" s="282">
        <f>_xlfn.XLOOKUP(E13,'All Products'!D:D,'All Products'!F:F,FALSE)</f>
        <v>8</v>
      </c>
      <c r="H13" s="533">
        <f>_xlfn.XLOOKUP(E13,'All Products'!D:D,'All Products'!G:G,FALSE)</f>
        <v>720</v>
      </c>
      <c r="I13" s="540">
        <f>_xlfn.XLOOKUP(E13,'All Products'!D:D,'All Products'!H:H,FALSE)</f>
        <v>38.71</v>
      </c>
      <c r="J13" s="216">
        <f>ROUND(I13*Order_Quote!$L$4,2)</f>
        <v>193.55</v>
      </c>
      <c r="K13" s="76"/>
      <c r="L13" s="79"/>
      <c r="M13" s="117">
        <f t="shared" si="0"/>
        <v>0</v>
      </c>
      <c r="O13" s="530" t="str">
        <f>_xlfn.XLOOKUP(E13,'All Products'!D:D,'All Products'!I:I,FALSE)</f>
        <v>In Stock</v>
      </c>
      <c r="P13" s="530" t="str">
        <f>_xlfn.XLOOKUP(E13,'All Products'!D:D,'All Products'!J:J,FALSE)</f>
        <v>Manufactured</v>
      </c>
      <c r="Q13" s="543" t="str">
        <f>_xlfn.XLOOKUP(E13,'All Products'!D:D,'All Products'!K:K,FALSE)</f>
        <v>049081146566</v>
      </c>
      <c r="R13" s="543" t="str">
        <f>_xlfn.XLOOKUP(E13,'All Products'!D:D,'All Products'!L:L,FALSE)</f>
        <v>-</v>
      </c>
      <c r="S13" s="543" t="str">
        <f>_xlfn.XLOOKUP(E13,'All Products'!D:D,'All Products'!M:M,FALSE)</f>
        <v>40049081146564</v>
      </c>
      <c r="T13" s="530">
        <f>_xlfn.XLOOKUP(E13,'All Products'!D:D,'All Products'!N:N,FALSE)</f>
        <v>0.99399999999999999</v>
      </c>
      <c r="U13" s="543" t="str">
        <f>_xlfn.XLOOKUP(E13,'All Products'!D:D,'All Products'!O:O,FALSE)</f>
        <v>-</v>
      </c>
      <c r="V13" s="530">
        <f>_xlfn.XLOOKUP(E13,'All Products'!D:D,'All Products'!P:P,FALSE)</f>
        <v>8.85</v>
      </c>
      <c r="W13" s="530">
        <f>_xlfn.XLOOKUP(E13,'All Products'!D:D,'All Products'!Q:Q,FALSE)</f>
        <v>0.8</v>
      </c>
    </row>
    <row r="14" spans="1:23" ht="15" customHeight="1">
      <c r="A14" s="104" t="str">
        <f>IF(K14&gt;0,COUNT($A$7:A13)+COUNT('DWV PVC'!$A$8:$A$284)+COUNT('DWV ABS'!$A$8:$A$116)+1,"")</f>
        <v/>
      </c>
      <c r="B14" s="579"/>
      <c r="C14" s="580"/>
      <c r="D14" s="512" t="str">
        <f>_xlfn.XLOOKUP(E14,'All Products'!D:D,'All Products'!C:C,FALSE)</f>
        <v>401-030</v>
      </c>
      <c r="E14" s="53">
        <v>100022301</v>
      </c>
      <c r="F14" s="522" t="str">
        <f>_xlfn.XLOOKUP(E14,'All Products'!D:D,'All Products'!E:E,FALSE)</f>
        <v>3 TEE SLIP X SLIP X SLIP</v>
      </c>
      <c r="G14" s="282">
        <f>_xlfn.XLOOKUP(E14,'All Products'!D:D,'All Products'!F:F,FALSE)</f>
        <v>5</v>
      </c>
      <c r="H14" s="533">
        <f>_xlfn.XLOOKUP(E14,'All Products'!D:D,'All Products'!G:G,FALSE)</f>
        <v>600</v>
      </c>
      <c r="I14" s="540">
        <f>_xlfn.XLOOKUP(E14,'All Products'!D:D,'All Products'!H:H,FALSE)</f>
        <v>50.86</v>
      </c>
      <c r="J14" s="216">
        <f>ROUND(I14*Order_Quote!$L$4,2)</f>
        <v>254.3</v>
      </c>
      <c r="K14" s="76"/>
      <c r="L14" s="79"/>
      <c r="M14" s="117">
        <f t="shared" si="0"/>
        <v>0</v>
      </c>
      <c r="O14" s="530" t="str">
        <f>_xlfn.XLOOKUP(E14,'All Products'!D:D,'All Products'!I:I,FALSE)</f>
        <v>In Stock</v>
      </c>
      <c r="P14" s="530" t="str">
        <f>_xlfn.XLOOKUP(E14,'All Products'!D:D,'All Products'!J:J,FALSE)</f>
        <v>Manufactured</v>
      </c>
      <c r="Q14" s="543" t="str">
        <f>_xlfn.XLOOKUP(E14,'All Products'!D:D,'All Products'!K:K,FALSE)</f>
        <v>049081146702</v>
      </c>
      <c r="R14" s="543" t="str">
        <f>_xlfn.XLOOKUP(E14,'All Products'!D:D,'All Products'!L:L,FALSE)</f>
        <v>-</v>
      </c>
      <c r="S14" s="543" t="str">
        <f>_xlfn.XLOOKUP(E14,'All Products'!D:D,'All Products'!M:M,FALSE)</f>
        <v>40049081146700</v>
      </c>
      <c r="T14" s="530">
        <f>_xlfn.XLOOKUP(E14,'All Products'!D:D,'All Products'!N:N,FALSE)</f>
        <v>1.417</v>
      </c>
      <c r="U14" s="543" t="str">
        <f>_xlfn.XLOOKUP(E14,'All Products'!D:D,'All Products'!O:O,FALSE)</f>
        <v>-</v>
      </c>
      <c r="V14" s="530">
        <f>_xlfn.XLOOKUP(E14,'All Products'!D:D,'All Products'!P:P,FALSE)</f>
        <v>7.71</v>
      </c>
      <c r="W14" s="530">
        <f>_xlfn.XLOOKUP(E14,'All Products'!D:D,'All Products'!Q:Q,FALSE)</f>
        <v>0.65</v>
      </c>
    </row>
    <row r="15" spans="1:23" ht="15" customHeight="1">
      <c r="A15" s="104" t="str">
        <f>IF(K15&gt;0,COUNT($A$7:A14)+COUNT('DWV PVC'!$A$8:$A$284)+COUNT('DWV ABS'!$A$8:$A$116)+1,"")</f>
        <v/>
      </c>
      <c r="B15" s="579"/>
      <c r="C15" s="580"/>
      <c r="D15" s="512" t="str">
        <f>_xlfn.XLOOKUP(E15,'All Products'!D:D,'All Products'!C:C,FALSE)</f>
        <v>401-040</v>
      </c>
      <c r="E15" s="53">
        <v>100022303</v>
      </c>
      <c r="F15" s="522" t="str">
        <f>_xlfn.XLOOKUP(E15,'All Products'!D:D,'All Products'!E:E,FALSE)</f>
        <v>4 TEE SLIP X SLIP X SLIP</v>
      </c>
      <c r="G15" s="282">
        <f>_xlfn.XLOOKUP(E15,'All Products'!D:D,'All Products'!F:F,FALSE)</f>
        <v>3</v>
      </c>
      <c r="H15" s="533">
        <f>_xlfn.XLOOKUP(E15,'All Products'!D:D,'All Products'!G:G,FALSE)</f>
        <v>270</v>
      </c>
      <c r="I15" s="540">
        <f>_xlfn.XLOOKUP(E15,'All Products'!D:D,'All Products'!H:H,FALSE)</f>
        <v>92.07</v>
      </c>
      <c r="J15" s="216">
        <f>ROUND(I15*Order_Quote!$L$4,2)</f>
        <v>460.35</v>
      </c>
      <c r="K15" s="76"/>
      <c r="L15" s="79"/>
      <c r="M15" s="117">
        <f t="shared" si="0"/>
        <v>0</v>
      </c>
      <c r="O15" s="530" t="str">
        <f>_xlfn.XLOOKUP(E15,'All Products'!D:D,'All Products'!I:I,FALSE)</f>
        <v>In Stock</v>
      </c>
      <c r="P15" s="530" t="str">
        <f>_xlfn.XLOOKUP(E15,'All Products'!D:D,'All Products'!J:J,FALSE)</f>
        <v>Manufactured</v>
      </c>
      <c r="Q15" s="543" t="str">
        <f>_xlfn.XLOOKUP(E15,'All Products'!D:D,'All Products'!K:K,FALSE)</f>
        <v>049081146863</v>
      </c>
      <c r="R15" s="543" t="str">
        <f>_xlfn.XLOOKUP(E15,'All Products'!D:D,'All Products'!L:L,FALSE)</f>
        <v>-</v>
      </c>
      <c r="S15" s="543" t="str">
        <f>_xlfn.XLOOKUP(E15,'All Products'!D:D,'All Products'!M:M,FALSE)</f>
        <v>40049081146861</v>
      </c>
      <c r="T15" s="530">
        <f>_xlfn.XLOOKUP(E15,'All Products'!D:D,'All Products'!N:N,FALSE)</f>
        <v>2.298</v>
      </c>
      <c r="U15" s="543" t="str">
        <f>_xlfn.XLOOKUP(E15,'All Products'!D:D,'All Products'!O:O,FALSE)</f>
        <v>-</v>
      </c>
      <c r="V15" s="530">
        <f>_xlfn.XLOOKUP(E15,'All Products'!D:D,'All Products'!P:P,FALSE)</f>
        <v>8.15</v>
      </c>
      <c r="W15" s="530">
        <f>_xlfn.XLOOKUP(E15,'All Products'!D:D,'All Products'!Q:Q,FALSE)</f>
        <v>0.8</v>
      </c>
    </row>
    <row r="16" spans="1:23" ht="15" customHeight="1">
      <c r="A16" s="104" t="str">
        <f>IF(K16&gt;0,COUNT($A$7:A15)+COUNT('DWV PVC'!$A$8:$A$284)+COUNT('DWV ABS'!$A$8:$A$116)+1,"")</f>
        <v/>
      </c>
      <c r="B16" s="115"/>
      <c r="C16" s="116"/>
      <c r="D16" s="512" t="str">
        <f>_xlfn.XLOOKUP(E16,'All Products'!D:D,'All Products'!C:C,FALSE)</f>
        <v>401-050</v>
      </c>
      <c r="E16" s="53">
        <v>100022305</v>
      </c>
      <c r="F16" s="522" t="str">
        <f>_xlfn.XLOOKUP(E16,'All Products'!D:D,'All Products'!E:E,FALSE)</f>
        <v>5 TEE SLIP X SLIP X SLIP</v>
      </c>
      <c r="G16" s="282">
        <f>_xlfn.XLOOKUP(E16,'All Products'!D:D,'All Products'!F:F,FALSE)</f>
        <v>1</v>
      </c>
      <c r="H16" s="533">
        <f>_xlfn.XLOOKUP(E16,'All Products'!D:D,'All Products'!G:G,FALSE)</f>
        <v>90</v>
      </c>
      <c r="I16" s="540">
        <f>_xlfn.XLOOKUP(E16,'All Products'!D:D,'All Products'!H:H,FALSE)</f>
        <v>222.32</v>
      </c>
      <c r="J16" s="216">
        <f>ROUND(I16*Order_Quote!$L$4,2)</f>
        <v>1111.5999999999999</v>
      </c>
      <c r="K16" s="76"/>
      <c r="L16" s="79"/>
      <c r="M16" s="117">
        <f t="shared" si="0"/>
        <v>0</v>
      </c>
      <c r="O16" s="530" t="str">
        <f>_xlfn.XLOOKUP(E16,'All Products'!D:D,'All Products'!I:I,FALSE)</f>
        <v>Within 3 Weeks</v>
      </c>
      <c r="P16" s="530" t="str">
        <f>_xlfn.XLOOKUP(E16,'All Products'!D:D,'All Products'!J:J,FALSE)</f>
        <v>Manufactured</v>
      </c>
      <c r="Q16" s="543" t="str">
        <f>_xlfn.XLOOKUP(E16,'All Products'!D:D,'All Products'!K:K,FALSE)</f>
        <v>049081147044</v>
      </c>
      <c r="R16" s="543" t="str">
        <f>_xlfn.XLOOKUP(E16,'All Products'!D:D,'All Products'!L:L,FALSE)</f>
        <v>-</v>
      </c>
      <c r="S16" s="543" t="str">
        <f>_xlfn.XLOOKUP(E16,'All Products'!D:D,'All Products'!M:M,FALSE)</f>
        <v>40049081147042</v>
      </c>
      <c r="T16" s="530">
        <f>_xlfn.XLOOKUP(E16,'All Products'!D:D,'All Products'!N:N,FALSE)</f>
        <v>5.8310000000000004</v>
      </c>
      <c r="U16" s="543" t="str">
        <f>_xlfn.XLOOKUP(E16,'All Products'!D:D,'All Products'!O:O,FALSE)</f>
        <v>-</v>
      </c>
      <c r="V16" s="530">
        <f>_xlfn.XLOOKUP(E16,'All Products'!D:D,'All Products'!P:P,FALSE)</f>
        <v>5.83</v>
      </c>
      <c r="W16" s="530">
        <f>_xlfn.XLOOKUP(E16,'All Products'!D:D,'All Products'!Q:Q,FALSE)</f>
        <v>0.8</v>
      </c>
    </row>
    <row r="17" spans="1:23" ht="15" customHeight="1">
      <c r="A17" s="104" t="str">
        <f>IF(K17&gt;0,COUNT($A$7:A16)+COUNT('DWV PVC'!$A$8:$A$284)+COUNT('DWV ABS'!$A$8:$A$116)+1,"")</f>
        <v/>
      </c>
      <c r="B17" s="115"/>
      <c r="C17" s="116"/>
      <c r="D17" s="512" t="str">
        <f>_xlfn.XLOOKUP(E17,'All Products'!D:D,'All Products'!C:C,FALSE)</f>
        <v>401-060</v>
      </c>
      <c r="E17" s="53">
        <v>100022307</v>
      </c>
      <c r="F17" s="522" t="str">
        <f>_xlfn.XLOOKUP(E17,'All Products'!D:D,'All Products'!E:E,FALSE)</f>
        <v>6 TEE SLIP X SLIP X SLIP</v>
      </c>
      <c r="G17" s="282">
        <f>_xlfn.XLOOKUP(E17,'All Products'!D:D,'All Products'!F:F,FALSE)</f>
        <v>1</v>
      </c>
      <c r="H17" s="533">
        <f>_xlfn.XLOOKUP(E17,'All Products'!D:D,'All Products'!G:G,FALSE)</f>
        <v>75</v>
      </c>
      <c r="I17" s="540">
        <f>_xlfn.XLOOKUP(E17,'All Products'!D:D,'All Products'!H:H,FALSE)</f>
        <v>309.88</v>
      </c>
      <c r="J17" s="216">
        <f>ROUND(I17*Order_Quote!$L$4,2)</f>
        <v>1549.4</v>
      </c>
      <c r="K17" s="76"/>
      <c r="L17" s="79"/>
      <c r="M17" s="117">
        <f t="shared" si="0"/>
        <v>0</v>
      </c>
      <c r="O17" s="530" t="str">
        <f>_xlfn.XLOOKUP(E17,'All Products'!D:D,'All Products'!I:I,FALSE)</f>
        <v>In Stock</v>
      </c>
      <c r="P17" s="530" t="str">
        <f>_xlfn.XLOOKUP(E17,'All Products'!D:D,'All Products'!J:J,FALSE)</f>
        <v>Manufactured</v>
      </c>
      <c r="Q17" s="543" t="str">
        <f>_xlfn.XLOOKUP(E17,'All Products'!D:D,'All Products'!K:K,FALSE)</f>
        <v>049081147129</v>
      </c>
      <c r="R17" s="543" t="str">
        <f>_xlfn.XLOOKUP(E17,'All Products'!D:D,'All Products'!L:L,FALSE)</f>
        <v>-</v>
      </c>
      <c r="S17" s="543" t="str">
        <f>_xlfn.XLOOKUP(E17,'All Products'!D:D,'All Products'!M:M,FALSE)</f>
        <v>40049081147127</v>
      </c>
      <c r="T17" s="530">
        <f>_xlfn.XLOOKUP(E17,'All Products'!D:D,'All Products'!N:N,FALSE)</f>
        <v>6.9569999999999999</v>
      </c>
      <c r="U17" s="543" t="str">
        <f>_xlfn.XLOOKUP(E17,'All Products'!D:D,'All Products'!O:O,FALSE)</f>
        <v>-</v>
      </c>
      <c r="V17" s="530">
        <f>_xlfn.XLOOKUP(E17,'All Products'!D:D,'All Products'!P:P,FALSE)</f>
        <v>7.76</v>
      </c>
      <c r="W17" s="530">
        <f>_xlfn.XLOOKUP(E17,'All Products'!D:D,'All Products'!Q:Q,FALSE)</f>
        <v>0.95</v>
      </c>
    </row>
    <row r="18" spans="1:23" ht="15" customHeight="1">
      <c r="A18" s="104" t="str">
        <f>IF(K18&gt;0,COUNT($A$7:A17)+COUNT('DWV PVC'!$A$8:$A$284)+COUNT('DWV ABS'!$A$8:$A$116)+1,"")</f>
        <v/>
      </c>
      <c r="B18" s="380"/>
      <c r="C18" s="292"/>
      <c r="D18" s="512" t="str">
        <f>_xlfn.XLOOKUP(E18,'All Products'!D:D,'All Products'!C:C,FALSE)</f>
        <v>401-080</v>
      </c>
      <c r="E18" s="53">
        <v>100022311</v>
      </c>
      <c r="F18" s="522" t="str">
        <f>_xlfn.XLOOKUP(E18,'All Products'!D:D,'All Products'!E:E,FALSE)</f>
        <v>8 TEE SLIP X SLIP X SLIP</v>
      </c>
      <c r="G18" s="282">
        <f>_xlfn.XLOOKUP(E18,'All Products'!D:D,'All Products'!F:F,FALSE)</f>
        <v>2</v>
      </c>
      <c r="H18" s="533">
        <f>_xlfn.XLOOKUP(E18,'All Products'!D:D,'All Products'!G:G,FALSE)</f>
        <v>36</v>
      </c>
      <c r="I18" s="540">
        <f>_xlfn.XLOOKUP(E18,'All Products'!D:D,'All Products'!H:H,FALSE)</f>
        <v>718.58</v>
      </c>
      <c r="J18" s="216">
        <f>ROUND(I18*Order_Quote!$L$4,2)</f>
        <v>3592.9</v>
      </c>
      <c r="K18" s="76"/>
      <c r="L18" s="79"/>
      <c r="M18" s="117">
        <f t="shared" si="0"/>
        <v>0</v>
      </c>
      <c r="O18" s="530" t="str">
        <f>_xlfn.XLOOKUP(E18,'All Products'!D:D,'All Products'!I:I,FALSE)</f>
        <v>In Stock</v>
      </c>
      <c r="P18" s="530" t="str">
        <f>_xlfn.XLOOKUP(E18,'All Products'!D:D,'All Products'!J:J,FALSE)</f>
        <v>Manufactured</v>
      </c>
      <c r="Q18" s="543" t="str">
        <f>_xlfn.XLOOKUP(E18,'All Products'!D:D,'All Products'!K:K,FALSE)</f>
        <v>049081147204</v>
      </c>
      <c r="R18" s="543" t="str">
        <f>_xlfn.XLOOKUP(E18,'All Products'!D:D,'All Products'!L:L,FALSE)</f>
        <v>-</v>
      </c>
      <c r="S18" s="543" t="str">
        <f>_xlfn.XLOOKUP(E18,'All Products'!D:D,'All Products'!M:M,FALSE)</f>
        <v>40049081147202</v>
      </c>
      <c r="T18" s="530">
        <f>_xlfn.XLOOKUP(E18,'All Products'!D:D,'All Products'!N:N,FALSE)</f>
        <v>13.36</v>
      </c>
      <c r="U18" s="543" t="str">
        <f>_xlfn.XLOOKUP(E18,'All Products'!D:D,'All Products'!O:O,FALSE)</f>
        <v>-</v>
      </c>
      <c r="V18" s="530">
        <f>_xlfn.XLOOKUP(E18,'All Products'!D:D,'All Products'!P:P,FALSE)</f>
        <v>31.6</v>
      </c>
      <c r="W18" s="530">
        <f>_xlfn.XLOOKUP(E18,'All Products'!D:D,'All Products'!Q:Q,FALSE)</f>
        <v>4.38</v>
      </c>
    </row>
    <row r="19" spans="1:23" ht="15" customHeight="1">
      <c r="A19" s="104" t="str">
        <f>IF(K19&gt;0,COUNT($A$7:A18)+COUNT('DWV PVC'!$A$8:$A$284)+COUNT('DWV ABS'!$A$8:$A$116)+1,"")</f>
        <v/>
      </c>
      <c r="B19" s="115"/>
      <c r="C19" s="116"/>
      <c r="D19" s="512" t="str">
        <f>_xlfn.XLOOKUP(E19,'All Products'!D:D,'All Products'!C:C,FALSE)</f>
        <v>401-101</v>
      </c>
      <c r="E19" s="53">
        <v>100022315</v>
      </c>
      <c r="F19" s="522" t="str">
        <f>_xlfn.XLOOKUP(E19,'All Products'!D:D,'All Products'!E:E,FALSE)</f>
        <v>3/4X1/2 REDUCING TEE SXSXS</v>
      </c>
      <c r="G19" s="282">
        <f>_xlfn.XLOOKUP(E19,'All Products'!D:D,'All Products'!F:F,FALSE)</f>
        <v>100</v>
      </c>
      <c r="H19" s="533">
        <f>_xlfn.XLOOKUP(E19,'All Products'!D:D,'All Products'!G:G,FALSE)</f>
        <v>12000</v>
      </c>
      <c r="I19" s="540">
        <f>_xlfn.XLOOKUP(E19,'All Products'!D:D,'All Products'!H:H,FALSE)</f>
        <v>2.65</v>
      </c>
      <c r="J19" s="216">
        <f>ROUND(I19*Order_Quote!$L$4,2)</f>
        <v>13.25</v>
      </c>
      <c r="K19" s="76"/>
      <c r="L19" s="79"/>
      <c r="M19" s="117">
        <f t="shared" si="0"/>
        <v>0</v>
      </c>
      <c r="O19" s="530" t="str">
        <f>_xlfn.XLOOKUP(E19,'All Products'!D:D,'All Products'!I:I,FALSE)</f>
        <v>In Stock</v>
      </c>
      <c r="P19" s="530" t="str">
        <f>_xlfn.XLOOKUP(E19,'All Products'!D:D,'All Products'!J:J,FALSE)</f>
        <v>Manufactured</v>
      </c>
      <c r="Q19" s="543" t="str">
        <f>_xlfn.XLOOKUP(E19,'All Products'!D:D,'All Products'!K:K,FALSE)</f>
        <v>049081145323</v>
      </c>
      <c r="R19" s="543" t="str">
        <f>_xlfn.XLOOKUP(E19,'All Products'!D:D,'All Products'!L:L,FALSE)</f>
        <v>049081645328</v>
      </c>
      <c r="S19" s="543" t="str">
        <f>_xlfn.XLOOKUP(E19,'All Products'!D:D,'All Products'!M:M,FALSE)</f>
        <v>40049081145321</v>
      </c>
      <c r="T19" s="530">
        <f>_xlfn.XLOOKUP(E19,'All Products'!D:D,'All Products'!N:N,FALSE)</f>
        <v>8.1000000000000003E-2</v>
      </c>
      <c r="U19" s="543">
        <f>_xlfn.XLOOKUP(E19,'All Products'!D:D,'All Products'!O:O,FALSE)</f>
        <v>10</v>
      </c>
      <c r="V19" s="530">
        <f>_xlfn.XLOOKUP(E19,'All Products'!D:D,'All Products'!P:P,FALSE)</f>
        <v>9.23</v>
      </c>
      <c r="W19" s="530">
        <f>_xlfn.XLOOKUP(E19,'All Products'!D:D,'All Products'!Q:Q,FALSE)</f>
        <v>0.65</v>
      </c>
    </row>
    <row r="20" spans="1:23" ht="15" customHeight="1">
      <c r="A20" s="104" t="str">
        <f>IF(K20&gt;0,COUNT($A$7:A19)+COUNT('DWV PVC'!$A$8:$A$284)+COUNT('DWV ABS'!$A$8:$A$116)+1,"")</f>
        <v/>
      </c>
      <c r="B20" s="579"/>
      <c r="C20" s="580"/>
      <c r="D20" s="512" t="str">
        <f>_xlfn.XLOOKUP(E20,'All Products'!D:D,'All Products'!C:C,FALSE)</f>
        <v>401-102</v>
      </c>
      <c r="E20" s="53">
        <v>100022316</v>
      </c>
      <c r="F20" s="522" t="str">
        <f>_xlfn.XLOOKUP(E20,'All Products'!D:D,'All Products'!E:E,FALSE)</f>
        <v>3/4X3/4X1 REDUCING TEE SXSXS</v>
      </c>
      <c r="G20" s="282">
        <f>_xlfn.XLOOKUP(E20,'All Products'!D:D,'All Products'!F:F,FALSE)</f>
        <v>50</v>
      </c>
      <c r="H20" s="533">
        <f>_xlfn.XLOOKUP(E20,'All Products'!D:D,'All Products'!G:G,FALSE)</f>
        <v>6000</v>
      </c>
      <c r="I20" s="540">
        <f>_xlfn.XLOOKUP(E20,'All Products'!D:D,'All Products'!H:H,FALSE)</f>
        <v>7.54</v>
      </c>
      <c r="J20" s="216">
        <f>ROUND(I20*Order_Quote!$L$4,2)</f>
        <v>37.700000000000003</v>
      </c>
      <c r="K20" s="76"/>
      <c r="L20" s="79"/>
      <c r="M20" s="117">
        <f t="shared" si="0"/>
        <v>0</v>
      </c>
      <c r="O20" s="530" t="str">
        <f>_xlfn.XLOOKUP(E20,'All Products'!D:D,'All Products'!I:I,FALSE)</f>
        <v>Within 3 Weeks</v>
      </c>
      <c r="P20" s="530" t="str">
        <f>_xlfn.XLOOKUP(E20,'All Products'!D:D,'All Products'!J:J,FALSE)</f>
        <v>Manufactured</v>
      </c>
      <c r="Q20" s="543" t="str">
        <f>_xlfn.XLOOKUP(E20,'All Products'!D:D,'All Products'!K:K,FALSE)</f>
        <v>049081145309</v>
      </c>
      <c r="R20" s="543" t="str">
        <f>_xlfn.XLOOKUP(E20,'All Products'!D:D,'All Products'!L:L,FALSE)</f>
        <v>049081645304</v>
      </c>
      <c r="S20" s="543" t="str">
        <f>_xlfn.XLOOKUP(E20,'All Products'!D:D,'All Products'!M:M,FALSE)</f>
        <v>40049081145307</v>
      </c>
      <c r="T20" s="530">
        <f>_xlfn.XLOOKUP(E20,'All Products'!D:D,'All Products'!N:N,FALSE)</f>
        <v>0.153</v>
      </c>
      <c r="U20" s="543">
        <f>_xlfn.XLOOKUP(E20,'All Products'!D:D,'All Products'!O:O,FALSE)</f>
        <v>10</v>
      </c>
      <c r="V20" s="530">
        <f>_xlfn.XLOOKUP(E20,'All Products'!D:D,'All Products'!P:P,FALSE)</f>
        <v>8.1999999999999993</v>
      </c>
      <c r="W20" s="530">
        <f>_xlfn.XLOOKUP(E20,'All Products'!D:D,'All Products'!Q:Q,FALSE)</f>
        <v>0.65</v>
      </c>
    </row>
    <row r="21" spans="1:23" ht="15" customHeight="1">
      <c r="A21" s="104" t="str">
        <f>IF(K21&gt;0,COUNT($A$7:A20)+COUNT('DWV PVC'!$A$8:$A$284)+COUNT('DWV ABS'!$A$8:$A$116)+1,"")</f>
        <v/>
      </c>
      <c r="B21" s="579"/>
      <c r="C21" s="580"/>
      <c r="D21" s="512" t="str">
        <f>_xlfn.XLOOKUP(E21,'All Products'!D:D,'All Products'!C:C,FALSE)</f>
        <v>401-130</v>
      </c>
      <c r="E21" s="53">
        <v>100022323</v>
      </c>
      <c r="F21" s="522" t="str">
        <f>_xlfn.XLOOKUP(E21,'All Products'!D:D,'All Products'!E:E,FALSE)</f>
        <v>1X1/2 REDUCING TEE S X S X S</v>
      </c>
      <c r="G21" s="282">
        <f>_xlfn.XLOOKUP(E21,'All Products'!D:D,'All Products'!F:F,FALSE)</f>
        <v>50</v>
      </c>
      <c r="H21" s="533">
        <f>_xlfn.XLOOKUP(E21,'All Products'!D:D,'All Products'!G:G,FALSE)</f>
        <v>7500</v>
      </c>
      <c r="I21" s="540">
        <f>_xlfn.XLOOKUP(E21,'All Products'!D:D,'All Products'!H:H,FALSE)</f>
        <v>4.49</v>
      </c>
      <c r="J21" s="216">
        <f>ROUND(I21*Order_Quote!$L$4,2)</f>
        <v>22.45</v>
      </c>
      <c r="K21" s="76"/>
      <c r="L21" s="79"/>
      <c r="M21" s="117">
        <f t="shared" si="0"/>
        <v>0</v>
      </c>
      <c r="O21" s="530" t="str">
        <f>_xlfn.XLOOKUP(E21,'All Products'!D:D,'All Products'!I:I,FALSE)</f>
        <v>In Stock</v>
      </c>
      <c r="P21" s="530" t="str">
        <f>_xlfn.XLOOKUP(E21,'All Products'!D:D,'All Products'!J:J,FALSE)</f>
        <v>Manufactured</v>
      </c>
      <c r="Q21" s="543" t="str">
        <f>_xlfn.XLOOKUP(E21,'All Products'!D:D,'All Products'!K:K,FALSE)</f>
        <v>049081145460</v>
      </c>
      <c r="R21" s="543" t="str">
        <f>_xlfn.XLOOKUP(E21,'All Products'!D:D,'All Products'!L:L,FALSE)</f>
        <v>049081645465</v>
      </c>
      <c r="S21" s="543" t="str">
        <f>_xlfn.XLOOKUP(E21,'All Products'!D:D,'All Products'!M:M,FALSE)</f>
        <v>40049081145468</v>
      </c>
      <c r="T21" s="530">
        <f>_xlfn.XLOOKUP(E21,'All Products'!D:D,'All Products'!N:N,FALSE)</f>
        <v>0.13</v>
      </c>
      <c r="U21" s="543">
        <f>_xlfn.XLOOKUP(E21,'All Products'!D:D,'All Products'!O:O,FALSE)</f>
        <v>10</v>
      </c>
      <c r="V21" s="530">
        <f>_xlfn.XLOOKUP(E21,'All Products'!D:D,'All Products'!P:P,FALSE)</f>
        <v>7</v>
      </c>
      <c r="W21" s="530">
        <f>_xlfn.XLOOKUP(E21,'All Products'!D:D,'All Products'!Q:Q,FALSE)</f>
        <v>0.5</v>
      </c>
    </row>
    <row r="22" spans="1:23" ht="15" customHeight="1">
      <c r="A22" s="104" t="str">
        <f>IF(K22&gt;0,COUNT($A$7:A21)+COUNT('DWV PVC'!$A$8:$A$284)+COUNT('DWV ABS'!$A$8:$A$116)+1,"")</f>
        <v/>
      </c>
      <c r="B22" s="579"/>
      <c r="C22" s="580"/>
      <c r="D22" s="512" t="str">
        <f>_xlfn.XLOOKUP(E22,'All Products'!D:D,'All Products'!C:C,FALSE)</f>
        <v>401-131</v>
      </c>
      <c r="E22" s="53">
        <v>100022325</v>
      </c>
      <c r="F22" s="522" t="str">
        <f>_xlfn.XLOOKUP(E22,'All Products'!D:D,'All Products'!E:E,FALSE)</f>
        <v>1X3/4 REDUCING TEE S X S X S</v>
      </c>
      <c r="G22" s="282">
        <f>_xlfn.XLOOKUP(E22,'All Products'!D:D,'All Products'!F:F,FALSE)</f>
        <v>50</v>
      </c>
      <c r="H22" s="533">
        <f>_xlfn.XLOOKUP(E22,'All Products'!D:D,'All Products'!G:G,FALSE)</f>
        <v>6000</v>
      </c>
      <c r="I22" s="540">
        <f>_xlfn.XLOOKUP(E22,'All Products'!D:D,'All Products'!H:H,FALSE)</f>
        <v>4.92</v>
      </c>
      <c r="J22" s="216">
        <f>ROUND(I22*Order_Quote!$L$4,2)</f>
        <v>24.6</v>
      </c>
      <c r="K22" s="76"/>
      <c r="L22" s="79"/>
      <c r="M22" s="117">
        <f t="shared" si="0"/>
        <v>0</v>
      </c>
      <c r="O22" s="530" t="str">
        <f>_xlfn.XLOOKUP(E22,'All Products'!D:D,'All Products'!I:I,FALSE)</f>
        <v>In Stock</v>
      </c>
      <c r="P22" s="530" t="str">
        <f>_xlfn.XLOOKUP(E22,'All Products'!D:D,'All Products'!J:J,FALSE)</f>
        <v>Manufactured</v>
      </c>
      <c r="Q22" s="543" t="str">
        <f>_xlfn.XLOOKUP(E22,'All Products'!D:D,'All Products'!K:K,FALSE)</f>
        <v>049081145446</v>
      </c>
      <c r="R22" s="543" t="str">
        <f>_xlfn.XLOOKUP(E22,'All Products'!D:D,'All Products'!L:L,FALSE)</f>
        <v>049081645441</v>
      </c>
      <c r="S22" s="543" t="str">
        <f>_xlfn.XLOOKUP(E22,'All Products'!D:D,'All Products'!M:M,FALSE)</f>
        <v>40049081145444</v>
      </c>
      <c r="T22" s="530">
        <f>_xlfn.XLOOKUP(E22,'All Products'!D:D,'All Products'!N:N,FALSE)</f>
        <v>0.157</v>
      </c>
      <c r="U22" s="543">
        <f>_xlfn.XLOOKUP(E22,'All Products'!D:D,'All Products'!O:O,FALSE)</f>
        <v>10</v>
      </c>
      <c r="V22" s="530">
        <f>_xlfn.XLOOKUP(E22,'All Products'!D:D,'All Products'!P:P,FALSE)</f>
        <v>9.23</v>
      </c>
      <c r="W22" s="530">
        <f>_xlfn.XLOOKUP(E22,'All Products'!D:D,'All Products'!Q:Q,FALSE)</f>
        <v>0.65</v>
      </c>
    </row>
    <row r="23" spans="1:23" ht="15" customHeight="1">
      <c r="A23" s="104" t="str">
        <f>IF(K23&gt;0,COUNT($A$7:A22)+COUNT('DWV PVC'!$A$8:$A$284)+COUNT('DWV ABS'!$A$8:$A$116)+1,"")</f>
        <v/>
      </c>
      <c r="B23" s="115"/>
      <c r="C23" s="116"/>
      <c r="D23" s="512" t="str">
        <f>_xlfn.XLOOKUP(E23,'All Products'!D:D,'All Products'!C:C,FALSE)</f>
        <v>401-166</v>
      </c>
      <c r="E23" s="53">
        <v>100022332</v>
      </c>
      <c r="F23" s="522" t="str">
        <f>_xlfn.XLOOKUP(E23,'All Products'!D:D,'All Products'!E:E,FALSE)</f>
        <v>1-1/4X1-1/4X1/2 REDUCING TEE SXSXS</v>
      </c>
      <c r="G23" s="282">
        <f>_xlfn.XLOOKUP(E23,'All Products'!D:D,'All Products'!F:F,FALSE)</f>
        <v>50</v>
      </c>
      <c r="H23" s="533">
        <f>_xlfn.XLOOKUP(E23,'All Products'!D:D,'All Products'!G:G,FALSE)</f>
        <v>4500</v>
      </c>
      <c r="I23" s="540">
        <f>_xlfn.XLOOKUP(E23,'All Products'!D:D,'All Products'!H:H,FALSE)</f>
        <v>7.28</v>
      </c>
      <c r="J23" s="216">
        <f>ROUND(I23*Order_Quote!$L$4,2)</f>
        <v>36.4</v>
      </c>
      <c r="K23" s="76"/>
      <c r="L23" s="79"/>
      <c r="M23" s="117">
        <f t="shared" si="0"/>
        <v>0</v>
      </c>
      <c r="O23" s="530" t="str">
        <f>_xlfn.XLOOKUP(E23,'All Products'!D:D,'All Products'!I:I,FALSE)</f>
        <v>In Stock</v>
      </c>
      <c r="P23" s="530" t="str">
        <f>_xlfn.XLOOKUP(E23,'All Products'!D:D,'All Products'!J:J,FALSE)</f>
        <v>Manufactured</v>
      </c>
      <c r="Q23" s="543" t="str">
        <f>_xlfn.XLOOKUP(E23,'All Products'!D:D,'All Products'!K:K,FALSE)</f>
        <v>049081145705</v>
      </c>
      <c r="R23" s="543" t="str">
        <f>_xlfn.XLOOKUP(E23,'All Products'!D:D,'All Products'!L:L,FALSE)</f>
        <v>049081645700</v>
      </c>
      <c r="S23" s="543" t="str">
        <f>_xlfn.XLOOKUP(E23,'All Products'!D:D,'All Products'!M:M,FALSE)</f>
        <v>40049081145703</v>
      </c>
      <c r="T23" s="530">
        <f>_xlfn.XLOOKUP(E23,'All Products'!D:D,'All Products'!N:N,FALSE)</f>
        <v>0.20200000000000001</v>
      </c>
      <c r="U23" s="543">
        <f>_xlfn.XLOOKUP(E23,'All Products'!D:D,'All Products'!O:O,FALSE)</f>
        <v>10</v>
      </c>
      <c r="V23" s="530">
        <f>_xlfn.XLOOKUP(E23,'All Products'!D:D,'All Products'!P:P,FALSE)</f>
        <v>12.85</v>
      </c>
      <c r="W23" s="530">
        <f>_xlfn.XLOOKUP(E23,'All Products'!D:D,'All Products'!Q:Q,FALSE)</f>
        <v>0.8</v>
      </c>
    </row>
    <row r="24" spans="1:23" ht="15" customHeight="1">
      <c r="A24" s="104" t="str">
        <f>IF(K24&gt;0,COUNT($A$7:A23)+COUNT('DWV PVC'!$A$8:$A$284)+COUNT('DWV ABS'!$A$8:$A$116)+1,"")</f>
        <v/>
      </c>
      <c r="B24" s="115"/>
      <c r="C24" s="116"/>
      <c r="D24" s="512" t="str">
        <f>_xlfn.XLOOKUP(E24,'All Products'!D:D,'All Products'!C:C,FALSE)</f>
        <v>401-167</v>
      </c>
      <c r="E24" s="53">
        <v>100022334</v>
      </c>
      <c r="F24" s="522" t="str">
        <f>_xlfn.XLOOKUP(E24,'All Products'!D:D,'All Products'!E:E,FALSE)</f>
        <v>1-1/4X1-1/4X3/4 REDUCING TEE SXSXS</v>
      </c>
      <c r="G24" s="282">
        <f>_xlfn.XLOOKUP(E24,'All Products'!D:D,'All Products'!F:F,FALSE)</f>
        <v>50</v>
      </c>
      <c r="H24" s="533">
        <f>_xlfn.XLOOKUP(E24,'All Products'!D:D,'All Products'!G:G,FALSE)</f>
        <v>4500</v>
      </c>
      <c r="I24" s="540">
        <f>_xlfn.XLOOKUP(E24,'All Products'!D:D,'All Products'!H:H,FALSE)</f>
        <v>7.28</v>
      </c>
      <c r="J24" s="216">
        <f>ROUND(I24*Order_Quote!$L$4,2)</f>
        <v>36.4</v>
      </c>
      <c r="K24" s="76"/>
      <c r="L24" s="79"/>
      <c r="M24" s="117">
        <f t="shared" si="0"/>
        <v>0</v>
      </c>
      <c r="O24" s="530" t="str">
        <f>_xlfn.XLOOKUP(E24,'All Products'!D:D,'All Products'!I:I,FALSE)</f>
        <v>In Stock</v>
      </c>
      <c r="P24" s="530" t="str">
        <f>_xlfn.XLOOKUP(E24,'All Products'!D:D,'All Products'!J:J,FALSE)</f>
        <v>Manufactured</v>
      </c>
      <c r="Q24" s="543" t="str">
        <f>_xlfn.XLOOKUP(E24,'All Products'!D:D,'All Products'!K:K,FALSE)</f>
        <v>049081145682</v>
      </c>
      <c r="R24" s="543" t="str">
        <f>_xlfn.XLOOKUP(E24,'All Products'!D:D,'All Products'!L:L,FALSE)</f>
        <v>049081645687</v>
      </c>
      <c r="S24" s="543" t="str">
        <f>_xlfn.XLOOKUP(E24,'All Products'!D:D,'All Products'!M:M,FALSE)</f>
        <v>40049081145680</v>
      </c>
      <c r="T24" s="530">
        <f>_xlfn.XLOOKUP(E24,'All Products'!D:D,'All Products'!N:N,FALSE)</f>
        <v>0.22600000000000001</v>
      </c>
      <c r="U24" s="543">
        <f>_xlfn.XLOOKUP(E24,'All Products'!D:D,'All Products'!O:O,FALSE)</f>
        <v>10</v>
      </c>
      <c r="V24" s="530">
        <f>_xlfn.XLOOKUP(E24,'All Products'!D:D,'All Products'!P:P,FALSE)</f>
        <v>11.85</v>
      </c>
      <c r="W24" s="530">
        <f>_xlfn.XLOOKUP(E24,'All Products'!D:D,'All Products'!Q:Q,FALSE)</f>
        <v>0.8</v>
      </c>
    </row>
    <row r="25" spans="1:23" ht="15" customHeight="1">
      <c r="A25" s="104" t="str">
        <f>IF(K25&gt;0,COUNT($A$7:A24)+COUNT('DWV PVC'!$A$8:$A$284)+COUNT('DWV ABS'!$A$8:$A$116)+1,"")</f>
        <v/>
      </c>
      <c r="B25" s="115"/>
      <c r="C25" s="116"/>
      <c r="D25" s="512" t="str">
        <f>_xlfn.XLOOKUP(E25,'All Products'!D:D,'All Products'!C:C,FALSE)</f>
        <v>401-209</v>
      </c>
      <c r="E25" s="53">
        <v>100022342</v>
      </c>
      <c r="F25" s="522" t="str">
        <f>_xlfn.XLOOKUP(E25,'All Products'!D:D,'All Products'!E:E,FALSE)</f>
        <v>1-1/2X1-1/2X1/2 REDUCING TEE SXSXS</v>
      </c>
      <c r="G25" s="282">
        <f>_xlfn.XLOOKUP(E25,'All Products'!D:D,'All Products'!F:F,FALSE)</f>
        <v>25</v>
      </c>
      <c r="H25" s="533">
        <f>_xlfn.XLOOKUP(E25,'All Products'!D:D,'All Products'!G:G,FALSE)</f>
        <v>3000</v>
      </c>
      <c r="I25" s="540">
        <f>_xlfn.XLOOKUP(E25,'All Products'!D:D,'All Products'!H:H,FALSE)</f>
        <v>12.8</v>
      </c>
      <c r="J25" s="216">
        <f>ROUND(I25*Order_Quote!$L$4,2)</f>
        <v>64</v>
      </c>
      <c r="K25" s="76"/>
      <c r="L25" s="79"/>
      <c r="M25" s="117">
        <f t="shared" si="0"/>
        <v>0</v>
      </c>
      <c r="O25" s="530" t="str">
        <f>_xlfn.XLOOKUP(E25,'All Products'!D:D,'All Products'!I:I,FALSE)</f>
        <v>In Stock</v>
      </c>
      <c r="P25" s="530" t="str">
        <f>_xlfn.XLOOKUP(E25,'All Products'!D:D,'All Products'!J:J,FALSE)</f>
        <v>Manufactured</v>
      </c>
      <c r="Q25" s="543" t="str">
        <f>_xlfn.XLOOKUP(E25,'All Products'!D:D,'All Products'!K:K,FALSE)</f>
        <v>049081145989</v>
      </c>
      <c r="R25" s="543" t="str">
        <f>_xlfn.XLOOKUP(E25,'All Products'!D:D,'All Products'!L:L,FALSE)</f>
        <v>-</v>
      </c>
      <c r="S25" s="543" t="str">
        <f>_xlfn.XLOOKUP(E25,'All Products'!D:D,'All Products'!M:M,FALSE)</f>
        <v>40049081145987</v>
      </c>
      <c r="T25" s="530">
        <f>_xlfn.XLOOKUP(E25,'All Products'!D:D,'All Products'!N:N,FALSE)</f>
        <v>0.27800000000000002</v>
      </c>
      <c r="U25" s="543" t="str">
        <f>_xlfn.XLOOKUP(E25,'All Products'!D:D,'All Products'!O:O,FALSE)</f>
        <v>-</v>
      </c>
      <c r="V25" s="530">
        <f>_xlfn.XLOOKUP(E25,'All Products'!D:D,'All Products'!P:P,FALSE)</f>
        <v>7.45</v>
      </c>
      <c r="W25" s="530">
        <f>_xlfn.XLOOKUP(E25,'All Products'!D:D,'All Products'!Q:Q,FALSE)</f>
        <v>0.65</v>
      </c>
    </row>
    <row r="26" spans="1:23" ht="15" customHeight="1">
      <c r="A26" s="104" t="str">
        <f>IF(K26&gt;0,COUNT($A$7:A25)+COUNT('DWV PVC'!$A$8:$A$284)+COUNT('DWV ABS'!$A$8:$A$116)+1,"")</f>
        <v/>
      </c>
      <c r="B26" s="115"/>
      <c r="C26" s="116"/>
      <c r="D26" s="512" t="str">
        <f>_xlfn.XLOOKUP(E26,'All Products'!D:D,'All Products'!C:C,FALSE)</f>
        <v>401-210</v>
      </c>
      <c r="E26" s="53">
        <v>100022344</v>
      </c>
      <c r="F26" s="522" t="str">
        <f>_xlfn.XLOOKUP(E26,'All Products'!D:D,'All Products'!E:E,FALSE)</f>
        <v>1-1/2X1-1/2X3/4 REDUCING TEE SXSXS</v>
      </c>
      <c r="G26" s="282">
        <f>_xlfn.XLOOKUP(E26,'All Products'!D:D,'All Products'!F:F,FALSE)</f>
        <v>25</v>
      </c>
      <c r="H26" s="533">
        <f>_xlfn.XLOOKUP(E26,'All Products'!D:D,'All Products'!G:G,FALSE)</f>
        <v>3000</v>
      </c>
      <c r="I26" s="540">
        <f>_xlfn.XLOOKUP(E26,'All Products'!D:D,'All Products'!H:H,FALSE)</f>
        <v>12.8</v>
      </c>
      <c r="J26" s="216">
        <f>ROUND(I26*Order_Quote!$L$4,2)</f>
        <v>64</v>
      </c>
      <c r="K26" s="76"/>
      <c r="L26" s="79"/>
      <c r="M26" s="117">
        <f t="shared" si="0"/>
        <v>0</v>
      </c>
      <c r="O26" s="530" t="str">
        <f>_xlfn.XLOOKUP(E26,'All Products'!D:D,'All Products'!I:I,FALSE)</f>
        <v>In Stock</v>
      </c>
      <c r="P26" s="530" t="str">
        <f>_xlfn.XLOOKUP(E26,'All Products'!D:D,'All Products'!J:J,FALSE)</f>
        <v>Manufactured</v>
      </c>
      <c r="Q26" s="543" t="str">
        <f>_xlfn.XLOOKUP(E26,'All Products'!D:D,'All Products'!K:K,FALSE)</f>
        <v>049081145965</v>
      </c>
      <c r="R26" s="543" t="str">
        <f>_xlfn.XLOOKUP(E26,'All Products'!D:D,'All Products'!L:L,FALSE)</f>
        <v>-</v>
      </c>
      <c r="S26" s="543" t="str">
        <f>_xlfn.XLOOKUP(E26,'All Products'!D:D,'All Products'!M:M,FALSE)</f>
        <v>40049081145963</v>
      </c>
      <c r="T26" s="530">
        <f>_xlfn.XLOOKUP(E26,'All Products'!D:D,'All Products'!N:N,FALSE)</f>
        <v>0.27</v>
      </c>
      <c r="U26" s="543" t="str">
        <f>_xlfn.XLOOKUP(E26,'All Products'!D:D,'All Products'!O:O,FALSE)</f>
        <v>-</v>
      </c>
      <c r="V26" s="530">
        <f>_xlfn.XLOOKUP(E26,'All Products'!D:D,'All Products'!P:P,FALSE)</f>
        <v>7.21</v>
      </c>
      <c r="W26" s="530">
        <f>_xlfn.XLOOKUP(E26,'All Products'!D:D,'All Products'!Q:Q,FALSE)</f>
        <v>0.65</v>
      </c>
    </row>
    <row r="27" spans="1:23" ht="15" customHeight="1">
      <c r="A27" s="104" t="str">
        <f>IF(K27&gt;0,COUNT($A$7:A26)+COUNT('DWV PVC'!$A$8:$A$284)+COUNT('DWV ABS'!$A$8:$A$116)+1,"")</f>
        <v/>
      </c>
      <c r="B27" s="115"/>
      <c r="C27" s="116"/>
      <c r="D27" s="512" t="str">
        <f>_xlfn.XLOOKUP(E27,'All Products'!D:D,'All Products'!C:C,FALSE)</f>
        <v>401-211</v>
      </c>
      <c r="E27" s="53">
        <v>100022346</v>
      </c>
      <c r="F27" s="522" t="str">
        <f>_xlfn.XLOOKUP(E27,'All Products'!D:D,'All Products'!E:E,FALSE)</f>
        <v>1-1/2X1-1/2X1 REDUCING TEE SXSXS</v>
      </c>
      <c r="G27" s="282">
        <f>_xlfn.XLOOKUP(E27,'All Products'!D:D,'All Products'!F:F,FALSE)</f>
        <v>25</v>
      </c>
      <c r="H27" s="533">
        <f>_xlfn.XLOOKUP(E27,'All Products'!D:D,'All Products'!G:G,FALSE)</f>
        <v>3000</v>
      </c>
      <c r="I27" s="540">
        <f>_xlfn.XLOOKUP(E27,'All Products'!D:D,'All Products'!H:H,FALSE)</f>
        <v>12.8</v>
      </c>
      <c r="J27" s="216">
        <f>ROUND(I27*Order_Quote!$L$4,2)</f>
        <v>64</v>
      </c>
      <c r="K27" s="76"/>
      <c r="L27" s="79"/>
      <c r="M27" s="117">
        <f t="shared" si="0"/>
        <v>0</v>
      </c>
      <c r="O27" s="530" t="str">
        <f>_xlfn.XLOOKUP(E27,'All Products'!D:D,'All Products'!I:I,FALSE)</f>
        <v>In Stock</v>
      </c>
      <c r="P27" s="530" t="str">
        <f>_xlfn.XLOOKUP(E27,'All Products'!D:D,'All Products'!J:J,FALSE)</f>
        <v>Manufactured</v>
      </c>
      <c r="Q27" s="543" t="str">
        <f>_xlfn.XLOOKUP(E27,'All Products'!D:D,'All Products'!K:K,FALSE)</f>
        <v>049081145941</v>
      </c>
      <c r="R27" s="543" t="str">
        <f>_xlfn.XLOOKUP(E27,'All Products'!D:D,'All Products'!L:L,FALSE)</f>
        <v>-</v>
      </c>
      <c r="S27" s="543" t="str">
        <f>_xlfn.XLOOKUP(E27,'All Products'!D:D,'All Products'!M:M,FALSE)</f>
        <v>40049081145949</v>
      </c>
      <c r="T27" s="530">
        <f>_xlfn.XLOOKUP(E27,'All Products'!D:D,'All Products'!N:N,FALSE)</f>
        <v>0.318</v>
      </c>
      <c r="U27" s="543" t="str">
        <f>_xlfn.XLOOKUP(E27,'All Products'!D:D,'All Products'!O:O,FALSE)</f>
        <v>-</v>
      </c>
      <c r="V27" s="530">
        <f>_xlfn.XLOOKUP(E27,'All Products'!D:D,'All Products'!P:P,FALSE)</f>
        <v>8.35</v>
      </c>
      <c r="W27" s="530">
        <f>_xlfn.XLOOKUP(E27,'All Products'!D:D,'All Products'!Q:Q,FALSE)</f>
        <v>0.65</v>
      </c>
    </row>
    <row r="28" spans="1:23" ht="15" customHeight="1">
      <c r="A28" s="104" t="str">
        <f>IF(K28&gt;0,COUNT($A$7:A27)+COUNT('DWV PVC'!$A$8:$A$284)+COUNT('DWV ABS'!$A$8:$A$116)+1,"")</f>
        <v/>
      </c>
      <c r="B28" s="115"/>
      <c r="C28" s="116"/>
      <c r="D28" s="512" t="str">
        <f>_xlfn.XLOOKUP(E28,'All Products'!D:D,'All Products'!C:C,FALSE)</f>
        <v>401-213</v>
      </c>
      <c r="E28" s="53">
        <v>100022349</v>
      </c>
      <c r="F28" s="522" t="str">
        <f>_xlfn.XLOOKUP(E28,'All Products'!D:D,'All Products'!E:E,FALSE)</f>
        <v>1-1/2X1-1/2X2 REDUCING TEE SXSXS</v>
      </c>
      <c r="G28" s="282">
        <f>_xlfn.XLOOKUP(E28,'All Products'!D:D,'All Products'!F:F,FALSE)</f>
        <v>20</v>
      </c>
      <c r="H28" s="533">
        <f>_xlfn.XLOOKUP(E28,'All Products'!D:D,'All Products'!G:G,FALSE)</f>
        <v>1800</v>
      </c>
      <c r="I28" s="540">
        <f>_xlfn.XLOOKUP(E28,'All Products'!D:D,'All Products'!H:H,FALSE)</f>
        <v>18.27</v>
      </c>
      <c r="J28" s="216">
        <f>ROUND(I28*Order_Quote!$L$4,2)</f>
        <v>91.35</v>
      </c>
      <c r="K28" s="76"/>
      <c r="L28" s="79"/>
      <c r="M28" s="117">
        <f t="shared" si="0"/>
        <v>0</v>
      </c>
      <c r="O28" s="530" t="str">
        <f>_xlfn.XLOOKUP(E28,'All Products'!D:D,'All Products'!I:I,FALSE)</f>
        <v>In Stock</v>
      </c>
      <c r="P28" s="530" t="str">
        <f>_xlfn.XLOOKUP(E28,'All Products'!D:D,'All Products'!J:J,FALSE)</f>
        <v>Manufactured</v>
      </c>
      <c r="Q28" s="543" t="str">
        <f>_xlfn.XLOOKUP(E28,'All Products'!D:D,'All Products'!K:K,FALSE)</f>
        <v>049081145903</v>
      </c>
      <c r="R28" s="543" t="str">
        <f>_xlfn.XLOOKUP(E28,'All Products'!D:D,'All Products'!L:L,FALSE)</f>
        <v>-</v>
      </c>
      <c r="S28" s="543" t="str">
        <f>_xlfn.XLOOKUP(E28,'All Products'!D:D,'All Products'!M:M,FALSE)</f>
        <v>40049081145901</v>
      </c>
      <c r="T28" s="530">
        <f>_xlfn.XLOOKUP(E28,'All Products'!D:D,'All Products'!N:N,FALSE)</f>
        <v>0.40699999999999997</v>
      </c>
      <c r="U28" s="543" t="str">
        <f>_xlfn.XLOOKUP(E28,'All Products'!D:D,'All Products'!O:O,FALSE)</f>
        <v>-</v>
      </c>
      <c r="V28" s="530">
        <f>_xlfn.XLOOKUP(E28,'All Products'!D:D,'All Products'!P:P,FALSE)</f>
        <v>8.7200000000000006</v>
      </c>
      <c r="W28" s="530">
        <f>_xlfn.XLOOKUP(E28,'All Products'!D:D,'All Products'!Q:Q,FALSE)</f>
        <v>0.8</v>
      </c>
    </row>
    <row r="29" spans="1:23" ht="15" customHeight="1">
      <c r="A29" s="104" t="str">
        <f>IF(K29&gt;0,COUNT($A$7:A28)+COUNT('DWV PVC'!$A$8:$A$284)+COUNT('DWV ABS'!$A$8:$A$116)+1,"")</f>
        <v/>
      </c>
      <c r="B29" s="115"/>
      <c r="C29" s="116"/>
      <c r="D29" s="512" t="str">
        <f>_xlfn.XLOOKUP(E29,'All Products'!D:D,'All Products'!C:C,FALSE)</f>
        <v>401-247</v>
      </c>
      <c r="E29" s="53">
        <v>100022352</v>
      </c>
      <c r="F29" s="522" t="str">
        <f>_xlfn.XLOOKUP(E29,'All Products'!D:D,'All Products'!E:E,FALSE)</f>
        <v>2X2X1/2 REDUCING TEE SXSXS</v>
      </c>
      <c r="G29" s="282">
        <f>_xlfn.XLOOKUP(E29,'All Products'!D:D,'All Products'!F:F,FALSE)</f>
        <v>20</v>
      </c>
      <c r="H29" s="533">
        <f>_xlfn.XLOOKUP(E29,'All Products'!D:D,'All Products'!G:G,FALSE)</f>
        <v>1800</v>
      </c>
      <c r="I29" s="540">
        <f>_xlfn.XLOOKUP(E29,'All Products'!D:D,'All Products'!H:H,FALSE)</f>
        <v>12.56</v>
      </c>
      <c r="J29" s="216">
        <f>ROUND(I29*Order_Quote!$L$4,2)</f>
        <v>62.8</v>
      </c>
      <c r="K29" s="76"/>
      <c r="L29" s="79"/>
      <c r="M29" s="117">
        <f t="shared" si="0"/>
        <v>0</v>
      </c>
      <c r="O29" s="530" t="str">
        <f>_xlfn.XLOOKUP(E29,'All Products'!D:D,'All Products'!I:I,FALSE)</f>
        <v>In Stock</v>
      </c>
      <c r="P29" s="530" t="str">
        <f>_xlfn.XLOOKUP(E29,'All Products'!D:D,'All Products'!J:J,FALSE)</f>
        <v>Manufactured</v>
      </c>
      <c r="Q29" s="543" t="str">
        <f>_xlfn.XLOOKUP(E29,'All Products'!D:D,'All Products'!K:K,FALSE)</f>
        <v>049081146344</v>
      </c>
      <c r="R29" s="543" t="str">
        <f>_xlfn.XLOOKUP(E29,'All Products'!D:D,'All Products'!L:L,FALSE)</f>
        <v>-</v>
      </c>
      <c r="S29" s="543" t="str">
        <f>_xlfn.XLOOKUP(E29,'All Products'!D:D,'All Products'!M:M,FALSE)</f>
        <v>40049081146342</v>
      </c>
      <c r="T29" s="530">
        <f>_xlfn.XLOOKUP(E29,'All Products'!D:D,'All Products'!N:N,FALSE)</f>
        <v>0.33</v>
      </c>
      <c r="U29" s="543" t="str">
        <f>_xlfn.XLOOKUP(E29,'All Products'!D:D,'All Products'!O:O,FALSE)</f>
        <v>-</v>
      </c>
      <c r="V29" s="530">
        <f>_xlfn.XLOOKUP(E29,'All Products'!D:D,'All Products'!P:P,FALSE)</f>
        <v>7.18</v>
      </c>
      <c r="W29" s="530">
        <f>_xlfn.XLOOKUP(E29,'All Products'!D:D,'All Products'!Q:Q,FALSE)</f>
        <v>0.8</v>
      </c>
    </row>
    <row r="30" spans="1:23" ht="15" customHeight="1">
      <c r="A30" s="104" t="str">
        <f>IF(K30&gt;0,COUNT($A$7:A29)+COUNT('DWV PVC'!$A$8:$A$284)+COUNT('DWV ABS'!$A$8:$A$116)+1,"")</f>
        <v/>
      </c>
      <c r="B30" s="115"/>
      <c r="C30" s="116"/>
      <c r="D30" s="512" t="str">
        <f>_xlfn.XLOOKUP(E30,'All Products'!D:D,'All Products'!C:C,FALSE)</f>
        <v>401-248</v>
      </c>
      <c r="E30" s="53">
        <v>100022354</v>
      </c>
      <c r="F30" s="522" t="str">
        <f>_xlfn.XLOOKUP(E30,'All Products'!D:D,'All Products'!E:E,FALSE)</f>
        <v>2X2X3/4 REDUCING TEE SXSXS</v>
      </c>
      <c r="G30" s="282">
        <f>_xlfn.XLOOKUP(E30,'All Products'!D:D,'All Products'!F:F,FALSE)</f>
        <v>20</v>
      </c>
      <c r="H30" s="533">
        <f>_xlfn.XLOOKUP(E30,'All Products'!D:D,'All Products'!G:G,FALSE)</f>
        <v>1800</v>
      </c>
      <c r="I30" s="540">
        <f>_xlfn.XLOOKUP(E30,'All Products'!D:D,'All Products'!H:H,FALSE)</f>
        <v>12.56</v>
      </c>
      <c r="J30" s="216">
        <f>ROUND(I30*Order_Quote!$L$4,2)</f>
        <v>62.8</v>
      </c>
      <c r="K30" s="76"/>
      <c r="L30" s="79"/>
      <c r="M30" s="117">
        <f t="shared" si="0"/>
        <v>0</v>
      </c>
      <c r="O30" s="530" t="str">
        <f>_xlfn.XLOOKUP(E30,'All Products'!D:D,'All Products'!I:I,FALSE)</f>
        <v>In Stock</v>
      </c>
      <c r="P30" s="530" t="str">
        <f>_xlfn.XLOOKUP(E30,'All Products'!D:D,'All Products'!J:J,FALSE)</f>
        <v>Manufactured</v>
      </c>
      <c r="Q30" s="543" t="str">
        <f>_xlfn.XLOOKUP(E30,'All Products'!D:D,'All Products'!K:K,FALSE)</f>
        <v>049081146320</v>
      </c>
      <c r="R30" s="543" t="str">
        <f>_xlfn.XLOOKUP(E30,'All Products'!D:D,'All Products'!L:L,FALSE)</f>
        <v>-</v>
      </c>
      <c r="S30" s="543" t="str">
        <f>_xlfn.XLOOKUP(E30,'All Products'!D:D,'All Products'!M:M,FALSE)</f>
        <v>40049081146328</v>
      </c>
      <c r="T30" s="530">
        <f>_xlfn.XLOOKUP(E30,'All Products'!D:D,'All Products'!N:N,FALSE)</f>
        <v>0.36399999999999999</v>
      </c>
      <c r="U30" s="543" t="str">
        <f>_xlfn.XLOOKUP(E30,'All Products'!D:D,'All Products'!O:O,FALSE)</f>
        <v>-</v>
      </c>
      <c r="V30" s="530">
        <f>_xlfn.XLOOKUP(E30,'All Products'!D:D,'All Products'!P:P,FALSE)</f>
        <v>8.07</v>
      </c>
      <c r="W30" s="530">
        <f>_xlfn.XLOOKUP(E30,'All Products'!D:D,'All Products'!Q:Q,FALSE)</f>
        <v>0.8</v>
      </c>
    </row>
    <row r="31" spans="1:23" ht="15" customHeight="1">
      <c r="A31" s="104" t="str">
        <f>IF(K31&gt;0,COUNT($A$7:A30)+COUNT('DWV PVC'!$A$8:$A$284)+COUNT('DWV ABS'!$A$8:$A$116)+1,"")</f>
        <v/>
      </c>
      <c r="B31" s="115"/>
      <c r="C31" s="116"/>
      <c r="D31" s="512" t="str">
        <f>_xlfn.XLOOKUP(E31,'All Products'!D:D,'All Products'!C:C,FALSE)</f>
        <v>401-249</v>
      </c>
      <c r="E31" s="53">
        <v>100027383</v>
      </c>
      <c r="F31" s="522" t="str">
        <f>_xlfn.XLOOKUP(E31,'All Products'!D:D,'All Products'!E:E,FALSE)</f>
        <v>2X2X1 REDUCING TEE SXSXS</v>
      </c>
      <c r="G31" s="282">
        <f>_xlfn.XLOOKUP(E31,'All Products'!D:D,'All Products'!F:F,FALSE)</f>
        <v>15</v>
      </c>
      <c r="H31" s="533">
        <f>_xlfn.XLOOKUP(E31,'All Products'!D:D,'All Products'!G:G,FALSE)</f>
        <v>1350</v>
      </c>
      <c r="I31" s="540">
        <f>_xlfn.XLOOKUP(E31,'All Products'!D:D,'All Products'!H:H,FALSE)</f>
        <v>12.56</v>
      </c>
      <c r="J31" s="216">
        <f>ROUND(I31*Order_Quote!$L$4,2)</f>
        <v>62.8</v>
      </c>
      <c r="K31" s="76"/>
      <c r="L31" s="79"/>
      <c r="M31" s="117">
        <f t="shared" si="0"/>
        <v>0</v>
      </c>
      <c r="O31" s="530" t="str">
        <f>_xlfn.XLOOKUP(E31,'All Products'!D:D,'All Products'!I:I,FALSE)</f>
        <v>In Stock</v>
      </c>
      <c r="P31" s="530" t="str">
        <f>_xlfn.XLOOKUP(E31,'All Products'!D:D,'All Products'!J:J,FALSE)</f>
        <v>Manufactured</v>
      </c>
      <c r="Q31" s="543" t="str">
        <f>_xlfn.XLOOKUP(E31,'All Products'!D:D,'All Products'!K:K,FALSE)</f>
        <v>049081146306</v>
      </c>
      <c r="R31" s="543" t="str">
        <f>_xlfn.XLOOKUP(E31,'All Products'!D:D,'All Products'!L:L,FALSE)</f>
        <v>-</v>
      </c>
      <c r="S31" s="543" t="str">
        <f>_xlfn.XLOOKUP(E31,'All Products'!D:D,'All Products'!M:M,FALSE)</f>
        <v>40049081146304</v>
      </c>
      <c r="T31" s="530">
        <f>_xlfn.XLOOKUP(E31,'All Products'!D:D,'All Products'!N:N,FALSE)</f>
        <v>0.42199999999999999</v>
      </c>
      <c r="U31" s="543" t="str">
        <f>_xlfn.XLOOKUP(E31,'All Products'!D:D,'All Products'!O:O,FALSE)</f>
        <v>-</v>
      </c>
      <c r="V31" s="530">
        <f>_xlfn.XLOOKUP(E31,'All Products'!D:D,'All Products'!P:P,FALSE)</f>
        <v>6.9</v>
      </c>
      <c r="W31" s="530">
        <f>_xlfn.XLOOKUP(E31,'All Products'!D:D,'All Products'!Q:Q,FALSE)</f>
        <v>0.8</v>
      </c>
    </row>
    <row r="32" spans="1:23" ht="15" customHeight="1">
      <c r="A32" s="104" t="str">
        <f>IF(K32&gt;0,COUNT($A$7:A31)+COUNT('DWV PVC'!$A$8:$A$284)+COUNT('DWV ABS'!$A$8:$A$116)+1,"")</f>
        <v/>
      </c>
      <c r="B32" s="115"/>
      <c r="C32" s="116"/>
      <c r="D32" s="512" t="str">
        <f>_xlfn.XLOOKUP(E32,'All Products'!D:D,'All Products'!C:C,FALSE)</f>
        <v>401-251</v>
      </c>
      <c r="E32" s="53">
        <v>100022356</v>
      </c>
      <c r="F32" s="522" t="str">
        <f>_xlfn.XLOOKUP(E32,'All Products'!D:D,'All Products'!E:E,FALSE)</f>
        <v>2X2X1-1/2 REDUCING TEE SXSXS</v>
      </c>
      <c r="G32" s="282">
        <f>_xlfn.XLOOKUP(E32,'All Products'!D:D,'All Products'!F:F,FALSE)</f>
        <v>10</v>
      </c>
      <c r="H32" s="533">
        <f>_xlfn.XLOOKUP(E32,'All Products'!D:D,'All Products'!G:G,FALSE)</f>
        <v>1200</v>
      </c>
      <c r="I32" s="540">
        <f>_xlfn.XLOOKUP(E32,'All Products'!D:D,'All Products'!H:H,FALSE)</f>
        <v>12.56</v>
      </c>
      <c r="J32" s="216">
        <f>ROUND(I32*Order_Quote!$L$4,2)</f>
        <v>62.8</v>
      </c>
      <c r="K32" s="76"/>
      <c r="L32" s="79"/>
      <c r="M32" s="117">
        <f t="shared" si="0"/>
        <v>0</v>
      </c>
      <c r="O32" s="530" t="str">
        <f>_xlfn.XLOOKUP(E32,'All Products'!D:D,'All Products'!I:I,FALSE)</f>
        <v>In Stock</v>
      </c>
      <c r="P32" s="530" t="str">
        <f>_xlfn.XLOOKUP(E32,'All Products'!D:D,'All Products'!J:J,FALSE)</f>
        <v>Manufactured</v>
      </c>
      <c r="Q32" s="543" t="str">
        <f>_xlfn.XLOOKUP(E32,'All Products'!D:D,'All Products'!K:K,FALSE)</f>
        <v>049081146269</v>
      </c>
      <c r="R32" s="543" t="str">
        <f>_xlfn.XLOOKUP(E32,'All Products'!D:D,'All Products'!L:L,FALSE)</f>
        <v>-</v>
      </c>
      <c r="S32" s="543" t="str">
        <f>_xlfn.XLOOKUP(E32,'All Products'!D:D,'All Products'!M:M,FALSE)</f>
        <v>40049081146267</v>
      </c>
      <c r="T32" s="530">
        <f>_xlfn.XLOOKUP(E32,'All Products'!D:D,'All Products'!N:N,FALSE)</f>
        <v>0.49</v>
      </c>
      <c r="U32" s="543" t="str">
        <f>_xlfn.XLOOKUP(E32,'All Products'!D:D,'All Products'!O:O,FALSE)</f>
        <v>-</v>
      </c>
      <c r="V32" s="530">
        <f>_xlfn.XLOOKUP(E32,'All Products'!D:D,'All Products'!P:P,FALSE)</f>
        <v>5.61</v>
      </c>
      <c r="W32" s="530">
        <f>_xlfn.XLOOKUP(E32,'All Products'!D:D,'All Products'!Q:Q,FALSE)</f>
        <v>0.65</v>
      </c>
    </row>
    <row r="33" spans="1:23" ht="15" customHeight="1">
      <c r="A33" s="104" t="str">
        <f>IF(K33&gt;0,COUNT($A$7:A32)+COUNT('DWV PVC'!$A$8:$A$284)+COUNT('DWV ABS'!$A$8:$A$116)+1,"")</f>
        <v/>
      </c>
      <c r="B33" s="115"/>
      <c r="C33" s="116"/>
      <c r="D33" s="512" t="str">
        <f>_xlfn.XLOOKUP(E33,'All Products'!D:D,'All Products'!C:C,FALSE)</f>
        <v>401-289</v>
      </c>
      <c r="E33" s="53">
        <v>100022361</v>
      </c>
      <c r="F33" s="522" t="str">
        <f>_xlfn.XLOOKUP(E33,'All Products'!D:D,'All Products'!E:E,FALSE)</f>
        <v>2-1/2X2-1/2X1 REDUCING TEE SXSXS</v>
      </c>
      <c r="G33" s="282">
        <f>_xlfn.XLOOKUP(E33,'All Products'!D:D,'All Products'!F:F,FALSE)</f>
        <v>10</v>
      </c>
      <c r="H33" s="533">
        <f>_xlfn.XLOOKUP(E33,'All Products'!D:D,'All Products'!G:G,FALSE)</f>
        <v>900</v>
      </c>
      <c r="I33" s="540">
        <f>_xlfn.XLOOKUP(E33,'All Products'!D:D,'All Products'!H:H,FALSE)</f>
        <v>38.619999999999997</v>
      </c>
      <c r="J33" s="216">
        <f>ROUND(I33*Order_Quote!$L$4,2)</f>
        <v>193.1</v>
      </c>
      <c r="K33" s="76"/>
      <c r="L33" s="79"/>
      <c r="M33" s="117">
        <f t="shared" si="0"/>
        <v>0</v>
      </c>
      <c r="O33" s="530" t="str">
        <f>_xlfn.XLOOKUP(E33,'All Products'!D:D,'All Products'!I:I,FALSE)</f>
        <v>In Stock</v>
      </c>
      <c r="P33" s="530" t="str">
        <f>_xlfn.XLOOKUP(E33,'All Products'!D:D,'All Products'!J:J,FALSE)</f>
        <v>Manufactured</v>
      </c>
      <c r="Q33" s="543" t="str">
        <f>_xlfn.XLOOKUP(E33,'All Products'!D:D,'All Products'!K:K,FALSE)</f>
        <v>049081146641</v>
      </c>
      <c r="R33" s="543" t="str">
        <f>_xlfn.XLOOKUP(E33,'All Products'!D:D,'All Products'!L:L,FALSE)</f>
        <v>-</v>
      </c>
      <c r="S33" s="543" t="str">
        <f>_xlfn.XLOOKUP(E33,'All Products'!D:D,'All Products'!M:M,FALSE)</f>
        <v>40049081146649</v>
      </c>
      <c r="T33" s="530">
        <f>_xlfn.XLOOKUP(E33,'All Products'!D:D,'All Products'!N:N,FALSE)</f>
        <v>0.73</v>
      </c>
      <c r="U33" s="543" t="str">
        <f>_xlfn.XLOOKUP(E33,'All Products'!D:D,'All Products'!O:O,FALSE)</f>
        <v>-</v>
      </c>
      <c r="V33" s="530">
        <f>_xlfn.XLOOKUP(E33,'All Products'!D:D,'All Products'!P:P,FALSE)</f>
        <v>8.7799999999999994</v>
      </c>
      <c r="W33" s="530">
        <f>_xlfn.XLOOKUP(E33,'All Products'!D:D,'All Products'!Q:Q,FALSE)</f>
        <v>0.8</v>
      </c>
    </row>
    <row r="34" spans="1:23" ht="15" customHeight="1">
      <c r="A34" s="104" t="str">
        <f>IF(K34&gt;0,COUNT($A$7:A33)+COUNT('DWV PVC'!$A$8:$A$284)+COUNT('DWV ABS'!$A$8:$A$116)+1,"")</f>
        <v/>
      </c>
      <c r="B34" s="115"/>
      <c r="C34" s="116"/>
      <c r="D34" s="512" t="str">
        <f>_xlfn.XLOOKUP(E34,'All Products'!D:D,'All Products'!C:C,FALSE)</f>
        <v>401-334</v>
      </c>
      <c r="E34" s="53">
        <v>100022370</v>
      </c>
      <c r="F34" s="522" t="str">
        <f>_xlfn.XLOOKUP(E34,'All Products'!D:D,'All Products'!E:E,FALSE)</f>
        <v>3X3X3/4 REDUCING TEE SXSXS</v>
      </c>
      <c r="G34" s="282">
        <f>_xlfn.XLOOKUP(E34,'All Products'!D:D,'All Products'!F:F,FALSE)</f>
        <v>5</v>
      </c>
      <c r="H34" s="533">
        <f>_xlfn.XLOOKUP(E34,'All Products'!D:D,'All Products'!G:G,FALSE)</f>
        <v>750</v>
      </c>
      <c r="I34" s="540">
        <f>_xlfn.XLOOKUP(E34,'All Products'!D:D,'All Products'!H:H,FALSE)</f>
        <v>55.36</v>
      </c>
      <c r="J34" s="216">
        <f>ROUND(I34*Order_Quote!$L$4,2)</f>
        <v>276.8</v>
      </c>
      <c r="K34" s="76"/>
      <c r="L34" s="79"/>
      <c r="M34" s="117">
        <f t="shared" si="0"/>
        <v>0</v>
      </c>
      <c r="O34" s="530" t="str">
        <f>_xlfn.XLOOKUP(E34,'All Products'!D:D,'All Products'!I:I,FALSE)</f>
        <v>In Stock</v>
      </c>
      <c r="P34" s="530" t="str">
        <f>_xlfn.XLOOKUP(E34,'All Products'!D:D,'All Products'!J:J,FALSE)</f>
        <v>Manufactured</v>
      </c>
      <c r="Q34" s="543" t="str">
        <f>_xlfn.XLOOKUP(E34,'All Products'!D:D,'All Products'!K:K,FALSE)</f>
        <v>049081146825</v>
      </c>
      <c r="R34" s="543" t="str">
        <f>_xlfn.XLOOKUP(E34,'All Products'!D:D,'All Products'!L:L,FALSE)</f>
        <v>-</v>
      </c>
      <c r="S34" s="543" t="str">
        <f>_xlfn.XLOOKUP(E34,'All Products'!D:D,'All Products'!M:M,FALSE)</f>
        <v>40049081146823</v>
      </c>
      <c r="T34" s="530">
        <f>_xlfn.XLOOKUP(E34,'All Products'!D:D,'All Products'!N:N,FALSE)</f>
        <v>0.77600000000000002</v>
      </c>
      <c r="U34" s="543" t="str">
        <f>_xlfn.XLOOKUP(E34,'All Products'!D:D,'All Products'!O:O,FALSE)</f>
        <v>-</v>
      </c>
      <c r="V34" s="530">
        <f>_xlfn.XLOOKUP(E34,'All Products'!D:D,'All Products'!P:P,FALSE)</f>
        <v>5.28</v>
      </c>
      <c r="W34" s="530">
        <f>_xlfn.XLOOKUP(E34,'All Products'!D:D,'All Products'!Q:Q,FALSE)</f>
        <v>0.5</v>
      </c>
    </row>
    <row r="35" spans="1:23" ht="15" customHeight="1">
      <c r="A35" s="104" t="str">
        <f>IF(K35&gt;0,COUNT($A$7:A34)+COUNT('DWV PVC'!$A$8:$A$284)+COUNT('DWV ABS'!$A$8:$A$116)+1,"")</f>
        <v/>
      </c>
      <c r="B35" s="115"/>
      <c r="C35" s="116"/>
      <c r="D35" s="512" t="str">
        <f>_xlfn.XLOOKUP(E35,'All Products'!D:D,'All Products'!C:C,FALSE)</f>
        <v>401-335</v>
      </c>
      <c r="E35" s="53">
        <v>100022372</v>
      </c>
      <c r="F35" s="522" t="str">
        <f>_xlfn.XLOOKUP(E35,'All Products'!D:D,'All Products'!E:E,FALSE)</f>
        <v>3X3X1 REDUCING TEE SXSXS</v>
      </c>
      <c r="G35" s="282">
        <f>_xlfn.XLOOKUP(E35,'All Products'!D:D,'All Products'!F:F,FALSE)</f>
        <v>5</v>
      </c>
      <c r="H35" s="533">
        <f>_xlfn.XLOOKUP(E35,'All Products'!D:D,'All Products'!G:G,FALSE)</f>
        <v>750</v>
      </c>
      <c r="I35" s="540">
        <f>_xlfn.XLOOKUP(E35,'All Products'!D:D,'All Products'!H:H,FALSE)</f>
        <v>55.36</v>
      </c>
      <c r="J35" s="216">
        <f>ROUND(I35*Order_Quote!$L$4,2)</f>
        <v>276.8</v>
      </c>
      <c r="K35" s="76"/>
      <c r="L35" s="79"/>
      <c r="M35" s="117">
        <f t="shared" si="0"/>
        <v>0</v>
      </c>
      <c r="O35" s="530" t="str">
        <f>_xlfn.XLOOKUP(E35,'All Products'!D:D,'All Products'!I:I,FALSE)</f>
        <v>In Stock</v>
      </c>
      <c r="P35" s="530" t="str">
        <f>_xlfn.XLOOKUP(E35,'All Products'!D:D,'All Products'!J:J,FALSE)</f>
        <v>Manufactured</v>
      </c>
      <c r="Q35" s="543" t="str">
        <f>_xlfn.XLOOKUP(E35,'All Products'!D:D,'All Products'!K:K,FALSE)</f>
        <v>049081146801</v>
      </c>
      <c r="R35" s="543" t="str">
        <f>_xlfn.XLOOKUP(E35,'All Products'!D:D,'All Products'!L:L,FALSE)</f>
        <v>-</v>
      </c>
      <c r="S35" s="543" t="str">
        <f>_xlfn.XLOOKUP(E35,'All Products'!D:D,'All Products'!M:M,FALSE)</f>
        <v>40049081146809</v>
      </c>
      <c r="T35" s="530">
        <f>_xlfn.XLOOKUP(E35,'All Products'!D:D,'All Products'!N:N,FALSE)</f>
        <v>0.90600000000000003</v>
      </c>
      <c r="U35" s="543" t="str">
        <f>_xlfn.XLOOKUP(E35,'All Products'!D:D,'All Products'!O:O,FALSE)</f>
        <v>-</v>
      </c>
      <c r="V35" s="530">
        <f>_xlfn.XLOOKUP(E35,'All Products'!D:D,'All Products'!P:P,FALSE)</f>
        <v>5.05</v>
      </c>
      <c r="W35" s="530">
        <f>_xlfn.XLOOKUP(E35,'All Products'!D:D,'All Products'!Q:Q,FALSE)</f>
        <v>0.5</v>
      </c>
    </row>
    <row r="36" spans="1:23" ht="15" customHeight="1">
      <c r="A36" s="104" t="str">
        <f>IF(K36&gt;0,COUNT($A$7:A35)+COUNT('DWV PVC'!$A$8:$A$284)+COUNT('DWV ABS'!$A$8:$A$116)+1,"")</f>
        <v/>
      </c>
      <c r="B36" s="115"/>
      <c r="C36" s="116"/>
      <c r="D36" s="512" t="str">
        <f>_xlfn.XLOOKUP(E36,'All Products'!D:D,'All Products'!C:C,FALSE)</f>
        <v>401-336</v>
      </c>
      <c r="E36" s="53">
        <v>100022373</v>
      </c>
      <c r="F36" s="522" t="str">
        <f>_xlfn.XLOOKUP(E36,'All Products'!D:D,'All Products'!E:E,FALSE)</f>
        <v>3X3X1-1/4 REDUCING TEE SXSXS</v>
      </c>
      <c r="G36" s="282">
        <f>_xlfn.XLOOKUP(E36,'All Products'!D:D,'All Products'!F:F,FALSE)</f>
        <v>5</v>
      </c>
      <c r="H36" s="533">
        <f>_xlfn.XLOOKUP(E36,'All Products'!D:D,'All Products'!G:G,FALSE)</f>
        <v>450</v>
      </c>
      <c r="I36" s="540">
        <f>_xlfn.XLOOKUP(E36,'All Products'!D:D,'All Products'!H:H,FALSE)</f>
        <v>55.36</v>
      </c>
      <c r="J36" s="216">
        <f>ROUND(I36*Order_Quote!$L$4,2)</f>
        <v>276.8</v>
      </c>
      <c r="K36" s="76"/>
      <c r="L36" s="79"/>
      <c r="M36" s="117">
        <f t="shared" si="0"/>
        <v>0</v>
      </c>
      <c r="O36" s="530" t="str">
        <f>_xlfn.XLOOKUP(E36,'All Products'!D:D,'All Products'!I:I,FALSE)</f>
        <v>Within 3 Weeks</v>
      </c>
      <c r="P36" s="530" t="str">
        <f>_xlfn.XLOOKUP(E36,'All Products'!D:D,'All Products'!J:J,FALSE)</f>
        <v>Manufactured</v>
      </c>
      <c r="Q36" s="543" t="str">
        <f>_xlfn.XLOOKUP(E36,'All Products'!D:D,'All Products'!K:K,FALSE)</f>
        <v>049081146788</v>
      </c>
      <c r="R36" s="543" t="str">
        <f>_xlfn.XLOOKUP(E36,'All Products'!D:D,'All Products'!L:L,FALSE)</f>
        <v>-</v>
      </c>
      <c r="S36" s="543" t="str">
        <f>_xlfn.XLOOKUP(E36,'All Products'!D:D,'All Products'!M:M,FALSE)</f>
        <v>40049081146786</v>
      </c>
      <c r="T36" s="530">
        <f>_xlfn.XLOOKUP(E36,'All Products'!D:D,'All Products'!N:N,FALSE)</f>
        <v>0.91500000000000004</v>
      </c>
      <c r="U36" s="543" t="str">
        <f>_xlfn.XLOOKUP(E36,'All Products'!D:D,'All Products'!O:O,FALSE)</f>
        <v>-</v>
      </c>
      <c r="V36" s="530" t="str">
        <f>_xlfn.XLOOKUP(E36,'All Products'!D:D,'All Products'!P:P,FALSE)</f>
        <v>-</v>
      </c>
      <c r="W36" s="530" t="str">
        <f>_xlfn.XLOOKUP(E36,'All Products'!D:D,'All Products'!Q:Q,FALSE)</f>
        <v>-</v>
      </c>
    </row>
    <row r="37" spans="1:23" ht="15" customHeight="1">
      <c r="A37" s="104" t="str">
        <f>IF(K37&gt;0,COUNT($A$7:A36)+COUNT('DWV PVC'!$A$8:$A$284)+COUNT('DWV ABS'!$A$8:$A$116)+1,"")</f>
        <v/>
      </c>
      <c r="B37" s="115"/>
      <c r="C37" s="116"/>
      <c r="D37" s="512" t="str">
        <f>_xlfn.XLOOKUP(E37,'All Products'!D:D,'All Products'!C:C,FALSE)</f>
        <v>401-337</v>
      </c>
      <c r="E37" s="53">
        <v>100022375</v>
      </c>
      <c r="F37" s="522" t="str">
        <f>_xlfn.XLOOKUP(E37,'All Products'!D:D,'All Products'!E:E,FALSE)</f>
        <v>3X3X1-1/2 REDUCING TEE SXSXS</v>
      </c>
      <c r="G37" s="282">
        <f>_xlfn.XLOOKUP(E37,'All Products'!D:D,'All Products'!F:F,FALSE)</f>
        <v>5</v>
      </c>
      <c r="H37" s="533">
        <f>_xlfn.XLOOKUP(E37,'All Products'!D:D,'All Products'!G:G,FALSE)</f>
        <v>750</v>
      </c>
      <c r="I37" s="540">
        <f>_xlfn.XLOOKUP(E37,'All Products'!D:D,'All Products'!H:H,FALSE)</f>
        <v>55.36</v>
      </c>
      <c r="J37" s="216">
        <f>ROUND(I37*Order_Quote!$L$4,2)</f>
        <v>276.8</v>
      </c>
      <c r="K37" s="76"/>
      <c r="L37" s="79"/>
      <c r="M37" s="117">
        <f t="shared" si="0"/>
        <v>0</v>
      </c>
      <c r="O37" s="530" t="str">
        <f>_xlfn.XLOOKUP(E37,'All Products'!D:D,'All Products'!I:I,FALSE)</f>
        <v>In Stock</v>
      </c>
      <c r="P37" s="530" t="str">
        <f>_xlfn.XLOOKUP(E37,'All Products'!D:D,'All Products'!J:J,FALSE)</f>
        <v>Manufactured</v>
      </c>
      <c r="Q37" s="543" t="str">
        <f>_xlfn.XLOOKUP(E37,'All Products'!D:D,'All Products'!K:K,FALSE)</f>
        <v>049081146764</v>
      </c>
      <c r="R37" s="543" t="str">
        <f>_xlfn.XLOOKUP(E37,'All Products'!D:D,'All Products'!L:L,FALSE)</f>
        <v>-</v>
      </c>
      <c r="S37" s="543" t="str">
        <f>_xlfn.XLOOKUP(E37,'All Products'!D:D,'All Products'!M:M,FALSE)</f>
        <v>40049081146762</v>
      </c>
      <c r="T37" s="530">
        <f>_xlfn.XLOOKUP(E37,'All Products'!D:D,'All Products'!N:N,FALSE)</f>
        <v>0.995</v>
      </c>
      <c r="U37" s="543" t="str">
        <f>_xlfn.XLOOKUP(E37,'All Products'!D:D,'All Products'!O:O,FALSE)</f>
        <v>-</v>
      </c>
      <c r="V37" s="530">
        <f>_xlfn.XLOOKUP(E37,'All Products'!D:D,'All Products'!P:P,FALSE)</f>
        <v>5.37</v>
      </c>
      <c r="W37" s="530">
        <f>_xlfn.XLOOKUP(E37,'All Products'!D:D,'All Products'!Q:Q,FALSE)</f>
        <v>0.5</v>
      </c>
    </row>
    <row r="38" spans="1:23" ht="15" customHeight="1">
      <c r="A38" s="104" t="str">
        <f>IF(K38&gt;0,COUNT($A$7:A37)+COUNT('DWV PVC'!$A$8:$A$284)+COUNT('DWV ABS'!$A$8:$A$116)+1,"")</f>
        <v/>
      </c>
      <c r="B38" s="115"/>
      <c r="C38" s="116"/>
      <c r="D38" s="512" t="str">
        <f>_xlfn.XLOOKUP(E38,'All Products'!D:D,'All Products'!C:C,FALSE)</f>
        <v>401-338</v>
      </c>
      <c r="E38" s="53">
        <v>100022377</v>
      </c>
      <c r="F38" s="522" t="str">
        <f>_xlfn.XLOOKUP(E38,'All Products'!D:D,'All Products'!E:E,FALSE)</f>
        <v>3X3X2 REDUCING TEE SXSXS</v>
      </c>
      <c r="G38" s="282">
        <f>_xlfn.XLOOKUP(E38,'All Products'!D:D,'All Products'!F:F,FALSE)</f>
        <v>5</v>
      </c>
      <c r="H38" s="533">
        <f>_xlfn.XLOOKUP(E38,'All Products'!D:D,'All Products'!G:G,FALSE)</f>
        <v>600</v>
      </c>
      <c r="I38" s="540">
        <f>_xlfn.XLOOKUP(E38,'All Products'!D:D,'All Products'!H:H,FALSE)</f>
        <v>55.3</v>
      </c>
      <c r="J38" s="216">
        <f>ROUND(I38*Order_Quote!$L$4,2)</f>
        <v>276.5</v>
      </c>
      <c r="K38" s="76"/>
      <c r="L38" s="79"/>
      <c r="M38" s="117">
        <f t="shared" si="0"/>
        <v>0</v>
      </c>
      <c r="O38" s="530" t="str">
        <f>_xlfn.XLOOKUP(E38,'All Products'!D:D,'All Products'!I:I,FALSE)</f>
        <v>In Stock</v>
      </c>
      <c r="P38" s="530" t="str">
        <f>_xlfn.XLOOKUP(E38,'All Products'!D:D,'All Products'!J:J,FALSE)</f>
        <v>Manufactured</v>
      </c>
      <c r="Q38" s="543" t="str">
        <f>_xlfn.XLOOKUP(E38,'All Products'!D:D,'All Products'!K:K,FALSE)</f>
        <v>049081146740</v>
      </c>
      <c r="R38" s="543" t="str">
        <f>_xlfn.XLOOKUP(E38,'All Products'!D:D,'All Products'!L:L,FALSE)</f>
        <v>-</v>
      </c>
      <c r="S38" s="543" t="str">
        <f>_xlfn.XLOOKUP(E38,'All Products'!D:D,'All Products'!M:M,FALSE)</f>
        <v>40049081146748</v>
      </c>
      <c r="T38" s="530">
        <f>_xlfn.XLOOKUP(E38,'All Products'!D:D,'All Products'!N:N,FALSE)</f>
        <v>1.0980000000000001</v>
      </c>
      <c r="U38" s="543" t="str">
        <f>_xlfn.XLOOKUP(E38,'All Products'!D:D,'All Products'!O:O,FALSE)</f>
        <v>-</v>
      </c>
      <c r="V38" s="530">
        <f>_xlfn.XLOOKUP(E38,'All Products'!D:D,'All Products'!P:P,FALSE)</f>
        <v>6.18</v>
      </c>
      <c r="W38" s="530">
        <f>_xlfn.XLOOKUP(E38,'All Products'!D:D,'All Products'!Q:Q,FALSE)</f>
        <v>0.65</v>
      </c>
    </row>
    <row r="39" spans="1:23" ht="15" customHeight="1">
      <c r="A39" s="104" t="str">
        <f>IF(K39&gt;0,COUNT($A$7:A38)+COUNT('DWV PVC'!$A$8:$A$284)+COUNT('DWV ABS'!$A$8:$A$116)+1,"")</f>
        <v/>
      </c>
      <c r="B39" s="115"/>
      <c r="C39" s="116"/>
      <c r="D39" s="512" t="str">
        <f>_xlfn.XLOOKUP(E39,'All Products'!D:D,'All Products'!C:C,FALSE)</f>
        <v>401-416</v>
      </c>
      <c r="E39" s="53">
        <v>100022380</v>
      </c>
      <c r="F39" s="522" t="str">
        <f>_xlfn.XLOOKUP(E39,'All Products'!D:D,'All Products'!E:E,FALSE)</f>
        <v>4X4X3/4 REDUCING TEE SXSXS</v>
      </c>
      <c r="G39" s="282">
        <f>_xlfn.XLOOKUP(E39,'All Products'!D:D,'All Products'!F:F,FALSE)</f>
        <v>5</v>
      </c>
      <c r="H39" s="533">
        <f>_xlfn.XLOOKUP(E39,'All Products'!D:D,'All Products'!G:G,FALSE)</f>
        <v>450</v>
      </c>
      <c r="I39" s="540">
        <f>_xlfn.XLOOKUP(E39,'All Products'!D:D,'All Products'!H:H,FALSE)</f>
        <v>92.07</v>
      </c>
      <c r="J39" s="216">
        <f>ROUND(I39*Order_Quote!$L$4,2)</f>
        <v>460.35</v>
      </c>
      <c r="K39" s="76"/>
      <c r="L39" s="79"/>
      <c r="M39" s="117">
        <f t="shared" ref="M39:M73" si="1">K39/G39</f>
        <v>0</v>
      </c>
      <c r="O39" s="530" t="str">
        <f>_xlfn.XLOOKUP(E39,'All Products'!D:D,'All Products'!I:I,FALSE)</f>
        <v>In Stock</v>
      </c>
      <c r="P39" s="530" t="str">
        <f>_xlfn.XLOOKUP(E39,'All Products'!D:D,'All Products'!J:J,FALSE)</f>
        <v>Manufactured</v>
      </c>
      <c r="Q39" s="543" t="str">
        <f>_xlfn.XLOOKUP(E39,'All Products'!D:D,'All Products'!K:K,FALSE)</f>
        <v>049081147006</v>
      </c>
      <c r="R39" s="543" t="str">
        <f>_xlfn.XLOOKUP(E39,'All Products'!D:D,'All Products'!L:L,FALSE)</f>
        <v>-</v>
      </c>
      <c r="S39" s="543" t="str">
        <f>_xlfn.XLOOKUP(E39,'All Products'!D:D,'All Products'!M:M,FALSE)</f>
        <v>40049081147004</v>
      </c>
      <c r="T39" s="530">
        <f>_xlfn.XLOOKUP(E39,'All Products'!D:D,'All Products'!N:N,FALSE)</f>
        <v>1.93</v>
      </c>
      <c r="U39" s="543" t="str">
        <f>_xlfn.XLOOKUP(E39,'All Products'!D:D,'All Products'!O:O,FALSE)</f>
        <v>-</v>
      </c>
      <c r="V39" s="530">
        <f>_xlfn.XLOOKUP(E39,'All Products'!D:D,'All Products'!P:P,FALSE)</f>
        <v>10.45</v>
      </c>
      <c r="W39" s="530">
        <f>_xlfn.XLOOKUP(E39,'All Products'!D:D,'All Products'!Q:Q,FALSE)</f>
        <v>0.8</v>
      </c>
    </row>
    <row r="40" spans="1:23" ht="15" customHeight="1">
      <c r="A40" s="104" t="str">
        <f>IF(K40&gt;0,COUNT($A$7:A39)+COUNT('DWV PVC'!$A$8:$A$284)+COUNT('DWV ABS'!$A$8:$A$116)+1,"")</f>
        <v/>
      </c>
      <c r="B40" s="115"/>
      <c r="C40" s="116"/>
      <c r="D40" s="512" t="str">
        <f>_xlfn.XLOOKUP(E40,'All Products'!D:D,'All Products'!C:C,FALSE)</f>
        <v>401-417</v>
      </c>
      <c r="E40" s="53">
        <v>100022382</v>
      </c>
      <c r="F40" s="522" t="str">
        <f>_xlfn.XLOOKUP(E40,'All Products'!D:D,'All Products'!E:E,FALSE)</f>
        <v>4X4X1 REDUCING TEE SXSXS</v>
      </c>
      <c r="G40" s="282">
        <f>_xlfn.XLOOKUP(E40,'All Products'!D:D,'All Products'!F:F,FALSE)</f>
        <v>4</v>
      </c>
      <c r="H40" s="533">
        <f>_xlfn.XLOOKUP(E40,'All Products'!D:D,'All Products'!G:G,FALSE)</f>
        <v>360</v>
      </c>
      <c r="I40" s="540">
        <f>_xlfn.XLOOKUP(E40,'All Products'!D:D,'All Products'!H:H,FALSE)</f>
        <v>92.07</v>
      </c>
      <c r="J40" s="216">
        <f>ROUND(I40*Order_Quote!$L$4,2)</f>
        <v>460.35</v>
      </c>
      <c r="K40" s="76"/>
      <c r="L40" s="79"/>
      <c r="M40" s="117">
        <f t="shared" si="1"/>
        <v>0</v>
      </c>
      <c r="O40" s="530" t="str">
        <f>_xlfn.XLOOKUP(E40,'All Products'!D:D,'All Products'!I:I,FALSE)</f>
        <v>In Stock</v>
      </c>
      <c r="P40" s="530" t="str">
        <f>_xlfn.XLOOKUP(E40,'All Products'!D:D,'All Products'!J:J,FALSE)</f>
        <v>Manufactured</v>
      </c>
      <c r="Q40" s="543" t="str">
        <f>_xlfn.XLOOKUP(E40,'All Products'!D:D,'All Products'!K:K,FALSE)</f>
        <v>049081146986</v>
      </c>
      <c r="R40" s="543" t="str">
        <f>_xlfn.XLOOKUP(E40,'All Products'!D:D,'All Products'!L:L,FALSE)</f>
        <v>-</v>
      </c>
      <c r="S40" s="543" t="str">
        <f>_xlfn.XLOOKUP(E40,'All Products'!D:D,'All Products'!M:M,FALSE)</f>
        <v>40049081146984</v>
      </c>
      <c r="T40" s="530">
        <f>_xlfn.XLOOKUP(E40,'All Products'!D:D,'All Products'!N:N,FALSE)</f>
        <v>1.8959999999999999</v>
      </c>
      <c r="U40" s="543" t="str">
        <f>_xlfn.XLOOKUP(E40,'All Products'!D:D,'All Products'!O:O,FALSE)</f>
        <v>-</v>
      </c>
      <c r="V40" s="530">
        <f>_xlfn.XLOOKUP(E40,'All Products'!D:D,'All Products'!P:P,FALSE)</f>
        <v>8.41</v>
      </c>
      <c r="W40" s="530">
        <f>_xlfn.XLOOKUP(E40,'All Products'!D:D,'All Products'!Q:Q,FALSE)</f>
        <v>0.8</v>
      </c>
    </row>
    <row r="41" spans="1:23" ht="15" customHeight="1">
      <c r="A41" s="104" t="str">
        <f>IF(K41&gt;0,COUNT($A$7:A40)+COUNT('DWV PVC'!$A$8:$A$284)+COUNT('DWV ABS'!$A$8:$A$116)+1,"")</f>
        <v/>
      </c>
      <c r="B41" s="115"/>
      <c r="C41" s="116"/>
      <c r="D41" s="512" t="str">
        <f>_xlfn.XLOOKUP(E41,'All Products'!D:D,'All Products'!C:C,FALSE)</f>
        <v>401-418</v>
      </c>
      <c r="E41" s="53">
        <v>100022384</v>
      </c>
      <c r="F41" s="522" t="str">
        <f>_xlfn.XLOOKUP(E41,'All Products'!D:D,'All Products'!E:E,FALSE)</f>
        <v>4X4X1-1/4 REDUCING TEE SXSXS</v>
      </c>
      <c r="G41" s="282">
        <f>_xlfn.XLOOKUP(E41,'All Products'!D:D,'All Products'!F:F,FALSE)</f>
        <v>5</v>
      </c>
      <c r="H41" s="533" t="str">
        <f>_xlfn.XLOOKUP(E41,'All Products'!D:D,'All Products'!G:G,FALSE)</f>
        <v>-</v>
      </c>
      <c r="I41" s="540">
        <f>_xlfn.XLOOKUP(E41,'All Products'!D:D,'All Products'!H:H,FALSE)</f>
        <v>92.07</v>
      </c>
      <c r="J41" s="216">
        <f>ROUND(I41*Order_Quote!$L$4,2)</f>
        <v>460.35</v>
      </c>
      <c r="K41" s="76"/>
      <c r="L41" s="79"/>
      <c r="M41" s="117">
        <f t="shared" si="1"/>
        <v>0</v>
      </c>
      <c r="O41" s="530" t="str">
        <f>_xlfn.XLOOKUP(E41,'All Products'!D:D,'All Products'!I:I,FALSE)</f>
        <v>Within 3 Weeks</v>
      </c>
      <c r="P41" s="530" t="str">
        <f>_xlfn.XLOOKUP(E41,'All Products'!D:D,'All Products'!J:J,FALSE)</f>
        <v>Manufactured</v>
      </c>
      <c r="Q41" s="543" t="str">
        <f>_xlfn.XLOOKUP(E41,'All Products'!D:D,'All Products'!K:K,FALSE)</f>
        <v>049081146955</v>
      </c>
      <c r="R41" s="543" t="str">
        <f>_xlfn.XLOOKUP(E41,'All Products'!D:D,'All Products'!L:L,FALSE)</f>
        <v>-</v>
      </c>
      <c r="S41" s="543" t="str">
        <f>_xlfn.XLOOKUP(E41,'All Products'!D:D,'All Products'!M:M,FALSE)</f>
        <v>40049081146953</v>
      </c>
      <c r="T41" s="530">
        <f>_xlfn.XLOOKUP(E41,'All Products'!D:D,'All Products'!N:N,FALSE)</f>
        <v>1.4</v>
      </c>
      <c r="U41" s="543" t="str">
        <f>_xlfn.XLOOKUP(E41,'All Products'!D:D,'All Products'!O:O,FALSE)</f>
        <v>-</v>
      </c>
      <c r="V41" s="530" t="str">
        <f>_xlfn.XLOOKUP(E41,'All Products'!D:D,'All Products'!P:P,FALSE)</f>
        <v>-</v>
      </c>
      <c r="W41" s="530" t="str">
        <f>_xlfn.XLOOKUP(E41,'All Products'!D:D,'All Products'!Q:Q,FALSE)</f>
        <v>-</v>
      </c>
    </row>
    <row r="42" spans="1:23" ht="15" customHeight="1">
      <c r="A42" s="104" t="str">
        <f>IF(K42&gt;0,COUNT($A$7:A41)+COUNT('DWV PVC'!$A$8:$A$284)+COUNT('DWV ABS'!$A$8:$A$116)+1,"")</f>
        <v/>
      </c>
      <c r="B42" s="115"/>
      <c r="C42" s="116"/>
      <c r="D42" s="512" t="str">
        <f>_xlfn.XLOOKUP(E42,'All Products'!D:D,'All Products'!C:C,FALSE)</f>
        <v>401-420</v>
      </c>
      <c r="E42" s="53">
        <v>100022386</v>
      </c>
      <c r="F42" s="522" t="str">
        <f>_xlfn.XLOOKUP(E42,'All Products'!D:D,'All Products'!E:E,FALSE)</f>
        <v>4X4X2 REDUCING TEE SXSXS</v>
      </c>
      <c r="G42" s="282">
        <f>_xlfn.XLOOKUP(E42,'All Products'!D:D,'All Products'!F:F,FALSE)</f>
        <v>3</v>
      </c>
      <c r="H42" s="533">
        <f>_xlfn.XLOOKUP(E42,'All Products'!D:D,'All Products'!G:G,FALSE)</f>
        <v>360</v>
      </c>
      <c r="I42" s="540">
        <f>_xlfn.XLOOKUP(E42,'All Products'!D:D,'All Products'!H:H,FALSE)</f>
        <v>92.07</v>
      </c>
      <c r="J42" s="216">
        <f>ROUND(I42*Order_Quote!$L$4,2)</f>
        <v>460.35</v>
      </c>
      <c r="K42" s="76"/>
      <c r="L42" s="79"/>
      <c r="M42" s="117">
        <f t="shared" si="1"/>
        <v>0</v>
      </c>
      <c r="O42" s="530" t="str">
        <f>_xlfn.XLOOKUP(E42,'All Products'!D:D,'All Products'!I:I,FALSE)</f>
        <v>In Stock</v>
      </c>
      <c r="P42" s="530" t="str">
        <f>_xlfn.XLOOKUP(E42,'All Products'!D:D,'All Products'!J:J,FALSE)</f>
        <v>Manufactured</v>
      </c>
      <c r="Q42" s="543" t="str">
        <f>_xlfn.XLOOKUP(E42,'All Products'!D:D,'All Products'!K:K,FALSE)</f>
        <v>049081146924</v>
      </c>
      <c r="R42" s="543" t="str">
        <f>_xlfn.XLOOKUP(E42,'All Products'!D:D,'All Products'!L:L,FALSE)</f>
        <v>-</v>
      </c>
      <c r="S42" s="543" t="str">
        <f>_xlfn.XLOOKUP(E42,'All Products'!D:D,'All Products'!M:M,FALSE)</f>
        <v>40049081146922</v>
      </c>
      <c r="T42" s="530">
        <f>_xlfn.XLOOKUP(E42,'All Products'!D:D,'All Products'!N:N,FALSE)</f>
        <v>2.3580000000000001</v>
      </c>
      <c r="U42" s="543" t="str">
        <f>_xlfn.XLOOKUP(E42,'All Products'!D:D,'All Products'!O:O,FALSE)</f>
        <v>-</v>
      </c>
      <c r="V42" s="530">
        <f>_xlfn.XLOOKUP(E42,'All Products'!D:D,'All Products'!P:P,FALSE)</f>
        <v>7.92</v>
      </c>
      <c r="W42" s="530">
        <f>_xlfn.XLOOKUP(E42,'All Products'!D:D,'All Products'!Q:Q,FALSE)</f>
        <v>0.65</v>
      </c>
    </row>
    <row r="43" spans="1:23" ht="15" customHeight="1">
      <c r="A43" s="104" t="str">
        <f>IF(K43&gt;0,COUNT($A$7:A42)+COUNT('DWV PVC'!$A$8:$A$284)+COUNT('DWV ABS'!$A$8:$A$116)+1,"")</f>
        <v/>
      </c>
      <c r="B43" s="115"/>
      <c r="C43" s="116"/>
      <c r="D43" s="512" t="str">
        <f>_xlfn.XLOOKUP(E43,'All Products'!D:D,'All Products'!C:C,FALSE)</f>
        <v>401-422</v>
      </c>
      <c r="E43" s="53">
        <v>100022388</v>
      </c>
      <c r="F43" s="522" t="str">
        <f>_xlfn.XLOOKUP(E43,'All Products'!D:D,'All Products'!E:E,FALSE)</f>
        <v>4X4X3 REDUCING TEE SXSXS</v>
      </c>
      <c r="G43" s="282">
        <f>_xlfn.XLOOKUP(E43,'All Products'!D:D,'All Products'!F:F,FALSE)</f>
        <v>3</v>
      </c>
      <c r="H43" s="533">
        <f>_xlfn.XLOOKUP(E43,'All Products'!D:D,'All Products'!G:G,FALSE)</f>
        <v>270</v>
      </c>
      <c r="I43" s="540">
        <f>_xlfn.XLOOKUP(E43,'All Products'!D:D,'All Products'!H:H,FALSE)</f>
        <v>92.07</v>
      </c>
      <c r="J43" s="216">
        <f>ROUND(I43*Order_Quote!$L$4,2)</f>
        <v>460.35</v>
      </c>
      <c r="K43" s="76"/>
      <c r="L43" s="79"/>
      <c r="M43" s="117">
        <f t="shared" si="1"/>
        <v>0</v>
      </c>
      <c r="O43" s="530" t="str">
        <f>_xlfn.XLOOKUP(E43,'All Products'!D:D,'All Products'!I:I,FALSE)</f>
        <v>In Stock</v>
      </c>
      <c r="P43" s="530" t="str">
        <f>_xlfn.XLOOKUP(E43,'All Products'!D:D,'All Products'!J:J,FALSE)</f>
        <v>Manufactured</v>
      </c>
      <c r="Q43" s="543" t="str">
        <f>_xlfn.XLOOKUP(E43,'All Products'!D:D,'All Products'!K:K,FALSE)</f>
        <v>049081146900</v>
      </c>
      <c r="R43" s="543" t="str">
        <f>_xlfn.XLOOKUP(E43,'All Products'!D:D,'All Products'!L:L,FALSE)</f>
        <v>-</v>
      </c>
      <c r="S43" s="543" t="str">
        <f>_xlfn.XLOOKUP(E43,'All Products'!D:D,'All Products'!M:M,FALSE)</f>
        <v>40049081146908</v>
      </c>
      <c r="T43" s="530">
        <f>_xlfn.XLOOKUP(E43,'All Products'!D:D,'All Products'!N:N,FALSE)</f>
        <v>2.88</v>
      </c>
      <c r="U43" s="543" t="str">
        <f>_xlfn.XLOOKUP(E43,'All Products'!D:D,'All Products'!O:O,FALSE)</f>
        <v>-</v>
      </c>
      <c r="V43" s="530">
        <f>_xlfn.XLOOKUP(E43,'All Products'!D:D,'All Products'!P:P,FALSE)</f>
        <v>9.44</v>
      </c>
      <c r="W43" s="530">
        <f>_xlfn.XLOOKUP(E43,'All Products'!D:D,'All Products'!Q:Q,FALSE)</f>
        <v>0.8</v>
      </c>
    </row>
    <row r="44" spans="1:23" ht="15" customHeight="1">
      <c r="A44" s="104" t="str">
        <f>IF(K44&gt;0,COUNT($A$7:A43)+COUNT('DWV PVC'!$A$8:$A$284)+COUNT('DWV ABS'!$A$8:$A$116)+1,"")</f>
        <v/>
      </c>
      <c r="B44" s="115"/>
      <c r="C44" s="116"/>
      <c r="D44" s="512" t="str">
        <f>_xlfn.XLOOKUP(E44,'All Products'!D:D,'All Products'!C:C,FALSE)</f>
        <v>401-486</v>
      </c>
      <c r="E44" s="53">
        <v>100022389</v>
      </c>
      <c r="F44" s="522" t="str">
        <f>_xlfn.XLOOKUP(E44,'All Products'!D:D,'All Products'!E:E,FALSE)</f>
        <v>5X5X2 REDUCING TEE SXSXS</v>
      </c>
      <c r="G44" s="282">
        <f>_xlfn.XLOOKUP(E44,'All Products'!D:D,'All Products'!F:F,FALSE)</f>
        <v>2</v>
      </c>
      <c r="H44" s="533">
        <f>_xlfn.XLOOKUP(E44,'All Products'!D:D,'All Products'!G:G,FALSE)</f>
        <v>180</v>
      </c>
      <c r="I44" s="540">
        <f>_xlfn.XLOOKUP(E44,'All Products'!D:D,'All Products'!H:H,FALSE)</f>
        <v>215.85</v>
      </c>
      <c r="J44" s="216">
        <f>ROUND(I44*Order_Quote!$L$4,2)</f>
        <v>1079.25</v>
      </c>
      <c r="K44" s="76"/>
      <c r="L44" s="79"/>
      <c r="M44" s="117">
        <f t="shared" si="1"/>
        <v>0</v>
      </c>
      <c r="O44" s="530" t="str">
        <f>_xlfn.XLOOKUP(E44,'All Products'!D:D,'All Products'!I:I,FALSE)</f>
        <v>In Stock</v>
      </c>
      <c r="P44" s="530" t="str">
        <f>_xlfn.XLOOKUP(E44,'All Products'!D:D,'All Products'!J:J,FALSE)</f>
        <v>Manufactured</v>
      </c>
      <c r="Q44" s="543" t="str">
        <f>_xlfn.XLOOKUP(E44,'All Products'!D:D,'All Products'!K:K,FALSE)</f>
        <v>049081147105</v>
      </c>
      <c r="R44" s="543" t="str">
        <f>_xlfn.XLOOKUP(E44,'All Products'!D:D,'All Products'!L:L,FALSE)</f>
        <v>-</v>
      </c>
      <c r="S44" s="543" t="str">
        <f>_xlfn.XLOOKUP(E44,'All Products'!D:D,'All Products'!M:M,FALSE)</f>
        <v>40049081147103</v>
      </c>
      <c r="T44" s="530">
        <f>_xlfn.XLOOKUP(E44,'All Products'!D:D,'All Products'!N:N,FALSE)</f>
        <v>2.706</v>
      </c>
      <c r="U44" s="543" t="str">
        <f>_xlfn.XLOOKUP(E44,'All Products'!D:D,'All Products'!O:O,FALSE)</f>
        <v>-</v>
      </c>
      <c r="V44" s="530">
        <f>_xlfn.XLOOKUP(E44,'All Products'!D:D,'All Products'!P:P,FALSE)</f>
        <v>6.13</v>
      </c>
      <c r="W44" s="530">
        <f>_xlfn.XLOOKUP(E44,'All Products'!D:D,'All Products'!Q:Q,FALSE)</f>
        <v>0.8</v>
      </c>
    </row>
    <row r="45" spans="1:23" ht="15" customHeight="1">
      <c r="A45" s="104" t="str">
        <f>IF(K45&gt;0,COUNT($A$7:A44)+COUNT('DWV PVC'!$A$8:$A$284)+COUNT('DWV ABS'!$A$8:$A$116)+1,"")</f>
        <v/>
      </c>
      <c r="B45" s="115"/>
      <c r="C45" s="116"/>
      <c r="D45" s="512" t="str">
        <f>_xlfn.XLOOKUP(E45,'All Products'!D:D,'All Products'!C:C,FALSE)</f>
        <v>401-490</v>
      </c>
      <c r="E45" s="53">
        <v>100022392</v>
      </c>
      <c r="F45" s="522" t="str">
        <f>_xlfn.XLOOKUP(E45,'All Products'!D:D,'All Products'!E:E,FALSE)</f>
        <v>5X5X4 REDUCING TEE SXSXS</v>
      </c>
      <c r="G45" s="282">
        <f>_xlfn.XLOOKUP(E45,'All Products'!D:D,'All Products'!F:F,FALSE)</f>
        <v>2</v>
      </c>
      <c r="H45" s="533">
        <f>_xlfn.XLOOKUP(E45,'All Products'!D:D,'All Products'!G:G,FALSE)</f>
        <v>150</v>
      </c>
      <c r="I45" s="540">
        <f>_xlfn.XLOOKUP(E45,'All Products'!D:D,'All Products'!H:H,FALSE)</f>
        <v>215.85</v>
      </c>
      <c r="J45" s="216">
        <f>ROUND(I45*Order_Quote!$L$4,2)</f>
        <v>1079.25</v>
      </c>
      <c r="K45" s="76"/>
      <c r="L45" s="79"/>
      <c r="M45" s="117">
        <f t="shared" si="1"/>
        <v>0</v>
      </c>
      <c r="O45" s="530" t="str">
        <f>_xlfn.XLOOKUP(E45,'All Products'!D:D,'All Products'!I:I,FALSE)</f>
        <v>Within 3 Weeks</v>
      </c>
      <c r="P45" s="530" t="str">
        <f>_xlfn.XLOOKUP(E45,'All Products'!D:D,'All Products'!J:J,FALSE)</f>
        <v>Manufactured</v>
      </c>
      <c r="Q45" s="543" t="str">
        <f>_xlfn.XLOOKUP(E45,'All Products'!D:D,'All Products'!K:K,FALSE)</f>
        <v>049081147068</v>
      </c>
      <c r="R45" s="543" t="str">
        <f>_xlfn.XLOOKUP(E45,'All Products'!D:D,'All Products'!L:L,FALSE)</f>
        <v>-</v>
      </c>
      <c r="S45" s="543" t="str">
        <f>_xlfn.XLOOKUP(E45,'All Products'!D:D,'All Products'!M:M,FALSE)</f>
        <v>40049081147066</v>
      </c>
      <c r="T45" s="530">
        <f>_xlfn.XLOOKUP(E45,'All Products'!D:D,'All Products'!N:N,FALSE)</f>
        <v>3.5950000000000002</v>
      </c>
      <c r="U45" s="543" t="str">
        <f>_xlfn.XLOOKUP(E45,'All Products'!D:D,'All Products'!O:O,FALSE)</f>
        <v>-</v>
      </c>
      <c r="V45" s="530">
        <f>_xlfn.XLOOKUP(E45,'All Products'!D:D,'All Products'!P:P,FALSE)</f>
        <v>8.15</v>
      </c>
      <c r="W45" s="530">
        <f>_xlfn.XLOOKUP(E45,'All Products'!D:D,'All Products'!Q:Q,FALSE)</f>
        <v>0.95</v>
      </c>
    </row>
    <row r="46" spans="1:23" ht="15" customHeight="1">
      <c r="A46" s="104" t="str">
        <f>IF(K46&gt;0,COUNT($A$7:A45)+COUNT('DWV PVC'!$A$8:$A$284)+COUNT('DWV ABS'!$A$8:$A$116)+1,"")</f>
        <v/>
      </c>
      <c r="B46" s="115"/>
      <c r="C46" s="116"/>
      <c r="D46" s="512" t="str">
        <f>_xlfn.XLOOKUP(E46,'All Products'!D:D,'All Products'!C:C,FALSE)</f>
        <v>401-528</v>
      </c>
      <c r="E46" s="53">
        <v>100022394</v>
      </c>
      <c r="F46" s="522" t="str">
        <f>_xlfn.XLOOKUP(E46,'All Products'!D:D,'All Products'!E:E,FALSE)</f>
        <v>6X6X2 REDUCING TEE SXSXS</v>
      </c>
      <c r="G46" s="282">
        <f>_xlfn.XLOOKUP(E46,'All Products'!D:D,'All Products'!F:F,FALSE)</f>
        <v>2</v>
      </c>
      <c r="H46" s="533">
        <f>_xlfn.XLOOKUP(E46,'All Products'!D:D,'All Products'!G:G,FALSE)</f>
        <v>180</v>
      </c>
      <c r="I46" s="540">
        <f>_xlfn.XLOOKUP(E46,'All Products'!D:D,'All Products'!H:H,FALSE)</f>
        <v>309.88</v>
      </c>
      <c r="J46" s="216">
        <f>ROUND(I46*Order_Quote!$L$4,2)</f>
        <v>1549.4</v>
      </c>
      <c r="K46" s="76"/>
      <c r="L46" s="79"/>
      <c r="M46" s="117">
        <f t="shared" si="1"/>
        <v>0</v>
      </c>
      <c r="O46" s="530" t="str">
        <f>_xlfn.XLOOKUP(E46,'All Products'!D:D,'All Products'!I:I,FALSE)</f>
        <v>In Stock</v>
      </c>
      <c r="P46" s="530" t="str">
        <f>_xlfn.XLOOKUP(E46,'All Products'!D:D,'All Products'!J:J,FALSE)</f>
        <v>Manufactured</v>
      </c>
      <c r="Q46" s="543" t="str">
        <f>_xlfn.XLOOKUP(E46,'All Products'!D:D,'All Products'!K:K,FALSE)</f>
        <v>049081147181</v>
      </c>
      <c r="R46" s="543" t="str">
        <f>_xlfn.XLOOKUP(E46,'All Products'!D:D,'All Products'!L:L,FALSE)</f>
        <v>-</v>
      </c>
      <c r="S46" s="543" t="str">
        <f>_xlfn.XLOOKUP(E46,'All Products'!D:D,'All Products'!M:M,FALSE)</f>
        <v>40049081147189</v>
      </c>
      <c r="T46" s="530">
        <f>_xlfn.XLOOKUP(E46,'All Products'!D:D,'All Products'!N:N,FALSE)</f>
        <v>3.3769999999999998</v>
      </c>
      <c r="U46" s="543" t="str">
        <f>_xlfn.XLOOKUP(E46,'All Products'!D:D,'All Products'!O:O,FALSE)</f>
        <v>-</v>
      </c>
      <c r="V46" s="530">
        <f>_xlfn.XLOOKUP(E46,'All Products'!D:D,'All Products'!P:P,FALSE)</f>
        <v>7.27</v>
      </c>
      <c r="W46" s="530">
        <f>_xlfn.XLOOKUP(E46,'All Products'!D:D,'All Products'!Q:Q,FALSE)</f>
        <v>0.8</v>
      </c>
    </row>
    <row r="47" spans="1:23" ht="15" customHeight="1">
      <c r="A47" s="104" t="str">
        <f>IF(K47&gt;0,COUNT($A$7:A46)+COUNT('DWV PVC'!$A$8:$A$284)+COUNT('DWV ABS'!$A$8:$A$116)+1,"")</f>
        <v/>
      </c>
      <c r="B47" s="115"/>
      <c r="C47" s="116"/>
      <c r="D47" s="512" t="str">
        <f>_xlfn.XLOOKUP(E47,'All Products'!D:D,'All Products'!C:C,FALSE)</f>
        <v>401-530</v>
      </c>
      <c r="E47" s="53">
        <v>100022396</v>
      </c>
      <c r="F47" s="522" t="str">
        <f>_xlfn.XLOOKUP(E47,'All Products'!D:D,'All Products'!E:E,FALSE)</f>
        <v>6X6X3 REDUCING TEE SXSXS</v>
      </c>
      <c r="G47" s="282">
        <f>_xlfn.XLOOKUP(E47,'All Products'!D:D,'All Products'!F:F,FALSE)</f>
        <v>2</v>
      </c>
      <c r="H47" s="533">
        <f>_xlfn.XLOOKUP(E47,'All Products'!D:D,'All Products'!G:G,FALSE)</f>
        <v>120</v>
      </c>
      <c r="I47" s="540">
        <f>_xlfn.XLOOKUP(E47,'All Products'!D:D,'All Products'!H:H,FALSE)</f>
        <v>309.88</v>
      </c>
      <c r="J47" s="216">
        <f>ROUND(I47*Order_Quote!$L$4,2)</f>
        <v>1549.4</v>
      </c>
      <c r="K47" s="76"/>
      <c r="L47" s="79"/>
      <c r="M47" s="117">
        <f t="shared" si="1"/>
        <v>0</v>
      </c>
      <c r="O47" s="530" t="str">
        <f>_xlfn.XLOOKUP(E47,'All Products'!D:D,'All Products'!I:I,FALSE)</f>
        <v>In Stock</v>
      </c>
      <c r="P47" s="530" t="str">
        <f>_xlfn.XLOOKUP(E47,'All Products'!D:D,'All Products'!J:J,FALSE)</f>
        <v>Manufactured</v>
      </c>
      <c r="Q47" s="543" t="str">
        <f>_xlfn.XLOOKUP(E47,'All Products'!D:D,'All Products'!K:K,FALSE)</f>
        <v>049081147167</v>
      </c>
      <c r="R47" s="543" t="str">
        <f>_xlfn.XLOOKUP(E47,'All Products'!D:D,'All Products'!L:L,FALSE)</f>
        <v>-</v>
      </c>
      <c r="S47" s="543" t="str">
        <f>_xlfn.XLOOKUP(E47,'All Products'!D:D,'All Products'!M:M,FALSE)</f>
        <v>40049081147165</v>
      </c>
      <c r="T47" s="530">
        <f>_xlfn.XLOOKUP(E47,'All Products'!D:D,'All Products'!N:N,FALSE)</f>
        <v>4.0999999999999996</v>
      </c>
      <c r="U47" s="543" t="str">
        <f>_xlfn.XLOOKUP(E47,'All Products'!D:D,'All Products'!O:O,FALSE)</f>
        <v>-</v>
      </c>
      <c r="V47" s="530">
        <f>_xlfn.XLOOKUP(E47,'All Products'!D:D,'All Products'!P:P,FALSE)</f>
        <v>9.08</v>
      </c>
      <c r="W47" s="530">
        <f>_xlfn.XLOOKUP(E47,'All Products'!D:D,'All Products'!Q:Q,FALSE)</f>
        <v>1.41</v>
      </c>
    </row>
    <row r="48" spans="1:23" ht="15" customHeight="1">
      <c r="A48" s="104" t="str">
        <f>IF(K48&gt;0,COUNT($A$7:A47)+COUNT('DWV PVC'!$A$8:$A$284)+COUNT('DWV ABS'!$A$8:$A$116)+1,"")</f>
        <v/>
      </c>
      <c r="B48" s="115"/>
      <c r="C48" s="116"/>
      <c r="D48" s="512" t="str">
        <f>_xlfn.XLOOKUP(E48,'All Products'!D:D,'All Products'!C:C,FALSE)</f>
        <v>401-532</v>
      </c>
      <c r="E48" s="53">
        <v>100022398</v>
      </c>
      <c r="F48" s="522" t="str">
        <f>_xlfn.XLOOKUP(E48,'All Products'!D:D,'All Products'!E:E,FALSE)</f>
        <v>6X6X4 REDUCING TEE SXSXS</v>
      </c>
      <c r="G48" s="282">
        <f>_xlfn.XLOOKUP(E48,'All Products'!D:D,'All Products'!F:F,FALSE)</f>
        <v>2</v>
      </c>
      <c r="H48" s="533">
        <f>_xlfn.XLOOKUP(E48,'All Products'!D:D,'All Products'!G:G,FALSE)</f>
        <v>120</v>
      </c>
      <c r="I48" s="540">
        <f>_xlfn.XLOOKUP(E48,'All Products'!D:D,'All Products'!H:H,FALSE)</f>
        <v>309.88</v>
      </c>
      <c r="J48" s="216">
        <f>ROUND(I48*Order_Quote!$L$4,2)</f>
        <v>1549.4</v>
      </c>
      <c r="K48" s="76"/>
      <c r="L48" s="79"/>
      <c r="M48" s="117">
        <f t="shared" si="1"/>
        <v>0</v>
      </c>
      <c r="O48" s="530" t="str">
        <f>_xlfn.XLOOKUP(E48,'All Products'!D:D,'All Products'!I:I,FALSE)</f>
        <v>In Stock</v>
      </c>
      <c r="P48" s="530" t="str">
        <f>_xlfn.XLOOKUP(E48,'All Products'!D:D,'All Products'!J:J,FALSE)</f>
        <v>Manufactured</v>
      </c>
      <c r="Q48" s="543" t="str">
        <f>_xlfn.XLOOKUP(E48,'All Products'!D:D,'All Products'!K:K,FALSE)</f>
        <v>049081147143</v>
      </c>
      <c r="R48" s="543" t="str">
        <f>_xlfn.XLOOKUP(E48,'All Products'!D:D,'All Products'!L:L,FALSE)</f>
        <v>-</v>
      </c>
      <c r="S48" s="543" t="str">
        <f>_xlfn.XLOOKUP(E48,'All Products'!D:D,'All Products'!M:M,FALSE)</f>
        <v>40049081147141</v>
      </c>
      <c r="T48" s="530">
        <f>_xlfn.XLOOKUP(E48,'All Products'!D:D,'All Products'!N:N,FALSE)</f>
        <v>4.5579999999999998</v>
      </c>
      <c r="U48" s="543" t="str">
        <f>_xlfn.XLOOKUP(E48,'All Products'!D:D,'All Products'!O:O,FALSE)</f>
        <v>-</v>
      </c>
      <c r="V48" s="530">
        <f>_xlfn.XLOOKUP(E48,'All Products'!D:D,'All Products'!P:P,FALSE)</f>
        <v>10.01</v>
      </c>
      <c r="W48" s="530">
        <f>_xlfn.XLOOKUP(E48,'All Products'!D:D,'All Products'!Q:Q,FALSE)</f>
        <v>1.41</v>
      </c>
    </row>
    <row r="49" spans="1:23" ht="15" customHeight="1">
      <c r="A49" s="104" t="str">
        <f>IF(K49&gt;0,COUNT($A$7:A48)+COUNT('DWV PVC'!$A$8:$A$284)+COUNT('DWV ABS'!$A$8:$A$116)+1,"")</f>
        <v/>
      </c>
      <c r="B49" s="115"/>
      <c r="C49" s="116"/>
      <c r="D49" s="512" t="str">
        <f>_xlfn.XLOOKUP(E49,'All Products'!D:D,'All Products'!C:C,FALSE)</f>
        <v>401-578</v>
      </c>
      <c r="E49" s="53">
        <v>100022400</v>
      </c>
      <c r="F49" s="522" t="str">
        <f>_xlfn.XLOOKUP(E49,'All Products'!D:D,'All Products'!E:E,FALSE)</f>
        <v>8X8X2 REDUCING TEE SXSXS</v>
      </c>
      <c r="G49" s="282">
        <f>_xlfn.XLOOKUP(E49,'All Products'!D:D,'All Products'!F:F,FALSE)</f>
        <v>2</v>
      </c>
      <c r="H49" s="533">
        <f>_xlfn.XLOOKUP(E49,'All Products'!D:D,'All Products'!G:G,FALSE)</f>
        <v>48</v>
      </c>
      <c r="I49" s="540">
        <f>_xlfn.XLOOKUP(E49,'All Products'!D:D,'All Products'!H:H,FALSE)</f>
        <v>750.4</v>
      </c>
      <c r="J49" s="216">
        <f>ROUND(I49*Order_Quote!$L$4,2)</f>
        <v>3752</v>
      </c>
      <c r="K49" s="76"/>
      <c r="L49" s="79"/>
      <c r="M49" s="117">
        <f t="shared" si="1"/>
        <v>0</v>
      </c>
      <c r="O49" s="530" t="str">
        <f>_xlfn.XLOOKUP(E49,'All Products'!D:D,'All Products'!I:I,FALSE)</f>
        <v>In Stock</v>
      </c>
      <c r="P49" s="530" t="str">
        <f>_xlfn.XLOOKUP(E49,'All Products'!D:D,'All Products'!J:J,FALSE)</f>
        <v>Manufactured</v>
      </c>
      <c r="Q49" s="543" t="str">
        <f>_xlfn.XLOOKUP(E49,'All Products'!D:D,'All Products'!K:K,FALSE)</f>
        <v>049081147273</v>
      </c>
      <c r="R49" s="543" t="str">
        <f>_xlfn.XLOOKUP(E49,'All Products'!D:D,'All Products'!L:L,FALSE)</f>
        <v>-</v>
      </c>
      <c r="S49" s="543" t="str">
        <f>_xlfn.XLOOKUP(E49,'All Products'!D:D,'All Products'!M:M,FALSE)</f>
        <v>40049081147271</v>
      </c>
      <c r="T49" s="530">
        <f>_xlfn.XLOOKUP(E49,'All Products'!D:D,'All Products'!N:N,FALSE)</f>
        <v>6.1539999999999999</v>
      </c>
      <c r="U49" s="543" t="str">
        <f>_xlfn.XLOOKUP(E49,'All Products'!D:D,'All Products'!O:O,FALSE)</f>
        <v>-</v>
      </c>
      <c r="V49" s="530">
        <f>_xlfn.XLOOKUP(E49,'All Products'!D:D,'All Products'!P:P,FALSE)</f>
        <v>14.32</v>
      </c>
      <c r="W49" s="530">
        <f>_xlfn.XLOOKUP(E49,'All Products'!D:D,'All Products'!Q:Q,FALSE)</f>
        <v>2.77</v>
      </c>
    </row>
    <row r="50" spans="1:23" ht="15" customHeight="1">
      <c r="A50" s="104" t="str">
        <f>IF(K50&gt;0,COUNT($A$7:A49)+COUNT('DWV PVC'!$A$8:$A$284)+COUNT('DWV ABS'!$A$8:$A$116)+1,"")</f>
        <v/>
      </c>
      <c r="B50" s="115"/>
      <c r="C50" s="116"/>
      <c r="D50" s="512" t="str">
        <f>_xlfn.XLOOKUP(E50,'All Products'!D:D,'All Products'!C:C,FALSE)</f>
        <v>401-580</v>
      </c>
      <c r="E50" s="53">
        <v>100022402</v>
      </c>
      <c r="F50" s="522" t="str">
        <f>_xlfn.XLOOKUP(E50,'All Products'!D:D,'All Products'!E:E,FALSE)</f>
        <v>8X8X3 REDUCING TEE SXSXS</v>
      </c>
      <c r="G50" s="282">
        <f>_xlfn.XLOOKUP(E50,'All Products'!D:D,'All Products'!F:F,FALSE)</f>
        <v>2</v>
      </c>
      <c r="H50" s="533">
        <f>_xlfn.XLOOKUP(E50,'All Products'!D:D,'All Products'!G:G,FALSE)</f>
        <v>48</v>
      </c>
      <c r="I50" s="540">
        <f>_xlfn.XLOOKUP(E50,'All Products'!D:D,'All Products'!H:H,FALSE)</f>
        <v>718.58</v>
      </c>
      <c r="J50" s="216">
        <f>ROUND(I50*Order_Quote!$L$4,2)</f>
        <v>3592.9</v>
      </c>
      <c r="K50" s="76"/>
      <c r="L50" s="79"/>
      <c r="M50" s="117">
        <f t="shared" si="1"/>
        <v>0</v>
      </c>
      <c r="O50" s="530" t="str">
        <f>_xlfn.XLOOKUP(E50,'All Products'!D:D,'All Products'!I:I,FALSE)</f>
        <v>Within 3 Weeks</v>
      </c>
      <c r="P50" s="530" t="str">
        <f>_xlfn.XLOOKUP(E50,'All Products'!D:D,'All Products'!J:J,FALSE)</f>
        <v>Manufactured</v>
      </c>
      <c r="Q50" s="543" t="str">
        <f>_xlfn.XLOOKUP(E50,'All Products'!D:D,'All Products'!K:K,FALSE)</f>
        <v>049081147266</v>
      </c>
      <c r="R50" s="543" t="str">
        <f>_xlfn.XLOOKUP(E50,'All Products'!D:D,'All Products'!L:L,FALSE)</f>
        <v>-</v>
      </c>
      <c r="S50" s="543" t="str">
        <f>_xlfn.XLOOKUP(E50,'All Products'!D:D,'All Products'!M:M,FALSE)</f>
        <v>40049081147264</v>
      </c>
      <c r="T50" s="530">
        <f>_xlfn.XLOOKUP(E50,'All Products'!D:D,'All Products'!N:N,FALSE)</f>
        <v>6.9359999999999999</v>
      </c>
      <c r="U50" s="543" t="str">
        <f>_xlfn.XLOOKUP(E50,'All Products'!D:D,'All Products'!O:O,FALSE)</f>
        <v>-</v>
      </c>
      <c r="V50" s="530">
        <f>_xlfn.XLOOKUP(E50,'All Products'!D:D,'All Products'!P:P,FALSE)</f>
        <v>15.79</v>
      </c>
      <c r="W50" s="530">
        <f>_xlfn.XLOOKUP(E50,'All Products'!D:D,'All Products'!Q:Q,FALSE)</f>
        <v>2.77</v>
      </c>
    </row>
    <row r="51" spans="1:23" ht="15" customHeight="1">
      <c r="A51" s="104" t="str">
        <f>IF(K51&gt;0,COUNT($A$7:A50)+COUNT('DWV PVC'!$A$8:$A$284)+COUNT('DWV ABS'!$A$8:$A$116)+1,"")</f>
        <v/>
      </c>
      <c r="B51" s="115"/>
      <c r="C51" s="116"/>
      <c r="D51" s="512" t="str">
        <f>_xlfn.XLOOKUP(E51,'All Products'!D:D,'All Products'!C:C,FALSE)</f>
        <v>401-582</v>
      </c>
      <c r="E51" s="53">
        <v>100022404</v>
      </c>
      <c r="F51" s="522" t="str">
        <f>_xlfn.XLOOKUP(E51,'All Products'!D:D,'All Products'!E:E,FALSE)</f>
        <v>8X8X4 REDUCING TEE SXSXS</v>
      </c>
      <c r="G51" s="282">
        <f>_xlfn.XLOOKUP(E51,'All Products'!D:D,'All Products'!F:F,FALSE)</f>
        <v>2</v>
      </c>
      <c r="H51" s="533">
        <f>_xlfn.XLOOKUP(E51,'All Products'!D:D,'All Products'!G:G,FALSE)</f>
        <v>48</v>
      </c>
      <c r="I51" s="540">
        <f>_xlfn.XLOOKUP(E51,'All Products'!D:D,'All Products'!H:H,FALSE)</f>
        <v>718.58</v>
      </c>
      <c r="J51" s="216">
        <f>ROUND(I51*Order_Quote!$L$4,2)</f>
        <v>3592.9</v>
      </c>
      <c r="K51" s="76"/>
      <c r="L51" s="79"/>
      <c r="M51" s="117">
        <f t="shared" si="1"/>
        <v>0</v>
      </c>
      <c r="O51" s="530" t="str">
        <f>_xlfn.XLOOKUP(E51,'All Products'!D:D,'All Products'!I:I,FALSE)</f>
        <v>In Stock</v>
      </c>
      <c r="P51" s="530" t="str">
        <f>_xlfn.XLOOKUP(E51,'All Products'!D:D,'All Products'!J:J,FALSE)</f>
        <v>Manufactured</v>
      </c>
      <c r="Q51" s="543" t="str">
        <f>_xlfn.XLOOKUP(E51,'All Products'!D:D,'All Products'!K:K,FALSE)</f>
        <v>049081147242</v>
      </c>
      <c r="R51" s="543" t="str">
        <f>_xlfn.XLOOKUP(E51,'All Products'!D:D,'All Products'!L:L,FALSE)</f>
        <v>-</v>
      </c>
      <c r="S51" s="543" t="str">
        <f>_xlfn.XLOOKUP(E51,'All Products'!D:D,'All Products'!M:M,FALSE)</f>
        <v>40049081147240</v>
      </c>
      <c r="T51" s="530">
        <f>_xlfn.XLOOKUP(E51,'All Products'!D:D,'All Products'!N:N,FALSE)</f>
        <v>7.718</v>
      </c>
      <c r="U51" s="543" t="str">
        <f>_xlfn.XLOOKUP(E51,'All Products'!D:D,'All Products'!O:O,FALSE)</f>
        <v>-</v>
      </c>
      <c r="V51" s="530">
        <f>_xlfn.XLOOKUP(E51,'All Products'!D:D,'All Products'!P:P,FALSE)</f>
        <v>17.2</v>
      </c>
      <c r="W51" s="530">
        <f>_xlfn.XLOOKUP(E51,'All Products'!D:D,'All Products'!Q:Q,FALSE)</f>
        <v>2.77</v>
      </c>
    </row>
    <row r="52" spans="1:23" ht="15" customHeight="1">
      <c r="A52" s="104" t="str">
        <f>IF(K52&gt;0,COUNT($A$7:A51)+COUNT('DWV PVC'!$A$8:$A$284)+COUNT('DWV ABS'!$A$8:$A$116)+1,"")</f>
        <v/>
      </c>
      <c r="B52" s="115"/>
      <c r="C52" s="116"/>
      <c r="D52" s="512" t="str">
        <f>_xlfn.XLOOKUP(E52,'All Products'!D:D,'All Products'!C:C,FALSE)</f>
        <v>401-585</v>
      </c>
      <c r="E52" s="53">
        <v>100022406</v>
      </c>
      <c r="F52" s="522" t="str">
        <f>_xlfn.XLOOKUP(E52,'All Products'!D:D,'All Products'!E:E,FALSE)</f>
        <v>8X8X6 REDUCING TEE SXSXS</v>
      </c>
      <c r="G52" s="282">
        <f>_xlfn.XLOOKUP(E52,'All Products'!D:D,'All Products'!F:F,FALSE)</f>
        <v>2</v>
      </c>
      <c r="H52" s="533">
        <f>_xlfn.XLOOKUP(E52,'All Products'!D:D,'All Products'!G:G,FALSE)</f>
        <v>48</v>
      </c>
      <c r="I52" s="540">
        <f>_xlfn.XLOOKUP(E52,'All Products'!D:D,'All Products'!H:H,FALSE)</f>
        <v>718.58</v>
      </c>
      <c r="J52" s="216">
        <f>ROUND(I52*Order_Quote!$L$4,2)</f>
        <v>3592.9</v>
      </c>
      <c r="K52" s="76"/>
      <c r="L52" s="79"/>
      <c r="M52" s="117">
        <f t="shared" si="1"/>
        <v>0</v>
      </c>
      <c r="O52" s="530" t="str">
        <f>_xlfn.XLOOKUP(E52,'All Products'!D:D,'All Products'!I:I,FALSE)</f>
        <v>In Stock</v>
      </c>
      <c r="P52" s="530" t="str">
        <f>_xlfn.XLOOKUP(E52,'All Products'!D:D,'All Products'!J:J,FALSE)</f>
        <v>Manufactured</v>
      </c>
      <c r="Q52" s="543" t="str">
        <f>_xlfn.XLOOKUP(E52,'All Products'!D:D,'All Products'!K:K,FALSE)</f>
        <v>049081147228</v>
      </c>
      <c r="R52" s="543" t="str">
        <f>_xlfn.XLOOKUP(E52,'All Products'!D:D,'All Products'!L:L,FALSE)</f>
        <v>-</v>
      </c>
      <c r="S52" s="543" t="str">
        <f>_xlfn.XLOOKUP(E52,'All Products'!D:D,'All Products'!M:M,FALSE)</f>
        <v>40049081147226</v>
      </c>
      <c r="T52" s="530">
        <f>_xlfn.XLOOKUP(E52,'All Products'!D:D,'All Products'!N:N,FALSE)</f>
        <v>9.5399999999999991</v>
      </c>
      <c r="U52" s="543" t="str">
        <f>_xlfn.XLOOKUP(E52,'All Products'!D:D,'All Products'!O:O,FALSE)</f>
        <v>-</v>
      </c>
      <c r="V52" s="530">
        <f>_xlfn.XLOOKUP(E52,'All Products'!D:D,'All Products'!P:P,FALSE)</f>
        <v>20.65</v>
      </c>
      <c r="W52" s="530">
        <f>_xlfn.XLOOKUP(E52,'All Products'!D:D,'All Products'!Q:Q,FALSE)</f>
        <v>2.77</v>
      </c>
    </row>
    <row r="53" spans="1:23" ht="15" customHeight="1">
      <c r="A53" s="104" t="str">
        <f>IF(K53&gt;0,COUNT($A$7:A52)+COUNT('DWV PVC'!$A$8:$A$284)+COUNT('DWV ABS'!$A$8:$A$116)+1,"")</f>
        <v/>
      </c>
      <c r="B53" s="577"/>
      <c r="C53" s="578"/>
      <c r="D53" s="512" t="str">
        <f>_xlfn.XLOOKUP(E53,'All Products'!D:D,'All Products'!C:C,FALSE)</f>
        <v>402-005</v>
      </c>
      <c r="E53" s="53">
        <v>100022408</v>
      </c>
      <c r="F53" s="522" t="str">
        <f>_xlfn.XLOOKUP(E53,'All Products'!D:D,'All Products'!E:E,FALSE)</f>
        <v>1/2 TEE SLIP X SLIP X FIPT</v>
      </c>
      <c r="G53" s="282">
        <f>_xlfn.XLOOKUP(E53,'All Products'!D:D,'All Products'!F:F,FALSE)</f>
        <v>150</v>
      </c>
      <c r="H53" s="533">
        <f>_xlfn.XLOOKUP(E53,'All Products'!D:D,'All Products'!G:G,FALSE)</f>
        <v>13500</v>
      </c>
      <c r="I53" s="540">
        <f>_xlfn.XLOOKUP(E53,'All Products'!D:D,'All Products'!H:H,FALSE)</f>
        <v>2.65</v>
      </c>
      <c r="J53" s="216">
        <f>ROUND(I53*Order_Quote!$L$4,2)</f>
        <v>13.25</v>
      </c>
      <c r="K53" s="76"/>
      <c r="L53" s="79"/>
      <c r="M53" s="117">
        <f t="shared" si="1"/>
        <v>0</v>
      </c>
      <c r="O53" s="530" t="str">
        <f>_xlfn.XLOOKUP(E53,'All Products'!D:D,'All Products'!I:I,FALSE)</f>
        <v>In Stock</v>
      </c>
      <c r="P53" s="530" t="str">
        <f>_xlfn.XLOOKUP(E53,'All Products'!D:D,'All Products'!J:J,FALSE)</f>
        <v>Manufactured</v>
      </c>
      <c r="Q53" s="543" t="str">
        <f>_xlfn.XLOOKUP(E53,'All Products'!D:D,'All Products'!K:K,FALSE)</f>
        <v>049081147426</v>
      </c>
      <c r="R53" s="543" t="str">
        <f>_xlfn.XLOOKUP(E53,'All Products'!D:D,'All Products'!L:L,FALSE)</f>
        <v>049081647421</v>
      </c>
      <c r="S53" s="543" t="str">
        <f>_xlfn.XLOOKUP(E53,'All Products'!D:D,'All Products'!M:M,FALSE)</f>
        <v>40049081147424</v>
      </c>
      <c r="T53" s="530">
        <f>_xlfn.XLOOKUP(E53,'All Products'!D:D,'All Products'!N:N,FALSE)</f>
        <v>7.4999999999999997E-2</v>
      </c>
      <c r="U53" s="543">
        <f>_xlfn.XLOOKUP(E53,'All Products'!D:D,'All Products'!O:O,FALSE)</f>
        <v>10</v>
      </c>
      <c r="V53" s="530">
        <f>_xlfn.XLOOKUP(E53,'All Products'!D:D,'All Products'!P:P,FALSE)</f>
        <v>12.53</v>
      </c>
      <c r="W53" s="530">
        <f>_xlfn.XLOOKUP(E53,'All Products'!D:D,'All Products'!Q:Q,FALSE)</f>
        <v>0.8</v>
      </c>
    </row>
    <row r="54" spans="1:23" ht="15" customHeight="1">
      <c r="A54" s="104" t="str">
        <f>IF(K54&gt;0,COUNT($A$7:A53)+COUNT('DWV PVC'!$A$8:$A$284)+COUNT('DWV ABS'!$A$8:$A$116)+1,"")</f>
        <v/>
      </c>
      <c r="B54" s="579"/>
      <c r="C54" s="580"/>
      <c r="D54" s="512" t="str">
        <f>_xlfn.XLOOKUP(E54,'All Products'!D:D,'All Products'!C:C,FALSE)</f>
        <v>402-007</v>
      </c>
      <c r="E54" s="53">
        <v>100022410</v>
      </c>
      <c r="F54" s="522" t="str">
        <f>_xlfn.XLOOKUP(E54,'All Products'!D:D,'All Products'!E:E,FALSE)</f>
        <v>3/4 TEE SLIP X SLIP X FIPT</v>
      </c>
      <c r="G54" s="282">
        <f>_xlfn.XLOOKUP(E54,'All Products'!D:D,'All Products'!F:F,FALSE)</f>
        <v>100</v>
      </c>
      <c r="H54" s="533">
        <f>_xlfn.XLOOKUP(E54,'All Products'!D:D,'All Products'!G:G,FALSE)</f>
        <v>9000</v>
      </c>
      <c r="I54" s="540">
        <f>_xlfn.XLOOKUP(E54,'All Products'!D:D,'All Products'!H:H,FALSE)</f>
        <v>4.07</v>
      </c>
      <c r="J54" s="216">
        <f>ROUND(I54*Order_Quote!$L$4,2)</f>
        <v>20.350000000000001</v>
      </c>
      <c r="K54" s="76"/>
      <c r="L54" s="79"/>
      <c r="M54" s="117">
        <f t="shared" si="1"/>
        <v>0</v>
      </c>
      <c r="O54" s="530" t="str">
        <f>_xlfn.XLOOKUP(E54,'All Products'!D:D,'All Products'!I:I,FALSE)</f>
        <v>In Stock</v>
      </c>
      <c r="P54" s="530" t="str">
        <f>_xlfn.XLOOKUP(E54,'All Products'!D:D,'All Products'!J:J,FALSE)</f>
        <v>Manufactured</v>
      </c>
      <c r="Q54" s="543" t="str">
        <f>_xlfn.XLOOKUP(E54,'All Products'!D:D,'All Products'!K:K,FALSE)</f>
        <v>049081147488</v>
      </c>
      <c r="R54" s="543" t="str">
        <f>_xlfn.XLOOKUP(E54,'All Products'!D:D,'All Products'!L:L,FALSE)</f>
        <v>049081647483</v>
      </c>
      <c r="S54" s="543" t="str">
        <f>_xlfn.XLOOKUP(E54,'All Products'!D:D,'All Products'!M:M,FALSE)</f>
        <v>40049081147486</v>
      </c>
      <c r="T54" s="530">
        <f>_xlfn.XLOOKUP(E54,'All Products'!D:D,'All Products'!N:N,FALSE)</f>
        <v>8.5999999999999993E-2</v>
      </c>
      <c r="U54" s="543">
        <f>_xlfn.XLOOKUP(E54,'All Products'!D:D,'All Products'!O:O,FALSE)</f>
        <v>10</v>
      </c>
      <c r="V54" s="530">
        <f>_xlfn.XLOOKUP(E54,'All Products'!D:D,'All Products'!P:P,FALSE)</f>
        <v>11.9</v>
      </c>
      <c r="W54" s="530">
        <f>_xlfn.XLOOKUP(E54,'All Products'!D:D,'All Products'!Q:Q,FALSE)</f>
        <v>0.8</v>
      </c>
    </row>
    <row r="55" spans="1:23" ht="15" customHeight="1">
      <c r="A55" s="104" t="str">
        <f>IF(K55&gt;0,COUNT($A$7:A54)+COUNT('DWV PVC'!$A$8:$A$284)+COUNT('DWV ABS'!$A$8:$A$116)+1,"")</f>
        <v/>
      </c>
      <c r="B55" s="579"/>
      <c r="C55" s="580"/>
      <c r="D55" s="512" t="str">
        <f>_xlfn.XLOOKUP(E55,'All Products'!D:D,'All Products'!C:C,FALSE)</f>
        <v>402-010</v>
      </c>
      <c r="E55" s="53">
        <v>100022412</v>
      </c>
      <c r="F55" s="522" t="str">
        <f>_xlfn.XLOOKUP(E55,'All Products'!D:D,'All Products'!E:E,FALSE)</f>
        <v>1 TEE SLIP X SLIP X FIPT</v>
      </c>
      <c r="G55" s="282">
        <f>_xlfn.XLOOKUP(E55,'All Products'!D:D,'All Products'!F:F,FALSE)</f>
        <v>50</v>
      </c>
      <c r="H55" s="533">
        <f>_xlfn.XLOOKUP(E55,'All Products'!D:D,'All Products'!G:G,FALSE)</f>
        <v>4500</v>
      </c>
      <c r="I55" s="540">
        <f>_xlfn.XLOOKUP(E55,'All Products'!D:D,'All Products'!H:H,FALSE)</f>
        <v>7.54</v>
      </c>
      <c r="J55" s="216">
        <f>ROUND(I55*Order_Quote!$L$4,2)</f>
        <v>37.700000000000003</v>
      </c>
      <c r="K55" s="76"/>
      <c r="L55" s="79"/>
      <c r="M55" s="117">
        <f t="shared" si="1"/>
        <v>0</v>
      </c>
      <c r="O55" s="530" t="str">
        <f>_xlfn.XLOOKUP(E55,'All Products'!D:D,'All Products'!I:I,FALSE)</f>
        <v>In Stock</v>
      </c>
      <c r="P55" s="530" t="str">
        <f>_xlfn.XLOOKUP(E55,'All Products'!D:D,'All Products'!J:J,FALSE)</f>
        <v>Manufactured</v>
      </c>
      <c r="Q55" s="543" t="str">
        <f>_xlfn.XLOOKUP(E55,'All Products'!D:D,'All Products'!K:K,FALSE)</f>
        <v>049081147587</v>
      </c>
      <c r="R55" s="543" t="str">
        <f>_xlfn.XLOOKUP(E55,'All Products'!D:D,'All Products'!L:L,FALSE)</f>
        <v>049081647582</v>
      </c>
      <c r="S55" s="543" t="str">
        <f>_xlfn.XLOOKUP(E55,'All Products'!D:D,'All Products'!M:M,FALSE)</f>
        <v>40049081147585</v>
      </c>
      <c r="T55" s="530">
        <f>_xlfn.XLOOKUP(E55,'All Products'!D:D,'All Products'!N:N,FALSE)</f>
        <v>0.20399999999999999</v>
      </c>
      <c r="U55" s="543">
        <f>_xlfn.XLOOKUP(E55,'All Products'!D:D,'All Products'!O:O,FALSE)</f>
        <v>10</v>
      </c>
      <c r="V55" s="530">
        <f>_xlfn.XLOOKUP(E55,'All Products'!D:D,'All Products'!P:P,FALSE)</f>
        <v>11.35</v>
      </c>
      <c r="W55" s="530">
        <f>_xlfn.XLOOKUP(E55,'All Products'!D:D,'All Products'!Q:Q,FALSE)</f>
        <v>0.8</v>
      </c>
    </row>
    <row r="56" spans="1:23" ht="15" customHeight="1">
      <c r="A56" s="104" t="str">
        <f>IF(K56&gt;0,COUNT($A$7:A55)+COUNT('DWV PVC'!$A$8:$A$284)+COUNT('DWV ABS'!$A$8:$A$116)+1,"")</f>
        <v/>
      </c>
      <c r="B56" s="115"/>
      <c r="C56" s="116"/>
      <c r="D56" s="512" t="str">
        <f>_xlfn.XLOOKUP(E56,'All Products'!D:D,'All Products'!C:C,FALSE)</f>
        <v>402-015</v>
      </c>
      <c r="E56" s="53">
        <v>100022416</v>
      </c>
      <c r="F56" s="522" t="str">
        <f>_xlfn.XLOOKUP(E56,'All Products'!D:D,'All Products'!E:E,FALSE)</f>
        <v>1-1/2 TEE SLIP X SLIP X FIPT</v>
      </c>
      <c r="G56" s="282">
        <f>_xlfn.XLOOKUP(E56,'All Products'!D:D,'All Products'!F:F,FALSE)</f>
        <v>25</v>
      </c>
      <c r="H56" s="533">
        <f>_xlfn.XLOOKUP(E56,'All Products'!D:D,'All Products'!G:G,FALSE)</f>
        <v>1875</v>
      </c>
      <c r="I56" s="540">
        <f>_xlfn.XLOOKUP(E56,'All Products'!D:D,'All Products'!H:H,FALSE)</f>
        <v>15.6</v>
      </c>
      <c r="J56" s="216">
        <f>ROUND(I56*Order_Quote!$L$4,2)</f>
        <v>78</v>
      </c>
      <c r="K56" s="76"/>
      <c r="L56" s="79"/>
      <c r="M56" s="117">
        <f t="shared" si="1"/>
        <v>0</v>
      </c>
      <c r="O56" s="530" t="str">
        <f>_xlfn.XLOOKUP(E56,'All Products'!D:D,'All Products'!I:I,FALSE)</f>
        <v>In Stock</v>
      </c>
      <c r="P56" s="530" t="str">
        <f>_xlfn.XLOOKUP(E56,'All Products'!D:D,'All Products'!J:J,FALSE)</f>
        <v>Manufactured</v>
      </c>
      <c r="Q56" s="543" t="str">
        <f>_xlfn.XLOOKUP(E56,'All Products'!D:D,'All Products'!K:K,FALSE)</f>
        <v>049081148065</v>
      </c>
      <c r="R56" s="543" t="str">
        <f>_xlfn.XLOOKUP(E56,'All Products'!D:D,'All Products'!L:L,FALSE)</f>
        <v>-</v>
      </c>
      <c r="S56" s="543" t="str">
        <f>_xlfn.XLOOKUP(E56,'All Products'!D:D,'All Products'!M:M,FALSE)</f>
        <v>40049081148063</v>
      </c>
      <c r="T56" s="530">
        <f>_xlfn.XLOOKUP(E56,'All Products'!D:D,'All Products'!N:N,FALSE)</f>
        <v>0.41199999999999998</v>
      </c>
      <c r="U56" s="543" t="str">
        <f>_xlfn.XLOOKUP(E56,'All Products'!D:D,'All Products'!O:O,FALSE)</f>
        <v>-</v>
      </c>
      <c r="V56" s="530">
        <f>_xlfn.XLOOKUP(E56,'All Products'!D:D,'All Products'!P:P,FALSE)</f>
        <v>12.09</v>
      </c>
      <c r="W56" s="530">
        <f>_xlfn.XLOOKUP(E56,'All Products'!D:D,'All Products'!Q:Q,FALSE)</f>
        <v>0.95</v>
      </c>
    </row>
    <row r="57" spans="1:23" ht="15" customHeight="1">
      <c r="A57" s="104" t="str">
        <f>IF(K57&gt;0,COUNT($A$7:A56)+COUNT('DWV PVC'!$A$8:$A$284)+COUNT('DWV ABS'!$A$8:$A$116)+1,"")</f>
        <v/>
      </c>
      <c r="B57" s="115"/>
      <c r="C57" s="116"/>
      <c r="D57" s="512" t="str">
        <f>_xlfn.XLOOKUP(E57,'All Products'!D:D,'All Products'!C:C,FALSE)</f>
        <v>402-020</v>
      </c>
      <c r="E57" s="53">
        <v>100022418</v>
      </c>
      <c r="F57" s="522" t="str">
        <f>_xlfn.XLOOKUP(E57,'All Products'!D:D,'All Products'!E:E,FALSE)</f>
        <v>2 TEE SLIP X SLIP X FIPT</v>
      </c>
      <c r="G57" s="282">
        <f>_xlfn.XLOOKUP(E57,'All Products'!D:D,'All Products'!F:F,FALSE)</f>
        <v>15</v>
      </c>
      <c r="H57" s="533">
        <f>_xlfn.XLOOKUP(E57,'All Products'!D:D,'All Products'!G:G,FALSE)</f>
        <v>1125</v>
      </c>
      <c r="I57" s="540">
        <f>_xlfn.XLOOKUP(E57,'All Products'!D:D,'All Products'!H:H,FALSE)</f>
        <v>19.75</v>
      </c>
      <c r="J57" s="216">
        <f>ROUND(I57*Order_Quote!$L$4,2)</f>
        <v>98.75</v>
      </c>
      <c r="K57" s="76"/>
      <c r="L57" s="79"/>
      <c r="M57" s="117">
        <f t="shared" si="1"/>
        <v>0</v>
      </c>
      <c r="O57" s="530" t="str">
        <f>_xlfn.XLOOKUP(E57,'All Products'!D:D,'All Products'!I:I,FALSE)</f>
        <v>In Stock</v>
      </c>
      <c r="P57" s="530" t="str">
        <f>_xlfn.XLOOKUP(E57,'All Products'!D:D,'All Products'!J:J,FALSE)</f>
        <v>Manufactured</v>
      </c>
      <c r="Q57" s="543" t="str">
        <f>_xlfn.XLOOKUP(E57,'All Products'!D:D,'All Products'!K:K,FALSE)</f>
        <v>049081148409</v>
      </c>
      <c r="R57" s="543" t="str">
        <f>_xlfn.XLOOKUP(E57,'All Products'!D:D,'All Products'!L:L,FALSE)</f>
        <v>-</v>
      </c>
      <c r="S57" s="543" t="str">
        <f>_xlfn.XLOOKUP(E57,'All Products'!D:D,'All Products'!M:M,FALSE)</f>
        <v>40049081148407</v>
      </c>
      <c r="T57" s="530">
        <f>_xlfn.XLOOKUP(E57,'All Products'!D:D,'All Products'!N:N,FALSE)</f>
        <v>0.58299999999999996</v>
      </c>
      <c r="U57" s="543" t="str">
        <f>_xlfn.XLOOKUP(E57,'All Products'!D:D,'All Products'!O:O,FALSE)</f>
        <v>-</v>
      </c>
      <c r="V57" s="530">
        <f>_xlfn.XLOOKUP(E57,'All Products'!D:D,'All Products'!P:P,FALSE)</f>
        <v>9.58</v>
      </c>
      <c r="W57" s="530">
        <f>_xlfn.XLOOKUP(E57,'All Products'!D:D,'All Products'!Q:Q,FALSE)</f>
        <v>0.95</v>
      </c>
    </row>
    <row r="58" spans="1:23" ht="15" customHeight="1">
      <c r="A58" s="104" t="str">
        <f>IF(K58&gt;0,COUNT($A$7:A57)+COUNT('DWV PVC'!$A$8:$A$284)+COUNT('DWV ABS'!$A$8:$A$116)+1,"")</f>
        <v/>
      </c>
      <c r="B58" s="115"/>
      <c r="C58" s="116"/>
      <c r="D58" s="512" t="str">
        <f>_xlfn.XLOOKUP(E58,'All Products'!D:D,'All Products'!C:C,FALSE)</f>
        <v>402-030</v>
      </c>
      <c r="E58" s="53">
        <v>100022421</v>
      </c>
      <c r="F58" s="522" t="str">
        <f>_xlfn.XLOOKUP(E58,'All Products'!D:D,'All Products'!E:E,FALSE)</f>
        <v>3 TEE SLIP X SLIP X FIPT</v>
      </c>
      <c r="G58" s="282">
        <f>_xlfn.XLOOKUP(E58,'All Products'!D:D,'All Products'!F:F,FALSE)</f>
        <v>5</v>
      </c>
      <c r="H58" s="533">
        <f>_xlfn.XLOOKUP(E58,'All Products'!D:D,'All Products'!G:G,FALSE)</f>
        <v>600</v>
      </c>
      <c r="I58" s="540">
        <f>_xlfn.XLOOKUP(E58,'All Products'!D:D,'All Products'!H:H,FALSE)</f>
        <v>76.59</v>
      </c>
      <c r="J58" s="216">
        <f>ROUND(I58*Order_Quote!$L$4,2)</f>
        <v>382.95</v>
      </c>
      <c r="K58" s="76"/>
      <c r="L58" s="79"/>
      <c r="M58" s="117">
        <f t="shared" si="1"/>
        <v>0</v>
      </c>
      <c r="O58" s="530" t="str">
        <f>_xlfn.XLOOKUP(E58,'All Products'!D:D,'All Products'!I:I,FALSE)</f>
        <v>In Stock</v>
      </c>
      <c r="P58" s="530" t="str">
        <f>_xlfn.XLOOKUP(E58,'All Products'!D:D,'All Products'!J:J,FALSE)</f>
        <v>Manufactured</v>
      </c>
      <c r="Q58" s="543" t="str">
        <f>_xlfn.XLOOKUP(E58,'All Products'!D:D,'All Products'!K:K,FALSE)</f>
        <v>049081148843</v>
      </c>
      <c r="R58" s="543" t="str">
        <f>_xlfn.XLOOKUP(E58,'All Products'!D:D,'All Products'!L:L,FALSE)</f>
        <v>-</v>
      </c>
      <c r="S58" s="543" t="str">
        <f>_xlfn.XLOOKUP(E58,'All Products'!D:D,'All Products'!M:M,FALSE)</f>
        <v>40049081148841</v>
      </c>
      <c r="T58" s="530">
        <f>_xlfn.XLOOKUP(E58,'All Products'!D:D,'All Products'!N:N,FALSE)</f>
        <v>1.736</v>
      </c>
      <c r="U58" s="543" t="str">
        <f>_xlfn.XLOOKUP(E58,'All Products'!D:D,'All Products'!O:O,FALSE)</f>
        <v>-</v>
      </c>
      <c r="V58" s="530">
        <f>_xlfn.XLOOKUP(E58,'All Products'!D:D,'All Products'!P:P,FALSE)</f>
        <v>8.68</v>
      </c>
      <c r="W58" s="530">
        <f>_xlfn.XLOOKUP(E58,'All Products'!D:D,'All Products'!Q:Q,FALSE)</f>
        <v>0.65</v>
      </c>
    </row>
    <row r="59" spans="1:23" ht="15" customHeight="1">
      <c r="A59" s="104" t="str">
        <f>IF(K59&gt;0,COUNT($A$7:A58)+COUNT('DWV PVC'!$A$8:$A$284)+COUNT('DWV ABS'!$A$8:$A$116)+1,"")</f>
        <v/>
      </c>
      <c r="B59" s="380"/>
      <c r="C59" s="292"/>
      <c r="D59" s="512" t="str">
        <f>_xlfn.XLOOKUP(E59,'All Products'!D:D,'All Products'!C:C,FALSE)</f>
        <v>402-040</v>
      </c>
      <c r="E59" s="53">
        <v>100022422</v>
      </c>
      <c r="F59" s="522" t="str">
        <f>_xlfn.XLOOKUP(E59,'All Products'!D:D,'All Products'!E:E,FALSE)</f>
        <v>4 TEE SLIP X SLIP X FIPT</v>
      </c>
      <c r="G59" s="282">
        <f>_xlfn.XLOOKUP(E59,'All Products'!D:D,'All Products'!F:F,FALSE)</f>
        <v>3</v>
      </c>
      <c r="H59" s="533">
        <f>_xlfn.XLOOKUP(E59,'All Products'!D:D,'All Products'!G:G,FALSE)</f>
        <v>270</v>
      </c>
      <c r="I59" s="540">
        <f>_xlfn.XLOOKUP(E59,'All Products'!D:D,'All Products'!H:H,FALSE)</f>
        <v>117.05</v>
      </c>
      <c r="J59" s="216">
        <f>ROUND(I59*Order_Quote!$L$4,2)</f>
        <v>585.25</v>
      </c>
      <c r="K59" s="76"/>
      <c r="L59" s="79"/>
      <c r="M59" s="117">
        <f t="shared" si="1"/>
        <v>0</v>
      </c>
      <c r="O59" s="530" t="str">
        <f>_xlfn.XLOOKUP(E59,'All Products'!D:D,'All Products'!I:I,FALSE)</f>
        <v>In Stock</v>
      </c>
      <c r="P59" s="530" t="str">
        <f>_xlfn.XLOOKUP(E59,'All Products'!D:D,'All Products'!J:J,FALSE)</f>
        <v>Manufactured</v>
      </c>
      <c r="Q59" s="543" t="str">
        <f>_xlfn.XLOOKUP(E59,'All Products'!D:D,'All Products'!K:K,FALSE)</f>
        <v>049081148980</v>
      </c>
      <c r="R59" s="543" t="str">
        <f>_xlfn.XLOOKUP(E59,'All Products'!D:D,'All Products'!L:L,FALSE)</f>
        <v>-</v>
      </c>
      <c r="S59" s="543" t="str">
        <f>_xlfn.XLOOKUP(E59,'All Products'!D:D,'All Products'!M:M,FALSE)</f>
        <v>40049081148988</v>
      </c>
      <c r="T59" s="530">
        <f>_xlfn.XLOOKUP(E59,'All Products'!D:D,'All Products'!N:N,FALSE)</f>
        <v>2.8330000000000002</v>
      </c>
      <c r="U59" s="543" t="str">
        <f>_xlfn.XLOOKUP(E59,'All Products'!D:D,'All Products'!O:O,FALSE)</f>
        <v>-</v>
      </c>
      <c r="V59" s="530">
        <f>_xlfn.XLOOKUP(E59,'All Products'!D:D,'All Products'!P:P,FALSE)</f>
        <v>8.5</v>
      </c>
      <c r="W59" s="530">
        <f>_xlfn.XLOOKUP(E59,'All Products'!D:D,'All Products'!Q:Q,FALSE)</f>
        <v>0.8</v>
      </c>
    </row>
    <row r="60" spans="1:23" ht="15" customHeight="1">
      <c r="A60" s="104" t="str">
        <f>IF(K60&gt;0,COUNT($A$7:A59)+COUNT('DWV PVC'!$A$8:$A$284)+COUNT('DWV ABS'!$A$8:$A$116)+1,"")</f>
        <v/>
      </c>
      <c r="B60" s="115"/>
      <c r="C60" s="116"/>
      <c r="D60" s="512" t="str">
        <f>_xlfn.XLOOKUP(E60,'All Products'!D:D,'All Products'!C:C,FALSE)</f>
        <v>402-071</v>
      </c>
      <c r="E60" s="53">
        <v>100022424</v>
      </c>
      <c r="F60" s="522" t="str">
        <f>_xlfn.XLOOKUP(E60,'All Products'!D:D,'All Products'!E:E,FALSE)</f>
        <v>1/2X1/2X1/8 REDUCING TEE SXSXFIPT</v>
      </c>
      <c r="G60" s="282">
        <f>_xlfn.XLOOKUP(E60,'All Products'!D:D,'All Products'!F:F,FALSE)</f>
        <v>250</v>
      </c>
      <c r="H60" s="533">
        <f>_xlfn.XLOOKUP(E60,'All Products'!D:D,'All Products'!G:G,FALSE)</f>
        <v>22500</v>
      </c>
      <c r="I60" s="540">
        <f>_xlfn.XLOOKUP(E60,'All Products'!D:D,'All Products'!H:H,FALSE)</f>
        <v>5.63</v>
      </c>
      <c r="J60" s="216">
        <f>ROUND(I60*Order_Quote!$L$4,2)</f>
        <v>28.15</v>
      </c>
      <c r="K60" s="76"/>
      <c r="L60" s="79"/>
      <c r="M60" s="117">
        <f t="shared" si="1"/>
        <v>0</v>
      </c>
      <c r="O60" s="530" t="str">
        <f>_xlfn.XLOOKUP(E60,'All Products'!D:D,'All Products'!I:I,FALSE)</f>
        <v>In Stock</v>
      </c>
      <c r="P60" s="530" t="str">
        <f>_xlfn.XLOOKUP(E60,'All Products'!D:D,'All Products'!J:J,FALSE)</f>
        <v>Manufactured</v>
      </c>
      <c r="Q60" s="543" t="str">
        <f>_xlfn.XLOOKUP(E60,'All Products'!D:D,'All Products'!K:K,FALSE)</f>
        <v>049081147471</v>
      </c>
      <c r="R60" s="543" t="str">
        <f>_xlfn.XLOOKUP(E60,'All Products'!D:D,'All Products'!L:L,FALSE)</f>
        <v>049081647476</v>
      </c>
      <c r="S60" s="543" t="str">
        <f>_xlfn.XLOOKUP(E60,'All Products'!D:D,'All Products'!M:M,FALSE)</f>
        <v>40049081147479</v>
      </c>
      <c r="T60" s="530">
        <f>_xlfn.XLOOKUP(E60,'All Products'!D:D,'All Products'!N:N,FALSE)</f>
        <v>7.0000000000000007E-2</v>
      </c>
      <c r="U60" s="543">
        <f>_xlfn.XLOOKUP(E60,'All Products'!D:D,'All Products'!O:O,FALSE)</f>
        <v>10</v>
      </c>
      <c r="V60" s="530">
        <f>_xlfn.XLOOKUP(E60,'All Products'!D:D,'All Products'!P:P,FALSE)</f>
        <v>17.739999999999998</v>
      </c>
      <c r="W60" s="530">
        <f>_xlfn.XLOOKUP(E60,'All Products'!D:D,'All Products'!Q:Q,FALSE)</f>
        <v>0.8</v>
      </c>
    </row>
    <row r="61" spans="1:23" ht="15" customHeight="1">
      <c r="A61" s="104" t="str">
        <f>IF(K61&gt;0,COUNT($A$7:A60)+COUNT('DWV PVC'!$A$8:$A$284)+COUNT('DWV ABS'!$A$8:$A$116)+1,"")</f>
        <v/>
      </c>
      <c r="B61" s="115"/>
      <c r="C61" s="116"/>
      <c r="D61" s="512" t="str">
        <f>_xlfn.XLOOKUP(E61,'All Products'!D:D,'All Products'!C:C,FALSE)</f>
        <v>402-101</v>
      </c>
      <c r="E61" s="53">
        <v>100022428</v>
      </c>
      <c r="F61" s="522" t="str">
        <f>_xlfn.XLOOKUP(E61,'All Products'!D:D,'All Products'!E:E,FALSE)</f>
        <v>3/4X3/4X1/2 REDUCING TEE SXSXFIPT</v>
      </c>
      <c r="G61" s="282">
        <f>_xlfn.XLOOKUP(E61,'All Products'!D:D,'All Products'!F:F,FALSE)</f>
        <v>100</v>
      </c>
      <c r="H61" s="533">
        <f>_xlfn.XLOOKUP(E61,'All Products'!D:D,'All Products'!G:G,FALSE)</f>
        <v>12000</v>
      </c>
      <c r="I61" s="540">
        <f>_xlfn.XLOOKUP(E61,'All Products'!D:D,'All Products'!H:H,FALSE)</f>
        <v>3.48</v>
      </c>
      <c r="J61" s="216">
        <f>ROUND(I61*Order_Quote!$L$4,2)</f>
        <v>17.399999999999999</v>
      </c>
      <c r="K61" s="76"/>
      <c r="L61" s="79"/>
      <c r="M61" s="117">
        <f t="shared" si="1"/>
        <v>0</v>
      </c>
      <c r="O61" s="530" t="str">
        <f>_xlfn.XLOOKUP(E61,'All Products'!D:D,'All Products'!I:I,FALSE)</f>
        <v>In Stock</v>
      </c>
      <c r="P61" s="530" t="str">
        <f>_xlfn.XLOOKUP(E61,'All Products'!D:D,'All Products'!J:J,FALSE)</f>
        <v>Manufactured</v>
      </c>
      <c r="Q61" s="543" t="str">
        <f>_xlfn.XLOOKUP(E61,'All Products'!D:D,'All Products'!K:K,FALSE)</f>
        <v>049081147525</v>
      </c>
      <c r="R61" s="543" t="str">
        <f>_xlfn.XLOOKUP(E61,'All Products'!D:D,'All Products'!L:L,FALSE)</f>
        <v>049081647520</v>
      </c>
      <c r="S61" s="543" t="str">
        <f>_xlfn.XLOOKUP(E61,'All Products'!D:D,'All Products'!M:M,FALSE)</f>
        <v>40049081147523</v>
      </c>
      <c r="T61" s="530">
        <f>_xlfn.XLOOKUP(E61,'All Products'!D:D,'All Products'!N:N,FALSE)</f>
        <v>9.7000000000000003E-2</v>
      </c>
      <c r="U61" s="543">
        <f>_xlfn.XLOOKUP(E61,'All Products'!D:D,'All Products'!O:O,FALSE)</f>
        <v>10</v>
      </c>
      <c r="V61" s="530">
        <f>_xlfn.XLOOKUP(E61,'All Products'!D:D,'All Products'!P:P,FALSE)</f>
        <v>10.130000000000001</v>
      </c>
      <c r="W61" s="530">
        <f>_xlfn.XLOOKUP(E61,'All Products'!D:D,'All Products'!Q:Q,FALSE)</f>
        <v>0.65</v>
      </c>
    </row>
    <row r="62" spans="1:23" ht="15" customHeight="1">
      <c r="A62" s="104" t="str">
        <f>IF(K62&gt;0,COUNT($A$7:A61)+COUNT('DWV PVC'!$A$8:$A$284)+COUNT('DWV ABS'!$A$8:$A$116)+1,"")</f>
        <v/>
      </c>
      <c r="B62" s="115"/>
      <c r="C62" s="116"/>
      <c r="D62" s="512" t="str">
        <f>_xlfn.XLOOKUP(E62,'All Products'!D:D,'All Products'!C:C,FALSE)</f>
        <v>402-130</v>
      </c>
      <c r="E62" s="53">
        <v>100022433</v>
      </c>
      <c r="F62" s="522" t="str">
        <f>_xlfn.XLOOKUP(E62,'All Products'!D:D,'All Products'!E:E,FALSE)</f>
        <v>1X1X1/2 REDUCING TEE SXSXFIPT</v>
      </c>
      <c r="G62" s="282">
        <f>_xlfn.XLOOKUP(E62,'All Products'!D:D,'All Products'!F:F,FALSE)</f>
        <v>50</v>
      </c>
      <c r="H62" s="533">
        <f>_xlfn.XLOOKUP(E62,'All Products'!D:D,'All Products'!G:G,FALSE)</f>
        <v>7500</v>
      </c>
      <c r="I62" s="540">
        <f>_xlfn.XLOOKUP(E62,'All Products'!D:D,'All Products'!H:H,FALSE)</f>
        <v>5.27</v>
      </c>
      <c r="J62" s="216">
        <f>ROUND(I62*Order_Quote!$L$4,2)</f>
        <v>26.35</v>
      </c>
      <c r="K62" s="76"/>
      <c r="L62" s="79"/>
      <c r="M62" s="117">
        <f t="shared" si="1"/>
        <v>0</v>
      </c>
      <c r="O62" s="530" t="str">
        <f>_xlfn.XLOOKUP(E62,'All Products'!D:D,'All Products'!I:I,FALSE)</f>
        <v>In Stock</v>
      </c>
      <c r="P62" s="530" t="str">
        <f>_xlfn.XLOOKUP(E62,'All Products'!D:D,'All Products'!J:J,FALSE)</f>
        <v>Manufactured</v>
      </c>
      <c r="Q62" s="543" t="str">
        <f>_xlfn.XLOOKUP(E62,'All Products'!D:D,'All Products'!K:K,FALSE)</f>
        <v>049081147662</v>
      </c>
      <c r="R62" s="543" t="str">
        <f>_xlfn.XLOOKUP(E62,'All Products'!D:D,'All Products'!L:L,FALSE)</f>
        <v>049081647667</v>
      </c>
      <c r="S62" s="543" t="str">
        <f>_xlfn.XLOOKUP(E62,'All Products'!D:D,'All Products'!M:M,FALSE)</f>
        <v>40049081147660</v>
      </c>
      <c r="T62" s="530">
        <f>_xlfn.XLOOKUP(E62,'All Products'!D:D,'All Products'!N:N,FALSE)</f>
        <v>0.13</v>
      </c>
      <c r="U62" s="543">
        <f>_xlfn.XLOOKUP(E62,'All Products'!D:D,'All Products'!O:O,FALSE)</f>
        <v>10</v>
      </c>
      <c r="V62" s="530">
        <f>_xlfn.XLOOKUP(E62,'All Products'!D:D,'All Products'!P:P,FALSE)</f>
        <v>7.31</v>
      </c>
      <c r="W62" s="530">
        <f>_xlfn.XLOOKUP(E62,'All Products'!D:D,'All Products'!Q:Q,FALSE)</f>
        <v>0.5</v>
      </c>
    </row>
    <row r="63" spans="1:23" ht="15" customHeight="1">
      <c r="A63" s="104" t="str">
        <f>IF(K63&gt;0,COUNT($A$7:A62)+COUNT('DWV PVC'!$A$8:$A$284)+COUNT('DWV ABS'!$A$8:$A$116)+1,"")</f>
        <v/>
      </c>
      <c r="B63" s="115"/>
      <c r="C63" s="116"/>
      <c r="D63" s="512" t="str">
        <f>_xlfn.XLOOKUP(E63,'All Products'!D:D,'All Products'!C:C,FALSE)</f>
        <v>402-131</v>
      </c>
      <c r="E63" s="53">
        <v>100022435</v>
      </c>
      <c r="F63" s="522" t="str">
        <f>_xlfn.XLOOKUP(E63,'All Products'!D:D,'All Products'!E:E,FALSE)</f>
        <v>1X1X3/4 REDUCING TEE SXSXFIPT</v>
      </c>
      <c r="G63" s="282">
        <f>_xlfn.XLOOKUP(E63,'All Products'!D:D,'All Products'!F:F,FALSE)</f>
        <v>50</v>
      </c>
      <c r="H63" s="533">
        <f>_xlfn.XLOOKUP(E63,'All Products'!D:D,'All Products'!G:G,FALSE)</f>
        <v>6000</v>
      </c>
      <c r="I63" s="540">
        <f>_xlfn.XLOOKUP(E63,'All Products'!D:D,'All Products'!H:H,FALSE)</f>
        <v>7.54</v>
      </c>
      <c r="J63" s="216">
        <f>ROUND(I63*Order_Quote!$L$4,2)</f>
        <v>37.700000000000003</v>
      </c>
      <c r="K63" s="76"/>
      <c r="L63" s="79"/>
      <c r="M63" s="117">
        <f t="shared" si="1"/>
        <v>0</v>
      </c>
      <c r="O63" s="530" t="str">
        <f>_xlfn.XLOOKUP(E63,'All Products'!D:D,'All Products'!I:I,FALSE)</f>
        <v>In Stock</v>
      </c>
      <c r="P63" s="530" t="str">
        <f>_xlfn.XLOOKUP(E63,'All Products'!D:D,'All Products'!J:J,FALSE)</f>
        <v>Manufactured</v>
      </c>
      <c r="Q63" s="543" t="str">
        <f>_xlfn.XLOOKUP(E63,'All Products'!D:D,'All Products'!K:K,FALSE)</f>
        <v>049081147648</v>
      </c>
      <c r="R63" s="543" t="str">
        <f>_xlfn.XLOOKUP(E63,'All Products'!D:D,'All Products'!L:L,FALSE)</f>
        <v>049081647643</v>
      </c>
      <c r="S63" s="543" t="str">
        <f>_xlfn.XLOOKUP(E63,'All Products'!D:D,'All Products'!M:M,FALSE)</f>
        <v>40049081147646</v>
      </c>
      <c r="T63" s="530">
        <f>_xlfn.XLOOKUP(E63,'All Products'!D:D,'All Products'!N:N,FALSE)</f>
        <v>0.16300000000000001</v>
      </c>
      <c r="U63" s="543">
        <f>_xlfn.XLOOKUP(E63,'All Products'!D:D,'All Products'!O:O,FALSE)</f>
        <v>10</v>
      </c>
      <c r="V63" s="530">
        <f>_xlfn.XLOOKUP(E63,'All Products'!D:D,'All Products'!P:P,FALSE)</f>
        <v>9.41</v>
      </c>
      <c r="W63" s="530">
        <f>_xlfn.XLOOKUP(E63,'All Products'!D:D,'All Products'!Q:Q,FALSE)</f>
        <v>0.65</v>
      </c>
    </row>
    <row r="64" spans="1:23" ht="15" customHeight="1">
      <c r="A64" s="104" t="str">
        <f>IF(K64&gt;0,COUNT($A$7:A63)+COUNT('DWV PVC'!$A$8:$A$284)+COUNT('DWV ABS'!$A$8:$A$116)+1,"")</f>
        <v/>
      </c>
      <c r="B64" s="115"/>
      <c r="C64" s="116"/>
      <c r="D64" s="512" t="str">
        <f>_xlfn.XLOOKUP(E64,'All Products'!D:D,'All Products'!C:C,FALSE)</f>
        <v>402-166</v>
      </c>
      <c r="E64" s="53">
        <v>100022437</v>
      </c>
      <c r="F64" s="522" t="str">
        <f>_xlfn.XLOOKUP(E64,'All Products'!D:D,'All Products'!E:E,FALSE)</f>
        <v>1-1/4X1-1/4X1/2 RED TEE SXSXFIPT</v>
      </c>
      <c r="G64" s="282">
        <f>_xlfn.XLOOKUP(E64,'All Products'!D:D,'All Products'!F:F,FALSE)</f>
        <v>50</v>
      </c>
      <c r="H64" s="533">
        <f>_xlfn.XLOOKUP(E64,'All Products'!D:D,'All Products'!G:G,FALSE)</f>
        <v>4500</v>
      </c>
      <c r="I64" s="540">
        <f>_xlfn.XLOOKUP(E64,'All Products'!D:D,'All Products'!H:H,FALSE)</f>
        <v>12.56</v>
      </c>
      <c r="J64" s="216">
        <f>ROUND(I64*Order_Quote!$L$4,2)</f>
        <v>62.8</v>
      </c>
      <c r="K64" s="76"/>
      <c r="L64" s="79"/>
      <c r="M64" s="117">
        <f t="shared" si="1"/>
        <v>0</v>
      </c>
      <c r="O64" s="530" t="str">
        <f>_xlfn.XLOOKUP(E64,'All Products'!D:D,'All Products'!I:I,FALSE)</f>
        <v>In Stock</v>
      </c>
      <c r="P64" s="530" t="str">
        <f>_xlfn.XLOOKUP(E64,'All Products'!D:D,'All Products'!J:J,FALSE)</f>
        <v>Manufactured</v>
      </c>
      <c r="Q64" s="543" t="str">
        <f>_xlfn.XLOOKUP(E64,'All Products'!D:D,'All Products'!K:K,FALSE)</f>
        <v>049081147907</v>
      </c>
      <c r="R64" s="543" t="str">
        <f>_xlfn.XLOOKUP(E64,'All Products'!D:D,'All Products'!L:L,FALSE)</f>
        <v>049081647902</v>
      </c>
      <c r="S64" s="543" t="str">
        <f>_xlfn.XLOOKUP(E64,'All Products'!D:D,'All Products'!M:M,FALSE)</f>
        <v>40049081147905</v>
      </c>
      <c r="T64" s="530">
        <f>_xlfn.XLOOKUP(E64,'All Products'!D:D,'All Products'!N:N,FALSE)</f>
        <v>0.20799999999999999</v>
      </c>
      <c r="U64" s="543">
        <f>_xlfn.XLOOKUP(E64,'All Products'!D:D,'All Products'!O:O,FALSE)</f>
        <v>10</v>
      </c>
      <c r="V64" s="530">
        <f>_xlfn.XLOOKUP(E64,'All Products'!D:D,'All Products'!P:P,FALSE)</f>
        <v>13.05</v>
      </c>
      <c r="W64" s="530">
        <f>_xlfn.XLOOKUP(E64,'All Products'!D:D,'All Products'!Q:Q,FALSE)</f>
        <v>0.8</v>
      </c>
    </row>
    <row r="65" spans="1:23" ht="15" customHeight="1">
      <c r="A65" s="104" t="str">
        <f>IF(K65&gt;0,COUNT($A$7:A64)+COUNT('DWV PVC'!$A$8:$A$284)+COUNT('DWV ABS'!$A$8:$A$116)+1,"")</f>
        <v/>
      </c>
      <c r="B65" s="115"/>
      <c r="C65" s="116"/>
      <c r="D65" s="512" t="str">
        <f>_xlfn.XLOOKUP(E65,'All Products'!D:D,'All Products'!C:C,FALSE)</f>
        <v>402-167</v>
      </c>
      <c r="E65" s="53">
        <v>100022439</v>
      </c>
      <c r="F65" s="522" t="str">
        <f>_xlfn.XLOOKUP(E65,'All Products'!D:D,'All Products'!E:E,FALSE)</f>
        <v>1-1/4X1-1/4X3/4 RED TEE SXSXFIPT</v>
      </c>
      <c r="G65" s="282">
        <f>_xlfn.XLOOKUP(E65,'All Products'!D:D,'All Products'!F:F,FALSE)</f>
        <v>50</v>
      </c>
      <c r="H65" s="533">
        <f>_xlfn.XLOOKUP(E65,'All Products'!D:D,'All Products'!G:G,FALSE)</f>
        <v>4500</v>
      </c>
      <c r="I65" s="540">
        <f>_xlfn.XLOOKUP(E65,'All Products'!D:D,'All Products'!H:H,FALSE)</f>
        <v>12.56</v>
      </c>
      <c r="J65" s="216">
        <f>ROUND(I65*Order_Quote!$L$4,2)</f>
        <v>62.8</v>
      </c>
      <c r="K65" s="76"/>
      <c r="L65" s="79"/>
      <c r="M65" s="117">
        <f t="shared" si="1"/>
        <v>0</v>
      </c>
      <c r="O65" s="530" t="str">
        <f>_xlfn.XLOOKUP(E65,'All Products'!D:D,'All Products'!I:I,FALSE)</f>
        <v>In Stock</v>
      </c>
      <c r="P65" s="530" t="str">
        <f>_xlfn.XLOOKUP(E65,'All Products'!D:D,'All Products'!J:J,FALSE)</f>
        <v>Manufactured</v>
      </c>
      <c r="Q65" s="543" t="str">
        <f>_xlfn.XLOOKUP(E65,'All Products'!D:D,'All Products'!K:K,FALSE)</f>
        <v>049081147884</v>
      </c>
      <c r="R65" s="543" t="str">
        <f>_xlfn.XLOOKUP(E65,'All Products'!D:D,'All Products'!L:L,FALSE)</f>
        <v>049081647889</v>
      </c>
      <c r="S65" s="543" t="str">
        <f>_xlfn.XLOOKUP(E65,'All Products'!D:D,'All Products'!M:M,FALSE)</f>
        <v>40049081147882</v>
      </c>
      <c r="T65" s="530">
        <f>_xlfn.XLOOKUP(E65,'All Products'!D:D,'All Products'!N:N,FALSE)</f>
        <v>0.23400000000000001</v>
      </c>
      <c r="U65" s="543">
        <f>_xlfn.XLOOKUP(E65,'All Products'!D:D,'All Products'!O:O,FALSE)</f>
        <v>10</v>
      </c>
      <c r="V65" s="530">
        <f>_xlfn.XLOOKUP(E65,'All Products'!D:D,'All Products'!P:P,FALSE)</f>
        <v>12.55</v>
      </c>
      <c r="W65" s="530">
        <f>_xlfn.XLOOKUP(E65,'All Products'!D:D,'All Products'!Q:Q,FALSE)</f>
        <v>0.95</v>
      </c>
    </row>
    <row r="66" spans="1:23" ht="15" customHeight="1">
      <c r="A66" s="104" t="str">
        <f>IF(K66&gt;0,COUNT($A$7:A65)+COUNT('DWV PVC'!$A$8:$A$284)+COUNT('DWV ABS'!$A$8:$A$116)+1,"")</f>
        <v/>
      </c>
      <c r="B66" s="115"/>
      <c r="C66" s="116"/>
      <c r="D66" s="512" t="str">
        <f>_xlfn.XLOOKUP(E66,'All Products'!D:D,'All Products'!C:C,FALSE)</f>
        <v>402-168</v>
      </c>
      <c r="E66" s="53">
        <v>100022441</v>
      </c>
      <c r="F66" s="522" t="str">
        <f>_xlfn.XLOOKUP(E66,'All Products'!D:D,'All Products'!E:E,FALSE)</f>
        <v>1-1/4X1-1/4X1 RED TEE SXSXFIPT</v>
      </c>
      <c r="G66" s="282">
        <f>_xlfn.XLOOKUP(E66,'All Products'!D:D,'All Products'!F:F,FALSE)</f>
        <v>25</v>
      </c>
      <c r="H66" s="533">
        <f>_xlfn.XLOOKUP(E66,'All Products'!D:D,'All Products'!G:G,FALSE)</f>
        <v>3000</v>
      </c>
      <c r="I66" s="540">
        <f>_xlfn.XLOOKUP(E66,'All Products'!D:D,'All Products'!H:H,FALSE)</f>
        <v>12.56</v>
      </c>
      <c r="J66" s="216">
        <f>ROUND(I66*Order_Quote!$L$4,2)</f>
        <v>62.8</v>
      </c>
      <c r="K66" s="76"/>
      <c r="L66" s="79"/>
      <c r="M66" s="117">
        <f t="shared" si="1"/>
        <v>0</v>
      </c>
      <c r="O66" s="530" t="str">
        <f>_xlfn.XLOOKUP(E66,'All Products'!D:D,'All Products'!I:I,FALSE)</f>
        <v>Within 3 Weeks</v>
      </c>
      <c r="P66" s="530" t="str">
        <f>_xlfn.XLOOKUP(E66,'All Products'!D:D,'All Products'!J:J,FALSE)</f>
        <v>Manufactured</v>
      </c>
      <c r="Q66" s="543" t="str">
        <f>_xlfn.XLOOKUP(E66,'All Products'!D:D,'All Products'!K:K,FALSE)</f>
        <v>049081147860</v>
      </c>
      <c r="R66" s="543" t="str">
        <f>_xlfn.XLOOKUP(E66,'All Products'!D:D,'All Products'!L:L,FALSE)</f>
        <v>049081647865</v>
      </c>
      <c r="S66" s="543" t="str">
        <f>_xlfn.XLOOKUP(E66,'All Products'!D:D,'All Products'!M:M,FALSE)</f>
        <v>40049081147868</v>
      </c>
      <c r="T66" s="530">
        <f>_xlfn.XLOOKUP(E66,'All Products'!D:D,'All Products'!N:N,FALSE)</f>
        <v>0.28399999999999997</v>
      </c>
      <c r="U66" s="543">
        <f>_xlfn.XLOOKUP(E66,'All Products'!D:D,'All Products'!O:O,FALSE)</f>
        <v>5</v>
      </c>
      <c r="V66" s="530">
        <f>_xlfn.XLOOKUP(E66,'All Products'!D:D,'All Products'!P:P,FALSE)</f>
        <v>7.1</v>
      </c>
      <c r="W66" s="530">
        <f>_xlfn.XLOOKUP(E66,'All Products'!D:D,'All Products'!Q:Q,FALSE)</f>
        <v>0.65</v>
      </c>
    </row>
    <row r="67" spans="1:23" ht="15" customHeight="1">
      <c r="A67" s="104" t="str">
        <f>IF(K67&gt;0,COUNT($A$7:A66)+COUNT('DWV PVC'!$A$8:$A$284)+COUNT('DWV ABS'!$A$8:$A$116)+1,"")</f>
        <v/>
      </c>
      <c r="B67" s="115"/>
      <c r="C67" s="116"/>
      <c r="D67" s="512" t="str">
        <f>_xlfn.XLOOKUP(E67,'All Products'!D:D,'All Products'!C:C,FALSE)</f>
        <v>402-209</v>
      </c>
      <c r="E67" s="53">
        <v>100022443</v>
      </c>
      <c r="F67" s="522" t="str">
        <f>_xlfn.XLOOKUP(E67,'All Products'!D:D,'All Products'!E:E,FALSE)</f>
        <v>1-1/2X1-1/2X1/2 RED TEE SXSXFIPT</v>
      </c>
      <c r="G67" s="282">
        <f>_xlfn.XLOOKUP(E67,'All Products'!D:D,'All Products'!F:F,FALSE)</f>
        <v>50</v>
      </c>
      <c r="H67" s="533">
        <f>_xlfn.XLOOKUP(E67,'All Products'!D:D,'All Products'!G:G,FALSE)</f>
        <v>3750</v>
      </c>
      <c r="I67" s="540">
        <f>_xlfn.XLOOKUP(E67,'All Products'!D:D,'All Products'!H:H,FALSE)</f>
        <v>15.6</v>
      </c>
      <c r="J67" s="216">
        <f>ROUND(I67*Order_Quote!$L$4,2)</f>
        <v>78</v>
      </c>
      <c r="K67" s="76"/>
      <c r="L67" s="79"/>
      <c r="M67" s="117">
        <f t="shared" si="1"/>
        <v>0</v>
      </c>
      <c r="O67" s="530" t="str">
        <f>_xlfn.XLOOKUP(E67,'All Products'!D:D,'All Products'!I:I,FALSE)</f>
        <v>In Stock</v>
      </c>
      <c r="P67" s="530" t="str">
        <f>_xlfn.XLOOKUP(E67,'All Products'!D:D,'All Products'!J:J,FALSE)</f>
        <v>Manufactured</v>
      </c>
      <c r="Q67" s="543" t="str">
        <f>_xlfn.XLOOKUP(E67,'All Products'!D:D,'All Products'!K:K,FALSE)</f>
        <v>049081148140</v>
      </c>
      <c r="R67" s="543" t="str">
        <f>_xlfn.XLOOKUP(E67,'All Products'!D:D,'All Products'!L:L,FALSE)</f>
        <v>-</v>
      </c>
      <c r="S67" s="543" t="str">
        <f>_xlfn.XLOOKUP(E67,'All Products'!D:D,'All Products'!M:M,FALSE)</f>
        <v>40049081148148</v>
      </c>
      <c r="T67" s="530">
        <f>_xlfn.XLOOKUP(E67,'All Products'!D:D,'All Products'!N:N,FALSE)</f>
        <v>0.25800000000000001</v>
      </c>
      <c r="U67" s="543" t="str">
        <f>_xlfn.XLOOKUP(E67,'All Products'!D:D,'All Products'!O:O,FALSE)</f>
        <v>-</v>
      </c>
      <c r="V67" s="530">
        <f>_xlfn.XLOOKUP(E67,'All Products'!D:D,'All Products'!P:P,FALSE)</f>
        <v>14.75</v>
      </c>
      <c r="W67" s="530">
        <f>_xlfn.XLOOKUP(E67,'All Products'!D:D,'All Products'!Q:Q,FALSE)</f>
        <v>1.1000000000000001</v>
      </c>
    </row>
    <row r="68" spans="1:23" ht="15" customHeight="1">
      <c r="A68" s="104" t="str">
        <f>IF(K68&gt;0,COUNT($A$7:A67)+COUNT('DWV PVC'!$A$8:$A$284)+COUNT('DWV ABS'!$A$8:$A$116)+1,"")</f>
        <v/>
      </c>
      <c r="B68" s="115"/>
      <c r="C68" s="116"/>
      <c r="D68" s="512" t="str">
        <f>_xlfn.XLOOKUP(E68,'All Products'!D:D,'All Products'!C:C,FALSE)</f>
        <v>402-210</v>
      </c>
      <c r="E68" s="53">
        <v>100022445</v>
      </c>
      <c r="F68" s="522" t="str">
        <f>_xlfn.XLOOKUP(E68,'All Products'!D:D,'All Products'!E:E,FALSE)</f>
        <v>1-1/2X1-1/2X3/4 RED TEE SXSXFIPT</v>
      </c>
      <c r="G68" s="282">
        <f>_xlfn.XLOOKUP(E68,'All Products'!D:D,'All Products'!F:F,FALSE)</f>
        <v>50</v>
      </c>
      <c r="H68" s="533">
        <f>_xlfn.XLOOKUP(E68,'All Products'!D:D,'All Products'!G:G,FALSE)</f>
        <v>3750</v>
      </c>
      <c r="I68" s="540">
        <f>_xlfn.XLOOKUP(E68,'All Products'!D:D,'All Products'!H:H,FALSE)</f>
        <v>15.6</v>
      </c>
      <c r="J68" s="216">
        <f>ROUND(I68*Order_Quote!$L$4,2)</f>
        <v>78</v>
      </c>
      <c r="K68" s="76"/>
      <c r="L68" s="79"/>
      <c r="M68" s="117">
        <f t="shared" si="1"/>
        <v>0</v>
      </c>
      <c r="O68" s="530" t="str">
        <f>_xlfn.XLOOKUP(E68,'All Products'!D:D,'All Products'!I:I,FALSE)</f>
        <v>In Stock</v>
      </c>
      <c r="P68" s="530" t="str">
        <f>_xlfn.XLOOKUP(E68,'All Products'!D:D,'All Products'!J:J,FALSE)</f>
        <v>Manufactured</v>
      </c>
      <c r="Q68" s="543" t="str">
        <f>_xlfn.XLOOKUP(E68,'All Products'!D:D,'All Products'!K:K,FALSE)</f>
        <v>049081148126</v>
      </c>
      <c r="R68" s="543" t="str">
        <f>_xlfn.XLOOKUP(E68,'All Products'!D:D,'All Products'!L:L,FALSE)</f>
        <v>-</v>
      </c>
      <c r="S68" s="543" t="str">
        <f>_xlfn.XLOOKUP(E68,'All Products'!D:D,'All Products'!M:M,FALSE)</f>
        <v>40049081148124</v>
      </c>
      <c r="T68" s="530">
        <f>_xlfn.XLOOKUP(E68,'All Products'!D:D,'All Products'!N:N,FALSE)</f>
        <v>0.28199999999999997</v>
      </c>
      <c r="U68" s="543" t="str">
        <f>_xlfn.XLOOKUP(E68,'All Products'!D:D,'All Products'!O:O,FALSE)</f>
        <v>-</v>
      </c>
      <c r="V68" s="530">
        <f>_xlfn.XLOOKUP(E68,'All Products'!D:D,'All Products'!P:P,FALSE)</f>
        <v>14.92</v>
      </c>
      <c r="W68" s="530">
        <f>_xlfn.XLOOKUP(E68,'All Products'!D:D,'All Products'!Q:Q,FALSE)</f>
        <v>1.1000000000000001</v>
      </c>
    </row>
    <row r="69" spans="1:23" ht="15" customHeight="1">
      <c r="A69" s="104" t="str">
        <f>IF(K69&gt;0,COUNT($A$7:A68)+COUNT('DWV PVC'!$A$8:$A$284)+COUNT('DWV ABS'!$A$8:$A$116)+1,"")</f>
        <v/>
      </c>
      <c r="B69" s="115"/>
      <c r="C69" s="116"/>
      <c r="D69" s="512" t="str">
        <f>_xlfn.XLOOKUP(E69,'All Products'!D:D,'All Products'!C:C,FALSE)</f>
        <v>402-211</v>
      </c>
      <c r="E69" s="53">
        <v>100022447</v>
      </c>
      <c r="F69" s="522" t="str">
        <f>_xlfn.XLOOKUP(E69,'All Products'!D:D,'All Products'!E:E,FALSE)</f>
        <v>1-1/2X1-1/2X1 RED TEE SXSXFIPT</v>
      </c>
      <c r="G69" s="282">
        <f>_xlfn.XLOOKUP(E69,'All Products'!D:D,'All Products'!F:F,FALSE)</f>
        <v>25</v>
      </c>
      <c r="H69" s="533">
        <f>_xlfn.XLOOKUP(E69,'All Products'!D:D,'All Products'!G:G,FALSE)</f>
        <v>3000</v>
      </c>
      <c r="I69" s="540">
        <f>_xlfn.XLOOKUP(E69,'All Products'!D:D,'All Products'!H:H,FALSE)</f>
        <v>15.6</v>
      </c>
      <c r="J69" s="216">
        <f>ROUND(I69*Order_Quote!$L$4,2)</f>
        <v>78</v>
      </c>
      <c r="K69" s="76"/>
      <c r="L69" s="79"/>
      <c r="M69" s="117">
        <f t="shared" si="1"/>
        <v>0</v>
      </c>
      <c r="O69" s="530" t="str">
        <f>_xlfn.XLOOKUP(E69,'All Products'!D:D,'All Products'!I:I,FALSE)</f>
        <v>In Stock</v>
      </c>
      <c r="P69" s="530" t="str">
        <f>_xlfn.XLOOKUP(E69,'All Products'!D:D,'All Products'!J:J,FALSE)</f>
        <v>Manufactured</v>
      </c>
      <c r="Q69" s="543" t="str">
        <f>_xlfn.XLOOKUP(E69,'All Products'!D:D,'All Products'!K:K,FALSE)</f>
        <v>049081148102</v>
      </c>
      <c r="R69" s="543" t="str">
        <f>_xlfn.XLOOKUP(E69,'All Products'!D:D,'All Products'!L:L,FALSE)</f>
        <v>-</v>
      </c>
      <c r="S69" s="543" t="str">
        <f>_xlfn.XLOOKUP(E69,'All Products'!D:D,'All Products'!M:M,FALSE)</f>
        <v>40049081148100</v>
      </c>
      <c r="T69" s="530">
        <f>_xlfn.XLOOKUP(E69,'All Products'!D:D,'All Products'!N:N,FALSE)</f>
        <v>0.34399999999999997</v>
      </c>
      <c r="U69" s="543" t="str">
        <f>_xlfn.XLOOKUP(E69,'All Products'!D:D,'All Products'!O:O,FALSE)</f>
        <v>-</v>
      </c>
      <c r="V69" s="530">
        <f>_xlfn.XLOOKUP(E69,'All Products'!D:D,'All Products'!P:P,FALSE)</f>
        <v>8.61</v>
      </c>
      <c r="W69" s="530">
        <f>_xlfn.XLOOKUP(E69,'All Products'!D:D,'All Products'!Q:Q,FALSE)</f>
        <v>0.65</v>
      </c>
    </row>
    <row r="70" spans="1:23" ht="15" customHeight="1">
      <c r="A70" s="104" t="str">
        <f>IF(K70&gt;0,COUNT($A$7:A69)+COUNT('DWV PVC'!$A$8:$A$284)+COUNT('DWV ABS'!$A$8:$A$116)+1,"")</f>
        <v/>
      </c>
      <c r="B70" s="115"/>
      <c r="C70" s="116"/>
      <c r="D70" s="512" t="str">
        <f>_xlfn.XLOOKUP(E70,'All Products'!D:D,'All Products'!C:C,FALSE)</f>
        <v>402-247</v>
      </c>
      <c r="E70" s="53">
        <v>100022451</v>
      </c>
      <c r="F70" s="522" t="str">
        <f>_xlfn.XLOOKUP(E70,'All Products'!D:D,'All Products'!E:E,FALSE)</f>
        <v>2X2X1/2 REDUCING TEE SXSXFIPT</v>
      </c>
      <c r="G70" s="282">
        <f>_xlfn.XLOOKUP(E70,'All Products'!D:D,'All Products'!F:F,FALSE)</f>
        <v>20</v>
      </c>
      <c r="H70" s="533">
        <f>_xlfn.XLOOKUP(E70,'All Products'!D:D,'All Products'!G:G,FALSE)</f>
        <v>1800</v>
      </c>
      <c r="I70" s="540">
        <f>_xlfn.XLOOKUP(E70,'All Products'!D:D,'All Products'!H:H,FALSE)</f>
        <v>19.62</v>
      </c>
      <c r="J70" s="216">
        <f>ROUND(I70*Order_Quote!$L$4,2)</f>
        <v>98.1</v>
      </c>
      <c r="K70" s="76"/>
      <c r="L70" s="79"/>
      <c r="M70" s="117">
        <f t="shared" si="1"/>
        <v>0</v>
      </c>
      <c r="O70" s="530" t="str">
        <f>_xlfn.XLOOKUP(E70,'All Products'!D:D,'All Products'!I:I,FALSE)</f>
        <v>In Stock</v>
      </c>
      <c r="P70" s="530" t="str">
        <f>_xlfn.XLOOKUP(E70,'All Products'!D:D,'All Products'!J:J,FALSE)</f>
        <v>Manufactured</v>
      </c>
      <c r="Q70" s="543" t="str">
        <f>_xlfn.XLOOKUP(E70,'All Products'!D:D,'All Products'!K:K,FALSE)</f>
        <v>049081148508</v>
      </c>
      <c r="R70" s="543" t="str">
        <f>_xlfn.XLOOKUP(E70,'All Products'!D:D,'All Products'!L:L,FALSE)</f>
        <v>-</v>
      </c>
      <c r="S70" s="543" t="str">
        <f>_xlfn.XLOOKUP(E70,'All Products'!D:D,'All Products'!M:M,FALSE)</f>
        <v>40049081148506</v>
      </c>
      <c r="T70" s="530">
        <f>_xlfn.XLOOKUP(E70,'All Products'!D:D,'All Products'!N:N,FALSE)</f>
        <v>0.33200000000000002</v>
      </c>
      <c r="U70" s="543" t="str">
        <f>_xlfn.XLOOKUP(E70,'All Products'!D:D,'All Products'!O:O,FALSE)</f>
        <v>-</v>
      </c>
      <c r="V70" s="530">
        <f>_xlfn.XLOOKUP(E70,'All Products'!D:D,'All Products'!P:P,FALSE)</f>
        <v>7.29</v>
      </c>
      <c r="W70" s="530">
        <f>_xlfn.XLOOKUP(E70,'All Products'!D:D,'All Products'!Q:Q,FALSE)</f>
        <v>0.65</v>
      </c>
    </row>
    <row r="71" spans="1:23" ht="15" customHeight="1">
      <c r="A71" s="104" t="str">
        <f>IF(K71&gt;0,COUNT($A$7:A70)+COUNT('DWV PVC'!$A$8:$A$284)+COUNT('DWV ABS'!$A$8:$A$116)+1,"")</f>
        <v/>
      </c>
      <c r="B71" s="115"/>
      <c r="C71" s="116"/>
      <c r="D71" s="512" t="str">
        <f>_xlfn.XLOOKUP(E71,'All Products'!D:D,'All Products'!C:C,FALSE)</f>
        <v>402-248</v>
      </c>
      <c r="E71" s="53">
        <v>100022453</v>
      </c>
      <c r="F71" s="522" t="str">
        <f>_xlfn.XLOOKUP(E71,'All Products'!D:D,'All Products'!E:E,FALSE)</f>
        <v>2X2X3/4 REDUCING TEE SXSXFIPT</v>
      </c>
      <c r="G71" s="282">
        <f>_xlfn.XLOOKUP(E71,'All Products'!D:D,'All Products'!F:F,FALSE)</f>
        <v>20</v>
      </c>
      <c r="H71" s="533">
        <f>_xlfn.XLOOKUP(E71,'All Products'!D:D,'All Products'!G:G,FALSE)</f>
        <v>1800</v>
      </c>
      <c r="I71" s="540">
        <f>_xlfn.XLOOKUP(E71,'All Products'!D:D,'All Products'!H:H,FALSE)</f>
        <v>19.62</v>
      </c>
      <c r="J71" s="216">
        <f>ROUND(I71*Order_Quote!$L$4,2)</f>
        <v>98.1</v>
      </c>
      <c r="K71" s="76"/>
      <c r="L71" s="79"/>
      <c r="M71" s="117">
        <f t="shared" si="1"/>
        <v>0</v>
      </c>
      <c r="O71" s="530" t="str">
        <f>_xlfn.XLOOKUP(E71,'All Products'!D:D,'All Products'!I:I,FALSE)</f>
        <v>In Stock</v>
      </c>
      <c r="P71" s="530" t="str">
        <f>_xlfn.XLOOKUP(E71,'All Products'!D:D,'All Products'!J:J,FALSE)</f>
        <v>Manufactured</v>
      </c>
      <c r="Q71" s="543" t="str">
        <f>_xlfn.XLOOKUP(E71,'All Products'!D:D,'All Products'!K:K,FALSE)</f>
        <v>049081148485</v>
      </c>
      <c r="R71" s="543" t="str">
        <f>_xlfn.XLOOKUP(E71,'All Products'!D:D,'All Products'!L:L,FALSE)</f>
        <v>-</v>
      </c>
      <c r="S71" s="543" t="str">
        <f>_xlfn.XLOOKUP(E71,'All Products'!D:D,'All Products'!M:M,FALSE)</f>
        <v>40049081148483</v>
      </c>
      <c r="T71" s="530">
        <f>_xlfn.XLOOKUP(E71,'All Products'!D:D,'All Products'!N:N,FALSE)</f>
        <v>0.378</v>
      </c>
      <c r="U71" s="543" t="str">
        <f>_xlfn.XLOOKUP(E71,'All Products'!D:D,'All Products'!O:O,FALSE)</f>
        <v>-</v>
      </c>
      <c r="V71" s="530">
        <f>_xlfn.XLOOKUP(E71,'All Products'!D:D,'All Products'!P:P,FALSE)</f>
        <v>8.35</v>
      </c>
      <c r="W71" s="530">
        <f>_xlfn.XLOOKUP(E71,'All Products'!D:D,'All Products'!Q:Q,FALSE)</f>
        <v>0.8</v>
      </c>
    </row>
    <row r="72" spans="1:23" ht="15" customHeight="1">
      <c r="A72" s="104" t="str">
        <f>IF(K72&gt;0,COUNT($A$7:A71)+COUNT('DWV PVC'!$A$8:$A$284)+COUNT('DWV ABS'!$A$8:$A$116)+1,"")</f>
        <v/>
      </c>
      <c r="B72" s="115"/>
      <c r="C72" s="116"/>
      <c r="D72" s="512" t="str">
        <f>_xlfn.XLOOKUP(E72,'All Products'!D:D,'All Products'!C:C,FALSE)</f>
        <v>402-249</v>
      </c>
      <c r="E72" s="53">
        <v>100022455</v>
      </c>
      <c r="F72" s="522" t="str">
        <f>_xlfn.XLOOKUP(E72,'All Products'!D:D,'All Products'!E:E,FALSE)</f>
        <v>2X2X1 REDUCING TEE SXSXFIPT</v>
      </c>
      <c r="G72" s="282">
        <f>_xlfn.XLOOKUP(E72,'All Products'!D:D,'All Products'!F:F,FALSE)</f>
        <v>15</v>
      </c>
      <c r="H72" s="533">
        <f>_xlfn.XLOOKUP(E72,'All Products'!D:D,'All Products'!G:G,FALSE)</f>
        <v>1800</v>
      </c>
      <c r="I72" s="540">
        <f>_xlfn.XLOOKUP(E72,'All Products'!D:D,'All Products'!H:H,FALSE)</f>
        <v>19.62</v>
      </c>
      <c r="J72" s="216">
        <f>ROUND(I72*Order_Quote!$L$4,2)</f>
        <v>98.1</v>
      </c>
      <c r="K72" s="76"/>
      <c r="L72" s="79"/>
      <c r="M72" s="117">
        <f t="shared" si="1"/>
        <v>0</v>
      </c>
      <c r="O72" s="530" t="str">
        <f>_xlfn.XLOOKUP(E72,'All Products'!D:D,'All Products'!I:I,FALSE)</f>
        <v>In Stock</v>
      </c>
      <c r="P72" s="530" t="str">
        <f>_xlfn.XLOOKUP(E72,'All Products'!D:D,'All Products'!J:J,FALSE)</f>
        <v>Manufactured</v>
      </c>
      <c r="Q72" s="543" t="str">
        <f>_xlfn.XLOOKUP(E72,'All Products'!D:D,'All Products'!K:K,FALSE)</f>
        <v>049081148461</v>
      </c>
      <c r="R72" s="543" t="str">
        <f>_xlfn.XLOOKUP(E72,'All Products'!D:D,'All Products'!L:L,FALSE)</f>
        <v>-</v>
      </c>
      <c r="S72" s="543" t="str">
        <f>_xlfn.XLOOKUP(E72,'All Products'!D:D,'All Products'!M:M,FALSE)</f>
        <v>40049081148469</v>
      </c>
      <c r="T72" s="530">
        <f>_xlfn.XLOOKUP(E72,'All Products'!D:D,'All Products'!N:N,FALSE)</f>
        <v>0.434</v>
      </c>
      <c r="U72" s="543" t="str">
        <f>_xlfn.XLOOKUP(E72,'All Products'!D:D,'All Products'!O:O,FALSE)</f>
        <v>-</v>
      </c>
      <c r="V72" s="530">
        <f>_xlfn.XLOOKUP(E72,'All Products'!D:D,'All Products'!P:P,FALSE)</f>
        <v>7.15</v>
      </c>
      <c r="W72" s="530">
        <f>_xlfn.XLOOKUP(E72,'All Products'!D:D,'All Products'!Q:Q,FALSE)</f>
        <v>0.65</v>
      </c>
    </row>
    <row r="73" spans="1:23" ht="15" customHeight="1">
      <c r="A73" s="104" t="str">
        <f>IF(K73&gt;0,COUNT($A$7:A72)+COUNT('DWV PVC'!$A$8:$A$284)+COUNT('DWV ABS'!$A$8:$A$116)+1,"")</f>
        <v/>
      </c>
      <c r="B73" s="115"/>
      <c r="C73" s="116"/>
      <c r="D73" s="512" t="str">
        <f>_xlfn.XLOOKUP(E73,'All Products'!D:D,'All Products'!C:C,FALSE)</f>
        <v>402-251</v>
      </c>
      <c r="E73" s="53">
        <v>100022457</v>
      </c>
      <c r="F73" s="522" t="str">
        <f>_xlfn.XLOOKUP(E73,'All Products'!D:D,'All Products'!E:E,FALSE)</f>
        <v>2X2X1-1/2 REDUCING TEE SXSXFIPT</v>
      </c>
      <c r="G73" s="282">
        <f>_xlfn.XLOOKUP(E73,'All Products'!D:D,'All Products'!F:F,FALSE)</f>
        <v>10</v>
      </c>
      <c r="H73" s="533">
        <f>_xlfn.XLOOKUP(E73,'All Products'!D:D,'All Products'!G:G,FALSE)</f>
        <v>1200</v>
      </c>
      <c r="I73" s="540">
        <f>_xlfn.XLOOKUP(E73,'All Products'!D:D,'All Products'!H:H,FALSE)</f>
        <v>19.62</v>
      </c>
      <c r="J73" s="216">
        <f>ROUND(I73*Order_Quote!$L$4,2)</f>
        <v>98.1</v>
      </c>
      <c r="K73" s="76"/>
      <c r="L73" s="79"/>
      <c r="M73" s="117">
        <f t="shared" si="1"/>
        <v>0</v>
      </c>
      <c r="O73" s="530" t="str">
        <f>_xlfn.XLOOKUP(E73,'All Products'!D:D,'All Products'!I:I,FALSE)</f>
        <v>Within 3 Weeks</v>
      </c>
      <c r="P73" s="530" t="str">
        <f>_xlfn.XLOOKUP(E73,'All Products'!D:D,'All Products'!J:J,FALSE)</f>
        <v>Manufactured</v>
      </c>
      <c r="Q73" s="543" t="str">
        <f>_xlfn.XLOOKUP(E73,'All Products'!D:D,'All Products'!K:K,FALSE)</f>
        <v>049081148423</v>
      </c>
      <c r="R73" s="543" t="str">
        <f>_xlfn.XLOOKUP(E73,'All Products'!D:D,'All Products'!L:L,FALSE)</f>
        <v>-</v>
      </c>
      <c r="S73" s="543" t="str">
        <f>_xlfn.XLOOKUP(E73,'All Products'!D:D,'All Products'!M:M,FALSE)</f>
        <v>40049081148421</v>
      </c>
      <c r="T73" s="530">
        <f>_xlfn.XLOOKUP(E73,'All Products'!D:D,'All Products'!N:N,FALSE)</f>
        <v>0.52900000000000003</v>
      </c>
      <c r="U73" s="543" t="str">
        <f>_xlfn.XLOOKUP(E73,'All Products'!D:D,'All Products'!O:O,FALSE)</f>
        <v>-</v>
      </c>
      <c r="V73" s="530">
        <f>_xlfn.XLOOKUP(E73,'All Products'!D:D,'All Products'!P:P,FALSE)</f>
        <v>7.53</v>
      </c>
      <c r="W73" s="530">
        <f>_xlfn.XLOOKUP(E73,'All Products'!D:D,'All Products'!Q:Q,FALSE)</f>
        <v>0.65</v>
      </c>
    </row>
    <row r="74" spans="1:23" ht="15" customHeight="1">
      <c r="A74" s="104" t="str">
        <f>IF(K74&gt;0,COUNT($A$7:A73)+COUNT('DWV PVC'!$A$8:$A$284)+COUNT('DWV ABS'!$A$8:$A$116)+1,"")</f>
        <v/>
      </c>
      <c r="B74" s="115"/>
      <c r="C74" s="116"/>
      <c r="D74" s="512" t="str">
        <f>_xlfn.XLOOKUP(E74,'All Products'!D:D,'All Products'!C:C,FALSE)</f>
        <v>402-335</v>
      </c>
      <c r="E74" s="53">
        <v>100022466</v>
      </c>
      <c r="F74" s="522" t="str">
        <f>_xlfn.XLOOKUP(E74,'All Products'!D:D,'All Products'!E:E,FALSE)</f>
        <v>3X3X1 REDUCING TEE SXSXFIPT</v>
      </c>
      <c r="G74" s="282">
        <f>_xlfn.XLOOKUP(E74,'All Products'!D:D,'All Products'!F:F,FALSE)</f>
        <v>5</v>
      </c>
      <c r="H74" s="533">
        <f>_xlfn.XLOOKUP(E74,'All Products'!D:D,'All Products'!G:G,FALSE)</f>
        <v>750</v>
      </c>
      <c r="I74" s="540">
        <f>_xlfn.XLOOKUP(E74,'All Products'!D:D,'All Products'!H:H,FALSE)</f>
        <v>60.69</v>
      </c>
      <c r="J74" s="216">
        <f>ROUND(I74*Order_Quote!$L$4,2)</f>
        <v>303.45</v>
      </c>
      <c r="K74" s="76"/>
      <c r="L74" s="79"/>
      <c r="M74" s="117">
        <f t="shared" ref="M74:M108" si="2">K74/G74</f>
        <v>0</v>
      </c>
      <c r="O74" s="530" t="str">
        <f>_xlfn.XLOOKUP(E74,'All Products'!D:D,'All Products'!I:I,FALSE)</f>
        <v>In Stock</v>
      </c>
      <c r="P74" s="530" t="str">
        <f>_xlfn.XLOOKUP(E74,'All Products'!D:D,'All Products'!J:J,FALSE)</f>
        <v>Manufactured</v>
      </c>
      <c r="Q74" s="543" t="str">
        <f>_xlfn.XLOOKUP(E74,'All Products'!D:D,'All Products'!K:K,FALSE)</f>
        <v>049081148928</v>
      </c>
      <c r="R74" s="543" t="str">
        <f>_xlfn.XLOOKUP(E74,'All Products'!D:D,'All Products'!L:L,FALSE)</f>
        <v>-</v>
      </c>
      <c r="S74" s="543" t="str">
        <f>_xlfn.XLOOKUP(E74,'All Products'!D:D,'All Products'!M:M,FALSE)</f>
        <v>40049081148926</v>
      </c>
      <c r="T74" s="530">
        <f>_xlfn.XLOOKUP(E74,'All Products'!D:D,'All Products'!N:N,FALSE)</f>
        <v>0.92400000000000004</v>
      </c>
      <c r="U74" s="543" t="str">
        <f>_xlfn.XLOOKUP(E74,'All Products'!D:D,'All Products'!O:O,FALSE)</f>
        <v>-</v>
      </c>
      <c r="V74" s="530">
        <f>_xlfn.XLOOKUP(E74,'All Products'!D:D,'All Products'!P:P,FALSE)</f>
        <v>5.6</v>
      </c>
      <c r="W74" s="530">
        <f>_xlfn.XLOOKUP(E74,'All Products'!D:D,'All Products'!Q:Q,FALSE)</f>
        <v>0.5</v>
      </c>
    </row>
    <row r="75" spans="1:23" ht="15" customHeight="1">
      <c r="A75" s="104" t="str">
        <f>IF(K75&gt;0,COUNT($A$7:A74)+COUNT('DWV PVC'!$A$8:$A$284)+COUNT('DWV ABS'!$A$8:$A$116)+1,"")</f>
        <v/>
      </c>
      <c r="B75" s="115"/>
      <c r="C75" s="116"/>
      <c r="D75" s="512" t="str">
        <f>_xlfn.XLOOKUP(E75,'All Products'!D:D,'All Products'!C:C,FALSE)</f>
        <v>402-422</v>
      </c>
      <c r="E75" s="53">
        <v>100022472</v>
      </c>
      <c r="F75" s="522" t="str">
        <f>_xlfn.XLOOKUP(E75,'All Products'!D:D,'All Products'!E:E,FALSE)</f>
        <v>4X4X3 REDUCING TEE SXSXFIPT</v>
      </c>
      <c r="G75" s="282">
        <f>_xlfn.XLOOKUP(E75,'All Products'!D:D,'All Products'!F:F,FALSE)</f>
        <v>3</v>
      </c>
      <c r="H75" s="533">
        <f>_xlfn.XLOOKUP(E75,'All Products'!D:D,'All Products'!G:G,FALSE)</f>
        <v>270</v>
      </c>
      <c r="I75" s="540">
        <f>_xlfn.XLOOKUP(E75,'All Products'!D:D,'All Products'!H:H,FALSE)</f>
        <v>101.37</v>
      </c>
      <c r="J75" s="216">
        <f>ROUND(I75*Order_Quote!$L$4,2)</f>
        <v>506.85</v>
      </c>
      <c r="K75" s="76"/>
      <c r="L75" s="79"/>
      <c r="M75" s="117">
        <f t="shared" si="2"/>
        <v>0</v>
      </c>
      <c r="O75" s="530" t="str">
        <f>_xlfn.XLOOKUP(E75,'All Products'!D:D,'All Products'!I:I,FALSE)</f>
        <v>Within 3 Weeks</v>
      </c>
      <c r="P75" s="530" t="str">
        <f>_xlfn.XLOOKUP(E75,'All Products'!D:D,'All Products'!J:J,FALSE)</f>
        <v>Manufactured</v>
      </c>
      <c r="Q75" s="543" t="str">
        <f>_xlfn.XLOOKUP(E75,'All Products'!D:D,'All Products'!K:K,FALSE)</f>
        <v>049081149000</v>
      </c>
      <c r="R75" s="543" t="str">
        <f>_xlfn.XLOOKUP(E75,'All Products'!D:D,'All Products'!L:L,FALSE)</f>
        <v>-</v>
      </c>
      <c r="S75" s="543" t="str">
        <f>_xlfn.XLOOKUP(E75,'All Products'!D:D,'All Products'!M:M,FALSE)</f>
        <v>40049081149008</v>
      </c>
      <c r="T75" s="530">
        <f>_xlfn.XLOOKUP(E75,'All Products'!D:D,'All Products'!N:N,FALSE)</f>
        <v>3.1560000000000001</v>
      </c>
      <c r="U75" s="543" t="str">
        <f>_xlfn.XLOOKUP(E75,'All Products'!D:D,'All Products'!O:O,FALSE)</f>
        <v>-</v>
      </c>
      <c r="V75" s="530">
        <f>_xlfn.XLOOKUP(E75,'All Products'!D:D,'All Products'!P:P,FALSE)</f>
        <v>10.27</v>
      </c>
      <c r="W75" s="530">
        <f>_xlfn.XLOOKUP(E75,'All Products'!D:D,'All Products'!Q:Q,FALSE)</f>
        <v>0.8</v>
      </c>
    </row>
    <row r="76" spans="1:23" ht="15" customHeight="1">
      <c r="A76" s="104" t="str">
        <f>IF(K76&gt;0,COUNT($A$7:A75)+COUNT('DWV PVC'!$A$8:$A$284)+COUNT('DWV ABS'!$A$8:$A$116)+1,"")</f>
        <v/>
      </c>
      <c r="B76" s="115"/>
      <c r="C76" s="116"/>
      <c r="D76" s="512" t="str">
        <f>_xlfn.XLOOKUP(E76,'All Products'!D:D,'All Products'!C:C,FALSE)</f>
        <v>402-528</v>
      </c>
      <c r="E76" s="53">
        <v>100022474</v>
      </c>
      <c r="F76" s="522" t="str">
        <f>_xlfn.XLOOKUP(E76,'All Products'!D:D,'All Products'!E:E,FALSE)</f>
        <v>6X6X2 REDUCING TEE SXSXFIPT</v>
      </c>
      <c r="G76" s="282">
        <f>_xlfn.XLOOKUP(E76,'All Products'!D:D,'All Products'!F:F,FALSE)</f>
        <v>2</v>
      </c>
      <c r="H76" s="533">
        <f>_xlfn.XLOOKUP(E76,'All Products'!D:D,'All Products'!G:G,FALSE)</f>
        <v>180</v>
      </c>
      <c r="I76" s="540">
        <f>_xlfn.XLOOKUP(E76,'All Products'!D:D,'All Products'!H:H,FALSE)</f>
        <v>343.52</v>
      </c>
      <c r="J76" s="216">
        <f>ROUND(I76*Order_Quote!$L$4,2)</f>
        <v>1717.6</v>
      </c>
      <c r="K76" s="76"/>
      <c r="L76" s="79"/>
      <c r="M76" s="117">
        <f t="shared" si="2"/>
        <v>0</v>
      </c>
      <c r="O76" s="530" t="str">
        <f>_xlfn.XLOOKUP(E76,'All Products'!D:D,'All Products'!I:I,FALSE)</f>
        <v>In Stock</v>
      </c>
      <c r="P76" s="530" t="str">
        <f>_xlfn.XLOOKUP(E76,'All Products'!D:D,'All Products'!J:J,FALSE)</f>
        <v>Manufactured</v>
      </c>
      <c r="Q76" s="543" t="str">
        <f>_xlfn.XLOOKUP(E76,'All Products'!D:D,'All Products'!K:K,FALSE)</f>
        <v>049081149222</v>
      </c>
      <c r="R76" s="543" t="str">
        <f>_xlfn.XLOOKUP(E76,'All Products'!D:D,'All Products'!L:L,FALSE)</f>
        <v>-</v>
      </c>
      <c r="S76" s="543" t="str">
        <f>_xlfn.XLOOKUP(E76,'All Products'!D:D,'All Products'!M:M,FALSE)</f>
        <v>40049081149220</v>
      </c>
      <c r="T76" s="530">
        <f>_xlfn.XLOOKUP(E76,'All Products'!D:D,'All Products'!N:N,FALSE)</f>
        <v>3.58</v>
      </c>
      <c r="U76" s="543" t="str">
        <f>_xlfn.XLOOKUP(E76,'All Products'!D:D,'All Products'!O:O,FALSE)</f>
        <v>-</v>
      </c>
      <c r="V76" s="530">
        <f>_xlfn.XLOOKUP(E76,'All Products'!D:D,'All Products'!P:P,FALSE)</f>
        <v>7.85</v>
      </c>
      <c r="W76" s="530">
        <f>_xlfn.XLOOKUP(E76,'All Products'!D:D,'All Products'!Q:Q,FALSE)</f>
        <v>0.8</v>
      </c>
    </row>
    <row r="77" spans="1:23" ht="15" customHeight="1">
      <c r="A77" s="104" t="str">
        <f>IF(K77&gt;0,COUNT($A$7:A76)+COUNT('DWV PVC'!$A$8:$A$284)+COUNT('DWV ABS'!$A$8:$A$116)+1,"")</f>
        <v/>
      </c>
      <c r="B77" s="115"/>
      <c r="C77" s="116"/>
      <c r="D77" s="512" t="str">
        <f>_xlfn.XLOOKUP(E77,'All Products'!D:D,'All Products'!C:C,FALSE)</f>
        <v>402-532</v>
      </c>
      <c r="E77" s="53">
        <v>100027391</v>
      </c>
      <c r="F77" s="522" t="str">
        <f>_xlfn.XLOOKUP(E77,'All Products'!D:D,'All Products'!E:E,FALSE)</f>
        <v>6X6X4 REDUCING TEE SXSXFIPT</v>
      </c>
      <c r="G77" s="282">
        <f>_xlfn.XLOOKUP(E77,'All Products'!D:D,'All Products'!F:F,FALSE)</f>
        <v>2</v>
      </c>
      <c r="H77" s="533">
        <f>_xlfn.XLOOKUP(E77,'All Products'!D:D,'All Products'!G:G,FALSE)</f>
        <v>120</v>
      </c>
      <c r="I77" s="540">
        <f>_xlfn.XLOOKUP(E77,'All Products'!D:D,'All Products'!H:H,FALSE)</f>
        <v>343.52</v>
      </c>
      <c r="J77" s="216">
        <f>ROUND(I77*Order_Quote!$L$4,2)</f>
        <v>1717.6</v>
      </c>
      <c r="K77" s="76"/>
      <c r="L77" s="79"/>
      <c r="M77" s="117">
        <f t="shared" si="2"/>
        <v>0</v>
      </c>
      <c r="O77" s="530" t="str">
        <f>_xlfn.XLOOKUP(E77,'All Products'!D:D,'All Products'!I:I,FALSE)</f>
        <v>In Stock</v>
      </c>
      <c r="P77" s="530" t="str">
        <f>_xlfn.XLOOKUP(E77,'All Products'!D:D,'All Products'!J:J,FALSE)</f>
        <v>Manufactured</v>
      </c>
      <c r="Q77" s="543" t="str">
        <f>_xlfn.XLOOKUP(E77,'All Products'!D:D,'All Products'!K:K,FALSE)</f>
        <v>049081149185</v>
      </c>
      <c r="R77" s="543" t="str">
        <f>_xlfn.XLOOKUP(E77,'All Products'!D:D,'All Products'!L:L,FALSE)</f>
        <v>-</v>
      </c>
      <c r="S77" s="543" t="str">
        <f>_xlfn.XLOOKUP(E77,'All Products'!D:D,'All Products'!M:M,FALSE)</f>
        <v>40049081149183</v>
      </c>
      <c r="T77" s="530">
        <f>_xlfn.XLOOKUP(E77,'All Products'!D:D,'All Products'!N:N,FALSE)</f>
        <v>5.3920000000000003</v>
      </c>
      <c r="U77" s="543" t="str">
        <f>_xlfn.XLOOKUP(E77,'All Products'!D:D,'All Products'!O:O,FALSE)</f>
        <v>-</v>
      </c>
      <c r="V77" s="530">
        <f>_xlfn.XLOOKUP(E77,'All Products'!D:D,'All Products'!P:P,FALSE)</f>
        <v>11.85</v>
      </c>
      <c r="W77" s="530">
        <f>_xlfn.XLOOKUP(E77,'All Products'!D:D,'All Products'!Q:Q,FALSE)</f>
        <v>1.41</v>
      </c>
    </row>
    <row r="78" spans="1:23" ht="15" customHeight="1">
      <c r="A78" s="104" t="str">
        <f>IF(K78&gt;0,COUNT($A$7:A77)+COUNT('DWV PVC'!$A$8:$A$284)+COUNT('DWV ABS'!$A$8:$A$116)+1,"")</f>
        <v/>
      </c>
      <c r="B78" s="380"/>
      <c r="C78" s="292"/>
      <c r="D78" s="512" t="str">
        <f>_xlfn.XLOOKUP(E78,'All Products'!D:D,'All Products'!C:C,FALSE)</f>
        <v>402-582</v>
      </c>
      <c r="E78" s="53">
        <v>100022475</v>
      </c>
      <c r="F78" s="522" t="str">
        <f>_xlfn.XLOOKUP(E78,'All Products'!D:D,'All Products'!E:E,FALSE)</f>
        <v>8X8X4 REDUCING TEE SXSXFIPT</v>
      </c>
      <c r="G78" s="282">
        <f>_xlfn.XLOOKUP(E78,'All Products'!D:D,'All Products'!F:F,FALSE)</f>
        <v>2</v>
      </c>
      <c r="H78" s="533">
        <f>_xlfn.XLOOKUP(E78,'All Products'!D:D,'All Products'!G:G,FALSE)</f>
        <v>48</v>
      </c>
      <c r="I78" s="540">
        <f>_xlfn.XLOOKUP(E78,'All Products'!D:D,'All Products'!H:H,FALSE)</f>
        <v>742.89</v>
      </c>
      <c r="J78" s="216">
        <f>ROUND(I78*Order_Quote!$L$4,2)</f>
        <v>3714.45</v>
      </c>
      <c r="K78" s="76"/>
      <c r="L78" s="79"/>
      <c r="M78" s="117">
        <f t="shared" si="2"/>
        <v>0</v>
      </c>
      <c r="O78" s="530" t="str">
        <f>_xlfn.XLOOKUP(E78,'All Products'!D:D,'All Products'!I:I,FALSE)</f>
        <v>In Stock</v>
      </c>
      <c r="P78" s="530" t="str">
        <f>_xlfn.XLOOKUP(E78,'All Products'!D:D,'All Products'!J:J,FALSE)</f>
        <v>Manufactured</v>
      </c>
      <c r="Q78" s="543" t="str">
        <f>_xlfn.XLOOKUP(E78,'All Products'!D:D,'All Products'!K:K,FALSE)</f>
        <v>049081149321</v>
      </c>
      <c r="R78" s="543" t="str">
        <f>_xlfn.XLOOKUP(E78,'All Products'!D:D,'All Products'!L:L,FALSE)</f>
        <v>-</v>
      </c>
      <c r="S78" s="543" t="str">
        <f>_xlfn.XLOOKUP(E78,'All Products'!D:D,'All Products'!M:M,FALSE)</f>
        <v>40049081149329</v>
      </c>
      <c r="T78" s="530">
        <f>_xlfn.XLOOKUP(E78,'All Products'!D:D,'All Products'!N:N,FALSE)</f>
        <v>8.5519999999999996</v>
      </c>
      <c r="U78" s="543" t="str">
        <f>_xlfn.XLOOKUP(E78,'All Products'!D:D,'All Products'!O:O,FALSE)</f>
        <v>-</v>
      </c>
      <c r="V78" s="530">
        <f>_xlfn.XLOOKUP(E78,'All Products'!D:D,'All Products'!P:P,FALSE)</f>
        <v>18.690000000000001</v>
      </c>
      <c r="W78" s="530">
        <f>_xlfn.XLOOKUP(E78,'All Products'!D:D,'All Products'!Q:Q,FALSE)</f>
        <v>2.77</v>
      </c>
    </row>
    <row r="79" spans="1:23" ht="15" customHeight="1">
      <c r="A79" s="104" t="str">
        <f>IF(K79&gt;0,COUNT($A$7:A78)+COUNT('DWV PVC'!$A$8:$A$284)+COUNT('DWV ABS'!$A$8:$A$116)+1,"")</f>
        <v/>
      </c>
      <c r="B79" s="115"/>
      <c r="C79" s="116"/>
      <c r="D79" s="512" t="str">
        <f>_xlfn.XLOOKUP(E79,'All Products'!D:D,'All Products'!C:C,FALSE)</f>
        <v>405-005</v>
      </c>
      <c r="E79" s="53">
        <v>100022477</v>
      </c>
      <c r="F79" s="522" t="str">
        <f>_xlfn.XLOOKUP(E79,'All Products'!D:D,'All Products'!E:E,FALSE)</f>
        <v>1/2 TEE FIPT X FIPT X FIPT</v>
      </c>
      <c r="G79" s="282">
        <f>_xlfn.XLOOKUP(E79,'All Products'!D:D,'All Products'!F:F,FALSE)</f>
        <v>100</v>
      </c>
      <c r="H79" s="533">
        <f>_xlfn.XLOOKUP(E79,'All Products'!D:D,'All Products'!G:G,FALSE)</f>
        <v>15000</v>
      </c>
      <c r="I79" s="540">
        <f>_xlfn.XLOOKUP(E79,'All Products'!D:D,'All Products'!H:H,FALSE)</f>
        <v>7.27</v>
      </c>
      <c r="J79" s="216">
        <f>ROUND(I79*Order_Quote!$L$4,2)</f>
        <v>36.35</v>
      </c>
      <c r="K79" s="76"/>
      <c r="L79" s="79"/>
      <c r="M79" s="117">
        <f t="shared" si="2"/>
        <v>0</v>
      </c>
      <c r="O79" s="530" t="str">
        <f>_xlfn.XLOOKUP(E79,'All Products'!D:D,'All Products'!I:I,FALSE)</f>
        <v>In Stock</v>
      </c>
      <c r="P79" s="530" t="str">
        <f>_xlfn.XLOOKUP(E79,'All Products'!D:D,'All Products'!J:J,FALSE)</f>
        <v>Manufactured</v>
      </c>
      <c r="Q79" s="543" t="str">
        <f>_xlfn.XLOOKUP(E79,'All Products'!D:D,'All Products'!K:K,FALSE)</f>
        <v>049081149383</v>
      </c>
      <c r="R79" s="543" t="str">
        <f>_xlfn.XLOOKUP(E79,'All Products'!D:D,'All Products'!L:L,FALSE)</f>
        <v>049081649388</v>
      </c>
      <c r="S79" s="543" t="str">
        <f>_xlfn.XLOOKUP(E79,'All Products'!D:D,'All Products'!M:M,FALSE)</f>
        <v>40049081149381</v>
      </c>
      <c r="T79" s="530">
        <f>_xlfn.XLOOKUP(E79,'All Products'!D:D,'All Products'!N:N,FALSE)</f>
        <v>7.9000000000000001E-2</v>
      </c>
      <c r="U79" s="543">
        <f>_xlfn.XLOOKUP(E79,'All Products'!D:D,'All Products'!O:O,FALSE)</f>
        <v>10</v>
      </c>
      <c r="V79" s="530">
        <f>_xlfn.XLOOKUP(E79,'All Products'!D:D,'All Products'!P:P,FALSE)</f>
        <v>8.3699999999999992</v>
      </c>
      <c r="W79" s="530">
        <f>_xlfn.XLOOKUP(E79,'All Products'!D:D,'All Products'!Q:Q,FALSE)</f>
        <v>0.5</v>
      </c>
    </row>
    <row r="80" spans="1:23" ht="15" customHeight="1">
      <c r="A80" s="104" t="str">
        <f>IF(K80&gt;0,COUNT($A$7:A79)+COUNT('DWV PVC'!$A$8:$A$284)+COUNT('DWV ABS'!$A$8:$A$116)+1,"")</f>
        <v/>
      </c>
      <c r="B80" s="115"/>
      <c r="C80" s="116"/>
      <c r="D80" s="512" t="str">
        <f>_xlfn.XLOOKUP(E80,'All Products'!D:D,'All Products'!C:C,FALSE)</f>
        <v>405-010</v>
      </c>
      <c r="E80" s="53">
        <v>100022481</v>
      </c>
      <c r="F80" s="522" t="str">
        <f>_xlfn.XLOOKUP(E80,'All Products'!D:D,'All Products'!E:E,FALSE)</f>
        <v>1 TEE FIPT X FIPT X FIPT</v>
      </c>
      <c r="G80" s="282">
        <f>_xlfn.XLOOKUP(E80,'All Products'!D:D,'All Products'!F:F,FALSE)</f>
        <v>50</v>
      </c>
      <c r="H80" s="533">
        <f>_xlfn.XLOOKUP(E80,'All Products'!D:D,'All Products'!G:G,FALSE)</f>
        <v>6000</v>
      </c>
      <c r="I80" s="540">
        <f>_xlfn.XLOOKUP(E80,'All Products'!D:D,'All Products'!H:H,FALSE)</f>
        <v>15.75</v>
      </c>
      <c r="J80" s="216">
        <f>ROUND(I80*Order_Quote!$L$4,2)</f>
        <v>78.75</v>
      </c>
      <c r="K80" s="76"/>
      <c r="L80" s="79"/>
      <c r="M80" s="117">
        <f t="shared" si="2"/>
        <v>0</v>
      </c>
      <c r="O80" s="530" t="str">
        <f>_xlfn.XLOOKUP(E80,'All Products'!D:D,'All Products'!I:I,FALSE)</f>
        <v>In Stock</v>
      </c>
      <c r="P80" s="530" t="str">
        <f>_xlfn.XLOOKUP(E80,'All Products'!D:D,'All Products'!J:J,FALSE)</f>
        <v>Manufactured</v>
      </c>
      <c r="Q80" s="543" t="str">
        <f>_xlfn.XLOOKUP(E80,'All Products'!D:D,'All Products'!K:K,FALSE)</f>
        <v>049081149420</v>
      </c>
      <c r="R80" s="543" t="str">
        <f>_xlfn.XLOOKUP(E80,'All Products'!D:D,'All Products'!L:L,FALSE)</f>
        <v>049081649425</v>
      </c>
      <c r="S80" s="543" t="str">
        <f>_xlfn.XLOOKUP(E80,'All Products'!D:D,'All Products'!M:M,FALSE)</f>
        <v>40049081149428</v>
      </c>
      <c r="T80" s="530">
        <f>_xlfn.XLOOKUP(E80,'All Products'!D:D,'All Products'!N:N,FALSE)</f>
        <v>0.192</v>
      </c>
      <c r="U80" s="543">
        <f>_xlfn.XLOOKUP(E80,'All Products'!D:D,'All Products'!O:O,FALSE)</f>
        <v>10</v>
      </c>
      <c r="V80" s="530">
        <f>_xlfn.XLOOKUP(E80,'All Products'!D:D,'All Products'!P:P,FALSE)</f>
        <v>10.36</v>
      </c>
      <c r="W80" s="530">
        <f>_xlfn.XLOOKUP(E80,'All Products'!D:D,'All Products'!Q:Q,FALSE)</f>
        <v>0.65</v>
      </c>
    </row>
    <row r="81" spans="1:23" ht="15" customHeight="1">
      <c r="A81" s="104" t="str">
        <f>IF(K81&gt;0,COUNT($A$7:A80)+COUNT('DWV PVC'!$A$8:$A$284)+COUNT('DWV ABS'!$A$8:$A$116)+1,"")</f>
        <v/>
      </c>
      <c r="B81" s="115"/>
      <c r="C81" s="116"/>
      <c r="D81" s="512" t="str">
        <f>_xlfn.XLOOKUP(E81,'All Products'!D:D,'All Products'!C:C,FALSE)</f>
        <v>405-012</v>
      </c>
      <c r="E81" s="53">
        <v>100022483</v>
      </c>
      <c r="F81" s="522" t="str">
        <f>_xlfn.XLOOKUP(E81,'All Products'!D:D,'All Products'!E:E,FALSE)</f>
        <v>1-1/4 TEE FIPT X FIPT X FIPT</v>
      </c>
      <c r="G81" s="282">
        <f>_xlfn.XLOOKUP(E81,'All Products'!D:D,'All Products'!F:F,FALSE)</f>
        <v>25</v>
      </c>
      <c r="H81" s="533">
        <f>_xlfn.XLOOKUP(E81,'All Products'!D:D,'All Products'!G:G,FALSE)</f>
        <v>3000</v>
      </c>
      <c r="I81" s="540">
        <f>_xlfn.XLOOKUP(E81,'All Products'!D:D,'All Products'!H:H,FALSE)</f>
        <v>21.83</v>
      </c>
      <c r="J81" s="216">
        <f>ROUND(I81*Order_Quote!$L$4,2)</f>
        <v>109.15</v>
      </c>
      <c r="K81" s="76"/>
      <c r="L81" s="79"/>
      <c r="M81" s="117">
        <f t="shared" si="2"/>
        <v>0</v>
      </c>
      <c r="O81" s="530" t="str">
        <f>_xlfn.XLOOKUP(E81,'All Products'!D:D,'All Products'!I:I,FALSE)</f>
        <v>Within 3 Weeks</v>
      </c>
      <c r="P81" s="530" t="str">
        <f>_xlfn.XLOOKUP(E81,'All Products'!D:D,'All Products'!J:J,FALSE)</f>
        <v>Manufactured</v>
      </c>
      <c r="Q81" s="543" t="str">
        <f>_xlfn.XLOOKUP(E81,'All Products'!D:D,'All Products'!K:K,FALSE)</f>
        <v>049081149444</v>
      </c>
      <c r="R81" s="543" t="str">
        <f>_xlfn.XLOOKUP(E81,'All Products'!D:D,'All Products'!L:L,FALSE)</f>
        <v>-</v>
      </c>
      <c r="S81" s="543" t="str">
        <f>_xlfn.XLOOKUP(E81,'All Products'!D:D,'All Products'!M:M,FALSE)</f>
        <v>40049081149442</v>
      </c>
      <c r="T81" s="530">
        <f>_xlfn.XLOOKUP(E81,'All Products'!D:D,'All Products'!N:N,FALSE)</f>
        <v>0.26800000000000002</v>
      </c>
      <c r="U81" s="543" t="str">
        <f>_xlfn.XLOOKUP(E81,'All Products'!D:D,'All Products'!O:O,FALSE)</f>
        <v>-</v>
      </c>
      <c r="V81" s="530">
        <f>_xlfn.XLOOKUP(E81,'All Products'!D:D,'All Products'!P:P,FALSE)</f>
        <v>7.56</v>
      </c>
      <c r="W81" s="530">
        <f>_xlfn.XLOOKUP(E81,'All Products'!D:D,'All Products'!Q:Q,FALSE)</f>
        <v>0.65</v>
      </c>
    </row>
    <row r="82" spans="1:23" ht="15" customHeight="1">
      <c r="A82" s="104" t="str">
        <f>IF(K82&gt;0,COUNT($A$7:A81)+COUNT('DWV PVC'!$A$8:$A$284)+COUNT('DWV ABS'!$A$8:$A$116)+1,"")</f>
        <v/>
      </c>
      <c r="B82" s="115"/>
      <c r="C82" s="116"/>
      <c r="D82" s="512" t="str">
        <f>_xlfn.XLOOKUP(E82,'All Products'!D:D,'All Products'!C:C,FALSE)</f>
        <v>405-015</v>
      </c>
      <c r="E82" s="53">
        <v>100022485</v>
      </c>
      <c r="F82" s="522" t="str">
        <f>_xlfn.XLOOKUP(E82,'All Products'!D:D,'All Products'!E:E,FALSE)</f>
        <v>1-1/2 TEE FIPT X FIPT X FIPT</v>
      </c>
      <c r="G82" s="282">
        <f>_xlfn.XLOOKUP(E82,'All Products'!D:D,'All Products'!F:F,FALSE)</f>
        <v>25</v>
      </c>
      <c r="H82" s="533">
        <f>_xlfn.XLOOKUP(E82,'All Products'!D:D,'All Products'!G:G,FALSE)</f>
        <v>3000</v>
      </c>
      <c r="I82" s="540">
        <f>_xlfn.XLOOKUP(E82,'All Products'!D:D,'All Products'!H:H,FALSE)</f>
        <v>22.52</v>
      </c>
      <c r="J82" s="216">
        <f>ROUND(I82*Order_Quote!$L$4,2)</f>
        <v>112.6</v>
      </c>
      <c r="K82" s="76"/>
      <c r="L82" s="79"/>
      <c r="M82" s="117">
        <f t="shared" si="2"/>
        <v>0</v>
      </c>
      <c r="O82" s="530" t="str">
        <f>_xlfn.XLOOKUP(E82,'All Products'!D:D,'All Products'!I:I,FALSE)</f>
        <v>In Stock</v>
      </c>
      <c r="P82" s="530" t="str">
        <f>_xlfn.XLOOKUP(E82,'All Products'!D:D,'All Products'!J:J,FALSE)</f>
        <v>Manufactured</v>
      </c>
      <c r="Q82" s="543" t="str">
        <f>_xlfn.XLOOKUP(E82,'All Products'!D:D,'All Products'!K:K,FALSE)</f>
        <v>049081149468</v>
      </c>
      <c r="R82" s="543" t="str">
        <f>_xlfn.XLOOKUP(E82,'All Products'!D:D,'All Products'!L:L,FALSE)</f>
        <v>-</v>
      </c>
      <c r="S82" s="543" t="str">
        <f>_xlfn.XLOOKUP(E82,'All Products'!D:D,'All Products'!M:M,FALSE)</f>
        <v>40049081149466</v>
      </c>
      <c r="T82" s="530">
        <f>_xlfn.XLOOKUP(E82,'All Products'!D:D,'All Products'!N:N,FALSE)</f>
        <v>0.34100000000000003</v>
      </c>
      <c r="U82" s="543" t="str">
        <f>_xlfn.XLOOKUP(E82,'All Products'!D:D,'All Products'!O:O,FALSE)</f>
        <v>-</v>
      </c>
      <c r="V82" s="530">
        <f>_xlfn.XLOOKUP(E82,'All Products'!D:D,'All Products'!P:P,FALSE)</f>
        <v>9.33</v>
      </c>
      <c r="W82" s="530">
        <f>_xlfn.XLOOKUP(E82,'All Products'!D:D,'All Products'!Q:Q,FALSE)</f>
        <v>0.65</v>
      </c>
    </row>
    <row r="83" spans="1:23" ht="15" customHeight="1">
      <c r="A83" s="104" t="str">
        <f>IF(K83&gt;0,COUNT($A$7:A82)+COUNT('DWV PVC'!$A$8:$A$284)+COUNT('DWV ABS'!$A$8:$A$116)+1,"")</f>
        <v/>
      </c>
      <c r="B83" s="380"/>
      <c r="C83" s="292"/>
      <c r="D83" s="512" t="str">
        <f>_xlfn.XLOOKUP(E83,'All Products'!D:D,'All Products'!C:C,FALSE)</f>
        <v>405-020</v>
      </c>
      <c r="E83" s="53">
        <v>100022487</v>
      </c>
      <c r="F83" s="522" t="str">
        <f>_xlfn.XLOOKUP(E83,'All Products'!D:D,'All Products'!E:E,FALSE)</f>
        <v>2 TEE FIPT X FIPT X FIPT</v>
      </c>
      <c r="G83" s="282">
        <f>_xlfn.XLOOKUP(E83,'All Products'!D:D,'All Products'!F:F,FALSE)</f>
        <v>15</v>
      </c>
      <c r="H83" s="533">
        <f>_xlfn.XLOOKUP(E83,'All Products'!D:D,'All Products'!G:G,FALSE)</f>
        <v>1350</v>
      </c>
      <c r="I83" s="540">
        <f>_xlfn.XLOOKUP(E83,'All Products'!D:D,'All Products'!H:H,FALSE)</f>
        <v>29.78</v>
      </c>
      <c r="J83" s="216">
        <f>ROUND(I83*Order_Quote!$L$4,2)</f>
        <v>148.9</v>
      </c>
      <c r="K83" s="76"/>
      <c r="L83" s="79"/>
      <c r="M83" s="117">
        <f t="shared" si="2"/>
        <v>0</v>
      </c>
      <c r="O83" s="530" t="str">
        <f>_xlfn.XLOOKUP(E83,'All Products'!D:D,'All Products'!I:I,FALSE)</f>
        <v>In Stock</v>
      </c>
      <c r="P83" s="530" t="str">
        <f>_xlfn.XLOOKUP(E83,'All Products'!D:D,'All Products'!J:J,FALSE)</f>
        <v>Manufactured</v>
      </c>
      <c r="Q83" s="543" t="str">
        <f>_xlfn.XLOOKUP(E83,'All Products'!D:D,'All Products'!K:K,FALSE)</f>
        <v>049081149482</v>
      </c>
      <c r="R83" s="543" t="str">
        <f>_xlfn.XLOOKUP(E83,'All Products'!D:D,'All Products'!L:L,FALSE)</f>
        <v>-</v>
      </c>
      <c r="S83" s="543" t="str">
        <f>_xlfn.XLOOKUP(E83,'All Products'!D:D,'All Products'!M:M,FALSE)</f>
        <v>40049081149480</v>
      </c>
      <c r="T83" s="530">
        <f>_xlfn.XLOOKUP(E83,'All Products'!D:D,'All Products'!N:N,FALSE)</f>
        <v>0.49199999999999999</v>
      </c>
      <c r="U83" s="543" t="str">
        <f>_xlfn.XLOOKUP(E83,'All Products'!D:D,'All Products'!O:O,FALSE)</f>
        <v>-</v>
      </c>
      <c r="V83" s="530">
        <f>_xlfn.XLOOKUP(E83,'All Products'!D:D,'All Products'!P:P,FALSE)</f>
        <v>8.0500000000000007</v>
      </c>
      <c r="W83" s="530">
        <f>_xlfn.XLOOKUP(E83,'All Products'!D:D,'All Products'!Q:Q,FALSE)</f>
        <v>0.8</v>
      </c>
    </row>
    <row r="84" spans="1:23" ht="15" customHeight="1">
      <c r="A84" s="104" t="str">
        <f>IF(K84&gt;0,COUNT($A$7:A83)+COUNT('DWV PVC'!$A$8:$A$284)+COUNT('DWV ABS'!$A$8:$A$116)+1,"")</f>
        <v/>
      </c>
      <c r="B84" s="579"/>
      <c r="C84" s="580"/>
      <c r="D84" s="512" t="str">
        <f>_xlfn.XLOOKUP(E84,'All Products'!D:D,'All Products'!C:C,FALSE)</f>
        <v>406-005</v>
      </c>
      <c r="E84" s="53">
        <v>100022489</v>
      </c>
      <c r="F84" s="522" t="str">
        <f>_xlfn.XLOOKUP(E84,'All Products'!D:D,'All Products'!E:E,FALSE)</f>
        <v>1/2 90 ELL SLIP X SLIP</v>
      </c>
      <c r="G84" s="282">
        <f>_xlfn.XLOOKUP(E84,'All Products'!D:D,'All Products'!F:F,FALSE)</f>
        <v>250</v>
      </c>
      <c r="H84" s="533">
        <f>_xlfn.XLOOKUP(E84,'All Products'!D:D,'All Products'!G:G,FALSE)</f>
        <v>22500</v>
      </c>
      <c r="I84" s="540">
        <f>_xlfn.XLOOKUP(E84,'All Products'!D:D,'All Products'!H:H,FALSE)</f>
        <v>1.58</v>
      </c>
      <c r="J84" s="216">
        <f>ROUND(I84*Order_Quote!$L$4,2)</f>
        <v>7.9</v>
      </c>
      <c r="K84" s="76"/>
      <c r="L84" s="79"/>
      <c r="M84" s="117">
        <f t="shared" si="2"/>
        <v>0</v>
      </c>
      <c r="O84" s="530" t="str">
        <f>_xlfn.XLOOKUP(E84,'All Products'!D:D,'All Products'!I:I,FALSE)</f>
        <v>In Stock</v>
      </c>
      <c r="P84" s="530" t="str">
        <f>_xlfn.XLOOKUP(E84,'All Products'!D:D,'All Products'!J:J,FALSE)</f>
        <v>Manufactured</v>
      </c>
      <c r="Q84" s="543" t="str">
        <f>_xlfn.XLOOKUP(E84,'All Products'!D:D,'All Products'!K:K,FALSE)</f>
        <v>049081140625</v>
      </c>
      <c r="R84" s="543" t="str">
        <f>_xlfn.XLOOKUP(E84,'All Products'!D:D,'All Products'!L:L,FALSE)</f>
        <v>049081640620</v>
      </c>
      <c r="S84" s="543" t="str">
        <f>_xlfn.XLOOKUP(E84,'All Products'!D:D,'All Products'!M:M,FALSE)</f>
        <v>40049081140623</v>
      </c>
      <c r="T84" s="530">
        <f>_xlfn.XLOOKUP(E84,'All Products'!D:D,'All Products'!N:N,FALSE)</f>
        <v>5.0999999999999997E-2</v>
      </c>
      <c r="U84" s="543">
        <f>_xlfn.XLOOKUP(E84,'All Products'!D:D,'All Products'!O:O,FALSE)</f>
        <v>10</v>
      </c>
      <c r="V84" s="530">
        <f>_xlfn.XLOOKUP(E84,'All Products'!D:D,'All Products'!P:P,FALSE)</f>
        <v>14.33</v>
      </c>
      <c r="W84" s="530">
        <f>_xlfn.XLOOKUP(E84,'All Products'!D:D,'All Products'!Q:Q,FALSE)</f>
        <v>0.8</v>
      </c>
    </row>
    <row r="85" spans="1:23" ht="15" customHeight="1">
      <c r="A85" s="104" t="str">
        <f>IF(K85&gt;0,COUNT($A$7:A84)+COUNT('DWV PVC'!$A$8:$A$284)+COUNT('DWV ABS'!$A$8:$A$116)+1,"")</f>
        <v/>
      </c>
      <c r="B85" s="579"/>
      <c r="C85" s="580"/>
      <c r="D85" s="512" t="str">
        <f>_xlfn.XLOOKUP(E85,'All Products'!D:D,'All Products'!C:C,FALSE)</f>
        <v>406-007</v>
      </c>
      <c r="E85" s="53">
        <v>100022491</v>
      </c>
      <c r="F85" s="522" t="str">
        <f>_xlfn.XLOOKUP(E85,'All Products'!D:D,'All Products'!E:E,FALSE)</f>
        <v>3/4 90 ELL SLIP X SLIP</v>
      </c>
      <c r="G85" s="282">
        <f>_xlfn.XLOOKUP(E85,'All Products'!D:D,'All Products'!F:F,FALSE)</f>
        <v>150</v>
      </c>
      <c r="H85" s="533">
        <f>_xlfn.XLOOKUP(E85,'All Products'!D:D,'All Products'!G:G,FALSE)</f>
        <v>13500</v>
      </c>
      <c r="I85" s="540">
        <f>_xlfn.XLOOKUP(E85,'All Products'!D:D,'All Products'!H:H,FALSE)</f>
        <v>1.78</v>
      </c>
      <c r="J85" s="216">
        <f>ROUND(I85*Order_Quote!$L$4,2)</f>
        <v>8.9</v>
      </c>
      <c r="K85" s="76"/>
      <c r="L85" s="79"/>
      <c r="M85" s="117">
        <f t="shared" si="2"/>
        <v>0</v>
      </c>
      <c r="O85" s="530" t="str">
        <f>_xlfn.XLOOKUP(E85,'All Products'!D:D,'All Products'!I:I,FALSE)</f>
        <v>In Stock</v>
      </c>
      <c r="P85" s="530" t="str">
        <f>_xlfn.XLOOKUP(E85,'All Products'!D:D,'All Products'!J:J,FALSE)</f>
        <v>Manufactured</v>
      </c>
      <c r="Q85" s="543" t="str">
        <f>_xlfn.XLOOKUP(E85,'All Products'!D:D,'All Products'!K:K,FALSE)</f>
        <v>049081140649</v>
      </c>
      <c r="R85" s="543" t="str">
        <f>_xlfn.XLOOKUP(E85,'All Products'!D:D,'All Products'!L:L,FALSE)</f>
        <v>049081640644</v>
      </c>
      <c r="S85" s="543" t="str">
        <f>_xlfn.XLOOKUP(E85,'All Products'!D:D,'All Products'!M:M,FALSE)</f>
        <v>40049081140647</v>
      </c>
      <c r="T85" s="530">
        <f>_xlfn.XLOOKUP(E85,'All Products'!D:D,'All Products'!N:N,FALSE)</f>
        <v>7.1999999999999995E-2</v>
      </c>
      <c r="U85" s="543">
        <f>_xlfn.XLOOKUP(E85,'All Products'!D:D,'All Products'!O:O,FALSE)</f>
        <v>10</v>
      </c>
      <c r="V85" s="530">
        <f>_xlfn.XLOOKUP(E85,'All Products'!D:D,'All Products'!P:P,FALSE)</f>
        <v>12.83</v>
      </c>
      <c r="W85" s="530">
        <f>_xlfn.XLOOKUP(E85,'All Products'!D:D,'All Products'!Q:Q,FALSE)</f>
        <v>0.8</v>
      </c>
    </row>
    <row r="86" spans="1:23" ht="15" customHeight="1">
      <c r="A86" s="104" t="str">
        <f>IF(K86&gt;0,COUNT($A$7:A85)+COUNT('DWV PVC'!$A$8:$A$284)+COUNT('DWV ABS'!$A$8:$A$116)+1,"")</f>
        <v/>
      </c>
      <c r="B86" s="579"/>
      <c r="C86" s="580"/>
      <c r="D86" s="512" t="str">
        <f>_xlfn.XLOOKUP(E86,'All Products'!D:D,'All Products'!C:C,FALSE)</f>
        <v>406-010</v>
      </c>
      <c r="E86" s="53">
        <v>100022493</v>
      </c>
      <c r="F86" s="522" t="str">
        <f>_xlfn.XLOOKUP(E86,'All Products'!D:D,'All Products'!E:E,FALSE)</f>
        <v>1 90 ELL SLIP X SLIP</v>
      </c>
      <c r="G86" s="282">
        <f>_xlfn.XLOOKUP(E86,'All Products'!D:D,'All Products'!F:F,FALSE)</f>
        <v>50</v>
      </c>
      <c r="H86" s="533">
        <f>_xlfn.XLOOKUP(E86,'All Products'!D:D,'All Products'!G:G,FALSE)</f>
        <v>7500</v>
      </c>
      <c r="I86" s="540">
        <f>_xlfn.XLOOKUP(E86,'All Products'!D:D,'All Products'!H:H,FALSE)</f>
        <v>3.2</v>
      </c>
      <c r="J86" s="216">
        <f>ROUND(I86*Order_Quote!$L$4,2)</f>
        <v>16</v>
      </c>
      <c r="K86" s="76"/>
      <c r="L86" s="79"/>
      <c r="M86" s="117">
        <f t="shared" si="2"/>
        <v>0</v>
      </c>
      <c r="O86" s="530" t="str">
        <f>_xlfn.XLOOKUP(E86,'All Products'!D:D,'All Products'!I:I,FALSE)</f>
        <v>In Stock</v>
      </c>
      <c r="P86" s="530" t="str">
        <f>_xlfn.XLOOKUP(E86,'All Products'!D:D,'All Products'!J:J,FALSE)</f>
        <v>Manufactured</v>
      </c>
      <c r="Q86" s="543" t="str">
        <f>_xlfn.XLOOKUP(E86,'All Products'!D:D,'All Products'!K:K,FALSE)</f>
        <v>049081140687</v>
      </c>
      <c r="R86" s="543" t="str">
        <f>_xlfn.XLOOKUP(E86,'All Products'!D:D,'All Products'!L:L,FALSE)</f>
        <v>049081640682</v>
      </c>
      <c r="S86" s="543" t="str">
        <f>_xlfn.XLOOKUP(E86,'All Products'!D:D,'All Products'!M:M,FALSE)</f>
        <v>40049081140685</v>
      </c>
      <c r="T86" s="530">
        <f>_xlfn.XLOOKUP(E86,'All Products'!D:D,'All Products'!N:N,FALSE)</f>
        <v>0.128</v>
      </c>
      <c r="U86" s="543">
        <f>_xlfn.XLOOKUP(E86,'All Products'!D:D,'All Products'!O:O,FALSE)</f>
        <v>10</v>
      </c>
      <c r="V86" s="530">
        <f>_xlfn.XLOOKUP(E86,'All Products'!D:D,'All Products'!P:P,FALSE)</f>
        <v>7.04</v>
      </c>
      <c r="W86" s="530">
        <f>_xlfn.XLOOKUP(E86,'All Products'!D:D,'All Products'!Q:Q,FALSE)</f>
        <v>0.5</v>
      </c>
    </row>
    <row r="87" spans="1:23" ht="15" customHeight="1">
      <c r="A87" s="104" t="str">
        <f>IF(K87&gt;0,COUNT($A$7:A86)+COUNT('DWV PVC'!$A$8:$A$284)+COUNT('DWV ABS'!$A$8:$A$116)+1,"")</f>
        <v/>
      </c>
      <c r="B87" s="579"/>
      <c r="C87" s="580"/>
      <c r="D87" s="512" t="str">
        <f>_xlfn.XLOOKUP(E87,'All Products'!D:D,'All Products'!C:C,FALSE)</f>
        <v>406-012</v>
      </c>
      <c r="E87" s="53">
        <v>100022495</v>
      </c>
      <c r="F87" s="522" t="str">
        <f>_xlfn.XLOOKUP(E87,'All Products'!D:D,'All Products'!E:E,FALSE)</f>
        <v>1-1/4 90 ELL SLIP X SLIP</v>
      </c>
      <c r="G87" s="282">
        <f>_xlfn.XLOOKUP(E87,'All Products'!D:D,'All Products'!F:F,FALSE)</f>
        <v>50</v>
      </c>
      <c r="H87" s="533">
        <f>_xlfn.XLOOKUP(E87,'All Products'!D:D,'All Products'!G:G,FALSE)</f>
        <v>4500</v>
      </c>
      <c r="I87" s="540">
        <f>_xlfn.XLOOKUP(E87,'All Products'!D:D,'All Products'!H:H,FALSE)</f>
        <v>5.63</v>
      </c>
      <c r="J87" s="216">
        <f>ROUND(I87*Order_Quote!$L$4,2)</f>
        <v>28.15</v>
      </c>
      <c r="K87" s="76"/>
      <c r="L87" s="79"/>
      <c r="M87" s="117">
        <f t="shared" si="2"/>
        <v>0</v>
      </c>
      <c r="O87" s="530" t="str">
        <f>_xlfn.XLOOKUP(E87,'All Products'!D:D,'All Products'!I:I,FALSE)</f>
        <v>In Stock</v>
      </c>
      <c r="P87" s="530" t="str">
        <f>_xlfn.XLOOKUP(E87,'All Products'!D:D,'All Products'!J:J,FALSE)</f>
        <v>Manufactured</v>
      </c>
      <c r="Q87" s="543" t="str">
        <f>_xlfn.XLOOKUP(E87,'All Products'!D:D,'All Products'!K:K,FALSE)</f>
        <v>049081140748</v>
      </c>
      <c r="R87" s="543" t="str">
        <f>_xlfn.XLOOKUP(E87,'All Products'!D:D,'All Products'!L:L,FALSE)</f>
        <v>049081640743</v>
      </c>
      <c r="S87" s="543" t="str">
        <f>_xlfn.XLOOKUP(E87,'All Products'!D:D,'All Products'!M:M,FALSE)</f>
        <v>40049081140746</v>
      </c>
      <c r="T87" s="530">
        <f>_xlfn.XLOOKUP(E87,'All Products'!D:D,'All Products'!N:N,FALSE)</f>
        <v>0.24199999999999999</v>
      </c>
      <c r="U87" s="543">
        <f>_xlfn.XLOOKUP(E87,'All Products'!D:D,'All Products'!O:O,FALSE)</f>
        <v>5</v>
      </c>
      <c r="V87" s="530">
        <f>_xlfn.XLOOKUP(E87,'All Products'!D:D,'All Products'!P:P,FALSE)</f>
        <v>11.09</v>
      </c>
      <c r="W87" s="530">
        <f>_xlfn.XLOOKUP(E87,'All Products'!D:D,'All Products'!Q:Q,FALSE)</f>
        <v>0.8</v>
      </c>
    </row>
    <row r="88" spans="1:23" ht="15" customHeight="1">
      <c r="A88" s="104" t="str">
        <f>IF(K88&gt;0,COUNT($A$7:A87)+COUNT('DWV PVC'!$A$8:$A$284)+COUNT('DWV ABS'!$A$8:$A$116)+1,"")</f>
        <v/>
      </c>
      <c r="B88" s="579"/>
      <c r="C88" s="580"/>
      <c r="D88" s="512" t="str">
        <f>_xlfn.XLOOKUP(E88,'All Products'!D:D,'All Products'!C:C,FALSE)</f>
        <v>406-015</v>
      </c>
      <c r="E88" s="53">
        <v>100022497</v>
      </c>
      <c r="F88" s="522" t="str">
        <f>_xlfn.XLOOKUP(E88,'All Products'!D:D,'All Products'!E:E,FALSE)</f>
        <v>1-1/2 90 ELL SLIP X SLIP</v>
      </c>
      <c r="G88" s="282">
        <f>_xlfn.XLOOKUP(E88,'All Products'!D:D,'All Products'!F:F,FALSE)</f>
        <v>50</v>
      </c>
      <c r="H88" s="533">
        <f>_xlfn.XLOOKUP(E88,'All Products'!D:D,'All Products'!G:G,FALSE)</f>
        <v>3750</v>
      </c>
      <c r="I88" s="540">
        <f>_xlfn.XLOOKUP(E88,'All Products'!D:D,'All Products'!H:H,FALSE)</f>
        <v>6.1</v>
      </c>
      <c r="J88" s="216">
        <f>ROUND(I88*Order_Quote!$L$4,2)</f>
        <v>30.5</v>
      </c>
      <c r="K88" s="76"/>
      <c r="L88" s="79"/>
      <c r="M88" s="117">
        <f t="shared" si="2"/>
        <v>0</v>
      </c>
      <c r="O88" s="530" t="str">
        <f>_xlfn.XLOOKUP(E88,'All Products'!D:D,'All Products'!I:I,FALSE)</f>
        <v>In Stock</v>
      </c>
      <c r="P88" s="530" t="str">
        <f>_xlfn.XLOOKUP(E88,'All Products'!D:D,'All Products'!J:J,FALSE)</f>
        <v>Manufactured</v>
      </c>
      <c r="Q88" s="543" t="str">
        <f>_xlfn.XLOOKUP(E88,'All Products'!D:D,'All Products'!K:K,FALSE)</f>
        <v>049081140823</v>
      </c>
      <c r="R88" s="543" t="str">
        <f>_xlfn.XLOOKUP(E88,'All Products'!D:D,'All Products'!L:L,FALSE)</f>
        <v>049081640828</v>
      </c>
      <c r="S88" s="543" t="str">
        <f>_xlfn.XLOOKUP(E88,'All Products'!D:D,'All Products'!M:M,FALSE)</f>
        <v>40049081140821</v>
      </c>
      <c r="T88" s="530">
        <f>_xlfn.XLOOKUP(E88,'All Products'!D:D,'All Products'!N:N,FALSE)</f>
        <v>0.25700000000000001</v>
      </c>
      <c r="U88" s="543">
        <f>_xlfn.XLOOKUP(E88,'All Products'!D:D,'All Products'!O:O,FALSE)</f>
        <v>10</v>
      </c>
      <c r="V88" s="530">
        <f>_xlfn.XLOOKUP(E88,'All Products'!D:D,'All Products'!P:P,FALSE)</f>
        <v>14.75</v>
      </c>
      <c r="W88" s="530">
        <f>_xlfn.XLOOKUP(E88,'All Products'!D:D,'All Products'!Q:Q,FALSE)</f>
        <v>1.1000000000000001</v>
      </c>
    </row>
    <row r="89" spans="1:23" ht="15" customHeight="1">
      <c r="A89" s="104" t="str">
        <f>IF(K89&gt;0,COUNT($A$7:A88)+COUNT('DWV PVC'!$A$8:$A$284)+COUNT('DWV ABS'!$A$8:$A$116)+1,"")</f>
        <v/>
      </c>
      <c r="B89" s="579"/>
      <c r="C89" s="580"/>
      <c r="D89" s="512" t="str">
        <f>_xlfn.XLOOKUP(E89,'All Products'!D:D,'All Products'!C:C,FALSE)</f>
        <v>406-020</v>
      </c>
      <c r="E89" s="53">
        <v>100022499</v>
      </c>
      <c r="F89" s="522" t="str">
        <f>_xlfn.XLOOKUP(E89,'All Products'!D:D,'All Products'!E:E,FALSE)</f>
        <v>2 90 ELL SLIP X SLIP</v>
      </c>
      <c r="G89" s="282">
        <f>_xlfn.XLOOKUP(E89,'All Products'!D:D,'All Products'!F:F,FALSE)</f>
        <v>20</v>
      </c>
      <c r="H89" s="533">
        <f>_xlfn.XLOOKUP(E89,'All Products'!D:D,'All Products'!G:G,FALSE)</f>
        <v>1800</v>
      </c>
      <c r="I89" s="540">
        <f>_xlfn.XLOOKUP(E89,'All Products'!D:D,'All Products'!H:H,FALSE)</f>
        <v>9.5</v>
      </c>
      <c r="J89" s="216">
        <f>ROUND(I89*Order_Quote!$L$4,2)</f>
        <v>47.5</v>
      </c>
      <c r="K89" s="76"/>
      <c r="L89" s="79"/>
      <c r="M89" s="117">
        <f t="shared" si="2"/>
        <v>0</v>
      </c>
      <c r="O89" s="530" t="str">
        <f>_xlfn.XLOOKUP(E89,'All Products'!D:D,'All Products'!I:I,FALSE)</f>
        <v>In Stock</v>
      </c>
      <c r="P89" s="530" t="str">
        <f>_xlfn.XLOOKUP(E89,'All Products'!D:D,'All Products'!J:J,FALSE)</f>
        <v>Manufactured</v>
      </c>
      <c r="Q89" s="543" t="str">
        <f>_xlfn.XLOOKUP(E89,'All Products'!D:D,'All Products'!K:K,FALSE)</f>
        <v>049081140908</v>
      </c>
      <c r="R89" s="543" t="str">
        <f>_xlfn.XLOOKUP(E89,'All Products'!D:D,'All Products'!L:L,FALSE)</f>
        <v>049081640903</v>
      </c>
      <c r="S89" s="543" t="str">
        <f>_xlfn.XLOOKUP(E89,'All Products'!D:D,'All Products'!M:M,FALSE)</f>
        <v>40049081140906</v>
      </c>
      <c r="T89" s="530">
        <f>_xlfn.XLOOKUP(E89,'All Products'!D:D,'All Products'!N:N,FALSE)</f>
        <v>0.371</v>
      </c>
      <c r="U89" s="543">
        <f>_xlfn.XLOOKUP(E89,'All Products'!D:D,'All Products'!O:O,FALSE)</f>
        <v>5</v>
      </c>
      <c r="V89" s="530">
        <f>_xlfn.XLOOKUP(E89,'All Products'!D:D,'All Products'!P:P,FALSE)</f>
        <v>9.23</v>
      </c>
      <c r="W89" s="530">
        <f>_xlfn.XLOOKUP(E89,'All Products'!D:D,'All Products'!Q:Q,FALSE)</f>
        <v>0.8</v>
      </c>
    </row>
    <row r="90" spans="1:23" ht="15" customHeight="1">
      <c r="A90" s="104" t="str">
        <f>IF(K90&gt;0,COUNT($A$7:A89)+COUNT('DWV PVC'!$A$8:$A$284)+COUNT('DWV ABS'!$A$8:$A$116)+1,"")</f>
        <v/>
      </c>
      <c r="B90" s="579"/>
      <c r="C90" s="580"/>
      <c r="D90" s="512" t="str">
        <f>_xlfn.XLOOKUP(E90,'All Products'!D:D,'All Products'!C:C,FALSE)</f>
        <v>406-025</v>
      </c>
      <c r="E90" s="53">
        <v>100022501</v>
      </c>
      <c r="F90" s="522" t="str">
        <f>_xlfn.XLOOKUP(E90,'All Products'!D:D,'All Products'!E:E,FALSE)</f>
        <v>2-1/2 90 ELL SLIP X SLIP</v>
      </c>
      <c r="G90" s="282">
        <f>_xlfn.XLOOKUP(E90,'All Products'!D:D,'All Products'!F:F,FALSE)</f>
        <v>10</v>
      </c>
      <c r="H90" s="533">
        <f>_xlfn.XLOOKUP(E90,'All Products'!D:D,'All Products'!G:G,FALSE)</f>
        <v>900</v>
      </c>
      <c r="I90" s="540">
        <f>_xlfn.XLOOKUP(E90,'All Products'!D:D,'All Products'!H:H,FALSE)</f>
        <v>28.99</v>
      </c>
      <c r="J90" s="216">
        <f>ROUND(I90*Order_Quote!$L$4,2)</f>
        <v>144.94999999999999</v>
      </c>
      <c r="K90" s="76"/>
      <c r="L90" s="79"/>
      <c r="M90" s="117">
        <f t="shared" si="2"/>
        <v>0</v>
      </c>
      <c r="O90" s="530" t="str">
        <f>_xlfn.XLOOKUP(E90,'All Products'!D:D,'All Products'!I:I,FALSE)</f>
        <v>In Stock</v>
      </c>
      <c r="P90" s="530" t="str">
        <f>_xlfn.XLOOKUP(E90,'All Products'!D:D,'All Products'!J:J,FALSE)</f>
        <v>Manufactured</v>
      </c>
      <c r="Q90" s="543" t="str">
        <f>_xlfn.XLOOKUP(E90,'All Products'!D:D,'All Products'!K:K,FALSE)</f>
        <v>049081140960</v>
      </c>
      <c r="R90" s="543" t="str">
        <f>_xlfn.XLOOKUP(E90,'All Products'!D:D,'All Products'!L:L,FALSE)</f>
        <v>-</v>
      </c>
      <c r="S90" s="543" t="str">
        <f>_xlfn.XLOOKUP(E90,'All Products'!D:D,'All Products'!M:M,FALSE)</f>
        <v>40049081140968</v>
      </c>
      <c r="T90" s="530">
        <f>_xlfn.XLOOKUP(E90,'All Products'!D:D,'All Products'!N:N,FALSE)</f>
        <v>0.8</v>
      </c>
      <c r="U90" s="543" t="str">
        <f>_xlfn.XLOOKUP(E90,'All Products'!D:D,'All Products'!O:O,FALSE)</f>
        <v>-</v>
      </c>
      <c r="V90" s="530">
        <f>_xlfn.XLOOKUP(E90,'All Products'!D:D,'All Products'!P:P,FALSE)</f>
        <v>8.3699999999999992</v>
      </c>
      <c r="W90" s="530">
        <f>_xlfn.XLOOKUP(E90,'All Products'!D:D,'All Products'!Q:Q,FALSE)</f>
        <v>0.8</v>
      </c>
    </row>
    <row r="91" spans="1:23" ht="15" customHeight="1">
      <c r="A91" s="104" t="str">
        <f>IF(K91&gt;0,COUNT($A$7:A90)+COUNT('DWV PVC'!$A$8:$A$284)+COUNT('DWV ABS'!$A$8:$A$116)+1,"")</f>
        <v/>
      </c>
      <c r="B91" s="579"/>
      <c r="C91" s="580"/>
      <c r="D91" s="512" t="str">
        <f>_xlfn.XLOOKUP(E91,'All Products'!D:D,'All Products'!C:C,FALSE)</f>
        <v>406-030</v>
      </c>
      <c r="E91" s="53">
        <v>100022503</v>
      </c>
      <c r="F91" s="522" t="str">
        <f>_xlfn.XLOOKUP(E91,'All Products'!D:D,'All Products'!E:E,FALSE)</f>
        <v>3 90 ELL SLIP X SLIP</v>
      </c>
      <c r="G91" s="282">
        <f>_xlfn.XLOOKUP(E91,'All Products'!D:D,'All Products'!F:F,FALSE)</f>
        <v>8</v>
      </c>
      <c r="H91" s="533">
        <f>_xlfn.XLOOKUP(E91,'All Products'!D:D,'All Products'!G:G,FALSE)</f>
        <v>720</v>
      </c>
      <c r="I91" s="540">
        <f>_xlfn.XLOOKUP(E91,'All Products'!D:D,'All Products'!H:H,FALSE)</f>
        <v>34.700000000000003</v>
      </c>
      <c r="J91" s="216">
        <f>ROUND(I91*Order_Quote!$L$4,2)</f>
        <v>173.5</v>
      </c>
      <c r="K91" s="76"/>
      <c r="L91" s="79"/>
      <c r="M91" s="117">
        <f t="shared" si="2"/>
        <v>0</v>
      </c>
      <c r="O91" s="530" t="str">
        <f>_xlfn.XLOOKUP(E91,'All Products'!D:D,'All Products'!I:I,FALSE)</f>
        <v>In Stock</v>
      </c>
      <c r="P91" s="530" t="str">
        <f>_xlfn.XLOOKUP(E91,'All Products'!D:D,'All Products'!J:J,FALSE)</f>
        <v>Manufactured</v>
      </c>
      <c r="Q91" s="543" t="str">
        <f>_xlfn.XLOOKUP(E91,'All Products'!D:D,'All Products'!K:K,FALSE)</f>
        <v>049081140984</v>
      </c>
      <c r="R91" s="543" t="str">
        <f>_xlfn.XLOOKUP(E91,'All Products'!D:D,'All Products'!L:L,FALSE)</f>
        <v>-</v>
      </c>
      <c r="S91" s="543" t="str">
        <f>_xlfn.XLOOKUP(E91,'All Products'!D:D,'All Products'!M:M,FALSE)</f>
        <v>40049081140982</v>
      </c>
      <c r="T91" s="530">
        <f>_xlfn.XLOOKUP(E91,'All Products'!D:D,'All Products'!N:N,FALSE)</f>
        <v>1.0720000000000001</v>
      </c>
      <c r="U91" s="543" t="str">
        <f>_xlfn.XLOOKUP(E91,'All Products'!D:D,'All Products'!O:O,FALSE)</f>
        <v>-</v>
      </c>
      <c r="V91" s="530">
        <f>_xlfn.XLOOKUP(E91,'All Products'!D:D,'All Products'!P:P,FALSE)</f>
        <v>9.5399999999999991</v>
      </c>
      <c r="W91" s="530">
        <f>_xlfn.XLOOKUP(E91,'All Products'!D:D,'All Products'!Q:Q,FALSE)</f>
        <v>0.8</v>
      </c>
    </row>
    <row r="92" spans="1:23" ht="15" customHeight="1">
      <c r="A92" s="104" t="str">
        <f>IF(K92&gt;0,COUNT($A$7:A91)+COUNT('DWV PVC'!$A$8:$A$284)+COUNT('DWV ABS'!$A$8:$A$116)+1,"")</f>
        <v/>
      </c>
      <c r="B92" s="579"/>
      <c r="C92" s="580"/>
      <c r="D92" s="512" t="str">
        <f>_xlfn.XLOOKUP(E92,'All Products'!D:D,'All Products'!C:C,FALSE)</f>
        <v>406-040</v>
      </c>
      <c r="E92" s="53">
        <v>100022505</v>
      </c>
      <c r="F92" s="522" t="str">
        <f>_xlfn.XLOOKUP(E92,'All Products'!D:D,'All Products'!E:E,FALSE)</f>
        <v>4 90 ELL SLIP X SLIP</v>
      </c>
      <c r="G92" s="282">
        <f>_xlfn.XLOOKUP(E92,'All Products'!D:D,'All Products'!F:F,FALSE)</f>
        <v>3</v>
      </c>
      <c r="H92" s="533">
        <f>_xlfn.XLOOKUP(E92,'All Products'!D:D,'All Products'!G:G,FALSE)</f>
        <v>360</v>
      </c>
      <c r="I92" s="540">
        <f>_xlfn.XLOOKUP(E92,'All Products'!D:D,'All Products'!H:H,FALSE)</f>
        <v>62.05</v>
      </c>
      <c r="J92" s="216">
        <f>ROUND(I92*Order_Quote!$L$4,2)</f>
        <v>310.25</v>
      </c>
      <c r="K92" s="76"/>
      <c r="L92" s="79"/>
      <c r="M92" s="117">
        <f t="shared" si="2"/>
        <v>0</v>
      </c>
      <c r="O92" s="530" t="str">
        <f>_xlfn.XLOOKUP(E92,'All Products'!D:D,'All Products'!I:I,FALSE)</f>
        <v>In Stock</v>
      </c>
      <c r="P92" s="530" t="str">
        <f>_xlfn.XLOOKUP(E92,'All Products'!D:D,'All Products'!J:J,FALSE)</f>
        <v>Manufactured</v>
      </c>
      <c r="Q92" s="543" t="str">
        <f>_xlfn.XLOOKUP(E92,'All Products'!D:D,'All Products'!K:K,FALSE)</f>
        <v>049081141004</v>
      </c>
      <c r="R92" s="543" t="str">
        <f>_xlfn.XLOOKUP(E92,'All Products'!D:D,'All Products'!L:L,FALSE)</f>
        <v>-</v>
      </c>
      <c r="S92" s="543" t="str">
        <f>_xlfn.XLOOKUP(E92,'All Products'!D:D,'All Products'!M:M,FALSE)</f>
        <v>40049081141002</v>
      </c>
      <c r="T92" s="530">
        <f>_xlfn.XLOOKUP(E92,'All Products'!D:D,'All Products'!N:N,FALSE)</f>
        <v>1.9350000000000001</v>
      </c>
      <c r="U92" s="543" t="str">
        <f>_xlfn.XLOOKUP(E92,'All Products'!D:D,'All Products'!O:O,FALSE)</f>
        <v>-</v>
      </c>
      <c r="V92" s="530">
        <f>_xlfn.XLOOKUP(E92,'All Products'!D:D,'All Products'!P:P,FALSE)</f>
        <v>9.23</v>
      </c>
      <c r="W92" s="530">
        <f>_xlfn.XLOOKUP(E92,'All Products'!D:D,'All Products'!Q:Q,FALSE)</f>
        <v>0.65</v>
      </c>
    </row>
    <row r="93" spans="1:23" ht="15" customHeight="1">
      <c r="A93" s="104" t="str">
        <f>IF(K93&gt;0,COUNT($A$7:A92)+COUNT('DWV PVC'!$A$8:$A$284)+COUNT('DWV ABS'!$A$8:$A$116)+1,"")</f>
        <v/>
      </c>
      <c r="B93" s="115"/>
      <c r="C93" s="116"/>
      <c r="D93" s="512" t="str">
        <f>_xlfn.XLOOKUP(E93,'All Products'!D:D,'All Products'!C:C,FALSE)</f>
        <v>406-050</v>
      </c>
      <c r="E93" s="53">
        <v>100022507</v>
      </c>
      <c r="F93" s="522" t="str">
        <f>_xlfn.XLOOKUP(E93,'All Products'!D:D,'All Products'!E:E,FALSE)</f>
        <v>5 90 ELL SLIP X SLIP</v>
      </c>
      <c r="G93" s="282">
        <f>_xlfn.XLOOKUP(E93,'All Products'!D:D,'All Products'!F:F,FALSE)</f>
        <v>2</v>
      </c>
      <c r="H93" s="533">
        <f>_xlfn.XLOOKUP(E93,'All Products'!D:D,'All Products'!G:G,FALSE)</f>
        <v>150</v>
      </c>
      <c r="I93" s="540">
        <f>_xlfn.XLOOKUP(E93,'All Products'!D:D,'All Products'!H:H,FALSE)</f>
        <v>160.22999999999999</v>
      </c>
      <c r="J93" s="216">
        <f>ROUND(I93*Order_Quote!$L$4,2)</f>
        <v>801.15</v>
      </c>
      <c r="K93" s="76"/>
      <c r="L93" s="79"/>
      <c r="M93" s="117">
        <f t="shared" si="2"/>
        <v>0</v>
      </c>
      <c r="O93" s="530" t="str">
        <f>_xlfn.XLOOKUP(E93,'All Products'!D:D,'All Products'!I:I,FALSE)</f>
        <v>Within 3 Weeks</v>
      </c>
      <c r="P93" s="530" t="str">
        <f>_xlfn.XLOOKUP(E93,'All Products'!D:D,'All Products'!J:J,FALSE)</f>
        <v>Manufactured</v>
      </c>
      <c r="Q93" s="543" t="str">
        <f>_xlfn.XLOOKUP(E93,'All Products'!D:D,'All Products'!K:K,FALSE)</f>
        <v>049081141028</v>
      </c>
      <c r="R93" s="543" t="str">
        <f>_xlfn.XLOOKUP(E93,'All Products'!D:D,'All Products'!L:L,FALSE)</f>
        <v>-</v>
      </c>
      <c r="S93" s="543" t="str">
        <f>_xlfn.XLOOKUP(E93,'All Products'!D:D,'All Products'!M:M,FALSE)</f>
        <v>40049081141026</v>
      </c>
      <c r="T93" s="530">
        <f>_xlfn.XLOOKUP(E93,'All Products'!D:D,'All Products'!N:N,FALSE)</f>
        <v>4.7750000000000004</v>
      </c>
      <c r="U93" s="543" t="str">
        <f>_xlfn.XLOOKUP(E93,'All Products'!D:D,'All Products'!O:O,FALSE)</f>
        <v>-</v>
      </c>
      <c r="V93" s="530">
        <f>_xlfn.XLOOKUP(E93,'All Products'!D:D,'All Products'!P:P,FALSE)</f>
        <v>9.5500000000000007</v>
      </c>
      <c r="W93" s="530">
        <f>_xlfn.XLOOKUP(E93,'All Products'!D:D,'All Products'!Q:Q,FALSE)</f>
        <v>0.95</v>
      </c>
    </row>
    <row r="94" spans="1:23" ht="15" customHeight="1">
      <c r="A94" s="104" t="str">
        <f>IF(K94&gt;0,COUNT($A$7:A93)+COUNT('DWV PVC'!$A$8:$A$284)+COUNT('DWV ABS'!$A$8:$A$116)+1,"")</f>
        <v/>
      </c>
      <c r="B94" s="115"/>
      <c r="C94" s="116"/>
      <c r="D94" s="512" t="str">
        <f>_xlfn.XLOOKUP(E94,'All Products'!D:D,'All Products'!C:C,FALSE)</f>
        <v>406-060</v>
      </c>
      <c r="E94" s="53">
        <v>100022509</v>
      </c>
      <c r="F94" s="522" t="str">
        <f>_xlfn.XLOOKUP(E94,'All Products'!D:D,'All Products'!E:E,FALSE)</f>
        <v>6 90 ELL SLIP X SLIP</v>
      </c>
      <c r="G94" s="282">
        <f>_xlfn.XLOOKUP(E94,'All Products'!D:D,'All Products'!F:F,FALSE)</f>
        <v>1</v>
      </c>
      <c r="H94" s="533">
        <f>_xlfn.XLOOKUP(E94,'All Products'!D:D,'All Products'!G:G,FALSE)</f>
        <v>75</v>
      </c>
      <c r="I94" s="540">
        <f>_xlfn.XLOOKUP(E94,'All Products'!D:D,'All Products'!H:H,FALSE)</f>
        <v>197.23</v>
      </c>
      <c r="J94" s="216">
        <f>ROUND(I94*Order_Quote!$L$4,2)</f>
        <v>986.15</v>
      </c>
      <c r="K94" s="76"/>
      <c r="L94" s="79"/>
      <c r="M94" s="117">
        <f t="shared" si="2"/>
        <v>0</v>
      </c>
      <c r="O94" s="530" t="str">
        <f>_xlfn.XLOOKUP(E94,'All Products'!D:D,'All Products'!I:I,FALSE)</f>
        <v>In Stock</v>
      </c>
      <c r="P94" s="530" t="str">
        <f>_xlfn.XLOOKUP(E94,'All Products'!D:D,'All Products'!J:J,FALSE)</f>
        <v>Manufactured</v>
      </c>
      <c r="Q94" s="543" t="str">
        <f>_xlfn.XLOOKUP(E94,'All Products'!D:D,'All Products'!K:K,FALSE)</f>
        <v>049081141042</v>
      </c>
      <c r="R94" s="543" t="str">
        <f>_xlfn.XLOOKUP(E94,'All Products'!D:D,'All Products'!L:L,FALSE)</f>
        <v>-</v>
      </c>
      <c r="S94" s="543" t="str">
        <f>_xlfn.XLOOKUP(E94,'All Products'!D:D,'All Products'!M:M,FALSE)</f>
        <v>40049081141040</v>
      </c>
      <c r="T94" s="530">
        <f>_xlfn.XLOOKUP(E94,'All Products'!D:D,'All Products'!N:N,FALSE)</f>
        <v>5.5460000000000003</v>
      </c>
      <c r="U94" s="543" t="str">
        <f>_xlfn.XLOOKUP(E94,'All Products'!D:D,'All Products'!O:O,FALSE)</f>
        <v>-</v>
      </c>
      <c r="V94" s="530">
        <f>_xlfn.XLOOKUP(E94,'All Products'!D:D,'All Products'!P:P,FALSE)</f>
        <v>6.54</v>
      </c>
      <c r="W94" s="530">
        <f>_xlfn.XLOOKUP(E94,'All Products'!D:D,'All Products'!Q:Q,FALSE)</f>
        <v>0.95</v>
      </c>
    </row>
    <row r="95" spans="1:23" ht="15" customHeight="1">
      <c r="A95" s="104" t="str">
        <f>IF(K95&gt;0,COUNT($A$7:A94)+COUNT('DWV PVC'!$A$8:$A$284)+COUNT('DWV ABS'!$A$8:$A$116)+1,"")</f>
        <v/>
      </c>
      <c r="B95" s="115"/>
      <c r="C95" s="116"/>
      <c r="D95" s="512" t="str">
        <f>_xlfn.XLOOKUP(E95,'All Products'!D:D,'All Products'!C:C,FALSE)</f>
        <v>406-080</v>
      </c>
      <c r="E95" s="53">
        <v>100022511</v>
      </c>
      <c r="F95" s="522" t="str">
        <f>_xlfn.XLOOKUP(E95,'All Products'!D:D,'All Products'!E:E,FALSE)</f>
        <v>8 90 ELL SLIP X SLIP</v>
      </c>
      <c r="G95" s="282">
        <f>_xlfn.XLOOKUP(E95,'All Products'!D:D,'All Products'!F:F,FALSE)</f>
        <v>2</v>
      </c>
      <c r="H95" s="533">
        <f>_xlfn.XLOOKUP(E95,'All Products'!D:D,'All Products'!G:G,FALSE)</f>
        <v>48</v>
      </c>
      <c r="I95" s="540">
        <f>_xlfn.XLOOKUP(E95,'All Products'!D:D,'All Products'!H:H,FALSE)</f>
        <v>507.78</v>
      </c>
      <c r="J95" s="216">
        <f>ROUND(I95*Order_Quote!$L$4,2)</f>
        <v>2538.9</v>
      </c>
      <c r="K95" s="76"/>
      <c r="L95" s="79"/>
      <c r="M95" s="117">
        <f t="shared" si="2"/>
        <v>0</v>
      </c>
      <c r="O95" s="530" t="str">
        <f>_xlfn.XLOOKUP(E95,'All Products'!D:D,'All Products'!I:I,FALSE)</f>
        <v>In Stock</v>
      </c>
      <c r="P95" s="530" t="str">
        <f>_xlfn.XLOOKUP(E95,'All Products'!D:D,'All Products'!J:J,FALSE)</f>
        <v>Manufactured</v>
      </c>
      <c r="Q95" s="543" t="str">
        <f>_xlfn.XLOOKUP(E95,'All Products'!D:D,'All Products'!K:K,FALSE)</f>
        <v>049081141066</v>
      </c>
      <c r="R95" s="543" t="str">
        <f>_xlfn.XLOOKUP(E95,'All Products'!D:D,'All Products'!L:L,FALSE)</f>
        <v>-</v>
      </c>
      <c r="S95" s="543" t="str">
        <f>_xlfn.XLOOKUP(E95,'All Products'!D:D,'All Products'!M:M,FALSE)</f>
        <v>40049081141064</v>
      </c>
      <c r="T95" s="530">
        <f>_xlfn.XLOOKUP(E95,'All Products'!D:D,'All Products'!N:N,FALSE)</f>
        <v>10.595000000000001</v>
      </c>
      <c r="U95" s="543" t="str">
        <f>_xlfn.XLOOKUP(E95,'All Products'!D:D,'All Products'!O:O,FALSE)</f>
        <v>-</v>
      </c>
      <c r="V95" s="530">
        <f>_xlfn.XLOOKUP(E95,'All Products'!D:D,'All Products'!P:P,FALSE)</f>
        <v>21.69</v>
      </c>
      <c r="W95" s="530">
        <f>_xlfn.XLOOKUP(E95,'All Products'!D:D,'All Products'!Q:Q,FALSE)</f>
        <v>2.77</v>
      </c>
    </row>
    <row r="96" spans="1:23" ht="15" customHeight="1">
      <c r="A96" s="104" t="str">
        <f>IF(K96&gt;0,COUNT($A$7:A95)+COUNT('DWV PVC'!$A$8:$A$284)+COUNT('DWV ABS'!$A$8:$A$116)+1,"")</f>
        <v/>
      </c>
      <c r="B96" s="379"/>
      <c r="C96" s="291"/>
      <c r="D96" s="512" t="str">
        <f>_xlfn.XLOOKUP(E96,'All Products'!D:D,'All Products'!C:C,FALSE)</f>
        <v>406-101</v>
      </c>
      <c r="E96" s="53">
        <v>100022513</v>
      </c>
      <c r="F96" s="522" t="str">
        <f>_xlfn.XLOOKUP(E96,'All Products'!D:D,'All Products'!E:E,FALSE)</f>
        <v>3/4X1/2 90 REDUCING ELL SLIP X SLIP</v>
      </c>
      <c r="G96" s="282">
        <f>_xlfn.XLOOKUP(E96,'All Products'!D:D,'All Products'!F:F,FALSE)</f>
        <v>200</v>
      </c>
      <c r="H96" s="533">
        <f>_xlfn.XLOOKUP(E96,'All Products'!D:D,'All Products'!G:G,FALSE)</f>
        <v>15000</v>
      </c>
      <c r="I96" s="540">
        <f>_xlfn.XLOOKUP(E96,'All Products'!D:D,'All Products'!H:H,FALSE)</f>
        <v>3.2</v>
      </c>
      <c r="J96" s="216">
        <f>ROUND(I96*Order_Quote!$L$4,2)</f>
        <v>16</v>
      </c>
      <c r="K96" s="76"/>
      <c r="L96" s="79"/>
      <c r="M96" s="117">
        <f t="shared" si="2"/>
        <v>0</v>
      </c>
      <c r="O96" s="530" t="str">
        <f>_xlfn.XLOOKUP(E96,'All Products'!D:D,'All Products'!I:I,FALSE)</f>
        <v>Within 3 Weeks</v>
      </c>
      <c r="P96" s="530" t="str">
        <f>_xlfn.XLOOKUP(E96,'All Products'!D:D,'All Products'!J:J,FALSE)</f>
        <v>Manufactured</v>
      </c>
      <c r="Q96" s="543" t="str">
        <f>_xlfn.XLOOKUP(E96,'All Products'!D:D,'All Products'!K:K,FALSE)</f>
        <v>049081140663</v>
      </c>
      <c r="R96" s="543" t="str">
        <f>_xlfn.XLOOKUP(E96,'All Products'!D:D,'All Products'!L:L,FALSE)</f>
        <v>049081640668</v>
      </c>
      <c r="S96" s="543" t="str">
        <f>_xlfn.XLOOKUP(E96,'All Products'!D:D,'All Products'!M:M,FALSE)</f>
        <v>40049081140661</v>
      </c>
      <c r="T96" s="530">
        <f>_xlfn.XLOOKUP(E96,'All Products'!D:D,'All Products'!N:N,FALSE)</f>
        <v>6.8000000000000005E-2</v>
      </c>
      <c r="U96" s="543">
        <f>_xlfn.XLOOKUP(E96,'All Products'!D:D,'All Products'!O:O,FALSE)</f>
        <v>10</v>
      </c>
      <c r="V96" s="530">
        <f>_xlfn.XLOOKUP(E96,'All Products'!D:D,'All Products'!P:P,FALSE)</f>
        <v>14.18</v>
      </c>
      <c r="W96" s="530">
        <f>_xlfn.XLOOKUP(E96,'All Products'!D:D,'All Products'!Q:Q,FALSE)</f>
        <v>0.95</v>
      </c>
    </row>
    <row r="97" spans="1:23" ht="15" customHeight="1">
      <c r="A97" s="104" t="str">
        <f>IF(K97&gt;0,COUNT($A$7:A96)+COUNT('DWV PVC'!$A$8:$A$284)+COUNT('DWV ABS'!$A$8:$A$116)+1,"")</f>
        <v/>
      </c>
      <c r="B97" s="115"/>
      <c r="C97" s="116"/>
      <c r="D97" s="512" t="str">
        <f>_xlfn.XLOOKUP(E97,'All Products'!D:D,'All Products'!C:C,FALSE)</f>
        <v>406-130</v>
      </c>
      <c r="E97" s="53">
        <v>100022515</v>
      </c>
      <c r="F97" s="522" t="str">
        <f>_xlfn.XLOOKUP(E97,'All Products'!D:D,'All Products'!E:E,FALSE)</f>
        <v>1X1/2 90 REDUCING ELL SLIP X SLIP</v>
      </c>
      <c r="G97" s="282">
        <f>_xlfn.XLOOKUP(E97,'All Products'!D:D,'All Products'!F:F,FALSE)</f>
        <v>100</v>
      </c>
      <c r="H97" s="533">
        <f>_xlfn.XLOOKUP(E97,'All Products'!D:D,'All Products'!G:G,FALSE)</f>
        <v>12000</v>
      </c>
      <c r="I97" s="540">
        <f>_xlfn.XLOOKUP(E97,'All Products'!D:D,'All Products'!H:H,FALSE)</f>
        <v>4.78</v>
      </c>
      <c r="J97" s="216">
        <f>ROUND(I97*Order_Quote!$L$4,2)</f>
        <v>23.9</v>
      </c>
      <c r="K97" s="76"/>
      <c r="L97" s="79"/>
      <c r="M97" s="117">
        <f t="shared" si="2"/>
        <v>0</v>
      </c>
      <c r="O97" s="530" t="str">
        <f>_xlfn.XLOOKUP(E97,'All Products'!D:D,'All Products'!I:I,FALSE)</f>
        <v>Within 3 Weeks</v>
      </c>
      <c r="P97" s="530" t="str">
        <f>_xlfn.XLOOKUP(E97,'All Products'!D:D,'All Products'!J:J,FALSE)</f>
        <v>Manufactured</v>
      </c>
      <c r="Q97" s="543" t="str">
        <f>_xlfn.XLOOKUP(E97,'All Products'!D:D,'All Products'!K:K,FALSE)</f>
        <v>049081140724</v>
      </c>
      <c r="R97" s="543" t="str">
        <f>_xlfn.XLOOKUP(E97,'All Products'!D:D,'All Products'!L:L,FALSE)</f>
        <v>049081640729</v>
      </c>
      <c r="S97" s="543" t="str">
        <f>_xlfn.XLOOKUP(E97,'All Products'!D:D,'All Products'!M:M,FALSE)</f>
        <v>40049081140722</v>
      </c>
      <c r="T97" s="530">
        <f>_xlfn.XLOOKUP(E97,'All Products'!D:D,'All Products'!N:N,FALSE)</f>
        <v>9.9000000000000005E-2</v>
      </c>
      <c r="U97" s="543">
        <f>_xlfn.XLOOKUP(E97,'All Products'!D:D,'All Products'!O:O,FALSE)</f>
        <v>10</v>
      </c>
      <c r="V97" s="530">
        <f>_xlfn.XLOOKUP(E97,'All Products'!D:D,'All Products'!P:P,FALSE)</f>
        <v>11.62</v>
      </c>
      <c r="W97" s="530">
        <f>_xlfn.XLOOKUP(E97,'All Products'!D:D,'All Products'!Q:Q,FALSE)</f>
        <v>0.65</v>
      </c>
    </row>
    <row r="98" spans="1:23" ht="15" customHeight="1">
      <c r="A98" s="104" t="str">
        <f>IF(K98&gt;0,COUNT($A$7:A97)+COUNT('DWV PVC'!$A$8:$A$284)+COUNT('DWV ABS'!$A$8:$A$116)+1,"")</f>
        <v/>
      </c>
      <c r="B98" s="115"/>
      <c r="C98" s="116"/>
      <c r="D98" s="512" t="str">
        <f>_xlfn.XLOOKUP(E98,'All Products'!D:D,'All Products'!C:C,FALSE)</f>
        <v>406-131</v>
      </c>
      <c r="E98" s="53">
        <v>100022517</v>
      </c>
      <c r="F98" s="522" t="str">
        <f>_xlfn.XLOOKUP(E98,'All Products'!D:D,'All Products'!E:E,FALSE)</f>
        <v>1X3/4 90 REDUCING ELL SLIP X SLIP</v>
      </c>
      <c r="G98" s="282">
        <f>_xlfn.XLOOKUP(E98,'All Products'!D:D,'All Products'!F:F,FALSE)</f>
        <v>50</v>
      </c>
      <c r="H98" s="533">
        <f>_xlfn.XLOOKUP(E98,'All Products'!D:D,'All Products'!G:G,FALSE)</f>
        <v>7500</v>
      </c>
      <c r="I98" s="540">
        <f>_xlfn.XLOOKUP(E98,'All Products'!D:D,'All Products'!H:H,FALSE)</f>
        <v>5.64</v>
      </c>
      <c r="J98" s="216">
        <f>ROUND(I98*Order_Quote!$L$4,2)</f>
        <v>28.2</v>
      </c>
      <c r="K98" s="76"/>
      <c r="L98" s="79"/>
      <c r="M98" s="117">
        <f t="shared" si="2"/>
        <v>0</v>
      </c>
      <c r="O98" s="530" t="str">
        <f>_xlfn.XLOOKUP(E98,'All Products'!D:D,'All Products'!I:I,FALSE)</f>
        <v>Within 3 Weeks</v>
      </c>
      <c r="P98" s="530" t="str">
        <f>_xlfn.XLOOKUP(E98,'All Products'!D:D,'All Products'!J:J,FALSE)</f>
        <v>Manufactured</v>
      </c>
      <c r="Q98" s="543" t="str">
        <f>_xlfn.XLOOKUP(E98,'All Products'!D:D,'All Products'!K:K,FALSE)</f>
        <v>049081140700</v>
      </c>
      <c r="R98" s="543" t="str">
        <f>_xlfn.XLOOKUP(E98,'All Products'!D:D,'All Products'!L:L,FALSE)</f>
        <v>049081640705</v>
      </c>
      <c r="S98" s="543" t="str">
        <f>_xlfn.XLOOKUP(E98,'All Products'!D:D,'All Products'!M:M,FALSE)</f>
        <v>40049081140708</v>
      </c>
      <c r="T98" s="530">
        <f>_xlfn.XLOOKUP(E98,'All Products'!D:D,'All Products'!N:N,FALSE)</f>
        <v>0.114</v>
      </c>
      <c r="U98" s="543">
        <f>_xlfn.XLOOKUP(E98,'All Products'!D:D,'All Products'!O:O,FALSE)</f>
        <v>10</v>
      </c>
      <c r="V98" s="530">
        <f>_xlfn.XLOOKUP(E98,'All Products'!D:D,'All Products'!P:P,FALSE)</f>
        <v>6.2</v>
      </c>
      <c r="W98" s="530">
        <f>_xlfn.XLOOKUP(E98,'All Products'!D:D,'All Products'!Q:Q,FALSE)</f>
        <v>0.5</v>
      </c>
    </row>
    <row r="99" spans="1:23" ht="15" customHeight="1">
      <c r="A99" s="104" t="str">
        <f>IF(K99&gt;0,COUNT($A$7:A98)+COUNT('DWV PVC'!$A$8:$A$284)+COUNT('DWV ABS'!$A$8:$A$116)+1,"")</f>
        <v/>
      </c>
      <c r="B99" s="380"/>
      <c r="C99" s="292"/>
      <c r="D99" s="512" t="str">
        <f>_xlfn.XLOOKUP(E99,'All Products'!D:D,'All Products'!C:C,FALSE)</f>
        <v>406-251</v>
      </c>
      <c r="E99" s="53">
        <v>100022521</v>
      </c>
      <c r="F99" s="522" t="str">
        <f>_xlfn.XLOOKUP(E99,'All Products'!D:D,'All Products'!E:E,FALSE)</f>
        <v>2X1-1/2 90 REDUCING ELL SLIP X SLIP</v>
      </c>
      <c r="G99" s="282">
        <f>_xlfn.XLOOKUP(E99,'All Products'!D:D,'All Products'!F:F,FALSE)</f>
        <v>25</v>
      </c>
      <c r="H99" s="533">
        <f>_xlfn.XLOOKUP(E99,'All Products'!D:D,'All Products'!G:G,FALSE)</f>
        <v>2250</v>
      </c>
      <c r="I99" s="540">
        <f>_xlfn.XLOOKUP(E99,'All Products'!D:D,'All Products'!H:H,FALSE)</f>
        <v>24.45</v>
      </c>
      <c r="J99" s="216">
        <f>ROUND(I99*Order_Quote!$L$4,2)</f>
        <v>122.25</v>
      </c>
      <c r="K99" s="76"/>
      <c r="L99" s="79"/>
      <c r="M99" s="117">
        <f t="shared" si="2"/>
        <v>0</v>
      </c>
      <c r="O99" s="530" t="str">
        <f>_xlfn.XLOOKUP(E99,'All Products'!D:D,'All Products'!I:I,FALSE)</f>
        <v>Within 3 Weeks</v>
      </c>
      <c r="P99" s="530" t="str">
        <f>_xlfn.XLOOKUP(E99,'All Products'!D:D,'All Products'!J:J,FALSE)</f>
        <v>Manufactured</v>
      </c>
      <c r="Q99" s="543" t="str">
        <f>_xlfn.XLOOKUP(E99,'All Products'!D:D,'All Products'!K:K,FALSE)</f>
        <v>049081140922</v>
      </c>
      <c r="R99" s="543" t="str">
        <f>_xlfn.XLOOKUP(E99,'All Products'!D:D,'All Products'!L:L,FALSE)</f>
        <v>-</v>
      </c>
      <c r="S99" s="543" t="str">
        <f>_xlfn.XLOOKUP(E99,'All Products'!D:D,'All Products'!M:M,FALSE)</f>
        <v>40049081140920</v>
      </c>
      <c r="T99" s="530">
        <f>_xlfn.XLOOKUP(E99,'All Products'!D:D,'All Products'!N:N,FALSE)</f>
        <v>0.434</v>
      </c>
      <c r="U99" s="543" t="str">
        <f>_xlfn.XLOOKUP(E99,'All Products'!D:D,'All Products'!O:O,FALSE)</f>
        <v>-</v>
      </c>
      <c r="V99" s="530">
        <f>_xlfn.XLOOKUP(E99,'All Products'!D:D,'All Products'!P:P,FALSE)</f>
        <v>11.7</v>
      </c>
      <c r="W99" s="530">
        <f>_xlfn.XLOOKUP(E99,'All Products'!D:D,'All Products'!Q:Q,FALSE)</f>
        <v>0.8</v>
      </c>
    </row>
    <row r="100" spans="1:23" ht="15" customHeight="1">
      <c r="A100" s="104" t="str">
        <f>IF(K100&gt;0,COUNT($A$7:A99)+COUNT('DWV PVC'!$A$8:$A$284)+COUNT('DWV ABS'!$A$8:$A$116)+1,"")</f>
        <v/>
      </c>
      <c r="B100" s="579"/>
      <c r="C100" s="580"/>
      <c r="D100" s="512" t="str">
        <f>_xlfn.XLOOKUP(E100,'All Products'!D:D,'All Products'!C:C,FALSE)</f>
        <v>407-005</v>
      </c>
      <c r="E100" s="53">
        <v>100022523</v>
      </c>
      <c r="F100" s="522" t="str">
        <f>_xlfn.XLOOKUP(E100,'All Products'!D:D,'All Products'!E:E,FALSE)</f>
        <v>1/2 90 ELL SLIP X FIPT</v>
      </c>
      <c r="G100" s="282">
        <f>_xlfn.XLOOKUP(E100,'All Products'!D:D,'All Products'!F:F,FALSE)</f>
        <v>250</v>
      </c>
      <c r="H100" s="533">
        <f>_xlfn.XLOOKUP(E100,'All Products'!D:D,'All Products'!G:G,FALSE)</f>
        <v>22500</v>
      </c>
      <c r="I100" s="540">
        <f>_xlfn.XLOOKUP(E100,'All Products'!D:D,'All Products'!H:H,FALSE)</f>
        <v>1.96</v>
      </c>
      <c r="J100" s="216">
        <f>ROUND(I100*Order_Quote!$L$4,2)</f>
        <v>9.8000000000000007</v>
      </c>
      <c r="K100" s="76"/>
      <c r="L100" s="79"/>
      <c r="M100" s="117">
        <f t="shared" si="2"/>
        <v>0</v>
      </c>
      <c r="O100" s="530" t="str">
        <f>_xlfn.XLOOKUP(E100,'All Products'!D:D,'All Products'!I:I,FALSE)</f>
        <v>In Stock</v>
      </c>
      <c r="P100" s="530" t="str">
        <f>_xlfn.XLOOKUP(E100,'All Products'!D:D,'All Products'!J:J,FALSE)</f>
        <v>Manufactured</v>
      </c>
      <c r="Q100" s="543" t="str">
        <f>_xlfn.XLOOKUP(E100,'All Products'!D:D,'All Products'!K:K,FALSE)</f>
        <v>049081141202</v>
      </c>
      <c r="R100" s="543" t="str">
        <f>_xlfn.XLOOKUP(E100,'All Products'!D:D,'All Products'!L:L,FALSE)</f>
        <v>049081641207</v>
      </c>
      <c r="S100" s="543" t="str">
        <f>_xlfn.XLOOKUP(E100,'All Products'!D:D,'All Products'!M:M,FALSE)</f>
        <v>40049081141200</v>
      </c>
      <c r="T100" s="530">
        <f>_xlfn.XLOOKUP(E100,'All Products'!D:D,'All Products'!N:N,FALSE)</f>
        <v>5.7000000000000002E-2</v>
      </c>
      <c r="U100" s="543">
        <f>_xlfn.XLOOKUP(E100,'All Products'!D:D,'All Products'!O:O,FALSE)</f>
        <v>10</v>
      </c>
      <c r="V100" s="530">
        <f>_xlfn.XLOOKUP(E100,'All Products'!D:D,'All Products'!P:P,FALSE)</f>
        <v>15.3</v>
      </c>
      <c r="W100" s="530">
        <f>_xlfn.XLOOKUP(E100,'All Products'!D:D,'All Products'!Q:Q,FALSE)</f>
        <v>0.8</v>
      </c>
    </row>
    <row r="101" spans="1:23" ht="15" customHeight="1">
      <c r="A101" s="104" t="str">
        <f>IF(K101&gt;0,COUNT($A$7:A100)+COUNT('DWV PVC'!$A$8:$A$284)+COUNT('DWV ABS'!$A$8:$A$116)+1,"")</f>
        <v/>
      </c>
      <c r="B101" s="579"/>
      <c r="C101" s="580"/>
      <c r="D101" s="512" t="str">
        <f>_xlfn.XLOOKUP(E101,'All Products'!D:D,'All Products'!C:C,FALSE)</f>
        <v>407-010</v>
      </c>
      <c r="E101" s="53">
        <v>100022527</v>
      </c>
      <c r="F101" s="522" t="str">
        <f>_xlfn.XLOOKUP(E101,'All Products'!D:D,'All Products'!E:E,FALSE)</f>
        <v>1 90 ELL SLIP X FIPT</v>
      </c>
      <c r="G101" s="282">
        <f>_xlfn.XLOOKUP(E101,'All Products'!D:D,'All Products'!F:F,FALSE)</f>
        <v>50</v>
      </c>
      <c r="H101" s="533">
        <f>_xlfn.XLOOKUP(E101,'All Products'!D:D,'All Products'!G:G,FALSE)</f>
        <v>7500</v>
      </c>
      <c r="I101" s="540">
        <f>_xlfn.XLOOKUP(E101,'All Products'!D:D,'All Products'!H:H,FALSE)</f>
        <v>4.25</v>
      </c>
      <c r="J101" s="216">
        <f>ROUND(I101*Order_Quote!$L$4,2)</f>
        <v>21.25</v>
      </c>
      <c r="K101" s="76"/>
      <c r="L101" s="79"/>
      <c r="M101" s="117">
        <f t="shared" si="2"/>
        <v>0</v>
      </c>
      <c r="O101" s="530" t="str">
        <f>_xlfn.XLOOKUP(E101,'All Products'!D:D,'All Products'!I:I,FALSE)</f>
        <v>In Stock</v>
      </c>
      <c r="P101" s="530" t="str">
        <f>_xlfn.XLOOKUP(E101,'All Products'!D:D,'All Products'!J:J,FALSE)</f>
        <v>Manufactured</v>
      </c>
      <c r="Q101" s="543" t="str">
        <f>_xlfn.XLOOKUP(E101,'All Products'!D:D,'All Products'!K:K,FALSE)</f>
        <v>049081141288</v>
      </c>
      <c r="R101" s="543" t="str">
        <f>_xlfn.XLOOKUP(E101,'All Products'!D:D,'All Products'!L:L,FALSE)</f>
        <v>049081641283</v>
      </c>
      <c r="S101" s="543" t="str">
        <f>_xlfn.XLOOKUP(E101,'All Products'!D:D,'All Products'!M:M,FALSE)</f>
        <v>40049081141286</v>
      </c>
      <c r="T101" s="530">
        <f>_xlfn.XLOOKUP(E101,'All Products'!D:D,'All Products'!N:N,FALSE)</f>
        <v>0.16700000000000001</v>
      </c>
      <c r="U101" s="543">
        <f>_xlfn.XLOOKUP(E101,'All Products'!D:D,'All Products'!O:O,FALSE)</f>
        <v>10</v>
      </c>
      <c r="V101" s="530">
        <f>_xlfn.XLOOKUP(E101,'All Products'!D:D,'All Products'!P:P,FALSE)</f>
        <v>9.18</v>
      </c>
      <c r="W101" s="530">
        <f>_xlfn.XLOOKUP(E101,'All Products'!D:D,'All Products'!Q:Q,FALSE)</f>
        <v>0.5</v>
      </c>
    </row>
    <row r="102" spans="1:23" ht="15" customHeight="1">
      <c r="A102" s="104" t="str">
        <f>IF(K102&gt;0,COUNT($A$7:A101)+COUNT('DWV PVC'!$A$8:$A$284)+COUNT('DWV ABS'!$A$8:$A$116)+1,"")</f>
        <v/>
      </c>
      <c r="B102" s="115"/>
      <c r="C102" s="116"/>
      <c r="D102" s="512" t="str">
        <f>_xlfn.XLOOKUP(E102,'All Products'!D:D,'All Products'!C:C,FALSE)</f>
        <v>407-015</v>
      </c>
      <c r="E102" s="53">
        <v>100022531</v>
      </c>
      <c r="F102" s="522" t="str">
        <f>_xlfn.XLOOKUP(E102,'All Products'!D:D,'All Products'!E:E,FALSE)</f>
        <v>1-1/2 90 ELL SLIP X FIPT</v>
      </c>
      <c r="G102" s="282">
        <f>_xlfn.XLOOKUP(E102,'All Products'!D:D,'All Products'!F:F,FALSE)</f>
        <v>25</v>
      </c>
      <c r="H102" s="533">
        <f>_xlfn.XLOOKUP(E102,'All Products'!D:D,'All Products'!G:G,FALSE)</f>
        <v>3000</v>
      </c>
      <c r="I102" s="540">
        <f>_xlfn.XLOOKUP(E102,'All Products'!D:D,'All Products'!H:H,FALSE)</f>
        <v>7.93</v>
      </c>
      <c r="J102" s="216">
        <f>ROUND(I102*Order_Quote!$L$4,2)</f>
        <v>39.65</v>
      </c>
      <c r="K102" s="76"/>
      <c r="L102" s="79"/>
      <c r="M102" s="117">
        <f t="shared" si="2"/>
        <v>0</v>
      </c>
      <c r="O102" s="530" t="str">
        <f>_xlfn.XLOOKUP(E102,'All Products'!D:D,'All Products'!I:I,FALSE)</f>
        <v>Within 3 Weeks</v>
      </c>
      <c r="P102" s="530" t="str">
        <f>_xlfn.XLOOKUP(E102,'All Products'!D:D,'All Products'!J:J,FALSE)</f>
        <v>Manufactured</v>
      </c>
      <c r="Q102" s="543" t="str">
        <f>_xlfn.XLOOKUP(E102,'All Products'!D:D,'All Products'!K:K,FALSE)</f>
        <v>049081141400</v>
      </c>
      <c r="R102" s="543" t="str">
        <f>_xlfn.XLOOKUP(E102,'All Products'!D:D,'All Products'!L:L,FALSE)</f>
        <v>049081641405</v>
      </c>
      <c r="S102" s="543" t="str">
        <f>_xlfn.XLOOKUP(E102,'All Products'!D:D,'All Products'!M:M,FALSE)</f>
        <v>40049081141408</v>
      </c>
      <c r="T102" s="530">
        <f>_xlfn.XLOOKUP(E102,'All Products'!D:D,'All Products'!N:N,FALSE)</f>
        <v>0.32</v>
      </c>
      <c r="U102" s="543">
        <f>_xlfn.XLOOKUP(E102,'All Products'!D:D,'All Products'!O:O,FALSE)</f>
        <v>5</v>
      </c>
      <c r="V102" s="530">
        <f>_xlfn.XLOOKUP(E102,'All Products'!D:D,'All Products'!P:P,FALSE)</f>
        <v>8.5500000000000007</v>
      </c>
      <c r="W102" s="530">
        <f>_xlfn.XLOOKUP(E102,'All Products'!D:D,'All Products'!Q:Q,FALSE)</f>
        <v>0.65</v>
      </c>
    </row>
    <row r="103" spans="1:23" ht="15" customHeight="1">
      <c r="A103" s="104" t="str">
        <f>IF(K103&gt;0,COUNT($A$7:A102)+COUNT('DWV PVC'!$A$8:$A$284)+COUNT('DWV ABS'!$A$8:$A$116)+1,"")</f>
        <v/>
      </c>
      <c r="B103" s="115"/>
      <c r="C103" s="116"/>
      <c r="D103" s="512" t="str">
        <f>_xlfn.XLOOKUP(E103,'All Products'!D:D,'All Products'!C:C,FALSE)</f>
        <v>407-020</v>
      </c>
      <c r="E103" s="53">
        <v>100022533</v>
      </c>
      <c r="F103" s="522" t="str">
        <f>_xlfn.XLOOKUP(E103,'All Products'!D:D,'All Products'!E:E,FALSE)</f>
        <v>2 90 ELL SLIP X FIPT</v>
      </c>
      <c r="G103" s="282">
        <f>_xlfn.XLOOKUP(E103,'All Products'!D:D,'All Products'!F:F,FALSE)</f>
        <v>25</v>
      </c>
      <c r="H103" s="533">
        <f>_xlfn.XLOOKUP(E103,'All Products'!D:D,'All Products'!G:G,FALSE)</f>
        <v>1875</v>
      </c>
      <c r="I103" s="540">
        <f>_xlfn.XLOOKUP(E103,'All Products'!D:D,'All Products'!H:H,FALSE)</f>
        <v>20.38</v>
      </c>
      <c r="J103" s="216">
        <f>ROUND(I103*Order_Quote!$L$4,2)</f>
        <v>101.9</v>
      </c>
      <c r="K103" s="76"/>
      <c r="L103" s="79"/>
      <c r="M103" s="117">
        <f t="shared" si="2"/>
        <v>0</v>
      </c>
      <c r="O103" s="530" t="str">
        <f>_xlfn.XLOOKUP(E103,'All Products'!D:D,'All Products'!I:I,FALSE)</f>
        <v>In Stock</v>
      </c>
      <c r="P103" s="530" t="str">
        <f>_xlfn.XLOOKUP(E103,'All Products'!D:D,'All Products'!J:J,FALSE)</f>
        <v>Manufactured</v>
      </c>
      <c r="Q103" s="543" t="str">
        <f>_xlfn.XLOOKUP(E103,'All Products'!D:D,'All Products'!K:K,FALSE)</f>
        <v>049081141462</v>
      </c>
      <c r="R103" s="543" t="str">
        <f>_xlfn.XLOOKUP(E103,'All Products'!D:D,'All Products'!L:L,FALSE)</f>
        <v>049081641467</v>
      </c>
      <c r="S103" s="543" t="str">
        <f>_xlfn.XLOOKUP(E103,'All Products'!D:D,'All Products'!M:M,FALSE)</f>
        <v>40049081141460</v>
      </c>
      <c r="T103" s="530">
        <f>_xlfn.XLOOKUP(E103,'All Products'!D:D,'All Products'!N:N,FALSE)</f>
        <v>0.47199999999999998</v>
      </c>
      <c r="U103" s="543">
        <f>_xlfn.XLOOKUP(E103,'All Products'!D:D,'All Products'!O:O,FALSE)</f>
        <v>5</v>
      </c>
      <c r="V103" s="530">
        <f>_xlfn.XLOOKUP(E103,'All Products'!D:D,'All Products'!P:P,FALSE)</f>
        <v>12.81</v>
      </c>
      <c r="W103" s="530">
        <f>_xlfn.XLOOKUP(E103,'All Products'!D:D,'All Products'!Q:Q,FALSE)</f>
        <v>1.1000000000000001</v>
      </c>
    </row>
    <row r="104" spans="1:23" ht="15" customHeight="1">
      <c r="A104" s="104" t="str">
        <f>IF(K104&gt;0,COUNT($A$7:A103)+COUNT('DWV PVC'!$A$8:$A$284)+COUNT('DWV ABS'!$A$8:$A$116)+1,"")</f>
        <v/>
      </c>
      <c r="B104" s="115"/>
      <c r="C104" s="116"/>
      <c r="D104" s="512" t="str">
        <f>_xlfn.XLOOKUP(E104,'All Products'!D:D,'All Products'!C:C,FALSE)</f>
        <v>407-030</v>
      </c>
      <c r="E104" s="53">
        <v>100022536</v>
      </c>
      <c r="F104" s="522" t="str">
        <f>_xlfn.XLOOKUP(E104,'All Products'!D:D,'All Products'!E:E,FALSE)</f>
        <v>3 90 ELL SLIP X FIPT</v>
      </c>
      <c r="G104" s="282">
        <f>_xlfn.XLOOKUP(E104,'All Products'!D:D,'All Products'!F:F,FALSE)</f>
        <v>10</v>
      </c>
      <c r="H104" s="533">
        <f>_xlfn.XLOOKUP(E104,'All Products'!D:D,'All Products'!G:G,FALSE)</f>
        <v>750</v>
      </c>
      <c r="I104" s="540">
        <f>_xlfn.XLOOKUP(E104,'All Products'!D:D,'All Products'!H:H,FALSE)</f>
        <v>75.48</v>
      </c>
      <c r="J104" s="216">
        <f>ROUND(I104*Order_Quote!$L$4,2)</f>
        <v>377.4</v>
      </c>
      <c r="K104" s="76"/>
      <c r="L104" s="79"/>
      <c r="M104" s="117">
        <f t="shared" si="2"/>
        <v>0</v>
      </c>
      <c r="O104" s="530" t="str">
        <f>_xlfn.XLOOKUP(E104,'All Products'!D:D,'All Products'!I:I,FALSE)</f>
        <v>In Stock</v>
      </c>
      <c r="P104" s="530" t="str">
        <f>_xlfn.XLOOKUP(E104,'All Products'!D:D,'All Products'!J:J,FALSE)</f>
        <v>Manufactured</v>
      </c>
      <c r="Q104" s="543" t="str">
        <f>_xlfn.XLOOKUP(E104,'All Products'!D:D,'All Products'!K:K,FALSE)</f>
        <v>049081141547</v>
      </c>
      <c r="R104" s="543" t="str">
        <f>_xlfn.XLOOKUP(E104,'All Products'!D:D,'All Products'!L:L,FALSE)</f>
        <v>-</v>
      </c>
      <c r="S104" s="543" t="str">
        <f>_xlfn.XLOOKUP(E104,'All Products'!D:D,'All Products'!M:M,FALSE)</f>
        <v>40049081141545</v>
      </c>
      <c r="T104" s="530">
        <f>_xlfn.XLOOKUP(E104,'All Products'!D:D,'All Products'!N:N,FALSE)</f>
        <v>1.4450000000000001</v>
      </c>
      <c r="U104" s="543" t="str">
        <f>_xlfn.XLOOKUP(E104,'All Products'!D:D,'All Products'!O:O,FALSE)</f>
        <v>-</v>
      </c>
      <c r="V104" s="530">
        <f>_xlfn.XLOOKUP(E104,'All Products'!D:D,'All Products'!P:P,FALSE)</f>
        <v>14.6</v>
      </c>
      <c r="W104" s="530">
        <f>_xlfn.XLOOKUP(E104,'All Products'!D:D,'All Products'!Q:Q,FALSE)</f>
        <v>0.95</v>
      </c>
    </row>
    <row r="105" spans="1:23" ht="15" customHeight="1">
      <c r="A105" s="104" t="str">
        <f>IF(K105&gt;0,COUNT($A$7:A104)+COUNT('DWV PVC'!$A$8:$A$284)+COUNT('DWV ABS'!$A$8:$A$116)+1,"")</f>
        <v/>
      </c>
      <c r="B105" s="380"/>
      <c r="C105" s="292"/>
      <c r="D105" s="512" t="str">
        <f>_xlfn.XLOOKUP(E105,'All Products'!D:D,'All Products'!C:C,FALSE)</f>
        <v>407-040</v>
      </c>
      <c r="E105" s="53">
        <v>100022537</v>
      </c>
      <c r="F105" s="522" t="str">
        <f>_xlfn.XLOOKUP(E105,'All Products'!D:D,'All Products'!E:E,FALSE)</f>
        <v>4 90 ELL SLIP X FIPT</v>
      </c>
      <c r="G105" s="282">
        <f>_xlfn.XLOOKUP(E105,'All Products'!D:D,'All Products'!F:F,FALSE)</f>
        <v>5</v>
      </c>
      <c r="H105" s="533">
        <f>_xlfn.XLOOKUP(E105,'All Products'!D:D,'All Products'!G:G,FALSE)</f>
        <v>375</v>
      </c>
      <c r="I105" s="540">
        <f>_xlfn.XLOOKUP(E105,'All Products'!D:D,'All Products'!H:H,FALSE)</f>
        <v>114.43</v>
      </c>
      <c r="J105" s="216">
        <f>ROUND(I105*Order_Quote!$L$4,2)</f>
        <v>572.15</v>
      </c>
      <c r="K105" s="76"/>
      <c r="L105" s="79"/>
      <c r="M105" s="117">
        <f t="shared" si="2"/>
        <v>0</v>
      </c>
      <c r="O105" s="530" t="str">
        <f>_xlfn.XLOOKUP(E105,'All Products'!D:D,'All Products'!I:I,FALSE)</f>
        <v>In Stock</v>
      </c>
      <c r="P105" s="530" t="str">
        <f>_xlfn.XLOOKUP(E105,'All Products'!D:D,'All Products'!J:J,FALSE)</f>
        <v>Manufactured</v>
      </c>
      <c r="Q105" s="543" t="str">
        <f>_xlfn.XLOOKUP(E105,'All Products'!D:D,'All Products'!K:K,FALSE)</f>
        <v>049081141561</v>
      </c>
      <c r="R105" s="543" t="str">
        <f>_xlfn.XLOOKUP(E105,'All Products'!D:D,'All Products'!L:L,FALSE)</f>
        <v>-</v>
      </c>
      <c r="S105" s="543" t="str">
        <f>_xlfn.XLOOKUP(E105,'All Products'!D:D,'All Products'!M:M,FALSE)</f>
        <v>40049081141569</v>
      </c>
      <c r="T105" s="530">
        <f>_xlfn.XLOOKUP(E105,'All Products'!D:D,'All Products'!N:N,FALSE)</f>
        <v>2.3639999999999999</v>
      </c>
      <c r="U105" s="543" t="str">
        <f>_xlfn.XLOOKUP(E105,'All Products'!D:D,'All Products'!O:O,FALSE)</f>
        <v>-</v>
      </c>
      <c r="V105" s="530">
        <f>_xlfn.XLOOKUP(E105,'All Products'!D:D,'All Products'!P:P,FALSE)</f>
        <v>11.82</v>
      </c>
      <c r="W105" s="530">
        <f>_xlfn.XLOOKUP(E105,'All Products'!D:D,'All Products'!Q:Q,FALSE)</f>
        <v>1.1000000000000001</v>
      </c>
    </row>
    <row r="106" spans="1:23" ht="15" customHeight="1">
      <c r="A106" s="104" t="str">
        <f>IF(K106&gt;0,COUNT($A$7:A105)+COUNT('DWV PVC'!$A$8:$A$284)+COUNT('DWV ABS'!$A$8:$A$116)+1,"")</f>
        <v/>
      </c>
      <c r="B106" s="115"/>
      <c r="C106" s="116"/>
      <c r="D106" s="512" t="str">
        <f>_xlfn.XLOOKUP(E106,'All Products'!D:D,'All Products'!C:C,FALSE)</f>
        <v>407-101</v>
      </c>
      <c r="E106" s="53">
        <v>100022539</v>
      </c>
      <c r="F106" s="522" t="str">
        <f>_xlfn.XLOOKUP(E106,'All Products'!D:D,'All Products'!E:E,FALSE)</f>
        <v>3/4X1/2 90 REDUCING ELL SXFIPT</v>
      </c>
      <c r="G106" s="282">
        <f>_xlfn.XLOOKUP(E106,'All Products'!D:D,'All Products'!F:F,FALSE)</f>
        <v>200</v>
      </c>
      <c r="H106" s="533">
        <f>_xlfn.XLOOKUP(E106,'All Products'!D:D,'All Products'!G:G,FALSE)</f>
        <v>18000</v>
      </c>
      <c r="I106" s="540">
        <f>_xlfn.XLOOKUP(E106,'All Products'!D:D,'All Products'!H:H,FALSE)</f>
        <v>2.37</v>
      </c>
      <c r="J106" s="216">
        <f>ROUND(I106*Order_Quote!$L$4,2)</f>
        <v>11.85</v>
      </c>
      <c r="K106" s="76"/>
      <c r="L106" s="79"/>
      <c r="M106" s="117">
        <f t="shared" si="2"/>
        <v>0</v>
      </c>
      <c r="O106" s="530" t="str">
        <f>_xlfn.XLOOKUP(E106,'All Products'!D:D,'All Products'!I:I,FALSE)</f>
        <v>In Stock</v>
      </c>
      <c r="P106" s="530" t="str">
        <f>_xlfn.XLOOKUP(E106,'All Products'!D:D,'All Products'!J:J,FALSE)</f>
        <v>Manufactured</v>
      </c>
      <c r="Q106" s="543" t="str">
        <f>_xlfn.XLOOKUP(E106,'All Products'!D:D,'All Products'!K:K,FALSE)</f>
        <v>049081141264</v>
      </c>
      <c r="R106" s="543" t="str">
        <f>_xlfn.XLOOKUP(E106,'All Products'!D:D,'All Products'!L:L,FALSE)</f>
        <v>049081641269</v>
      </c>
      <c r="S106" s="543" t="str">
        <f>_xlfn.XLOOKUP(E106,'All Products'!D:D,'All Products'!M:M,FALSE)</f>
        <v>40049081141262</v>
      </c>
      <c r="T106" s="530">
        <f>_xlfn.XLOOKUP(E106,'All Products'!D:D,'All Products'!N:N,FALSE)</f>
        <v>7.3999999999999996E-2</v>
      </c>
      <c r="U106" s="543">
        <f>_xlfn.XLOOKUP(E106,'All Products'!D:D,'All Products'!O:O,FALSE)</f>
        <v>10</v>
      </c>
      <c r="V106" s="530">
        <f>_xlfn.XLOOKUP(E106,'All Products'!D:D,'All Products'!P:P,FALSE)</f>
        <v>14.3</v>
      </c>
      <c r="W106" s="530">
        <f>_xlfn.XLOOKUP(E106,'All Products'!D:D,'All Products'!Q:Q,FALSE)</f>
        <v>0.8</v>
      </c>
    </row>
    <row r="107" spans="1:23" ht="15" customHeight="1">
      <c r="A107" s="104" t="str">
        <f>IF(K107&gt;0,COUNT($A$7:A106)+COUNT('DWV PVC'!$A$8:$A$284)+COUNT('DWV ABS'!$A$8:$A$116)+1,"")</f>
        <v/>
      </c>
      <c r="B107" s="115"/>
      <c r="C107" s="116"/>
      <c r="D107" s="512" t="str">
        <f>_xlfn.XLOOKUP(E107,'All Products'!D:D,'All Products'!C:C,FALSE)</f>
        <v>407-130</v>
      </c>
      <c r="E107" s="53">
        <v>100022541</v>
      </c>
      <c r="F107" s="522" t="str">
        <f>_xlfn.XLOOKUP(E107,'All Products'!D:D,'All Products'!E:E,FALSE)</f>
        <v>1X1/2 90 REDUCING ELL SXFIPT</v>
      </c>
      <c r="G107" s="282">
        <f>_xlfn.XLOOKUP(E107,'All Products'!D:D,'All Products'!F:F,FALSE)</f>
        <v>100</v>
      </c>
      <c r="H107" s="533">
        <f>_xlfn.XLOOKUP(E107,'All Products'!D:D,'All Products'!G:G,FALSE)</f>
        <v>12000</v>
      </c>
      <c r="I107" s="540">
        <f>_xlfn.XLOOKUP(E107,'All Products'!D:D,'All Products'!H:H,FALSE)</f>
        <v>6.53</v>
      </c>
      <c r="J107" s="216">
        <f>ROUND(I107*Order_Quote!$L$4,2)</f>
        <v>32.65</v>
      </c>
      <c r="K107" s="76"/>
      <c r="L107" s="79"/>
      <c r="M107" s="117">
        <f t="shared" si="2"/>
        <v>0</v>
      </c>
      <c r="O107" s="530" t="str">
        <f>_xlfn.XLOOKUP(E107,'All Products'!D:D,'All Products'!I:I,FALSE)</f>
        <v>In Stock</v>
      </c>
      <c r="P107" s="530" t="str">
        <f>_xlfn.XLOOKUP(E107,'All Products'!D:D,'All Products'!J:J,FALSE)</f>
        <v>Manufactured</v>
      </c>
      <c r="Q107" s="543" t="str">
        <f>_xlfn.XLOOKUP(E107,'All Products'!D:D,'All Products'!K:K,FALSE)</f>
        <v>049081141325</v>
      </c>
      <c r="R107" s="543" t="str">
        <f>_xlfn.XLOOKUP(E107,'All Products'!D:D,'All Products'!L:L,FALSE)</f>
        <v>049081641320</v>
      </c>
      <c r="S107" s="543" t="str">
        <f>_xlfn.XLOOKUP(E107,'All Products'!D:D,'All Products'!M:M,FALSE)</f>
        <v>40049081141323</v>
      </c>
      <c r="T107" s="530">
        <f>_xlfn.XLOOKUP(E107,'All Products'!D:D,'All Products'!N:N,FALSE)</f>
        <v>0.104</v>
      </c>
      <c r="U107" s="543">
        <f>_xlfn.XLOOKUP(E107,'All Products'!D:D,'All Products'!O:O,FALSE)</f>
        <v>10</v>
      </c>
      <c r="V107" s="530">
        <f>_xlfn.XLOOKUP(E107,'All Products'!D:D,'All Products'!P:P,FALSE)</f>
        <v>11.31</v>
      </c>
      <c r="W107" s="530">
        <f>_xlfn.XLOOKUP(E107,'All Products'!D:D,'All Products'!Q:Q,FALSE)</f>
        <v>0.65</v>
      </c>
    </row>
    <row r="108" spans="1:23" ht="15" customHeight="1">
      <c r="A108" s="104" t="str">
        <f>IF(K108&gt;0,COUNT($A$7:A107)+COUNT('DWV PVC'!$A$8:$A$284)+COUNT('DWV ABS'!$A$8:$A$116)+1,"")</f>
        <v/>
      </c>
      <c r="B108" s="115"/>
      <c r="C108" s="116"/>
      <c r="D108" s="512" t="str">
        <f>_xlfn.XLOOKUP(E108,'All Products'!D:D,'All Products'!C:C,FALSE)</f>
        <v>407-131</v>
      </c>
      <c r="E108" s="53">
        <v>100022543</v>
      </c>
      <c r="F108" s="522" t="str">
        <f>_xlfn.XLOOKUP(E108,'All Products'!D:D,'All Products'!E:E,FALSE)</f>
        <v>1X3/4 90 REDUCING ELL SXFIPT</v>
      </c>
      <c r="G108" s="282">
        <f>_xlfn.XLOOKUP(E108,'All Products'!D:D,'All Products'!F:F,FALSE)</f>
        <v>50</v>
      </c>
      <c r="H108" s="533">
        <f>_xlfn.XLOOKUP(E108,'All Products'!D:D,'All Products'!G:G,FALSE)</f>
        <v>7500</v>
      </c>
      <c r="I108" s="540">
        <f>_xlfn.XLOOKUP(E108,'All Products'!D:D,'All Products'!H:H,FALSE)</f>
        <v>6.53</v>
      </c>
      <c r="J108" s="216">
        <f>ROUND(I108*Order_Quote!$L$4,2)</f>
        <v>32.65</v>
      </c>
      <c r="K108" s="76"/>
      <c r="L108" s="79"/>
      <c r="M108" s="117">
        <f t="shared" si="2"/>
        <v>0</v>
      </c>
      <c r="O108" s="530" t="str">
        <f>_xlfn.XLOOKUP(E108,'All Products'!D:D,'All Products'!I:I,FALSE)</f>
        <v>In Stock</v>
      </c>
      <c r="P108" s="530" t="str">
        <f>_xlfn.XLOOKUP(E108,'All Products'!D:D,'All Products'!J:J,FALSE)</f>
        <v>Manufactured</v>
      </c>
      <c r="Q108" s="543" t="str">
        <f>_xlfn.XLOOKUP(E108,'All Products'!D:D,'All Products'!K:K,FALSE)</f>
        <v>049081141301</v>
      </c>
      <c r="R108" s="543" t="str">
        <f>_xlfn.XLOOKUP(E108,'All Products'!D:D,'All Products'!L:L,FALSE)</f>
        <v>049081641306</v>
      </c>
      <c r="S108" s="543" t="str">
        <f>_xlfn.XLOOKUP(E108,'All Products'!D:D,'All Products'!M:M,FALSE)</f>
        <v>40049081141309</v>
      </c>
      <c r="T108" s="530">
        <f>_xlfn.XLOOKUP(E108,'All Products'!D:D,'All Products'!N:N,FALSE)</f>
        <v>0.115</v>
      </c>
      <c r="U108" s="543">
        <f>_xlfn.XLOOKUP(E108,'All Products'!D:D,'All Products'!O:O,FALSE)</f>
        <v>10</v>
      </c>
      <c r="V108" s="530">
        <f>_xlfn.XLOOKUP(E108,'All Products'!D:D,'All Products'!P:P,FALSE)</f>
        <v>6.93</v>
      </c>
      <c r="W108" s="530">
        <f>_xlfn.XLOOKUP(E108,'All Products'!D:D,'All Products'!Q:Q,FALSE)</f>
        <v>0.5</v>
      </c>
    </row>
    <row r="109" spans="1:23" ht="15" customHeight="1">
      <c r="A109" s="104" t="str">
        <f>IF(K109&gt;0,COUNT($A$7:A108)+COUNT('DWV PVC'!$A$8:$A$284)+COUNT('DWV ABS'!$A$8:$A$116)+1,"")</f>
        <v/>
      </c>
      <c r="B109" s="380"/>
      <c r="C109" s="292"/>
      <c r="D109" s="512" t="str">
        <f>_xlfn.XLOOKUP(E109,'All Products'!D:D,'All Products'!C:C,FALSE)</f>
        <v>407-211</v>
      </c>
      <c r="E109" s="53">
        <v>100022545</v>
      </c>
      <c r="F109" s="522" t="str">
        <f>_xlfn.XLOOKUP(E109,'All Products'!D:D,'All Products'!E:E,FALSE)</f>
        <v>1-1/2X1 90 REDUCING ELL SLIPXFIPT</v>
      </c>
      <c r="G109" s="282">
        <f>_xlfn.XLOOKUP(E109,'All Products'!D:D,'All Products'!F:F,FALSE)</f>
        <v>25</v>
      </c>
      <c r="H109" s="533">
        <f>_xlfn.XLOOKUP(E109,'All Products'!D:D,'All Products'!G:G,FALSE)</f>
        <v>3000</v>
      </c>
      <c r="I109" s="540">
        <f>_xlfn.XLOOKUP(E109,'All Products'!D:D,'All Products'!H:H,FALSE)</f>
        <v>15.78</v>
      </c>
      <c r="J109" s="216">
        <f>ROUND(I109*Order_Quote!$L$4,2)</f>
        <v>78.900000000000006</v>
      </c>
      <c r="K109" s="76"/>
      <c r="L109" s="79"/>
      <c r="M109" s="117">
        <f t="shared" ref="M109:M149" si="3">K109/G109</f>
        <v>0</v>
      </c>
      <c r="O109" s="530" t="str">
        <f>_xlfn.XLOOKUP(E109,'All Products'!D:D,'All Products'!I:I,FALSE)</f>
        <v>In Stock</v>
      </c>
      <c r="P109" s="530" t="str">
        <f>_xlfn.XLOOKUP(E109,'All Products'!D:D,'All Products'!J:J,FALSE)</f>
        <v>Manufactured</v>
      </c>
      <c r="Q109" s="543" t="str">
        <f>_xlfn.XLOOKUP(E109,'All Products'!D:D,'All Products'!K:K,FALSE)</f>
        <v>049081141448</v>
      </c>
      <c r="R109" s="543" t="str">
        <f>_xlfn.XLOOKUP(E109,'All Products'!D:D,'All Products'!L:L,FALSE)</f>
        <v>049081641443</v>
      </c>
      <c r="S109" s="543" t="str">
        <f>_xlfn.XLOOKUP(E109,'All Products'!D:D,'All Products'!M:M,FALSE)</f>
        <v>40049081141446</v>
      </c>
      <c r="T109" s="530">
        <f>_xlfn.XLOOKUP(E109,'All Products'!D:D,'All Products'!N:N,FALSE)</f>
        <v>0.46300000000000002</v>
      </c>
      <c r="U109" s="543">
        <f>_xlfn.XLOOKUP(E109,'All Products'!D:D,'All Products'!O:O,FALSE)</f>
        <v>5</v>
      </c>
      <c r="V109" s="530">
        <f>_xlfn.XLOOKUP(E109,'All Products'!D:D,'All Products'!P:P,FALSE)</f>
        <v>11.57</v>
      </c>
      <c r="W109" s="530">
        <f>_xlfn.XLOOKUP(E109,'All Products'!D:D,'All Products'!Q:Q,FALSE)</f>
        <v>0.65</v>
      </c>
    </row>
    <row r="110" spans="1:23" ht="15" customHeight="1">
      <c r="A110" s="104" t="str">
        <f>IF(K110&gt;0,COUNT($A$7:A109)+COUNT('DWV PVC'!$A$8:$A$284)+COUNT('DWV ABS'!$A$8:$A$116)+1,"")</f>
        <v/>
      </c>
      <c r="B110" s="379"/>
      <c r="C110" s="291"/>
      <c r="D110" s="512" t="str">
        <f>_xlfn.XLOOKUP(E110,'All Products'!D:D,'All Products'!C:C,FALSE)</f>
        <v>408-005</v>
      </c>
      <c r="E110" s="53">
        <v>100022547</v>
      </c>
      <c r="F110" s="522" t="str">
        <f>_xlfn.XLOOKUP(E110,'All Products'!D:D,'All Products'!E:E,FALSE)</f>
        <v>1/2 90 ELL FIPT X FIPT</v>
      </c>
      <c r="G110" s="282">
        <f>_xlfn.XLOOKUP(E110,'All Products'!D:D,'All Products'!F:F,FALSE)</f>
        <v>250</v>
      </c>
      <c r="H110" s="533">
        <f>_xlfn.XLOOKUP(E110,'All Products'!D:D,'All Products'!G:G,FALSE)</f>
        <v>22500</v>
      </c>
      <c r="I110" s="540">
        <f>_xlfn.XLOOKUP(E110,'All Products'!D:D,'All Products'!H:H,FALSE)</f>
        <v>3.86</v>
      </c>
      <c r="J110" s="216">
        <f>ROUND(I110*Order_Quote!$L$4,2)</f>
        <v>19.3</v>
      </c>
      <c r="K110" s="76"/>
      <c r="L110" s="79"/>
      <c r="M110" s="117">
        <f t="shared" si="3"/>
        <v>0</v>
      </c>
      <c r="O110" s="530" t="str">
        <f>_xlfn.XLOOKUP(E110,'All Products'!D:D,'All Products'!I:I,FALSE)</f>
        <v>In Stock</v>
      </c>
      <c r="P110" s="530" t="str">
        <f>_xlfn.XLOOKUP(E110,'All Products'!D:D,'All Products'!J:J,FALSE)</f>
        <v>Manufactured</v>
      </c>
      <c r="Q110" s="543" t="str">
        <f>_xlfn.XLOOKUP(E110,'All Products'!D:D,'All Products'!K:K,FALSE)</f>
        <v>049081142063</v>
      </c>
      <c r="R110" s="543" t="str">
        <f>_xlfn.XLOOKUP(E110,'All Products'!D:D,'All Products'!L:L,FALSE)</f>
        <v>049081642068</v>
      </c>
      <c r="S110" s="543" t="str">
        <f>_xlfn.XLOOKUP(E110,'All Products'!D:D,'All Products'!M:M,FALSE)</f>
        <v>40049081142061</v>
      </c>
      <c r="T110" s="530">
        <f>_xlfn.XLOOKUP(E110,'All Products'!D:D,'All Products'!N:N,FALSE)</f>
        <v>7.0000000000000007E-2</v>
      </c>
      <c r="U110" s="543">
        <f>_xlfn.XLOOKUP(E110,'All Products'!D:D,'All Products'!O:O,FALSE)</f>
        <v>10</v>
      </c>
      <c r="V110" s="530">
        <f>_xlfn.XLOOKUP(E110,'All Products'!D:D,'All Products'!P:P,FALSE)</f>
        <v>18.53</v>
      </c>
      <c r="W110" s="530">
        <f>_xlfn.XLOOKUP(E110,'All Products'!D:D,'All Products'!Q:Q,FALSE)</f>
        <v>0.8</v>
      </c>
    </row>
    <row r="111" spans="1:23" ht="15" customHeight="1">
      <c r="A111" s="104" t="str">
        <f>IF(K111&gt;0,COUNT($A$7:A110)+COUNT('DWV PVC'!$A$8:$A$284)+COUNT('DWV ABS'!$A$8:$A$116)+1,"")</f>
        <v/>
      </c>
      <c r="B111" s="115"/>
      <c r="C111" s="116"/>
      <c r="D111" s="512" t="str">
        <f>_xlfn.XLOOKUP(E111,'All Products'!D:D,'All Products'!C:C,FALSE)</f>
        <v>408-010</v>
      </c>
      <c r="E111" s="53">
        <v>100022551</v>
      </c>
      <c r="F111" s="522" t="str">
        <f>_xlfn.XLOOKUP(E111,'All Products'!D:D,'All Products'!E:E,FALSE)</f>
        <v>1 90 ELL FIPT X FIPT</v>
      </c>
      <c r="G111" s="282">
        <f>_xlfn.XLOOKUP(E111,'All Products'!D:D,'All Products'!F:F,FALSE)</f>
        <v>50</v>
      </c>
      <c r="H111" s="533">
        <f>_xlfn.XLOOKUP(E111,'All Products'!D:D,'All Products'!G:G,FALSE)</f>
        <v>7500</v>
      </c>
      <c r="I111" s="540">
        <f>_xlfn.XLOOKUP(E111,'All Products'!D:D,'All Products'!H:H,FALSE)</f>
        <v>12.14</v>
      </c>
      <c r="J111" s="216">
        <f>ROUND(I111*Order_Quote!$L$4,2)</f>
        <v>60.7</v>
      </c>
      <c r="K111" s="76"/>
      <c r="L111" s="79"/>
      <c r="M111" s="117">
        <f t="shared" si="3"/>
        <v>0</v>
      </c>
      <c r="O111" s="530" t="str">
        <f>_xlfn.XLOOKUP(E111,'All Products'!D:D,'All Products'!I:I,FALSE)</f>
        <v>In Stock</v>
      </c>
      <c r="P111" s="530" t="str">
        <f>_xlfn.XLOOKUP(E111,'All Products'!D:D,'All Products'!J:J,FALSE)</f>
        <v>Manufactured</v>
      </c>
      <c r="Q111" s="543" t="str">
        <f>_xlfn.XLOOKUP(E111,'All Products'!D:D,'All Products'!K:K,FALSE)</f>
        <v>049081142100</v>
      </c>
      <c r="R111" s="543" t="str">
        <f>_xlfn.XLOOKUP(E111,'All Products'!D:D,'All Products'!L:L,FALSE)</f>
        <v>049081642105</v>
      </c>
      <c r="S111" s="543" t="str">
        <f>_xlfn.XLOOKUP(E111,'All Products'!D:D,'All Products'!M:M,FALSE)</f>
        <v>40049081142108</v>
      </c>
      <c r="T111" s="530">
        <f>_xlfn.XLOOKUP(E111,'All Products'!D:D,'All Products'!N:N,FALSE)</f>
        <v>0.19900000000000001</v>
      </c>
      <c r="U111" s="543">
        <f>_xlfn.XLOOKUP(E111,'All Products'!D:D,'All Products'!O:O,FALSE)</f>
        <v>10</v>
      </c>
      <c r="V111" s="530">
        <f>_xlfn.XLOOKUP(E111,'All Products'!D:D,'All Products'!P:P,FALSE)</f>
        <v>10.35</v>
      </c>
      <c r="W111" s="530">
        <f>_xlfn.XLOOKUP(E111,'All Products'!D:D,'All Products'!Q:Q,FALSE)</f>
        <v>0.5</v>
      </c>
    </row>
    <row r="112" spans="1:23" ht="15" customHeight="1">
      <c r="A112" s="104" t="str">
        <f>IF(K112&gt;0,COUNT($A$7:A111)+COUNT('DWV PVC'!$A$8:$A$284)+COUNT('DWV ABS'!$A$8:$A$116)+1,"")</f>
        <v/>
      </c>
      <c r="B112" s="380"/>
      <c r="C112" s="292"/>
      <c r="D112" s="512" t="str">
        <f>_xlfn.XLOOKUP(E112,'All Products'!D:D,'All Products'!C:C,FALSE)</f>
        <v>408-015</v>
      </c>
      <c r="E112" s="53">
        <v>100022555</v>
      </c>
      <c r="F112" s="522" t="str">
        <f>_xlfn.XLOOKUP(E112,'All Products'!D:D,'All Products'!E:E,FALSE)</f>
        <v>1-1/2 90 ELL FIPT X FIPT</v>
      </c>
      <c r="G112" s="282">
        <f>_xlfn.XLOOKUP(E112,'All Products'!D:D,'All Products'!F:F,FALSE)</f>
        <v>25</v>
      </c>
      <c r="H112" s="533">
        <f>_xlfn.XLOOKUP(E112,'All Products'!D:D,'All Products'!G:G,FALSE)</f>
        <v>3000</v>
      </c>
      <c r="I112" s="540">
        <f>_xlfn.XLOOKUP(E112,'All Products'!D:D,'All Products'!H:H,FALSE)</f>
        <v>16.440000000000001</v>
      </c>
      <c r="J112" s="216">
        <f>ROUND(I112*Order_Quote!$L$4,2)</f>
        <v>82.2</v>
      </c>
      <c r="K112" s="76"/>
      <c r="L112" s="79"/>
      <c r="M112" s="117">
        <f t="shared" si="3"/>
        <v>0</v>
      </c>
      <c r="O112" s="530" t="str">
        <f>_xlfn.XLOOKUP(E112,'All Products'!D:D,'All Products'!I:I,FALSE)</f>
        <v>Within 3 Weeks</v>
      </c>
      <c r="P112" s="530" t="str">
        <f>_xlfn.XLOOKUP(E112,'All Products'!D:D,'All Products'!J:J,FALSE)</f>
        <v>Manufactured</v>
      </c>
      <c r="Q112" s="543" t="str">
        <f>_xlfn.XLOOKUP(E112,'All Products'!D:D,'All Products'!K:K,FALSE)</f>
        <v>049081142148</v>
      </c>
      <c r="R112" s="543" t="str">
        <f>_xlfn.XLOOKUP(E112,'All Products'!D:D,'All Products'!L:L,FALSE)</f>
        <v>049081642143</v>
      </c>
      <c r="S112" s="543" t="str">
        <f>_xlfn.XLOOKUP(E112,'All Products'!D:D,'All Products'!M:M,FALSE)</f>
        <v>40049081142146</v>
      </c>
      <c r="T112" s="530">
        <f>_xlfn.XLOOKUP(E112,'All Products'!D:D,'All Products'!N:N,FALSE)</f>
        <v>0.36599999999999999</v>
      </c>
      <c r="U112" s="543">
        <f>_xlfn.XLOOKUP(E112,'All Products'!D:D,'All Products'!O:O,FALSE)</f>
        <v>5</v>
      </c>
      <c r="V112" s="530">
        <f>_xlfn.XLOOKUP(E112,'All Products'!D:D,'All Products'!P:P,FALSE)</f>
        <v>9.8000000000000007</v>
      </c>
      <c r="W112" s="530">
        <f>_xlfn.XLOOKUP(E112,'All Products'!D:D,'All Products'!Q:Q,FALSE)</f>
        <v>0.65</v>
      </c>
    </row>
    <row r="113" spans="1:23" ht="15" customHeight="1">
      <c r="A113" s="104" t="str">
        <f>IF(K113&gt;0,COUNT($A$7:A112)+COUNT('DWV PVC'!$A$8:$A$284)+COUNT('DWV ABS'!$A$8:$A$116)+1,"")</f>
        <v/>
      </c>
      <c r="B113" s="115"/>
      <c r="C113" s="116"/>
      <c r="D113" s="512" t="str">
        <f>_xlfn.XLOOKUP(E113,'All Products'!D:D,'All Products'!C:C,FALSE)</f>
        <v>409-005</v>
      </c>
      <c r="E113" s="53">
        <v>100022559</v>
      </c>
      <c r="F113" s="522" t="str">
        <f>_xlfn.XLOOKUP(E113,'All Products'!D:D,'All Products'!E:E,FALSE)</f>
        <v>1/2 90 STREET ELL SPGXSLIP</v>
      </c>
      <c r="G113" s="282">
        <f>_xlfn.XLOOKUP(E113,'All Products'!D:D,'All Products'!F:F,FALSE)</f>
        <v>250</v>
      </c>
      <c r="H113" s="533">
        <f>_xlfn.XLOOKUP(E113,'All Products'!D:D,'All Products'!G:G,FALSE)</f>
        <v>22500</v>
      </c>
      <c r="I113" s="540">
        <f>_xlfn.XLOOKUP(E113,'All Products'!D:D,'All Products'!H:H,FALSE)</f>
        <v>4.49</v>
      </c>
      <c r="J113" s="216">
        <f>ROUND(I113*Order_Quote!$L$4,2)</f>
        <v>22.45</v>
      </c>
      <c r="K113" s="76"/>
      <c r="L113" s="79"/>
      <c r="M113" s="117">
        <f t="shared" si="3"/>
        <v>0</v>
      </c>
      <c r="O113" s="530" t="str">
        <f>_xlfn.XLOOKUP(E113,'All Products'!D:D,'All Products'!I:I,FALSE)</f>
        <v>In Stock</v>
      </c>
      <c r="P113" s="530" t="str">
        <f>_xlfn.XLOOKUP(E113,'All Products'!D:D,'All Products'!J:J,FALSE)</f>
        <v>Manufactured</v>
      </c>
      <c r="Q113" s="543" t="str">
        <f>_xlfn.XLOOKUP(E113,'All Products'!D:D,'All Products'!K:K,FALSE)</f>
        <v>049081142322</v>
      </c>
      <c r="R113" s="543" t="str">
        <f>_xlfn.XLOOKUP(E113,'All Products'!D:D,'All Products'!L:L,FALSE)</f>
        <v>049081642327</v>
      </c>
      <c r="S113" s="543" t="str">
        <f>_xlfn.XLOOKUP(E113,'All Products'!D:D,'All Products'!M:M,FALSE)</f>
        <v>40049081142320</v>
      </c>
      <c r="T113" s="530">
        <f>_xlfn.XLOOKUP(E113,'All Products'!D:D,'All Products'!N:N,FALSE)</f>
        <v>4.7E-2</v>
      </c>
      <c r="U113" s="543">
        <f>_xlfn.XLOOKUP(E113,'All Products'!D:D,'All Products'!O:O,FALSE)</f>
        <v>10</v>
      </c>
      <c r="V113" s="530">
        <f>_xlfn.XLOOKUP(E113,'All Products'!D:D,'All Products'!P:P,FALSE)</f>
        <v>14.96</v>
      </c>
      <c r="W113" s="530">
        <f>_xlfn.XLOOKUP(E113,'All Products'!D:D,'All Products'!Q:Q,FALSE)</f>
        <v>0.8</v>
      </c>
    </row>
    <row r="114" spans="1:23" ht="15" customHeight="1">
      <c r="A114" s="104" t="str">
        <f>IF(K114&gt;0,COUNT($A$7:A113)+COUNT('DWV PVC'!$A$8:$A$284)+COUNT('DWV ABS'!$A$8:$A$116)+1,"")</f>
        <v/>
      </c>
      <c r="B114" s="115"/>
      <c r="C114" s="116"/>
      <c r="D114" s="512" t="str">
        <f>_xlfn.XLOOKUP(E114,'All Products'!D:D,'All Products'!C:C,FALSE)</f>
        <v>409-007</v>
      </c>
      <c r="E114" s="53">
        <v>100022561</v>
      </c>
      <c r="F114" s="522" t="str">
        <f>_xlfn.XLOOKUP(E114,'All Products'!D:D,'All Products'!E:E,FALSE)</f>
        <v>3/4 90 STREET ELL SPGXSLIP</v>
      </c>
      <c r="G114" s="282">
        <f>_xlfn.XLOOKUP(E114,'All Products'!D:D,'All Products'!F:F,FALSE)</f>
        <v>150</v>
      </c>
      <c r="H114" s="533">
        <f>_xlfn.XLOOKUP(E114,'All Products'!D:D,'All Products'!G:G,FALSE)</f>
        <v>13500</v>
      </c>
      <c r="I114" s="540">
        <f>_xlfn.XLOOKUP(E114,'All Products'!D:D,'All Products'!H:H,FALSE)</f>
        <v>5.5</v>
      </c>
      <c r="J114" s="216">
        <f>ROUND(I114*Order_Quote!$L$4,2)</f>
        <v>27.5</v>
      </c>
      <c r="K114" s="76"/>
      <c r="L114" s="79"/>
      <c r="M114" s="117">
        <f t="shared" si="3"/>
        <v>0</v>
      </c>
      <c r="O114" s="530" t="str">
        <f>_xlfn.XLOOKUP(E114,'All Products'!D:D,'All Products'!I:I,FALSE)</f>
        <v>In Stock</v>
      </c>
      <c r="P114" s="530" t="str">
        <f>_xlfn.XLOOKUP(E114,'All Products'!D:D,'All Products'!J:J,FALSE)</f>
        <v>Manufactured</v>
      </c>
      <c r="Q114" s="543" t="str">
        <f>_xlfn.XLOOKUP(E114,'All Products'!D:D,'All Products'!K:K,FALSE)</f>
        <v>049081142346</v>
      </c>
      <c r="R114" s="543" t="str">
        <f>_xlfn.XLOOKUP(E114,'All Products'!D:D,'All Products'!L:L,FALSE)</f>
        <v>049081642341</v>
      </c>
      <c r="S114" s="543" t="str">
        <f>_xlfn.XLOOKUP(E114,'All Products'!D:D,'All Products'!M:M,FALSE)</f>
        <v>40049081142344</v>
      </c>
      <c r="T114" s="530">
        <f>_xlfn.XLOOKUP(E114,'All Products'!D:D,'All Products'!N:N,FALSE)</f>
        <v>8.3000000000000004E-2</v>
      </c>
      <c r="U114" s="543">
        <f>_xlfn.XLOOKUP(E114,'All Products'!D:D,'All Products'!O:O,FALSE)</f>
        <v>10</v>
      </c>
      <c r="V114" s="530">
        <f>_xlfn.XLOOKUP(E114,'All Products'!D:D,'All Products'!P:P,FALSE)</f>
        <v>13.25</v>
      </c>
      <c r="W114" s="530">
        <f>_xlfn.XLOOKUP(E114,'All Products'!D:D,'All Products'!Q:Q,FALSE)</f>
        <v>0.8</v>
      </c>
    </row>
    <row r="115" spans="1:23" ht="15" customHeight="1">
      <c r="A115" s="104" t="str">
        <f>IF(K115&gt;0,COUNT($A$7:A114)+COUNT('DWV PVC'!$A$8:$A$284)+COUNT('DWV ABS'!$A$8:$A$116)+1,"")</f>
        <v/>
      </c>
      <c r="B115" s="115"/>
      <c r="C115" s="116"/>
      <c r="D115" s="512" t="str">
        <f>_xlfn.XLOOKUP(E115,'All Products'!D:D,'All Products'!C:C,FALSE)</f>
        <v>409-010</v>
      </c>
      <c r="E115" s="53">
        <v>100022563</v>
      </c>
      <c r="F115" s="522" t="str">
        <f>_xlfn.XLOOKUP(E115,'All Products'!D:D,'All Products'!E:E,FALSE)</f>
        <v>1 90 STREET ELL SPGXSLIP</v>
      </c>
      <c r="G115" s="282">
        <f>_xlfn.XLOOKUP(E115,'All Products'!D:D,'All Products'!F:F,FALSE)</f>
        <v>50</v>
      </c>
      <c r="H115" s="533">
        <f>_xlfn.XLOOKUP(E115,'All Products'!D:D,'All Products'!G:G,FALSE)</f>
        <v>7500</v>
      </c>
      <c r="I115" s="540">
        <f>_xlfn.XLOOKUP(E115,'All Products'!D:D,'All Products'!H:H,FALSE)</f>
        <v>9.5</v>
      </c>
      <c r="J115" s="216">
        <f>ROUND(I115*Order_Quote!$L$4,2)</f>
        <v>47.5</v>
      </c>
      <c r="K115" s="76"/>
      <c r="L115" s="79"/>
      <c r="M115" s="117">
        <f t="shared" si="3"/>
        <v>0</v>
      </c>
      <c r="O115" s="530" t="str">
        <f>_xlfn.XLOOKUP(E115,'All Products'!D:D,'All Products'!I:I,FALSE)</f>
        <v>In Stock</v>
      </c>
      <c r="P115" s="530" t="str">
        <f>_xlfn.XLOOKUP(E115,'All Products'!D:D,'All Products'!J:J,FALSE)</f>
        <v>Manufactured</v>
      </c>
      <c r="Q115" s="543" t="str">
        <f>_xlfn.XLOOKUP(E115,'All Products'!D:D,'All Products'!K:K,FALSE)</f>
        <v>049081142360</v>
      </c>
      <c r="R115" s="543" t="str">
        <f>_xlfn.XLOOKUP(E115,'All Products'!D:D,'All Products'!L:L,FALSE)</f>
        <v>049081642365</v>
      </c>
      <c r="S115" s="543" t="str">
        <f>_xlfn.XLOOKUP(E115,'All Products'!D:D,'All Products'!M:M,FALSE)</f>
        <v>40049081142368</v>
      </c>
      <c r="T115" s="530">
        <f>_xlfn.XLOOKUP(E115,'All Products'!D:D,'All Products'!N:N,FALSE)</f>
        <v>0.13</v>
      </c>
      <c r="U115" s="543">
        <f>_xlfn.XLOOKUP(E115,'All Products'!D:D,'All Products'!O:O,FALSE)</f>
        <v>10</v>
      </c>
      <c r="V115" s="530">
        <f>_xlfn.XLOOKUP(E115,'All Products'!D:D,'All Products'!P:P,FALSE)</f>
        <v>7.17</v>
      </c>
      <c r="W115" s="530">
        <f>_xlfn.XLOOKUP(E115,'All Products'!D:D,'All Products'!Q:Q,FALSE)</f>
        <v>0.5</v>
      </c>
    </row>
    <row r="116" spans="1:23" ht="15" customHeight="1">
      <c r="A116" s="104" t="str">
        <f>IF(K116&gt;0,COUNT($A$7:A115)+COUNT('DWV PVC'!$A$8:$A$284)+COUNT('DWV ABS'!$A$8:$A$116)+1,"")</f>
        <v/>
      </c>
      <c r="B116" s="115"/>
      <c r="C116" s="116"/>
      <c r="D116" s="512" t="str">
        <f>_xlfn.XLOOKUP(E116,'All Products'!D:D,'All Products'!C:C,FALSE)</f>
        <v>409-012</v>
      </c>
      <c r="E116" s="53">
        <v>100022566</v>
      </c>
      <c r="F116" s="522" t="str">
        <f>_xlfn.XLOOKUP(E116,'All Products'!D:D,'All Products'!E:E,FALSE)</f>
        <v>1-1/4 90 STREET ELL SPGXSLIP</v>
      </c>
      <c r="G116" s="282">
        <f>_xlfn.XLOOKUP(E116,'All Products'!D:D,'All Products'!F:F,FALSE)</f>
        <v>50</v>
      </c>
      <c r="H116" s="533">
        <f>_xlfn.XLOOKUP(E116,'All Products'!D:D,'All Products'!G:G,FALSE)</f>
        <v>4500</v>
      </c>
      <c r="I116" s="540">
        <f>_xlfn.XLOOKUP(E116,'All Products'!D:D,'All Products'!H:H,FALSE)</f>
        <v>11.38</v>
      </c>
      <c r="J116" s="216">
        <f>ROUND(I116*Order_Quote!$L$4,2)</f>
        <v>56.9</v>
      </c>
      <c r="K116" s="76"/>
      <c r="L116" s="79"/>
      <c r="M116" s="117">
        <f t="shared" si="3"/>
        <v>0</v>
      </c>
      <c r="O116" s="530" t="str">
        <f>_xlfn.XLOOKUP(E116,'All Products'!D:D,'All Products'!I:I,FALSE)</f>
        <v>Within 3 Weeks</v>
      </c>
      <c r="P116" s="530" t="str">
        <f>_xlfn.XLOOKUP(E116,'All Products'!D:D,'All Products'!J:J,FALSE)</f>
        <v>Manufactured</v>
      </c>
      <c r="Q116" s="543" t="str">
        <f>_xlfn.XLOOKUP(E116,'All Products'!D:D,'All Products'!K:K,FALSE)</f>
        <v>049081142384</v>
      </c>
      <c r="R116" s="543" t="str">
        <f>_xlfn.XLOOKUP(E116,'All Products'!D:D,'All Products'!L:L,FALSE)</f>
        <v>049081642389</v>
      </c>
      <c r="S116" s="543" t="str">
        <f>_xlfn.XLOOKUP(E116,'All Products'!D:D,'All Products'!M:M,FALSE)</f>
        <v>40049081142382</v>
      </c>
      <c r="T116" s="530">
        <f>_xlfn.XLOOKUP(E116,'All Products'!D:D,'All Products'!N:N,FALSE)</f>
        <v>0.224</v>
      </c>
      <c r="U116" s="543">
        <f>_xlfn.XLOOKUP(E116,'All Products'!D:D,'All Products'!O:O,FALSE)</f>
        <v>5</v>
      </c>
      <c r="V116" s="530">
        <f>_xlfn.XLOOKUP(E116,'All Products'!D:D,'All Products'!P:P,FALSE)</f>
        <v>11.85</v>
      </c>
      <c r="W116" s="530">
        <f>_xlfn.XLOOKUP(E116,'All Products'!D:D,'All Products'!Q:Q,FALSE)</f>
        <v>0.8</v>
      </c>
    </row>
    <row r="117" spans="1:23" ht="15" customHeight="1">
      <c r="A117" s="104" t="str">
        <f>IF(K117&gt;0,COUNT($A$7:A116)+COUNT('DWV PVC'!$A$8:$A$284)+COUNT('DWV ABS'!$A$8:$A$116)+1,"")</f>
        <v/>
      </c>
      <c r="B117" s="115"/>
      <c r="C117" s="116"/>
      <c r="D117" s="512" t="str">
        <f>_xlfn.XLOOKUP(E117,'All Products'!D:D,'All Products'!C:C,FALSE)</f>
        <v>409-015</v>
      </c>
      <c r="E117" s="53">
        <v>100022568</v>
      </c>
      <c r="F117" s="522" t="str">
        <f>_xlfn.XLOOKUP(E117,'All Products'!D:D,'All Products'!E:E,FALSE)</f>
        <v>1-1/2 90 STREET ELL SPGXSLIP</v>
      </c>
      <c r="G117" s="282">
        <f>_xlfn.XLOOKUP(E117,'All Products'!D:D,'All Products'!F:F,FALSE)</f>
        <v>50</v>
      </c>
      <c r="H117" s="533">
        <f>_xlfn.XLOOKUP(E117,'All Products'!D:D,'All Products'!G:G,FALSE)</f>
        <v>3750</v>
      </c>
      <c r="I117" s="540">
        <f>_xlfn.XLOOKUP(E117,'All Products'!D:D,'All Products'!H:H,FALSE)</f>
        <v>12.56</v>
      </c>
      <c r="J117" s="216">
        <f>ROUND(I117*Order_Quote!$L$4,2)</f>
        <v>62.8</v>
      </c>
      <c r="K117" s="76"/>
      <c r="L117" s="79"/>
      <c r="M117" s="117">
        <f t="shared" si="3"/>
        <v>0</v>
      </c>
      <c r="O117" s="530" t="str">
        <f>_xlfn.XLOOKUP(E117,'All Products'!D:D,'All Products'!I:I,FALSE)</f>
        <v>In Stock</v>
      </c>
      <c r="P117" s="530" t="str">
        <f>_xlfn.XLOOKUP(E117,'All Products'!D:D,'All Products'!J:J,FALSE)</f>
        <v>Manufactured</v>
      </c>
      <c r="Q117" s="543" t="str">
        <f>_xlfn.XLOOKUP(E117,'All Products'!D:D,'All Products'!K:K,FALSE)</f>
        <v>049081142407</v>
      </c>
      <c r="R117" s="543" t="str">
        <f>_xlfn.XLOOKUP(E117,'All Products'!D:D,'All Products'!L:L,FALSE)</f>
        <v>049081642402</v>
      </c>
      <c r="S117" s="543" t="str">
        <f>_xlfn.XLOOKUP(E117,'All Products'!D:D,'All Products'!M:M,FALSE)</f>
        <v>40049081142405</v>
      </c>
      <c r="T117" s="530">
        <f>_xlfn.XLOOKUP(E117,'All Products'!D:D,'All Products'!N:N,FALSE)</f>
        <v>0.224</v>
      </c>
      <c r="U117" s="543">
        <f>_xlfn.XLOOKUP(E117,'All Products'!D:D,'All Products'!O:O,FALSE)</f>
        <v>5</v>
      </c>
      <c r="V117" s="530">
        <f>_xlfn.XLOOKUP(E117,'All Products'!D:D,'All Products'!P:P,FALSE)</f>
        <v>12.43</v>
      </c>
      <c r="W117" s="530">
        <f>_xlfn.XLOOKUP(E117,'All Products'!D:D,'All Products'!Q:Q,FALSE)</f>
        <v>0.95</v>
      </c>
    </row>
    <row r="118" spans="1:23" ht="15" customHeight="1">
      <c r="A118" s="104" t="str">
        <f>IF(K118&gt;0,COUNT($A$7:A117)+COUNT('DWV PVC'!$A$8:$A$284)+COUNT('DWV ABS'!$A$8:$A$116)+1,"")</f>
        <v/>
      </c>
      <c r="B118" s="115"/>
      <c r="C118" s="116"/>
      <c r="D118" s="512" t="str">
        <f>_xlfn.XLOOKUP(E118,'All Products'!D:D,'All Products'!C:C,FALSE)</f>
        <v>409-020</v>
      </c>
      <c r="E118" s="53">
        <v>100022570</v>
      </c>
      <c r="F118" s="522" t="str">
        <f>_xlfn.XLOOKUP(E118,'All Products'!D:D,'All Products'!E:E,FALSE)</f>
        <v>2 90 STREET ELL SPGXSLIP</v>
      </c>
      <c r="G118" s="282">
        <f>_xlfn.XLOOKUP(E118,'All Products'!D:D,'All Products'!F:F,FALSE)</f>
        <v>20</v>
      </c>
      <c r="H118" s="533">
        <f>_xlfn.XLOOKUP(E118,'All Products'!D:D,'All Products'!G:G,FALSE)</f>
        <v>1800</v>
      </c>
      <c r="I118" s="540">
        <f>_xlfn.XLOOKUP(E118,'All Products'!D:D,'All Products'!H:H,FALSE)</f>
        <v>24.23</v>
      </c>
      <c r="J118" s="216">
        <f>ROUND(I118*Order_Quote!$L$4,2)</f>
        <v>121.15</v>
      </c>
      <c r="K118" s="76"/>
      <c r="L118" s="79"/>
      <c r="M118" s="117">
        <f t="shared" si="3"/>
        <v>0</v>
      </c>
      <c r="O118" s="530" t="str">
        <f>_xlfn.XLOOKUP(E118,'All Products'!D:D,'All Products'!I:I,FALSE)</f>
        <v>In Stock</v>
      </c>
      <c r="P118" s="530" t="str">
        <f>_xlfn.XLOOKUP(E118,'All Products'!D:D,'All Products'!J:J,FALSE)</f>
        <v>Manufactured</v>
      </c>
      <c r="Q118" s="543" t="str">
        <f>_xlfn.XLOOKUP(E118,'All Products'!D:D,'All Products'!K:K,FALSE)</f>
        <v>049081142421</v>
      </c>
      <c r="R118" s="543" t="str">
        <f>_xlfn.XLOOKUP(E118,'All Products'!D:D,'All Products'!L:L,FALSE)</f>
        <v>049081642426</v>
      </c>
      <c r="S118" s="543" t="str">
        <f>_xlfn.XLOOKUP(E118,'All Products'!D:D,'All Products'!M:M,FALSE)</f>
        <v>40049081142429</v>
      </c>
      <c r="T118" s="530">
        <f>_xlfn.XLOOKUP(E118,'All Products'!D:D,'All Products'!N:N,FALSE)</f>
        <v>0.40300000000000002</v>
      </c>
      <c r="U118" s="543">
        <f>_xlfn.XLOOKUP(E118,'All Products'!D:D,'All Products'!O:O,FALSE)</f>
        <v>5</v>
      </c>
      <c r="V118" s="530">
        <f>_xlfn.XLOOKUP(E118,'All Products'!D:D,'All Products'!P:P,FALSE)</f>
        <v>10.1</v>
      </c>
      <c r="W118" s="530">
        <f>_xlfn.XLOOKUP(E118,'All Products'!D:D,'All Products'!Q:Q,FALSE)</f>
        <v>0.8</v>
      </c>
    </row>
    <row r="119" spans="1:23" ht="15" customHeight="1">
      <c r="A119" s="104" t="str">
        <f>IF(K119&gt;0,COUNT($A$7:A118)+COUNT('DWV PVC'!$A$8:$A$284)+COUNT('DWV ABS'!$A$8:$A$116)+1,"")</f>
        <v/>
      </c>
      <c r="B119" s="379"/>
      <c r="C119" s="291"/>
      <c r="D119" s="512" t="str">
        <f>_xlfn.XLOOKUP(E119,'All Products'!D:D,'All Products'!C:C,FALSE)</f>
        <v>410-005</v>
      </c>
      <c r="E119" s="53">
        <v>100022575</v>
      </c>
      <c r="F119" s="522" t="str">
        <f>_xlfn.XLOOKUP(E119,'All Products'!D:D,'All Products'!E:E,FALSE)</f>
        <v>1/2 90 STREET ELL MIPT X SLIP</v>
      </c>
      <c r="G119" s="282">
        <f>_xlfn.XLOOKUP(E119,'All Products'!D:D,'All Products'!F:F,FALSE)</f>
        <v>250</v>
      </c>
      <c r="H119" s="533">
        <f>_xlfn.XLOOKUP(E119,'All Products'!D:D,'All Products'!G:G,FALSE)</f>
        <v>22500</v>
      </c>
      <c r="I119" s="540">
        <f>_xlfn.XLOOKUP(E119,'All Products'!D:D,'All Products'!H:H,FALSE)</f>
        <v>3.48</v>
      </c>
      <c r="J119" s="216">
        <f>ROUND(I119*Order_Quote!$L$4,2)</f>
        <v>17.399999999999999</v>
      </c>
      <c r="K119" s="76"/>
      <c r="L119" s="79"/>
      <c r="M119" s="117">
        <f t="shared" si="3"/>
        <v>0</v>
      </c>
      <c r="O119" s="530" t="str">
        <f>_xlfn.XLOOKUP(E119,'All Products'!D:D,'All Products'!I:I,FALSE)</f>
        <v>Within 3 Weeks</v>
      </c>
      <c r="P119" s="530" t="str">
        <f>_xlfn.XLOOKUP(E119,'All Products'!D:D,'All Products'!J:J,FALSE)</f>
        <v>Manufactured</v>
      </c>
      <c r="Q119" s="543" t="str">
        <f>_xlfn.XLOOKUP(E119,'All Products'!D:D,'All Products'!K:K,FALSE)</f>
        <v>049081141660</v>
      </c>
      <c r="R119" s="543" t="str">
        <f>_xlfn.XLOOKUP(E119,'All Products'!D:D,'All Products'!L:L,FALSE)</f>
        <v>049081641665</v>
      </c>
      <c r="S119" s="543" t="str">
        <f>_xlfn.XLOOKUP(E119,'All Products'!D:D,'All Products'!M:M,FALSE)</f>
        <v>40049081141668</v>
      </c>
      <c r="T119" s="530">
        <f>_xlfn.XLOOKUP(E119,'All Products'!D:D,'All Products'!N:N,FALSE)</f>
        <v>5.8000000000000003E-2</v>
      </c>
      <c r="U119" s="543">
        <f>_xlfn.XLOOKUP(E119,'All Products'!D:D,'All Products'!O:O,FALSE)</f>
        <v>10</v>
      </c>
      <c r="V119" s="530">
        <f>_xlfn.XLOOKUP(E119,'All Products'!D:D,'All Products'!P:P,FALSE)</f>
        <v>15.89</v>
      </c>
      <c r="W119" s="530">
        <f>_xlfn.XLOOKUP(E119,'All Products'!D:D,'All Products'!Q:Q,FALSE)</f>
        <v>0.8</v>
      </c>
    </row>
    <row r="120" spans="1:23" ht="15" customHeight="1">
      <c r="A120" s="104" t="str">
        <f>IF(K120&gt;0,COUNT($A$7:A119)+COUNT('DWV PVC'!$A$8:$A$284)+COUNT('DWV ABS'!$A$8:$A$116)+1,"")</f>
        <v/>
      </c>
      <c r="B120" s="115"/>
      <c r="C120" s="116"/>
      <c r="D120" s="512" t="str">
        <f>_xlfn.XLOOKUP(E120,'All Products'!D:D,'All Products'!C:C,FALSE)</f>
        <v>410-007</v>
      </c>
      <c r="E120" s="53">
        <v>100022577</v>
      </c>
      <c r="F120" s="522" t="str">
        <f>_xlfn.XLOOKUP(E120,'All Products'!D:D,'All Products'!E:E,FALSE)</f>
        <v>3/4 90 STREET ELL MIPT X SLIP</v>
      </c>
      <c r="G120" s="282">
        <f>_xlfn.XLOOKUP(E120,'All Products'!D:D,'All Products'!F:F,FALSE)</f>
        <v>150</v>
      </c>
      <c r="H120" s="533">
        <f>_xlfn.XLOOKUP(E120,'All Products'!D:D,'All Products'!G:G,FALSE)</f>
        <v>13500</v>
      </c>
      <c r="I120" s="540">
        <f>_xlfn.XLOOKUP(E120,'All Products'!D:D,'All Products'!H:H,FALSE)</f>
        <v>4.07</v>
      </c>
      <c r="J120" s="216">
        <f>ROUND(I120*Order_Quote!$L$4,2)</f>
        <v>20.350000000000001</v>
      </c>
      <c r="K120" s="76"/>
      <c r="L120" s="79"/>
      <c r="M120" s="117">
        <f t="shared" si="3"/>
        <v>0</v>
      </c>
      <c r="O120" s="530" t="str">
        <f>_xlfn.XLOOKUP(E120,'All Products'!D:D,'All Products'!I:I,FALSE)</f>
        <v>In Stock</v>
      </c>
      <c r="P120" s="530" t="str">
        <f>_xlfn.XLOOKUP(E120,'All Products'!D:D,'All Products'!J:J,FALSE)</f>
        <v>Manufactured</v>
      </c>
      <c r="Q120" s="543" t="str">
        <f>_xlfn.XLOOKUP(E120,'All Products'!D:D,'All Products'!K:K,FALSE)</f>
        <v>049081141684</v>
      </c>
      <c r="R120" s="543" t="str">
        <f>_xlfn.XLOOKUP(E120,'All Products'!D:D,'All Products'!L:L,FALSE)</f>
        <v>049081641689</v>
      </c>
      <c r="S120" s="543" t="str">
        <f>_xlfn.XLOOKUP(E120,'All Products'!D:D,'All Products'!M:M,FALSE)</f>
        <v>40049081141682</v>
      </c>
      <c r="T120" s="530">
        <f>_xlfn.XLOOKUP(E120,'All Products'!D:D,'All Products'!N:N,FALSE)</f>
        <v>0.08</v>
      </c>
      <c r="U120" s="543">
        <f>_xlfn.XLOOKUP(E120,'All Products'!D:D,'All Products'!O:O,FALSE)</f>
        <v>10</v>
      </c>
      <c r="V120" s="530">
        <f>_xlfn.XLOOKUP(E120,'All Products'!D:D,'All Products'!P:P,FALSE)</f>
        <v>13.05</v>
      </c>
      <c r="W120" s="530">
        <f>_xlfn.XLOOKUP(E120,'All Products'!D:D,'All Products'!Q:Q,FALSE)</f>
        <v>0.8</v>
      </c>
    </row>
    <row r="121" spans="1:23" ht="15" customHeight="1">
      <c r="A121" s="104" t="str">
        <f>IF(K121&gt;0,COUNT($A$7:A120)+COUNT('DWV PVC'!$A$8:$A$284)+COUNT('DWV ABS'!$A$8:$A$116)+1,"")</f>
        <v/>
      </c>
      <c r="B121" s="115"/>
      <c r="C121" s="116"/>
      <c r="D121" s="512" t="str">
        <f>_xlfn.XLOOKUP(E121,'All Products'!D:D,'All Products'!C:C,FALSE)</f>
        <v>410-010</v>
      </c>
      <c r="E121" s="53">
        <v>100022579</v>
      </c>
      <c r="F121" s="522" t="str">
        <f>_xlfn.XLOOKUP(E121,'All Products'!D:D,'All Products'!E:E,FALSE)</f>
        <v>1 90 STREET ELL MIPT X SLIP</v>
      </c>
      <c r="G121" s="282">
        <f>_xlfn.XLOOKUP(E121,'All Products'!D:D,'All Products'!F:F,FALSE)</f>
        <v>50</v>
      </c>
      <c r="H121" s="533">
        <f>_xlfn.XLOOKUP(E121,'All Products'!D:D,'All Products'!G:G,FALSE)</f>
        <v>6000</v>
      </c>
      <c r="I121" s="540">
        <f>_xlfn.XLOOKUP(E121,'All Products'!D:D,'All Products'!H:H,FALSE)</f>
        <v>6.84</v>
      </c>
      <c r="J121" s="216">
        <f>ROUND(I121*Order_Quote!$L$4,2)</f>
        <v>34.200000000000003</v>
      </c>
      <c r="K121" s="76"/>
      <c r="L121" s="79"/>
      <c r="M121" s="117">
        <f t="shared" si="3"/>
        <v>0</v>
      </c>
      <c r="O121" s="530" t="str">
        <f>_xlfn.XLOOKUP(E121,'All Products'!D:D,'All Products'!I:I,FALSE)</f>
        <v>In Stock</v>
      </c>
      <c r="P121" s="530" t="str">
        <f>_xlfn.XLOOKUP(E121,'All Products'!D:D,'All Products'!J:J,FALSE)</f>
        <v>Manufactured</v>
      </c>
      <c r="Q121" s="543" t="str">
        <f>_xlfn.XLOOKUP(E121,'All Products'!D:D,'All Products'!K:K,FALSE)</f>
        <v>049081141707</v>
      </c>
      <c r="R121" s="543" t="str">
        <f>_xlfn.XLOOKUP(E121,'All Products'!D:D,'All Products'!L:L,FALSE)</f>
        <v>049081641702</v>
      </c>
      <c r="S121" s="543" t="str">
        <f>_xlfn.XLOOKUP(E121,'All Products'!D:D,'All Products'!M:M,FALSE)</f>
        <v>40049081141705</v>
      </c>
      <c r="T121" s="530">
        <f>_xlfn.XLOOKUP(E121,'All Products'!D:D,'All Products'!N:N,FALSE)</f>
        <v>0.155</v>
      </c>
      <c r="U121" s="543">
        <f>_xlfn.XLOOKUP(E121,'All Products'!D:D,'All Products'!O:O,FALSE)</f>
        <v>10</v>
      </c>
      <c r="V121" s="530">
        <f>_xlfn.XLOOKUP(E121,'All Products'!D:D,'All Products'!P:P,FALSE)</f>
        <v>12.9</v>
      </c>
      <c r="W121" s="530">
        <f>_xlfn.XLOOKUP(E121,'All Products'!D:D,'All Products'!Q:Q,FALSE)</f>
        <v>0.65</v>
      </c>
    </row>
    <row r="122" spans="1:23" ht="15" customHeight="1">
      <c r="A122" s="104" t="str">
        <f>IF(K122&gt;0,COUNT($A$7:A121)+COUNT('DWV PVC'!$A$8:$A$284)+COUNT('DWV ABS'!$A$8:$A$116)+1,"")</f>
        <v/>
      </c>
      <c r="B122" s="115"/>
      <c r="C122" s="116"/>
      <c r="D122" s="512" t="str">
        <f>_xlfn.XLOOKUP(E122,'All Products'!D:D,'All Products'!C:C,FALSE)</f>
        <v>410-012</v>
      </c>
      <c r="E122" s="53">
        <v>100022581</v>
      </c>
      <c r="F122" s="522" t="str">
        <f>_xlfn.XLOOKUP(E122,'All Products'!D:D,'All Products'!E:E,FALSE)</f>
        <v>1-1/4 90 STREET ELL MIPT X SLIP</v>
      </c>
      <c r="G122" s="282">
        <f>_xlfn.XLOOKUP(E122,'All Products'!D:D,'All Products'!F:F,FALSE)</f>
        <v>50</v>
      </c>
      <c r="H122" s="533">
        <f>_xlfn.XLOOKUP(E122,'All Products'!D:D,'All Products'!G:G,FALSE)</f>
        <v>4500</v>
      </c>
      <c r="I122" s="540">
        <f>_xlfn.XLOOKUP(E122,'All Products'!D:D,'All Products'!H:H,FALSE)</f>
        <v>9.5</v>
      </c>
      <c r="J122" s="216">
        <f>ROUND(I122*Order_Quote!$L$4,2)</f>
        <v>47.5</v>
      </c>
      <c r="K122" s="76"/>
      <c r="L122" s="79"/>
      <c r="M122" s="117">
        <f t="shared" si="3"/>
        <v>0</v>
      </c>
      <c r="O122" s="530" t="str">
        <f>_xlfn.XLOOKUP(E122,'All Products'!D:D,'All Products'!I:I,FALSE)</f>
        <v>In Stock</v>
      </c>
      <c r="P122" s="530" t="str">
        <f>_xlfn.XLOOKUP(E122,'All Products'!D:D,'All Products'!J:J,FALSE)</f>
        <v>Manufactured</v>
      </c>
      <c r="Q122" s="543" t="str">
        <f>_xlfn.XLOOKUP(E122,'All Products'!D:D,'All Products'!K:K,FALSE)</f>
        <v>049081141721</v>
      </c>
      <c r="R122" s="543" t="str">
        <f>_xlfn.XLOOKUP(E122,'All Products'!D:D,'All Products'!L:L,FALSE)</f>
        <v>049081641726</v>
      </c>
      <c r="S122" s="543" t="str">
        <f>_xlfn.XLOOKUP(E122,'All Products'!D:D,'All Products'!M:M,FALSE)</f>
        <v>40049081141729</v>
      </c>
      <c r="T122" s="530">
        <f>_xlfn.XLOOKUP(E122,'All Products'!D:D,'All Products'!N:N,FALSE)</f>
        <v>0.25800000000000001</v>
      </c>
      <c r="U122" s="543">
        <f>_xlfn.XLOOKUP(E122,'All Products'!D:D,'All Products'!O:O,FALSE)</f>
        <v>5</v>
      </c>
      <c r="V122" s="530">
        <f>_xlfn.XLOOKUP(E122,'All Products'!D:D,'All Products'!P:P,FALSE)</f>
        <v>8.65</v>
      </c>
      <c r="W122" s="530">
        <f>_xlfn.XLOOKUP(E122,'All Products'!D:D,'All Products'!Q:Q,FALSE)</f>
        <v>0.8</v>
      </c>
    </row>
    <row r="123" spans="1:23" ht="15" customHeight="1">
      <c r="A123" s="104" t="str">
        <f>IF(K123&gt;0,COUNT($A$7:A122)+COUNT('DWV PVC'!$A$8:$A$284)+COUNT('DWV ABS'!$A$8:$A$116)+1,"")</f>
        <v/>
      </c>
      <c r="B123" s="115"/>
      <c r="C123" s="116"/>
      <c r="D123" s="512" t="str">
        <f>_xlfn.XLOOKUP(E123,'All Products'!D:D,'All Products'!C:C,FALSE)</f>
        <v>410-015</v>
      </c>
      <c r="E123" s="53">
        <v>100022583</v>
      </c>
      <c r="F123" s="522" t="str">
        <f>_xlfn.XLOOKUP(E123,'All Products'!D:D,'All Products'!E:E,FALSE)</f>
        <v>1-1/2 90 STREET ELL MIPT X SLIP</v>
      </c>
      <c r="G123" s="282">
        <f>_xlfn.XLOOKUP(E123,'All Products'!D:D,'All Products'!F:F,FALSE)</f>
        <v>25</v>
      </c>
      <c r="H123" s="533">
        <f>_xlfn.XLOOKUP(E123,'All Products'!D:D,'All Products'!G:G,FALSE)</f>
        <v>3000</v>
      </c>
      <c r="I123" s="540">
        <f>_xlfn.XLOOKUP(E123,'All Products'!D:D,'All Products'!H:H,FALSE)</f>
        <v>9.9600000000000009</v>
      </c>
      <c r="J123" s="216">
        <f>ROUND(I123*Order_Quote!$L$4,2)</f>
        <v>49.8</v>
      </c>
      <c r="K123" s="76"/>
      <c r="L123" s="79"/>
      <c r="M123" s="117">
        <f t="shared" si="3"/>
        <v>0</v>
      </c>
      <c r="O123" s="530" t="str">
        <f>_xlfn.XLOOKUP(E123,'All Products'!D:D,'All Products'!I:I,FALSE)</f>
        <v>Within 3 Weeks</v>
      </c>
      <c r="P123" s="530" t="str">
        <f>_xlfn.XLOOKUP(E123,'All Products'!D:D,'All Products'!J:J,FALSE)</f>
        <v>Manufactured</v>
      </c>
      <c r="Q123" s="543" t="str">
        <f>_xlfn.XLOOKUP(E123,'All Products'!D:D,'All Products'!K:K,FALSE)</f>
        <v>049081141745</v>
      </c>
      <c r="R123" s="543" t="str">
        <f>_xlfn.XLOOKUP(E123,'All Products'!D:D,'All Products'!L:L,FALSE)</f>
        <v>049081641740</v>
      </c>
      <c r="S123" s="543" t="str">
        <f>_xlfn.XLOOKUP(E123,'All Products'!D:D,'All Products'!M:M,FALSE)</f>
        <v>40049081141743</v>
      </c>
      <c r="T123" s="530">
        <f>_xlfn.XLOOKUP(E123,'All Products'!D:D,'All Products'!N:N,FALSE)</f>
        <v>0.316</v>
      </c>
      <c r="U123" s="543">
        <f>_xlfn.XLOOKUP(E123,'All Products'!D:D,'All Products'!O:O,FALSE)</f>
        <v>5</v>
      </c>
      <c r="V123" s="530">
        <f>_xlfn.XLOOKUP(E123,'All Products'!D:D,'All Products'!P:P,FALSE)</f>
        <v>8.65</v>
      </c>
      <c r="W123" s="530">
        <f>_xlfn.XLOOKUP(E123,'All Products'!D:D,'All Products'!Q:Q,FALSE)</f>
        <v>0.65</v>
      </c>
    </row>
    <row r="124" spans="1:23" ht="15" customHeight="1">
      <c r="A124" s="104" t="str">
        <f>IF(K124&gt;0,COUNT($A$7:A123)+COUNT('DWV PVC'!$A$8:$A$284)+COUNT('DWV ABS'!$A$8:$A$116)+1,"")</f>
        <v/>
      </c>
      <c r="B124" s="380"/>
      <c r="C124" s="292"/>
      <c r="D124" s="512" t="str">
        <f>_xlfn.XLOOKUP(E124,'All Products'!D:D,'All Products'!C:C,FALSE)</f>
        <v>410-020</v>
      </c>
      <c r="E124" s="53">
        <v>100022585</v>
      </c>
      <c r="F124" s="522" t="str">
        <f>_xlfn.XLOOKUP(E124,'All Products'!D:D,'All Products'!E:E,FALSE)</f>
        <v>2 90 STREET ELL MIPT X SLIP</v>
      </c>
      <c r="G124" s="282">
        <f>_xlfn.XLOOKUP(E124,'All Products'!D:D,'All Products'!F:F,FALSE)</f>
        <v>20</v>
      </c>
      <c r="H124" s="533">
        <f>_xlfn.XLOOKUP(E124,'All Products'!D:D,'All Products'!G:G,FALSE)</f>
        <v>1800</v>
      </c>
      <c r="I124" s="540">
        <f>_xlfn.XLOOKUP(E124,'All Products'!D:D,'All Products'!H:H,FALSE)</f>
        <v>24.51</v>
      </c>
      <c r="J124" s="216">
        <f>ROUND(I124*Order_Quote!$L$4,2)</f>
        <v>122.55</v>
      </c>
      <c r="K124" s="76"/>
      <c r="L124" s="79"/>
      <c r="M124" s="117">
        <f t="shared" si="3"/>
        <v>0</v>
      </c>
      <c r="O124" s="530" t="str">
        <f>_xlfn.XLOOKUP(E124,'All Products'!D:D,'All Products'!I:I,FALSE)</f>
        <v>In Stock</v>
      </c>
      <c r="P124" s="530" t="str">
        <f>_xlfn.XLOOKUP(E124,'All Products'!D:D,'All Products'!J:J,FALSE)</f>
        <v>Manufactured</v>
      </c>
      <c r="Q124" s="543" t="str">
        <f>_xlfn.XLOOKUP(E124,'All Products'!D:D,'All Products'!K:K,FALSE)</f>
        <v>049081141769</v>
      </c>
      <c r="R124" s="543" t="str">
        <f>_xlfn.XLOOKUP(E124,'All Products'!D:D,'All Products'!L:L,FALSE)</f>
        <v>049081641764</v>
      </c>
      <c r="S124" s="543" t="str">
        <f>_xlfn.XLOOKUP(E124,'All Products'!D:D,'All Products'!M:M,FALSE)</f>
        <v>40049081141767</v>
      </c>
      <c r="T124" s="530">
        <f>_xlfn.XLOOKUP(E124,'All Products'!D:D,'All Products'!N:N,FALSE)</f>
        <v>0.47599999999999998</v>
      </c>
      <c r="U124" s="543">
        <f>_xlfn.XLOOKUP(E124,'All Products'!D:D,'All Products'!O:O,FALSE)</f>
        <v>5</v>
      </c>
      <c r="V124" s="530">
        <f>_xlfn.XLOOKUP(E124,'All Products'!D:D,'All Products'!P:P,FALSE)</f>
        <v>10.25</v>
      </c>
      <c r="W124" s="530">
        <f>_xlfn.XLOOKUP(E124,'All Products'!D:D,'All Products'!Q:Q,FALSE)</f>
        <v>0.8</v>
      </c>
    </row>
    <row r="125" spans="1:23" ht="66.75" customHeight="1">
      <c r="A125" s="104" t="str">
        <f>IF(K125&gt;0,COUNT($A$7:A124)+COUNT('DWV PVC'!$A$8:$A$284)+COUNT('DWV ABS'!$A$8:$A$116)+1,"")</f>
        <v/>
      </c>
      <c r="B125" s="382"/>
      <c r="C125" s="196"/>
      <c r="D125" s="512" t="str">
        <f>_xlfn.XLOOKUP(E125,'All Products'!D:D,'All Products'!C:C,FALSE)</f>
        <v>410-102</v>
      </c>
      <c r="E125" s="53">
        <v>100022588</v>
      </c>
      <c r="F125" s="522" t="str">
        <f>_xlfn.XLOOKUP(E125,'All Products'!D:D,'All Products'!E:E,FALSE)</f>
        <v>3/4X1 90 RED STREET ELL MIPTXSLIP</v>
      </c>
      <c r="G125" s="282">
        <f>_xlfn.XLOOKUP(E125,'All Products'!D:D,'All Products'!F:F,FALSE)</f>
        <v>100</v>
      </c>
      <c r="H125" s="533">
        <f>_xlfn.XLOOKUP(E125,'All Products'!D:D,'All Products'!G:G,FALSE)</f>
        <v>9000</v>
      </c>
      <c r="I125" s="540">
        <f>_xlfn.XLOOKUP(E125,'All Products'!D:D,'All Products'!H:H,FALSE)</f>
        <v>8.44</v>
      </c>
      <c r="J125" s="216">
        <f>ROUND(I125*Order_Quote!$L$4,2)</f>
        <v>42.2</v>
      </c>
      <c r="K125" s="76"/>
      <c r="L125" s="79"/>
      <c r="M125" s="117">
        <f t="shared" si="3"/>
        <v>0</v>
      </c>
      <c r="O125" s="530" t="str">
        <f>_xlfn.XLOOKUP(E125,'All Products'!D:D,'All Products'!I:I,FALSE)</f>
        <v>In Stock</v>
      </c>
      <c r="P125" s="530" t="str">
        <f>_xlfn.XLOOKUP(E125,'All Products'!D:D,'All Products'!J:J,FALSE)</f>
        <v>Manufactured</v>
      </c>
      <c r="Q125" s="543" t="str">
        <f>_xlfn.XLOOKUP(E125,'All Products'!D:D,'All Products'!K:K,FALSE)</f>
        <v>049081141646</v>
      </c>
      <c r="R125" s="543" t="str">
        <f>_xlfn.XLOOKUP(E125,'All Products'!D:D,'All Products'!L:L,FALSE)</f>
        <v>049081641641</v>
      </c>
      <c r="S125" s="543" t="str">
        <f>_xlfn.XLOOKUP(E125,'All Products'!D:D,'All Products'!M:M,FALSE)</f>
        <v>40049081141644</v>
      </c>
      <c r="T125" s="530">
        <f>_xlfn.XLOOKUP(E125,'All Products'!D:D,'All Products'!N:N,FALSE)</f>
        <v>0.15</v>
      </c>
      <c r="U125" s="543">
        <f>_xlfn.XLOOKUP(E125,'All Products'!D:D,'All Products'!O:O,FALSE)</f>
        <v>10</v>
      </c>
      <c r="V125" s="530">
        <f>_xlfn.XLOOKUP(E125,'All Products'!D:D,'All Products'!P:P,FALSE)</f>
        <v>15.67</v>
      </c>
      <c r="W125" s="530">
        <f>_xlfn.XLOOKUP(E125,'All Products'!D:D,'All Products'!Q:Q,FALSE)</f>
        <v>0.8</v>
      </c>
    </row>
    <row r="126" spans="1:23" ht="66" customHeight="1">
      <c r="A126" s="104" t="str">
        <f>IF(K126&gt;0,COUNT($A$7:A125)+COUNT('DWV PVC'!$A$8:$A$284)+COUNT('DWV ABS'!$A$8:$A$116)+1,"")</f>
        <v/>
      </c>
      <c r="B126" s="382"/>
      <c r="C126" s="196"/>
      <c r="D126" s="512" t="str">
        <f>_xlfn.XLOOKUP(E126,'All Products'!D:D,'All Products'!C:C,FALSE)</f>
        <v>411-010</v>
      </c>
      <c r="E126" s="53">
        <v>100022595</v>
      </c>
      <c r="F126" s="522" t="str">
        <f>_xlfn.XLOOKUP(E126,'All Products'!D:D,'All Products'!E:E,FALSE)</f>
        <v>1 90 STREET ELL SPGXFIPT</v>
      </c>
      <c r="G126" s="282">
        <f>_xlfn.XLOOKUP(E126,'All Products'!D:D,'All Products'!F:F,FALSE)</f>
        <v>50</v>
      </c>
      <c r="H126" s="533">
        <f>_xlfn.XLOOKUP(E126,'All Products'!D:D,'All Products'!G:G,FALSE)</f>
        <v>7500</v>
      </c>
      <c r="I126" s="540">
        <f>_xlfn.XLOOKUP(E126,'All Products'!D:D,'All Products'!H:H,FALSE)</f>
        <v>9.11</v>
      </c>
      <c r="J126" s="216">
        <f>ROUND(I126*Order_Quote!$L$4,2)</f>
        <v>45.55</v>
      </c>
      <c r="K126" s="76"/>
      <c r="L126" s="79"/>
      <c r="M126" s="117">
        <f t="shared" si="3"/>
        <v>0</v>
      </c>
      <c r="O126" s="530" t="str">
        <f>_xlfn.XLOOKUP(E126,'All Products'!D:D,'All Products'!I:I,FALSE)</f>
        <v>Within 3 Weeks</v>
      </c>
      <c r="P126" s="530" t="str">
        <f>_xlfn.XLOOKUP(E126,'All Products'!D:D,'All Products'!J:J,FALSE)</f>
        <v>Manufactured</v>
      </c>
      <c r="Q126" s="543" t="str">
        <f>_xlfn.XLOOKUP(E126,'All Products'!D:D,'All Products'!K:K,FALSE)</f>
        <v>049081142568</v>
      </c>
      <c r="R126" s="543" t="str">
        <f>_xlfn.XLOOKUP(E126,'All Products'!D:D,'All Products'!L:L,FALSE)</f>
        <v>049081642563</v>
      </c>
      <c r="S126" s="543" t="str">
        <f>_xlfn.XLOOKUP(E126,'All Products'!D:D,'All Products'!M:M,FALSE)</f>
        <v>40049081142566</v>
      </c>
      <c r="T126" s="530">
        <f>_xlfn.XLOOKUP(E126,'All Products'!D:D,'All Products'!N:N,FALSE)</f>
        <v>0.13200000000000001</v>
      </c>
      <c r="U126" s="543">
        <f>_xlfn.XLOOKUP(E126,'All Products'!D:D,'All Products'!O:O,FALSE)</f>
        <v>10</v>
      </c>
      <c r="V126" s="530">
        <f>_xlfn.XLOOKUP(E126,'All Products'!D:D,'All Products'!P:P,FALSE)</f>
        <v>7.48</v>
      </c>
      <c r="W126" s="530">
        <f>_xlfn.XLOOKUP(E126,'All Products'!D:D,'All Products'!Q:Q,FALSE)</f>
        <v>0.5</v>
      </c>
    </row>
    <row r="127" spans="1:23" ht="15" customHeight="1">
      <c r="A127" s="104" t="str">
        <f>IF(K127&gt;0,COUNT($A$7:A126)+COUNT('DWV PVC'!$A$8:$A$284)+COUNT('DWV ABS'!$A$8:$A$116)+1,"")</f>
        <v/>
      </c>
      <c r="B127" s="115"/>
      <c r="C127" s="116"/>
      <c r="D127" s="512" t="str">
        <f>_xlfn.XLOOKUP(E127,'All Products'!D:D,'All Products'!C:C,FALSE)</f>
        <v>412-005</v>
      </c>
      <c r="E127" s="53">
        <v>100022601</v>
      </c>
      <c r="F127" s="522" t="str">
        <f>_xlfn.XLOOKUP(E127,'All Products'!D:D,'All Products'!E:E,FALSE)</f>
        <v>1/2 90 STREET ELL MIPT X FIPT</v>
      </c>
      <c r="G127" s="282">
        <f>_xlfn.XLOOKUP(E127,'All Products'!D:D,'All Products'!F:F,FALSE)</f>
        <v>250</v>
      </c>
      <c r="H127" s="533">
        <f>_xlfn.XLOOKUP(E127,'All Products'!D:D,'All Products'!G:G,FALSE)</f>
        <v>30000</v>
      </c>
      <c r="I127" s="540">
        <f>_xlfn.XLOOKUP(E127,'All Products'!D:D,'All Products'!H:H,FALSE)</f>
        <v>4.67</v>
      </c>
      <c r="J127" s="216">
        <f>ROUND(I127*Order_Quote!$L$4,2)</f>
        <v>23.35</v>
      </c>
      <c r="K127" s="76"/>
      <c r="L127" s="79"/>
      <c r="M127" s="117">
        <f t="shared" si="3"/>
        <v>0</v>
      </c>
      <c r="O127" s="530" t="str">
        <f>_xlfn.XLOOKUP(E127,'All Products'!D:D,'All Products'!I:I,FALSE)</f>
        <v>In Stock</v>
      </c>
      <c r="P127" s="530" t="str">
        <f>_xlfn.XLOOKUP(E127,'All Products'!D:D,'All Products'!J:J,FALSE)</f>
        <v>Manufactured</v>
      </c>
      <c r="Q127" s="543" t="str">
        <f>_xlfn.XLOOKUP(E127,'All Products'!D:D,'All Products'!K:K,FALSE)</f>
        <v>049081141868</v>
      </c>
      <c r="R127" s="543" t="str">
        <f>_xlfn.XLOOKUP(E127,'All Products'!D:D,'All Products'!L:L,FALSE)</f>
        <v>049081641863</v>
      </c>
      <c r="S127" s="543" t="str">
        <f>_xlfn.XLOOKUP(E127,'All Products'!D:D,'All Products'!M:M,FALSE)</f>
        <v>40049081141866</v>
      </c>
      <c r="T127" s="530">
        <f>_xlfn.XLOOKUP(E127,'All Products'!D:D,'All Products'!N:N,FALSE)</f>
        <v>3.7999999999999999E-2</v>
      </c>
      <c r="U127" s="543">
        <f>_xlfn.XLOOKUP(E127,'All Products'!D:D,'All Products'!O:O,FALSE)</f>
        <v>10</v>
      </c>
      <c r="V127" s="530">
        <f>_xlfn.XLOOKUP(E127,'All Products'!D:D,'All Products'!P:P,FALSE)</f>
        <v>11.44</v>
      </c>
      <c r="W127" s="530">
        <f>_xlfn.XLOOKUP(E127,'All Products'!D:D,'All Products'!Q:Q,FALSE)</f>
        <v>0.65</v>
      </c>
    </row>
    <row r="128" spans="1:23" ht="15" customHeight="1">
      <c r="A128" s="104" t="str">
        <f>IF(K128&gt;0,COUNT($A$7:A127)+COUNT('DWV PVC'!$A$8:$A$284)+COUNT('DWV ABS'!$A$8:$A$116)+1,"")</f>
        <v/>
      </c>
      <c r="B128" s="115"/>
      <c r="C128" s="116"/>
      <c r="D128" s="512" t="str">
        <f>_xlfn.XLOOKUP(E128,'All Products'!D:D,'All Products'!C:C,FALSE)</f>
        <v>412-006</v>
      </c>
      <c r="E128" s="53">
        <v>100022603</v>
      </c>
      <c r="F128" s="522" t="str">
        <f>_xlfn.XLOOKUP(E128,'All Products'!D:D,'All Products'!E:E,FALSE)</f>
        <v>1/2 90 STREET ELL MIPT XFIPT MARLEX</v>
      </c>
      <c r="G128" s="282">
        <f>_xlfn.XLOOKUP(E128,'All Products'!D:D,'All Products'!F:F,FALSE)</f>
        <v>250</v>
      </c>
      <c r="H128" s="533">
        <f>_xlfn.XLOOKUP(E128,'All Products'!D:D,'All Products'!G:G,FALSE)</f>
        <v>37500</v>
      </c>
      <c r="I128" s="540">
        <f>_xlfn.XLOOKUP(E128,'All Products'!D:D,'All Products'!H:H,FALSE)</f>
        <v>3.9</v>
      </c>
      <c r="J128" s="216">
        <f>ROUND(I128*Order_Quote!$L$4,2)</f>
        <v>19.5</v>
      </c>
      <c r="K128" s="76"/>
      <c r="L128" s="79"/>
      <c r="M128" s="117">
        <f t="shared" si="3"/>
        <v>0</v>
      </c>
      <c r="O128" s="530" t="str">
        <f>_xlfn.XLOOKUP(E128,'All Products'!D:D,'All Products'!I:I,FALSE)</f>
        <v>In Stock</v>
      </c>
      <c r="P128" s="530" t="str">
        <f>_xlfn.XLOOKUP(E128,'All Products'!D:D,'All Products'!J:J,FALSE)</f>
        <v>Manufactured</v>
      </c>
      <c r="Q128" s="543" t="str">
        <f>_xlfn.XLOOKUP(E128,'All Products'!D:D,'All Products'!K:K,FALSE)</f>
        <v>049081141875</v>
      </c>
      <c r="R128" s="543" t="str">
        <f>_xlfn.XLOOKUP(E128,'All Products'!D:D,'All Products'!L:L,FALSE)</f>
        <v>049081641870</v>
      </c>
      <c r="S128" s="543" t="str">
        <f>_xlfn.XLOOKUP(E128,'All Products'!D:D,'All Products'!M:M,FALSE)</f>
        <v>40049081141873</v>
      </c>
      <c r="T128" s="530">
        <f>_xlfn.XLOOKUP(E128,'All Products'!D:D,'All Products'!N:N,FALSE)</f>
        <v>3.2000000000000001E-2</v>
      </c>
      <c r="U128" s="543">
        <f>_xlfn.XLOOKUP(E128,'All Products'!D:D,'All Products'!O:O,FALSE)</f>
        <v>10</v>
      </c>
      <c r="V128" s="530">
        <f>_xlfn.XLOOKUP(E128,'All Products'!D:D,'All Products'!P:P,FALSE)</f>
        <v>8.6999999999999993</v>
      </c>
      <c r="W128" s="530">
        <f>_xlfn.XLOOKUP(E128,'All Products'!D:D,'All Products'!Q:Q,FALSE)</f>
        <v>0.5</v>
      </c>
    </row>
    <row r="129" spans="1:23" ht="15" customHeight="1">
      <c r="A129" s="104" t="str">
        <f>IF(K129&gt;0,COUNT($A$7:A128)+COUNT('DWV PVC'!$A$8:$A$284)+COUNT('DWV ABS'!$A$8:$A$116)+1,"")</f>
        <v/>
      </c>
      <c r="B129" s="115"/>
      <c r="C129" s="116"/>
      <c r="D129" s="512" t="str">
        <f>_xlfn.XLOOKUP(E129,'All Products'!D:D,'All Products'!C:C,FALSE)</f>
        <v>412-008</v>
      </c>
      <c r="E129" s="53">
        <v>100022605</v>
      </c>
      <c r="F129" s="522" t="str">
        <f>_xlfn.XLOOKUP(E129,'All Products'!D:D,'All Products'!E:E,FALSE)</f>
        <v>3/4 90 STREET ELL MIPT XFIPT MARLEX</v>
      </c>
      <c r="G129" s="282">
        <f>_xlfn.XLOOKUP(E129,'All Products'!D:D,'All Products'!F:F,FALSE)</f>
        <v>250</v>
      </c>
      <c r="H129" s="533">
        <f>_xlfn.XLOOKUP(E129,'All Products'!D:D,'All Products'!G:G,FALSE)</f>
        <v>18750</v>
      </c>
      <c r="I129" s="540">
        <f>_xlfn.XLOOKUP(E129,'All Products'!D:D,'All Products'!H:H,FALSE)</f>
        <v>4.7</v>
      </c>
      <c r="J129" s="216">
        <f>ROUND(I129*Order_Quote!$L$4,2)</f>
        <v>23.5</v>
      </c>
      <c r="K129" s="76"/>
      <c r="L129" s="79"/>
      <c r="M129" s="117">
        <f t="shared" si="3"/>
        <v>0</v>
      </c>
      <c r="O129" s="530" t="str">
        <f>_xlfn.XLOOKUP(E129,'All Products'!D:D,'All Products'!I:I,FALSE)</f>
        <v>In Stock</v>
      </c>
      <c r="P129" s="530" t="str">
        <f>_xlfn.XLOOKUP(E129,'All Products'!D:D,'All Products'!J:J,FALSE)</f>
        <v>Manufactured</v>
      </c>
      <c r="Q129" s="543" t="str">
        <f>_xlfn.XLOOKUP(E129,'All Products'!D:D,'All Products'!K:K,FALSE)</f>
        <v>049081141899</v>
      </c>
      <c r="R129" s="543" t="str">
        <f>_xlfn.XLOOKUP(E129,'All Products'!D:D,'All Products'!L:L,FALSE)</f>
        <v>049081641894</v>
      </c>
      <c r="S129" s="543" t="str">
        <f>_xlfn.XLOOKUP(E129,'All Products'!D:D,'All Products'!M:M,FALSE)</f>
        <v>40049081141897</v>
      </c>
      <c r="T129" s="530">
        <f>_xlfn.XLOOKUP(E129,'All Products'!D:D,'All Products'!N:N,FALSE)</f>
        <v>0.05</v>
      </c>
      <c r="U129" s="543">
        <f>_xlfn.XLOOKUP(E129,'All Products'!D:D,'All Products'!O:O,FALSE)</f>
        <v>10</v>
      </c>
      <c r="V129" s="530">
        <f>_xlfn.XLOOKUP(E129,'All Products'!D:D,'All Products'!P:P,FALSE)</f>
        <v>13.51</v>
      </c>
      <c r="W129" s="530">
        <f>_xlfn.XLOOKUP(E129,'All Products'!D:D,'All Products'!Q:Q,FALSE)</f>
        <v>0.95</v>
      </c>
    </row>
    <row r="130" spans="1:23" ht="15" customHeight="1">
      <c r="A130" s="104" t="str">
        <f>IF(K130&gt;0,COUNT($A$7:A129)+COUNT('DWV PVC'!$A$8:$A$284)+COUNT('DWV ABS'!$A$8:$A$116)+1,"")</f>
        <v/>
      </c>
      <c r="B130" s="115"/>
      <c r="C130" s="116"/>
      <c r="D130" s="512" t="str">
        <f>_xlfn.XLOOKUP(E130,'All Products'!D:D,'All Products'!C:C,FALSE)</f>
        <v>412-010</v>
      </c>
      <c r="E130" s="53">
        <v>100022607</v>
      </c>
      <c r="F130" s="522" t="str">
        <f>_xlfn.XLOOKUP(E130,'All Products'!D:D,'All Products'!E:E,FALSE)</f>
        <v>1 90 STREET ELL MIPT X FIPT</v>
      </c>
      <c r="G130" s="282">
        <f>_xlfn.XLOOKUP(E130,'All Products'!D:D,'All Products'!F:F,FALSE)</f>
        <v>100</v>
      </c>
      <c r="H130" s="533">
        <f>_xlfn.XLOOKUP(E130,'All Products'!D:D,'All Products'!G:G,FALSE)</f>
        <v>12000</v>
      </c>
      <c r="I130" s="540">
        <f>_xlfn.XLOOKUP(E130,'All Products'!D:D,'All Products'!H:H,FALSE)</f>
        <v>9.7899999999999991</v>
      </c>
      <c r="J130" s="216">
        <f>ROUND(I130*Order_Quote!$L$4,2)</f>
        <v>48.95</v>
      </c>
      <c r="K130" s="76"/>
      <c r="L130" s="79"/>
      <c r="M130" s="117">
        <f t="shared" si="3"/>
        <v>0</v>
      </c>
      <c r="O130" s="530" t="str">
        <f>_xlfn.XLOOKUP(E130,'All Products'!D:D,'All Products'!I:I,FALSE)</f>
        <v>In Stock</v>
      </c>
      <c r="P130" s="530" t="str">
        <f>_xlfn.XLOOKUP(E130,'All Products'!D:D,'All Products'!J:J,FALSE)</f>
        <v>Manufactured</v>
      </c>
      <c r="Q130" s="543" t="str">
        <f>_xlfn.XLOOKUP(E130,'All Products'!D:D,'All Products'!K:K,FALSE)</f>
        <v>049081141905</v>
      </c>
      <c r="R130" s="543" t="str">
        <f>_xlfn.XLOOKUP(E130,'All Products'!D:D,'All Products'!L:L,FALSE)</f>
        <v>049081641900</v>
      </c>
      <c r="S130" s="543" t="str">
        <f>_xlfn.XLOOKUP(E130,'All Products'!D:D,'All Products'!M:M,FALSE)</f>
        <v>40049081141903</v>
      </c>
      <c r="T130" s="530">
        <f>_xlfn.XLOOKUP(E130,'All Products'!D:D,'All Products'!N:N,FALSE)</f>
        <v>0.126</v>
      </c>
      <c r="U130" s="543">
        <f>_xlfn.XLOOKUP(E130,'All Products'!D:D,'All Products'!O:O,FALSE)</f>
        <v>10</v>
      </c>
      <c r="V130" s="530">
        <f>_xlfn.XLOOKUP(E130,'All Products'!D:D,'All Products'!P:P,FALSE)</f>
        <v>13.71</v>
      </c>
      <c r="W130" s="530">
        <f>_xlfn.XLOOKUP(E130,'All Products'!D:D,'All Products'!Q:Q,FALSE)</f>
        <v>0.65</v>
      </c>
    </row>
    <row r="131" spans="1:23" ht="15" customHeight="1">
      <c r="A131" s="104" t="str">
        <f>IF(K131&gt;0,COUNT($A$7:A130)+COUNT('DWV PVC'!$A$8:$A$284)+COUNT('DWV ABS'!$A$8:$A$116)+1,"")</f>
        <v/>
      </c>
      <c r="B131" s="115"/>
      <c r="C131" s="116"/>
      <c r="D131" s="512" t="str">
        <f>_xlfn.XLOOKUP(E131,'All Products'!D:D,'All Products'!C:C,FALSE)</f>
        <v>412-011</v>
      </c>
      <c r="E131" s="53">
        <v>100022609</v>
      </c>
      <c r="F131" s="522" t="str">
        <f>_xlfn.XLOOKUP(E131,'All Products'!D:D,'All Products'!E:E,FALSE)</f>
        <v>1 90 STREET ELL MIPT X FIPT MARLEX</v>
      </c>
      <c r="G131" s="282">
        <f>_xlfn.XLOOKUP(E131,'All Products'!D:D,'All Products'!F:F,FALSE)</f>
        <v>100</v>
      </c>
      <c r="H131" s="533">
        <f>_xlfn.XLOOKUP(E131,'All Products'!D:D,'All Products'!G:G,FALSE)</f>
        <v>12000</v>
      </c>
      <c r="I131" s="540">
        <f>_xlfn.XLOOKUP(E131,'All Products'!D:D,'All Products'!H:H,FALSE)</f>
        <v>8.1999999999999993</v>
      </c>
      <c r="J131" s="216">
        <f>ROUND(I131*Order_Quote!$L$4,2)</f>
        <v>41</v>
      </c>
      <c r="K131" s="76"/>
      <c r="L131" s="79"/>
      <c r="M131" s="117">
        <f t="shared" si="3"/>
        <v>0</v>
      </c>
      <c r="O131" s="530" t="str">
        <f>_xlfn.XLOOKUP(E131,'All Products'!D:D,'All Products'!I:I,FALSE)</f>
        <v>Within 3 Weeks</v>
      </c>
      <c r="P131" s="530" t="str">
        <f>_xlfn.XLOOKUP(E131,'All Products'!D:D,'All Products'!J:J,FALSE)</f>
        <v>Manufactured</v>
      </c>
      <c r="Q131" s="543" t="str">
        <f>_xlfn.XLOOKUP(E131,'All Products'!D:D,'All Products'!K:K,FALSE)</f>
        <v>049081141912</v>
      </c>
      <c r="R131" s="543" t="str">
        <f>_xlfn.XLOOKUP(E131,'All Products'!D:D,'All Products'!L:L,FALSE)</f>
        <v>049081641917</v>
      </c>
      <c r="S131" s="543" t="str">
        <f>_xlfn.XLOOKUP(E131,'All Products'!D:D,'All Products'!M:M,FALSE)</f>
        <v>40049081141910</v>
      </c>
      <c r="T131" s="530">
        <f>_xlfn.XLOOKUP(E131,'All Products'!D:D,'All Products'!N:N,FALSE)</f>
        <v>8.8999999999999996E-2</v>
      </c>
      <c r="U131" s="543">
        <f>_xlfn.XLOOKUP(E131,'All Products'!D:D,'All Products'!O:O,FALSE)</f>
        <v>10</v>
      </c>
      <c r="V131" s="530">
        <f>_xlfn.XLOOKUP(E131,'All Products'!D:D,'All Products'!P:P,FALSE)</f>
        <v>8.9700000000000006</v>
      </c>
      <c r="W131" s="530">
        <f>_xlfn.XLOOKUP(E131,'All Products'!D:D,'All Products'!Q:Q,FALSE)</f>
        <v>0.65</v>
      </c>
    </row>
    <row r="132" spans="1:23" ht="15" customHeight="1">
      <c r="A132" s="104" t="str">
        <f>IF(K132&gt;0,COUNT($A$7:A131)+COUNT('DWV PVC'!$A$8:$A$284)+COUNT('DWV ABS'!$A$8:$A$116)+1,"")</f>
        <v/>
      </c>
      <c r="B132" s="115"/>
      <c r="C132" s="116"/>
      <c r="D132" s="512" t="str">
        <f>_xlfn.XLOOKUP(E132,'All Products'!D:D,'All Products'!C:C,FALSE)</f>
        <v>412-015</v>
      </c>
      <c r="E132" s="53">
        <v>100022613</v>
      </c>
      <c r="F132" s="522" t="str">
        <f>_xlfn.XLOOKUP(E132,'All Products'!D:D,'All Products'!E:E,FALSE)</f>
        <v>1-1/2 90 STREET ELL MIPT XFIPT</v>
      </c>
      <c r="G132" s="282">
        <f>_xlfn.XLOOKUP(E132,'All Products'!D:D,'All Products'!F:F,FALSE)</f>
        <v>25</v>
      </c>
      <c r="H132" s="533">
        <f>_xlfn.XLOOKUP(E132,'All Products'!D:D,'All Products'!G:G,FALSE)</f>
        <v>3000</v>
      </c>
      <c r="I132" s="540">
        <f>_xlfn.XLOOKUP(E132,'All Products'!D:D,'All Products'!H:H,FALSE)</f>
        <v>13.18</v>
      </c>
      <c r="J132" s="216">
        <f>ROUND(I132*Order_Quote!$L$4,2)</f>
        <v>65.900000000000006</v>
      </c>
      <c r="K132" s="76"/>
      <c r="L132" s="79"/>
      <c r="M132" s="117">
        <f t="shared" si="3"/>
        <v>0</v>
      </c>
      <c r="O132" s="530" t="str">
        <f>_xlfn.XLOOKUP(E132,'All Products'!D:D,'All Products'!I:I,FALSE)</f>
        <v>Within 3 Weeks</v>
      </c>
      <c r="P132" s="530" t="str">
        <f>_xlfn.XLOOKUP(E132,'All Products'!D:D,'All Products'!J:J,FALSE)</f>
        <v>Manufactured</v>
      </c>
      <c r="Q132" s="543" t="str">
        <f>_xlfn.XLOOKUP(E132,'All Products'!D:D,'All Products'!K:K,FALSE)</f>
        <v>049081141943</v>
      </c>
      <c r="R132" s="543" t="str">
        <f>_xlfn.XLOOKUP(E132,'All Products'!D:D,'All Products'!L:L,FALSE)</f>
        <v>049081641948</v>
      </c>
      <c r="S132" s="543" t="str">
        <f>_xlfn.XLOOKUP(E132,'All Products'!D:D,'All Products'!M:M,FALSE)</f>
        <v>40049081141941</v>
      </c>
      <c r="T132" s="530">
        <f>_xlfn.XLOOKUP(E132,'All Products'!D:D,'All Products'!N:N,FALSE)</f>
        <v>0.44</v>
      </c>
      <c r="U132" s="543">
        <f>_xlfn.XLOOKUP(E132,'All Products'!D:D,'All Products'!O:O,FALSE)</f>
        <v>5</v>
      </c>
      <c r="V132" s="530">
        <f>_xlfn.XLOOKUP(E132,'All Products'!D:D,'All Products'!P:P,FALSE)</f>
        <v>11.65</v>
      </c>
      <c r="W132" s="530">
        <f>_xlfn.XLOOKUP(E132,'All Products'!D:D,'All Products'!Q:Q,FALSE)</f>
        <v>0.65</v>
      </c>
    </row>
    <row r="133" spans="1:23" ht="15" customHeight="1">
      <c r="A133" s="104" t="str">
        <f>IF(K133&gt;0,COUNT($A$7:A132)+COUNT('DWV PVC'!$A$8:$A$284)+COUNT('DWV ABS'!$A$8:$A$116)+1,"")</f>
        <v/>
      </c>
      <c r="B133" s="380"/>
      <c r="C133" s="292"/>
      <c r="D133" s="512" t="str">
        <f>_xlfn.XLOOKUP(E133,'All Products'!D:D,'All Products'!C:C,FALSE)</f>
        <v>412-020</v>
      </c>
      <c r="E133" s="53">
        <v>100022615</v>
      </c>
      <c r="F133" s="522" t="str">
        <f>_xlfn.XLOOKUP(E133,'All Products'!D:D,'All Products'!E:E,FALSE)</f>
        <v>2 90 STREET ELL MIPT X FIPT</v>
      </c>
      <c r="G133" s="282">
        <f>_xlfn.XLOOKUP(E133,'All Products'!D:D,'All Products'!F:F,FALSE)</f>
        <v>20</v>
      </c>
      <c r="H133" s="533">
        <f>_xlfn.XLOOKUP(E133,'All Products'!D:D,'All Products'!G:G,FALSE)</f>
        <v>1500</v>
      </c>
      <c r="I133" s="540">
        <f>_xlfn.XLOOKUP(E133,'All Products'!D:D,'All Products'!H:H,FALSE)</f>
        <v>25.13</v>
      </c>
      <c r="J133" s="216">
        <f>ROUND(I133*Order_Quote!$L$4,2)</f>
        <v>125.65</v>
      </c>
      <c r="K133" s="76"/>
      <c r="L133" s="79"/>
      <c r="M133" s="117">
        <f t="shared" si="3"/>
        <v>0</v>
      </c>
      <c r="O133" s="530" t="str">
        <f>_xlfn.XLOOKUP(E133,'All Products'!D:D,'All Products'!I:I,FALSE)</f>
        <v>Within 3 Weeks</v>
      </c>
      <c r="P133" s="530" t="str">
        <f>_xlfn.XLOOKUP(E133,'All Products'!D:D,'All Products'!J:J,FALSE)</f>
        <v>Manufactured</v>
      </c>
      <c r="Q133" s="543" t="str">
        <f>_xlfn.XLOOKUP(E133,'All Products'!D:D,'All Products'!K:K,FALSE)</f>
        <v>049081141967</v>
      </c>
      <c r="R133" s="543" t="str">
        <f>_xlfn.XLOOKUP(E133,'All Products'!D:D,'All Products'!L:L,FALSE)</f>
        <v>049081641962</v>
      </c>
      <c r="S133" s="543" t="str">
        <f>_xlfn.XLOOKUP(E133,'All Products'!D:D,'All Products'!M:M,FALSE)</f>
        <v>40049081141965</v>
      </c>
      <c r="T133" s="530">
        <f>_xlfn.XLOOKUP(E133,'All Products'!D:D,'All Products'!N:N,FALSE)</f>
        <v>0.52</v>
      </c>
      <c r="U133" s="543">
        <f>_xlfn.XLOOKUP(E133,'All Products'!D:D,'All Products'!O:O,FALSE)</f>
        <v>5</v>
      </c>
      <c r="V133" s="530">
        <f>_xlfn.XLOOKUP(E133,'All Products'!D:D,'All Products'!P:P,FALSE)</f>
        <v>11.3</v>
      </c>
      <c r="W133" s="530">
        <f>_xlfn.XLOOKUP(E133,'All Products'!D:D,'All Products'!Q:Q,FALSE)</f>
        <v>0.95</v>
      </c>
    </row>
    <row r="134" spans="1:23" ht="15" customHeight="1">
      <c r="A134" s="104" t="str">
        <f>IF(K134&gt;0,COUNT($A$7:A133)+COUNT('DWV PVC'!$A$8:$A$284)+COUNT('DWV ABS'!$A$8:$A$116)+1,"")</f>
        <v/>
      </c>
      <c r="B134" s="577"/>
      <c r="C134" s="578"/>
      <c r="D134" s="512" t="str">
        <f>_xlfn.XLOOKUP(E134,'All Products'!D:D,'All Products'!C:C,FALSE)</f>
        <v>413-005</v>
      </c>
      <c r="E134" s="53">
        <v>100022618</v>
      </c>
      <c r="F134" s="522" t="str">
        <f>_xlfn.XLOOKUP(E134,'All Products'!D:D,'All Products'!E:E,FALSE)</f>
        <v>1/2 SIDE OUTLET 90 ELL SXSXS</v>
      </c>
      <c r="G134" s="282">
        <f>_xlfn.XLOOKUP(E134,'All Products'!D:D,'All Products'!F:F,FALSE)</f>
        <v>100</v>
      </c>
      <c r="H134" s="533">
        <f>_xlfn.XLOOKUP(E134,'All Products'!D:D,'All Products'!G:G,FALSE)</f>
        <v>12000</v>
      </c>
      <c r="I134" s="540">
        <f>_xlfn.XLOOKUP(E134,'All Products'!D:D,'All Products'!H:H,FALSE)</f>
        <v>8.6</v>
      </c>
      <c r="J134" s="216">
        <f>ROUND(I134*Order_Quote!$L$4,2)</f>
        <v>43</v>
      </c>
      <c r="K134" s="76"/>
      <c r="L134" s="79"/>
      <c r="M134" s="117">
        <f t="shared" si="3"/>
        <v>0</v>
      </c>
      <c r="O134" s="530" t="str">
        <f>_xlfn.XLOOKUP(E134,'All Products'!D:D,'All Products'!I:I,FALSE)</f>
        <v>Within 3 Weeks</v>
      </c>
      <c r="P134" s="530" t="str">
        <f>_xlfn.XLOOKUP(E134,'All Products'!D:D,'All Products'!J:J,FALSE)</f>
        <v>Manufactured</v>
      </c>
      <c r="Q134" s="543" t="str">
        <f>_xlfn.XLOOKUP(E134,'All Products'!D:D,'All Products'!K:K,FALSE)</f>
        <v>049081142681</v>
      </c>
      <c r="R134" s="543" t="str">
        <f>_xlfn.XLOOKUP(E134,'All Products'!D:D,'All Products'!L:L,FALSE)</f>
        <v>049081642686</v>
      </c>
      <c r="S134" s="543" t="str">
        <f>_xlfn.XLOOKUP(E134,'All Products'!D:D,'All Products'!M:M,FALSE)</f>
        <v>40049081142689</v>
      </c>
      <c r="T134" s="530">
        <f>_xlfn.XLOOKUP(E134,'All Products'!D:D,'All Products'!N:N,FALSE)</f>
        <v>0.06</v>
      </c>
      <c r="U134" s="543">
        <f>_xlfn.XLOOKUP(E134,'All Products'!D:D,'All Products'!O:O,FALSE)</f>
        <v>10</v>
      </c>
      <c r="V134" s="530">
        <f>_xlfn.XLOOKUP(E134,'All Products'!D:D,'All Products'!P:P,FALSE)</f>
        <v>9.6199999999999992</v>
      </c>
      <c r="W134" s="530">
        <f>_xlfn.XLOOKUP(E134,'All Products'!D:D,'All Products'!Q:Q,FALSE)</f>
        <v>0.65</v>
      </c>
    </row>
    <row r="135" spans="1:23" ht="15" customHeight="1">
      <c r="A135" s="104" t="str">
        <f>IF(K135&gt;0,COUNT($A$7:A134)+COUNT('DWV PVC'!$A$8:$A$284)+COUNT('DWV ABS'!$A$8:$A$116)+1,"")</f>
        <v/>
      </c>
      <c r="B135" s="579"/>
      <c r="C135" s="580"/>
      <c r="D135" s="512" t="str">
        <f>_xlfn.XLOOKUP(E135,'All Products'!D:D,'All Products'!C:C,FALSE)</f>
        <v>413-007</v>
      </c>
      <c r="E135" s="53">
        <v>100027400</v>
      </c>
      <c r="F135" s="522" t="str">
        <f>_xlfn.XLOOKUP(E135,'All Products'!D:D,'All Products'!E:E,FALSE)</f>
        <v>3/4 SIDE OUTLET 90 ELL SXSXS</v>
      </c>
      <c r="G135" s="282">
        <f>_xlfn.XLOOKUP(E135,'All Products'!D:D,'All Products'!F:F,FALSE)</f>
        <v>100</v>
      </c>
      <c r="H135" s="533" t="str">
        <f>_xlfn.XLOOKUP(E135,'All Products'!D:D,'All Products'!G:G,FALSE)</f>
        <v>-</v>
      </c>
      <c r="I135" s="540">
        <f>_xlfn.XLOOKUP(E135,'All Products'!D:D,'All Products'!H:H,FALSE)</f>
        <v>11.74</v>
      </c>
      <c r="J135" s="216">
        <f>ROUND(I135*Order_Quote!$L$4,2)</f>
        <v>58.7</v>
      </c>
      <c r="K135" s="76"/>
      <c r="L135" s="79"/>
      <c r="M135" s="117">
        <f t="shared" si="3"/>
        <v>0</v>
      </c>
      <c r="O135" s="530" t="str">
        <f>_xlfn.XLOOKUP(E135,'All Products'!D:D,'All Products'!I:I,FALSE)</f>
        <v>In Stock</v>
      </c>
      <c r="P135" s="530" t="str">
        <f>_xlfn.XLOOKUP(E135,'All Products'!D:D,'All Products'!J:J,FALSE)</f>
        <v>Manufactured</v>
      </c>
      <c r="Q135" s="543" t="str">
        <f>_xlfn.XLOOKUP(E135,'All Products'!D:D,'All Products'!K:K,FALSE)</f>
        <v>049081142636</v>
      </c>
      <c r="R135" s="543" t="str">
        <f>_xlfn.XLOOKUP(E135,'All Products'!D:D,'All Products'!L:L,FALSE)</f>
        <v>-</v>
      </c>
      <c r="S135" s="543" t="str">
        <f>_xlfn.XLOOKUP(E135,'All Products'!D:D,'All Products'!M:M,FALSE)</f>
        <v>40049081142634</v>
      </c>
      <c r="T135" s="530">
        <f>_xlfn.XLOOKUP(E135,'All Products'!D:D,'All Products'!N:N,FALSE)</f>
        <v>8.5999999999999993E-2</v>
      </c>
      <c r="U135" s="543">
        <f>_xlfn.XLOOKUP(E135,'All Products'!D:D,'All Products'!O:O,FALSE)</f>
        <v>10</v>
      </c>
      <c r="V135" s="530" t="str">
        <f>_xlfn.XLOOKUP(E135,'All Products'!D:D,'All Products'!P:P,FALSE)</f>
        <v>-</v>
      </c>
      <c r="W135" s="530" t="str">
        <f>_xlfn.XLOOKUP(E135,'All Products'!D:D,'All Products'!Q:Q,FALSE)</f>
        <v>-</v>
      </c>
    </row>
    <row r="136" spans="1:23" ht="15" customHeight="1">
      <c r="A136" s="104" t="str">
        <f>IF(K136&gt;0,COUNT($A$7:A135)+COUNT('DWV PVC'!$A$8:$A$284)+COUNT('DWV ABS'!$A$8:$A$116)+1,"")</f>
        <v/>
      </c>
      <c r="B136" s="579"/>
      <c r="C136" s="580"/>
      <c r="D136" s="512" t="str">
        <f>_xlfn.XLOOKUP(E136,'All Products'!D:D,'All Products'!C:C,FALSE)</f>
        <v>413-010</v>
      </c>
      <c r="E136" s="53">
        <v>100027401</v>
      </c>
      <c r="F136" s="522" t="str">
        <f>_xlfn.XLOOKUP(E136,'All Products'!D:D,'All Products'!E:E,FALSE)</f>
        <v>1 SIDE OUTLET 90 ELL SXSXS</v>
      </c>
      <c r="G136" s="282">
        <f>_xlfn.XLOOKUP(E136,'All Products'!D:D,'All Products'!F:F,FALSE)</f>
        <v>50</v>
      </c>
      <c r="H136" s="533" t="str">
        <f>_xlfn.XLOOKUP(E136,'All Products'!D:D,'All Products'!G:G,FALSE)</f>
        <v>-</v>
      </c>
      <c r="I136" s="540">
        <f>_xlfn.XLOOKUP(E136,'All Products'!D:D,'All Products'!H:H,FALSE)</f>
        <v>15.02</v>
      </c>
      <c r="J136" s="216">
        <f>ROUND(I136*Order_Quote!$L$4,2)</f>
        <v>75.099999999999994</v>
      </c>
      <c r="K136" s="76"/>
      <c r="L136" s="79"/>
      <c r="M136" s="117">
        <f t="shared" si="3"/>
        <v>0</v>
      </c>
      <c r="O136" s="530" t="str">
        <f>_xlfn.XLOOKUP(E136,'All Products'!D:D,'All Products'!I:I,FALSE)</f>
        <v>In Stock</v>
      </c>
      <c r="P136" s="530" t="str">
        <f>_xlfn.XLOOKUP(E136,'All Products'!D:D,'All Products'!J:J,FALSE)</f>
        <v>Manufactured</v>
      </c>
      <c r="Q136" s="543" t="str">
        <f>_xlfn.XLOOKUP(E136,'All Products'!D:D,'All Products'!K:K,FALSE)</f>
        <v>049081142643</v>
      </c>
      <c r="R136" s="543" t="str">
        <f>_xlfn.XLOOKUP(E136,'All Products'!D:D,'All Products'!L:L,FALSE)</f>
        <v>-</v>
      </c>
      <c r="S136" s="543" t="str">
        <f>_xlfn.XLOOKUP(E136,'All Products'!D:D,'All Products'!M:M,FALSE)</f>
        <v>40049081142641</v>
      </c>
      <c r="T136" s="530">
        <f>_xlfn.XLOOKUP(E136,'All Products'!D:D,'All Products'!N:N,FALSE)</f>
        <v>0.151</v>
      </c>
      <c r="U136" s="543">
        <f>_xlfn.XLOOKUP(E136,'All Products'!D:D,'All Products'!O:O,FALSE)</f>
        <v>10</v>
      </c>
      <c r="V136" s="530" t="str">
        <f>_xlfn.XLOOKUP(E136,'All Products'!D:D,'All Products'!P:P,FALSE)</f>
        <v>-</v>
      </c>
      <c r="W136" s="530" t="str">
        <f>_xlfn.XLOOKUP(E136,'All Products'!D:D,'All Products'!Q:Q,FALSE)</f>
        <v>-</v>
      </c>
    </row>
    <row r="137" spans="1:23" ht="66" customHeight="1">
      <c r="A137" s="104" t="str">
        <f>IF(K137&gt;0,COUNT($A$7:A136)+COUNT('DWV PVC'!$A$8:$A$284)+COUNT('DWV ABS'!$A$8:$A$116)+1,"")</f>
        <v/>
      </c>
      <c r="B137" s="382"/>
      <c r="C137" s="196"/>
      <c r="D137" s="512" t="str">
        <f>_xlfn.XLOOKUP(E137,'All Products'!D:D,'All Products'!C:C,FALSE)</f>
        <v>414-101</v>
      </c>
      <c r="E137" s="53">
        <v>100022626</v>
      </c>
      <c r="F137" s="522" t="str">
        <f>_xlfn.XLOOKUP(E137,'All Products'!D:D,'All Products'!E:E,FALSE)</f>
        <v>3/4X3/4X1/2 SIDE OUTLET 90 SXSXFIPT</v>
      </c>
      <c r="G137" s="282">
        <f>_xlfn.XLOOKUP(E137,'All Products'!D:D,'All Products'!F:F,FALSE)</f>
        <v>100</v>
      </c>
      <c r="H137" s="533">
        <f>_xlfn.XLOOKUP(E137,'All Products'!D:D,'All Products'!G:G,FALSE)</f>
        <v>9000</v>
      </c>
      <c r="I137" s="540">
        <f>_xlfn.XLOOKUP(E137,'All Products'!D:D,'All Products'!H:H,FALSE)</f>
        <v>10.87</v>
      </c>
      <c r="J137" s="216">
        <f>ROUND(I137*Order_Quote!$L$4,2)</f>
        <v>54.35</v>
      </c>
      <c r="K137" s="76"/>
      <c r="L137" s="79"/>
      <c r="M137" s="117">
        <f t="shared" si="3"/>
        <v>0</v>
      </c>
      <c r="O137" s="530" t="str">
        <f>_xlfn.XLOOKUP(E137,'All Products'!D:D,'All Products'!I:I,FALSE)</f>
        <v>Within 3 Weeks</v>
      </c>
      <c r="P137" s="530" t="str">
        <f>_xlfn.XLOOKUP(E137,'All Products'!D:D,'All Products'!J:J,FALSE)</f>
        <v>Manufactured</v>
      </c>
      <c r="Q137" s="543" t="str">
        <f>_xlfn.XLOOKUP(E137,'All Products'!D:D,'All Products'!K:K,FALSE)</f>
        <v>049081142728</v>
      </c>
      <c r="R137" s="543" t="str">
        <f>_xlfn.XLOOKUP(E137,'All Products'!D:D,'All Products'!L:L,FALSE)</f>
        <v>049081642723</v>
      </c>
      <c r="S137" s="543" t="str">
        <f>_xlfn.XLOOKUP(E137,'All Products'!D:D,'All Products'!M:M,FALSE)</f>
        <v>40049081142726</v>
      </c>
      <c r="T137" s="530">
        <f>_xlfn.XLOOKUP(E137,'All Products'!D:D,'All Products'!N:N,FALSE)</f>
        <v>0.11</v>
      </c>
      <c r="U137" s="543">
        <f>_xlfn.XLOOKUP(E137,'All Products'!D:D,'All Products'!O:O,FALSE)</f>
        <v>10</v>
      </c>
      <c r="V137" s="530">
        <f>_xlfn.XLOOKUP(E137,'All Products'!D:D,'All Products'!P:P,FALSE)</f>
        <v>12.6</v>
      </c>
      <c r="W137" s="530">
        <f>_xlfn.XLOOKUP(E137,'All Products'!D:D,'All Products'!Q:Q,FALSE)</f>
        <v>0.8</v>
      </c>
    </row>
    <row r="138" spans="1:23" ht="15" customHeight="1">
      <c r="A138" s="104" t="str">
        <f>IF(K138&gt;0,COUNT($A$7:A137)+COUNT('DWV PVC'!$A$8:$A$284)+COUNT('DWV ABS'!$A$8:$A$116)+1,"")</f>
        <v/>
      </c>
      <c r="B138" s="579"/>
      <c r="C138" s="580"/>
      <c r="D138" s="512" t="str">
        <f>_xlfn.XLOOKUP(E138,'All Products'!D:D,'All Products'!C:C,FALSE)</f>
        <v>417-005</v>
      </c>
      <c r="E138" s="53">
        <v>100022631</v>
      </c>
      <c r="F138" s="522" t="str">
        <f>_xlfn.XLOOKUP(E138,'All Products'!D:D,'All Products'!E:E,FALSE)</f>
        <v>1/2 45 ELL SLIP X SLIP</v>
      </c>
      <c r="G138" s="282">
        <f>_xlfn.XLOOKUP(E138,'All Products'!D:D,'All Products'!F:F,FALSE)</f>
        <v>250</v>
      </c>
      <c r="H138" s="533">
        <f>_xlfn.XLOOKUP(E138,'All Products'!D:D,'All Products'!G:G,FALSE)</f>
        <v>22500</v>
      </c>
      <c r="I138" s="540">
        <f>_xlfn.XLOOKUP(E138,'All Products'!D:D,'All Products'!H:H,FALSE)</f>
        <v>2.65</v>
      </c>
      <c r="J138" s="216">
        <f>ROUND(I138*Order_Quote!$L$4,2)</f>
        <v>13.25</v>
      </c>
      <c r="K138" s="76"/>
      <c r="L138" s="79"/>
      <c r="M138" s="117">
        <f t="shared" si="3"/>
        <v>0</v>
      </c>
      <c r="O138" s="530" t="str">
        <f>_xlfn.XLOOKUP(E138,'All Products'!D:D,'All Products'!I:I,FALSE)</f>
        <v>In Stock</v>
      </c>
      <c r="P138" s="530" t="str">
        <f>_xlfn.XLOOKUP(E138,'All Products'!D:D,'All Products'!J:J,FALSE)</f>
        <v>Manufactured</v>
      </c>
      <c r="Q138" s="543" t="str">
        <f>_xlfn.XLOOKUP(E138,'All Products'!D:D,'All Products'!K:K,FALSE)</f>
        <v>049081140229</v>
      </c>
      <c r="R138" s="543" t="str">
        <f>_xlfn.XLOOKUP(E138,'All Products'!D:D,'All Products'!L:L,FALSE)</f>
        <v>049081640224</v>
      </c>
      <c r="S138" s="543" t="str">
        <f>_xlfn.XLOOKUP(E138,'All Products'!D:D,'All Products'!M:M,FALSE)</f>
        <v>40049081140227</v>
      </c>
      <c r="T138" s="530">
        <f>_xlfn.XLOOKUP(E138,'All Products'!D:D,'All Products'!N:N,FALSE)</f>
        <v>4.8000000000000001E-2</v>
      </c>
      <c r="U138" s="543">
        <f>_xlfn.XLOOKUP(E138,'All Products'!D:D,'All Products'!O:O,FALSE)</f>
        <v>10</v>
      </c>
      <c r="V138" s="530">
        <f>_xlfn.XLOOKUP(E138,'All Products'!D:D,'All Products'!P:P,FALSE)</f>
        <v>13.27</v>
      </c>
      <c r="W138" s="530">
        <f>_xlfn.XLOOKUP(E138,'All Products'!D:D,'All Products'!Q:Q,FALSE)</f>
        <v>0.8</v>
      </c>
    </row>
    <row r="139" spans="1:23" ht="15" customHeight="1">
      <c r="A139" s="104" t="str">
        <f>IF(K139&gt;0,COUNT($A$7:A138)+COUNT('DWV PVC'!$A$8:$A$284)+COUNT('DWV ABS'!$A$8:$A$116)+1,"")</f>
        <v/>
      </c>
      <c r="B139" s="579"/>
      <c r="C139" s="580"/>
      <c r="D139" s="512" t="str">
        <f>_xlfn.XLOOKUP(E139,'All Products'!D:D,'All Products'!C:C,FALSE)</f>
        <v>417-007</v>
      </c>
      <c r="E139" s="53">
        <v>100022633</v>
      </c>
      <c r="F139" s="522" t="str">
        <f>_xlfn.XLOOKUP(E139,'All Products'!D:D,'All Products'!E:E,FALSE)</f>
        <v>3/4 45 ELL SLIP X SLIP</v>
      </c>
      <c r="G139" s="282">
        <f>_xlfn.XLOOKUP(E139,'All Products'!D:D,'All Products'!F:F,FALSE)</f>
        <v>100</v>
      </c>
      <c r="H139" s="533">
        <f>_xlfn.XLOOKUP(E139,'All Products'!D:D,'All Products'!G:G,FALSE)</f>
        <v>24000</v>
      </c>
      <c r="I139" s="540">
        <f>_xlfn.XLOOKUP(E139,'All Products'!D:D,'All Products'!H:H,FALSE)</f>
        <v>4.07</v>
      </c>
      <c r="J139" s="216">
        <f>ROUND(I139*Order_Quote!$L$4,2)</f>
        <v>20.350000000000001</v>
      </c>
      <c r="K139" s="76"/>
      <c r="L139" s="79"/>
      <c r="M139" s="117">
        <f t="shared" si="3"/>
        <v>0</v>
      </c>
      <c r="O139" s="530" t="str">
        <f>_xlfn.XLOOKUP(E139,'All Products'!D:D,'All Products'!I:I,FALSE)</f>
        <v>In Stock</v>
      </c>
      <c r="P139" s="530" t="str">
        <f>_xlfn.XLOOKUP(E139,'All Products'!D:D,'All Products'!J:J,FALSE)</f>
        <v>Manufactured</v>
      </c>
      <c r="Q139" s="543" t="str">
        <f>_xlfn.XLOOKUP(E139,'All Products'!D:D,'All Products'!K:K,FALSE)</f>
        <v>049081140243</v>
      </c>
      <c r="R139" s="543" t="str">
        <f>_xlfn.XLOOKUP(E139,'All Products'!D:D,'All Products'!L:L,FALSE)</f>
        <v>049081640248</v>
      </c>
      <c r="S139" s="543" t="str">
        <f>_xlfn.XLOOKUP(E139,'All Products'!D:D,'All Products'!M:M,FALSE)</f>
        <v>40049081140241</v>
      </c>
      <c r="T139" s="530">
        <f>_xlfn.XLOOKUP(E139,'All Products'!D:D,'All Products'!N:N,FALSE)</f>
        <v>8.3000000000000004E-2</v>
      </c>
      <c r="U139" s="543">
        <f>_xlfn.XLOOKUP(E139,'All Products'!D:D,'All Products'!O:O,FALSE)</f>
        <v>10</v>
      </c>
      <c r="V139" s="530">
        <f>_xlfn.XLOOKUP(E139,'All Products'!D:D,'All Products'!P:P,FALSE)</f>
        <v>9</v>
      </c>
      <c r="W139" s="530">
        <f>_xlfn.XLOOKUP(E139,'All Products'!D:D,'All Products'!Q:Q,FALSE)</f>
        <v>0.65</v>
      </c>
    </row>
    <row r="140" spans="1:23" ht="15" customHeight="1">
      <c r="A140" s="104" t="str">
        <f>IF(K140&gt;0,COUNT($A$7:A139)+COUNT('DWV PVC'!$A$8:$A$284)+COUNT('DWV ABS'!$A$8:$A$116)+1,"")</f>
        <v/>
      </c>
      <c r="B140" s="579"/>
      <c r="C140" s="580"/>
      <c r="D140" s="512" t="str">
        <f>_xlfn.XLOOKUP(E140,'All Products'!D:D,'All Products'!C:C,FALSE)</f>
        <v>417-010</v>
      </c>
      <c r="E140" s="53">
        <v>100022635</v>
      </c>
      <c r="F140" s="522" t="str">
        <f>_xlfn.XLOOKUP(E140,'All Products'!D:D,'All Products'!E:E,FALSE)</f>
        <v>1 45 ELL SLIP X SLIP</v>
      </c>
      <c r="G140" s="282">
        <f>_xlfn.XLOOKUP(E140,'All Products'!D:D,'All Products'!F:F,FALSE)</f>
        <v>100</v>
      </c>
      <c r="H140" s="533">
        <f>_xlfn.XLOOKUP(E140,'All Products'!D:D,'All Products'!G:G,FALSE)</f>
        <v>9000</v>
      </c>
      <c r="I140" s="540">
        <f>_xlfn.XLOOKUP(E140,'All Products'!D:D,'All Products'!H:H,FALSE)</f>
        <v>4.92</v>
      </c>
      <c r="J140" s="216">
        <f>ROUND(I140*Order_Quote!$L$4,2)</f>
        <v>24.6</v>
      </c>
      <c r="K140" s="76"/>
      <c r="L140" s="79"/>
      <c r="M140" s="117">
        <f t="shared" si="3"/>
        <v>0</v>
      </c>
      <c r="O140" s="530" t="str">
        <f>_xlfn.XLOOKUP(E140,'All Products'!D:D,'All Products'!I:I,FALSE)</f>
        <v>In Stock</v>
      </c>
      <c r="P140" s="530" t="str">
        <f>_xlfn.XLOOKUP(E140,'All Products'!D:D,'All Products'!J:J,FALSE)</f>
        <v>Manufactured</v>
      </c>
      <c r="Q140" s="543" t="str">
        <f>_xlfn.XLOOKUP(E140,'All Products'!D:D,'All Products'!K:K,FALSE)</f>
        <v>049081140267</v>
      </c>
      <c r="R140" s="543" t="str">
        <f>_xlfn.XLOOKUP(E140,'All Products'!D:D,'All Products'!L:L,FALSE)</f>
        <v>049081640262</v>
      </c>
      <c r="S140" s="543" t="str">
        <f>_xlfn.XLOOKUP(E140,'All Products'!D:D,'All Products'!M:M,FALSE)</f>
        <v>40049081140265</v>
      </c>
      <c r="T140" s="530">
        <f>_xlfn.XLOOKUP(E140,'All Products'!D:D,'All Products'!N:N,FALSE)</f>
        <v>0.13500000000000001</v>
      </c>
      <c r="U140" s="543">
        <f>_xlfn.XLOOKUP(E140,'All Products'!D:D,'All Products'!O:O,FALSE)</f>
        <v>10</v>
      </c>
      <c r="V140" s="530">
        <f>_xlfn.XLOOKUP(E140,'All Products'!D:D,'All Products'!P:P,FALSE)</f>
        <v>14.72</v>
      </c>
      <c r="W140" s="530">
        <f>_xlfn.XLOOKUP(E140,'All Products'!D:D,'All Products'!Q:Q,FALSE)</f>
        <v>0.8</v>
      </c>
    </row>
    <row r="141" spans="1:23" ht="15" customHeight="1">
      <c r="A141" s="104" t="str">
        <f>IF(K141&gt;0,COUNT($A$7:A140)+COUNT('DWV PVC'!$A$8:$A$284)+COUNT('DWV ABS'!$A$8:$A$116)+1,"")</f>
        <v/>
      </c>
      <c r="B141" s="579"/>
      <c r="C141" s="580"/>
      <c r="D141" s="512" t="str">
        <f>_xlfn.XLOOKUP(E141,'All Products'!D:D,'All Products'!C:C,FALSE)</f>
        <v>417-012</v>
      </c>
      <c r="E141" s="53">
        <v>100022637</v>
      </c>
      <c r="F141" s="522" t="str">
        <f>_xlfn.XLOOKUP(E141,'All Products'!D:D,'All Products'!E:E,FALSE)</f>
        <v>1-1/4 45 ELL SLIP X SLIP</v>
      </c>
      <c r="G141" s="282">
        <f>_xlfn.XLOOKUP(E141,'All Products'!D:D,'All Products'!F:F,FALSE)</f>
        <v>50</v>
      </c>
      <c r="H141" s="533">
        <f>_xlfn.XLOOKUP(E141,'All Products'!D:D,'All Products'!G:G,FALSE)</f>
        <v>4500</v>
      </c>
      <c r="I141" s="540">
        <f>_xlfn.XLOOKUP(E141,'All Products'!D:D,'All Products'!H:H,FALSE)</f>
        <v>6.84</v>
      </c>
      <c r="J141" s="216">
        <f>ROUND(I141*Order_Quote!$L$4,2)</f>
        <v>34.200000000000003</v>
      </c>
      <c r="K141" s="76"/>
      <c r="L141" s="79"/>
      <c r="M141" s="117">
        <f t="shared" si="3"/>
        <v>0</v>
      </c>
      <c r="O141" s="530" t="str">
        <f>_xlfn.XLOOKUP(E141,'All Products'!D:D,'All Products'!I:I,FALSE)</f>
        <v>In Stock</v>
      </c>
      <c r="P141" s="530" t="str">
        <f>_xlfn.XLOOKUP(E141,'All Products'!D:D,'All Products'!J:J,FALSE)</f>
        <v>Manufactured</v>
      </c>
      <c r="Q141" s="543" t="str">
        <f>_xlfn.XLOOKUP(E141,'All Products'!D:D,'All Products'!K:K,FALSE)</f>
        <v>049081140281</v>
      </c>
      <c r="R141" s="543" t="str">
        <f>_xlfn.XLOOKUP(E141,'All Products'!D:D,'All Products'!L:L,FALSE)</f>
        <v>049081640286</v>
      </c>
      <c r="S141" s="543" t="str">
        <f>_xlfn.XLOOKUP(E141,'All Products'!D:D,'All Products'!M:M,FALSE)</f>
        <v>40049081140289</v>
      </c>
      <c r="T141" s="530">
        <f>_xlfn.XLOOKUP(E141,'All Products'!D:D,'All Products'!N:N,FALSE)</f>
        <v>0.19400000000000001</v>
      </c>
      <c r="U141" s="543">
        <f>_xlfn.XLOOKUP(E141,'All Products'!D:D,'All Products'!O:O,FALSE)</f>
        <v>5</v>
      </c>
      <c r="V141" s="530">
        <f>_xlfn.XLOOKUP(E141,'All Products'!D:D,'All Products'!P:P,FALSE)</f>
        <v>10.73</v>
      </c>
      <c r="W141" s="530">
        <f>_xlfn.XLOOKUP(E141,'All Products'!D:D,'All Products'!Q:Q,FALSE)</f>
        <v>0.8</v>
      </c>
    </row>
    <row r="142" spans="1:23" ht="15" customHeight="1">
      <c r="A142" s="104" t="str">
        <f>IF(K142&gt;0,COUNT($A$7:A141)+COUNT('DWV PVC'!$A$8:$A$284)+COUNT('DWV ABS'!$A$8:$A$116)+1,"")</f>
        <v/>
      </c>
      <c r="B142" s="579"/>
      <c r="C142" s="580"/>
      <c r="D142" s="512" t="str">
        <f>_xlfn.XLOOKUP(E142,'All Products'!D:D,'All Products'!C:C,FALSE)</f>
        <v>417-015</v>
      </c>
      <c r="E142" s="53">
        <v>100022639</v>
      </c>
      <c r="F142" s="522" t="str">
        <f>_xlfn.XLOOKUP(E142,'All Products'!D:D,'All Products'!E:E,FALSE)</f>
        <v>1-1/2 45 ELL SLIP X SLIP</v>
      </c>
      <c r="G142" s="282">
        <f>_xlfn.XLOOKUP(E142,'All Products'!D:D,'All Products'!F:F,FALSE)</f>
        <v>50</v>
      </c>
      <c r="H142" s="533">
        <f>_xlfn.XLOOKUP(E142,'All Products'!D:D,'All Products'!G:G,FALSE)</f>
        <v>3750</v>
      </c>
      <c r="I142" s="540">
        <f>_xlfn.XLOOKUP(E142,'All Products'!D:D,'All Products'!H:H,FALSE)</f>
        <v>8.5399999999999991</v>
      </c>
      <c r="J142" s="216">
        <f>ROUND(I142*Order_Quote!$L$4,2)</f>
        <v>42.7</v>
      </c>
      <c r="K142" s="76"/>
      <c r="L142" s="79"/>
      <c r="M142" s="117">
        <f t="shared" si="3"/>
        <v>0</v>
      </c>
      <c r="O142" s="530" t="str">
        <f>_xlfn.XLOOKUP(E142,'All Products'!D:D,'All Products'!I:I,FALSE)</f>
        <v>In Stock</v>
      </c>
      <c r="P142" s="530" t="str">
        <f>_xlfn.XLOOKUP(E142,'All Products'!D:D,'All Products'!J:J,FALSE)</f>
        <v>Manufactured</v>
      </c>
      <c r="Q142" s="543" t="str">
        <f>_xlfn.XLOOKUP(E142,'All Products'!D:D,'All Products'!K:K,FALSE)</f>
        <v>049081140304</v>
      </c>
      <c r="R142" s="543" t="str">
        <f>_xlfn.XLOOKUP(E142,'All Products'!D:D,'All Products'!L:L,FALSE)</f>
        <v>049081640309</v>
      </c>
      <c r="S142" s="543" t="str">
        <f>_xlfn.XLOOKUP(E142,'All Products'!D:D,'All Products'!M:M,FALSE)</f>
        <v>40049081140302</v>
      </c>
      <c r="T142" s="530">
        <f>_xlfn.XLOOKUP(E142,'All Products'!D:D,'All Products'!N:N,FALSE)</f>
        <v>0.22800000000000001</v>
      </c>
      <c r="U142" s="543">
        <f>_xlfn.XLOOKUP(E142,'All Products'!D:D,'All Products'!O:O,FALSE)</f>
        <v>10</v>
      </c>
      <c r="V142" s="530">
        <f>_xlfn.XLOOKUP(E142,'All Products'!D:D,'All Products'!P:P,FALSE)</f>
        <v>12.35</v>
      </c>
      <c r="W142" s="530">
        <f>_xlfn.XLOOKUP(E142,'All Products'!D:D,'All Products'!Q:Q,FALSE)</f>
        <v>0.95</v>
      </c>
    </row>
    <row r="143" spans="1:23" ht="15" customHeight="1">
      <c r="A143" s="104" t="str">
        <f>IF(K143&gt;0,COUNT($A$7:A142)+COUNT('DWV PVC'!$A$8:$A$284)+COUNT('DWV ABS'!$A$8:$A$116)+1,"")</f>
        <v/>
      </c>
      <c r="B143" s="579"/>
      <c r="C143" s="580"/>
      <c r="D143" s="512" t="str">
        <f>_xlfn.XLOOKUP(E143,'All Products'!D:D,'All Products'!C:C,FALSE)</f>
        <v>417-020</v>
      </c>
      <c r="E143" s="53">
        <v>100027403</v>
      </c>
      <c r="F143" s="522" t="str">
        <f>_xlfn.XLOOKUP(E143,'All Products'!D:D,'All Products'!E:E,FALSE)</f>
        <v>2 45 ELL SLIP X SLIP</v>
      </c>
      <c r="G143" s="282">
        <f>_xlfn.XLOOKUP(E143,'All Products'!D:D,'All Products'!F:F,FALSE)</f>
        <v>20</v>
      </c>
      <c r="H143" s="533">
        <f>_xlfn.XLOOKUP(E143,'All Products'!D:D,'All Products'!G:G,FALSE)</f>
        <v>2400</v>
      </c>
      <c r="I143" s="540">
        <f>_xlfn.XLOOKUP(E143,'All Products'!D:D,'All Products'!H:H,FALSE)</f>
        <v>11.15</v>
      </c>
      <c r="J143" s="216">
        <f>ROUND(I143*Order_Quote!$L$4,2)</f>
        <v>55.75</v>
      </c>
      <c r="K143" s="76"/>
      <c r="L143" s="79"/>
      <c r="M143" s="117">
        <f t="shared" si="3"/>
        <v>0</v>
      </c>
      <c r="O143" s="530" t="str">
        <f>_xlfn.XLOOKUP(E143,'All Products'!D:D,'All Products'!I:I,FALSE)</f>
        <v>In Stock</v>
      </c>
      <c r="P143" s="530" t="str">
        <f>_xlfn.XLOOKUP(E143,'All Products'!D:D,'All Products'!J:J,FALSE)</f>
        <v>Manufactured</v>
      </c>
      <c r="Q143" s="543" t="str">
        <f>_xlfn.XLOOKUP(E143,'All Products'!D:D,'All Products'!K:K,FALSE)</f>
        <v>049081140328</v>
      </c>
      <c r="R143" s="543" t="str">
        <f>_xlfn.XLOOKUP(E143,'All Products'!D:D,'All Products'!L:L,FALSE)</f>
        <v>049081640323</v>
      </c>
      <c r="S143" s="543" t="str">
        <f>_xlfn.XLOOKUP(E143,'All Products'!D:D,'All Products'!M:M,FALSE)</f>
        <v>40049081140326</v>
      </c>
      <c r="T143" s="530">
        <f>_xlfn.XLOOKUP(E143,'All Products'!D:D,'All Products'!N:N,FALSE)</f>
        <v>0.307</v>
      </c>
      <c r="U143" s="543">
        <f>_xlfn.XLOOKUP(E143,'All Products'!D:D,'All Products'!O:O,FALSE)</f>
        <v>5</v>
      </c>
      <c r="V143" s="530">
        <f>_xlfn.XLOOKUP(E143,'All Products'!D:D,'All Products'!P:P,FALSE)</f>
        <v>7.56</v>
      </c>
      <c r="W143" s="530">
        <f>_xlfn.XLOOKUP(E143,'All Products'!D:D,'All Products'!Q:Q,FALSE)</f>
        <v>0.65</v>
      </c>
    </row>
    <row r="144" spans="1:23" ht="15" customHeight="1">
      <c r="A144" s="104" t="str">
        <f>IF(K144&gt;0,COUNT($A$7:A143)+COUNT('DWV PVC'!$A$8:$A$284)+COUNT('DWV ABS'!$A$8:$A$116)+1,"")</f>
        <v/>
      </c>
      <c r="B144" s="579"/>
      <c r="C144" s="580"/>
      <c r="D144" s="512" t="str">
        <f>_xlfn.XLOOKUP(E144,'All Products'!D:D,'All Products'!C:C,FALSE)</f>
        <v>417-025</v>
      </c>
      <c r="E144" s="53">
        <v>100022641</v>
      </c>
      <c r="F144" s="522" t="str">
        <f>_xlfn.XLOOKUP(E144,'All Products'!D:D,'All Products'!E:E,FALSE)</f>
        <v>2-1/2 45 ELL SLIP X SLIP</v>
      </c>
      <c r="G144" s="282">
        <f>_xlfn.XLOOKUP(E144,'All Products'!D:D,'All Products'!F:F,FALSE)</f>
        <v>10</v>
      </c>
      <c r="H144" s="533">
        <f>_xlfn.XLOOKUP(E144,'All Products'!D:D,'All Products'!G:G,FALSE)</f>
        <v>900</v>
      </c>
      <c r="I144" s="540">
        <f>_xlfn.XLOOKUP(E144,'All Products'!D:D,'All Products'!H:H,FALSE)</f>
        <v>29.05</v>
      </c>
      <c r="J144" s="216">
        <f>ROUND(I144*Order_Quote!$L$4,2)</f>
        <v>145.25</v>
      </c>
      <c r="K144" s="76"/>
      <c r="L144" s="79"/>
      <c r="M144" s="117">
        <f t="shared" si="3"/>
        <v>0</v>
      </c>
      <c r="O144" s="530" t="str">
        <f>_xlfn.XLOOKUP(E144,'All Products'!D:D,'All Products'!I:I,FALSE)</f>
        <v>In Stock</v>
      </c>
      <c r="P144" s="530" t="str">
        <f>_xlfn.XLOOKUP(E144,'All Products'!D:D,'All Products'!J:J,FALSE)</f>
        <v>Manufactured</v>
      </c>
      <c r="Q144" s="543" t="str">
        <f>_xlfn.XLOOKUP(E144,'All Products'!D:D,'All Products'!K:K,FALSE)</f>
        <v>049081140342</v>
      </c>
      <c r="R144" s="543" t="str">
        <f>_xlfn.XLOOKUP(E144,'All Products'!D:D,'All Products'!L:L,FALSE)</f>
        <v>-</v>
      </c>
      <c r="S144" s="543" t="str">
        <f>_xlfn.XLOOKUP(E144,'All Products'!D:D,'All Products'!M:M,FALSE)</f>
        <v>40049081140340</v>
      </c>
      <c r="T144" s="530">
        <f>_xlfn.XLOOKUP(E144,'All Products'!D:D,'All Products'!N:N,FALSE)</f>
        <v>0.63200000000000001</v>
      </c>
      <c r="U144" s="543" t="str">
        <f>_xlfn.XLOOKUP(E144,'All Products'!D:D,'All Products'!O:O,FALSE)</f>
        <v>-</v>
      </c>
      <c r="V144" s="530">
        <f>_xlfn.XLOOKUP(E144,'All Products'!D:D,'All Products'!P:P,FALSE)</f>
        <v>8.81</v>
      </c>
      <c r="W144" s="530">
        <f>_xlfn.XLOOKUP(E144,'All Products'!D:D,'All Products'!Q:Q,FALSE)</f>
        <v>0.8</v>
      </c>
    </row>
    <row r="145" spans="1:23" ht="15" customHeight="1">
      <c r="A145" s="104" t="str">
        <f>IF(K145&gt;0,COUNT($A$7:A144)+COUNT('DWV PVC'!$A$8:$A$284)+COUNT('DWV ABS'!$A$8:$A$116)+1,"")</f>
        <v/>
      </c>
      <c r="B145" s="579"/>
      <c r="C145" s="580"/>
      <c r="D145" s="512" t="str">
        <f>_xlfn.XLOOKUP(E145,'All Products'!D:D,'All Products'!C:C,FALSE)</f>
        <v>417-030</v>
      </c>
      <c r="E145" s="53">
        <v>100022643</v>
      </c>
      <c r="F145" s="522" t="str">
        <f>_xlfn.XLOOKUP(E145,'All Products'!D:D,'All Products'!E:E,FALSE)</f>
        <v>3 45 ELL SLIP X SLIP</v>
      </c>
      <c r="G145" s="282">
        <f>_xlfn.XLOOKUP(E145,'All Products'!D:D,'All Products'!F:F,FALSE)</f>
        <v>8</v>
      </c>
      <c r="H145" s="533">
        <f>_xlfn.XLOOKUP(E145,'All Products'!D:D,'All Products'!G:G,FALSE)</f>
        <v>720</v>
      </c>
      <c r="I145" s="540">
        <f>_xlfn.XLOOKUP(E145,'All Products'!D:D,'All Products'!H:H,FALSE)</f>
        <v>45.06</v>
      </c>
      <c r="J145" s="216">
        <f>ROUND(I145*Order_Quote!$L$4,2)</f>
        <v>225.3</v>
      </c>
      <c r="K145" s="76"/>
      <c r="L145" s="79"/>
      <c r="M145" s="117">
        <f t="shared" si="3"/>
        <v>0</v>
      </c>
      <c r="O145" s="530" t="str">
        <f>_xlfn.XLOOKUP(E145,'All Products'!D:D,'All Products'!I:I,FALSE)</f>
        <v>In Stock</v>
      </c>
      <c r="P145" s="530" t="str">
        <f>_xlfn.XLOOKUP(E145,'All Products'!D:D,'All Products'!J:J,FALSE)</f>
        <v>Manufactured</v>
      </c>
      <c r="Q145" s="543" t="str">
        <f>_xlfn.XLOOKUP(E145,'All Products'!D:D,'All Products'!K:K,FALSE)</f>
        <v>049081140366</v>
      </c>
      <c r="R145" s="543" t="str">
        <f>_xlfn.XLOOKUP(E145,'All Products'!D:D,'All Products'!L:L,FALSE)</f>
        <v>-</v>
      </c>
      <c r="S145" s="543" t="str">
        <f>_xlfn.XLOOKUP(E145,'All Products'!D:D,'All Products'!M:M,FALSE)</f>
        <v>40049081140364</v>
      </c>
      <c r="T145" s="530">
        <f>_xlfn.XLOOKUP(E145,'All Products'!D:D,'All Products'!N:N,FALSE)</f>
        <v>1.53</v>
      </c>
      <c r="U145" s="543" t="str">
        <f>_xlfn.XLOOKUP(E145,'All Products'!D:D,'All Products'!O:O,FALSE)</f>
        <v>-</v>
      </c>
      <c r="V145" s="530">
        <f>_xlfn.XLOOKUP(E145,'All Products'!D:D,'All Products'!P:P,FALSE)</f>
        <v>13</v>
      </c>
      <c r="W145" s="530">
        <f>_xlfn.XLOOKUP(E145,'All Products'!D:D,'All Products'!Q:Q,FALSE)</f>
        <v>0.8</v>
      </c>
    </row>
    <row r="146" spans="1:23" ht="15" customHeight="1">
      <c r="A146" s="104" t="str">
        <f>IF(K146&gt;0,COUNT($A$7:A145)+COUNT('DWV PVC'!$A$8:$A$284)+COUNT('DWV ABS'!$A$8:$A$116)+1,"")</f>
        <v/>
      </c>
      <c r="B146" s="579"/>
      <c r="C146" s="580"/>
      <c r="D146" s="512" t="str">
        <f>_xlfn.XLOOKUP(E146,'All Products'!D:D,'All Products'!C:C,FALSE)</f>
        <v>417-040</v>
      </c>
      <c r="E146" s="53">
        <v>100022645</v>
      </c>
      <c r="F146" s="522" t="str">
        <f>_xlfn.XLOOKUP(E146,'All Products'!D:D,'All Products'!E:E,FALSE)</f>
        <v>4 45 ELL SLIP X SLIP</v>
      </c>
      <c r="G146" s="282">
        <f>_xlfn.XLOOKUP(E146,'All Products'!D:D,'All Products'!F:F,FALSE)</f>
        <v>3</v>
      </c>
      <c r="H146" s="533">
        <f>_xlfn.XLOOKUP(E146,'All Products'!D:D,'All Products'!G:G,FALSE)</f>
        <v>270</v>
      </c>
      <c r="I146" s="540">
        <f>_xlfn.XLOOKUP(E146,'All Products'!D:D,'All Products'!H:H,FALSE)</f>
        <v>80.77</v>
      </c>
      <c r="J146" s="216">
        <f>ROUND(I146*Order_Quote!$L$4,2)</f>
        <v>403.85</v>
      </c>
      <c r="K146" s="76"/>
      <c r="L146" s="79"/>
      <c r="M146" s="117">
        <f t="shared" si="3"/>
        <v>0</v>
      </c>
      <c r="O146" s="530" t="str">
        <f>_xlfn.XLOOKUP(E146,'All Products'!D:D,'All Products'!I:I,FALSE)</f>
        <v>In Stock</v>
      </c>
      <c r="P146" s="530" t="str">
        <f>_xlfn.XLOOKUP(E146,'All Products'!D:D,'All Products'!J:J,FALSE)</f>
        <v>Manufactured</v>
      </c>
      <c r="Q146" s="543" t="str">
        <f>_xlfn.XLOOKUP(E146,'All Products'!D:D,'All Products'!K:K,FALSE)</f>
        <v>049081140380</v>
      </c>
      <c r="R146" s="543" t="str">
        <f>_xlfn.XLOOKUP(E146,'All Products'!D:D,'All Products'!L:L,FALSE)</f>
        <v>-</v>
      </c>
      <c r="S146" s="543" t="str">
        <f>_xlfn.XLOOKUP(E146,'All Products'!D:D,'All Products'!M:M,FALSE)</f>
        <v>40049081140388</v>
      </c>
      <c r="T146" s="530">
        <f>_xlfn.XLOOKUP(E146,'All Products'!D:D,'All Products'!N:N,FALSE)</f>
        <v>1.48</v>
      </c>
      <c r="U146" s="543" t="str">
        <f>_xlfn.XLOOKUP(E146,'All Products'!D:D,'All Products'!O:O,FALSE)</f>
        <v>-</v>
      </c>
      <c r="V146" s="530">
        <f>_xlfn.XLOOKUP(E146,'All Products'!D:D,'All Products'!P:P,FALSE)</f>
        <v>7.07</v>
      </c>
      <c r="W146" s="530">
        <f>_xlfn.XLOOKUP(E146,'All Products'!D:D,'All Products'!Q:Q,FALSE)</f>
        <v>0.8</v>
      </c>
    </row>
    <row r="147" spans="1:23" ht="15" customHeight="1">
      <c r="A147" s="104" t="str">
        <f>IF(K147&gt;0,COUNT($A$7:A146)+COUNT('DWV PVC'!$A$8:$A$284)+COUNT('DWV ABS'!$A$8:$A$116)+1,"")</f>
        <v/>
      </c>
      <c r="B147" s="115"/>
      <c r="C147" s="116"/>
      <c r="D147" s="512" t="str">
        <f>_xlfn.XLOOKUP(E147,'All Products'!D:D,'All Products'!C:C,FALSE)</f>
        <v>417-050</v>
      </c>
      <c r="E147" s="53">
        <v>100022647</v>
      </c>
      <c r="F147" s="522" t="str">
        <f>_xlfn.XLOOKUP(E147,'All Products'!D:D,'All Products'!E:E,FALSE)</f>
        <v>5 45 ELL SLIP X SLIP</v>
      </c>
      <c r="G147" s="282">
        <f>_xlfn.XLOOKUP(E147,'All Products'!D:D,'All Products'!F:F,FALSE)</f>
        <v>2</v>
      </c>
      <c r="H147" s="533">
        <f>_xlfn.XLOOKUP(E147,'All Products'!D:D,'All Products'!G:G,FALSE)</f>
        <v>150</v>
      </c>
      <c r="I147" s="540">
        <f>_xlfn.XLOOKUP(E147,'All Products'!D:D,'All Products'!H:H,FALSE)</f>
        <v>160.22999999999999</v>
      </c>
      <c r="J147" s="216">
        <f>ROUND(I147*Order_Quote!$L$4,2)</f>
        <v>801.15</v>
      </c>
      <c r="K147" s="76"/>
      <c r="L147" s="79"/>
      <c r="M147" s="117">
        <f t="shared" si="3"/>
        <v>0</v>
      </c>
      <c r="O147" s="530" t="str">
        <f>_xlfn.XLOOKUP(E147,'All Products'!D:D,'All Products'!I:I,FALSE)</f>
        <v>In Stock</v>
      </c>
      <c r="P147" s="530" t="str">
        <f>_xlfn.XLOOKUP(E147,'All Products'!D:D,'All Products'!J:J,FALSE)</f>
        <v>Manufactured</v>
      </c>
      <c r="Q147" s="543" t="str">
        <f>_xlfn.XLOOKUP(E147,'All Products'!D:D,'All Products'!K:K,FALSE)</f>
        <v>049081140403</v>
      </c>
      <c r="R147" s="543" t="str">
        <f>_xlfn.XLOOKUP(E147,'All Products'!D:D,'All Products'!L:L,FALSE)</f>
        <v>-</v>
      </c>
      <c r="S147" s="543" t="str">
        <f>_xlfn.XLOOKUP(E147,'All Products'!D:D,'All Products'!M:M,FALSE)</f>
        <v>40049081140401</v>
      </c>
      <c r="T147" s="530">
        <f>_xlfn.XLOOKUP(E147,'All Products'!D:D,'All Products'!N:N,FALSE)</f>
        <v>3.1560000000000001</v>
      </c>
      <c r="U147" s="543" t="str">
        <f>_xlfn.XLOOKUP(E147,'All Products'!D:D,'All Products'!O:O,FALSE)</f>
        <v>-</v>
      </c>
      <c r="V147" s="530">
        <f>_xlfn.XLOOKUP(E147,'All Products'!D:D,'All Products'!P:P,FALSE)</f>
        <v>7.05</v>
      </c>
      <c r="W147" s="530">
        <f>_xlfn.XLOOKUP(E147,'All Products'!D:D,'All Products'!Q:Q,FALSE)</f>
        <v>0.95</v>
      </c>
    </row>
    <row r="148" spans="1:23" ht="15" customHeight="1">
      <c r="A148" s="104" t="str">
        <f>IF(K148&gt;0,COUNT($A$7:A147)+COUNT('DWV PVC'!$A$8:$A$284)+COUNT('DWV ABS'!$A$8:$A$116)+1,"")</f>
        <v/>
      </c>
      <c r="B148" s="115"/>
      <c r="C148" s="116"/>
      <c r="D148" s="512" t="str">
        <f>_xlfn.XLOOKUP(E148,'All Products'!D:D,'All Products'!C:C,FALSE)</f>
        <v>417-060</v>
      </c>
      <c r="E148" s="53">
        <v>100022649</v>
      </c>
      <c r="F148" s="522" t="str">
        <f>_xlfn.XLOOKUP(E148,'All Products'!D:D,'All Products'!E:E,FALSE)</f>
        <v>6 45 ELL SLIP X SLIP</v>
      </c>
      <c r="G148" s="282">
        <f>_xlfn.XLOOKUP(E148,'All Products'!D:D,'All Products'!F:F,FALSE)</f>
        <v>2</v>
      </c>
      <c r="H148" s="533">
        <f>_xlfn.XLOOKUP(E148,'All Products'!D:D,'All Products'!G:G,FALSE)</f>
        <v>120</v>
      </c>
      <c r="I148" s="540">
        <f>_xlfn.XLOOKUP(E148,'All Products'!D:D,'All Products'!H:H,FALSE)</f>
        <v>199.57</v>
      </c>
      <c r="J148" s="216">
        <f>ROUND(I148*Order_Quote!$L$4,2)</f>
        <v>997.85</v>
      </c>
      <c r="K148" s="76"/>
      <c r="L148" s="79"/>
      <c r="M148" s="117">
        <f t="shared" si="3"/>
        <v>0</v>
      </c>
      <c r="O148" s="530" t="str">
        <f>_xlfn.XLOOKUP(E148,'All Products'!D:D,'All Products'!I:I,FALSE)</f>
        <v>In Stock</v>
      </c>
      <c r="P148" s="530" t="str">
        <f>_xlfn.XLOOKUP(E148,'All Products'!D:D,'All Products'!J:J,FALSE)</f>
        <v>Manufactured</v>
      </c>
      <c r="Q148" s="543" t="str">
        <f>_xlfn.XLOOKUP(E148,'All Products'!D:D,'All Products'!K:K,FALSE)</f>
        <v>049081140427</v>
      </c>
      <c r="R148" s="543" t="str">
        <f>_xlfn.XLOOKUP(E148,'All Products'!D:D,'All Products'!L:L,FALSE)</f>
        <v>-</v>
      </c>
      <c r="S148" s="543" t="str">
        <f>_xlfn.XLOOKUP(E148,'All Products'!D:D,'All Products'!M:M,FALSE)</f>
        <v>40049081140425</v>
      </c>
      <c r="T148" s="530">
        <f>_xlfn.XLOOKUP(E148,'All Products'!D:D,'All Products'!N:N,FALSE)</f>
        <v>4.0549999999999997</v>
      </c>
      <c r="U148" s="543" t="str">
        <f>_xlfn.XLOOKUP(E148,'All Products'!D:D,'All Products'!O:O,FALSE)</f>
        <v>-</v>
      </c>
      <c r="V148" s="530">
        <f>_xlfn.XLOOKUP(E148,'All Products'!D:D,'All Products'!P:P,FALSE)</f>
        <v>9.06</v>
      </c>
      <c r="W148" s="530">
        <f>_xlfn.XLOOKUP(E148,'All Products'!D:D,'All Products'!Q:Q,FALSE)</f>
        <v>1.41</v>
      </c>
    </row>
    <row r="149" spans="1:23" ht="15" customHeight="1">
      <c r="A149" s="104" t="str">
        <f>IF(K149&gt;0,COUNT($A$7:A148)+COUNT('DWV PVC'!$A$8:$A$284)+COUNT('DWV ABS'!$A$8:$A$116)+1,"")</f>
        <v/>
      </c>
      <c r="B149" s="115"/>
      <c r="C149" s="116"/>
      <c r="D149" s="512" t="str">
        <f>_xlfn.XLOOKUP(E149,'All Products'!D:D,'All Products'!C:C,FALSE)</f>
        <v>417-080</v>
      </c>
      <c r="E149" s="53">
        <v>100027404</v>
      </c>
      <c r="F149" s="522" t="str">
        <f>_xlfn.XLOOKUP(E149,'All Products'!D:D,'All Products'!E:E,FALSE)</f>
        <v>8 45 ELL SLIP X SLIP</v>
      </c>
      <c r="G149" s="282">
        <f>_xlfn.XLOOKUP(E149,'All Products'!D:D,'All Products'!F:F,FALSE)</f>
        <v>2</v>
      </c>
      <c r="H149" s="533">
        <f>_xlfn.XLOOKUP(E149,'All Products'!D:D,'All Products'!G:G,FALSE)</f>
        <v>48</v>
      </c>
      <c r="I149" s="540">
        <f>_xlfn.XLOOKUP(E149,'All Products'!D:D,'All Products'!H:H,FALSE)</f>
        <v>479.99</v>
      </c>
      <c r="J149" s="216">
        <f>ROUND(I149*Order_Quote!$L$4,2)</f>
        <v>2399.9499999999998</v>
      </c>
      <c r="K149" s="76"/>
      <c r="L149" s="79"/>
      <c r="M149" s="117">
        <f t="shared" si="3"/>
        <v>0</v>
      </c>
      <c r="O149" s="530" t="str">
        <f>_xlfn.XLOOKUP(E149,'All Products'!D:D,'All Products'!I:I,FALSE)</f>
        <v>In Stock</v>
      </c>
      <c r="P149" s="530" t="str">
        <f>_xlfn.XLOOKUP(E149,'All Products'!D:D,'All Products'!J:J,FALSE)</f>
        <v>Manufactured</v>
      </c>
      <c r="Q149" s="543" t="str">
        <f>_xlfn.XLOOKUP(E149,'All Products'!D:D,'All Products'!K:K,FALSE)</f>
        <v>049081140441</v>
      </c>
      <c r="R149" s="543" t="str">
        <f>_xlfn.XLOOKUP(E149,'All Products'!D:D,'All Products'!L:L,FALSE)</f>
        <v>-</v>
      </c>
      <c r="S149" s="543" t="str">
        <f>_xlfn.XLOOKUP(E149,'All Products'!D:D,'All Products'!M:M,FALSE)</f>
        <v>40049081140449</v>
      </c>
      <c r="T149" s="530">
        <f>_xlfn.XLOOKUP(E149,'All Products'!D:D,'All Products'!N:N,FALSE)</f>
        <v>8.2059999999999995</v>
      </c>
      <c r="U149" s="543" t="str">
        <f>_xlfn.XLOOKUP(E149,'All Products'!D:D,'All Products'!O:O,FALSE)</f>
        <v>-</v>
      </c>
      <c r="V149" s="530">
        <f>_xlfn.XLOOKUP(E149,'All Products'!D:D,'All Products'!P:P,FALSE)</f>
        <v>18.489999999999998</v>
      </c>
      <c r="W149" s="530">
        <f>_xlfn.XLOOKUP(E149,'All Products'!D:D,'All Products'!Q:Q,FALSE)</f>
        <v>2.77</v>
      </c>
    </row>
    <row r="150" spans="1:23" ht="15" customHeight="1">
      <c r="A150" s="104" t="str">
        <f>IF(K150&gt;0,COUNT($A$7:A149)+COUNT('DWV PVC'!$A$8:$A$284)+COUNT('DWV ABS'!$A$8:$A$116)+1,"")</f>
        <v/>
      </c>
      <c r="B150" s="379"/>
      <c r="C150" s="291"/>
      <c r="D150" s="512" t="str">
        <f>_xlfn.XLOOKUP(E150,'All Products'!D:D,'All Products'!C:C,FALSE)</f>
        <v>420-005</v>
      </c>
      <c r="E150" s="53">
        <v>100022651</v>
      </c>
      <c r="F150" s="522" t="str">
        <f>_xlfn.XLOOKUP(E150,'All Products'!D:D,'All Products'!E:E,FALSE)</f>
        <v>1/2 CROSS SLIP</v>
      </c>
      <c r="G150" s="282">
        <f>_xlfn.XLOOKUP(E150,'All Products'!D:D,'All Products'!F:F,FALSE)</f>
        <v>100</v>
      </c>
      <c r="H150" s="533">
        <f>_xlfn.XLOOKUP(E150,'All Products'!D:D,'All Products'!G:G,FALSE)</f>
        <v>9000</v>
      </c>
      <c r="I150" s="540">
        <f>_xlfn.XLOOKUP(E150,'All Products'!D:D,'All Products'!H:H,FALSE)</f>
        <v>6.1</v>
      </c>
      <c r="J150" s="216">
        <f>ROUND(I150*Order_Quote!$L$4,2)</f>
        <v>30.5</v>
      </c>
      <c r="K150" s="76"/>
      <c r="L150" s="79"/>
      <c r="M150" s="117">
        <f t="shared" ref="M150:M169" si="4">K150/G150</f>
        <v>0</v>
      </c>
      <c r="O150" s="530" t="str">
        <f>_xlfn.XLOOKUP(E150,'All Products'!D:D,'All Products'!I:I,FALSE)</f>
        <v>In Stock</v>
      </c>
      <c r="P150" s="530" t="str">
        <f>_xlfn.XLOOKUP(E150,'All Products'!D:D,'All Products'!J:J,FALSE)</f>
        <v>Manufactured</v>
      </c>
      <c r="Q150" s="543" t="str">
        <f>_xlfn.XLOOKUP(E150,'All Products'!D:D,'All Products'!K:K,FALSE)</f>
        <v>049081139285</v>
      </c>
      <c r="R150" s="543" t="str">
        <f>_xlfn.XLOOKUP(E150,'All Products'!D:D,'All Products'!L:L,FALSE)</f>
        <v>049081639280</v>
      </c>
      <c r="S150" s="543" t="str">
        <f>_xlfn.XLOOKUP(E150,'All Products'!D:D,'All Products'!M:M,FALSE)</f>
        <v>40049081139283</v>
      </c>
      <c r="T150" s="530">
        <f>_xlfn.XLOOKUP(E150,'All Products'!D:D,'All Products'!N:N,FALSE)</f>
        <v>8.5999999999999993E-2</v>
      </c>
      <c r="U150" s="543">
        <f>_xlfn.XLOOKUP(E150,'All Products'!D:D,'All Products'!O:O,FALSE)</f>
        <v>10</v>
      </c>
      <c r="V150" s="530">
        <f>_xlfn.XLOOKUP(E150,'All Products'!D:D,'All Products'!P:P,FALSE)</f>
        <v>9.39</v>
      </c>
      <c r="W150" s="530">
        <f>_xlfn.XLOOKUP(E150,'All Products'!D:D,'All Products'!Q:Q,FALSE)</f>
        <v>0.8</v>
      </c>
    </row>
    <row r="151" spans="1:23" ht="15" customHeight="1">
      <c r="A151" s="104" t="str">
        <f>IF(K151&gt;0,COUNT($A$7:A150)+COUNT('DWV PVC'!$A$8:$A$284)+COUNT('DWV ABS'!$A$8:$A$116)+1,"")</f>
        <v/>
      </c>
      <c r="B151" s="115"/>
      <c r="C151" s="116"/>
      <c r="D151" s="512" t="str">
        <f>_xlfn.XLOOKUP(E151,'All Products'!D:D,'All Products'!C:C,FALSE)</f>
        <v>420-007</v>
      </c>
      <c r="E151" s="53">
        <v>100022653</v>
      </c>
      <c r="F151" s="522" t="str">
        <f>_xlfn.XLOOKUP(E151,'All Products'!D:D,'All Products'!E:E,FALSE)</f>
        <v>3/4 CROSS SLIP</v>
      </c>
      <c r="G151" s="282">
        <f>_xlfn.XLOOKUP(E151,'All Products'!D:D,'All Products'!F:F,FALSE)</f>
        <v>50</v>
      </c>
      <c r="H151" s="533">
        <f>_xlfn.XLOOKUP(E151,'All Products'!D:D,'All Products'!G:G,FALSE)</f>
        <v>6000</v>
      </c>
      <c r="I151" s="540">
        <f>_xlfn.XLOOKUP(E151,'All Products'!D:D,'All Products'!H:H,FALSE)</f>
        <v>10.08</v>
      </c>
      <c r="J151" s="216">
        <f>ROUND(I151*Order_Quote!$L$4,2)</f>
        <v>50.4</v>
      </c>
      <c r="K151" s="76"/>
      <c r="L151" s="79"/>
      <c r="M151" s="117">
        <f t="shared" si="4"/>
        <v>0</v>
      </c>
      <c r="O151" s="530" t="str">
        <f>_xlfn.XLOOKUP(E151,'All Products'!D:D,'All Products'!I:I,FALSE)</f>
        <v>In Stock</v>
      </c>
      <c r="P151" s="530" t="str">
        <f>_xlfn.XLOOKUP(E151,'All Products'!D:D,'All Products'!J:J,FALSE)</f>
        <v>Manufactured</v>
      </c>
      <c r="Q151" s="543" t="str">
        <f>_xlfn.XLOOKUP(E151,'All Products'!D:D,'All Products'!K:K,FALSE)</f>
        <v>049081139308</v>
      </c>
      <c r="R151" s="543" t="str">
        <f>_xlfn.XLOOKUP(E151,'All Products'!D:D,'All Products'!L:L,FALSE)</f>
        <v>049081639303</v>
      </c>
      <c r="S151" s="543" t="str">
        <f>_xlfn.XLOOKUP(E151,'All Products'!D:D,'All Products'!M:M,FALSE)</f>
        <v>40049081139306</v>
      </c>
      <c r="T151" s="530">
        <f>_xlfn.XLOOKUP(E151,'All Products'!D:D,'All Products'!N:N,FALSE)</f>
        <v>0.13900000000000001</v>
      </c>
      <c r="U151" s="543">
        <f>_xlfn.XLOOKUP(E151,'All Products'!D:D,'All Products'!O:O,FALSE)</f>
        <v>10</v>
      </c>
      <c r="V151" s="530">
        <f>_xlfn.XLOOKUP(E151,'All Products'!D:D,'All Products'!P:P,FALSE)</f>
        <v>7.57</v>
      </c>
      <c r="W151" s="530">
        <f>_xlfn.XLOOKUP(E151,'All Products'!D:D,'All Products'!Q:Q,FALSE)</f>
        <v>0.65</v>
      </c>
    </row>
    <row r="152" spans="1:23" ht="15" customHeight="1">
      <c r="A152" s="104" t="str">
        <f>IF(K152&gt;0,COUNT($A$7:A151)+COUNT('DWV PVC'!$A$8:$A$284)+COUNT('DWV ABS'!$A$8:$A$116)+1,"")</f>
        <v/>
      </c>
      <c r="B152" s="115"/>
      <c r="C152" s="116"/>
      <c r="D152" s="512" t="str">
        <f>_xlfn.XLOOKUP(E152,'All Products'!D:D,'All Products'!C:C,FALSE)</f>
        <v>420-010</v>
      </c>
      <c r="E152" s="53">
        <v>100027405</v>
      </c>
      <c r="F152" s="522" t="str">
        <f>_xlfn.XLOOKUP(E152,'All Products'!D:D,'All Products'!E:E,FALSE)</f>
        <v>1 CROSS SLIP</v>
      </c>
      <c r="G152" s="282">
        <f>_xlfn.XLOOKUP(E152,'All Products'!D:D,'All Products'!F:F,FALSE)</f>
        <v>25</v>
      </c>
      <c r="H152" s="533">
        <f>_xlfn.XLOOKUP(E152,'All Products'!D:D,'All Products'!G:G,FALSE)</f>
        <v>3750</v>
      </c>
      <c r="I152" s="540">
        <f>_xlfn.XLOOKUP(E152,'All Products'!D:D,'All Products'!H:H,FALSE)</f>
        <v>12.56</v>
      </c>
      <c r="J152" s="216">
        <f>ROUND(I152*Order_Quote!$L$4,2)</f>
        <v>62.8</v>
      </c>
      <c r="K152" s="76"/>
      <c r="L152" s="79"/>
      <c r="M152" s="117">
        <f t="shared" si="4"/>
        <v>0</v>
      </c>
      <c r="O152" s="530" t="str">
        <f>_xlfn.XLOOKUP(E152,'All Products'!D:D,'All Products'!I:I,FALSE)</f>
        <v>In Stock</v>
      </c>
      <c r="P152" s="530" t="str">
        <f>_xlfn.XLOOKUP(E152,'All Products'!D:D,'All Products'!J:J,FALSE)</f>
        <v>Manufactured</v>
      </c>
      <c r="Q152" s="543">
        <f>_xlfn.XLOOKUP(E152,'All Products'!D:D,'All Products'!K:K,FALSE)</f>
        <v>0</v>
      </c>
      <c r="R152" s="543" t="str">
        <f>_xlfn.XLOOKUP(E152,'All Products'!D:D,'All Products'!L:L,FALSE)</f>
        <v>049081639327</v>
      </c>
      <c r="S152" s="543" t="str">
        <f>_xlfn.XLOOKUP(E152,'All Products'!D:D,'All Products'!M:M,FALSE)</f>
        <v>40049081139320</v>
      </c>
      <c r="T152" s="530">
        <f>_xlfn.XLOOKUP(E152,'All Products'!D:D,'All Products'!N:N,FALSE)</f>
        <v>0.224</v>
      </c>
      <c r="U152" s="543">
        <f>_xlfn.XLOOKUP(E152,'All Products'!D:D,'All Products'!O:O,FALSE)</f>
        <v>5</v>
      </c>
      <c r="V152" s="530">
        <f>_xlfn.XLOOKUP(E152,'All Products'!D:D,'All Products'!P:P,FALSE)</f>
        <v>6.28</v>
      </c>
      <c r="W152" s="530">
        <f>_xlfn.XLOOKUP(E152,'All Products'!D:D,'All Products'!Q:Q,FALSE)</f>
        <v>0.5</v>
      </c>
    </row>
    <row r="153" spans="1:23" ht="15" customHeight="1">
      <c r="A153" s="104" t="str">
        <f>IF(K153&gt;0,COUNT($A$7:A152)+COUNT('DWV PVC'!$A$8:$A$284)+COUNT('DWV ABS'!$A$8:$A$116)+1,"")</f>
        <v/>
      </c>
      <c r="B153" s="380"/>
      <c r="C153" s="292"/>
      <c r="D153" s="512" t="str">
        <f>_xlfn.XLOOKUP(E153,'All Products'!D:D,'All Products'!C:C,FALSE)</f>
        <v>420-020</v>
      </c>
      <c r="E153" s="53">
        <v>100022659</v>
      </c>
      <c r="F153" s="522" t="str">
        <f>_xlfn.XLOOKUP(E153,'All Products'!D:D,'All Products'!E:E,FALSE)</f>
        <v>2 CROSS SLIP</v>
      </c>
      <c r="G153" s="282">
        <f>_xlfn.XLOOKUP(E153,'All Products'!D:D,'All Products'!F:F,FALSE)</f>
        <v>10</v>
      </c>
      <c r="H153" s="533">
        <f>_xlfn.XLOOKUP(E153,'All Products'!D:D,'All Products'!G:G,FALSE)</f>
        <v>900</v>
      </c>
      <c r="I153" s="540">
        <f>_xlfn.XLOOKUP(E153,'All Products'!D:D,'All Products'!H:H,FALSE)</f>
        <v>27.77</v>
      </c>
      <c r="J153" s="216">
        <f>ROUND(I153*Order_Quote!$L$4,2)</f>
        <v>138.85</v>
      </c>
      <c r="K153" s="76"/>
      <c r="L153" s="79"/>
      <c r="M153" s="117">
        <f t="shared" si="4"/>
        <v>0</v>
      </c>
      <c r="O153" s="530" t="str">
        <f>_xlfn.XLOOKUP(E153,'All Products'!D:D,'All Products'!I:I,FALSE)</f>
        <v>In Stock</v>
      </c>
      <c r="P153" s="530" t="str">
        <f>_xlfn.XLOOKUP(E153,'All Products'!D:D,'All Products'!J:J,FALSE)</f>
        <v>Manufactured</v>
      </c>
      <c r="Q153" s="543" t="str">
        <f>_xlfn.XLOOKUP(E153,'All Products'!D:D,'All Products'!K:K,FALSE)</f>
        <v>049081139384</v>
      </c>
      <c r="R153" s="543" t="str">
        <f>_xlfn.XLOOKUP(E153,'All Products'!D:D,'All Products'!L:L,FALSE)</f>
        <v>-</v>
      </c>
      <c r="S153" s="543" t="str">
        <f>_xlfn.XLOOKUP(E153,'All Products'!D:D,'All Products'!M:M,FALSE)</f>
        <v>40049081139382</v>
      </c>
      <c r="T153" s="530">
        <f>_xlfn.XLOOKUP(E153,'All Products'!D:D,'All Products'!N:N,FALSE)</f>
        <v>0.70399999999999996</v>
      </c>
      <c r="U153" s="543" t="str">
        <f>_xlfn.XLOOKUP(E153,'All Products'!D:D,'All Products'!O:O,FALSE)</f>
        <v>-</v>
      </c>
      <c r="V153" s="530">
        <f>_xlfn.XLOOKUP(E153,'All Products'!D:D,'All Products'!P:P,FALSE)</f>
        <v>7.65</v>
      </c>
      <c r="W153" s="530">
        <f>_xlfn.XLOOKUP(E153,'All Products'!D:D,'All Products'!Q:Q,FALSE)</f>
        <v>0.8</v>
      </c>
    </row>
    <row r="154" spans="1:23" ht="15" customHeight="1">
      <c r="A154" s="104" t="str">
        <f>IF(K154&gt;0,COUNT($A$7:A153)+COUNT('DWV PVC'!$A$8:$A$284)+COUNT('DWV ABS'!$A$8:$A$116)+1,"")</f>
        <v/>
      </c>
      <c r="B154" s="577"/>
      <c r="C154" s="578"/>
      <c r="D154" s="512" t="str">
        <f>_xlfn.XLOOKUP(E154,'All Products'!D:D,'All Products'!C:C,FALSE)</f>
        <v>427-015</v>
      </c>
      <c r="E154" s="53">
        <v>100022664</v>
      </c>
      <c r="F154" s="522" t="str">
        <f>_xlfn.XLOOKUP(E154,'All Products'!D:D,'All Products'!E:E,FALSE)</f>
        <v>1-1/2 45 ELL SPGX SLIP</v>
      </c>
      <c r="G154" s="282">
        <f>_xlfn.XLOOKUP(E154,'All Products'!D:D,'All Products'!F:F,FALSE)</f>
        <v>50</v>
      </c>
      <c r="H154" s="533">
        <f>_xlfn.XLOOKUP(E154,'All Products'!D:D,'All Products'!G:G,FALSE)</f>
        <v>3750</v>
      </c>
      <c r="I154" s="540">
        <f>_xlfn.XLOOKUP(E154,'All Products'!D:D,'All Products'!H:H,FALSE)</f>
        <v>8.5399999999999991</v>
      </c>
      <c r="J154" s="216">
        <f>ROUND(I154*Order_Quote!$L$4,2)</f>
        <v>42.7</v>
      </c>
      <c r="K154" s="76"/>
      <c r="L154" s="79"/>
      <c r="M154" s="117">
        <f t="shared" si="4"/>
        <v>0</v>
      </c>
      <c r="O154" s="530" t="str">
        <f>_xlfn.XLOOKUP(E154,'All Products'!D:D,'All Products'!I:I,FALSE)</f>
        <v>In Stock</v>
      </c>
      <c r="P154" s="530" t="str">
        <f>_xlfn.XLOOKUP(E154,'All Products'!D:D,'All Products'!J:J,FALSE)</f>
        <v>Manufactured</v>
      </c>
      <c r="Q154" s="543" t="str">
        <f>_xlfn.XLOOKUP(E154,'All Products'!D:D,'All Products'!K:K,FALSE)</f>
        <v>049081141172</v>
      </c>
      <c r="R154" s="543" t="str">
        <f>_xlfn.XLOOKUP(E154,'All Products'!D:D,'All Products'!L:L,FALSE)</f>
        <v>049081641177</v>
      </c>
      <c r="S154" s="543" t="str">
        <f>_xlfn.XLOOKUP(E154,'All Products'!D:D,'All Products'!M:M,FALSE)</f>
        <v>40049081141170</v>
      </c>
      <c r="T154" s="530">
        <f>_xlfn.XLOOKUP(E154,'All Products'!D:D,'All Products'!N:N,FALSE)</f>
        <v>0.25</v>
      </c>
      <c r="U154" s="543">
        <f>_xlfn.XLOOKUP(E154,'All Products'!D:D,'All Products'!O:O,FALSE)</f>
        <v>10</v>
      </c>
      <c r="V154" s="530">
        <f>_xlfn.XLOOKUP(E154,'All Products'!D:D,'All Products'!P:P,FALSE)</f>
        <v>13.58</v>
      </c>
      <c r="W154" s="530">
        <f>_xlfn.XLOOKUP(E154,'All Products'!D:D,'All Products'!Q:Q,FALSE)</f>
        <v>0.95</v>
      </c>
    </row>
    <row r="155" spans="1:23" ht="15" customHeight="1">
      <c r="A155" s="104" t="str">
        <f>IF(K155&gt;0,COUNT($A$7:A154)+COUNT('DWV PVC'!$A$8:$A$284)+COUNT('DWV ABS'!$A$8:$A$116)+1,"")</f>
        <v/>
      </c>
      <c r="B155" s="581"/>
      <c r="C155" s="582"/>
      <c r="D155" s="512" t="str">
        <f>_xlfn.XLOOKUP(E155,'All Products'!D:D,'All Products'!C:C,FALSE)</f>
        <v>427-020</v>
      </c>
      <c r="E155" s="53">
        <v>100022666</v>
      </c>
      <c r="F155" s="522" t="str">
        <f>_xlfn.XLOOKUP(E155,'All Products'!D:D,'All Products'!E:E,FALSE)</f>
        <v>2 45 ELL SPGX SLIP</v>
      </c>
      <c r="G155" s="282">
        <f>_xlfn.XLOOKUP(E155,'All Products'!D:D,'All Products'!F:F,FALSE)</f>
        <v>20</v>
      </c>
      <c r="H155" s="533">
        <f>_xlfn.XLOOKUP(E155,'All Products'!D:D,'All Products'!G:G,FALSE)</f>
        <v>2400</v>
      </c>
      <c r="I155" s="540">
        <f>_xlfn.XLOOKUP(E155,'All Products'!D:D,'All Products'!H:H,FALSE)</f>
        <v>11.15</v>
      </c>
      <c r="J155" s="216">
        <f>ROUND(I155*Order_Quote!$L$4,2)</f>
        <v>55.75</v>
      </c>
      <c r="K155" s="76"/>
      <c r="L155" s="79"/>
      <c r="M155" s="117">
        <f t="shared" si="4"/>
        <v>0</v>
      </c>
      <c r="O155" s="530" t="str">
        <f>_xlfn.XLOOKUP(E155,'All Products'!D:D,'All Products'!I:I,FALSE)</f>
        <v>In Stock</v>
      </c>
      <c r="P155" s="530" t="str">
        <f>_xlfn.XLOOKUP(E155,'All Products'!D:D,'All Products'!J:J,FALSE)</f>
        <v>Manufactured</v>
      </c>
      <c r="Q155" s="543" t="str">
        <f>_xlfn.XLOOKUP(E155,'All Products'!D:D,'All Products'!K:K,FALSE)</f>
        <v>049081141196</v>
      </c>
      <c r="R155" s="543" t="str">
        <f>_xlfn.XLOOKUP(E155,'All Products'!D:D,'All Products'!L:L,FALSE)</f>
        <v>049081641191</v>
      </c>
      <c r="S155" s="543" t="str">
        <f>_xlfn.XLOOKUP(E155,'All Products'!D:D,'All Products'!M:M,FALSE)</f>
        <v>40049081141194</v>
      </c>
      <c r="T155" s="530">
        <f>_xlfn.XLOOKUP(E155,'All Products'!D:D,'All Products'!N:N,FALSE)</f>
        <v>0.34599999999999997</v>
      </c>
      <c r="U155" s="543">
        <f>_xlfn.XLOOKUP(E155,'All Products'!D:D,'All Products'!O:O,FALSE)</f>
        <v>5</v>
      </c>
      <c r="V155" s="530">
        <f>_xlfn.XLOOKUP(E155,'All Products'!D:D,'All Products'!P:P,FALSE)</f>
        <v>7.87</v>
      </c>
      <c r="W155" s="530">
        <f>_xlfn.XLOOKUP(E155,'All Products'!D:D,'All Products'!Q:Q,FALSE)</f>
        <v>0.65</v>
      </c>
    </row>
    <row r="156" spans="1:23" ht="15" customHeight="1">
      <c r="A156" s="104" t="str">
        <f>IF(K156&gt;0,COUNT($A$7:A155)+COUNT('DWV PVC'!$A$8:$A$284)+COUNT('DWV ABS'!$A$8:$A$116)+1,"")</f>
        <v/>
      </c>
      <c r="B156" s="579"/>
      <c r="C156" s="580"/>
      <c r="D156" s="512" t="str">
        <f>_xlfn.XLOOKUP(E156,'All Products'!D:D,'All Products'!C:C,FALSE)</f>
        <v>429-005</v>
      </c>
      <c r="E156" s="53">
        <v>100022668</v>
      </c>
      <c r="F156" s="522" t="str">
        <f>_xlfn.XLOOKUP(E156,'All Products'!D:D,'All Products'!E:E,FALSE)</f>
        <v>1/2 COUPLING SLIP X SLIP</v>
      </c>
      <c r="G156" s="282">
        <f>_xlfn.XLOOKUP(E156,'All Products'!D:D,'All Products'!F:F,FALSE)</f>
        <v>250</v>
      </c>
      <c r="H156" s="533">
        <f>_xlfn.XLOOKUP(E156,'All Products'!D:D,'All Products'!G:G,FALSE)</f>
        <v>30000</v>
      </c>
      <c r="I156" s="540">
        <f>_xlfn.XLOOKUP(E156,'All Products'!D:D,'All Products'!H:H,FALSE)</f>
        <v>1.03</v>
      </c>
      <c r="J156" s="216">
        <f>ROUND(I156*Order_Quote!$L$4,2)</f>
        <v>5.15</v>
      </c>
      <c r="K156" s="76"/>
      <c r="L156" s="79"/>
      <c r="M156" s="117">
        <f t="shared" si="4"/>
        <v>0</v>
      </c>
      <c r="O156" s="530" t="str">
        <f>_xlfn.XLOOKUP(E156,'All Products'!D:D,'All Products'!I:I,FALSE)</f>
        <v>In Stock</v>
      </c>
      <c r="P156" s="530" t="str">
        <f>_xlfn.XLOOKUP(E156,'All Products'!D:D,'All Products'!J:J,FALSE)</f>
        <v>Manufactured</v>
      </c>
      <c r="Q156" s="543" t="str">
        <f>_xlfn.XLOOKUP(E156,'All Products'!D:D,'All Products'!K:K,FALSE)</f>
        <v>049081137489</v>
      </c>
      <c r="R156" s="543" t="str">
        <f>_xlfn.XLOOKUP(E156,'All Products'!D:D,'All Products'!L:L,FALSE)</f>
        <v>049081637484</v>
      </c>
      <c r="S156" s="543" t="str">
        <f>_xlfn.XLOOKUP(E156,'All Products'!D:D,'All Products'!M:M,FALSE)</f>
        <v>40049081137487</v>
      </c>
      <c r="T156" s="530">
        <f>_xlfn.XLOOKUP(E156,'All Products'!D:D,'All Products'!N:N,FALSE)</f>
        <v>3.6999999999999998E-2</v>
      </c>
      <c r="U156" s="543">
        <f>_xlfn.XLOOKUP(E156,'All Products'!D:D,'All Products'!O:O,FALSE)</f>
        <v>10</v>
      </c>
      <c r="V156" s="530">
        <f>_xlfn.XLOOKUP(E156,'All Products'!D:D,'All Products'!P:P,FALSE)</f>
        <v>10.52</v>
      </c>
      <c r="W156" s="530">
        <f>_xlfn.XLOOKUP(E156,'All Products'!D:D,'All Products'!Q:Q,FALSE)</f>
        <v>0.65</v>
      </c>
    </row>
    <row r="157" spans="1:23" ht="15" customHeight="1">
      <c r="A157" s="104" t="str">
        <f>IF(K157&gt;0,COUNT($A$7:A156)+COUNT('DWV PVC'!$A$8:$A$284)+COUNT('DWV ABS'!$A$8:$A$116)+1,"")</f>
        <v/>
      </c>
      <c r="B157" s="579"/>
      <c r="C157" s="580"/>
      <c r="D157" s="512" t="str">
        <f>_xlfn.XLOOKUP(E157,'All Products'!D:D,'All Products'!C:C,FALSE)</f>
        <v>429-007</v>
      </c>
      <c r="E157" s="53">
        <v>100022672</v>
      </c>
      <c r="F157" s="522" t="str">
        <f>_xlfn.XLOOKUP(E157,'All Products'!D:D,'All Products'!E:E,FALSE)</f>
        <v>3/4 COUPLING SLIP X SLIP</v>
      </c>
      <c r="G157" s="282">
        <f>_xlfn.XLOOKUP(E157,'All Products'!D:D,'All Products'!F:F,FALSE)</f>
        <v>250</v>
      </c>
      <c r="H157" s="533">
        <f>_xlfn.XLOOKUP(E157,'All Products'!D:D,'All Products'!G:G,FALSE)</f>
        <v>18750</v>
      </c>
      <c r="I157" s="540">
        <f>_xlfn.XLOOKUP(E157,'All Products'!D:D,'All Products'!H:H,FALSE)</f>
        <v>1.42</v>
      </c>
      <c r="J157" s="216">
        <f>ROUND(I157*Order_Quote!$L$4,2)</f>
        <v>7.1</v>
      </c>
      <c r="K157" s="76"/>
      <c r="L157" s="79"/>
      <c r="M157" s="117">
        <f t="shared" si="4"/>
        <v>0</v>
      </c>
      <c r="O157" s="530" t="str">
        <f>_xlfn.XLOOKUP(E157,'All Products'!D:D,'All Products'!I:I,FALSE)</f>
        <v>In Stock</v>
      </c>
      <c r="P157" s="530" t="str">
        <f>_xlfn.XLOOKUP(E157,'All Products'!D:D,'All Products'!J:J,FALSE)</f>
        <v>Manufactured</v>
      </c>
      <c r="Q157" s="543" t="str">
        <f>_xlfn.XLOOKUP(E157,'All Products'!D:D,'All Products'!K:K,FALSE)</f>
        <v>049081137502</v>
      </c>
      <c r="R157" s="543" t="str">
        <f>_xlfn.XLOOKUP(E157,'All Products'!D:D,'All Products'!L:L,FALSE)</f>
        <v>049081637507</v>
      </c>
      <c r="S157" s="543" t="str">
        <f>_xlfn.XLOOKUP(E157,'All Products'!D:D,'All Products'!M:M,FALSE)</f>
        <v>40049081137500</v>
      </c>
      <c r="T157" s="530">
        <f>_xlfn.XLOOKUP(E157,'All Products'!D:D,'All Products'!N:N,FALSE)</f>
        <v>5.5E-2</v>
      </c>
      <c r="U157" s="543">
        <f>_xlfn.XLOOKUP(E157,'All Products'!D:D,'All Products'!O:O,FALSE)</f>
        <v>10</v>
      </c>
      <c r="V157" s="530">
        <f>_xlfn.XLOOKUP(E157,'All Products'!D:D,'All Products'!P:P,FALSE)</f>
        <v>15.03</v>
      </c>
      <c r="W157" s="530">
        <f>_xlfn.XLOOKUP(E157,'All Products'!D:D,'All Products'!Q:Q,FALSE)</f>
        <v>0.95</v>
      </c>
    </row>
    <row r="158" spans="1:23" ht="15" customHeight="1">
      <c r="A158" s="104" t="str">
        <f>IF(K158&gt;0,COUNT($A$7:A157)+COUNT('DWV PVC'!$A$8:$A$284)+COUNT('DWV ABS'!$A$8:$A$116)+1,"")</f>
        <v/>
      </c>
      <c r="B158" s="579"/>
      <c r="C158" s="580"/>
      <c r="D158" s="512" t="str">
        <f>_xlfn.XLOOKUP(E158,'All Products'!D:D,'All Products'!C:C,FALSE)</f>
        <v>429-010</v>
      </c>
      <c r="E158" s="53">
        <v>100022674</v>
      </c>
      <c r="F158" s="522" t="str">
        <f>_xlfn.XLOOKUP(E158,'All Products'!D:D,'All Products'!E:E,FALSE)</f>
        <v>1 COUPLING SLIP X SLIP</v>
      </c>
      <c r="G158" s="282">
        <f>_xlfn.XLOOKUP(E158,'All Products'!D:D,'All Products'!F:F,FALSE)</f>
        <v>100</v>
      </c>
      <c r="H158" s="533">
        <f>_xlfn.XLOOKUP(E158,'All Products'!D:D,'All Products'!G:G,FALSE)</f>
        <v>12000</v>
      </c>
      <c r="I158" s="540">
        <f>_xlfn.XLOOKUP(E158,'All Products'!D:D,'All Products'!H:H,FALSE)</f>
        <v>2.54</v>
      </c>
      <c r="J158" s="216">
        <f>ROUND(I158*Order_Quote!$L$4,2)</f>
        <v>12.7</v>
      </c>
      <c r="K158" s="76"/>
      <c r="L158" s="79"/>
      <c r="M158" s="117">
        <f t="shared" si="4"/>
        <v>0</v>
      </c>
      <c r="O158" s="530" t="str">
        <f>_xlfn.XLOOKUP(E158,'All Products'!D:D,'All Products'!I:I,FALSE)</f>
        <v>In Stock</v>
      </c>
      <c r="P158" s="530" t="str">
        <f>_xlfn.XLOOKUP(E158,'All Products'!D:D,'All Products'!J:J,FALSE)</f>
        <v>Manufactured</v>
      </c>
      <c r="Q158" s="543" t="str">
        <f>_xlfn.XLOOKUP(E158,'All Products'!D:D,'All Products'!K:K,FALSE)</f>
        <v>049081137540</v>
      </c>
      <c r="R158" s="543" t="str">
        <f>_xlfn.XLOOKUP(E158,'All Products'!D:D,'All Products'!L:L,FALSE)</f>
        <v>049081637545</v>
      </c>
      <c r="S158" s="543" t="str">
        <f>_xlfn.XLOOKUP(E158,'All Products'!D:D,'All Products'!M:M,FALSE)</f>
        <v>40049081137548</v>
      </c>
      <c r="T158" s="530">
        <f>_xlfn.XLOOKUP(E158,'All Products'!D:D,'All Products'!N:N,FALSE)</f>
        <v>9.5000000000000001E-2</v>
      </c>
      <c r="U158" s="543">
        <f>_xlfn.XLOOKUP(E158,'All Products'!D:D,'All Products'!O:O,FALSE)</f>
        <v>10</v>
      </c>
      <c r="V158" s="530">
        <f>_xlfn.XLOOKUP(E158,'All Products'!D:D,'All Products'!P:P,FALSE)</f>
        <v>10.42</v>
      </c>
      <c r="W158" s="530">
        <f>_xlfn.XLOOKUP(E158,'All Products'!D:D,'All Products'!Q:Q,FALSE)</f>
        <v>0.65</v>
      </c>
    </row>
    <row r="159" spans="1:23" ht="15" customHeight="1">
      <c r="A159" s="104" t="str">
        <f>IF(K159&gt;0,COUNT($A$7:A158)+COUNT('DWV PVC'!$A$8:$A$284)+COUNT('DWV ABS'!$A$8:$A$116)+1,"")</f>
        <v/>
      </c>
      <c r="B159" s="579"/>
      <c r="C159" s="580"/>
      <c r="D159" s="512" t="str">
        <f>_xlfn.XLOOKUP(E159,'All Products'!D:D,'All Products'!C:C,FALSE)</f>
        <v>429-012</v>
      </c>
      <c r="E159" s="53">
        <v>100022676</v>
      </c>
      <c r="F159" s="522" t="str">
        <f>_xlfn.XLOOKUP(E159,'All Products'!D:D,'All Products'!E:E,FALSE)</f>
        <v>1-1/4 COUPLING SLIP X SLIP</v>
      </c>
      <c r="G159" s="282">
        <f>_xlfn.XLOOKUP(E159,'All Products'!D:D,'All Products'!F:F,FALSE)</f>
        <v>50</v>
      </c>
      <c r="H159" s="533">
        <f>_xlfn.XLOOKUP(E159,'All Products'!D:D,'All Products'!G:G,FALSE)</f>
        <v>6000</v>
      </c>
      <c r="I159" s="540">
        <f>_xlfn.XLOOKUP(E159,'All Products'!D:D,'All Products'!H:H,FALSE)</f>
        <v>3.48</v>
      </c>
      <c r="J159" s="216">
        <f>ROUND(I159*Order_Quote!$L$4,2)</f>
        <v>17.399999999999999</v>
      </c>
      <c r="K159" s="76"/>
      <c r="L159" s="79"/>
      <c r="M159" s="117">
        <f t="shared" si="4"/>
        <v>0</v>
      </c>
      <c r="O159" s="530" t="str">
        <f>_xlfn.XLOOKUP(E159,'All Products'!D:D,'All Products'!I:I,FALSE)</f>
        <v>In Stock</v>
      </c>
      <c r="P159" s="530" t="str">
        <f>_xlfn.XLOOKUP(E159,'All Products'!D:D,'All Products'!J:J,FALSE)</f>
        <v>Manufactured</v>
      </c>
      <c r="Q159" s="543" t="str">
        <f>_xlfn.XLOOKUP(E159,'All Products'!D:D,'All Products'!K:K,FALSE)</f>
        <v>049081137588</v>
      </c>
      <c r="R159" s="543" t="str">
        <f>_xlfn.XLOOKUP(E159,'All Products'!D:D,'All Products'!L:L,FALSE)</f>
        <v>049081637583</v>
      </c>
      <c r="S159" s="543" t="str">
        <f>_xlfn.XLOOKUP(E159,'All Products'!D:D,'All Products'!M:M,FALSE)</f>
        <v>40049081137586</v>
      </c>
      <c r="T159" s="530">
        <f>_xlfn.XLOOKUP(E159,'All Products'!D:D,'All Products'!N:N,FALSE)</f>
        <v>0.11899999999999999</v>
      </c>
      <c r="U159" s="543">
        <f>_xlfn.XLOOKUP(E159,'All Products'!D:D,'All Products'!O:O,FALSE)</f>
        <v>10</v>
      </c>
      <c r="V159" s="530">
        <f>_xlfn.XLOOKUP(E159,'All Products'!D:D,'All Products'!P:P,FALSE)</f>
        <v>6.67</v>
      </c>
      <c r="W159" s="530">
        <f>_xlfn.XLOOKUP(E159,'All Products'!D:D,'All Products'!Q:Q,FALSE)</f>
        <v>0.65</v>
      </c>
    </row>
    <row r="160" spans="1:23" ht="15" customHeight="1">
      <c r="A160" s="104" t="str">
        <f>IF(K160&gt;0,COUNT($A$7:A159)+COUNT('DWV PVC'!$A$8:$A$284)+COUNT('DWV ABS'!$A$8:$A$116)+1,"")</f>
        <v/>
      </c>
      <c r="B160" s="579"/>
      <c r="C160" s="580"/>
      <c r="D160" s="512" t="str">
        <f>_xlfn.XLOOKUP(E160,'All Products'!D:D,'All Products'!C:C,FALSE)</f>
        <v>429-015</v>
      </c>
      <c r="E160" s="53">
        <v>100022678</v>
      </c>
      <c r="F160" s="522" t="str">
        <f>_xlfn.XLOOKUP(E160,'All Products'!D:D,'All Products'!E:E,FALSE)</f>
        <v>1-1/2 COUPLING SLIP X SLIP</v>
      </c>
      <c r="G160" s="282">
        <f>_xlfn.XLOOKUP(E160,'All Products'!D:D,'All Products'!F:F,FALSE)</f>
        <v>50</v>
      </c>
      <c r="H160" s="533">
        <f>_xlfn.XLOOKUP(E160,'All Products'!D:D,'All Products'!G:G,FALSE)</f>
        <v>4500</v>
      </c>
      <c r="I160" s="540">
        <f>_xlfn.XLOOKUP(E160,'All Products'!D:D,'All Products'!H:H,FALSE)</f>
        <v>3.73</v>
      </c>
      <c r="J160" s="216">
        <f>ROUND(I160*Order_Quote!$L$4,2)</f>
        <v>18.649999999999999</v>
      </c>
      <c r="K160" s="76"/>
      <c r="L160" s="79"/>
      <c r="M160" s="117">
        <f t="shared" si="4"/>
        <v>0</v>
      </c>
      <c r="O160" s="530" t="str">
        <f>_xlfn.XLOOKUP(E160,'All Products'!D:D,'All Products'!I:I,FALSE)</f>
        <v>In Stock</v>
      </c>
      <c r="P160" s="530" t="str">
        <f>_xlfn.XLOOKUP(E160,'All Products'!D:D,'All Products'!J:J,FALSE)</f>
        <v>Manufactured</v>
      </c>
      <c r="Q160" s="543" t="str">
        <f>_xlfn.XLOOKUP(E160,'All Products'!D:D,'All Products'!K:K,FALSE)</f>
        <v>049081137625</v>
      </c>
      <c r="R160" s="543" t="str">
        <f>_xlfn.XLOOKUP(E160,'All Products'!D:D,'All Products'!L:L,FALSE)</f>
        <v>049081637620</v>
      </c>
      <c r="S160" s="543" t="str">
        <f>_xlfn.XLOOKUP(E160,'All Products'!D:D,'All Products'!M:M,FALSE)</f>
        <v>40049081137623</v>
      </c>
      <c r="T160" s="530">
        <f>_xlfn.XLOOKUP(E160,'All Products'!D:D,'All Products'!N:N,FALSE)</f>
        <v>0.155</v>
      </c>
      <c r="U160" s="543">
        <f>_xlfn.XLOOKUP(E160,'All Products'!D:D,'All Products'!O:O,FALSE)</f>
        <v>10</v>
      </c>
      <c r="V160" s="530">
        <f>_xlfn.XLOOKUP(E160,'All Products'!D:D,'All Products'!P:P,FALSE)</f>
        <v>8.76</v>
      </c>
      <c r="W160" s="530">
        <f>_xlfn.XLOOKUP(E160,'All Products'!D:D,'All Products'!Q:Q,FALSE)</f>
        <v>0.8</v>
      </c>
    </row>
    <row r="161" spans="1:23" ht="15" customHeight="1">
      <c r="A161" s="104" t="str">
        <f>IF(K161&gt;0,COUNT($A$7:A160)+COUNT('DWV PVC'!$A$8:$A$284)+COUNT('DWV ABS'!$A$8:$A$116)+1,"")</f>
        <v/>
      </c>
      <c r="B161" s="579"/>
      <c r="C161" s="580"/>
      <c r="D161" s="512" t="str">
        <f>_xlfn.XLOOKUP(E161,'All Products'!D:D,'All Products'!C:C,FALSE)</f>
        <v>429-020</v>
      </c>
      <c r="E161" s="53">
        <v>100022680</v>
      </c>
      <c r="F161" s="522" t="str">
        <f>_xlfn.XLOOKUP(E161,'All Products'!D:D,'All Products'!E:E,FALSE)</f>
        <v>2 COUPLING SLIP X SLIP</v>
      </c>
      <c r="G161" s="282">
        <f>_xlfn.XLOOKUP(E161,'All Products'!D:D,'All Products'!F:F,FALSE)</f>
        <v>25</v>
      </c>
      <c r="H161" s="533">
        <f>_xlfn.XLOOKUP(E161,'All Products'!D:D,'All Products'!G:G,FALSE)</f>
        <v>3000</v>
      </c>
      <c r="I161" s="540">
        <f>_xlfn.XLOOKUP(E161,'All Products'!D:D,'All Products'!H:H,FALSE)</f>
        <v>5.64</v>
      </c>
      <c r="J161" s="216">
        <f>ROUND(I161*Order_Quote!$L$4,2)</f>
        <v>28.2</v>
      </c>
      <c r="K161" s="76"/>
      <c r="L161" s="79"/>
      <c r="M161" s="117">
        <f t="shared" si="4"/>
        <v>0</v>
      </c>
      <c r="O161" s="530" t="str">
        <f>_xlfn.XLOOKUP(E161,'All Products'!D:D,'All Products'!I:I,FALSE)</f>
        <v>In Stock</v>
      </c>
      <c r="P161" s="530" t="str">
        <f>_xlfn.XLOOKUP(E161,'All Products'!D:D,'All Products'!J:J,FALSE)</f>
        <v>Manufactured</v>
      </c>
      <c r="Q161" s="543" t="str">
        <f>_xlfn.XLOOKUP(E161,'All Products'!D:D,'All Products'!K:K,FALSE)</f>
        <v>049081137663</v>
      </c>
      <c r="R161" s="543" t="str">
        <f>_xlfn.XLOOKUP(E161,'All Products'!D:D,'All Products'!L:L,FALSE)</f>
        <v>049081637668</v>
      </c>
      <c r="S161" s="543" t="str">
        <f>_xlfn.XLOOKUP(E161,'All Products'!D:D,'All Products'!M:M,FALSE)</f>
        <v>40049081137661</v>
      </c>
      <c r="T161" s="530">
        <f>_xlfn.XLOOKUP(E161,'All Products'!D:D,'All Products'!N:N,FALSE)</f>
        <v>0.19600000000000001</v>
      </c>
      <c r="U161" s="543">
        <f>_xlfn.XLOOKUP(E161,'All Products'!D:D,'All Products'!O:O,FALSE)</f>
        <v>5</v>
      </c>
      <c r="V161" s="530">
        <f>_xlfn.XLOOKUP(E161,'All Products'!D:D,'All Products'!P:P,FALSE)</f>
        <v>6.38</v>
      </c>
      <c r="W161" s="530">
        <f>_xlfn.XLOOKUP(E161,'All Products'!D:D,'All Products'!Q:Q,FALSE)</f>
        <v>0.65</v>
      </c>
    </row>
    <row r="162" spans="1:23" ht="15" customHeight="1">
      <c r="A162" s="104" t="str">
        <f>IF(K162&gt;0,COUNT($A$7:A161)+COUNT('DWV PVC'!$A$8:$A$284)+COUNT('DWV ABS'!$A$8:$A$116)+1,"")</f>
        <v/>
      </c>
      <c r="B162" s="579"/>
      <c r="C162" s="580"/>
      <c r="D162" s="512" t="str">
        <f>_xlfn.XLOOKUP(E162,'All Products'!D:D,'All Products'!C:C,FALSE)</f>
        <v>429-025</v>
      </c>
      <c r="E162" s="53">
        <v>100022682</v>
      </c>
      <c r="F162" s="522" t="str">
        <f>_xlfn.XLOOKUP(E162,'All Products'!D:D,'All Products'!E:E,FALSE)</f>
        <v>2-1/2 COUPLING SLIP X SLIP</v>
      </c>
      <c r="G162" s="282">
        <f>_xlfn.XLOOKUP(E162,'All Products'!D:D,'All Products'!F:F,FALSE)</f>
        <v>25</v>
      </c>
      <c r="H162" s="533">
        <f>_xlfn.XLOOKUP(E162,'All Products'!D:D,'All Products'!G:G,FALSE)</f>
        <v>2250</v>
      </c>
      <c r="I162" s="540">
        <f>_xlfn.XLOOKUP(E162,'All Products'!D:D,'All Products'!H:H,FALSE)</f>
        <v>12.56</v>
      </c>
      <c r="J162" s="216">
        <f>ROUND(I162*Order_Quote!$L$4,2)</f>
        <v>62.8</v>
      </c>
      <c r="K162" s="76"/>
      <c r="L162" s="79"/>
      <c r="M162" s="117">
        <f t="shared" si="4"/>
        <v>0</v>
      </c>
      <c r="O162" s="530" t="str">
        <f>_xlfn.XLOOKUP(E162,'All Products'!D:D,'All Products'!I:I,FALSE)</f>
        <v>In Stock</v>
      </c>
      <c r="P162" s="530" t="str">
        <f>_xlfn.XLOOKUP(E162,'All Products'!D:D,'All Products'!J:J,FALSE)</f>
        <v>Manufactured</v>
      </c>
      <c r="Q162" s="543" t="str">
        <f>_xlfn.XLOOKUP(E162,'All Products'!D:D,'All Products'!K:K,FALSE)</f>
        <v>049081137700</v>
      </c>
      <c r="R162" s="543" t="str">
        <f>_xlfn.XLOOKUP(E162,'All Products'!D:D,'All Products'!L:L,FALSE)</f>
        <v>-</v>
      </c>
      <c r="S162" s="543" t="str">
        <f>_xlfn.XLOOKUP(E162,'All Products'!D:D,'All Products'!M:M,FALSE)</f>
        <v>40049081137708</v>
      </c>
      <c r="T162" s="530">
        <f>_xlfn.XLOOKUP(E162,'All Products'!D:D,'All Products'!N:N,FALSE)</f>
        <v>0.46600000000000003</v>
      </c>
      <c r="U162" s="543" t="str">
        <f>_xlfn.XLOOKUP(E162,'All Products'!D:D,'All Products'!O:O,FALSE)</f>
        <v>-</v>
      </c>
      <c r="V162" s="530">
        <f>_xlfn.XLOOKUP(E162,'All Products'!D:D,'All Products'!P:P,FALSE)</f>
        <v>12.36</v>
      </c>
      <c r="W162" s="530">
        <f>_xlfn.XLOOKUP(E162,'All Products'!D:D,'All Products'!Q:Q,FALSE)</f>
        <v>0.8</v>
      </c>
    </row>
    <row r="163" spans="1:23" ht="15" customHeight="1">
      <c r="A163" s="104" t="str">
        <f>IF(K163&gt;0,COUNT($A$7:A162)+COUNT('DWV PVC'!$A$8:$A$284)+COUNT('DWV ABS'!$A$8:$A$116)+1,"")</f>
        <v/>
      </c>
      <c r="B163" s="579"/>
      <c r="C163" s="580"/>
      <c r="D163" s="512" t="str">
        <f>_xlfn.XLOOKUP(E163,'All Products'!D:D,'All Products'!C:C,FALSE)</f>
        <v>429-030</v>
      </c>
      <c r="E163" s="53">
        <v>100022684</v>
      </c>
      <c r="F163" s="522" t="str">
        <f>_xlfn.XLOOKUP(E163,'All Products'!D:D,'All Products'!E:E,FALSE)</f>
        <v>3 COUPLING SLIP X SLIP</v>
      </c>
      <c r="G163" s="282">
        <f>_xlfn.XLOOKUP(E163,'All Products'!D:D,'All Products'!F:F,FALSE)</f>
        <v>10</v>
      </c>
      <c r="H163" s="533">
        <f>_xlfn.XLOOKUP(E163,'All Products'!D:D,'All Products'!G:G,FALSE)</f>
        <v>1200</v>
      </c>
      <c r="I163" s="540">
        <f>_xlfn.XLOOKUP(E163,'All Products'!D:D,'All Products'!H:H,FALSE)</f>
        <v>19.670000000000002</v>
      </c>
      <c r="J163" s="216">
        <f>ROUND(I163*Order_Quote!$L$4,2)</f>
        <v>98.35</v>
      </c>
      <c r="K163" s="76"/>
      <c r="L163" s="79"/>
      <c r="M163" s="117">
        <f t="shared" si="4"/>
        <v>0</v>
      </c>
      <c r="O163" s="530" t="str">
        <f>_xlfn.XLOOKUP(E163,'All Products'!D:D,'All Products'!I:I,FALSE)</f>
        <v>In Stock</v>
      </c>
      <c r="P163" s="530" t="str">
        <f>_xlfn.XLOOKUP(E163,'All Products'!D:D,'All Products'!J:J,FALSE)</f>
        <v>Manufactured</v>
      </c>
      <c r="Q163" s="543" t="str">
        <f>_xlfn.XLOOKUP(E163,'All Products'!D:D,'All Products'!K:K,FALSE)</f>
        <v>049081137724</v>
      </c>
      <c r="R163" s="543" t="str">
        <f>_xlfn.XLOOKUP(E163,'All Products'!D:D,'All Products'!L:L,FALSE)</f>
        <v>-</v>
      </c>
      <c r="S163" s="543" t="str">
        <f>_xlfn.XLOOKUP(E163,'All Products'!D:D,'All Products'!M:M,FALSE)</f>
        <v>40049081137722</v>
      </c>
      <c r="T163" s="530">
        <f>_xlfn.XLOOKUP(E163,'All Products'!D:D,'All Products'!N:N,FALSE)</f>
        <v>0.71799999999999997</v>
      </c>
      <c r="U163" s="543" t="str">
        <f>_xlfn.XLOOKUP(E163,'All Products'!D:D,'All Products'!O:O,FALSE)</f>
        <v>-</v>
      </c>
      <c r="V163" s="530">
        <f>_xlfn.XLOOKUP(E163,'All Products'!D:D,'All Products'!P:P,FALSE)</f>
        <v>7.92</v>
      </c>
      <c r="W163" s="530">
        <f>_xlfn.XLOOKUP(E163,'All Products'!D:D,'All Products'!Q:Q,FALSE)</f>
        <v>0.65</v>
      </c>
    </row>
    <row r="164" spans="1:23" ht="15" customHeight="1">
      <c r="A164" s="104" t="str">
        <f>IF(K164&gt;0,COUNT($A$7:A163)+COUNT('DWV PVC'!$A$8:$A$284)+COUNT('DWV ABS'!$A$8:$A$116)+1,"")</f>
        <v/>
      </c>
      <c r="B164" s="579"/>
      <c r="C164" s="580"/>
      <c r="D164" s="512" t="str">
        <f>_xlfn.XLOOKUP(E164,'All Products'!D:D,'All Products'!C:C,FALSE)</f>
        <v>429-040</v>
      </c>
      <c r="E164" s="53">
        <v>100022686</v>
      </c>
      <c r="F164" s="522" t="str">
        <f>_xlfn.XLOOKUP(E164,'All Products'!D:D,'All Products'!E:E,FALSE)</f>
        <v>4 COUPLING SLIP X SLIP</v>
      </c>
      <c r="G164" s="282">
        <f>_xlfn.XLOOKUP(E164,'All Products'!D:D,'All Products'!F:F,FALSE)</f>
        <v>6</v>
      </c>
      <c r="H164" s="533">
        <f>_xlfn.XLOOKUP(E164,'All Products'!D:D,'All Products'!G:G,FALSE)</f>
        <v>540</v>
      </c>
      <c r="I164" s="540">
        <f>_xlfn.XLOOKUP(E164,'All Products'!D:D,'All Products'!H:H,FALSE)</f>
        <v>28.48</v>
      </c>
      <c r="J164" s="216">
        <f>ROUND(I164*Order_Quote!$L$4,2)</f>
        <v>142.4</v>
      </c>
      <c r="K164" s="76"/>
      <c r="L164" s="79"/>
      <c r="M164" s="117">
        <f t="shared" si="4"/>
        <v>0</v>
      </c>
      <c r="O164" s="530" t="str">
        <f>_xlfn.XLOOKUP(E164,'All Products'!D:D,'All Products'!I:I,FALSE)</f>
        <v>In Stock</v>
      </c>
      <c r="P164" s="530" t="str">
        <f>_xlfn.XLOOKUP(E164,'All Products'!D:D,'All Products'!J:J,FALSE)</f>
        <v>Manufactured</v>
      </c>
      <c r="Q164" s="543" t="str">
        <f>_xlfn.XLOOKUP(E164,'All Products'!D:D,'All Products'!K:K,FALSE)</f>
        <v>049081137748</v>
      </c>
      <c r="R164" s="543" t="str">
        <f>_xlfn.XLOOKUP(E164,'All Products'!D:D,'All Products'!L:L,FALSE)</f>
        <v>-</v>
      </c>
      <c r="S164" s="543" t="str">
        <f>_xlfn.XLOOKUP(E164,'All Products'!D:D,'All Products'!M:M,FALSE)</f>
        <v>40049081137746</v>
      </c>
      <c r="T164" s="530">
        <f>_xlfn.XLOOKUP(E164,'All Products'!D:D,'All Products'!N:N,FALSE)</f>
        <v>1.079</v>
      </c>
      <c r="U164" s="543" t="str">
        <f>_xlfn.XLOOKUP(E164,'All Products'!D:D,'All Products'!O:O,FALSE)</f>
        <v>-</v>
      </c>
      <c r="V164" s="530">
        <f>_xlfn.XLOOKUP(E164,'All Products'!D:D,'All Products'!P:P,FALSE)</f>
        <v>7.41</v>
      </c>
      <c r="W164" s="530">
        <f>_xlfn.XLOOKUP(E164,'All Products'!D:D,'All Products'!Q:Q,FALSE)</f>
        <v>0.8</v>
      </c>
    </row>
    <row r="165" spans="1:23" ht="15" customHeight="1">
      <c r="A165" s="104" t="str">
        <f>IF(K165&gt;0,COUNT($A$7:A164)+COUNT('DWV PVC'!$A$8:$A$284)+COUNT('DWV ABS'!$A$8:$A$116)+1,"")</f>
        <v/>
      </c>
      <c r="B165" s="115"/>
      <c r="C165" s="116"/>
      <c r="D165" s="512" t="str">
        <f>_xlfn.XLOOKUP(E165,'All Products'!D:D,'All Products'!C:C,FALSE)</f>
        <v>429-050</v>
      </c>
      <c r="E165" s="53">
        <v>100022688</v>
      </c>
      <c r="F165" s="522" t="str">
        <f>_xlfn.XLOOKUP(E165,'All Products'!D:D,'All Products'!E:E,FALSE)</f>
        <v>5 COUPLING SLIP X SLIP</v>
      </c>
      <c r="G165" s="282">
        <f>_xlfn.XLOOKUP(E165,'All Products'!D:D,'All Products'!F:F,FALSE)</f>
        <v>5</v>
      </c>
      <c r="H165" s="533">
        <f>_xlfn.XLOOKUP(E165,'All Products'!D:D,'All Products'!G:G,FALSE)</f>
        <v>375</v>
      </c>
      <c r="I165" s="540">
        <f>_xlfn.XLOOKUP(E165,'All Products'!D:D,'All Products'!H:H,FALSE)</f>
        <v>52.09</v>
      </c>
      <c r="J165" s="216">
        <f>ROUND(I165*Order_Quote!$L$4,2)</f>
        <v>260.45</v>
      </c>
      <c r="K165" s="76"/>
      <c r="L165" s="79"/>
      <c r="M165" s="117">
        <f t="shared" si="4"/>
        <v>0</v>
      </c>
      <c r="O165" s="530" t="str">
        <f>_xlfn.XLOOKUP(E165,'All Products'!D:D,'All Products'!I:I,FALSE)</f>
        <v>In Stock</v>
      </c>
      <c r="P165" s="530" t="str">
        <f>_xlfn.XLOOKUP(E165,'All Products'!D:D,'All Products'!J:J,FALSE)</f>
        <v>Manufactured</v>
      </c>
      <c r="Q165" s="543" t="str">
        <f>_xlfn.XLOOKUP(E165,'All Products'!D:D,'All Products'!K:K,FALSE)</f>
        <v>049081137762</v>
      </c>
      <c r="R165" s="543" t="str">
        <f>_xlfn.XLOOKUP(E165,'All Products'!D:D,'All Products'!L:L,FALSE)</f>
        <v>-</v>
      </c>
      <c r="S165" s="543" t="str">
        <f>_xlfn.XLOOKUP(E165,'All Products'!D:D,'All Products'!M:M,FALSE)</f>
        <v>40049081137760</v>
      </c>
      <c r="T165" s="530">
        <f>_xlfn.XLOOKUP(E165,'All Products'!D:D,'All Products'!N:N,FALSE)</f>
        <v>1.85</v>
      </c>
      <c r="U165" s="543" t="str">
        <f>_xlfn.XLOOKUP(E165,'All Products'!D:D,'All Products'!O:O,FALSE)</f>
        <v>-</v>
      </c>
      <c r="V165" s="530">
        <f>_xlfn.XLOOKUP(E165,'All Products'!D:D,'All Products'!P:P,FALSE)</f>
        <v>9.98</v>
      </c>
      <c r="W165" s="530">
        <f>_xlfn.XLOOKUP(E165,'All Products'!D:D,'All Products'!Q:Q,FALSE)</f>
        <v>1.1000000000000001</v>
      </c>
    </row>
    <row r="166" spans="1:23" ht="15" customHeight="1">
      <c r="A166" s="104" t="str">
        <f>IF(K166&gt;0,COUNT($A$7:A165)+COUNT('DWV PVC'!$A$8:$A$284)+COUNT('DWV ABS'!$A$8:$A$116)+1,"")</f>
        <v/>
      </c>
      <c r="B166" s="115"/>
      <c r="C166" s="116"/>
      <c r="D166" s="512" t="str">
        <f>_xlfn.XLOOKUP(E166,'All Products'!D:D,'All Products'!C:C,FALSE)</f>
        <v>429-060</v>
      </c>
      <c r="E166" s="53">
        <v>100022690</v>
      </c>
      <c r="F166" s="522" t="str">
        <f>_xlfn.XLOOKUP(E166,'All Products'!D:D,'All Products'!E:E,FALSE)</f>
        <v>6 COUPLING SLIP X SLIP</v>
      </c>
      <c r="G166" s="282">
        <f>_xlfn.XLOOKUP(E166,'All Products'!D:D,'All Products'!F:F,FALSE)</f>
        <v>4</v>
      </c>
      <c r="H166" s="533">
        <f>_xlfn.XLOOKUP(E166,'All Products'!D:D,'All Products'!G:G,FALSE)</f>
        <v>300</v>
      </c>
      <c r="I166" s="540">
        <f>_xlfn.XLOOKUP(E166,'All Products'!D:D,'All Products'!H:H,FALSE)</f>
        <v>90</v>
      </c>
      <c r="J166" s="216">
        <f>ROUND(I166*Order_Quote!$L$4,2)</f>
        <v>450</v>
      </c>
      <c r="K166" s="76"/>
      <c r="L166" s="79"/>
      <c r="M166" s="117">
        <f t="shared" si="4"/>
        <v>0</v>
      </c>
      <c r="O166" s="530" t="str">
        <f>_xlfn.XLOOKUP(E166,'All Products'!D:D,'All Products'!I:I,FALSE)</f>
        <v>In Stock</v>
      </c>
      <c r="P166" s="530" t="str">
        <f>_xlfn.XLOOKUP(E166,'All Products'!D:D,'All Products'!J:J,FALSE)</f>
        <v>Manufactured</v>
      </c>
      <c r="Q166" s="543" t="str">
        <f>_xlfn.XLOOKUP(E166,'All Products'!D:D,'All Products'!K:K,FALSE)</f>
        <v>049081137786</v>
      </c>
      <c r="R166" s="543" t="str">
        <f>_xlfn.XLOOKUP(E166,'All Products'!D:D,'All Products'!L:L,FALSE)</f>
        <v>-</v>
      </c>
      <c r="S166" s="543" t="str">
        <f>_xlfn.XLOOKUP(E166,'All Products'!D:D,'All Products'!M:M,FALSE)</f>
        <v>40049081137784</v>
      </c>
      <c r="T166" s="530">
        <f>_xlfn.XLOOKUP(E166,'All Products'!D:D,'All Products'!N:N,FALSE)</f>
        <v>2.246</v>
      </c>
      <c r="U166" s="543" t="str">
        <f>_xlfn.XLOOKUP(E166,'All Products'!D:D,'All Products'!O:O,FALSE)</f>
        <v>-</v>
      </c>
      <c r="V166" s="530">
        <f>_xlfn.XLOOKUP(E166,'All Products'!D:D,'All Products'!P:P,FALSE)</f>
        <v>10</v>
      </c>
      <c r="W166" s="530">
        <f>_xlfn.XLOOKUP(E166,'All Products'!D:D,'All Products'!Q:Q,FALSE)</f>
        <v>1.1000000000000001</v>
      </c>
    </row>
    <row r="167" spans="1:23" ht="15" customHeight="1">
      <c r="A167" s="104" t="str">
        <f>IF(K167&gt;0,COUNT($A$7:A166)+COUNT('DWV PVC'!$A$8:$A$284)+COUNT('DWV ABS'!$A$8:$A$116)+1,"")</f>
        <v/>
      </c>
      <c r="B167" s="115"/>
      <c r="C167" s="116"/>
      <c r="D167" s="512" t="str">
        <f>_xlfn.XLOOKUP(E167,'All Products'!D:D,'All Products'!C:C,FALSE)</f>
        <v>429-080</v>
      </c>
      <c r="E167" s="53">
        <v>100022692</v>
      </c>
      <c r="F167" s="522" t="str">
        <f>_xlfn.XLOOKUP(E167,'All Products'!D:D,'All Products'!E:E,FALSE)</f>
        <v>8 COUPLING SLIP X SLIP</v>
      </c>
      <c r="G167" s="282">
        <f>_xlfn.XLOOKUP(E167,'All Products'!D:D,'All Products'!F:F,FALSE)</f>
        <v>5</v>
      </c>
      <c r="H167" s="533">
        <f>_xlfn.XLOOKUP(E167,'All Products'!D:D,'All Products'!G:G,FALSE)</f>
        <v>120</v>
      </c>
      <c r="I167" s="540">
        <f>_xlfn.XLOOKUP(E167,'All Products'!D:D,'All Products'!H:H,FALSE)</f>
        <v>168.06</v>
      </c>
      <c r="J167" s="216">
        <f>ROUND(I167*Order_Quote!$L$4,2)</f>
        <v>840.3</v>
      </c>
      <c r="K167" s="76"/>
      <c r="L167" s="79"/>
      <c r="M167" s="117">
        <f t="shared" si="4"/>
        <v>0</v>
      </c>
      <c r="O167" s="530" t="str">
        <f>_xlfn.XLOOKUP(E167,'All Products'!D:D,'All Products'!I:I,FALSE)</f>
        <v>In Stock</v>
      </c>
      <c r="P167" s="530" t="str">
        <f>_xlfn.XLOOKUP(E167,'All Products'!D:D,'All Products'!J:J,FALSE)</f>
        <v>Manufactured</v>
      </c>
      <c r="Q167" s="543" t="str">
        <f>_xlfn.XLOOKUP(E167,'All Products'!D:D,'All Products'!K:K,FALSE)</f>
        <v>049081137809</v>
      </c>
      <c r="R167" s="543" t="str">
        <f>_xlfn.XLOOKUP(E167,'All Products'!D:D,'All Products'!L:L,FALSE)</f>
        <v>-</v>
      </c>
      <c r="S167" s="543" t="str">
        <f>_xlfn.XLOOKUP(E167,'All Products'!D:D,'All Products'!M:M,FALSE)</f>
        <v>40049081137807</v>
      </c>
      <c r="T167" s="530">
        <f>_xlfn.XLOOKUP(E167,'All Products'!D:D,'All Products'!N:N,FALSE)</f>
        <v>4.2869999999999999</v>
      </c>
      <c r="U167" s="543" t="str">
        <f>_xlfn.XLOOKUP(E167,'All Products'!D:D,'All Products'!O:O,FALSE)</f>
        <v>-</v>
      </c>
      <c r="V167" s="530">
        <f>_xlfn.XLOOKUP(E167,'All Products'!D:D,'All Products'!P:P,FALSE)</f>
        <v>23.69</v>
      </c>
      <c r="W167" s="530">
        <f>_xlfn.XLOOKUP(E167,'All Products'!D:D,'All Products'!Q:Q,FALSE)</f>
        <v>2.77</v>
      </c>
    </row>
    <row r="168" spans="1:23" ht="20.25" customHeight="1">
      <c r="A168" s="104" t="str">
        <f>IF(K168&gt;0,COUNT($A$7:A167)+COUNT('DWV PVC'!$A$8:$A$284)+COUNT('DWV ABS'!$A$8:$A$116)+1,"")</f>
        <v/>
      </c>
      <c r="B168" s="577"/>
      <c r="C168" s="578"/>
      <c r="D168" s="512" t="str">
        <f>_xlfn.XLOOKUP(E168,'All Products'!D:D,'All Products'!C:C,FALSE)</f>
        <v>S429-015</v>
      </c>
      <c r="E168" s="53">
        <v>100023367</v>
      </c>
      <c r="F168" s="522" t="str">
        <f>_xlfn.XLOOKUP(E168,'All Products'!D:D,'All Products'!E:E,FALSE)</f>
        <v>1-1/2 SHORT COUPLING SLIP X SLIP</v>
      </c>
      <c r="G168" s="282">
        <f>_xlfn.XLOOKUP(E168,'All Products'!D:D,'All Products'!F:F,FALSE)</f>
        <v>50</v>
      </c>
      <c r="H168" s="533">
        <f>_xlfn.XLOOKUP(E168,'All Products'!D:D,'All Products'!G:G,FALSE)</f>
        <v>6000</v>
      </c>
      <c r="I168" s="540">
        <f>_xlfn.XLOOKUP(E168,'All Products'!D:D,'All Products'!H:H,FALSE)</f>
        <v>3.14</v>
      </c>
      <c r="J168" s="216">
        <f>ROUND(I168*Order_Quote!$L$4,2)</f>
        <v>15.7</v>
      </c>
      <c r="K168" s="76"/>
      <c r="L168" s="79"/>
      <c r="M168" s="117">
        <f t="shared" si="4"/>
        <v>0</v>
      </c>
      <c r="O168" s="530" t="str">
        <f>_xlfn.XLOOKUP(E168,'All Products'!D:D,'All Products'!I:I,FALSE)</f>
        <v>Within 3 Weeks</v>
      </c>
      <c r="P168" s="530" t="str">
        <f>_xlfn.XLOOKUP(E168,'All Products'!D:D,'All Products'!J:J,FALSE)</f>
        <v>Manufactured</v>
      </c>
      <c r="Q168" s="543" t="str">
        <f>_xlfn.XLOOKUP(E168,'All Products'!D:D,'All Products'!K:K,FALSE)</f>
        <v>049081138714</v>
      </c>
      <c r="R168" s="543" t="str">
        <f>_xlfn.XLOOKUP(E168,'All Products'!D:D,'All Products'!L:L,FALSE)</f>
        <v>049081638719</v>
      </c>
      <c r="S168" s="543" t="str">
        <f>_xlfn.XLOOKUP(E168,'All Products'!D:D,'All Products'!M:M,FALSE)</f>
        <v>40049081138712</v>
      </c>
      <c r="T168" s="530">
        <f>_xlfn.XLOOKUP(E168,'All Products'!D:D,'All Products'!N:N,FALSE)</f>
        <v>0.14799999999999999</v>
      </c>
      <c r="U168" s="543">
        <f>_xlfn.XLOOKUP(E168,'All Products'!D:D,'All Products'!O:O,FALSE)</f>
        <v>10</v>
      </c>
      <c r="V168" s="530">
        <f>_xlfn.XLOOKUP(E168,'All Products'!D:D,'All Products'!P:P,FALSE)</f>
        <v>7.45</v>
      </c>
      <c r="W168" s="530">
        <f>_xlfn.XLOOKUP(E168,'All Products'!D:D,'All Products'!Q:Q,FALSE)</f>
        <v>0.65</v>
      </c>
    </row>
    <row r="169" spans="1:23" ht="20.25" customHeight="1">
      <c r="A169" s="104" t="str">
        <f>IF(K169&gt;0,COUNT($A$7:A168)+COUNT('DWV PVC'!$A$8:$A$284)+COUNT('DWV ABS'!$A$8:$A$116)+1,"")</f>
        <v/>
      </c>
      <c r="B169" s="581"/>
      <c r="C169" s="582"/>
      <c r="D169" s="512" t="str">
        <f>_xlfn.XLOOKUP(E169,'All Products'!D:D,'All Products'!C:C,FALSE)</f>
        <v>S429-020</v>
      </c>
      <c r="E169" s="53">
        <v>100023368</v>
      </c>
      <c r="F169" s="522" t="str">
        <f>_xlfn.XLOOKUP(E169,'All Products'!D:D,'All Products'!E:E,FALSE)</f>
        <v>2 SHORT COUPLING SLIP X SLIP</v>
      </c>
      <c r="G169" s="282">
        <f>_xlfn.XLOOKUP(E169,'All Products'!D:D,'All Products'!F:F,FALSE)</f>
        <v>25</v>
      </c>
      <c r="H169" s="533">
        <f>_xlfn.XLOOKUP(E169,'All Products'!D:D,'All Products'!G:G,FALSE)</f>
        <v>3750</v>
      </c>
      <c r="I169" s="540">
        <f>_xlfn.XLOOKUP(E169,'All Products'!D:D,'All Products'!H:H,FALSE)</f>
        <v>4.9400000000000004</v>
      </c>
      <c r="J169" s="216">
        <f>ROUND(I169*Order_Quote!$L$4,2)</f>
        <v>24.7</v>
      </c>
      <c r="K169" s="76"/>
      <c r="L169" s="79"/>
      <c r="M169" s="117">
        <f t="shared" si="4"/>
        <v>0</v>
      </c>
      <c r="O169" s="530" t="str">
        <f>_xlfn.XLOOKUP(E169,'All Products'!D:D,'All Products'!I:I,FALSE)</f>
        <v>Within 3 Weeks</v>
      </c>
      <c r="P169" s="530" t="str">
        <f>_xlfn.XLOOKUP(E169,'All Products'!D:D,'All Products'!J:J,FALSE)</f>
        <v>Manufactured</v>
      </c>
      <c r="Q169" s="543" t="str">
        <f>_xlfn.XLOOKUP(E169,'All Products'!D:D,'All Products'!K:K,FALSE)</f>
        <v>049081138721</v>
      </c>
      <c r="R169" s="543" t="str">
        <f>_xlfn.XLOOKUP(E169,'All Products'!D:D,'All Products'!L:L,FALSE)</f>
        <v>049081638726</v>
      </c>
      <c r="S169" s="543" t="str">
        <f>_xlfn.XLOOKUP(E169,'All Products'!D:D,'All Products'!M:M,FALSE)</f>
        <v>40049081138729</v>
      </c>
      <c r="T169" s="530">
        <f>_xlfn.XLOOKUP(E169,'All Products'!D:D,'All Products'!N:N,FALSE)</f>
        <v>0.214</v>
      </c>
      <c r="U169" s="543">
        <f>_xlfn.XLOOKUP(E169,'All Products'!D:D,'All Products'!O:O,FALSE)</f>
        <v>5</v>
      </c>
      <c r="V169" s="530">
        <f>_xlfn.XLOOKUP(E169,'All Products'!D:D,'All Products'!P:P,FALSE)</f>
        <v>5.34</v>
      </c>
      <c r="W169" s="530">
        <f>_xlfn.XLOOKUP(E169,'All Products'!D:D,'All Products'!Q:Q,FALSE)</f>
        <v>0.5</v>
      </c>
    </row>
    <row r="170" spans="1:23" ht="15" customHeight="1">
      <c r="A170" s="104" t="str">
        <f>IF(K170&gt;0,COUNT($A$7:A169)+COUNT('DWV PVC'!$A$8:$A$284)+COUNT('DWV ABS'!$A$8:$A$116)+1,"")</f>
        <v/>
      </c>
      <c r="B170" s="115"/>
      <c r="C170" s="116"/>
      <c r="D170" s="512" t="str">
        <f>_xlfn.XLOOKUP(E170,'All Products'!D:D,'All Products'!C:C,FALSE)</f>
        <v>429-101</v>
      </c>
      <c r="E170" s="53">
        <v>100022694</v>
      </c>
      <c r="F170" s="522" t="str">
        <f>_xlfn.XLOOKUP(E170,'All Products'!D:D,'All Products'!E:E,FALSE)</f>
        <v>3/4X1/2 REDUCER COUPLING S X S</v>
      </c>
      <c r="G170" s="282">
        <f>_xlfn.XLOOKUP(E170,'All Products'!D:D,'All Products'!F:F,FALSE)</f>
        <v>100</v>
      </c>
      <c r="H170" s="533">
        <f>_xlfn.XLOOKUP(E170,'All Products'!D:D,'All Products'!G:G,FALSE)</f>
        <v>27000</v>
      </c>
      <c r="I170" s="540">
        <f>_xlfn.XLOOKUP(E170,'All Products'!D:D,'All Products'!H:H,FALSE)</f>
        <v>2.65</v>
      </c>
      <c r="J170" s="216">
        <f>ROUND(I170*Order_Quote!$L$4,2)</f>
        <v>13.25</v>
      </c>
      <c r="K170" s="76"/>
      <c r="L170" s="79"/>
      <c r="M170" s="117">
        <f t="shared" ref="M170:M185" si="5">K170/G170</f>
        <v>0</v>
      </c>
      <c r="O170" s="530" t="str">
        <f>_xlfn.XLOOKUP(E170,'All Products'!D:D,'All Products'!I:I,FALSE)</f>
        <v>In Stock</v>
      </c>
      <c r="P170" s="530" t="str">
        <f>_xlfn.XLOOKUP(E170,'All Products'!D:D,'All Products'!J:J,FALSE)</f>
        <v>Manufactured</v>
      </c>
      <c r="Q170" s="543" t="str">
        <f>_xlfn.XLOOKUP(E170,'All Products'!D:D,'All Products'!K:K,FALSE)</f>
        <v>049081137526</v>
      </c>
      <c r="R170" s="543" t="str">
        <f>_xlfn.XLOOKUP(E170,'All Products'!D:D,'All Products'!L:L,FALSE)</f>
        <v>049081637521</v>
      </c>
      <c r="S170" s="543" t="str">
        <f>_xlfn.XLOOKUP(E170,'All Products'!D:D,'All Products'!M:M,FALSE)</f>
        <v>40049081137524</v>
      </c>
      <c r="T170" s="530">
        <f>_xlfn.XLOOKUP(E170,'All Products'!D:D,'All Products'!N:N,FALSE)</f>
        <v>5.3999999999999999E-2</v>
      </c>
      <c r="U170" s="543">
        <f>_xlfn.XLOOKUP(E170,'All Products'!D:D,'All Products'!O:O,FALSE)</f>
        <v>25</v>
      </c>
      <c r="V170" s="530">
        <f>_xlfn.XLOOKUP(E170,'All Products'!D:D,'All Products'!P:P,FALSE)</f>
        <v>5.73</v>
      </c>
      <c r="W170" s="530">
        <f>_xlfn.XLOOKUP(E170,'All Products'!D:D,'All Products'!Q:Q,FALSE)</f>
        <v>0.31</v>
      </c>
    </row>
    <row r="171" spans="1:23" ht="15" customHeight="1">
      <c r="A171" s="104" t="str">
        <f>IF(K171&gt;0,COUNT($A$7:A170)+COUNT('DWV PVC'!$A$8:$A$284)+COUNT('DWV ABS'!$A$8:$A$116)+1,"")</f>
        <v/>
      </c>
      <c r="B171" s="115"/>
      <c r="C171" s="116"/>
      <c r="D171" s="512" t="str">
        <f>_xlfn.XLOOKUP(E171,'All Products'!D:D,'All Products'!C:C,FALSE)</f>
        <v>429-131</v>
      </c>
      <c r="E171" s="53">
        <v>100022698</v>
      </c>
      <c r="F171" s="522" t="str">
        <f>_xlfn.XLOOKUP(E171,'All Products'!D:D,'All Products'!E:E,FALSE)</f>
        <v>1X3/4 REDUCER COUPLING S X S</v>
      </c>
      <c r="G171" s="282">
        <f>_xlfn.XLOOKUP(E171,'All Products'!D:D,'All Products'!F:F,FALSE)</f>
        <v>40</v>
      </c>
      <c r="H171" s="533">
        <f>_xlfn.XLOOKUP(E171,'All Products'!D:D,'All Products'!G:G,FALSE)</f>
        <v>10800</v>
      </c>
      <c r="I171" s="540">
        <f>_xlfn.XLOOKUP(E171,'All Products'!D:D,'All Products'!H:H,FALSE)</f>
        <v>4.49</v>
      </c>
      <c r="J171" s="216">
        <f>ROUND(I171*Order_Quote!$L$4,2)</f>
        <v>22.45</v>
      </c>
      <c r="K171" s="76"/>
      <c r="L171" s="79"/>
      <c r="M171" s="117">
        <f t="shared" si="5"/>
        <v>0</v>
      </c>
      <c r="O171" s="530" t="str">
        <f>_xlfn.XLOOKUP(E171,'All Products'!D:D,'All Products'!I:I,FALSE)</f>
        <v>In Stock</v>
      </c>
      <c r="P171" s="530" t="str">
        <f>_xlfn.XLOOKUP(E171,'All Products'!D:D,'All Products'!J:J,FALSE)</f>
        <v>Manufactured</v>
      </c>
      <c r="Q171" s="543" t="str">
        <f>_xlfn.XLOOKUP(E171,'All Products'!D:D,'All Products'!K:K,FALSE)</f>
        <v>049081137564</v>
      </c>
      <c r="R171" s="543" t="str">
        <f>_xlfn.XLOOKUP(E171,'All Products'!D:D,'All Products'!L:L,FALSE)</f>
        <v>049081637569</v>
      </c>
      <c r="S171" s="543" t="str">
        <f>_xlfn.XLOOKUP(E171,'All Products'!D:D,'All Products'!M:M,FALSE)</f>
        <v>40049081137562</v>
      </c>
      <c r="T171" s="530">
        <f>_xlfn.XLOOKUP(E171,'All Products'!D:D,'All Products'!N:N,FALSE)</f>
        <v>8.5999999999999993E-2</v>
      </c>
      <c r="U171" s="543">
        <f>_xlfn.XLOOKUP(E171,'All Products'!D:D,'All Products'!O:O,FALSE)</f>
        <v>5</v>
      </c>
      <c r="V171" s="530">
        <f>_xlfn.XLOOKUP(E171,'All Products'!D:D,'All Products'!P:P,FALSE)</f>
        <v>4.07</v>
      </c>
      <c r="W171" s="530">
        <f>_xlfn.XLOOKUP(E171,'All Products'!D:D,'All Products'!Q:Q,FALSE)</f>
        <v>0.31</v>
      </c>
    </row>
    <row r="172" spans="1:23" ht="15" customHeight="1">
      <c r="A172" s="104" t="str">
        <f>IF(K172&gt;0,COUNT($A$7:A171)+COUNT('DWV PVC'!$A$8:$A$284)+COUNT('DWV ABS'!$A$8:$A$116)+1,"")</f>
        <v/>
      </c>
      <c r="B172" s="115"/>
      <c r="C172" s="116"/>
      <c r="D172" s="512" t="str">
        <f>_xlfn.XLOOKUP(E172,'All Products'!D:D,'All Products'!C:C,FALSE)</f>
        <v>429-211</v>
      </c>
      <c r="E172" s="53">
        <v>100022704</v>
      </c>
      <c r="F172" s="522" t="str">
        <f>_xlfn.XLOOKUP(E172,'All Products'!D:D,'All Products'!E:E,FALSE)</f>
        <v>1-1/2X1 REDUCER COUPLING S X S</v>
      </c>
      <c r="G172" s="282">
        <f>_xlfn.XLOOKUP(E172,'All Products'!D:D,'All Products'!F:F,FALSE)</f>
        <v>20</v>
      </c>
      <c r="H172" s="533">
        <f>_xlfn.XLOOKUP(E172,'All Products'!D:D,'All Products'!G:G,FALSE)</f>
        <v>5400</v>
      </c>
      <c r="I172" s="540">
        <f>_xlfn.XLOOKUP(E172,'All Products'!D:D,'All Products'!H:H,FALSE)</f>
        <v>7.96</v>
      </c>
      <c r="J172" s="216">
        <f>ROUND(I172*Order_Quote!$L$4,2)</f>
        <v>39.799999999999997</v>
      </c>
      <c r="K172" s="76"/>
      <c r="L172" s="79"/>
      <c r="M172" s="117">
        <f t="shared" si="5"/>
        <v>0</v>
      </c>
      <c r="O172" s="530" t="str">
        <f>_xlfn.XLOOKUP(E172,'All Products'!D:D,'All Products'!I:I,FALSE)</f>
        <v>Within 3 Weeks</v>
      </c>
      <c r="P172" s="530" t="str">
        <f>_xlfn.XLOOKUP(E172,'All Products'!D:D,'All Products'!J:J,FALSE)</f>
        <v>Manufactured</v>
      </c>
      <c r="Q172" s="543" t="str">
        <f>_xlfn.XLOOKUP(E172,'All Products'!D:D,'All Products'!K:K,FALSE)</f>
        <v>049081137649</v>
      </c>
      <c r="R172" s="543" t="str">
        <f>_xlfn.XLOOKUP(E172,'All Products'!D:D,'All Products'!L:L,FALSE)</f>
        <v>049081637644</v>
      </c>
      <c r="S172" s="543" t="str">
        <f>_xlfn.XLOOKUP(E172,'All Products'!D:D,'All Products'!M:M,FALSE)</f>
        <v>40049081137647</v>
      </c>
      <c r="T172" s="530">
        <f>_xlfn.XLOOKUP(E172,'All Products'!D:D,'All Products'!N:N,FALSE)</f>
        <v>0.152</v>
      </c>
      <c r="U172" s="543">
        <f>_xlfn.XLOOKUP(E172,'All Products'!D:D,'All Products'!O:O,FALSE)</f>
        <v>5</v>
      </c>
      <c r="V172" s="530">
        <f>_xlfn.XLOOKUP(E172,'All Products'!D:D,'All Products'!P:P,FALSE)</f>
        <v>3.58</v>
      </c>
      <c r="W172" s="530">
        <f>_xlfn.XLOOKUP(E172,'All Products'!D:D,'All Products'!Q:Q,FALSE)</f>
        <v>0.27</v>
      </c>
    </row>
    <row r="173" spans="1:23" ht="15" customHeight="1">
      <c r="A173" s="104" t="str">
        <f>IF(K173&gt;0,COUNT($A$7:A172)+COUNT('DWV PVC'!$A$8:$A$284)+COUNT('DWV ABS'!$A$8:$A$116)+1,"")</f>
        <v/>
      </c>
      <c r="B173" s="115"/>
      <c r="C173" s="116"/>
      <c r="D173" s="512" t="str">
        <f>_xlfn.XLOOKUP(E173,'All Products'!D:D,'All Products'!C:C,FALSE)</f>
        <v>429-251</v>
      </c>
      <c r="E173" s="53">
        <v>100022710</v>
      </c>
      <c r="F173" s="522" t="str">
        <f>_xlfn.XLOOKUP(E173,'All Products'!D:D,'All Products'!E:E,FALSE)</f>
        <v>2X1-1/2 REDUCER COUPLING S X S</v>
      </c>
      <c r="G173" s="282">
        <f>_xlfn.XLOOKUP(E173,'All Products'!D:D,'All Products'!F:F,FALSE)</f>
        <v>30</v>
      </c>
      <c r="H173" s="533">
        <f>_xlfn.XLOOKUP(E173,'All Products'!D:D,'All Products'!G:G,FALSE)</f>
        <v>4500</v>
      </c>
      <c r="I173" s="540">
        <f>_xlfn.XLOOKUP(E173,'All Products'!D:D,'All Products'!H:H,FALSE)</f>
        <v>12.73</v>
      </c>
      <c r="J173" s="216">
        <f>ROUND(I173*Order_Quote!$L$4,2)</f>
        <v>63.65</v>
      </c>
      <c r="K173" s="76"/>
      <c r="L173" s="79"/>
      <c r="M173" s="117">
        <f t="shared" si="5"/>
        <v>0</v>
      </c>
      <c r="O173" s="530" t="str">
        <f>_xlfn.XLOOKUP(E173,'All Products'!D:D,'All Products'!I:I,FALSE)</f>
        <v>In Stock</v>
      </c>
      <c r="P173" s="530" t="str">
        <f>_xlfn.XLOOKUP(E173,'All Products'!D:D,'All Products'!J:J,FALSE)</f>
        <v>Manufactured</v>
      </c>
      <c r="Q173" s="543" t="str">
        <f>_xlfn.XLOOKUP(E173,'All Products'!D:D,'All Products'!K:K,FALSE)</f>
        <v>049081137687</v>
      </c>
      <c r="R173" s="543" t="str">
        <f>_xlfn.XLOOKUP(E173,'All Products'!D:D,'All Products'!L:L,FALSE)</f>
        <v>-</v>
      </c>
      <c r="S173" s="543" t="str">
        <f>_xlfn.XLOOKUP(E173,'All Products'!D:D,'All Products'!M:M,FALSE)</f>
        <v>40049081137685</v>
      </c>
      <c r="T173" s="530">
        <f>_xlfn.XLOOKUP(E173,'All Products'!D:D,'All Products'!N:N,FALSE)</f>
        <v>0.224</v>
      </c>
      <c r="U173" s="543" t="str">
        <f>_xlfn.XLOOKUP(E173,'All Products'!D:D,'All Products'!O:O,FALSE)</f>
        <v>-</v>
      </c>
      <c r="V173" s="530">
        <f>_xlfn.XLOOKUP(E173,'All Products'!D:D,'All Products'!P:P,FALSE)</f>
        <v>8.59</v>
      </c>
      <c r="W173" s="530">
        <f>_xlfn.XLOOKUP(E173,'All Products'!D:D,'All Products'!Q:Q,FALSE)</f>
        <v>0.5</v>
      </c>
    </row>
    <row r="174" spans="1:23" ht="15" customHeight="1">
      <c r="A174" s="104" t="str">
        <f>IF(K174&gt;0,COUNT($A$7:A173)+COUNT('DWV PVC'!$A$8:$A$284)+COUNT('DWV ABS'!$A$8:$A$116)+1,"")</f>
        <v/>
      </c>
      <c r="B174" s="115"/>
      <c r="C174" s="116"/>
      <c r="D174" s="512" t="str">
        <f>_xlfn.XLOOKUP(E174,'All Products'!D:D,'All Products'!C:C,FALSE)</f>
        <v>429-338</v>
      </c>
      <c r="E174" s="53">
        <v>300005591</v>
      </c>
      <c r="F174" s="522" t="str">
        <f>_xlfn.XLOOKUP(E174,'All Products'!D:D,'All Products'!E:E,FALSE)</f>
        <v>3X2 REDUCER COUPLING S X S</v>
      </c>
      <c r="G174" s="282">
        <f>_xlfn.XLOOKUP(E174,'All Products'!D:D,'All Products'!F:F,FALSE)</f>
        <v>5</v>
      </c>
      <c r="H174" s="533" t="str">
        <f>_xlfn.XLOOKUP(E174,'All Products'!D:D,'All Products'!G:G,FALSE)</f>
        <v>-</v>
      </c>
      <c r="I174" s="540">
        <f>_xlfn.XLOOKUP(E174,'All Products'!D:D,'All Products'!H:H,FALSE)</f>
        <v>51.55</v>
      </c>
      <c r="J174" s="216">
        <f>ROUND(I174*Order_Quote!$L$4,2)</f>
        <v>257.75</v>
      </c>
      <c r="K174" s="76"/>
      <c r="L174" s="79"/>
      <c r="M174" s="117">
        <f t="shared" si="5"/>
        <v>0</v>
      </c>
      <c r="O174" s="530" t="str">
        <f>_xlfn.XLOOKUP(E174,'All Products'!D:D,'All Products'!I:I,FALSE)</f>
        <v>Within 6 Weeks</v>
      </c>
      <c r="P174" s="530" t="str">
        <f>_xlfn.XLOOKUP(E174,'All Products'!D:D,'All Products'!J:J,FALSE)</f>
        <v>Sourced</v>
      </c>
      <c r="Q174" s="543" t="str">
        <f>_xlfn.XLOOKUP(E174,'All Products'!D:D,'All Products'!K:K,FALSE)</f>
        <v>816842025213</v>
      </c>
      <c r="R174" s="543" t="str">
        <f>_xlfn.XLOOKUP(E174,'All Products'!D:D,'All Products'!L:L,FALSE)</f>
        <v>-</v>
      </c>
      <c r="S174" s="543">
        <f>_xlfn.XLOOKUP(E174,'All Products'!D:D,'All Products'!M:M,FALSE)</f>
        <v>0</v>
      </c>
      <c r="T174" s="530">
        <f>_xlfn.XLOOKUP(E174,'All Products'!D:D,'All Products'!N:N,FALSE)</f>
        <v>0.24199999999999999</v>
      </c>
      <c r="U174" s="543" t="str">
        <f>_xlfn.XLOOKUP(E174,'All Products'!D:D,'All Products'!O:O,FALSE)</f>
        <v>-</v>
      </c>
      <c r="V174" s="530" t="str">
        <f>_xlfn.XLOOKUP(E174,'All Products'!D:D,'All Products'!P:P,FALSE)</f>
        <v>-</v>
      </c>
      <c r="W174" s="530" t="str">
        <f>_xlfn.XLOOKUP(E174,'All Products'!D:D,'All Products'!Q:Q,FALSE)</f>
        <v>-</v>
      </c>
    </row>
    <row r="175" spans="1:23" ht="15" customHeight="1">
      <c r="A175" s="104" t="str">
        <f>IF(K175&gt;0,COUNT($A$7:A174)+COUNT('DWV PVC'!$A$8:$A$284)+COUNT('DWV ABS'!$A$8:$A$116)+1,"")</f>
        <v/>
      </c>
      <c r="B175" s="379"/>
      <c r="C175" s="291"/>
      <c r="D175" s="512" t="str">
        <f>_xlfn.XLOOKUP(E175,'All Products'!D:D,'All Products'!C:C,FALSE)</f>
        <v>430-005GY</v>
      </c>
      <c r="E175" s="53">
        <v>100026961</v>
      </c>
      <c r="F175" s="522" t="str">
        <f>_xlfn.XLOOKUP(E175,'All Products'!D:D,'All Products'!E:E,FALSE)</f>
        <v>1/2 THREADED COUPLING FXF GRAY</v>
      </c>
      <c r="G175" s="282">
        <f>_xlfn.XLOOKUP(E175,'All Products'!D:D,'All Products'!F:F,FALSE)</f>
        <v>250</v>
      </c>
      <c r="H175" s="533">
        <f>_xlfn.XLOOKUP(E175,'All Products'!D:D,'All Products'!G:G,FALSE)</f>
        <v>30000</v>
      </c>
      <c r="I175" s="540">
        <f>_xlfn.XLOOKUP(E175,'All Products'!D:D,'All Products'!H:H,FALSE)</f>
        <v>2.02</v>
      </c>
      <c r="J175" s="216">
        <f>ROUND(I175*Order_Quote!$L$4,2)</f>
        <v>10.1</v>
      </c>
      <c r="K175" s="76"/>
      <c r="L175" s="79"/>
      <c r="M175" s="117">
        <f t="shared" si="5"/>
        <v>0</v>
      </c>
      <c r="O175" s="530" t="str">
        <f>_xlfn.XLOOKUP(E175,'All Products'!D:D,'All Products'!I:I,FALSE)</f>
        <v>In Stock</v>
      </c>
      <c r="P175" s="530" t="str">
        <f>_xlfn.XLOOKUP(E175,'All Products'!D:D,'All Products'!J:J,FALSE)</f>
        <v>Manufactured</v>
      </c>
      <c r="Q175" s="543" t="str">
        <f>_xlfn.XLOOKUP(E175,'All Products'!D:D,'All Products'!K:K,FALSE)</f>
        <v>049081137946</v>
      </c>
      <c r="R175" s="543" t="str">
        <f>_xlfn.XLOOKUP(E175,'All Products'!D:D,'All Products'!L:L,FALSE)</f>
        <v>049081637941</v>
      </c>
      <c r="S175" s="543" t="str">
        <f>_xlfn.XLOOKUP(E175,'All Products'!D:D,'All Products'!M:M,FALSE)</f>
        <v>40049081137944</v>
      </c>
      <c r="T175" s="530">
        <f>_xlfn.XLOOKUP(E175,'All Products'!D:D,'All Products'!N:N,FALSE)</f>
        <v>0.05</v>
      </c>
      <c r="U175" s="543">
        <f>_xlfn.XLOOKUP(E175,'All Products'!D:D,'All Products'!O:O,FALSE)</f>
        <v>10</v>
      </c>
      <c r="V175" s="530">
        <f>_xlfn.XLOOKUP(E175,'All Products'!D:D,'All Products'!P:P,FALSE)</f>
        <v>12.81</v>
      </c>
      <c r="W175" s="530">
        <f>_xlfn.XLOOKUP(E175,'All Products'!D:D,'All Products'!Q:Q,FALSE)</f>
        <v>0.65</v>
      </c>
    </row>
    <row r="176" spans="1:23" ht="15" customHeight="1">
      <c r="A176" s="104" t="str">
        <f>IF(K176&gt;0,COUNT($A$7:A175)+COUNT('DWV PVC'!$A$8:$A$284)+COUNT('DWV ABS'!$A$8:$A$116)+1,"")</f>
        <v/>
      </c>
      <c r="B176" s="115"/>
      <c r="C176" s="116"/>
      <c r="D176" s="512" t="str">
        <f>_xlfn.XLOOKUP(E176,'All Products'!D:D,'All Products'!C:C,FALSE)</f>
        <v>430-005W</v>
      </c>
      <c r="E176" s="53">
        <v>100027407</v>
      </c>
      <c r="F176" s="522" t="str">
        <f>_xlfn.XLOOKUP(E176,'All Products'!D:D,'All Products'!E:E,FALSE)</f>
        <v>1/2 THREADED COUPLING FXF WHITE</v>
      </c>
      <c r="G176" s="282">
        <f>_xlfn.XLOOKUP(E176,'All Products'!D:D,'All Products'!F:F,FALSE)</f>
        <v>250</v>
      </c>
      <c r="H176" s="533">
        <f>_xlfn.XLOOKUP(E176,'All Products'!D:D,'All Products'!G:G,FALSE)</f>
        <v>30000</v>
      </c>
      <c r="I176" s="540">
        <f>_xlfn.XLOOKUP(E176,'All Products'!D:D,'All Products'!H:H,FALSE)</f>
        <v>2.0099999999999998</v>
      </c>
      <c r="J176" s="216">
        <f>ROUND(I176*Order_Quote!$L$4,2)</f>
        <v>10.050000000000001</v>
      </c>
      <c r="K176" s="76"/>
      <c r="L176" s="79"/>
      <c r="M176" s="117">
        <f t="shared" si="5"/>
        <v>0</v>
      </c>
      <c r="O176" s="530" t="str">
        <f>_xlfn.XLOOKUP(E176,'All Products'!D:D,'All Products'!I:I,FALSE)</f>
        <v>In Stock</v>
      </c>
      <c r="P176" s="530" t="str">
        <f>_xlfn.XLOOKUP(E176,'All Products'!D:D,'All Products'!J:J,FALSE)</f>
        <v>Manufactured</v>
      </c>
      <c r="Q176" s="543">
        <f>_xlfn.XLOOKUP(E176,'All Products'!D:D,'All Products'!K:K,FALSE)</f>
        <v>0</v>
      </c>
      <c r="R176" s="543" t="str">
        <f>_xlfn.XLOOKUP(E176,'All Products'!D:D,'All Products'!L:L,FALSE)</f>
        <v>049081638238</v>
      </c>
      <c r="S176" s="543" t="str">
        <f>_xlfn.XLOOKUP(E176,'All Products'!D:D,'All Products'!M:M,FALSE)</f>
        <v>40049081138231</v>
      </c>
      <c r="T176" s="530">
        <f>_xlfn.XLOOKUP(E176,'All Products'!D:D,'All Products'!N:N,FALSE)</f>
        <v>4.9000000000000002E-2</v>
      </c>
      <c r="U176" s="543">
        <f>_xlfn.XLOOKUP(E176,'All Products'!D:D,'All Products'!O:O,FALSE)</f>
        <v>10</v>
      </c>
      <c r="V176" s="530">
        <f>_xlfn.XLOOKUP(E176,'All Products'!D:D,'All Products'!P:P,FALSE)</f>
        <v>12.9</v>
      </c>
      <c r="W176" s="530">
        <f>_xlfn.XLOOKUP(E176,'All Products'!D:D,'All Products'!Q:Q,FALSE)</f>
        <v>0.65</v>
      </c>
    </row>
    <row r="177" spans="1:23" ht="15" customHeight="1">
      <c r="A177" s="104" t="str">
        <f>IF(K177&gt;0,COUNT($A$7:A176)+COUNT('DWV PVC'!$A$8:$A$284)+COUNT('DWV ABS'!$A$8:$A$116)+1,"")</f>
        <v/>
      </c>
      <c r="B177" s="115"/>
      <c r="C177" s="116"/>
      <c r="D177" s="512" t="str">
        <f>_xlfn.XLOOKUP(E177,'All Products'!D:D,'All Products'!C:C,FALSE)</f>
        <v>430-007GY</v>
      </c>
      <c r="E177" s="53">
        <v>100026964</v>
      </c>
      <c r="F177" s="522" t="str">
        <f>_xlfn.XLOOKUP(E177,'All Products'!D:D,'All Products'!E:E,FALSE)</f>
        <v>3/4 THREADED COUPLING FXF GRAY</v>
      </c>
      <c r="G177" s="282">
        <f>_xlfn.XLOOKUP(E177,'All Products'!D:D,'All Products'!F:F,FALSE)</f>
        <v>250</v>
      </c>
      <c r="H177" s="533">
        <f>_xlfn.XLOOKUP(E177,'All Products'!D:D,'All Products'!G:G,FALSE)</f>
        <v>22500</v>
      </c>
      <c r="I177" s="540">
        <f>_xlfn.XLOOKUP(E177,'All Products'!D:D,'All Products'!H:H,FALSE)</f>
        <v>3.73</v>
      </c>
      <c r="J177" s="216">
        <f>ROUND(I177*Order_Quote!$L$4,2)</f>
        <v>18.649999999999999</v>
      </c>
      <c r="K177" s="76"/>
      <c r="L177" s="79"/>
      <c r="M177" s="117">
        <f t="shared" si="5"/>
        <v>0</v>
      </c>
      <c r="O177" s="530" t="str">
        <f>_xlfn.XLOOKUP(E177,'All Products'!D:D,'All Products'!I:I,FALSE)</f>
        <v>In Stock</v>
      </c>
      <c r="P177" s="530" t="str">
        <f>_xlfn.XLOOKUP(E177,'All Products'!D:D,'All Products'!J:J,FALSE)</f>
        <v>Manufactured</v>
      </c>
      <c r="Q177" s="543" t="str">
        <f>_xlfn.XLOOKUP(E177,'All Products'!D:D,'All Products'!K:K,FALSE)</f>
        <v>049081137960</v>
      </c>
      <c r="R177" s="543" t="str">
        <f>_xlfn.XLOOKUP(E177,'All Products'!D:D,'All Products'!L:L,FALSE)</f>
        <v>049081637965</v>
      </c>
      <c r="S177" s="543" t="str">
        <f>_xlfn.XLOOKUP(E177,'All Products'!D:D,'All Products'!M:M,FALSE)</f>
        <v>40049081137968</v>
      </c>
      <c r="T177" s="530">
        <f>_xlfn.XLOOKUP(E177,'All Products'!D:D,'All Products'!N:N,FALSE)</f>
        <v>4.8000000000000001E-2</v>
      </c>
      <c r="U177" s="543">
        <f>_xlfn.XLOOKUP(E177,'All Products'!D:D,'All Products'!O:O,FALSE)</f>
        <v>10</v>
      </c>
      <c r="V177" s="530">
        <f>_xlfn.XLOOKUP(E177,'All Products'!D:D,'All Products'!P:P,FALSE)</f>
        <v>16</v>
      </c>
      <c r="W177" s="530">
        <f>_xlfn.XLOOKUP(E177,'All Products'!D:D,'All Products'!Q:Q,FALSE)</f>
        <v>0.8</v>
      </c>
    </row>
    <row r="178" spans="1:23" ht="15" customHeight="1">
      <c r="A178" s="104" t="str">
        <f>IF(K178&gt;0,COUNT($A$7:A177)+COUNT('DWV PVC'!$A$8:$A$284)+COUNT('DWV ABS'!$A$8:$A$116)+1,"")</f>
        <v/>
      </c>
      <c r="B178" s="115"/>
      <c r="C178" s="116"/>
      <c r="D178" s="512" t="str">
        <f>_xlfn.XLOOKUP(E178,'All Products'!D:D,'All Products'!C:C,FALSE)</f>
        <v>430-007W</v>
      </c>
      <c r="E178" s="53">
        <v>100027408</v>
      </c>
      <c r="F178" s="522" t="str">
        <f>_xlfn.XLOOKUP(E178,'All Products'!D:D,'All Products'!E:E,FALSE)</f>
        <v>3/4 THREADED COUPLING FXF WHITE</v>
      </c>
      <c r="G178" s="282">
        <f>_xlfn.XLOOKUP(E178,'All Products'!D:D,'All Products'!F:F,FALSE)</f>
        <v>250</v>
      </c>
      <c r="H178" s="533">
        <f>_xlfn.XLOOKUP(E178,'All Products'!D:D,'All Products'!G:G,FALSE)</f>
        <v>22500</v>
      </c>
      <c r="I178" s="540">
        <f>_xlfn.XLOOKUP(E178,'All Products'!D:D,'All Products'!H:H,FALSE)</f>
        <v>3.73</v>
      </c>
      <c r="J178" s="216">
        <f>ROUND(I178*Order_Quote!$L$4,2)</f>
        <v>18.649999999999999</v>
      </c>
      <c r="K178" s="76"/>
      <c r="L178" s="79"/>
      <c r="M178" s="117">
        <f t="shared" si="5"/>
        <v>0</v>
      </c>
      <c r="O178" s="530" t="str">
        <f>_xlfn.XLOOKUP(E178,'All Products'!D:D,'All Products'!I:I,FALSE)</f>
        <v>In Stock</v>
      </c>
      <c r="P178" s="530" t="str">
        <f>_xlfn.XLOOKUP(E178,'All Products'!D:D,'All Products'!J:J,FALSE)</f>
        <v>Manufactured</v>
      </c>
      <c r="Q178" s="543">
        <f>_xlfn.XLOOKUP(E178,'All Products'!D:D,'All Products'!K:K,FALSE)</f>
        <v>0</v>
      </c>
      <c r="R178" s="543" t="str">
        <f>_xlfn.XLOOKUP(E178,'All Products'!D:D,'All Products'!L:L,FALSE)</f>
        <v>049081638252</v>
      </c>
      <c r="S178" s="543" t="str">
        <f>_xlfn.XLOOKUP(E178,'All Products'!D:D,'All Products'!M:M,FALSE)</f>
        <v>40049081138255</v>
      </c>
      <c r="T178" s="530">
        <f>_xlfn.XLOOKUP(E178,'All Products'!D:D,'All Products'!N:N,FALSE)</f>
        <v>4.9000000000000002E-2</v>
      </c>
      <c r="U178" s="543">
        <f>_xlfn.XLOOKUP(E178,'All Products'!D:D,'All Products'!O:O,FALSE)</f>
        <v>10</v>
      </c>
      <c r="V178" s="530">
        <f>_xlfn.XLOOKUP(E178,'All Products'!D:D,'All Products'!P:P,FALSE)</f>
        <v>16.04</v>
      </c>
      <c r="W178" s="530">
        <f>_xlfn.XLOOKUP(E178,'All Products'!D:D,'All Products'!Q:Q,FALSE)</f>
        <v>0.8</v>
      </c>
    </row>
    <row r="179" spans="1:23" ht="15" customHeight="1">
      <c r="A179" s="104" t="str">
        <f>IF(K179&gt;0,COUNT($A$7:A178)+COUNT('DWV PVC'!$A$8:$A$284)+COUNT('DWV ABS'!$A$8:$A$116)+1,"")</f>
        <v/>
      </c>
      <c r="B179" s="115"/>
      <c r="C179" s="116"/>
      <c r="D179" s="512" t="str">
        <f>_xlfn.XLOOKUP(E179,'All Products'!D:D,'All Products'!C:C,FALSE)</f>
        <v>430-010GY</v>
      </c>
      <c r="E179" s="53">
        <v>100026967</v>
      </c>
      <c r="F179" s="522" t="str">
        <f>_xlfn.XLOOKUP(E179,'All Products'!D:D,'All Products'!E:E,FALSE)</f>
        <v>1 THREADED COUPLING FXF GRAY</v>
      </c>
      <c r="G179" s="282">
        <f>_xlfn.XLOOKUP(E179,'All Products'!D:D,'All Products'!F:F,FALSE)</f>
        <v>100</v>
      </c>
      <c r="H179" s="533">
        <f>_xlfn.XLOOKUP(E179,'All Products'!D:D,'All Products'!G:G,FALSE)</f>
        <v>12000</v>
      </c>
      <c r="I179" s="540">
        <f>_xlfn.XLOOKUP(E179,'All Products'!D:D,'All Products'!H:H,FALSE)</f>
        <v>4.92</v>
      </c>
      <c r="J179" s="216">
        <f>ROUND(I179*Order_Quote!$L$4,2)</f>
        <v>24.6</v>
      </c>
      <c r="K179" s="76"/>
      <c r="L179" s="79"/>
      <c r="M179" s="117">
        <f t="shared" si="5"/>
        <v>0</v>
      </c>
      <c r="O179" s="530" t="str">
        <f>_xlfn.XLOOKUP(E179,'All Products'!D:D,'All Products'!I:I,FALSE)</f>
        <v>In Stock</v>
      </c>
      <c r="P179" s="530" t="str">
        <f>_xlfn.XLOOKUP(E179,'All Products'!D:D,'All Products'!J:J,FALSE)</f>
        <v>Manufactured</v>
      </c>
      <c r="Q179" s="543" t="str">
        <f>_xlfn.XLOOKUP(E179,'All Products'!D:D,'All Products'!K:K,FALSE)</f>
        <v>049081137984</v>
      </c>
      <c r="R179" s="543" t="str">
        <f>_xlfn.XLOOKUP(E179,'All Products'!D:D,'All Products'!L:L,FALSE)</f>
        <v>049081637989</v>
      </c>
      <c r="S179" s="543" t="str">
        <f>_xlfn.XLOOKUP(E179,'All Products'!D:D,'All Products'!M:M,FALSE)</f>
        <v>40049081137982</v>
      </c>
      <c r="T179" s="530">
        <f>_xlfn.XLOOKUP(E179,'All Products'!D:D,'All Products'!N:N,FALSE)</f>
        <v>0.106</v>
      </c>
      <c r="U179" s="543">
        <f>_xlfn.XLOOKUP(E179,'All Products'!D:D,'All Products'!O:O,FALSE)</f>
        <v>10</v>
      </c>
      <c r="V179" s="530">
        <f>_xlfn.XLOOKUP(E179,'All Products'!D:D,'All Products'!P:P,FALSE)</f>
        <v>11.44</v>
      </c>
      <c r="W179" s="530">
        <f>_xlfn.XLOOKUP(E179,'All Products'!D:D,'All Products'!Q:Q,FALSE)</f>
        <v>0.65</v>
      </c>
    </row>
    <row r="180" spans="1:23" ht="15" customHeight="1">
      <c r="A180" s="104" t="str">
        <f>IF(K180&gt;0,COUNT($A$7:A179)+COUNT('DWV PVC'!$A$8:$A$284)+COUNT('DWV ABS'!$A$8:$A$116)+1,"")</f>
        <v/>
      </c>
      <c r="B180" s="115"/>
      <c r="C180" s="116"/>
      <c r="D180" s="512" t="str">
        <f>_xlfn.XLOOKUP(E180,'All Products'!D:D,'All Products'!C:C,FALSE)</f>
        <v>430-010W</v>
      </c>
      <c r="E180" s="53">
        <v>100027409</v>
      </c>
      <c r="F180" s="522" t="str">
        <f>_xlfn.XLOOKUP(E180,'All Products'!D:D,'All Products'!E:E,FALSE)</f>
        <v>1 THREADED COUPLING FXF WHITE</v>
      </c>
      <c r="G180" s="282">
        <f>_xlfn.XLOOKUP(E180,'All Products'!D:D,'All Products'!F:F,FALSE)</f>
        <v>100</v>
      </c>
      <c r="H180" s="533">
        <f>_xlfn.XLOOKUP(E180,'All Products'!D:D,'All Products'!G:G,FALSE)</f>
        <v>12000</v>
      </c>
      <c r="I180" s="540">
        <f>_xlfn.XLOOKUP(E180,'All Products'!D:D,'All Products'!H:H,FALSE)</f>
        <v>4.92</v>
      </c>
      <c r="J180" s="216">
        <f>ROUND(I180*Order_Quote!$L$4,2)</f>
        <v>24.6</v>
      </c>
      <c r="K180" s="76"/>
      <c r="L180" s="79"/>
      <c r="M180" s="117">
        <f t="shared" si="5"/>
        <v>0</v>
      </c>
      <c r="O180" s="530" t="str">
        <f>_xlfn.XLOOKUP(E180,'All Products'!D:D,'All Products'!I:I,FALSE)</f>
        <v>In Stock</v>
      </c>
      <c r="P180" s="530" t="str">
        <f>_xlfn.XLOOKUP(E180,'All Products'!D:D,'All Products'!J:J,FALSE)</f>
        <v>Manufactured</v>
      </c>
      <c r="Q180" s="543">
        <f>_xlfn.XLOOKUP(E180,'All Products'!D:D,'All Products'!K:K,FALSE)</f>
        <v>0</v>
      </c>
      <c r="R180" s="543">
        <f>_xlfn.XLOOKUP(E180,'All Products'!D:D,'All Products'!L:L,FALSE)</f>
        <v>0</v>
      </c>
      <c r="S180" s="543" t="str">
        <f>_xlfn.XLOOKUP(E180,'All Products'!D:D,'All Products'!M:M,FALSE)</f>
        <v>40049081138279</v>
      </c>
      <c r="T180" s="530">
        <f>_xlfn.XLOOKUP(E180,'All Products'!D:D,'All Products'!N:N,FALSE)</f>
        <v>0.106</v>
      </c>
      <c r="U180" s="543">
        <f>_xlfn.XLOOKUP(E180,'All Products'!D:D,'All Products'!O:O,FALSE)</f>
        <v>10</v>
      </c>
      <c r="V180" s="530">
        <f>_xlfn.XLOOKUP(E180,'All Products'!D:D,'All Products'!P:P,FALSE)</f>
        <v>11.36</v>
      </c>
      <c r="W180" s="530">
        <f>_xlfn.XLOOKUP(E180,'All Products'!D:D,'All Products'!Q:Q,FALSE)</f>
        <v>0.65</v>
      </c>
    </row>
    <row r="181" spans="1:23" ht="15" customHeight="1">
      <c r="A181" s="104" t="str">
        <f>IF(K181&gt;0,COUNT($A$7:A180)+COUNT('DWV PVC'!$A$8:$A$284)+COUNT('DWV ABS'!$A$8:$A$116)+1,"")</f>
        <v/>
      </c>
      <c r="B181" s="115"/>
      <c r="C181" s="116"/>
      <c r="D181" s="512" t="str">
        <f>_xlfn.XLOOKUP(E181,'All Products'!D:D,'All Products'!C:C,FALSE)</f>
        <v>430-012GY</v>
      </c>
      <c r="E181" s="53">
        <v>100026970</v>
      </c>
      <c r="F181" s="522" t="str">
        <f>_xlfn.XLOOKUP(E181,'All Products'!D:D,'All Products'!E:E,FALSE)</f>
        <v>1-1/4 THREADED COUPLING FXF GRAY</v>
      </c>
      <c r="G181" s="282">
        <f>_xlfn.XLOOKUP(E181,'All Products'!D:D,'All Products'!F:F,FALSE)</f>
        <v>50</v>
      </c>
      <c r="H181" s="533">
        <f>_xlfn.XLOOKUP(E181,'All Products'!D:D,'All Products'!G:G,FALSE)</f>
        <v>6000</v>
      </c>
      <c r="I181" s="540">
        <f>_xlfn.XLOOKUP(E181,'All Products'!D:D,'All Products'!H:H,FALSE)</f>
        <v>16.47</v>
      </c>
      <c r="J181" s="216">
        <f>ROUND(I181*Order_Quote!$L$4,2)</f>
        <v>82.35</v>
      </c>
      <c r="K181" s="76"/>
      <c r="L181" s="79"/>
      <c r="M181" s="117">
        <f t="shared" si="5"/>
        <v>0</v>
      </c>
      <c r="O181" s="530" t="str">
        <f>_xlfn.XLOOKUP(E181,'All Products'!D:D,'All Products'!I:I,FALSE)</f>
        <v>Within 3 Weeks</v>
      </c>
      <c r="P181" s="530" t="str">
        <f>_xlfn.XLOOKUP(E181,'All Products'!D:D,'All Products'!J:J,FALSE)</f>
        <v>Manufactured</v>
      </c>
      <c r="Q181" s="543" t="str">
        <f>_xlfn.XLOOKUP(E181,'All Products'!D:D,'All Products'!K:K,FALSE)</f>
        <v>049081138004</v>
      </c>
      <c r="R181" s="543" t="str">
        <f>_xlfn.XLOOKUP(E181,'All Products'!D:D,'All Products'!L:L,FALSE)</f>
        <v>049081638009</v>
      </c>
      <c r="S181" s="543" t="str">
        <f>_xlfn.XLOOKUP(E181,'All Products'!D:D,'All Products'!M:M,FALSE)</f>
        <v>40049081138002</v>
      </c>
      <c r="T181" s="530">
        <f>_xlfn.XLOOKUP(E181,'All Products'!D:D,'All Products'!N:N,FALSE)</f>
        <v>0.217</v>
      </c>
      <c r="U181" s="543">
        <f>_xlfn.XLOOKUP(E181,'All Products'!D:D,'All Products'!O:O,FALSE)</f>
        <v>5</v>
      </c>
      <c r="V181" s="530">
        <f>_xlfn.XLOOKUP(E181,'All Products'!D:D,'All Products'!P:P,FALSE)</f>
        <v>10.83</v>
      </c>
      <c r="W181" s="530">
        <f>_xlfn.XLOOKUP(E181,'All Products'!D:D,'All Products'!Q:Q,FALSE)</f>
        <v>0.65</v>
      </c>
    </row>
    <row r="182" spans="1:23" ht="15" customHeight="1">
      <c r="A182" s="104" t="str">
        <f>IF(K182&gt;0,COUNT($A$7:A181)+COUNT('DWV PVC'!$A$8:$A$284)+COUNT('DWV ABS'!$A$8:$A$116)+1,"")</f>
        <v/>
      </c>
      <c r="B182" s="115"/>
      <c r="C182" s="116"/>
      <c r="D182" s="512" t="str">
        <f>_xlfn.XLOOKUP(E182,'All Products'!D:D,'All Products'!C:C,FALSE)</f>
        <v>430-015GY</v>
      </c>
      <c r="E182" s="53">
        <v>100026972</v>
      </c>
      <c r="F182" s="522" t="str">
        <f>_xlfn.XLOOKUP(E182,'All Products'!D:D,'All Products'!E:E,FALSE)</f>
        <v>1-1/2 THREADED COUPLING FXF GRAY</v>
      </c>
      <c r="G182" s="282">
        <f>_xlfn.XLOOKUP(E182,'All Products'!D:D,'All Products'!F:F,FALSE)</f>
        <v>50</v>
      </c>
      <c r="H182" s="533">
        <f>_xlfn.XLOOKUP(E182,'All Products'!D:D,'All Products'!G:G,FALSE)</f>
        <v>6000</v>
      </c>
      <c r="I182" s="540">
        <f>_xlfn.XLOOKUP(E182,'All Products'!D:D,'All Products'!H:H,FALSE)</f>
        <v>32.43</v>
      </c>
      <c r="J182" s="216">
        <f>ROUND(I182*Order_Quote!$L$4,2)</f>
        <v>162.15</v>
      </c>
      <c r="K182" s="76"/>
      <c r="L182" s="79"/>
      <c r="M182" s="117">
        <f t="shared" si="5"/>
        <v>0</v>
      </c>
      <c r="O182" s="530" t="str">
        <f>_xlfn.XLOOKUP(E182,'All Products'!D:D,'All Products'!I:I,FALSE)</f>
        <v>In Stock</v>
      </c>
      <c r="P182" s="530" t="str">
        <f>_xlfn.XLOOKUP(E182,'All Products'!D:D,'All Products'!J:J,FALSE)</f>
        <v>Manufactured</v>
      </c>
      <c r="Q182" s="543" t="str">
        <f>_xlfn.XLOOKUP(E182,'All Products'!D:D,'All Products'!K:K,FALSE)</f>
        <v>049081138028</v>
      </c>
      <c r="R182" s="543" t="str">
        <f>_xlfn.XLOOKUP(E182,'All Products'!D:D,'All Products'!L:L,FALSE)</f>
        <v>049081638023</v>
      </c>
      <c r="S182" s="543" t="str">
        <f>_xlfn.XLOOKUP(E182,'All Products'!D:D,'All Products'!M:M,FALSE)</f>
        <v>40049081138026</v>
      </c>
      <c r="T182" s="530">
        <f>_xlfn.XLOOKUP(E182,'All Products'!D:D,'All Products'!N:N,FALSE)</f>
        <v>0.23400000000000001</v>
      </c>
      <c r="U182" s="543">
        <f>_xlfn.XLOOKUP(E182,'All Products'!D:D,'All Products'!O:O,FALSE)</f>
        <v>5</v>
      </c>
      <c r="V182" s="530">
        <f>_xlfn.XLOOKUP(E182,'All Products'!D:D,'All Products'!P:P,FALSE)</f>
        <v>12.45</v>
      </c>
      <c r="W182" s="530">
        <f>_xlfn.XLOOKUP(E182,'All Products'!D:D,'All Products'!Q:Q,FALSE)</f>
        <v>0.65</v>
      </c>
    </row>
    <row r="183" spans="1:23" ht="15" customHeight="1">
      <c r="A183" s="104" t="str">
        <f>IF(K183&gt;0,COUNT($A$7:A182)+COUNT('DWV PVC'!$A$8:$A$284)+COUNT('DWV ABS'!$A$8:$A$116)+1,"")</f>
        <v/>
      </c>
      <c r="B183" s="380"/>
      <c r="C183" s="292"/>
      <c r="D183" s="512" t="str">
        <f>_xlfn.XLOOKUP(E183,'All Products'!D:D,'All Products'!C:C,FALSE)</f>
        <v>430-020GY</v>
      </c>
      <c r="E183" s="53">
        <v>100026974</v>
      </c>
      <c r="F183" s="522" t="str">
        <f>_xlfn.XLOOKUP(E183,'All Products'!D:D,'All Products'!E:E,FALSE)</f>
        <v>2 THREADED COUPLING FXF GRAY</v>
      </c>
      <c r="G183" s="282">
        <f>_xlfn.XLOOKUP(E183,'All Products'!D:D,'All Products'!F:F,FALSE)</f>
        <v>25</v>
      </c>
      <c r="H183" s="533">
        <f>_xlfn.XLOOKUP(E183,'All Products'!D:D,'All Products'!G:G,FALSE)</f>
        <v>3750</v>
      </c>
      <c r="I183" s="540">
        <f>_xlfn.XLOOKUP(E183,'All Products'!D:D,'All Products'!H:H,FALSE)</f>
        <v>38.54</v>
      </c>
      <c r="J183" s="216">
        <f>ROUND(I183*Order_Quote!$L$4,2)</f>
        <v>192.7</v>
      </c>
      <c r="K183" s="76"/>
      <c r="L183" s="79"/>
      <c r="M183" s="117">
        <f t="shared" si="5"/>
        <v>0</v>
      </c>
      <c r="O183" s="530" t="str">
        <f>_xlfn.XLOOKUP(E183,'All Products'!D:D,'All Products'!I:I,FALSE)</f>
        <v>In Stock</v>
      </c>
      <c r="P183" s="530" t="str">
        <f>_xlfn.XLOOKUP(E183,'All Products'!D:D,'All Products'!J:J,FALSE)</f>
        <v>Manufactured</v>
      </c>
      <c r="Q183" s="543" t="str">
        <f>_xlfn.XLOOKUP(E183,'All Products'!D:D,'All Products'!K:K,FALSE)</f>
        <v>049081138042</v>
      </c>
      <c r="R183" s="543" t="str">
        <f>_xlfn.XLOOKUP(E183,'All Products'!D:D,'All Products'!L:L,FALSE)</f>
        <v>049081638047</v>
      </c>
      <c r="S183" s="543" t="str">
        <f>_xlfn.XLOOKUP(E183,'All Products'!D:D,'All Products'!M:M,FALSE)</f>
        <v>40049081138040</v>
      </c>
      <c r="T183" s="530">
        <f>_xlfn.XLOOKUP(E183,'All Products'!D:D,'All Products'!N:N,FALSE)</f>
        <v>0.35599999999999998</v>
      </c>
      <c r="U183" s="543">
        <f>_xlfn.XLOOKUP(E183,'All Products'!D:D,'All Products'!O:O,FALSE)</f>
        <v>5</v>
      </c>
      <c r="V183" s="530">
        <f>_xlfn.XLOOKUP(E183,'All Products'!D:D,'All Products'!P:P,FALSE)</f>
        <v>9.02</v>
      </c>
      <c r="W183" s="530">
        <f>_xlfn.XLOOKUP(E183,'All Products'!D:D,'All Products'!Q:Q,FALSE)</f>
        <v>0.5</v>
      </c>
    </row>
    <row r="184" spans="1:23" ht="15" customHeight="1">
      <c r="A184" s="104" t="str">
        <f>IF(K184&gt;0,COUNT($A$7:A183)+COUNT('DWV PVC'!$A$8:$A$284)+COUNT('DWV ABS'!$A$8:$A$116)+1,"")</f>
        <v/>
      </c>
      <c r="B184" s="115"/>
      <c r="C184" s="116"/>
      <c r="D184" s="512" t="str">
        <f>_xlfn.XLOOKUP(E184,'All Products'!D:D,'All Products'!C:C,FALSE)</f>
        <v>430-073W</v>
      </c>
      <c r="E184" s="53">
        <v>100022720</v>
      </c>
      <c r="F184" s="522" t="str">
        <f>_xlfn.XLOOKUP(E184,'All Products'!D:D,'All Products'!E:E,FALSE)</f>
        <v>1/2X3/8 RED THREADED COUPLING FXF WHITE</v>
      </c>
      <c r="G184" s="282">
        <f>_xlfn.XLOOKUP(E184,'All Products'!D:D,'All Products'!F:F,FALSE)</f>
        <v>250</v>
      </c>
      <c r="H184" s="533">
        <f>_xlfn.XLOOKUP(E184,'All Products'!D:D,'All Products'!G:G,FALSE)</f>
        <v>22500</v>
      </c>
      <c r="I184" s="540">
        <f>_xlfn.XLOOKUP(E184,'All Products'!D:D,'All Products'!H:H,FALSE)</f>
        <v>3.2</v>
      </c>
      <c r="J184" s="216">
        <f>ROUND(I184*Order_Quote!$L$4,2)</f>
        <v>16</v>
      </c>
      <c r="K184" s="76"/>
      <c r="L184" s="79"/>
      <c r="M184" s="117">
        <f t="shared" si="5"/>
        <v>0</v>
      </c>
      <c r="O184" s="530" t="str">
        <f>_xlfn.XLOOKUP(E184,'All Products'!D:D,'All Products'!I:I,FALSE)</f>
        <v>Within 3 Weeks</v>
      </c>
      <c r="P184" s="530" t="str">
        <f>_xlfn.XLOOKUP(E184,'All Products'!D:D,'All Products'!J:J,FALSE)</f>
        <v>Manufactured</v>
      </c>
      <c r="Q184" s="543" t="str">
        <f>_xlfn.XLOOKUP(E184,'All Products'!D:D,'All Products'!K:K,FALSE)</f>
        <v>049081137939</v>
      </c>
      <c r="R184" s="543" t="str">
        <f>_xlfn.XLOOKUP(E184,'All Products'!D:D,'All Products'!L:L,FALSE)</f>
        <v>049081637934</v>
      </c>
      <c r="S184" s="543" t="str">
        <f>_xlfn.XLOOKUP(E184,'All Products'!D:D,'All Products'!M:M,FALSE)</f>
        <v>40049081137937</v>
      </c>
      <c r="T184" s="530">
        <f>_xlfn.XLOOKUP(E184,'All Products'!D:D,'All Products'!N:N,FALSE)</f>
        <v>7.8E-2</v>
      </c>
      <c r="U184" s="543">
        <f>_xlfn.XLOOKUP(E184,'All Products'!D:D,'All Products'!O:O,FALSE)</f>
        <v>10</v>
      </c>
      <c r="V184" s="530">
        <f>_xlfn.XLOOKUP(E184,'All Products'!D:D,'All Products'!P:P,FALSE)</f>
        <v>20.96</v>
      </c>
      <c r="W184" s="530">
        <f>_xlfn.XLOOKUP(E184,'All Products'!D:D,'All Products'!Q:Q,FALSE)</f>
        <v>0.8</v>
      </c>
    </row>
    <row r="185" spans="1:23" ht="15" customHeight="1">
      <c r="A185" s="104" t="str">
        <f>IF(K185&gt;0,COUNT($A$7:A184)+COUNT('DWV PVC'!$A$8:$A$284)+COUNT('DWV ABS'!$A$8:$A$116)+1,"")</f>
        <v/>
      </c>
      <c r="B185" s="115"/>
      <c r="C185" s="116"/>
      <c r="D185" s="512" t="str">
        <f>_xlfn.XLOOKUP(E185,'All Products'!D:D,'All Products'!C:C,FALSE)</f>
        <v>430-101</v>
      </c>
      <c r="E185" s="53">
        <v>100022722</v>
      </c>
      <c r="F185" s="522" t="str">
        <f>_xlfn.XLOOKUP(E185,'All Products'!D:D,'All Products'!E:E,FALSE)</f>
        <v>3/4X1/2 RED THREADED COUPLING FXF</v>
      </c>
      <c r="G185" s="282">
        <f>_xlfn.XLOOKUP(E185,'All Products'!D:D,'All Products'!F:F,FALSE)</f>
        <v>250</v>
      </c>
      <c r="H185" s="533">
        <f>_xlfn.XLOOKUP(E185,'All Products'!D:D,'All Products'!G:G,FALSE)</f>
        <v>22500</v>
      </c>
      <c r="I185" s="540">
        <f>_xlfn.XLOOKUP(E185,'All Products'!D:D,'All Products'!H:H,FALSE)</f>
        <v>4.83</v>
      </c>
      <c r="J185" s="216">
        <f>ROUND(I185*Order_Quote!$L$4,2)</f>
        <v>24.15</v>
      </c>
      <c r="K185" s="76"/>
      <c r="L185" s="79"/>
      <c r="M185" s="117">
        <f t="shared" si="5"/>
        <v>0</v>
      </c>
      <c r="O185" s="530" t="str">
        <f>_xlfn.XLOOKUP(E185,'All Products'!D:D,'All Products'!I:I,FALSE)</f>
        <v>Within 3 Weeks</v>
      </c>
      <c r="P185" s="530" t="str">
        <f>_xlfn.XLOOKUP(E185,'All Products'!D:D,'All Products'!J:J,FALSE)</f>
        <v>Manufactured</v>
      </c>
      <c r="Q185" s="543" t="str">
        <f>_xlfn.XLOOKUP(E185,'All Products'!D:D,'All Products'!K:K,FALSE)</f>
        <v>049081138127</v>
      </c>
      <c r="R185" s="543" t="str">
        <f>_xlfn.XLOOKUP(E185,'All Products'!D:D,'All Products'!L:L,FALSE)</f>
        <v>049081638122</v>
      </c>
      <c r="S185" s="543" t="str">
        <f>_xlfn.XLOOKUP(E185,'All Products'!D:D,'All Products'!M:M,FALSE)</f>
        <v>40049081138125</v>
      </c>
      <c r="T185" s="530">
        <f>_xlfn.XLOOKUP(E185,'All Products'!D:D,'All Products'!N:N,FALSE)</f>
        <v>7.4999999999999997E-2</v>
      </c>
      <c r="U185" s="543">
        <f>_xlfn.XLOOKUP(E185,'All Products'!D:D,'All Products'!O:O,FALSE)</f>
        <v>10</v>
      </c>
      <c r="V185" s="530">
        <f>_xlfn.XLOOKUP(E185,'All Products'!D:D,'All Products'!P:P,FALSE)</f>
        <v>19.64</v>
      </c>
      <c r="W185" s="530">
        <f>_xlfn.XLOOKUP(E185,'All Products'!D:D,'All Products'!Q:Q,FALSE)</f>
        <v>0.8</v>
      </c>
    </row>
    <row r="186" spans="1:23" ht="15" customHeight="1">
      <c r="A186" s="104" t="str">
        <f>IF(K186&gt;0,COUNT($A$7:A185)+COUNT('DWV PVC'!$A$8:$A$284)+COUNT('DWV ABS'!$A$8:$A$116)+1,"")</f>
        <v/>
      </c>
      <c r="B186" s="115"/>
      <c r="C186" s="116"/>
      <c r="D186" s="512" t="str">
        <f>_xlfn.XLOOKUP(E186,'All Products'!D:D,'All Products'!C:C,FALSE)</f>
        <v>430-131</v>
      </c>
      <c r="E186" s="53">
        <v>100022724</v>
      </c>
      <c r="F186" s="522" t="str">
        <f>_xlfn.XLOOKUP(E186,'All Products'!D:D,'All Products'!E:E,FALSE)</f>
        <v>1X3/4 RED THREADED COUPLING FXF</v>
      </c>
      <c r="G186" s="282">
        <f>_xlfn.XLOOKUP(E186,'All Products'!D:D,'All Products'!F:F,FALSE)</f>
        <v>100</v>
      </c>
      <c r="H186" s="533">
        <f>_xlfn.XLOOKUP(E186,'All Products'!D:D,'All Products'!G:G,FALSE)</f>
        <v>12000</v>
      </c>
      <c r="I186" s="540">
        <f>_xlfn.XLOOKUP(E186,'All Products'!D:D,'All Products'!H:H,FALSE)</f>
        <v>7.3</v>
      </c>
      <c r="J186" s="216">
        <f>ROUND(I186*Order_Quote!$L$4,2)</f>
        <v>36.5</v>
      </c>
      <c r="K186" s="76"/>
      <c r="L186" s="79"/>
      <c r="M186" s="117">
        <f t="shared" ref="M186:M201" si="6">K186/G186</f>
        <v>0</v>
      </c>
      <c r="O186" s="530" t="str">
        <f>_xlfn.XLOOKUP(E186,'All Products'!D:D,'All Products'!I:I,FALSE)</f>
        <v>Within 3 Weeks</v>
      </c>
      <c r="P186" s="530" t="str">
        <f>_xlfn.XLOOKUP(E186,'All Products'!D:D,'All Products'!J:J,FALSE)</f>
        <v>Manufactured</v>
      </c>
      <c r="Q186" s="543" t="str">
        <f>_xlfn.XLOOKUP(E186,'All Products'!D:D,'All Products'!K:K,FALSE)</f>
        <v>049081138141</v>
      </c>
      <c r="R186" s="543" t="str">
        <f>_xlfn.XLOOKUP(E186,'All Products'!D:D,'All Products'!L:L,FALSE)</f>
        <v>049081638146</v>
      </c>
      <c r="S186" s="543" t="str">
        <f>_xlfn.XLOOKUP(E186,'All Products'!D:D,'All Products'!M:M,FALSE)</f>
        <v>40049081138149</v>
      </c>
      <c r="T186" s="530">
        <f>_xlfn.XLOOKUP(E186,'All Products'!D:D,'All Products'!N:N,FALSE)</f>
        <v>0.13100000000000001</v>
      </c>
      <c r="U186" s="543">
        <f>_xlfn.XLOOKUP(E186,'All Products'!D:D,'All Products'!O:O,FALSE)</f>
        <v>10</v>
      </c>
      <c r="V186" s="530">
        <f>_xlfn.XLOOKUP(E186,'All Products'!D:D,'All Products'!P:P,FALSE)</f>
        <v>13.22</v>
      </c>
      <c r="W186" s="530">
        <f>_xlfn.XLOOKUP(E186,'All Products'!D:D,'All Products'!Q:Q,FALSE)</f>
        <v>0.65</v>
      </c>
    </row>
    <row r="187" spans="1:23" ht="15" customHeight="1">
      <c r="A187" s="104" t="str">
        <f>IF(K187&gt;0,COUNT($A$7:A186)+COUNT('DWV PVC'!$A$8:$A$284)+COUNT('DWV ABS'!$A$8:$A$116)+1,"")</f>
        <v/>
      </c>
      <c r="B187" s="115"/>
      <c r="C187" s="116"/>
      <c r="D187" s="512" t="str">
        <f>_xlfn.XLOOKUP(E187,'All Products'!D:D,'All Products'!C:C,FALSE)</f>
        <v>430-212</v>
      </c>
      <c r="E187" s="53">
        <v>100022726</v>
      </c>
      <c r="F187" s="522" t="str">
        <f>_xlfn.XLOOKUP(E187,'All Products'!D:D,'All Products'!E:E,FALSE)</f>
        <v>1-1/2X1-1/4 RED THREAD COUPLING FXF</v>
      </c>
      <c r="G187" s="282">
        <f>_xlfn.XLOOKUP(E187,'All Products'!D:D,'All Products'!F:F,FALSE)</f>
        <v>50</v>
      </c>
      <c r="H187" s="533">
        <f>_xlfn.XLOOKUP(E187,'All Products'!D:D,'All Products'!G:G,FALSE)</f>
        <v>6000</v>
      </c>
      <c r="I187" s="540">
        <f>_xlfn.XLOOKUP(E187,'All Products'!D:D,'All Products'!H:H,FALSE)</f>
        <v>42.08</v>
      </c>
      <c r="J187" s="216">
        <f>ROUND(I187*Order_Quote!$L$4,2)</f>
        <v>210.4</v>
      </c>
      <c r="K187" s="76"/>
      <c r="L187" s="79"/>
      <c r="M187" s="117">
        <f t="shared" si="6"/>
        <v>0</v>
      </c>
      <c r="O187" s="530" t="str">
        <f>_xlfn.XLOOKUP(E187,'All Products'!D:D,'All Products'!I:I,FALSE)</f>
        <v>In Stock</v>
      </c>
      <c r="P187" s="530" t="str">
        <f>_xlfn.XLOOKUP(E187,'All Products'!D:D,'All Products'!J:J,FALSE)</f>
        <v>Manufactured</v>
      </c>
      <c r="Q187" s="543" t="str">
        <f>_xlfn.XLOOKUP(E187,'All Products'!D:D,'All Products'!K:K,FALSE)</f>
        <v>049081138097</v>
      </c>
      <c r="R187" s="543" t="str">
        <f>_xlfn.XLOOKUP(E187,'All Products'!D:D,'All Products'!L:L,FALSE)</f>
        <v>049081638092</v>
      </c>
      <c r="S187" s="543" t="str">
        <f>_xlfn.XLOOKUP(E187,'All Products'!D:D,'All Products'!M:M,FALSE)</f>
        <v>40049081138095</v>
      </c>
      <c r="T187" s="530">
        <f>_xlfn.XLOOKUP(E187,'All Products'!D:D,'All Products'!N:N,FALSE)</f>
        <v>0.28599999999999998</v>
      </c>
      <c r="U187" s="543">
        <f>_xlfn.XLOOKUP(E187,'All Products'!D:D,'All Products'!O:O,FALSE)</f>
        <v>5</v>
      </c>
      <c r="V187" s="530">
        <f>_xlfn.XLOOKUP(E187,'All Products'!D:D,'All Products'!P:P,FALSE)</f>
        <v>14.12</v>
      </c>
      <c r="W187" s="530">
        <f>_xlfn.XLOOKUP(E187,'All Products'!D:D,'All Products'!Q:Q,FALSE)</f>
        <v>0.65</v>
      </c>
    </row>
    <row r="188" spans="1:23" ht="15" customHeight="1">
      <c r="A188" s="104" t="str">
        <f>IF(K188&gt;0,COUNT($A$7:A187)+COUNT('DWV PVC'!$A$8:$A$284)+COUNT('DWV ABS'!$A$8:$A$116)+1,"")</f>
        <v/>
      </c>
      <c r="B188" s="380"/>
      <c r="C188" s="292"/>
      <c r="D188" s="512" t="str">
        <f>_xlfn.XLOOKUP(E188,'All Products'!D:D,'All Products'!C:C,FALSE)</f>
        <v>430-251</v>
      </c>
      <c r="E188" s="53">
        <v>100022727</v>
      </c>
      <c r="F188" s="522" t="str">
        <f>_xlfn.XLOOKUP(E188,'All Products'!D:D,'All Products'!E:E,FALSE)</f>
        <v>2X1-1/2 RED THREADED COUPLING FXF</v>
      </c>
      <c r="G188" s="282">
        <f>_xlfn.XLOOKUP(E188,'All Products'!D:D,'All Products'!F:F,FALSE)</f>
        <v>50</v>
      </c>
      <c r="H188" s="533">
        <f>_xlfn.XLOOKUP(E188,'All Products'!D:D,'All Products'!G:G,FALSE)</f>
        <v>3750</v>
      </c>
      <c r="I188" s="540">
        <f>_xlfn.XLOOKUP(E188,'All Products'!D:D,'All Products'!H:H,FALSE)</f>
        <v>50.06</v>
      </c>
      <c r="J188" s="216">
        <f>ROUND(I188*Order_Quote!$L$4,2)</f>
        <v>250.3</v>
      </c>
      <c r="K188" s="76"/>
      <c r="L188" s="79"/>
      <c r="M188" s="117">
        <f t="shared" si="6"/>
        <v>0</v>
      </c>
      <c r="O188" s="530" t="str">
        <f>_xlfn.XLOOKUP(E188,'All Products'!D:D,'All Products'!I:I,FALSE)</f>
        <v>In Stock</v>
      </c>
      <c r="P188" s="530" t="str">
        <f>_xlfn.XLOOKUP(E188,'All Products'!D:D,'All Products'!J:J,FALSE)</f>
        <v>Manufactured</v>
      </c>
      <c r="Q188" s="543" t="str">
        <f>_xlfn.XLOOKUP(E188,'All Products'!D:D,'All Products'!K:K,FALSE)</f>
        <v>049081138110</v>
      </c>
      <c r="R188" s="543" t="str">
        <f>_xlfn.XLOOKUP(E188,'All Products'!D:D,'All Products'!L:L,FALSE)</f>
        <v>049081638115</v>
      </c>
      <c r="S188" s="543" t="str">
        <f>_xlfn.XLOOKUP(E188,'All Products'!D:D,'All Products'!M:M,FALSE)</f>
        <v>40049081138118</v>
      </c>
      <c r="T188" s="530">
        <f>_xlfn.XLOOKUP(E188,'All Products'!D:D,'All Products'!N:N,FALSE)</f>
        <v>0.43099999999999999</v>
      </c>
      <c r="U188" s="543">
        <f>_xlfn.XLOOKUP(E188,'All Products'!D:D,'All Products'!O:O,FALSE)</f>
        <v>5</v>
      </c>
      <c r="V188" s="530">
        <f>_xlfn.XLOOKUP(E188,'All Products'!D:D,'All Products'!P:P,FALSE)</f>
        <v>21.57</v>
      </c>
      <c r="W188" s="530">
        <f>_xlfn.XLOOKUP(E188,'All Products'!D:D,'All Products'!Q:Q,FALSE)</f>
        <v>0.95</v>
      </c>
    </row>
    <row r="189" spans="1:23" ht="15" customHeight="1">
      <c r="A189" s="104" t="str">
        <f>IF(K189&gt;0,COUNT($A$7:A188)+COUNT('DWV PVC'!$A$8:$A$284)+COUNT('DWV ABS'!$A$8:$A$116)+1,"")</f>
        <v/>
      </c>
      <c r="B189" s="115"/>
      <c r="C189" s="116"/>
      <c r="D189" s="512" t="str">
        <f>_xlfn.XLOOKUP(E189,'All Products'!D:D,'All Products'!C:C,FALSE)</f>
        <v>433-007</v>
      </c>
      <c r="E189" s="53">
        <v>100022736</v>
      </c>
      <c r="F189" s="522" t="str">
        <f>_xlfn.XLOOKUP(E189,'All Products'!D:D,'All Products'!E:E,FALSE)</f>
        <v>3/4 MALE FITTING ADAPTER SPGX MIPT</v>
      </c>
      <c r="G189" s="282">
        <f>_xlfn.XLOOKUP(E189,'All Products'!D:D,'All Products'!F:F,FALSE)</f>
        <v>250</v>
      </c>
      <c r="H189" s="533">
        <f>_xlfn.XLOOKUP(E189,'All Products'!D:D,'All Products'!G:G,FALSE)</f>
        <v>30000</v>
      </c>
      <c r="I189" s="540">
        <f>_xlfn.XLOOKUP(E189,'All Products'!D:D,'All Products'!H:H,FALSE)</f>
        <v>2.85</v>
      </c>
      <c r="J189" s="216">
        <f>ROUND(I189*Order_Quote!$L$4,2)</f>
        <v>14.25</v>
      </c>
      <c r="K189" s="76"/>
      <c r="L189" s="79"/>
      <c r="M189" s="117">
        <f t="shared" si="6"/>
        <v>0</v>
      </c>
      <c r="O189" s="530" t="str">
        <f>_xlfn.XLOOKUP(E189,'All Products'!D:D,'All Products'!I:I,FALSE)</f>
        <v>In Stock</v>
      </c>
      <c r="P189" s="530" t="str">
        <f>_xlfn.XLOOKUP(E189,'All Products'!D:D,'All Products'!J:J,FALSE)</f>
        <v>Manufactured</v>
      </c>
      <c r="Q189" s="543" t="str">
        <f>_xlfn.XLOOKUP(E189,'All Products'!D:D,'All Products'!K:K,FALSE)</f>
        <v>049081132439</v>
      </c>
      <c r="R189" s="543" t="str">
        <f>_xlfn.XLOOKUP(E189,'All Products'!D:D,'All Products'!L:L,FALSE)</f>
        <v>049081632434</v>
      </c>
      <c r="S189" s="543" t="str">
        <f>_xlfn.XLOOKUP(E189,'All Products'!D:D,'All Products'!M:M,FALSE)</f>
        <v>40049081132437</v>
      </c>
      <c r="T189" s="530">
        <f>_xlfn.XLOOKUP(E189,'All Products'!D:D,'All Products'!N:N,FALSE)</f>
        <v>4.5999999999999999E-2</v>
      </c>
      <c r="U189" s="543">
        <f>_xlfn.XLOOKUP(E189,'All Products'!D:D,'All Products'!O:O,FALSE)</f>
        <v>10</v>
      </c>
      <c r="V189" s="530">
        <f>_xlfn.XLOOKUP(E189,'All Products'!D:D,'All Products'!P:P,FALSE)</f>
        <v>17.399999999999999</v>
      </c>
      <c r="W189" s="530">
        <f>_xlfn.XLOOKUP(E189,'All Products'!D:D,'All Products'!Q:Q,FALSE)</f>
        <v>0.65</v>
      </c>
    </row>
    <row r="190" spans="1:23" ht="15" customHeight="1">
      <c r="A190" s="104" t="str">
        <f>IF(K190&gt;0,COUNT($A$7:A189)+COUNT('DWV PVC'!$A$8:$A$284)+COUNT('DWV ABS'!$A$8:$A$116)+1,"")</f>
        <v/>
      </c>
      <c r="B190" s="115"/>
      <c r="C190" s="116"/>
      <c r="D190" s="512" t="str">
        <f>_xlfn.XLOOKUP(E190,'All Products'!D:D,'All Products'!C:C,FALSE)</f>
        <v>433-010</v>
      </c>
      <c r="E190" s="53">
        <v>100022738</v>
      </c>
      <c r="F190" s="522" t="str">
        <f>_xlfn.XLOOKUP(E190,'All Products'!D:D,'All Products'!E:E,FALSE)</f>
        <v>1 MALE FITTING ADAPTER SPGX MIPT</v>
      </c>
      <c r="G190" s="282">
        <f>_xlfn.XLOOKUP(E190,'All Products'!D:D,'All Products'!F:F,FALSE)</f>
        <v>100</v>
      </c>
      <c r="H190" s="533">
        <f>_xlfn.XLOOKUP(E190,'All Products'!D:D,'All Products'!G:G,FALSE)</f>
        <v>15000</v>
      </c>
      <c r="I190" s="540">
        <f>_xlfn.XLOOKUP(E190,'All Products'!D:D,'All Products'!H:H,FALSE)</f>
        <v>4.96</v>
      </c>
      <c r="J190" s="216">
        <f>ROUND(I190*Order_Quote!$L$4,2)</f>
        <v>24.8</v>
      </c>
      <c r="K190" s="76"/>
      <c r="L190" s="79"/>
      <c r="M190" s="117">
        <f t="shared" si="6"/>
        <v>0</v>
      </c>
      <c r="O190" s="530" t="str">
        <f>_xlfn.XLOOKUP(E190,'All Products'!D:D,'All Products'!I:I,FALSE)</f>
        <v>Within 3 Weeks</v>
      </c>
      <c r="P190" s="530" t="str">
        <f>_xlfn.XLOOKUP(E190,'All Products'!D:D,'All Products'!J:J,FALSE)</f>
        <v>Manufactured</v>
      </c>
      <c r="Q190" s="543" t="str">
        <f>_xlfn.XLOOKUP(E190,'All Products'!D:D,'All Products'!K:K,FALSE)</f>
        <v>049081132446</v>
      </c>
      <c r="R190" s="543" t="str">
        <f>_xlfn.XLOOKUP(E190,'All Products'!D:D,'All Products'!L:L,FALSE)</f>
        <v>049081632441</v>
      </c>
      <c r="S190" s="543" t="str">
        <f>_xlfn.XLOOKUP(E190,'All Products'!D:D,'All Products'!M:M,FALSE)</f>
        <v>40049081132444</v>
      </c>
      <c r="T190" s="530">
        <f>_xlfn.XLOOKUP(E190,'All Products'!D:D,'All Products'!N:N,FALSE)</f>
        <v>7.1999999999999995E-2</v>
      </c>
      <c r="U190" s="543">
        <f>_xlfn.XLOOKUP(E190,'All Products'!D:D,'All Products'!O:O,FALSE)</f>
        <v>10</v>
      </c>
      <c r="V190" s="530">
        <f>_xlfn.XLOOKUP(E190,'All Products'!D:D,'All Products'!P:P,FALSE)</f>
        <v>7.83</v>
      </c>
      <c r="W190" s="530">
        <f>_xlfn.XLOOKUP(E190,'All Products'!D:D,'All Products'!Q:Q,FALSE)</f>
        <v>0.5</v>
      </c>
    </row>
    <row r="191" spans="1:23" ht="15" customHeight="1">
      <c r="A191" s="104" t="str">
        <f>IF(K191&gt;0,COUNT($A$7:A190)+COUNT('DWV PVC'!$A$8:$A$284)+COUNT('DWV ABS'!$A$8:$A$116)+1,"")</f>
        <v/>
      </c>
      <c r="B191" s="115"/>
      <c r="C191" s="116"/>
      <c r="D191" s="512" t="str">
        <f>_xlfn.XLOOKUP(E191,'All Products'!D:D,'All Products'!C:C,FALSE)</f>
        <v>433-015</v>
      </c>
      <c r="E191" s="53">
        <v>100022741</v>
      </c>
      <c r="F191" s="522" t="str">
        <f>_xlfn.XLOOKUP(E191,'All Products'!D:D,'All Products'!E:E,FALSE)</f>
        <v>1-1/2 MALE FITTING ADAPTER SPGXMIPT</v>
      </c>
      <c r="G191" s="282">
        <f>_xlfn.XLOOKUP(E191,'All Products'!D:D,'All Products'!F:F,FALSE)</f>
        <v>50</v>
      </c>
      <c r="H191" s="533">
        <f>_xlfn.XLOOKUP(E191,'All Products'!D:D,'All Products'!G:G,FALSE)</f>
        <v>7500</v>
      </c>
      <c r="I191" s="540">
        <f>_xlfn.XLOOKUP(E191,'All Products'!D:D,'All Products'!H:H,FALSE)</f>
        <v>8.14</v>
      </c>
      <c r="J191" s="216">
        <f>ROUND(I191*Order_Quote!$L$4,2)</f>
        <v>40.700000000000003</v>
      </c>
      <c r="K191" s="76"/>
      <c r="L191" s="79"/>
      <c r="M191" s="117">
        <f t="shared" si="6"/>
        <v>0</v>
      </c>
      <c r="O191" s="530" t="str">
        <f>_xlfn.XLOOKUP(E191,'All Products'!D:D,'All Products'!I:I,FALSE)</f>
        <v>In Stock</v>
      </c>
      <c r="P191" s="530" t="str">
        <f>_xlfn.XLOOKUP(E191,'All Products'!D:D,'All Products'!J:J,FALSE)</f>
        <v>Manufactured</v>
      </c>
      <c r="Q191" s="543" t="str">
        <f>_xlfn.XLOOKUP(E191,'All Products'!D:D,'All Products'!K:K,FALSE)</f>
        <v>049081132460</v>
      </c>
      <c r="R191" s="543" t="str">
        <f>_xlfn.XLOOKUP(E191,'All Products'!D:D,'All Products'!L:L,FALSE)</f>
        <v>049081632465</v>
      </c>
      <c r="S191" s="543" t="str">
        <f>_xlfn.XLOOKUP(E191,'All Products'!D:D,'All Products'!M:M,FALSE)</f>
        <v>40049081132468</v>
      </c>
      <c r="T191" s="530">
        <f>_xlfn.XLOOKUP(E191,'All Products'!D:D,'All Products'!N:N,FALSE)</f>
        <v>0.152</v>
      </c>
      <c r="U191" s="543">
        <f>_xlfn.XLOOKUP(E191,'All Products'!D:D,'All Products'!O:O,FALSE)</f>
        <v>10</v>
      </c>
      <c r="V191" s="530">
        <f>_xlfn.XLOOKUP(E191,'All Products'!D:D,'All Products'!P:P,FALSE)</f>
        <v>7.6</v>
      </c>
      <c r="W191" s="530">
        <f>_xlfn.XLOOKUP(E191,'All Products'!D:D,'All Products'!Q:Q,FALSE)</f>
        <v>0.5</v>
      </c>
    </row>
    <row r="192" spans="1:23" ht="15" customHeight="1">
      <c r="A192" s="104" t="str">
        <f>IF(K192&gt;0,COUNT($A$7:A191)+COUNT('DWV PVC'!$A$8:$A$284)+COUNT('DWV ABS'!$A$8:$A$116)+1,"")</f>
        <v/>
      </c>
      <c r="B192" s="380"/>
      <c r="C192" s="292"/>
      <c r="D192" s="512" t="str">
        <f>_xlfn.XLOOKUP(E192,'All Products'!D:D,'All Products'!C:C,FALSE)</f>
        <v>433-020</v>
      </c>
      <c r="E192" s="53">
        <v>100022743</v>
      </c>
      <c r="F192" s="522" t="str">
        <f>_xlfn.XLOOKUP(E192,'All Products'!D:D,'All Products'!E:E,FALSE)</f>
        <v>2 MALE FITTING ADAPTER SPGX MIPT</v>
      </c>
      <c r="G192" s="282">
        <f>_xlfn.XLOOKUP(E192,'All Products'!D:D,'All Products'!F:F,FALSE)</f>
        <v>25</v>
      </c>
      <c r="H192" s="533">
        <f>_xlfn.XLOOKUP(E192,'All Products'!D:D,'All Products'!G:G,FALSE)</f>
        <v>3000</v>
      </c>
      <c r="I192" s="540">
        <f>_xlfn.XLOOKUP(E192,'All Products'!D:D,'All Products'!H:H,FALSE)</f>
        <v>10.07</v>
      </c>
      <c r="J192" s="216">
        <f>ROUND(I192*Order_Quote!$L$4,2)</f>
        <v>50.35</v>
      </c>
      <c r="K192" s="76"/>
      <c r="L192" s="79"/>
      <c r="M192" s="117">
        <f t="shared" si="6"/>
        <v>0</v>
      </c>
      <c r="O192" s="530" t="str">
        <f>_xlfn.XLOOKUP(E192,'All Products'!D:D,'All Products'!I:I,FALSE)</f>
        <v>In Stock</v>
      </c>
      <c r="P192" s="530" t="str">
        <f>_xlfn.XLOOKUP(E192,'All Products'!D:D,'All Products'!J:J,FALSE)</f>
        <v>Manufactured</v>
      </c>
      <c r="Q192" s="543" t="str">
        <f>_xlfn.XLOOKUP(E192,'All Products'!D:D,'All Products'!K:K,FALSE)</f>
        <v>049081132477</v>
      </c>
      <c r="R192" s="543" t="str">
        <f>_xlfn.XLOOKUP(E192,'All Products'!D:D,'All Products'!L:L,FALSE)</f>
        <v>049081632472</v>
      </c>
      <c r="S192" s="543" t="str">
        <f>_xlfn.XLOOKUP(E192,'All Products'!D:D,'All Products'!M:M,FALSE)</f>
        <v>40049081132475</v>
      </c>
      <c r="T192" s="530">
        <f>_xlfn.XLOOKUP(E192,'All Products'!D:D,'All Products'!N:N,FALSE)</f>
        <v>0.27300000000000002</v>
      </c>
      <c r="U192" s="543">
        <f>_xlfn.XLOOKUP(E192,'All Products'!D:D,'All Products'!O:O,FALSE)</f>
        <v>5</v>
      </c>
      <c r="V192" s="530">
        <f>_xlfn.XLOOKUP(E192,'All Products'!D:D,'All Products'!P:P,FALSE)</f>
        <v>7.38</v>
      </c>
      <c r="W192" s="530">
        <f>_xlfn.XLOOKUP(E192,'All Products'!D:D,'All Products'!Q:Q,FALSE)</f>
        <v>0.65</v>
      </c>
    </row>
    <row r="193" spans="1:23" ht="15" customHeight="1">
      <c r="A193" s="104" t="str">
        <f>IF(K193&gt;0,COUNT($A$7:A192)+COUNT('DWV PVC'!$A$8:$A$284)+COUNT('DWV ABS'!$A$8:$A$116)+1,"")</f>
        <v/>
      </c>
      <c r="B193" s="579"/>
      <c r="C193" s="580"/>
      <c r="D193" s="512" t="str">
        <f>_xlfn.XLOOKUP(E193,'All Products'!D:D,'All Products'!C:C,FALSE)</f>
        <v>435-005</v>
      </c>
      <c r="E193" s="53">
        <v>100022747</v>
      </c>
      <c r="F193" s="522" t="str">
        <f>_xlfn.XLOOKUP(E193,'All Products'!D:D,'All Products'!E:E,FALSE)</f>
        <v>1/2 FEMALE ADAPTER SLIP X FIPT</v>
      </c>
      <c r="G193" s="282">
        <f>_xlfn.XLOOKUP(E193,'All Products'!D:D,'All Products'!F:F,FALSE)</f>
        <v>250</v>
      </c>
      <c r="H193" s="533">
        <f>_xlfn.XLOOKUP(E193,'All Products'!D:D,'All Products'!G:G,FALSE)</f>
        <v>30000</v>
      </c>
      <c r="I193" s="540">
        <f>_xlfn.XLOOKUP(E193,'All Products'!D:D,'All Products'!H:H,FALSE)</f>
        <v>1.78</v>
      </c>
      <c r="J193" s="216">
        <f>ROUND(I193*Order_Quote!$L$4,2)</f>
        <v>8.9</v>
      </c>
      <c r="K193" s="76"/>
      <c r="L193" s="79"/>
      <c r="M193" s="117">
        <f t="shared" si="6"/>
        <v>0</v>
      </c>
      <c r="O193" s="530" t="str">
        <f>_xlfn.XLOOKUP(E193,'All Products'!D:D,'All Products'!I:I,FALSE)</f>
        <v>In Stock</v>
      </c>
      <c r="P193" s="530" t="str">
        <f>_xlfn.XLOOKUP(E193,'All Products'!D:D,'All Products'!J:J,FALSE)</f>
        <v>Manufactured</v>
      </c>
      <c r="Q193" s="543" t="str">
        <f>_xlfn.XLOOKUP(E193,'All Products'!D:D,'All Products'!K:K,FALSE)</f>
        <v>049081130381</v>
      </c>
      <c r="R193" s="543" t="str">
        <f>_xlfn.XLOOKUP(E193,'All Products'!D:D,'All Products'!L:L,FALSE)</f>
        <v>049081630386</v>
      </c>
      <c r="S193" s="543" t="str">
        <f>_xlfn.XLOOKUP(E193,'All Products'!D:D,'All Products'!M:M,FALSE)</f>
        <v>40049081130389</v>
      </c>
      <c r="T193" s="530">
        <f>_xlfn.XLOOKUP(E193,'All Products'!D:D,'All Products'!N:N,FALSE)</f>
        <v>3.5999999999999997E-2</v>
      </c>
      <c r="U193" s="543">
        <f>_xlfn.XLOOKUP(E193,'All Products'!D:D,'All Products'!O:O,FALSE)</f>
        <v>10</v>
      </c>
      <c r="V193" s="530">
        <f>_xlfn.XLOOKUP(E193,'All Products'!D:D,'All Products'!P:P,FALSE)</f>
        <v>10.07</v>
      </c>
      <c r="W193" s="530">
        <f>_xlfn.XLOOKUP(E193,'All Products'!D:D,'All Products'!Q:Q,FALSE)</f>
        <v>0.65</v>
      </c>
    </row>
    <row r="194" spans="1:23" ht="15" customHeight="1">
      <c r="A194" s="104" t="str">
        <f>IF(K194&gt;0,COUNT($A$7:A193)+COUNT('DWV PVC'!$A$8:$A$284)+COUNT('DWV ABS'!$A$8:$A$116)+1,"")</f>
        <v/>
      </c>
      <c r="B194" s="579"/>
      <c r="C194" s="580"/>
      <c r="D194" s="512" t="str">
        <f>_xlfn.XLOOKUP(E194,'All Products'!D:D,'All Products'!C:C,FALSE)</f>
        <v>435-007</v>
      </c>
      <c r="E194" s="53">
        <v>100022749</v>
      </c>
      <c r="F194" s="522" t="str">
        <f>_xlfn.XLOOKUP(E194,'All Products'!D:D,'All Products'!E:E,FALSE)</f>
        <v>3/4 FEMALE ADAPTER SLIP X FIPT</v>
      </c>
      <c r="G194" s="282">
        <f>_xlfn.XLOOKUP(E194,'All Products'!D:D,'All Products'!F:F,FALSE)</f>
        <v>250</v>
      </c>
      <c r="H194" s="533">
        <f>_xlfn.XLOOKUP(E194,'All Products'!D:D,'All Products'!G:G,FALSE)</f>
        <v>22500</v>
      </c>
      <c r="I194" s="540">
        <f>_xlfn.XLOOKUP(E194,'All Products'!D:D,'All Products'!H:H,FALSE)</f>
        <v>2.29</v>
      </c>
      <c r="J194" s="216">
        <f>ROUND(I194*Order_Quote!$L$4,2)</f>
        <v>11.45</v>
      </c>
      <c r="K194" s="76"/>
      <c r="L194" s="79"/>
      <c r="M194" s="117">
        <f t="shared" si="6"/>
        <v>0</v>
      </c>
      <c r="O194" s="530" t="str">
        <f>_xlfn.XLOOKUP(E194,'All Products'!D:D,'All Products'!I:I,FALSE)</f>
        <v>In Stock</v>
      </c>
      <c r="P194" s="530" t="str">
        <f>_xlfn.XLOOKUP(E194,'All Products'!D:D,'All Products'!J:J,FALSE)</f>
        <v>Manufactured</v>
      </c>
      <c r="Q194" s="543" t="str">
        <f>_xlfn.XLOOKUP(E194,'All Products'!D:D,'All Products'!K:K,FALSE)</f>
        <v>049081130466</v>
      </c>
      <c r="R194" s="543" t="str">
        <f>_xlfn.XLOOKUP(E194,'All Products'!D:D,'All Products'!L:L,FALSE)</f>
        <v>049081630461</v>
      </c>
      <c r="S194" s="543" t="str">
        <f>_xlfn.XLOOKUP(E194,'All Products'!D:D,'All Products'!M:M,FALSE)</f>
        <v>40049081130464</v>
      </c>
      <c r="T194" s="530">
        <f>_xlfn.XLOOKUP(E194,'All Products'!D:D,'All Products'!N:N,FALSE)</f>
        <v>5.1999999999999998E-2</v>
      </c>
      <c r="U194" s="543">
        <f>_xlfn.XLOOKUP(E194,'All Products'!D:D,'All Products'!O:O,FALSE)</f>
        <v>10</v>
      </c>
      <c r="V194" s="530">
        <f>_xlfn.XLOOKUP(E194,'All Products'!D:D,'All Products'!P:P,FALSE)</f>
        <v>14.32</v>
      </c>
      <c r="W194" s="530">
        <f>_xlfn.XLOOKUP(E194,'All Products'!D:D,'All Products'!Q:Q,FALSE)</f>
        <v>0.8</v>
      </c>
    </row>
    <row r="195" spans="1:23" ht="15" customHeight="1">
      <c r="A195" s="104" t="str">
        <f>IF(K195&gt;0,COUNT($A$7:A194)+COUNT('DWV PVC'!$A$8:$A$284)+COUNT('DWV ABS'!$A$8:$A$116)+1,"")</f>
        <v/>
      </c>
      <c r="B195" s="579"/>
      <c r="C195" s="580"/>
      <c r="D195" s="512" t="str">
        <f>_xlfn.XLOOKUP(E195,'All Products'!D:D,'All Products'!C:C,FALSE)</f>
        <v>435-010</v>
      </c>
      <c r="E195" s="53">
        <v>100022751</v>
      </c>
      <c r="F195" s="522" t="str">
        <f>_xlfn.XLOOKUP(E195,'All Products'!D:D,'All Products'!E:E,FALSE)</f>
        <v>1 FEMALE ADAPTER SLIP X FIPT</v>
      </c>
      <c r="G195" s="282">
        <f>_xlfn.XLOOKUP(E195,'All Products'!D:D,'All Products'!F:F,FALSE)</f>
        <v>100</v>
      </c>
      <c r="H195" s="533">
        <f>_xlfn.XLOOKUP(E195,'All Products'!D:D,'All Products'!G:G,FALSE)</f>
        <v>12000</v>
      </c>
      <c r="I195" s="540">
        <f>_xlfn.XLOOKUP(E195,'All Products'!D:D,'All Products'!H:H,FALSE)</f>
        <v>2.65</v>
      </c>
      <c r="J195" s="216">
        <f>ROUND(I195*Order_Quote!$L$4,2)</f>
        <v>13.25</v>
      </c>
      <c r="K195" s="76"/>
      <c r="L195" s="79"/>
      <c r="M195" s="117">
        <f t="shared" si="6"/>
        <v>0</v>
      </c>
      <c r="O195" s="530" t="str">
        <f>_xlfn.XLOOKUP(E195,'All Products'!D:D,'All Products'!I:I,FALSE)</f>
        <v>In Stock</v>
      </c>
      <c r="P195" s="530" t="str">
        <f>_xlfn.XLOOKUP(E195,'All Products'!D:D,'All Products'!J:J,FALSE)</f>
        <v>Manufactured</v>
      </c>
      <c r="Q195" s="543" t="str">
        <f>_xlfn.XLOOKUP(E195,'All Products'!D:D,'All Products'!K:K,FALSE)</f>
        <v>049081130527</v>
      </c>
      <c r="R195" s="543" t="str">
        <f>_xlfn.XLOOKUP(E195,'All Products'!D:D,'All Products'!L:L,FALSE)</f>
        <v>049081630522</v>
      </c>
      <c r="S195" s="543" t="str">
        <f>_xlfn.XLOOKUP(E195,'All Products'!D:D,'All Products'!M:M,FALSE)</f>
        <v>40049081130525</v>
      </c>
      <c r="T195" s="530">
        <f>_xlfn.XLOOKUP(E195,'All Products'!D:D,'All Products'!N:N,FALSE)</f>
        <v>9.5000000000000001E-2</v>
      </c>
      <c r="U195" s="543">
        <f>_xlfn.XLOOKUP(E195,'All Products'!D:D,'All Products'!O:O,FALSE)</f>
        <v>10</v>
      </c>
      <c r="V195" s="530">
        <f>_xlfn.XLOOKUP(E195,'All Products'!D:D,'All Products'!P:P,FALSE)</f>
        <v>10.55</v>
      </c>
      <c r="W195" s="530">
        <f>_xlfn.XLOOKUP(E195,'All Products'!D:D,'All Products'!Q:Q,FALSE)</f>
        <v>0.65</v>
      </c>
    </row>
    <row r="196" spans="1:23" ht="15" customHeight="1">
      <c r="A196" s="104" t="str">
        <f>IF(K196&gt;0,COUNT($A$7:A195)+COUNT('DWV PVC'!$A$8:$A$284)+COUNT('DWV ABS'!$A$8:$A$116)+1,"")</f>
        <v/>
      </c>
      <c r="B196" s="579"/>
      <c r="C196" s="580"/>
      <c r="D196" s="512" t="str">
        <f>_xlfn.XLOOKUP(E196,'All Products'!D:D,'All Products'!C:C,FALSE)</f>
        <v>435-012</v>
      </c>
      <c r="E196" s="53">
        <v>100022753</v>
      </c>
      <c r="F196" s="522" t="str">
        <f>_xlfn.XLOOKUP(E196,'All Products'!D:D,'All Products'!E:E,FALSE)</f>
        <v>1-1/4 FEMALE ADAPTER SLIP X FIPT</v>
      </c>
      <c r="G196" s="282">
        <f>_xlfn.XLOOKUP(E196,'All Products'!D:D,'All Products'!F:F,FALSE)</f>
        <v>50</v>
      </c>
      <c r="H196" s="533">
        <f>_xlfn.XLOOKUP(E196,'All Products'!D:D,'All Products'!G:G,FALSE)</f>
        <v>7500</v>
      </c>
      <c r="I196" s="540">
        <f>_xlfn.XLOOKUP(E196,'All Products'!D:D,'All Products'!H:H,FALSE)</f>
        <v>4.07</v>
      </c>
      <c r="J196" s="216">
        <f>ROUND(I196*Order_Quote!$L$4,2)</f>
        <v>20.350000000000001</v>
      </c>
      <c r="K196" s="76"/>
      <c r="L196" s="79"/>
      <c r="M196" s="117">
        <f t="shared" si="6"/>
        <v>0</v>
      </c>
      <c r="O196" s="530" t="str">
        <f>_xlfn.XLOOKUP(E196,'All Products'!D:D,'All Products'!I:I,FALSE)</f>
        <v>In Stock</v>
      </c>
      <c r="P196" s="530" t="str">
        <f>_xlfn.XLOOKUP(E196,'All Products'!D:D,'All Products'!J:J,FALSE)</f>
        <v>Manufactured</v>
      </c>
      <c r="Q196" s="543" t="str">
        <f>_xlfn.XLOOKUP(E196,'All Products'!D:D,'All Products'!K:K,FALSE)</f>
        <v>049081130626</v>
      </c>
      <c r="R196" s="543" t="str">
        <f>_xlfn.XLOOKUP(E196,'All Products'!D:D,'All Products'!L:L,FALSE)</f>
        <v>049081630621</v>
      </c>
      <c r="S196" s="543" t="str">
        <f>_xlfn.XLOOKUP(E196,'All Products'!D:D,'All Products'!M:M,FALSE)</f>
        <v>40049081130624</v>
      </c>
      <c r="T196" s="530">
        <f>_xlfn.XLOOKUP(E196,'All Products'!D:D,'All Products'!N:N,FALSE)</f>
        <v>0.11700000000000001</v>
      </c>
      <c r="U196" s="543">
        <f>_xlfn.XLOOKUP(E196,'All Products'!D:D,'All Products'!O:O,FALSE)</f>
        <v>5</v>
      </c>
      <c r="V196" s="530">
        <f>_xlfn.XLOOKUP(E196,'All Products'!D:D,'All Products'!P:P,FALSE)</f>
        <v>7.24</v>
      </c>
      <c r="W196" s="530">
        <f>_xlfn.XLOOKUP(E196,'All Products'!D:D,'All Products'!Q:Q,FALSE)</f>
        <v>0.5</v>
      </c>
    </row>
    <row r="197" spans="1:23" ht="15" customHeight="1">
      <c r="A197" s="104" t="str">
        <f>IF(K197&gt;0,COUNT($A$7:A196)+COUNT('DWV PVC'!$A$8:$A$284)+COUNT('DWV ABS'!$A$8:$A$116)+1,"")</f>
        <v/>
      </c>
      <c r="B197" s="579"/>
      <c r="C197" s="580"/>
      <c r="D197" s="512" t="str">
        <f>_xlfn.XLOOKUP(E197,'All Products'!D:D,'All Products'!C:C,FALSE)</f>
        <v>435-015</v>
      </c>
      <c r="E197" s="53">
        <v>100022755</v>
      </c>
      <c r="F197" s="522" t="str">
        <f>_xlfn.XLOOKUP(E197,'All Products'!D:D,'All Products'!E:E,FALSE)</f>
        <v>1-1/2 FEMALE ADAPTER SLIP X FIPT</v>
      </c>
      <c r="G197" s="282">
        <f>_xlfn.XLOOKUP(E197,'All Products'!D:D,'All Products'!F:F,FALSE)</f>
        <v>50</v>
      </c>
      <c r="H197" s="533">
        <f>_xlfn.XLOOKUP(E197,'All Products'!D:D,'All Products'!G:G,FALSE)</f>
        <v>6000</v>
      </c>
      <c r="I197" s="540">
        <f>_xlfn.XLOOKUP(E197,'All Products'!D:D,'All Products'!H:H,FALSE)</f>
        <v>4.67</v>
      </c>
      <c r="J197" s="216">
        <f>ROUND(I197*Order_Quote!$L$4,2)</f>
        <v>23.35</v>
      </c>
      <c r="K197" s="76"/>
      <c r="L197" s="79"/>
      <c r="M197" s="117">
        <f t="shared" si="6"/>
        <v>0</v>
      </c>
      <c r="O197" s="530" t="str">
        <f>_xlfn.XLOOKUP(E197,'All Products'!D:D,'All Products'!I:I,FALSE)</f>
        <v>In Stock</v>
      </c>
      <c r="P197" s="530" t="str">
        <f>_xlfn.XLOOKUP(E197,'All Products'!D:D,'All Products'!J:J,FALSE)</f>
        <v>Manufactured</v>
      </c>
      <c r="Q197" s="543" t="str">
        <f>_xlfn.XLOOKUP(E197,'All Products'!D:D,'All Products'!K:K,FALSE)</f>
        <v>049081130664</v>
      </c>
      <c r="R197" s="543" t="str">
        <f>_xlfn.XLOOKUP(E197,'All Products'!D:D,'All Products'!L:L,FALSE)</f>
        <v>049081630669</v>
      </c>
      <c r="S197" s="543" t="str">
        <f>_xlfn.XLOOKUP(E197,'All Products'!D:D,'All Products'!M:M,FALSE)</f>
        <v>40049081130662</v>
      </c>
      <c r="T197" s="530">
        <f>_xlfn.XLOOKUP(E197,'All Products'!D:D,'All Products'!N:N,FALSE)</f>
        <v>0.154</v>
      </c>
      <c r="U197" s="543">
        <f>_xlfn.XLOOKUP(E197,'All Products'!D:D,'All Products'!O:O,FALSE)</f>
        <v>5</v>
      </c>
      <c r="V197" s="530">
        <f>_xlfn.XLOOKUP(E197,'All Products'!D:D,'All Products'!P:P,FALSE)</f>
        <v>8.36</v>
      </c>
      <c r="W197" s="530">
        <f>_xlfn.XLOOKUP(E197,'All Products'!D:D,'All Products'!Q:Q,FALSE)</f>
        <v>0.65</v>
      </c>
    </row>
    <row r="198" spans="1:23" ht="15" customHeight="1">
      <c r="A198" s="104" t="str">
        <f>IF(K198&gt;0,COUNT($A$7:A197)+COUNT('DWV PVC'!$A$8:$A$284)+COUNT('DWV ABS'!$A$8:$A$116)+1,"")</f>
        <v/>
      </c>
      <c r="B198" s="579"/>
      <c r="C198" s="580"/>
      <c r="D198" s="512" t="str">
        <f>_xlfn.XLOOKUP(E198,'All Products'!D:D,'All Products'!C:C,FALSE)</f>
        <v>435-020</v>
      </c>
      <c r="E198" s="53">
        <v>100022757</v>
      </c>
      <c r="F198" s="522" t="str">
        <f>_xlfn.XLOOKUP(E198,'All Products'!D:D,'All Products'!E:E,FALSE)</f>
        <v>2 FEMALE ADAPTER SLIP X FIPT</v>
      </c>
      <c r="G198" s="282">
        <f>_xlfn.XLOOKUP(E198,'All Products'!D:D,'All Products'!F:F,FALSE)</f>
        <v>25</v>
      </c>
      <c r="H198" s="533">
        <f>_xlfn.XLOOKUP(E198,'All Products'!D:D,'All Products'!G:G,FALSE)</f>
        <v>3750</v>
      </c>
      <c r="I198" s="540">
        <f>_xlfn.XLOOKUP(E198,'All Products'!D:D,'All Products'!H:H,FALSE)</f>
        <v>6.26</v>
      </c>
      <c r="J198" s="216">
        <f>ROUND(I198*Order_Quote!$L$4,2)</f>
        <v>31.3</v>
      </c>
      <c r="K198" s="76"/>
      <c r="L198" s="79"/>
      <c r="M198" s="117">
        <f t="shared" si="6"/>
        <v>0</v>
      </c>
      <c r="O198" s="530" t="str">
        <f>_xlfn.XLOOKUP(E198,'All Products'!D:D,'All Products'!I:I,FALSE)</f>
        <v>In Stock</v>
      </c>
      <c r="P198" s="530" t="str">
        <f>_xlfn.XLOOKUP(E198,'All Products'!D:D,'All Products'!J:J,FALSE)</f>
        <v>Manufactured</v>
      </c>
      <c r="Q198" s="543" t="str">
        <f>_xlfn.XLOOKUP(E198,'All Products'!D:D,'All Products'!K:K,FALSE)</f>
        <v>049081130701</v>
      </c>
      <c r="R198" s="543" t="str">
        <f>_xlfn.XLOOKUP(E198,'All Products'!D:D,'All Products'!L:L,FALSE)</f>
        <v>049081630706</v>
      </c>
      <c r="S198" s="543" t="str">
        <f>_xlfn.XLOOKUP(E198,'All Products'!D:D,'All Products'!M:M,FALSE)</f>
        <v>40049081130709</v>
      </c>
      <c r="T198" s="530">
        <f>_xlfn.XLOOKUP(E198,'All Products'!D:D,'All Products'!N:N,FALSE)</f>
        <v>0.217</v>
      </c>
      <c r="U198" s="543">
        <f>_xlfn.XLOOKUP(E198,'All Products'!D:D,'All Products'!O:O,FALSE)</f>
        <v>5</v>
      </c>
      <c r="V198" s="530">
        <f>_xlfn.XLOOKUP(E198,'All Products'!D:D,'All Products'!P:P,FALSE)</f>
        <v>6.11</v>
      </c>
      <c r="W198" s="530">
        <f>_xlfn.XLOOKUP(E198,'All Products'!D:D,'All Products'!Q:Q,FALSE)</f>
        <v>0.5</v>
      </c>
    </row>
    <row r="199" spans="1:23" ht="15" customHeight="1">
      <c r="A199" s="104" t="str">
        <f>IF(K199&gt;0,COUNT($A$7:A198)+COUNT('DWV PVC'!$A$8:$A$284)+COUNT('DWV ABS'!$A$8:$A$116)+1,"")</f>
        <v/>
      </c>
      <c r="B199" s="579"/>
      <c r="C199" s="580"/>
      <c r="D199" s="512" t="str">
        <f>_xlfn.XLOOKUP(E199,'All Products'!D:D,'All Products'!C:C,FALSE)</f>
        <v>435-025</v>
      </c>
      <c r="E199" s="53">
        <v>100027410</v>
      </c>
      <c r="F199" s="522" t="str">
        <f>_xlfn.XLOOKUP(E199,'All Products'!D:D,'All Products'!E:E,FALSE)</f>
        <v>2-1/2 FEMALE ADAPTER SLIP X FIPT</v>
      </c>
      <c r="G199" s="282">
        <f>_xlfn.XLOOKUP(E199,'All Products'!D:D,'All Products'!F:F,FALSE)</f>
        <v>15</v>
      </c>
      <c r="H199" s="533">
        <f>_xlfn.XLOOKUP(E199,'All Products'!D:D,'All Products'!G:G,FALSE)</f>
        <v>2250</v>
      </c>
      <c r="I199" s="540">
        <f>_xlfn.XLOOKUP(E199,'All Products'!D:D,'All Products'!H:H,FALSE)</f>
        <v>15.78</v>
      </c>
      <c r="J199" s="216">
        <f>ROUND(I199*Order_Quote!$L$4,2)</f>
        <v>78.900000000000006</v>
      </c>
      <c r="K199" s="76"/>
      <c r="L199" s="79"/>
      <c r="M199" s="117">
        <f t="shared" si="6"/>
        <v>0</v>
      </c>
      <c r="O199" s="530" t="str">
        <f>_xlfn.XLOOKUP(E199,'All Products'!D:D,'All Products'!I:I,FALSE)</f>
        <v>Within 3 Weeks</v>
      </c>
      <c r="P199" s="530" t="str">
        <f>_xlfn.XLOOKUP(E199,'All Products'!D:D,'All Products'!J:J,FALSE)</f>
        <v>Manufactured</v>
      </c>
      <c r="Q199" s="543" t="str">
        <f>_xlfn.XLOOKUP(E199,'All Products'!D:D,'All Products'!K:K,FALSE)</f>
        <v>049081130725</v>
      </c>
      <c r="R199" s="543" t="str">
        <f>_xlfn.XLOOKUP(E199,'All Products'!D:D,'All Products'!L:L,FALSE)</f>
        <v>-</v>
      </c>
      <c r="S199" s="543" t="str">
        <f>_xlfn.XLOOKUP(E199,'All Products'!D:D,'All Products'!M:M,FALSE)</f>
        <v>40049081130723</v>
      </c>
      <c r="T199" s="530">
        <f>_xlfn.XLOOKUP(E199,'All Products'!D:D,'All Products'!N:N,FALSE)</f>
        <v>0.375</v>
      </c>
      <c r="U199" s="543" t="str">
        <f>_xlfn.XLOOKUP(E199,'All Products'!D:D,'All Products'!O:O,FALSE)</f>
        <v>-</v>
      </c>
      <c r="V199" s="530">
        <f>_xlfn.XLOOKUP(E199,'All Products'!D:D,'All Products'!P:P,FALSE)</f>
        <v>6.3</v>
      </c>
      <c r="W199" s="530">
        <f>_xlfn.XLOOKUP(E199,'All Products'!D:D,'All Products'!Q:Q,FALSE)</f>
        <v>0.5</v>
      </c>
    </row>
    <row r="200" spans="1:23" ht="15" customHeight="1">
      <c r="A200" s="104" t="str">
        <f>IF(K200&gt;0,COUNT($A$7:A199)+COUNT('DWV PVC'!$A$8:$A$284)+COUNT('DWV ABS'!$A$8:$A$116)+1,"")</f>
        <v/>
      </c>
      <c r="B200" s="579"/>
      <c r="C200" s="580"/>
      <c r="D200" s="512" t="str">
        <f>_xlfn.XLOOKUP(E200,'All Products'!D:D,'All Products'!C:C,FALSE)</f>
        <v>435-030</v>
      </c>
      <c r="E200" s="53">
        <v>100022759</v>
      </c>
      <c r="F200" s="522" t="str">
        <f>_xlfn.XLOOKUP(E200,'All Products'!D:D,'All Products'!E:E,FALSE)</f>
        <v>3 FEMALE ADAPTER SLIP X FIPT</v>
      </c>
      <c r="G200" s="282">
        <f>_xlfn.XLOOKUP(E200,'All Products'!D:D,'All Products'!F:F,FALSE)</f>
        <v>10</v>
      </c>
      <c r="H200" s="533">
        <f>_xlfn.XLOOKUP(E200,'All Products'!D:D,'All Products'!G:G,FALSE)</f>
        <v>1200</v>
      </c>
      <c r="I200" s="540">
        <f>_xlfn.XLOOKUP(E200,'All Products'!D:D,'All Products'!H:H,FALSE)</f>
        <v>21.28</v>
      </c>
      <c r="J200" s="216">
        <f>ROUND(I200*Order_Quote!$L$4,2)</f>
        <v>106.4</v>
      </c>
      <c r="K200" s="76"/>
      <c r="L200" s="79"/>
      <c r="M200" s="117">
        <f t="shared" si="6"/>
        <v>0</v>
      </c>
      <c r="O200" s="530" t="str">
        <f>_xlfn.XLOOKUP(E200,'All Products'!D:D,'All Products'!I:I,FALSE)</f>
        <v>In Stock</v>
      </c>
      <c r="P200" s="530" t="str">
        <f>_xlfn.XLOOKUP(E200,'All Products'!D:D,'All Products'!J:J,FALSE)</f>
        <v>Manufactured</v>
      </c>
      <c r="Q200" s="543" t="str">
        <f>_xlfn.XLOOKUP(E200,'All Products'!D:D,'All Products'!K:K,FALSE)</f>
        <v>049081130749</v>
      </c>
      <c r="R200" s="543" t="str">
        <f>_xlfn.XLOOKUP(E200,'All Products'!D:D,'All Products'!L:L,FALSE)</f>
        <v>-</v>
      </c>
      <c r="S200" s="543" t="str">
        <f>_xlfn.XLOOKUP(E200,'All Products'!D:D,'All Products'!M:M,FALSE)</f>
        <v>40049081130747</v>
      </c>
      <c r="T200" s="530">
        <f>_xlfn.XLOOKUP(E200,'All Products'!D:D,'All Products'!N:N,FALSE)</f>
        <v>0.51500000000000001</v>
      </c>
      <c r="U200" s="543" t="str">
        <f>_xlfn.XLOOKUP(E200,'All Products'!D:D,'All Products'!O:O,FALSE)</f>
        <v>-</v>
      </c>
      <c r="V200" s="530">
        <f>_xlfn.XLOOKUP(E200,'All Products'!D:D,'All Products'!P:P,FALSE)</f>
        <v>5.83</v>
      </c>
      <c r="W200" s="530">
        <f>_xlfn.XLOOKUP(E200,'All Products'!D:D,'All Products'!Q:Q,FALSE)</f>
        <v>0.65</v>
      </c>
    </row>
    <row r="201" spans="1:23" ht="15" customHeight="1">
      <c r="A201" s="104" t="str">
        <f>IF(K201&gt;0,COUNT($A$7:A200)+COUNT('DWV PVC'!$A$8:$A$284)+COUNT('DWV ABS'!$A$8:$A$116)+1,"")</f>
        <v/>
      </c>
      <c r="B201" s="581"/>
      <c r="C201" s="582"/>
      <c r="D201" s="512" t="str">
        <f>_xlfn.XLOOKUP(E201,'All Products'!D:D,'All Products'!C:C,FALSE)</f>
        <v>435-040</v>
      </c>
      <c r="E201" s="53">
        <v>100022761</v>
      </c>
      <c r="F201" s="522" t="str">
        <f>_xlfn.XLOOKUP(E201,'All Products'!D:D,'All Products'!E:E,FALSE)</f>
        <v>4 FEMALE ADAPTER SLIP X FIPT</v>
      </c>
      <c r="G201" s="282">
        <f>_xlfn.XLOOKUP(E201,'All Products'!D:D,'All Products'!F:F,FALSE)</f>
        <v>5</v>
      </c>
      <c r="H201" s="533">
        <f>_xlfn.XLOOKUP(E201,'All Products'!D:D,'All Products'!G:G,FALSE)</f>
        <v>750</v>
      </c>
      <c r="I201" s="540">
        <f>_xlfn.XLOOKUP(E201,'All Products'!D:D,'All Products'!H:H,FALSE)</f>
        <v>35.229999999999997</v>
      </c>
      <c r="J201" s="216">
        <f>ROUND(I201*Order_Quote!$L$4,2)</f>
        <v>176.15</v>
      </c>
      <c r="K201" s="76"/>
      <c r="L201" s="79"/>
      <c r="M201" s="117">
        <f t="shared" si="6"/>
        <v>0</v>
      </c>
      <c r="O201" s="530" t="str">
        <f>_xlfn.XLOOKUP(E201,'All Products'!D:D,'All Products'!I:I,FALSE)</f>
        <v>In Stock</v>
      </c>
      <c r="P201" s="530" t="str">
        <f>_xlfn.XLOOKUP(E201,'All Products'!D:D,'All Products'!J:J,FALSE)</f>
        <v>Manufactured</v>
      </c>
      <c r="Q201" s="543" t="str">
        <f>_xlfn.XLOOKUP(E201,'All Products'!D:D,'All Products'!K:K,FALSE)</f>
        <v>049081130763</v>
      </c>
      <c r="R201" s="543" t="str">
        <f>_xlfn.XLOOKUP(E201,'All Products'!D:D,'All Products'!L:L,FALSE)</f>
        <v>-</v>
      </c>
      <c r="S201" s="543" t="str">
        <f>_xlfn.XLOOKUP(E201,'All Products'!D:D,'All Products'!M:M,FALSE)</f>
        <v>40049081130761</v>
      </c>
      <c r="T201" s="530">
        <f>_xlfn.XLOOKUP(E201,'All Products'!D:D,'All Products'!N:N,FALSE)</f>
        <v>0.86799999999999999</v>
      </c>
      <c r="U201" s="543" t="str">
        <f>_xlfn.XLOOKUP(E201,'All Products'!D:D,'All Products'!O:O,FALSE)</f>
        <v>-</v>
      </c>
      <c r="V201" s="530">
        <f>_xlfn.XLOOKUP(E201,'All Products'!D:D,'All Products'!P:P,FALSE)</f>
        <v>4.95</v>
      </c>
      <c r="W201" s="530">
        <f>_xlfn.XLOOKUP(E201,'All Products'!D:D,'All Products'!Q:Q,FALSE)</f>
        <v>0.5</v>
      </c>
    </row>
    <row r="202" spans="1:23" ht="15" customHeight="1">
      <c r="A202" s="104" t="str">
        <f>IF(K202&gt;0,COUNT($A$7:A201)+COUNT('DWV PVC'!$A$8:$A$284)+COUNT('DWV ABS'!$A$8:$A$116)+1,"")</f>
        <v/>
      </c>
      <c r="B202" s="115"/>
      <c r="C202" s="116"/>
      <c r="D202" s="512" t="str">
        <f>_xlfn.XLOOKUP(E202,'All Products'!D:D,'All Products'!C:C,FALSE)</f>
        <v>435-074</v>
      </c>
      <c r="E202" s="53">
        <v>100022765</v>
      </c>
      <c r="F202" s="522" t="str">
        <f>_xlfn.XLOOKUP(E202,'All Products'!D:D,'All Products'!E:E,FALSE)</f>
        <v>1/2X3/4 RED FEM ADAPTER SLIPXFIPT</v>
      </c>
      <c r="G202" s="282">
        <f>_xlfn.XLOOKUP(E202,'All Products'!D:D,'All Products'!F:F,FALSE)</f>
        <v>250</v>
      </c>
      <c r="H202" s="533">
        <f>_xlfn.XLOOKUP(E202,'All Products'!D:D,'All Products'!G:G,FALSE)</f>
        <v>22500</v>
      </c>
      <c r="I202" s="540">
        <f>_xlfn.XLOOKUP(E202,'All Products'!D:D,'All Products'!H:H,FALSE)</f>
        <v>3.2</v>
      </c>
      <c r="J202" s="216">
        <f>ROUND(I202*Order_Quote!$L$4,2)</f>
        <v>16</v>
      </c>
      <c r="K202" s="76"/>
      <c r="L202" s="79"/>
      <c r="M202" s="117">
        <f t="shared" ref="M202:M219" si="7">K202/G202</f>
        <v>0</v>
      </c>
      <c r="O202" s="530" t="str">
        <f>_xlfn.XLOOKUP(E202,'All Products'!D:D,'All Products'!I:I,FALSE)</f>
        <v>Within 3 Weeks</v>
      </c>
      <c r="P202" s="530" t="str">
        <f>_xlfn.XLOOKUP(E202,'All Products'!D:D,'All Products'!J:J,FALSE)</f>
        <v>Manufactured</v>
      </c>
      <c r="Q202" s="543" t="str">
        <f>_xlfn.XLOOKUP(E202,'All Products'!D:D,'All Products'!K:K,FALSE)</f>
        <v>049081130404</v>
      </c>
      <c r="R202" s="543" t="str">
        <f>_xlfn.XLOOKUP(E202,'All Products'!D:D,'All Products'!L:L,FALSE)</f>
        <v>049081630409</v>
      </c>
      <c r="S202" s="543" t="str">
        <f>_xlfn.XLOOKUP(E202,'All Products'!D:D,'All Products'!M:M,FALSE)</f>
        <v>40049081130402</v>
      </c>
      <c r="T202" s="530">
        <f>_xlfn.XLOOKUP(E202,'All Products'!D:D,'All Products'!N:N,FALSE)</f>
        <v>5.8999999999999997E-2</v>
      </c>
      <c r="U202" s="543">
        <f>_xlfn.XLOOKUP(E202,'All Products'!D:D,'All Products'!O:O,FALSE)</f>
        <v>10</v>
      </c>
      <c r="V202" s="530">
        <f>_xlfn.XLOOKUP(E202,'All Products'!D:D,'All Products'!P:P,FALSE)</f>
        <v>12.81</v>
      </c>
      <c r="W202" s="530">
        <f>_xlfn.XLOOKUP(E202,'All Products'!D:D,'All Products'!Q:Q,FALSE)</f>
        <v>0.8</v>
      </c>
    </row>
    <row r="203" spans="1:23" ht="15" customHeight="1">
      <c r="A203" s="104" t="str">
        <f>IF(K203&gt;0,COUNT($A$7:A202)+COUNT('DWV PVC'!$A$8:$A$284)+COUNT('DWV ABS'!$A$8:$A$116)+1,"")</f>
        <v/>
      </c>
      <c r="B203" s="115"/>
      <c r="C203" s="116"/>
      <c r="D203" s="512" t="str">
        <f>_xlfn.XLOOKUP(E203,'All Products'!D:D,'All Products'!C:C,FALSE)</f>
        <v>435-101</v>
      </c>
      <c r="E203" s="53">
        <v>100022767</v>
      </c>
      <c r="F203" s="522" t="str">
        <f>_xlfn.XLOOKUP(E203,'All Products'!D:D,'All Products'!E:E,FALSE)</f>
        <v>3/4X1/2 RED FEM ADAPTER SLIPXFIPT</v>
      </c>
      <c r="G203" s="282">
        <f>_xlfn.XLOOKUP(E203,'All Products'!D:D,'All Products'!F:F,FALSE)</f>
        <v>250</v>
      </c>
      <c r="H203" s="533">
        <f>_xlfn.XLOOKUP(E203,'All Products'!D:D,'All Products'!G:G,FALSE)</f>
        <v>22500</v>
      </c>
      <c r="I203" s="540">
        <f>_xlfn.XLOOKUP(E203,'All Products'!D:D,'All Products'!H:H,FALSE)</f>
        <v>3.2</v>
      </c>
      <c r="J203" s="216">
        <f>ROUND(I203*Order_Quote!$L$4,2)</f>
        <v>16</v>
      </c>
      <c r="K203" s="76"/>
      <c r="L203" s="79"/>
      <c r="M203" s="117">
        <f t="shared" si="7"/>
        <v>0</v>
      </c>
      <c r="O203" s="530" t="str">
        <f>_xlfn.XLOOKUP(E203,'All Products'!D:D,'All Products'!I:I,FALSE)</f>
        <v>In Stock</v>
      </c>
      <c r="P203" s="530" t="str">
        <f>_xlfn.XLOOKUP(E203,'All Products'!D:D,'All Products'!J:J,FALSE)</f>
        <v>Manufactured</v>
      </c>
      <c r="Q203" s="543" t="str">
        <f>_xlfn.XLOOKUP(E203,'All Products'!D:D,'All Products'!K:K,FALSE)</f>
        <v>049081130503</v>
      </c>
      <c r="R203" s="543" t="str">
        <f>_xlfn.XLOOKUP(E203,'All Products'!D:D,'All Products'!L:L,FALSE)</f>
        <v>049081630508</v>
      </c>
      <c r="S203" s="543" t="str">
        <f>_xlfn.XLOOKUP(E203,'All Products'!D:D,'All Products'!M:M,FALSE)</f>
        <v>40049081130501</v>
      </c>
      <c r="T203" s="530">
        <f>_xlfn.XLOOKUP(E203,'All Products'!D:D,'All Products'!N:N,FALSE)</f>
        <v>4.5999999999999999E-2</v>
      </c>
      <c r="U203" s="543">
        <f>_xlfn.XLOOKUP(E203,'All Products'!D:D,'All Products'!O:O,FALSE)</f>
        <v>10</v>
      </c>
      <c r="V203" s="530">
        <f>_xlfn.XLOOKUP(E203,'All Products'!D:D,'All Products'!P:P,FALSE)</f>
        <v>12.76</v>
      </c>
      <c r="W203" s="530">
        <f>_xlfn.XLOOKUP(E203,'All Products'!D:D,'All Products'!Q:Q,FALSE)</f>
        <v>0.8</v>
      </c>
    </row>
    <row r="204" spans="1:23" ht="15" customHeight="1">
      <c r="A204" s="104" t="str">
        <f>IF(K204&gt;0,COUNT($A$7:A203)+COUNT('DWV PVC'!$A$8:$A$284)+COUNT('DWV ABS'!$A$8:$A$116)+1,"")</f>
        <v/>
      </c>
      <c r="B204" s="115"/>
      <c r="C204" s="116"/>
      <c r="D204" s="512" t="str">
        <f>_xlfn.XLOOKUP(E204,'All Products'!D:D,'All Products'!C:C,FALSE)</f>
        <v>435-130</v>
      </c>
      <c r="E204" s="53">
        <v>100022771</v>
      </c>
      <c r="F204" s="522" t="str">
        <f>_xlfn.XLOOKUP(E204,'All Products'!D:D,'All Products'!E:E,FALSE)</f>
        <v>1X1/2 RED FEM ADAPTER SLIPXFIPT</v>
      </c>
      <c r="G204" s="282">
        <f>_xlfn.XLOOKUP(E204,'All Products'!D:D,'All Products'!F:F,FALSE)</f>
        <v>100</v>
      </c>
      <c r="H204" s="533">
        <f>_xlfn.XLOOKUP(E204,'All Products'!D:D,'All Products'!G:G,FALSE)</f>
        <v>15000</v>
      </c>
      <c r="I204" s="540">
        <f>_xlfn.XLOOKUP(E204,'All Products'!D:D,'All Products'!H:H,FALSE)</f>
        <v>4.25</v>
      </c>
      <c r="J204" s="216">
        <f>ROUND(I204*Order_Quote!$L$4,2)</f>
        <v>21.25</v>
      </c>
      <c r="K204" s="76"/>
      <c r="L204" s="79"/>
      <c r="M204" s="117">
        <f t="shared" si="7"/>
        <v>0</v>
      </c>
      <c r="O204" s="530" t="str">
        <f>_xlfn.XLOOKUP(E204,'All Products'!D:D,'All Products'!I:I,FALSE)</f>
        <v>In Stock</v>
      </c>
      <c r="P204" s="530" t="str">
        <f>_xlfn.XLOOKUP(E204,'All Products'!D:D,'All Products'!J:J,FALSE)</f>
        <v>Manufactured</v>
      </c>
      <c r="Q204" s="543" t="str">
        <f>_xlfn.XLOOKUP(E204,'All Products'!D:D,'All Products'!K:K,FALSE)</f>
        <v>049081130602</v>
      </c>
      <c r="R204" s="543" t="str">
        <f>_xlfn.XLOOKUP(E204,'All Products'!D:D,'All Products'!L:L,FALSE)</f>
        <v>049081630607</v>
      </c>
      <c r="S204" s="543" t="str">
        <f>_xlfn.XLOOKUP(E204,'All Products'!D:D,'All Products'!M:M,FALSE)</f>
        <v>40049081130600</v>
      </c>
      <c r="T204" s="530">
        <f>_xlfn.XLOOKUP(E204,'All Products'!D:D,'All Products'!N:N,FALSE)</f>
        <v>7.4999999999999997E-2</v>
      </c>
      <c r="U204" s="543">
        <f>_xlfn.XLOOKUP(E204,'All Products'!D:D,'All Products'!O:O,FALSE)</f>
        <v>10</v>
      </c>
      <c r="V204" s="530">
        <f>_xlfn.XLOOKUP(E204,'All Products'!D:D,'All Products'!P:P,FALSE)</f>
        <v>9.44</v>
      </c>
      <c r="W204" s="530">
        <f>_xlfn.XLOOKUP(E204,'All Products'!D:D,'All Products'!Q:Q,FALSE)</f>
        <v>0.5</v>
      </c>
    </row>
    <row r="205" spans="1:23" ht="15" customHeight="1">
      <c r="A205" s="104" t="str">
        <f>IF(K205&gt;0,COUNT($A$7:A204)+COUNT('DWV PVC'!$A$8:$A$284)+COUNT('DWV ABS'!$A$8:$A$116)+1,"")</f>
        <v/>
      </c>
      <c r="B205" s="115"/>
      <c r="C205" s="116"/>
      <c r="D205" s="512" t="str">
        <f>_xlfn.XLOOKUP(E205,'All Products'!D:D,'All Products'!C:C,FALSE)</f>
        <v>435-131</v>
      </c>
      <c r="E205" s="53">
        <v>100022773</v>
      </c>
      <c r="F205" s="522" t="str">
        <f>_xlfn.XLOOKUP(E205,'All Products'!D:D,'All Products'!E:E,FALSE)</f>
        <v>1X3/4 RED FEM ADAPTER SLIPXFIPT</v>
      </c>
      <c r="G205" s="282">
        <f>_xlfn.XLOOKUP(E205,'All Products'!D:D,'All Products'!F:F,FALSE)</f>
        <v>100</v>
      </c>
      <c r="H205" s="533">
        <f>_xlfn.XLOOKUP(E205,'All Products'!D:D,'All Products'!G:G,FALSE)</f>
        <v>15000</v>
      </c>
      <c r="I205" s="540">
        <f>_xlfn.XLOOKUP(E205,'All Products'!D:D,'All Products'!H:H,FALSE)</f>
        <v>4.25</v>
      </c>
      <c r="J205" s="216">
        <f>ROUND(I205*Order_Quote!$L$4,2)</f>
        <v>21.25</v>
      </c>
      <c r="K205" s="76"/>
      <c r="L205" s="79"/>
      <c r="M205" s="117">
        <f t="shared" si="7"/>
        <v>0</v>
      </c>
      <c r="O205" s="530" t="str">
        <f>_xlfn.XLOOKUP(E205,'All Products'!D:D,'All Products'!I:I,FALSE)</f>
        <v>In Stock</v>
      </c>
      <c r="P205" s="530" t="str">
        <f>_xlfn.XLOOKUP(E205,'All Products'!D:D,'All Products'!J:J,FALSE)</f>
        <v>Manufactured</v>
      </c>
      <c r="Q205" s="543" t="str">
        <f>_xlfn.XLOOKUP(E205,'All Products'!D:D,'All Products'!K:K,FALSE)</f>
        <v>049081130589</v>
      </c>
      <c r="R205" s="543" t="str">
        <f>_xlfn.XLOOKUP(E205,'All Products'!D:D,'All Products'!L:L,FALSE)</f>
        <v>049081630584</v>
      </c>
      <c r="S205" s="543" t="str">
        <f>_xlfn.XLOOKUP(E205,'All Products'!D:D,'All Products'!M:M,FALSE)</f>
        <v>40049081130587</v>
      </c>
      <c r="T205" s="530">
        <f>_xlfn.XLOOKUP(E205,'All Products'!D:D,'All Products'!N:N,FALSE)</f>
        <v>7.9000000000000001E-2</v>
      </c>
      <c r="U205" s="543">
        <f>_xlfn.XLOOKUP(E205,'All Products'!D:D,'All Products'!O:O,FALSE)</f>
        <v>10</v>
      </c>
      <c r="V205" s="530">
        <f>_xlfn.XLOOKUP(E205,'All Products'!D:D,'All Products'!P:P,FALSE)</f>
        <v>9.57</v>
      </c>
      <c r="W205" s="530">
        <f>_xlfn.XLOOKUP(E205,'All Products'!D:D,'All Products'!Q:Q,FALSE)</f>
        <v>0.5</v>
      </c>
    </row>
    <row r="206" spans="1:23" ht="15" customHeight="1">
      <c r="A206" s="104" t="str">
        <f>IF(K206&gt;0,COUNT($A$7:A205)+COUNT('DWV PVC'!$A$8:$A$284)+COUNT('DWV ABS'!$A$8:$A$116)+1,"")</f>
        <v/>
      </c>
      <c r="B206" s="380"/>
      <c r="C206" s="292"/>
      <c r="D206" s="512" t="str">
        <f>_xlfn.XLOOKUP(E206,'All Products'!D:D,'All Products'!C:C,FALSE)</f>
        <v>435-213</v>
      </c>
      <c r="E206" s="53">
        <v>100022779</v>
      </c>
      <c r="F206" s="522" t="str">
        <f>_xlfn.XLOOKUP(E206,'All Products'!D:D,'All Products'!E:E,FALSE)</f>
        <v>1-1/2X2 RED FEM ADAPTER SLIPXFIPT</v>
      </c>
      <c r="G206" s="282">
        <f>_xlfn.XLOOKUP(E206,'All Products'!D:D,'All Products'!F:F,FALSE)</f>
        <v>25</v>
      </c>
      <c r="H206" s="533">
        <f>_xlfn.XLOOKUP(E206,'All Products'!D:D,'All Products'!G:G,FALSE)</f>
        <v>3750</v>
      </c>
      <c r="I206" s="540">
        <f>_xlfn.XLOOKUP(E206,'All Products'!D:D,'All Products'!H:H,FALSE)</f>
        <v>8.5399999999999991</v>
      </c>
      <c r="J206" s="216">
        <f>ROUND(I206*Order_Quote!$L$4,2)</f>
        <v>42.7</v>
      </c>
      <c r="K206" s="76"/>
      <c r="L206" s="79"/>
      <c r="M206" s="117">
        <f t="shared" si="7"/>
        <v>0</v>
      </c>
      <c r="O206" s="530" t="str">
        <f>_xlfn.XLOOKUP(E206,'All Products'!D:D,'All Products'!I:I,FALSE)</f>
        <v>Within 3 Weeks</v>
      </c>
      <c r="P206" s="530" t="str">
        <f>_xlfn.XLOOKUP(E206,'All Products'!D:D,'All Products'!J:J,FALSE)</f>
        <v>Manufactured</v>
      </c>
      <c r="Q206" s="543" t="str">
        <f>_xlfn.XLOOKUP(E206,'All Products'!D:D,'All Products'!K:K,FALSE)</f>
        <v>049081130695</v>
      </c>
      <c r="R206" s="543" t="str">
        <f>_xlfn.XLOOKUP(E206,'All Products'!D:D,'All Products'!L:L,FALSE)</f>
        <v>049081630690</v>
      </c>
      <c r="S206" s="543" t="str">
        <f>_xlfn.XLOOKUP(E206,'All Products'!D:D,'All Products'!M:M,FALSE)</f>
        <v>40049081130693</v>
      </c>
      <c r="T206" s="530">
        <f>_xlfn.XLOOKUP(E206,'All Products'!D:D,'All Products'!N:N,FALSE)</f>
        <v>0.19800000000000001</v>
      </c>
      <c r="U206" s="543">
        <f>_xlfn.XLOOKUP(E206,'All Products'!D:D,'All Products'!O:O,FALSE)</f>
        <v>5</v>
      </c>
      <c r="V206" s="530">
        <f>_xlfn.XLOOKUP(E206,'All Products'!D:D,'All Products'!P:P,FALSE)</f>
        <v>5.7</v>
      </c>
      <c r="W206" s="530">
        <f>_xlfn.XLOOKUP(E206,'All Products'!D:D,'All Products'!Q:Q,FALSE)</f>
        <v>0.5</v>
      </c>
    </row>
    <row r="207" spans="1:23" ht="15" customHeight="1">
      <c r="A207" s="104" t="str">
        <f>IF(K207&gt;0,COUNT($A$7:A206)+COUNT('DWV PVC'!$A$8:$A$284)+COUNT('DWV ABS'!$A$8:$A$116)+1,"")</f>
        <v/>
      </c>
      <c r="B207" s="577"/>
      <c r="C207" s="578"/>
      <c r="D207" s="512" t="str">
        <f>_xlfn.XLOOKUP(E207,'All Products'!D:D,'All Products'!C:C,FALSE)</f>
        <v>436-005</v>
      </c>
      <c r="E207" s="53">
        <v>100022782</v>
      </c>
      <c r="F207" s="522" t="str">
        <f>_xlfn.XLOOKUP(E207,'All Products'!D:D,'All Products'!E:E,FALSE)</f>
        <v>1/2 MALE ADAPTER MIPT X SLIP</v>
      </c>
      <c r="G207" s="282">
        <f>_xlfn.XLOOKUP(E207,'All Products'!D:D,'All Products'!F:F,FALSE)</f>
        <v>250</v>
      </c>
      <c r="H207" s="533">
        <f>_xlfn.XLOOKUP(E207,'All Products'!D:D,'All Products'!G:G,FALSE)</f>
        <v>37500</v>
      </c>
      <c r="I207" s="540">
        <f>_xlfn.XLOOKUP(E207,'All Products'!D:D,'All Products'!H:H,FALSE)</f>
        <v>1.42</v>
      </c>
      <c r="J207" s="216">
        <f>ROUND(I207*Order_Quote!$L$4,2)</f>
        <v>7.1</v>
      </c>
      <c r="K207" s="76"/>
      <c r="L207" s="79"/>
      <c r="M207" s="117">
        <f t="shared" si="7"/>
        <v>0</v>
      </c>
      <c r="O207" s="530" t="str">
        <f>_xlfn.XLOOKUP(E207,'All Products'!D:D,'All Products'!I:I,FALSE)</f>
        <v>In Stock</v>
      </c>
      <c r="P207" s="530" t="str">
        <f>_xlfn.XLOOKUP(E207,'All Products'!D:D,'All Products'!J:J,FALSE)</f>
        <v>Manufactured</v>
      </c>
      <c r="Q207" s="543" t="str">
        <f>_xlfn.XLOOKUP(E207,'All Products'!D:D,'All Products'!K:K,FALSE)</f>
        <v>049081131661</v>
      </c>
      <c r="R207" s="543" t="str">
        <f>_xlfn.XLOOKUP(E207,'All Products'!D:D,'All Products'!L:L,FALSE)</f>
        <v>049081631666</v>
      </c>
      <c r="S207" s="543" t="str">
        <f>_xlfn.XLOOKUP(E207,'All Products'!D:D,'All Products'!M:M,FALSE)</f>
        <v>40049081131669</v>
      </c>
      <c r="T207" s="530">
        <f>_xlfn.XLOOKUP(E207,'All Products'!D:D,'All Products'!N:N,FALSE)</f>
        <v>3.3000000000000002E-2</v>
      </c>
      <c r="U207" s="543">
        <f>_xlfn.XLOOKUP(E207,'All Products'!D:D,'All Products'!O:O,FALSE)</f>
        <v>10</v>
      </c>
      <c r="V207" s="530">
        <f>_xlfn.XLOOKUP(E207,'All Products'!D:D,'All Products'!P:P,FALSE)</f>
        <v>9.18</v>
      </c>
      <c r="W207" s="530">
        <f>_xlfn.XLOOKUP(E207,'All Products'!D:D,'All Products'!Q:Q,FALSE)</f>
        <v>0.5</v>
      </c>
    </row>
    <row r="208" spans="1:23" ht="15" customHeight="1">
      <c r="A208" s="104" t="str">
        <f>IF(K208&gt;0,COUNT($A$7:A207)+COUNT('DWV PVC'!$A$8:$A$284)+COUNT('DWV ABS'!$A$8:$A$116)+1,"")</f>
        <v/>
      </c>
      <c r="B208" s="579"/>
      <c r="C208" s="580"/>
      <c r="D208" s="512" t="str">
        <f>_xlfn.XLOOKUP(E208,'All Products'!D:D,'All Products'!C:C,FALSE)</f>
        <v>436-007</v>
      </c>
      <c r="E208" s="53">
        <v>100022784</v>
      </c>
      <c r="F208" s="522" t="str">
        <f>_xlfn.XLOOKUP(E208,'All Products'!D:D,'All Products'!E:E,FALSE)</f>
        <v>3/4 MALE ADAPTER MIPT X SLIP</v>
      </c>
      <c r="G208" s="282">
        <f>_xlfn.XLOOKUP(E208,'All Products'!D:D,'All Products'!F:F,FALSE)</f>
        <v>250</v>
      </c>
      <c r="H208" s="533">
        <f>_xlfn.XLOOKUP(E208,'All Products'!D:D,'All Products'!G:G,FALSE)</f>
        <v>22500</v>
      </c>
      <c r="I208" s="540">
        <f>_xlfn.XLOOKUP(E208,'All Products'!D:D,'All Products'!H:H,FALSE)</f>
        <v>1.58</v>
      </c>
      <c r="J208" s="216">
        <f>ROUND(I208*Order_Quote!$L$4,2)</f>
        <v>7.9</v>
      </c>
      <c r="K208" s="76"/>
      <c r="L208" s="79"/>
      <c r="M208" s="117">
        <f t="shared" si="7"/>
        <v>0</v>
      </c>
      <c r="O208" s="530" t="str">
        <f>_xlfn.XLOOKUP(E208,'All Products'!D:D,'All Products'!I:I,FALSE)</f>
        <v>In Stock</v>
      </c>
      <c r="P208" s="530" t="str">
        <f>_xlfn.XLOOKUP(E208,'All Products'!D:D,'All Products'!J:J,FALSE)</f>
        <v>Manufactured</v>
      </c>
      <c r="Q208" s="543" t="str">
        <f>_xlfn.XLOOKUP(E208,'All Products'!D:D,'All Products'!K:K,FALSE)</f>
        <v>049081131722</v>
      </c>
      <c r="R208" s="543" t="str">
        <f>_xlfn.XLOOKUP(E208,'All Products'!D:D,'All Products'!L:L,FALSE)</f>
        <v>049081631727</v>
      </c>
      <c r="S208" s="543" t="str">
        <f>_xlfn.XLOOKUP(E208,'All Products'!D:D,'All Products'!M:M,FALSE)</f>
        <v>40049081131720</v>
      </c>
      <c r="T208" s="530">
        <f>_xlfn.XLOOKUP(E208,'All Products'!D:D,'All Products'!N:N,FALSE)</f>
        <v>4.9000000000000002E-2</v>
      </c>
      <c r="U208" s="543">
        <f>_xlfn.XLOOKUP(E208,'All Products'!D:D,'All Products'!O:O,FALSE)</f>
        <v>10</v>
      </c>
      <c r="V208" s="530">
        <f>_xlfn.XLOOKUP(E208,'All Products'!D:D,'All Products'!P:P,FALSE)</f>
        <v>13.49</v>
      </c>
      <c r="W208" s="530">
        <f>_xlfn.XLOOKUP(E208,'All Products'!D:D,'All Products'!Q:Q,FALSE)</f>
        <v>0.8</v>
      </c>
    </row>
    <row r="209" spans="1:23" ht="15" customHeight="1">
      <c r="A209" s="104" t="str">
        <f>IF(K209&gt;0,COUNT($A$7:A208)+COUNT('DWV PVC'!$A$8:$A$284)+COUNT('DWV ABS'!$A$8:$A$116)+1,"")</f>
        <v/>
      </c>
      <c r="B209" s="579"/>
      <c r="C209" s="580"/>
      <c r="D209" s="512" t="str">
        <f>_xlfn.XLOOKUP(E209,'All Products'!D:D,'All Products'!C:C,FALSE)</f>
        <v>436-010</v>
      </c>
      <c r="E209" s="53">
        <v>100022787</v>
      </c>
      <c r="F209" s="522" t="str">
        <f>_xlfn.XLOOKUP(E209,'All Products'!D:D,'All Products'!E:E,FALSE)</f>
        <v>1 MALE ADAPTER MIPT X SLIP</v>
      </c>
      <c r="G209" s="282">
        <f>_xlfn.XLOOKUP(E209,'All Products'!D:D,'All Products'!F:F,FALSE)</f>
        <v>100</v>
      </c>
      <c r="H209" s="533">
        <f>_xlfn.XLOOKUP(E209,'All Products'!D:D,'All Products'!G:G,FALSE)</f>
        <v>12000</v>
      </c>
      <c r="I209" s="540">
        <f>_xlfn.XLOOKUP(E209,'All Products'!D:D,'All Products'!H:H,FALSE)</f>
        <v>2.85</v>
      </c>
      <c r="J209" s="216">
        <f>ROUND(I209*Order_Quote!$L$4,2)</f>
        <v>14.25</v>
      </c>
      <c r="K209" s="76"/>
      <c r="L209" s="79"/>
      <c r="M209" s="117">
        <f t="shared" si="7"/>
        <v>0</v>
      </c>
      <c r="O209" s="530" t="str">
        <f>_xlfn.XLOOKUP(E209,'All Products'!D:D,'All Products'!I:I,FALSE)</f>
        <v>In Stock</v>
      </c>
      <c r="P209" s="530" t="str">
        <f>_xlfn.XLOOKUP(E209,'All Products'!D:D,'All Products'!J:J,FALSE)</f>
        <v>Manufactured</v>
      </c>
      <c r="Q209" s="543" t="str">
        <f>_xlfn.XLOOKUP(E209,'All Products'!D:D,'All Products'!K:K,FALSE)</f>
        <v>049081131784</v>
      </c>
      <c r="R209" s="543" t="str">
        <f>_xlfn.XLOOKUP(E209,'All Products'!D:D,'All Products'!L:L,FALSE)</f>
        <v>049081631789</v>
      </c>
      <c r="S209" s="543" t="str">
        <f>_xlfn.XLOOKUP(E209,'All Products'!D:D,'All Products'!M:M,FALSE)</f>
        <v>40049081131782</v>
      </c>
      <c r="T209" s="530">
        <f>_xlfn.XLOOKUP(E209,'All Products'!D:D,'All Products'!N:N,FALSE)</f>
        <v>7.8E-2</v>
      </c>
      <c r="U209" s="543">
        <f>_xlfn.XLOOKUP(E209,'All Products'!D:D,'All Products'!O:O,FALSE)</f>
        <v>10</v>
      </c>
      <c r="V209" s="530">
        <f>_xlfn.XLOOKUP(E209,'All Products'!D:D,'All Products'!P:P,FALSE)</f>
        <v>8.9600000000000009</v>
      </c>
      <c r="W209" s="530">
        <f>_xlfn.XLOOKUP(E209,'All Products'!D:D,'All Products'!Q:Q,FALSE)</f>
        <v>0.65</v>
      </c>
    </row>
    <row r="210" spans="1:23" ht="15" customHeight="1">
      <c r="A210" s="104" t="str">
        <f>IF(K210&gt;0,COUNT($A$7:A209)+COUNT('DWV PVC'!$A$8:$A$284)+COUNT('DWV ABS'!$A$8:$A$116)+1,"")</f>
        <v/>
      </c>
      <c r="B210" s="579"/>
      <c r="C210" s="580"/>
      <c r="D210" s="512" t="str">
        <f>_xlfn.XLOOKUP(E210,'All Products'!D:D,'All Products'!C:C,FALSE)</f>
        <v>436-012</v>
      </c>
      <c r="E210" s="53">
        <v>100022789</v>
      </c>
      <c r="F210" s="522" t="str">
        <f>_xlfn.XLOOKUP(E210,'All Products'!D:D,'All Products'!E:E,FALSE)</f>
        <v>1-1/4 MALE ADAPTER MIPT X SLIP</v>
      </c>
      <c r="G210" s="282">
        <f>_xlfn.XLOOKUP(E210,'All Products'!D:D,'All Products'!F:F,FALSE)</f>
        <v>50</v>
      </c>
      <c r="H210" s="533">
        <f>_xlfn.XLOOKUP(E210,'All Products'!D:D,'All Products'!G:G,FALSE)</f>
        <v>7500</v>
      </c>
      <c r="I210" s="540">
        <f>_xlfn.XLOOKUP(E210,'All Products'!D:D,'All Products'!H:H,FALSE)</f>
        <v>3.48</v>
      </c>
      <c r="J210" s="216">
        <f>ROUND(I210*Order_Quote!$L$4,2)</f>
        <v>17.399999999999999</v>
      </c>
      <c r="K210" s="76"/>
      <c r="L210" s="79"/>
      <c r="M210" s="117">
        <f t="shared" si="7"/>
        <v>0</v>
      </c>
      <c r="O210" s="530" t="str">
        <f>_xlfn.XLOOKUP(E210,'All Products'!D:D,'All Products'!I:I,FALSE)</f>
        <v>In Stock</v>
      </c>
      <c r="P210" s="530" t="str">
        <f>_xlfn.XLOOKUP(E210,'All Products'!D:D,'All Products'!J:J,FALSE)</f>
        <v>Manufactured</v>
      </c>
      <c r="Q210" s="543" t="str">
        <f>_xlfn.XLOOKUP(E210,'All Products'!D:D,'All Products'!K:K,FALSE)</f>
        <v>049081131845</v>
      </c>
      <c r="R210" s="543" t="str">
        <f>_xlfn.XLOOKUP(E210,'All Products'!D:D,'All Products'!L:L,FALSE)</f>
        <v>049081631840</v>
      </c>
      <c r="S210" s="543" t="str">
        <f>_xlfn.XLOOKUP(E210,'All Products'!D:D,'All Products'!M:M,FALSE)</f>
        <v>40049081131843</v>
      </c>
      <c r="T210" s="530">
        <f>_xlfn.XLOOKUP(E210,'All Products'!D:D,'All Products'!N:N,FALSE)</f>
        <v>0.11700000000000001</v>
      </c>
      <c r="U210" s="543">
        <f>_xlfn.XLOOKUP(E210,'All Products'!D:D,'All Products'!O:O,FALSE)</f>
        <v>5</v>
      </c>
      <c r="V210" s="530">
        <f>_xlfn.XLOOKUP(E210,'All Products'!D:D,'All Products'!P:P,FALSE)</f>
        <v>6.6</v>
      </c>
      <c r="W210" s="530">
        <f>_xlfn.XLOOKUP(E210,'All Products'!D:D,'All Products'!Q:Q,FALSE)</f>
        <v>0.5</v>
      </c>
    </row>
    <row r="211" spans="1:23" ht="15" customHeight="1">
      <c r="A211" s="104" t="str">
        <f>IF(K211&gt;0,COUNT($A$7:A210)+COUNT('DWV PVC'!$A$8:$A$284)+COUNT('DWV ABS'!$A$8:$A$116)+1,"")</f>
        <v/>
      </c>
      <c r="B211" s="579"/>
      <c r="C211" s="580"/>
      <c r="D211" s="512" t="str">
        <f>_xlfn.XLOOKUP(E211,'All Products'!D:D,'All Products'!C:C,FALSE)</f>
        <v>436-015</v>
      </c>
      <c r="E211" s="53">
        <v>100022791</v>
      </c>
      <c r="F211" s="522" t="str">
        <f>_xlfn.XLOOKUP(E211,'All Products'!D:D,'All Products'!E:E,FALSE)</f>
        <v>1-1/2 MALE ADAPTER MIPT X SLIP</v>
      </c>
      <c r="G211" s="282">
        <f>_xlfn.XLOOKUP(E211,'All Products'!D:D,'All Products'!F:F,FALSE)</f>
        <v>50</v>
      </c>
      <c r="H211" s="533">
        <f>_xlfn.XLOOKUP(E211,'All Products'!D:D,'All Products'!G:G,FALSE)</f>
        <v>6000</v>
      </c>
      <c r="I211" s="540">
        <f>_xlfn.XLOOKUP(E211,'All Products'!D:D,'All Products'!H:H,FALSE)</f>
        <v>4.67</v>
      </c>
      <c r="J211" s="216">
        <f>ROUND(I211*Order_Quote!$L$4,2)</f>
        <v>23.35</v>
      </c>
      <c r="K211" s="76"/>
      <c r="L211" s="79"/>
      <c r="M211" s="117">
        <f t="shared" si="7"/>
        <v>0</v>
      </c>
      <c r="O211" s="530" t="str">
        <f>_xlfn.XLOOKUP(E211,'All Products'!D:D,'All Products'!I:I,FALSE)</f>
        <v>In Stock</v>
      </c>
      <c r="P211" s="530" t="str">
        <f>_xlfn.XLOOKUP(E211,'All Products'!D:D,'All Products'!J:J,FALSE)</f>
        <v>Manufactured</v>
      </c>
      <c r="Q211" s="543" t="str">
        <f>_xlfn.XLOOKUP(E211,'All Products'!D:D,'All Products'!K:K,FALSE)</f>
        <v>049081131906</v>
      </c>
      <c r="R211" s="543" t="str">
        <f>_xlfn.XLOOKUP(E211,'All Products'!D:D,'All Products'!L:L,FALSE)</f>
        <v>049081631901</v>
      </c>
      <c r="S211" s="543" t="str">
        <f>_xlfn.XLOOKUP(E211,'All Products'!D:D,'All Products'!M:M,FALSE)</f>
        <v>40049081131904</v>
      </c>
      <c r="T211" s="530">
        <f>_xlfn.XLOOKUP(E211,'All Products'!D:D,'All Products'!N:N,FALSE)</f>
        <v>0.14899999999999999</v>
      </c>
      <c r="U211" s="543">
        <f>_xlfn.XLOOKUP(E211,'All Products'!D:D,'All Products'!O:O,FALSE)</f>
        <v>5</v>
      </c>
      <c r="V211" s="530">
        <f>_xlfn.XLOOKUP(E211,'All Products'!D:D,'All Products'!P:P,FALSE)</f>
        <v>8.26</v>
      </c>
      <c r="W211" s="530">
        <f>_xlfn.XLOOKUP(E211,'All Products'!D:D,'All Products'!Q:Q,FALSE)</f>
        <v>0.65</v>
      </c>
    </row>
    <row r="212" spans="1:23" ht="15" customHeight="1">
      <c r="A212" s="104" t="str">
        <f>IF(K212&gt;0,COUNT($A$7:A211)+COUNT('DWV PVC'!$A$8:$A$284)+COUNT('DWV ABS'!$A$8:$A$116)+1,"")</f>
        <v/>
      </c>
      <c r="B212" s="579"/>
      <c r="C212" s="580"/>
      <c r="D212" s="512" t="str">
        <f>_xlfn.XLOOKUP(E212,'All Products'!D:D,'All Products'!C:C,FALSE)</f>
        <v>436-020</v>
      </c>
      <c r="E212" s="53">
        <v>100022793</v>
      </c>
      <c r="F212" s="522" t="str">
        <f>_xlfn.XLOOKUP(E212,'All Products'!D:D,'All Products'!E:E,FALSE)</f>
        <v>2 MALE ADAPTER MIPT X SLIP</v>
      </c>
      <c r="G212" s="282">
        <f>_xlfn.XLOOKUP(E212,'All Products'!D:D,'All Products'!F:F,FALSE)</f>
        <v>25</v>
      </c>
      <c r="H212" s="533">
        <f>_xlfn.XLOOKUP(E212,'All Products'!D:D,'All Products'!G:G,FALSE)</f>
        <v>3750</v>
      </c>
      <c r="I212" s="540">
        <f>_xlfn.XLOOKUP(E212,'All Products'!D:D,'All Products'!H:H,FALSE)</f>
        <v>6.11</v>
      </c>
      <c r="J212" s="216">
        <f>ROUND(I212*Order_Quote!$L$4,2)</f>
        <v>30.55</v>
      </c>
      <c r="K212" s="76"/>
      <c r="L212" s="79"/>
      <c r="M212" s="117">
        <f t="shared" si="7"/>
        <v>0</v>
      </c>
      <c r="O212" s="530" t="str">
        <f>_xlfn.XLOOKUP(E212,'All Products'!D:D,'All Products'!I:I,FALSE)</f>
        <v>In Stock</v>
      </c>
      <c r="P212" s="530" t="str">
        <f>_xlfn.XLOOKUP(E212,'All Products'!D:D,'All Products'!J:J,FALSE)</f>
        <v>Manufactured</v>
      </c>
      <c r="Q212" s="543" t="str">
        <f>_xlfn.XLOOKUP(E212,'All Products'!D:D,'All Products'!K:K,FALSE)</f>
        <v>049081131968</v>
      </c>
      <c r="R212" s="543" t="str">
        <f>_xlfn.XLOOKUP(E212,'All Products'!D:D,'All Products'!L:L,FALSE)</f>
        <v>049081631963</v>
      </c>
      <c r="S212" s="543" t="str">
        <f>_xlfn.XLOOKUP(E212,'All Products'!D:D,'All Products'!M:M,FALSE)</f>
        <v>40049081131966</v>
      </c>
      <c r="T212" s="530">
        <f>_xlfn.XLOOKUP(E212,'All Products'!D:D,'All Products'!N:N,FALSE)</f>
        <v>0.223</v>
      </c>
      <c r="U212" s="543">
        <f>_xlfn.XLOOKUP(E212,'All Products'!D:D,'All Products'!O:O,FALSE)</f>
        <v>5</v>
      </c>
      <c r="V212" s="530">
        <f>_xlfn.XLOOKUP(E212,'All Products'!D:D,'All Products'!P:P,FALSE)</f>
        <v>6.15</v>
      </c>
      <c r="W212" s="530">
        <f>_xlfn.XLOOKUP(E212,'All Products'!D:D,'All Products'!Q:Q,FALSE)</f>
        <v>0.5</v>
      </c>
    </row>
    <row r="213" spans="1:23" ht="15" customHeight="1">
      <c r="A213" s="104" t="str">
        <f>IF(K213&gt;0,COUNT($A$7:A212)+COUNT('DWV PVC'!$A$8:$A$284)+COUNT('DWV ABS'!$A$8:$A$116)+1,"")</f>
        <v/>
      </c>
      <c r="B213" s="579"/>
      <c r="C213" s="580"/>
      <c r="D213" s="512" t="str">
        <f>_xlfn.XLOOKUP(E213,'All Products'!D:D,'All Products'!C:C,FALSE)</f>
        <v>436-030</v>
      </c>
      <c r="E213" s="53">
        <v>100022797</v>
      </c>
      <c r="F213" s="522" t="str">
        <f>_xlfn.XLOOKUP(E213,'All Products'!D:D,'All Products'!E:E,FALSE)</f>
        <v>3 MALE ADAPTER MIPT X SLIP</v>
      </c>
      <c r="G213" s="282">
        <f>_xlfn.XLOOKUP(E213,'All Products'!D:D,'All Products'!F:F,FALSE)</f>
        <v>16</v>
      </c>
      <c r="H213" s="533">
        <f>_xlfn.XLOOKUP(E213,'All Products'!D:D,'All Products'!G:G,FALSE)</f>
        <v>1920</v>
      </c>
      <c r="I213" s="540">
        <f>_xlfn.XLOOKUP(E213,'All Products'!D:D,'All Products'!H:H,FALSE)</f>
        <v>26.38</v>
      </c>
      <c r="J213" s="216">
        <f>ROUND(I213*Order_Quote!$L$4,2)</f>
        <v>131.9</v>
      </c>
      <c r="K213" s="76"/>
      <c r="L213" s="79"/>
      <c r="M213" s="117">
        <f t="shared" si="7"/>
        <v>0</v>
      </c>
      <c r="O213" s="530" t="str">
        <f>_xlfn.XLOOKUP(E213,'All Products'!D:D,'All Products'!I:I,FALSE)</f>
        <v>In Stock</v>
      </c>
      <c r="P213" s="530" t="str">
        <f>_xlfn.XLOOKUP(E213,'All Products'!D:D,'All Products'!J:J,FALSE)</f>
        <v>Manufactured</v>
      </c>
      <c r="Q213" s="543" t="str">
        <f>_xlfn.XLOOKUP(E213,'All Products'!D:D,'All Products'!K:K,FALSE)</f>
        <v>049081132088</v>
      </c>
      <c r="R213" s="543" t="str">
        <f>_xlfn.XLOOKUP(E213,'All Products'!D:D,'All Products'!L:L,FALSE)</f>
        <v>-</v>
      </c>
      <c r="S213" s="543" t="str">
        <f>_xlfn.XLOOKUP(E213,'All Products'!D:D,'All Products'!M:M,FALSE)</f>
        <v>40049081132086</v>
      </c>
      <c r="T213" s="530">
        <f>_xlfn.XLOOKUP(E213,'All Products'!D:D,'All Products'!N:N,FALSE)</f>
        <v>0.6</v>
      </c>
      <c r="U213" s="543" t="str">
        <f>_xlfn.XLOOKUP(E213,'All Products'!D:D,'All Products'!O:O,FALSE)</f>
        <v>-</v>
      </c>
      <c r="V213" s="530">
        <f>_xlfn.XLOOKUP(E213,'All Products'!D:D,'All Products'!P:P,FALSE)</f>
        <v>11</v>
      </c>
      <c r="W213" s="530">
        <f>_xlfn.XLOOKUP(E213,'All Products'!D:D,'All Products'!Q:Q,FALSE)</f>
        <v>0.65</v>
      </c>
    </row>
    <row r="214" spans="1:23" ht="15" customHeight="1">
      <c r="A214" s="104" t="str">
        <f>IF(K214&gt;0,COUNT($A$7:A213)+COUNT('DWV PVC'!$A$8:$A$284)+COUNT('DWV ABS'!$A$8:$A$116)+1,"")</f>
        <v/>
      </c>
      <c r="B214" s="581"/>
      <c r="C214" s="582"/>
      <c r="D214" s="512" t="str">
        <f>_xlfn.XLOOKUP(E214,'All Products'!D:D,'All Products'!C:C,FALSE)</f>
        <v>436-040</v>
      </c>
      <c r="E214" s="53">
        <v>100022799</v>
      </c>
      <c r="F214" s="522" t="str">
        <f>_xlfn.XLOOKUP(E214,'All Products'!D:D,'All Products'!E:E,FALSE)</f>
        <v>4 MALE ADAPTER MIPT X SLIP</v>
      </c>
      <c r="G214" s="282">
        <f>_xlfn.XLOOKUP(E214,'All Products'!D:D,'All Products'!F:F,FALSE)</f>
        <v>12</v>
      </c>
      <c r="H214" s="533">
        <f>_xlfn.XLOOKUP(E214,'All Products'!D:D,'All Products'!G:G,FALSE)</f>
        <v>1080</v>
      </c>
      <c r="I214" s="540">
        <f>_xlfn.XLOOKUP(E214,'All Products'!D:D,'All Products'!H:H,FALSE)</f>
        <v>33.67</v>
      </c>
      <c r="J214" s="216">
        <f>ROUND(I214*Order_Quote!$L$4,2)</f>
        <v>168.35</v>
      </c>
      <c r="K214" s="76"/>
      <c r="L214" s="79"/>
      <c r="M214" s="117">
        <f t="shared" si="7"/>
        <v>0</v>
      </c>
      <c r="O214" s="530" t="str">
        <f>_xlfn.XLOOKUP(E214,'All Products'!D:D,'All Products'!I:I,FALSE)</f>
        <v>In Stock</v>
      </c>
      <c r="P214" s="530" t="str">
        <f>_xlfn.XLOOKUP(E214,'All Products'!D:D,'All Products'!J:J,FALSE)</f>
        <v>Manufactured</v>
      </c>
      <c r="Q214" s="543" t="str">
        <f>_xlfn.XLOOKUP(E214,'All Products'!D:D,'All Products'!K:K,FALSE)</f>
        <v>049081132125</v>
      </c>
      <c r="R214" s="543" t="str">
        <f>_xlfn.XLOOKUP(E214,'All Products'!D:D,'All Products'!L:L,FALSE)</f>
        <v>-</v>
      </c>
      <c r="S214" s="543" t="str">
        <f>_xlfn.XLOOKUP(E214,'All Products'!D:D,'All Products'!M:M,FALSE)</f>
        <v>40049081132123</v>
      </c>
      <c r="T214" s="530">
        <f>_xlfn.XLOOKUP(E214,'All Products'!D:D,'All Products'!N:N,FALSE)</f>
        <v>0.81799999999999995</v>
      </c>
      <c r="U214" s="543" t="str">
        <f>_xlfn.XLOOKUP(E214,'All Products'!D:D,'All Products'!O:O,FALSE)</f>
        <v>-</v>
      </c>
      <c r="V214" s="530">
        <f>_xlfn.XLOOKUP(E214,'All Products'!D:D,'All Products'!P:P,FALSE)</f>
        <v>10.46</v>
      </c>
      <c r="W214" s="530">
        <f>_xlfn.XLOOKUP(E214,'All Products'!D:D,'All Products'!Q:Q,FALSE)</f>
        <v>0.8</v>
      </c>
    </row>
    <row r="215" spans="1:23" ht="15" customHeight="1">
      <c r="A215" s="104" t="str">
        <f>IF(K215&gt;0,COUNT($A$7:A214)+COUNT('DWV PVC'!$A$8:$A$284)+COUNT('DWV ABS'!$A$8:$A$116)+1,"")</f>
        <v/>
      </c>
      <c r="B215" s="115"/>
      <c r="C215" s="116"/>
      <c r="D215" s="512" t="str">
        <f>_xlfn.XLOOKUP(E215,'All Products'!D:D,'All Products'!C:C,FALSE)</f>
        <v>436-045</v>
      </c>
      <c r="E215" s="53">
        <v>100027412</v>
      </c>
      <c r="F215" s="522" t="str">
        <f>_xlfn.XLOOKUP(E215,'All Products'!D:D,'All Products'!E:E,FALSE)</f>
        <v>1/4X1/2 RED MALE ADAPTER MIPT X S</v>
      </c>
      <c r="G215" s="282">
        <f>_xlfn.XLOOKUP(E215,'All Products'!D:D,'All Products'!F:F,FALSE)</f>
        <v>250</v>
      </c>
      <c r="H215" s="533">
        <f>_xlfn.XLOOKUP(E215,'All Products'!D:D,'All Products'!G:G,FALSE)</f>
        <v>37500</v>
      </c>
      <c r="I215" s="540">
        <f>_xlfn.XLOOKUP(E215,'All Products'!D:D,'All Products'!H:H,FALSE)</f>
        <v>8.5500000000000007</v>
      </c>
      <c r="J215" s="216">
        <f>ROUND(I215*Order_Quote!$L$4,2)</f>
        <v>42.75</v>
      </c>
      <c r="K215" s="76"/>
      <c r="L215" s="79"/>
      <c r="M215" s="117">
        <f t="shared" si="7"/>
        <v>0</v>
      </c>
      <c r="O215" s="530" t="str">
        <f>_xlfn.XLOOKUP(E215,'All Products'!D:D,'All Products'!I:I,FALSE)</f>
        <v>Within 3 Weeks</v>
      </c>
      <c r="P215" s="530" t="str">
        <f>_xlfn.XLOOKUP(E215,'All Products'!D:D,'All Products'!J:J,FALSE)</f>
        <v>Manufactured</v>
      </c>
      <c r="Q215" s="543" t="str">
        <f>_xlfn.XLOOKUP(E215,'All Products'!D:D,'All Products'!K:K,FALSE)</f>
        <v>049081131630</v>
      </c>
      <c r="R215" s="543" t="str">
        <f>_xlfn.XLOOKUP(E215,'All Products'!D:D,'All Products'!L:L,FALSE)</f>
        <v>049081631635</v>
      </c>
      <c r="S215" s="543" t="str">
        <f>_xlfn.XLOOKUP(E215,'All Products'!D:D,'All Products'!M:M,FALSE)</f>
        <v>40049081131638</v>
      </c>
      <c r="T215" s="530">
        <f>_xlfn.XLOOKUP(E215,'All Products'!D:D,'All Products'!N:N,FALSE)</f>
        <v>4.4999999999999998E-2</v>
      </c>
      <c r="U215" s="543">
        <f>_xlfn.XLOOKUP(E215,'All Products'!D:D,'All Products'!O:O,FALSE)</f>
        <v>10</v>
      </c>
      <c r="V215" s="530">
        <f>_xlfn.XLOOKUP(E215,'All Products'!D:D,'All Products'!P:P,FALSE)</f>
        <v>12.34</v>
      </c>
      <c r="W215" s="530">
        <f>_xlfn.XLOOKUP(E215,'All Products'!D:D,'All Products'!Q:Q,FALSE)</f>
        <v>0.5</v>
      </c>
    </row>
    <row r="216" spans="1:23" ht="15" customHeight="1">
      <c r="A216" s="104" t="str">
        <f>IF(K216&gt;0,COUNT($A$7:A215)+COUNT('DWV PVC'!$A$8:$A$284)+COUNT('DWV ABS'!$A$8:$A$116)+1,"")</f>
        <v/>
      </c>
      <c r="B216" s="115"/>
      <c r="C216" s="116"/>
      <c r="D216" s="512" t="str">
        <f>_xlfn.XLOOKUP(E216,'All Products'!D:D,'All Products'!C:C,FALSE)</f>
        <v>436-074</v>
      </c>
      <c r="E216" s="53">
        <v>100022805</v>
      </c>
      <c r="F216" s="522" t="str">
        <f>_xlfn.XLOOKUP(E216,'All Products'!D:D,'All Products'!E:E,FALSE)</f>
        <v>1/2X3/4 RED MALE ADAPTER MIPT X S</v>
      </c>
      <c r="G216" s="282">
        <f>_xlfn.XLOOKUP(E216,'All Products'!D:D,'All Products'!F:F,FALSE)</f>
        <v>250</v>
      </c>
      <c r="H216" s="533">
        <f>_xlfn.XLOOKUP(E216,'All Products'!D:D,'All Products'!G:G,FALSE)</f>
        <v>22500</v>
      </c>
      <c r="I216" s="540">
        <f>_xlfn.XLOOKUP(E216,'All Products'!D:D,'All Products'!H:H,FALSE)</f>
        <v>2.85</v>
      </c>
      <c r="J216" s="216">
        <f>ROUND(I216*Order_Quote!$L$4,2)</f>
        <v>14.25</v>
      </c>
      <c r="K216" s="76"/>
      <c r="L216" s="79"/>
      <c r="M216" s="117">
        <f t="shared" si="7"/>
        <v>0</v>
      </c>
      <c r="O216" s="530" t="str">
        <f>_xlfn.XLOOKUP(E216,'All Products'!D:D,'All Products'!I:I,FALSE)</f>
        <v>In Stock</v>
      </c>
      <c r="P216" s="530" t="str">
        <f>_xlfn.XLOOKUP(E216,'All Products'!D:D,'All Products'!J:J,FALSE)</f>
        <v>Manufactured</v>
      </c>
      <c r="Q216" s="543" t="str">
        <f>_xlfn.XLOOKUP(E216,'All Products'!D:D,'All Products'!K:K,FALSE)</f>
        <v>049081131685</v>
      </c>
      <c r="R216" s="543" t="str">
        <f>_xlfn.XLOOKUP(E216,'All Products'!D:D,'All Products'!L:L,FALSE)</f>
        <v>049081631680</v>
      </c>
      <c r="S216" s="543" t="str">
        <f>_xlfn.XLOOKUP(E216,'All Products'!D:D,'All Products'!M:M,FALSE)</f>
        <v>40049081131683</v>
      </c>
      <c r="T216" s="530">
        <f>_xlfn.XLOOKUP(E216,'All Products'!D:D,'All Products'!N:N,FALSE)</f>
        <v>4.4999999999999998E-2</v>
      </c>
      <c r="U216" s="543">
        <f>_xlfn.XLOOKUP(E216,'All Products'!D:D,'All Products'!O:O,FALSE)</f>
        <v>10</v>
      </c>
      <c r="V216" s="530">
        <f>_xlfn.XLOOKUP(E216,'All Products'!D:D,'All Products'!P:P,FALSE)</f>
        <v>12.14</v>
      </c>
      <c r="W216" s="530">
        <f>_xlfn.XLOOKUP(E216,'All Products'!D:D,'All Products'!Q:Q,FALSE)</f>
        <v>0.8</v>
      </c>
    </row>
    <row r="217" spans="1:23" ht="15" customHeight="1">
      <c r="A217" s="104" t="str">
        <f>IF(K217&gt;0,COUNT($A$7:A216)+COUNT('DWV PVC'!$A$8:$A$284)+COUNT('DWV ABS'!$A$8:$A$116)+1,"")</f>
        <v/>
      </c>
      <c r="B217" s="115"/>
      <c r="C217" s="116"/>
      <c r="D217" s="512" t="str">
        <f>_xlfn.XLOOKUP(E217,'All Products'!D:D,'All Products'!C:C,FALSE)</f>
        <v>436-075</v>
      </c>
      <c r="E217" s="53">
        <v>100022807</v>
      </c>
      <c r="F217" s="522" t="str">
        <f>_xlfn.XLOOKUP(E217,'All Products'!D:D,'All Products'!E:E,FALSE)</f>
        <v>1/2X1 RED MALE ADAPTER MIPT X S</v>
      </c>
      <c r="G217" s="282">
        <f>_xlfn.XLOOKUP(E217,'All Products'!D:D,'All Products'!F:F,FALSE)</f>
        <v>100</v>
      </c>
      <c r="H217" s="533">
        <f>_xlfn.XLOOKUP(E217,'All Products'!D:D,'All Products'!G:G,FALSE)</f>
        <v>12000</v>
      </c>
      <c r="I217" s="540">
        <f>_xlfn.XLOOKUP(E217,'All Products'!D:D,'All Products'!H:H,FALSE)</f>
        <v>9.27</v>
      </c>
      <c r="J217" s="216">
        <f>ROUND(I217*Order_Quote!$L$4,2)</f>
        <v>46.35</v>
      </c>
      <c r="K217" s="76"/>
      <c r="L217" s="79"/>
      <c r="M217" s="117">
        <f t="shared" si="7"/>
        <v>0</v>
      </c>
      <c r="O217" s="530" t="str">
        <f>_xlfn.XLOOKUP(E217,'All Products'!D:D,'All Products'!I:I,FALSE)</f>
        <v>In Stock</v>
      </c>
      <c r="P217" s="530" t="str">
        <f>_xlfn.XLOOKUP(E217,'All Products'!D:D,'All Products'!J:J,FALSE)</f>
        <v>Manufactured</v>
      </c>
      <c r="Q217" s="543" t="str">
        <f>_xlfn.XLOOKUP(E217,'All Products'!D:D,'All Products'!K:K,FALSE)</f>
        <v>049081131715</v>
      </c>
      <c r="R217" s="543" t="str">
        <f>_xlfn.XLOOKUP(E217,'All Products'!D:D,'All Products'!L:L,FALSE)</f>
        <v>049081631710</v>
      </c>
      <c r="S217" s="543" t="str">
        <f>_xlfn.XLOOKUP(E217,'All Products'!D:D,'All Products'!M:M,FALSE)</f>
        <v>40049081131713</v>
      </c>
      <c r="T217" s="530">
        <f>_xlfn.XLOOKUP(E217,'All Products'!D:D,'All Products'!N:N,FALSE)</f>
        <v>0.1</v>
      </c>
      <c r="U217" s="543">
        <f>_xlfn.XLOOKUP(E217,'All Products'!D:D,'All Products'!O:O,FALSE)</f>
        <v>10</v>
      </c>
      <c r="V217" s="530">
        <f>_xlfn.XLOOKUP(E217,'All Products'!D:D,'All Products'!P:P,FALSE)</f>
        <v>10.73</v>
      </c>
      <c r="W217" s="530">
        <f>_xlfn.XLOOKUP(E217,'All Products'!D:D,'All Products'!Q:Q,FALSE)</f>
        <v>0.65</v>
      </c>
    </row>
    <row r="218" spans="1:23" ht="15" customHeight="1">
      <c r="A218" s="104" t="str">
        <f>IF(K218&gt;0,COUNT($A$7:A217)+COUNT('DWV PVC'!$A$8:$A$284)+COUNT('DWV ABS'!$A$8:$A$116)+1,"")</f>
        <v/>
      </c>
      <c r="B218" s="115"/>
      <c r="C218" s="116"/>
      <c r="D218" s="512" t="str">
        <f>_xlfn.XLOOKUP(E218,'All Products'!D:D,'All Products'!C:C,FALSE)</f>
        <v>436-101</v>
      </c>
      <c r="E218" s="53">
        <v>100022810</v>
      </c>
      <c r="F218" s="522" t="str">
        <f>_xlfn.XLOOKUP(E218,'All Products'!D:D,'All Products'!E:E,FALSE)</f>
        <v>3/4X1/2 RED MALE ADAPTER MIPT X S</v>
      </c>
      <c r="G218" s="282">
        <f>_xlfn.XLOOKUP(E218,'All Products'!D:D,'All Products'!F:F,FALSE)</f>
        <v>250</v>
      </c>
      <c r="H218" s="533">
        <f>_xlfn.XLOOKUP(E218,'All Products'!D:D,'All Products'!G:G,FALSE)</f>
        <v>30000</v>
      </c>
      <c r="I218" s="540">
        <f>_xlfn.XLOOKUP(E218,'All Products'!D:D,'All Products'!H:H,FALSE)</f>
        <v>2.65</v>
      </c>
      <c r="J218" s="216">
        <f>ROUND(I218*Order_Quote!$L$4,2)</f>
        <v>13.25</v>
      </c>
      <c r="K218" s="76"/>
      <c r="L218" s="79"/>
      <c r="M218" s="117">
        <f t="shared" si="7"/>
        <v>0</v>
      </c>
      <c r="O218" s="530" t="str">
        <f>_xlfn.XLOOKUP(E218,'All Products'!D:D,'All Products'!I:I,FALSE)</f>
        <v>Within 3 Weeks</v>
      </c>
      <c r="P218" s="530" t="str">
        <f>_xlfn.XLOOKUP(E218,'All Products'!D:D,'All Products'!J:J,FALSE)</f>
        <v>Manufactured</v>
      </c>
      <c r="Q218" s="543" t="str">
        <f>_xlfn.XLOOKUP(E218,'All Products'!D:D,'All Products'!K:K,FALSE)</f>
        <v>049081131760</v>
      </c>
      <c r="R218" s="543" t="str">
        <f>_xlfn.XLOOKUP(E218,'All Products'!D:D,'All Products'!L:L,FALSE)</f>
        <v>049081631765</v>
      </c>
      <c r="S218" s="543" t="str">
        <f>_xlfn.XLOOKUP(E218,'All Products'!D:D,'All Products'!M:M,FALSE)</f>
        <v>40049081131768</v>
      </c>
      <c r="T218" s="530">
        <f>_xlfn.XLOOKUP(E218,'All Products'!D:D,'All Products'!N:N,FALSE)</f>
        <v>3.1E-2</v>
      </c>
      <c r="U218" s="543">
        <f>_xlfn.XLOOKUP(E218,'All Products'!D:D,'All Products'!O:O,FALSE)</f>
        <v>10</v>
      </c>
      <c r="V218" s="530">
        <f>_xlfn.XLOOKUP(E218,'All Products'!D:D,'All Products'!P:P,FALSE)</f>
        <v>11.4</v>
      </c>
      <c r="W218" s="530">
        <f>_xlfn.XLOOKUP(E218,'All Products'!D:D,'All Products'!Q:Q,FALSE)</f>
        <v>0.65</v>
      </c>
    </row>
    <row r="219" spans="1:23" ht="15" customHeight="1">
      <c r="A219" s="104" t="str">
        <f>IF(K219&gt;0,COUNT($A$7:A218)+COUNT('DWV PVC'!$A$8:$A$284)+COUNT('DWV ABS'!$A$8:$A$116)+1,"")</f>
        <v/>
      </c>
      <c r="B219" s="115"/>
      <c r="C219" s="116"/>
      <c r="D219" s="512" t="str">
        <f>_xlfn.XLOOKUP(E219,'All Products'!D:D,'All Products'!C:C,FALSE)</f>
        <v>436-102</v>
      </c>
      <c r="E219" s="53">
        <v>100022812</v>
      </c>
      <c r="F219" s="522" t="str">
        <f>_xlfn.XLOOKUP(E219,'All Products'!D:D,'All Products'!E:E,FALSE)</f>
        <v>3/4X1 RED MALE ADAPTER MIPT X S</v>
      </c>
      <c r="G219" s="282">
        <f>_xlfn.XLOOKUP(E219,'All Products'!D:D,'All Products'!F:F,FALSE)</f>
        <v>100</v>
      </c>
      <c r="H219" s="533">
        <f>_xlfn.XLOOKUP(E219,'All Products'!D:D,'All Products'!G:G,FALSE)</f>
        <v>12000</v>
      </c>
      <c r="I219" s="540">
        <f>_xlfn.XLOOKUP(E219,'All Products'!D:D,'All Products'!H:H,FALSE)</f>
        <v>4.07</v>
      </c>
      <c r="J219" s="216">
        <f>ROUND(I219*Order_Quote!$L$4,2)</f>
        <v>20.350000000000001</v>
      </c>
      <c r="K219" s="76"/>
      <c r="L219" s="79"/>
      <c r="M219" s="117">
        <f t="shared" si="7"/>
        <v>0</v>
      </c>
      <c r="O219" s="530" t="str">
        <f>_xlfn.XLOOKUP(E219,'All Products'!D:D,'All Products'!I:I,FALSE)</f>
        <v>In Stock</v>
      </c>
      <c r="P219" s="530" t="str">
        <f>_xlfn.XLOOKUP(E219,'All Products'!D:D,'All Products'!J:J,FALSE)</f>
        <v>Manufactured</v>
      </c>
      <c r="Q219" s="543" t="str">
        <f>_xlfn.XLOOKUP(E219,'All Products'!D:D,'All Products'!K:K,FALSE)</f>
        <v>049081131746</v>
      </c>
      <c r="R219" s="543" t="str">
        <f>_xlfn.XLOOKUP(E219,'All Products'!D:D,'All Products'!L:L,FALSE)</f>
        <v>049081631741</v>
      </c>
      <c r="S219" s="543" t="str">
        <f>_xlfn.XLOOKUP(E219,'All Products'!D:D,'All Products'!M:M,FALSE)</f>
        <v>40049081131744</v>
      </c>
      <c r="T219" s="530">
        <f>_xlfn.XLOOKUP(E219,'All Products'!D:D,'All Products'!N:N,FALSE)</f>
        <v>7.4999999999999997E-2</v>
      </c>
      <c r="U219" s="543">
        <f>_xlfn.XLOOKUP(E219,'All Products'!D:D,'All Products'!O:O,FALSE)</f>
        <v>10</v>
      </c>
      <c r="V219" s="530">
        <f>_xlfn.XLOOKUP(E219,'All Products'!D:D,'All Products'!P:P,FALSE)</f>
        <v>8.5</v>
      </c>
      <c r="W219" s="530">
        <f>_xlfn.XLOOKUP(E219,'All Products'!D:D,'All Products'!Q:Q,FALSE)</f>
        <v>0.65</v>
      </c>
    </row>
    <row r="220" spans="1:23" ht="15" customHeight="1">
      <c r="A220" s="104" t="str">
        <f>IF(K220&gt;0,COUNT($A$7:A219)+COUNT('DWV PVC'!$A$8:$A$284)+COUNT('DWV ABS'!$A$8:$A$116)+1,"")</f>
        <v/>
      </c>
      <c r="B220" s="115"/>
      <c r="C220" s="116"/>
      <c r="D220" s="512" t="str">
        <f>_xlfn.XLOOKUP(E220,'All Products'!D:D,'All Products'!C:C,FALSE)</f>
        <v>436-130-2</v>
      </c>
      <c r="E220" s="53">
        <v>100022814</v>
      </c>
      <c r="F220" s="522" t="str">
        <f>_xlfn.XLOOKUP(E220,'All Products'!D:D,'All Products'!E:E,FALSE)</f>
        <v>1X1/2 RED MALE ADAPTER MIPT X S</v>
      </c>
      <c r="G220" s="282">
        <f>_xlfn.XLOOKUP(E220,'All Products'!D:D,'All Products'!F:F,FALSE)</f>
        <v>250</v>
      </c>
      <c r="H220" s="533">
        <f>_xlfn.XLOOKUP(E220,'All Products'!D:D,'All Products'!G:G,FALSE)</f>
        <v>18750</v>
      </c>
      <c r="I220" s="540">
        <f>_xlfn.XLOOKUP(E220,'All Products'!D:D,'All Products'!H:H,FALSE)</f>
        <v>7.57</v>
      </c>
      <c r="J220" s="216">
        <f>ROUND(I220*Order_Quote!$L$4,2)</f>
        <v>37.85</v>
      </c>
      <c r="K220" s="76"/>
      <c r="L220" s="79"/>
      <c r="M220" s="117"/>
      <c r="O220" s="530" t="str">
        <f>_xlfn.XLOOKUP(E220,'All Products'!D:D,'All Products'!I:I,FALSE)</f>
        <v>Within 3 Weeks</v>
      </c>
      <c r="P220" s="530" t="str">
        <f>_xlfn.XLOOKUP(E220,'All Products'!D:D,'All Products'!J:J,FALSE)</f>
        <v>Manufactured</v>
      </c>
      <c r="Q220" s="543" t="str">
        <f>_xlfn.XLOOKUP(E220,'All Products'!D:D,'All Products'!K:K,FALSE)</f>
        <v>049081131838</v>
      </c>
      <c r="R220" s="543" t="str">
        <f>_xlfn.XLOOKUP(E220,'All Products'!D:D,'All Products'!L:L,FALSE)</f>
        <v>049081631833</v>
      </c>
      <c r="S220" s="543" t="str">
        <f>_xlfn.XLOOKUP(E220,'All Products'!D:D,'All Products'!M:M,FALSE)</f>
        <v>40049081131836</v>
      </c>
      <c r="T220" s="530">
        <f>_xlfn.XLOOKUP(E220,'All Products'!D:D,'All Products'!N:N,FALSE)</f>
        <v>4.3999999999999997E-2</v>
      </c>
      <c r="U220" s="543">
        <f>_xlfn.XLOOKUP(E220,'All Products'!D:D,'All Products'!O:O,FALSE)</f>
        <v>10</v>
      </c>
      <c r="V220" s="530">
        <f>_xlfn.XLOOKUP(E220,'All Products'!D:D,'All Products'!P:P,FALSE)</f>
        <v>24.58</v>
      </c>
      <c r="W220" s="530">
        <f>_xlfn.XLOOKUP(E220,'All Products'!D:D,'All Products'!Q:Q,FALSE)</f>
        <v>0.95</v>
      </c>
    </row>
    <row r="221" spans="1:23" ht="15" customHeight="1">
      <c r="A221" s="104" t="str">
        <f>IF(K221&gt;0,COUNT($A$7:A220)+COUNT('DWV PVC'!$A$8:$A$284)+COUNT('DWV ABS'!$A$8:$A$116)+1,"")</f>
        <v/>
      </c>
      <c r="B221" s="115"/>
      <c r="C221" s="116"/>
      <c r="D221" s="512" t="str">
        <f>_xlfn.XLOOKUP(E221,'All Products'!D:D,'All Products'!C:C,FALSE)</f>
        <v>436-131</v>
      </c>
      <c r="E221" s="53">
        <v>100022816</v>
      </c>
      <c r="F221" s="522" t="str">
        <f>_xlfn.XLOOKUP(E221,'All Products'!D:D,'All Products'!E:E,FALSE)</f>
        <v>1X3/4 RED MALE ADAPTER MIPT X S</v>
      </c>
      <c r="G221" s="282">
        <f>_xlfn.XLOOKUP(E221,'All Products'!D:D,'All Products'!F:F,FALSE)</f>
        <v>200</v>
      </c>
      <c r="H221" s="533">
        <f>_xlfn.XLOOKUP(E221,'All Products'!D:D,'All Products'!G:G,FALSE)</f>
        <v>18000</v>
      </c>
      <c r="I221" s="540">
        <f>_xlfn.XLOOKUP(E221,'All Products'!D:D,'All Products'!H:H,FALSE)</f>
        <v>8.77</v>
      </c>
      <c r="J221" s="216">
        <f>ROUND(I221*Order_Quote!$L$4,2)</f>
        <v>43.85</v>
      </c>
      <c r="K221" s="76"/>
      <c r="L221" s="79"/>
      <c r="M221" s="117">
        <f t="shared" ref="M221:M228" si="8">K221/G221</f>
        <v>0</v>
      </c>
      <c r="O221" s="530" t="str">
        <f>_xlfn.XLOOKUP(E221,'All Products'!D:D,'All Products'!I:I,FALSE)</f>
        <v>In Stock</v>
      </c>
      <c r="P221" s="530" t="str">
        <f>_xlfn.XLOOKUP(E221,'All Products'!D:D,'All Products'!J:J,FALSE)</f>
        <v>Manufactured</v>
      </c>
      <c r="Q221" s="543" t="str">
        <f>_xlfn.XLOOKUP(E221,'All Products'!D:D,'All Products'!K:K,FALSE)</f>
        <v>049081131821</v>
      </c>
      <c r="R221" s="543" t="str">
        <f>_xlfn.XLOOKUP(E221,'All Products'!D:D,'All Products'!L:L,FALSE)</f>
        <v>049081631826</v>
      </c>
      <c r="S221" s="543" t="str">
        <f>_xlfn.XLOOKUP(E221,'All Products'!D:D,'All Products'!M:M,FALSE)</f>
        <v>40049081131829</v>
      </c>
      <c r="T221" s="530">
        <f>_xlfn.XLOOKUP(E221,'All Products'!D:D,'All Products'!N:N,FALSE)</f>
        <v>5.3999999999999999E-2</v>
      </c>
      <c r="U221" s="543">
        <f>_xlfn.XLOOKUP(E221,'All Products'!D:D,'All Products'!O:O,FALSE)</f>
        <v>10</v>
      </c>
      <c r="V221" s="530">
        <f>_xlfn.XLOOKUP(E221,'All Products'!D:D,'All Products'!P:P,FALSE)</f>
        <v>13.25</v>
      </c>
      <c r="W221" s="530">
        <f>_xlfn.XLOOKUP(E221,'All Products'!D:D,'All Products'!Q:Q,FALSE)</f>
        <v>0.8</v>
      </c>
    </row>
    <row r="222" spans="1:23" ht="15" customHeight="1">
      <c r="A222" s="104" t="str">
        <f>IF(K222&gt;0,COUNT($A$7:A221)+COUNT('DWV PVC'!$A$8:$A$284)+COUNT('DWV ABS'!$A$8:$A$116)+1,"")</f>
        <v/>
      </c>
      <c r="B222" s="115"/>
      <c r="C222" s="116"/>
      <c r="D222" s="512" t="str">
        <f>_xlfn.XLOOKUP(E222,'All Products'!D:D,'All Products'!C:C,FALSE)</f>
        <v>436-132</v>
      </c>
      <c r="E222" s="53">
        <v>100022818</v>
      </c>
      <c r="F222" s="522" t="str">
        <f>_xlfn.XLOOKUP(E222,'All Products'!D:D,'All Products'!E:E,FALSE)</f>
        <v>1x1-1/4 RED MALE ADAPTER MIPTXS</v>
      </c>
      <c r="G222" s="282">
        <f>_xlfn.XLOOKUP(E222,'All Products'!D:D,'All Products'!F:F,FALSE)</f>
        <v>50</v>
      </c>
      <c r="H222" s="533">
        <f>_xlfn.XLOOKUP(E222,'All Products'!D:D,'All Products'!G:G,FALSE)</f>
        <v>7500</v>
      </c>
      <c r="I222" s="540">
        <f>_xlfn.XLOOKUP(E222,'All Products'!D:D,'All Products'!H:H,FALSE)</f>
        <v>9.5</v>
      </c>
      <c r="J222" s="216">
        <f>ROUND(I222*Order_Quote!$L$4,2)</f>
        <v>47.5</v>
      </c>
      <c r="K222" s="76"/>
      <c r="L222" s="79"/>
      <c r="M222" s="117">
        <f t="shared" si="8"/>
        <v>0</v>
      </c>
      <c r="O222" s="530" t="str">
        <f>_xlfn.XLOOKUP(E222,'All Products'!D:D,'All Products'!I:I,FALSE)</f>
        <v>In Stock</v>
      </c>
      <c r="P222" s="530" t="str">
        <f>_xlfn.XLOOKUP(E222,'All Products'!D:D,'All Products'!J:J,FALSE)</f>
        <v>Manufactured</v>
      </c>
      <c r="Q222" s="543" t="str">
        <f>_xlfn.XLOOKUP(E222,'All Products'!D:D,'All Products'!K:K,FALSE)</f>
        <v>049081131807</v>
      </c>
      <c r="R222" s="543" t="str">
        <f>_xlfn.XLOOKUP(E222,'All Products'!D:D,'All Products'!L:L,FALSE)</f>
        <v>049081631802</v>
      </c>
      <c r="S222" s="543" t="str">
        <f>_xlfn.XLOOKUP(E222,'All Products'!D:D,'All Products'!M:M,FALSE)</f>
        <v>40049081131805</v>
      </c>
      <c r="T222" s="530">
        <f>_xlfn.XLOOKUP(E222,'All Products'!D:D,'All Products'!N:N,FALSE)</f>
        <v>0.105</v>
      </c>
      <c r="U222" s="543">
        <f>_xlfn.XLOOKUP(E222,'All Products'!D:D,'All Products'!O:O,FALSE)</f>
        <v>5</v>
      </c>
      <c r="V222" s="530">
        <f>_xlfn.XLOOKUP(E222,'All Products'!D:D,'All Products'!P:P,FALSE)</f>
        <v>6.87</v>
      </c>
      <c r="W222" s="530">
        <f>_xlfn.XLOOKUP(E222,'All Products'!D:D,'All Products'!Q:Q,FALSE)</f>
        <v>0.5</v>
      </c>
    </row>
    <row r="223" spans="1:23" ht="15" customHeight="1">
      <c r="A223" s="104" t="str">
        <f>IF(K223&gt;0,COUNT($A$7:A222)+COUNT('DWV PVC'!$A$8:$A$284)+COUNT('DWV ABS'!$A$8:$A$116)+1,"")</f>
        <v/>
      </c>
      <c r="B223" s="115"/>
      <c r="C223" s="116"/>
      <c r="D223" s="512" t="str">
        <f>_xlfn.XLOOKUP(E223,'All Products'!D:D,'All Products'!C:C,FALSE)</f>
        <v>436-168</v>
      </c>
      <c r="E223" s="53">
        <v>100022820</v>
      </c>
      <c r="F223" s="522" t="str">
        <f>_xlfn.XLOOKUP(E223,'All Products'!D:D,'All Products'!E:E,FALSE)</f>
        <v>1-1/4X1 RED MALE ADAPTER MIPT X S</v>
      </c>
      <c r="G223" s="282">
        <f>_xlfn.XLOOKUP(E223,'All Products'!D:D,'All Products'!F:F,FALSE)</f>
        <v>100</v>
      </c>
      <c r="H223" s="533">
        <f>_xlfn.XLOOKUP(E223,'All Products'!D:D,'All Products'!G:G,FALSE)</f>
        <v>9000</v>
      </c>
      <c r="I223" s="540">
        <f>_xlfn.XLOOKUP(E223,'All Products'!D:D,'All Products'!H:H,FALSE)</f>
        <v>10.73</v>
      </c>
      <c r="J223" s="216">
        <f>ROUND(I223*Order_Quote!$L$4,2)</f>
        <v>53.65</v>
      </c>
      <c r="K223" s="76"/>
      <c r="L223" s="79"/>
      <c r="M223" s="117">
        <f t="shared" si="8"/>
        <v>0</v>
      </c>
      <c r="O223" s="530" t="str">
        <f>_xlfn.XLOOKUP(E223,'All Products'!D:D,'All Products'!I:I,FALSE)</f>
        <v>In Stock</v>
      </c>
      <c r="P223" s="530" t="str">
        <f>_xlfn.XLOOKUP(E223,'All Products'!D:D,'All Products'!J:J,FALSE)</f>
        <v>Manufactured</v>
      </c>
      <c r="Q223" s="543" t="str">
        <f>_xlfn.XLOOKUP(E223,'All Products'!D:D,'All Products'!K:K,FALSE)</f>
        <v>049081131883</v>
      </c>
      <c r="R223" s="543" t="str">
        <f>_xlfn.XLOOKUP(E223,'All Products'!D:D,'All Products'!L:L,FALSE)</f>
        <v>049081631888</v>
      </c>
      <c r="S223" s="543" t="str">
        <f>_xlfn.XLOOKUP(E223,'All Products'!D:D,'All Products'!M:M,FALSE)</f>
        <v>40049081131881</v>
      </c>
      <c r="T223" s="530">
        <f>_xlfn.XLOOKUP(E223,'All Products'!D:D,'All Products'!N:N,FALSE)</f>
        <v>0.122</v>
      </c>
      <c r="U223" s="543">
        <f>_xlfn.XLOOKUP(E223,'All Products'!D:D,'All Products'!O:O,FALSE)</f>
        <v>5</v>
      </c>
      <c r="V223" s="530">
        <f>_xlfn.XLOOKUP(E223,'All Products'!D:D,'All Products'!P:P,FALSE)</f>
        <v>13.2</v>
      </c>
      <c r="W223" s="530">
        <f>_xlfn.XLOOKUP(E223,'All Products'!D:D,'All Products'!Q:Q,FALSE)</f>
        <v>0.8</v>
      </c>
    </row>
    <row r="224" spans="1:23" ht="15" customHeight="1">
      <c r="A224" s="104" t="str">
        <f>IF(K224&gt;0,COUNT($A$7:A223)+COUNT('DWV PVC'!$A$8:$A$284)+COUNT('DWV ABS'!$A$8:$A$116)+1,"")</f>
        <v/>
      </c>
      <c r="B224" s="115"/>
      <c r="C224" s="116"/>
      <c r="D224" s="512" t="str">
        <f>_xlfn.XLOOKUP(E224,'All Products'!D:D,'All Products'!C:C,FALSE)</f>
        <v>436-169</v>
      </c>
      <c r="E224" s="53">
        <v>100022823</v>
      </c>
      <c r="F224" s="522" t="str">
        <f>_xlfn.XLOOKUP(E224,'All Products'!D:D,'All Products'!E:E,FALSE)</f>
        <v>1-1/4X1-1/2 RED MALE ADAPT MIPTXS</v>
      </c>
      <c r="G224" s="282">
        <f>_xlfn.XLOOKUP(E224,'All Products'!D:D,'All Products'!F:F,FALSE)</f>
        <v>125</v>
      </c>
      <c r="H224" s="533">
        <f>_xlfn.XLOOKUP(E224,'All Products'!D:D,'All Products'!G:G,FALSE)</f>
        <v>7500</v>
      </c>
      <c r="I224" s="540">
        <f>_xlfn.XLOOKUP(E224,'All Products'!D:D,'All Products'!H:H,FALSE)</f>
        <v>10.73</v>
      </c>
      <c r="J224" s="216">
        <f>ROUND(I224*Order_Quote!$L$4,2)</f>
        <v>53.65</v>
      </c>
      <c r="K224" s="76"/>
      <c r="L224" s="79"/>
      <c r="M224" s="117">
        <f t="shared" si="8"/>
        <v>0</v>
      </c>
      <c r="O224" s="530" t="str">
        <f>_xlfn.XLOOKUP(E224,'All Products'!D:D,'All Products'!I:I,FALSE)</f>
        <v>Within 3 Weeks</v>
      </c>
      <c r="P224" s="530" t="str">
        <f>_xlfn.XLOOKUP(E224,'All Products'!D:D,'All Products'!J:J,FALSE)</f>
        <v>Manufactured</v>
      </c>
      <c r="Q224" s="543" t="str">
        <f>_xlfn.XLOOKUP(E224,'All Products'!D:D,'All Products'!K:K,FALSE)</f>
        <v>049081131869</v>
      </c>
      <c r="R224" s="543" t="str">
        <f>_xlfn.XLOOKUP(E224,'All Products'!D:D,'All Products'!L:L,FALSE)</f>
        <v>049081631864</v>
      </c>
      <c r="S224" s="543" t="str">
        <f>_xlfn.XLOOKUP(E224,'All Products'!D:D,'All Products'!M:M,FALSE)</f>
        <v>40049081131867</v>
      </c>
      <c r="T224" s="530">
        <f>_xlfn.XLOOKUP(E224,'All Products'!D:D,'All Products'!N:N,FALSE)</f>
        <v>0.15</v>
      </c>
      <c r="U224" s="543">
        <f>_xlfn.XLOOKUP(E224,'All Products'!D:D,'All Products'!O:O,FALSE)</f>
        <v>5</v>
      </c>
      <c r="V224" s="530">
        <f>_xlfn.XLOOKUP(E224,'All Products'!D:D,'All Products'!P:P,FALSE)</f>
        <v>21.5</v>
      </c>
      <c r="W224" s="530">
        <f>_xlfn.XLOOKUP(E224,'All Products'!D:D,'All Products'!Q:Q,FALSE)</f>
        <v>1.25</v>
      </c>
    </row>
    <row r="225" spans="1:23" ht="15" customHeight="1">
      <c r="A225" s="104" t="str">
        <f>IF(K225&gt;0,COUNT($A$7:A224)+COUNT('DWV PVC'!$A$8:$A$284)+COUNT('DWV ABS'!$A$8:$A$116)+1,"")</f>
        <v/>
      </c>
      <c r="B225" s="115"/>
      <c r="C225" s="116"/>
      <c r="D225" s="512" t="str">
        <f>_xlfn.XLOOKUP(E225,'All Products'!D:D,'All Products'!C:C,FALSE)</f>
        <v>436-211-2</v>
      </c>
      <c r="E225" s="53">
        <v>100022825</v>
      </c>
      <c r="F225" s="522" t="str">
        <f>_xlfn.XLOOKUP(E225,'All Products'!D:D,'All Products'!E:E,FALSE)</f>
        <v>1-1/2X1 RED MALE ADAPTER MIPT X S</v>
      </c>
      <c r="G225" s="282">
        <f>_xlfn.XLOOKUP(E225,'All Products'!D:D,'All Products'!F:F,FALSE)</f>
        <v>125</v>
      </c>
      <c r="H225" s="533">
        <f>_xlfn.XLOOKUP(E225,'All Products'!D:D,'All Products'!G:G,FALSE)</f>
        <v>11250</v>
      </c>
      <c r="I225" s="540">
        <f>_xlfn.XLOOKUP(E225,'All Products'!D:D,'All Products'!H:H,FALSE)</f>
        <v>9.73</v>
      </c>
      <c r="J225" s="216">
        <f>ROUND(I225*Order_Quote!$L$4,2)</f>
        <v>48.65</v>
      </c>
      <c r="K225" s="76"/>
      <c r="L225" s="79"/>
      <c r="M225" s="117">
        <f t="shared" si="8"/>
        <v>0</v>
      </c>
      <c r="O225" s="530" t="str">
        <f>_xlfn.XLOOKUP(E225,'All Products'!D:D,'All Products'!I:I,FALSE)</f>
        <v>Within 3 Weeks</v>
      </c>
      <c r="P225" s="530" t="str">
        <f>_xlfn.XLOOKUP(E225,'All Products'!D:D,'All Products'!J:J,FALSE)</f>
        <v>Manufactured</v>
      </c>
      <c r="Q225" s="543" t="str">
        <f>_xlfn.XLOOKUP(E225,'All Products'!D:D,'All Products'!K:K,FALSE)</f>
        <v>049081131913</v>
      </c>
      <c r="R225" s="543" t="str">
        <f>_xlfn.XLOOKUP(E225,'All Products'!D:D,'All Products'!L:L,FALSE)</f>
        <v>049081631918</v>
      </c>
      <c r="S225" s="543" t="str">
        <f>_xlfn.XLOOKUP(E225,'All Products'!D:D,'All Products'!M:M,FALSE)</f>
        <v>40049081131911</v>
      </c>
      <c r="T225" s="530">
        <f>_xlfn.XLOOKUP(E225,'All Products'!D:D,'All Products'!N:N,FALSE)</f>
        <v>0.151</v>
      </c>
      <c r="U225" s="543">
        <f>_xlfn.XLOOKUP(E225,'All Products'!D:D,'All Products'!O:O,FALSE)</f>
        <v>5</v>
      </c>
      <c r="V225" s="530">
        <f>_xlfn.XLOOKUP(E225,'All Products'!D:D,'All Products'!P:P,FALSE)</f>
        <v>12.6</v>
      </c>
      <c r="W225" s="530">
        <f>_xlfn.XLOOKUP(E225,'All Products'!D:D,'All Products'!Q:Q,FALSE)</f>
        <v>0.8</v>
      </c>
    </row>
    <row r="226" spans="1:23" ht="15" customHeight="1">
      <c r="A226" s="104" t="str">
        <f>IF(K226&gt;0,COUNT($A$7:A225)+COUNT('DWV PVC'!$A$8:$A$284)+COUNT('DWV ABS'!$A$8:$A$116)+1,"")</f>
        <v/>
      </c>
      <c r="B226" s="115"/>
      <c r="C226" s="116"/>
      <c r="D226" s="512" t="str">
        <f>_xlfn.XLOOKUP(E226,'All Products'!D:D,'All Products'!C:C,FALSE)</f>
        <v>436-212</v>
      </c>
      <c r="E226" s="53">
        <v>100022827</v>
      </c>
      <c r="F226" s="522" t="str">
        <f>_xlfn.XLOOKUP(E226,'All Products'!D:D,'All Products'!E:E,FALSE)</f>
        <v>1-1/2X1-1/4 RED MALE ADAPTER MXS</v>
      </c>
      <c r="G226" s="282">
        <f>_xlfn.XLOOKUP(E226,'All Products'!D:D,'All Products'!F:F,FALSE)</f>
        <v>50</v>
      </c>
      <c r="H226" s="533">
        <f>_xlfn.XLOOKUP(E226,'All Products'!D:D,'All Products'!G:G,FALSE)</f>
        <v>6000</v>
      </c>
      <c r="I226" s="540">
        <f>_xlfn.XLOOKUP(E226,'All Products'!D:D,'All Products'!H:H,FALSE)</f>
        <v>12.99</v>
      </c>
      <c r="J226" s="216">
        <f>ROUND(I226*Order_Quote!$L$4,2)</f>
        <v>64.95</v>
      </c>
      <c r="K226" s="76"/>
      <c r="L226" s="79"/>
      <c r="M226" s="117">
        <f t="shared" si="8"/>
        <v>0</v>
      </c>
      <c r="O226" s="530" t="str">
        <f>_xlfn.XLOOKUP(E226,'All Products'!D:D,'All Products'!I:I,FALSE)</f>
        <v>In Stock</v>
      </c>
      <c r="P226" s="530" t="str">
        <f>_xlfn.XLOOKUP(E226,'All Products'!D:D,'All Products'!J:J,FALSE)</f>
        <v>Manufactured</v>
      </c>
      <c r="Q226" s="543" t="str">
        <f>_xlfn.XLOOKUP(E226,'All Products'!D:D,'All Products'!K:K,FALSE)</f>
        <v>049081131944</v>
      </c>
      <c r="R226" s="543" t="str">
        <f>_xlfn.XLOOKUP(E226,'All Products'!D:D,'All Products'!L:L,FALSE)</f>
        <v>049081631949</v>
      </c>
      <c r="S226" s="543" t="str">
        <f>_xlfn.XLOOKUP(E226,'All Products'!D:D,'All Products'!M:M,FALSE)</f>
        <v>40049081131942</v>
      </c>
      <c r="T226" s="530">
        <f>_xlfn.XLOOKUP(E226,'All Products'!D:D,'All Products'!N:N,FALSE)</f>
        <v>0.108</v>
      </c>
      <c r="U226" s="543">
        <f>_xlfn.XLOOKUP(E226,'All Products'!D:D,'All Products'!O:O,FALSE)</f>
        <v>5</v>
      </c>
      <c r="V226" s="530">
        <f>_xlfn.XLOOKUP(E226,'All Products'!D:D,'All Products'!P:P,FALSE)</f>
        <v>7.43</v>
      </c>
      <c r="W226" s="530">
        <f>_xlfn.XLOOKUP(E226,'All Products'!D:D,'All Products'!Q:Q,FALSE)</f>
        <v>0.65</v>
      </c>
    </row>
    <row r="227" spans="1:23" ht="15" customHeight="1">
      <c r="A227" s="104" t="str">
        <f>IF(K227&gt;0,COUNT($A$7:A226)+COUNT('DWV PVC'!$A$8:$A$284)+COUNT('DWV ABS'!$A$8:$A$116)+1,"")</f>
        <v/>
      </c>
      <c r="B227" s="115"/>
      <c r="C227" s="116"/>
      <c r="D227" s="512" t="str">
        <f>_xlfn.XLOOKUP(E227,'All Products'!D:D,'All Products'!C:C,FALSE)</f>
        <v>436-213</v>
      </c>
      <c r="E227" s="53">
        <v>100022830</v>
      </c>
      <c r="F227" s="522" t="str">
        <f>_xlfn.XLOOKUP(E227,'All Products'!D:D,'All Products'!E:E,FALSE)</f>
        <v>1-1/2X2 RED MALE ADAPTER MXS</v>
      </c>
      <c r="G227" s="282">
        <f>_xlfn.XLOOKUP(E227,'All Products'!D:D,'All Products'!F:F,FALSE)</f>
        <v>50</v>
      </c>
      <c r="H227" s="533">
        <f>_xlfn.XLOOKUP(E227,'All Products'!D:D,'All Products'!G:G,FALSE)</f>
        <v>3750</v>
      </c>
      <c r="I227" s="540">
        <f>_xlfn.XLOOKUP(E227,'All Products'!D:D,'All Products'!H:H,FALSE)</f>
        <v>12.99</v>
      </c>
      <c r="J227" s="216">
        <f>ROUND(I227*Order_Quote!$L$4,2)</f>
        <v>64.95</v>
      </c>
      <c r="K227" s="76"/>
      <c r="L227" s="79"/>
      <c r="M227" s="117">
        <f t="shared" si="8"/>
        <v>0</v>
      </c>
      <c r="O227" s="530" t="str">
        <f>_xlfn.XLOOKUP(E227,'All Products'!D:D,'All Products'!I:I,FALSE)</f>
        <v>In Stock</v>
      </c>
      <c r="P227" s="530" t="str">
        <f>_xlfn.XLOOKUP(E227,'All Products'!D:D,'All Products'!J:J,FALSE)</f>
        <v>Manufactured</v>
      </c>
      <c r="Q227" s="543" t="str">
        <f>_xlfn.XLOOKUP(E227,'All Products'!D:D,'All Products'!K:K,FALSE)</f>
        <v>049081131920</v>
      </c>
      <c r="R227" s="543" t="str">
        <f>_xlfn.XLOOKUP(E227,'All Products'!D:D,'All Products'!L:L,FALSE)</f>
        <v>049081631925</v>
      </c>
      <c r="S227" s="543" t="str">
        <f>_xlfn.XLOOKUP(E227,'All Products'!D:D,'All Products'!M:M,FALSE)</f>
        <v>40049081131928</v>
      </c>
      <c r="T227" s="530">
        <f>_xlfn.XLOOKUP(E227,'All Products'!D:D,'All Products'!N:N,FALSE)</f>
        <v>0.20699999999999999</v>
      </c>
      <c r="U227" s="543">
        <f>_xlfn.XLOOKUP(E227,'All Products'!D:D,'All Products'!O:O,FALSE)</f>
        <v>5</v>
      </c>
      <c r="V227" s="530">
        <f>_xlfn.XLOOKUP(E227,'All Products'!D:D,'All Products'!P:P,FALSE)</f>
        <v>14.64</v>
      </c>
      <c r="W227" s="530">
        <f>_xlfn.XLOOKUP(E227,'All Products'!D:D,'All Products'!Q:Q,FALSE)</f>
        <v>0.95</v>
      </c>
    </row>
    <row r="228" spans="1:23" ht="15" customHeight="1">
      <c r="A228" s="104" t="str">
        <f>IF(K228&gt;0,COUNT($A$7:A227)+COUNT('DWV PVC'!$A$8:$A$284)+COUNT('DWV ABS'!$A$8:$A$116)+1,"")</f>
        <v/>
      </c>
      <c r="B228" s="115"/>
      <c r="C228" s="116"/>
      <c r="D228" s="512" t="str">
        <f>_xlfn.XLOOKUP(E228,'All Products'!D:D,'All Products'!C:C,FALSE)</f>
        <v>436-251-2</v>
      </c>
      <c r="E228" s="53">
        <v>100022834</v>
      </c>
      <c r="F228" s="522" t="str">
        <f>_xlfn.XLOOKUP(E228,'All Products'!D:D,'All Products'!E:E,FALSE)</f>
        <v>2X1-1/2 RED MALE ADAPTER MIPTXS</v>
      </c>
      <c r="G228" s="282">
        <f>_xlfn.XLOOKUP(E228,'All Products'!D:D,'All Products'!F:F,FALSE)</f>
        <v>50</v>
      </c>
      <c r="H228" s="533">
        <f>_xlfn.XLOOKUP(E228,'All Products'!D:D,'All Products'!G:G,FALSE)</f>
        <v>7500</v>
      </c>
      <c r="I228" s="540">
        <f>_xlfn.XLOOKUP(E228,'All Products'!D:D,'All Products'!H:H,FALSE)</f>
        <v>14.8</v>
      </c>
      <c r="J228" s="216">
        <f>ROUND(I228*Order_Quote!$L$4,2)</f>
        <v>74</v>
      </c>
      <c r="K228" s="76"/>
      <c r="L228" s="79"/>
      <c r="M228" s="117">
        <f t="shared" si="8"/>
        <v>0</v>
      </c>
      <c r="O228" s="530" t="str">
        <f>_xlfn.XLOOKUP(E228,'All Products'!D:D,'All Products'!I:I,FALSE)</f>
        <v>In Stock</v>
      </c>
      <c r="P228" s="530" t="str">
        <f>_xlfn.XLOOKUP(E228,'All Products'!D:D,'All Products'!J:J,FALSE)</f>
        <v>Manufactured</v>
      </c>
      <c r="Q228" s="543" t="str">
        <f>_xlfn.XLOOKUP(E228,'All Products'!D:D,'All Products'!K:K,FALSE)</f>
        <v>049081132033</v>
      </c>
      <c r="R228" s="543" t="str">
        <f>_xlfn.XLOOKUP(E228,'All Products'!D:D,'All Products'!L:L,FALSE)</f>
        <v>049081632038</v>
      </c>
      <c r="S228" s="543" t="str">
        <f>_xlfn.XLOOKUP(E228,'All Products'!D:D,'All Products'!M:M,FALSE)</f>
        <v>40049081132031</v>
      </c>
      <c r="T228" s="530">
        <f>_xlfn.XLOOKUP(E228,'All Products'!D:D,'All Products'!N:N,FALSE)</f>
        <v>0.11600000000000001</v>
      </c>
      <c r="U228" s="543">
        <f>_xlfn.XLOOKUP(E228,'All Products'!D:D,'All Products'!O:O,FALSE)</f>
        <v>5</v>
      </c>
      <c r="V228" s="530">
        <f>_xlfn.XLOOKUP(E228,'All Products'!D:D,'All Products'!P:P,FALSE)</f>
        <v>6.62</v>
      </c>
      <c r="W228" s="530">
        <f>_xlfn.XLOOKUP(E228,'All Products'!D:D,'All Products'!Q:Q,FALSE)</f>
        <v>0.5</v>
      </c>
    </row>
    <row r="229" spans="1:23" ht="15" customHeight="1">
      <c r="A229" s="104" t="str">
        <f>IF(K229&gt;0,COUNT($A$7:A228)+COUNT('DWV PVC'!$A$8:$A$284)+COUNT('DWV ABS'!$A$8:$A$116)+1,"")</f>
        <v/>
      </c>
      <c r="B229" s="115"/>
      <c r="C229" s="116"/>
      <c r="D229" s="512" t="str">
        <f>_xlfn.XLOOKUP(E229,'All Products'!D:D,'All Products'!C:C,FALSE)</f>
        <v>436-341</v>
      </c>
      <c r="E229" s="53">
        <v>100022840</v>
      </c>
      <c r="F229" s="522" t="str">
        <f>_xlfn.XLOOKUP(E229,'All Products'!D:D,'All Products'!E:E,FALSE)</f>
        <v>3X4 REDUCING MALE ADAPTER MIPT X S</v>
      </c>
      <c r="G229" s="282">
        <f>_xlfn.XLOOKUP(E229,'All Products'!D:D,'All Products'!F:F,FALSE)</f>
        <v>6</v>
      </c>
      <c r="H229" s="533">
        <f>_xlfn.XLOOKUP(E229,'All Products'!D:D,'All Products'!G:G,FALSE)</f>
        <v>1500</v>
      </c>
      <c r="I229" s="540">
        <f>_xlfn.XLOOKUP(E229,'All Products'!D:D,'All Products'!H:H,FALSE)</f>
        <v>44.57</v>
      </c>
      <c r="J229" s="216">
        <f>ROUND(I229*Order_Quote!$L$4,2)</f>
        <v>222.85</v>
      </c>
      <c r="K229" s="76"/>
      <c r="L229" s="79"/>
      <c r="M229" s="117">
        <f t="shared" ref="M229:M265" si="9">K229/G229</f>
        <v>0</v>
      </c>
      <c r="O229" s="530" t="str">
        <f>_xlfn.XLOOKUP(E229,'All Products'!D:D,'All Products'!I:I,FALSE)</f>
        <v>In Stock</v>
      </c>
      <c r="P229" s="530" t="str">
        <f>_xlfn.XLOOKUP(E229,'All Products'!D:D,'All Products'!J:J,FALSE)</f>
        <v>Manufactured</v>
      </c>
      <c r="Q229" s="543" t="str">
        <f>_xlfn.XLOOKUP(E229,'All Products'!D:D,'All Products'!K:K,FALSE)</f>
        <v>049081305314</v>
      </c>
      <c r="R229" s="543" t="str">
        <f>_xlfn.XLOOKUP(E229,'All Products'!D:D,'All Products'!L:L,FALSE)</f>
        <v>-</v>
      </c>
      <c r="S229" s="543" t="str">
        <f>_xlfn.XLOOKUP(E229,'All Products'!D:D,'All Products'!M:M,FALSE)</f>
        <v>40049081305312</v>
      </c>
      <c r="T229" s="530">
        <f>_xlfn.XLOOKUP(E229,'All Products'!D:D,'All Products'!N:N,FALSE)</f>
        <v>0.83599999999999997</v>
      </c>
      <c r="U229" s="543" t="str">
        <f>_xlfn.XLOOKUP(E229,'All Products'!D:D,'All Products'!O:O,FALSE)</f>
        <v>-</v>
      </c>
      <c r="V229" s="530">
        <f>_xlfn.XLOOKUP(E229,'All Products'!D:D,'All Products'!P:P,FALSE)</f>
        <v>5.55</v>
      </c>
      <c r="W229" s="530">
        <f>_xlfn.XLOOKUP(E229,'All Products'!D:D,'All Products'!Q:Q,FALSE)</f>
        <v>0.5</v>
      </c>
    </row>
    <row r="230" spans="1:23" ht="15" customHeight="1">
      <c r="A230" s="104" t="str">
        <f>IF(K230&gt;0,COUNT($A$7:A229)+COUNT('DWV PVC'!$A$8:$A$284)+COUNT('DWV ABS'!$A$8:$A$116)+1,"")</f>
        <v/>
      </c>
      <c r="B230" s="577"/>
      <c r="C230" s="578"/>
      <c r="D230" s="512" t="str">
        <f>_xlfn.XLOOKUP(E230,'All Products'!D:D,'All Products'!C:C,FALSE)</f>
        <v>437-101</v>
      </c>
      <c r="E230" s="53">
        <v>100022847</v>
      </c>
      <c r="F230" s="522" t="str">
        <f>_xlfn.XLOOKUP(E230,'All Products'!D:D,'All Products'!E:E,FALSE)</f>
        <v>3/4X1/2 REDUCER BUSHING SPGX SLIP</v>
      </c>
      <c r="G230" s="282">
        <f>_xlfn.XLOOKUP(E230,'All Products'!D:D,'All Products'!F:F,FALSE)</f>
        <v>250</v>
      </c>
      <c r="H230" s="533">
        <f>_xlfn.XLOOKUP(E230,'All Products'!D:D,'All Products'!G:G,FALSE)</f>
        <v>37500</v>
      </c>
      <c r="I230" s="540">
        <f>_xlfn.XLOOKUP(E230,'All Products'!D:D,'All Products'!H:H,FALSE)</f>
        <v>1.67</v>
      </c>
      <c r="J230" s="216">
        <f>ROUND(I230*Order_Quote!$L$4,2)</f>
        <v>8.35</v>
      </c>
      <c r="K230" s="76"/>
      <c r="L230" s="79"/>
      <c r="M230" s="117">
        <f t="shared" si="9"/>
        <v>0</v>
      </c>
      <c r="O230" s="530" t="str">
        <f>_xlfn.XLOOKUP(E230,'All Products'!D:D,'All Products'!I:I,FALSE)</f>
        <v>In Stock</v>
      </c>
      <c r="P230" s="530" t="str">
        <f>_xlfn.XLOOKUP(E230,'All Products'!D:D,'All Products'!J:J,FALSE)</f>
        <v>Manufactured</v>
      </c>
      <c r="Q230" s="543" t="str">
        <f>_xlfn.XLOOKUP(E230,'All Products'!D:D,'All Products'!K:K,FALSE)</f>
        <v>049081133047</v>
      </c>
      <c r="R230" s="543" t="str">
        <f>_xlfn.XLOOKUP(E230,'All Products'!D:D,'All Products'!L:L,FALSE)</f>
        <v>049081633042</v>
      </c>
      <c r="S230" s="543" t="str">
        <f>_xlfn.XLOOKUP(E230,'All Products'!D:D,'All Products'!M:M,FALSE)</f>
        <v>40049081133045</v>
      </c>
      <c r="T230" s="530">
        <f>_xlfn.XLOOKUP(E230,'All Products'!D:D,'All Products'!N:N,FALSE)</f>
        <v>2.3E-2</v>
      </c>
      <c r="U230" s="543">
        <f>_xlfn.XLOOKUP(E230,'All Products'!D:D,'All Products'!O:O,FALSE)</f>
        <v>10</v>
      </c>
      <c r="V230" s="530">
        <f>_xlfn.XLOOKUP(E230,'All Products'!D:D,'All Products'!P:P,FALSE)</f>
        <v>6.68</v>
      </c>
      <c r="W230" s="530">
        <f>_xlfn.XLOOKUP(E230,'All Products'!D:D,'All Products'!Q:Q,FALSE)</f>
        <v>0.5</v>
      </c>
    </row>
    <row r="231" spans="1:23" ht="15" customHeight="1">
      <c r="A231" s="104" t="str">
        <f>IF(K231&gt;0,COUNT($A$7:A230)+COUNT('DWV PVC'!$A$8:$A$284)+COUNT('DWV ABS'!$A$8:$A$116)+1,"")</f>
        <v/>
      </c>
      <c r="B231" s="579"/>
      <c r="C231" s="580"/>
      <c r="D231" s="512" t="str">
        <f>_xlfn.XLOOKUP(E231,'All Products'!D:D,'All Products'!C:C,FALSE)</f>
        <v>437-130</v>
      </c>
      <c r="E231" s="53">
        <v>100022849</v>
      </c>
      <c r="F231" s="522" t="str">
        <f>_xlfn.XLOOKUP(E231,'All Products'!D:D,'All Products'!E:E,FALSE)</f>
        <v>1X1/2 REDUCER BUSHING SPGX SLIP</v>
      </c>
      <c r="G231" s="282">
        <f>_xlfn.XLOOKUP(E231,'All Products'!D:D,'All Products'!F:F,FALSE)</f>
        <v>250</v>
      </c>
      <c r="H231" s="533">
        <f>_xlfn.XLOOKUP(E231,'All Products'!D:D,'All Products'!G:G,FALSE)</f>
        <v>30000</v>
      </c>
      <c r="I231" s="540">
        <f>_xlfn.XLOOKUP(E231,'All Products'!D:D,'All Products'!H:H,FALSE)</f>
        <v>3.02</v>
      </c>
      <c r="J231" s="216">
        <f>ROUND(I231*Order_Quote!$L$4,2)</f>
        <v>15.1</v>
      </c>
      <c r="K231" s="76"/>
      <c r="L231" s="79"/>
      <c r="M231" s="117">
        <f t="shared" si="9"/>
        <v>0</v>
      </c>
      <c r="O231" s="530" t="str">
        <f>_xlfn.XLOOKUP(E231,'All Products'!D:D,'All Products'!I:I,FALSE)</f>
        <v>In Stock</v>
      </c>
      <c r="P231" s="530" t="str">
        <f>_xlfn.XLOOKUP(E231,'All Products'!D:D,'All Products'!J:J,FALSE)</f>
        <v>Manufactured</v>
      </c>
      <c r="Q231" s="543" t="str">
        <f>_xlfn.XLOOKUP(E231,'All Products'!D:D,'All Products'!K:K,FALSE)</f>
        <v>049081133122</v>
      </c>
      <c r="R231" s="543" t="str">
        <f>_xlfn.XLOOKUP(E231,'All Products'!D:D,'All Products'!L:L,FALSE)</f>
        <v>049081633127</v>
      </c>
      <c r="S231" s="543" t="str">
        <f>_xlfn.XLOOKUP(E231,'All Products'!D:D,'All Products'!M:M,FALSE)</f>
        <v>40049081133120</v>
      </c>
      <c r="T231" s="530">
        <f>_xlfn.XLOOKUP(E231,'All Products'!D:D,'All Products'!N:N,FALSE)</f>
        <v>4.4999999999999998E-2</v>
      </c>
      <c r="U231" s="543">
        <f>_xlfn.XLOOKUP(E231,'All Products'!D:D,'All Products'!O:O,FALSE)</f>
        <v>10</v>
      </c>
      <c r="V231" s="530">
        <f>_xlfn.XLOOKUP(E231,'All Products'!D:D,'All Products'!P:P,FALSE)</f>
        <v>14.88</v>
      </c>
      <c r="W231" s="530">
        <f>_xlfn.XLOOKUP(E231,'All Products'!D:D,'All Products'!Q:Q,FALSE)</f>
        <v>0.65</v>
      </c>
    </row>
    <row r="232" spans="1:23" ht="15" customHeight="1">
      <c r="A232" s="104" t="str">
        <f>IF(K232&gt;0,COUNT($A$7:A231)+COUNT('DWV PVC'!$A$8:$A$284)+COUNT('DWV ABS'!$A$8:$A$116)+1,"")</f>
        <v/>
      </c>
      <c r="B232" s="579"/>
      <c r="C232" s="580"/>
      <c r="D232" s="512" t="str">
        <f>_xlfn.XLOOKUP(E232,'All Products'!D:D,'All Products'!C:C,FALSE)</f>
        <v>437-131</v>
      </c>
      <c r="E232" s="53">
        <v>100027421</v>
      </c>
      <c r="F232" s="522" t="str">
        <f>_xlfn.XLOOKUP(E232,'All Products'!D:D,'All Products'!E:E,FALSE)</f>
        <v>1X3/4 REDUCER BUSHING SPGX SLIP</v>
      </c>
      <c r="G232" s="282">
        <f>_xlfn.XLOOKUP(E232,'All Products'!D:D,'All Products'!F:F,FALSE)</f>
        <v>250</v>
      </c>
      <c r="H232" s="533">
        <f>_xlfn.XLOOKUP(E232,'All Products'!D:D,'All Products'!G:G,FALSE)</f>
        <v>30000</v>
      </c>
      <c r="I232" s="540">
        <f>_xlfn.XLOOKUP(E232,'All Products'!D:D,'All Products'!H:H,FALSE)</f>
        <v>3.02</v>
      </c>
      <c r="J232" s="216">
        <f>ROUND(I232*Order_Quote!$L$4,2)</f>
        <v>15.1</v>
      </c>
      <c r="K232" s="76"/>
      <c r="L232" s="79"/>
      <c r="M232" s="117">
        <f t="shared" si="9"/>
        <v>0</v>
      </c>
      <c r="O232" s="530" t="str">
        <f>_xlfn.XLOOKUP(E232,'All Products'!D:D,'All Products'!I:I,FALSE)</f>
        <v>In Stock</v>
      </c>
      <c r="P232" s="530" t="str">
        <f>_xlfn.XLOOKUP(E232,'All Products'!D:D,'All Products'!J:J,FALSE)</f>
        <v>Manufactured</v>
      </c>
      <c r="Q232" s="543">
        <f>_xlfn.XLOOKUP(E232,'All Products'!D:D,'All Products'!K:K,FALSE)</f>
        <v>0</v>
      </c>
      <c r="R232" s="543" t="str">
        <f>_xlfn.XLOOKUP(E232,'All Products'!D:D,'All Products'!L:L,FALSE)</f>
        <v>049081633103</v>
      </c>
      <c r="S232" s="543" t="str">
        <f>_xlfn.XLOOKUP(E232,'All Products'!D:D,'All Products'!M:M,FALSE)</f>
        <v>40049081133106</v>
      </c>
      <c r="T232" s="530">
        <f>_xlfn.XLOOKUP(E232,'All Products'!D:D,'All Products'!N:N,FALSE)</f>
        <v>3.3000000000000002E-2</v>
      </c>
      <c r="U232" s="543">
        <f>_xlfn.XLOOKUP(E232,'All Products'!D:D,'All Products'!O:O,FALSE)</f>
        <v>10</v>
      </c>
      <c r="V232" s="530">
        <f>_xlfn.XLOOKUP(E232,'All Products'!D:D,'All Products'!P:P,FALSE)</f>
        <v>10.88</v>
      </c>
      <c r="W232" s="530">
        <f>_xlfn.XLOOKUP(E232,'All Products'!D:D,'All Products'!Q:Q,FALSE)</f>
        <v>0.65</v>
      </c>
    </row>
    <row r="233" spans="1:23" ht="15" customHeight="1">
      <c r="A233" s="104" t="str">
        <f>IF(K233&gt;0,COUNT($A$7:A232)+COUNT('DWV PVC'!$A$8:$A$284)+COUNT('DWV ABS'!$A$8:$A$116)+1,"")</f>
        <v/>
      </c>
      <c r="B233" s="579"/>
      <c r="C233" s="580"/>
      <c r="D233" s="512" t="str">
        <f>_xlfn.XLOOKUP(E233,'All Products'!D:D,'All Products'!C:C,FALSE)</f>
        <v>437-167</v>
      </c>
      <c r="E233" s="53">
        <v>100022854</v>
      </c>
      <c r="F233" s="522" t="str">
        <f>_xlfn.XLOOKUP(E233,'All Products'!D:D,'All Products'!E:E,FALSE)</f>
        <v>1-1/4X3/4 RED BUSHING SPGX SLIP</v>
      </c>
      <c r="G233" s="282">
        <f>_xlfn.XLOOKUP(E233,'All Products'!D:D,'All Products'!F:F,FALSE)</f>
        <v>150</v>
      </c>
      <c r="H233" s="533">
        <f>_xlfn.XLOOKUP(E233,'All Products'!D:D,'All Products'!G:G,FALSE)</f>
        <v>18000</v>
      </c>
      <c r="I233" s="540">
        <f>_xlfn.XLOOKUP(E233,'All Products'!D:D,'All Products'!H:H,FALSE)</f>
        <v>4.07</v>
      </c>
      <c r="J233" s="216">
        <f>ROUND(I233*Order_Quote!$L$4,2)</f>
        <v>20.350000000000001</v>
      </c>
      <c r="K233" s="76"/>
      <c r="L233" s="79"/>
      <c r="M233" s="117">
        <f t="shared" si="9"/>
        <v>0</v>
      </c>
      <c r="O233" s="530" t="str">
        <f>_xlfn.XLOOKUP(E233,'All Products'!D:D,'All Products'!I:I,FALSE)</f>
        <v>Within 3 Weeks</v>
      </c>
      <c r="P233" s="530" t="str">
        <f>_xlfn.XLOOKUP(E233,'All Products'!D:D,'All Products'!J:J,FALSE)</f>
        <v>Manufactured</v>
      </c>
      <c r="Q233" s="543" t="str">
        <f>_xlfn.XLOOKUP(E233,'All Products'!D:D,'All Products'!K:K,FALSE)</f>
        <v>049081133184</v>
      </c>
      <c r="R233" s="543" t="str">
        <f>_xlfn.XLOOKUP(E233,'All Products'!D:D,'All Products'!L:L,FALSE)</f>
        <v>049081633189</v>
      </c>
      <c r="S233" s="543" t="str">
        <f>_xlfn.XLOOKUP(E233,'All Products'!D:D,'All Products'!M:M,FALSE)</f>
        <v>40049081133182</v>
      </c>
      <c r="T233" s="530">
        <f>_xlfn.XLOOKUP(E233,'All Products'!D:D,'All Products'!N:N,FALSE)</f>
        <v>9.1999999999999998E-2</v>
      </c>
      <c r="U233" s="543">
        <f>_xlfn.XLOOKUP(E233,'All Products'!D:D,'All Products'!O:O,FALSE)</f>
        <v>5</v>
      </c>
      <c r="V233" s="530">
        <f>_xlfn.XLOOKUP(E233,'All Products'!D:D,'All Products'!P:P,FALSE)</f>
        <v>14.45</v>
      </c>
      <c r="W233" s="530">
        <f>_xlfn.XLOOKUP(E233,'All Products'!D:D,'All Products'!Q:Q,FALSE)</f>
        <v>0.65</v>
      </c>
    </row>
    <row r="234" spans="1:23" ht="15" customHeight="1">
      <c r="A234" s="104" t="str">
        <f>IF(K234&gt;0,COUNT($A$7:A233)+COUNT('DWV PVC'!$A$8:$A$284)+COUNT('DWV ABS'!$A$8:$A$116)+1,"")</f>
        <v/>
      </c>
      <c r="B234" s="579"/>
      <c r="C234" s="580"/>
      <c r="D234" s="512" t="str">
        <f>_xlfn.XLOOKUP(E234,'All Products'!D:D,'All Products'!C:C,FALSE)</f>
        <v>437-168</v>
      </c>
      <c r="E234" s="53">
        <v>100027422</v>
      </c>
      <c r="F234" s="522" t="str">
        <f>_xlfn.XLOOKUP(E234,'All Products'!D:D,'All Products'!E:E,FALSE)</f>
        <v>1-1/4X1 RED BUSHING SPGX SLIP</v>
      </c>
      <c r="G234" s="282">
        <f>_xlfn.XLOOKUP(E234,'All Products'!D:D,'All Products'!F:F,FALSE)</f>
        <v>150</v>
      </c>
      <c r="H234" s="533">
        <f>_xlfn.XLOOKUP(E234,'All Products'!D:D,'All Products'!G:G,FALSE)</f>
        <v>13500</v>
      </c>
      <c r="I234" s="540">
        <f>_xlfn.XLOOKUP(E234,'All Products'!D:D,'All Products'!H:H,FALSE)</f>
        <v>4.07</v>
      </c>
      <c r="J234" s="216">
        <f>ROUND(I234*Order_Quote!$L$4,2)</f>
        <v>20.350000000000001</v>
      </c>
      <c r="K234" s="76"/>
      <c r="L234" s="79"/>
      <c r="M234" s="117">
        <f t="shared" si="9"/>
        <v>0</v>
      </c>
      <c r="O234" s="530" t="str">
        <f>_xlfn.XLOOKUP(E234,'All Products'!D:D,'All Products'!I:I,FALSE)</f>
        <v>In Stock</v>
      </c>
      <c r="P234" s="530" t="str">
        <f>_xlfn.XLOOKUP(E234,'All Products'!D:D,'All Products'!J:J,FALSE)</f>
        <v>Manufactured</v>
      </c>
      <c r="Q234" s="543">
        <f>_xlfn.XLOOKUP(E234,'All Products'!D:D,'All Products'!K:K,FALSE)</f>
        <v>0</v>
      </c>
      <c r="R234" s="543" t="str">
        <f>_xlfn.XLOOKUP(E234,'All Products'!D:D,'All Products'!L:L,FALSE)</f>
        <v>049081633165</v>
      </c>
      <c r="S234" s="543" t="str">
        <f>_xlfn.XLOOKUP(E234,'All Products'!D:D,'All Products'!M:M,FALSE)</f>
        <v>40049081133168</v>
      </c>
      <c r="T234" s="530">
        <f>_xlfn.XLOOKUP(E234,'All Products'!D:D,'All Products'!N:N,FALSE)</f>
        <v>6.6000000000000003E-2</v>
      </c>
      <c r="U234" s="543">
        <f>_xlfn.XLOOKUP(E234,'All Products'!D:D,'All Products'!O:O,FALSE)</f>
        <v>5</v>
      </c>
      <c r="V234" s="530">
        <f>_xlfn.XLOOKUP(E234,'All Products'!D:D,'All Products'!P:P,FALSE)</f>
        <v>10.85</v>
      </c>
      <c r="W234" s="530">
        <f>_xlfn.XLOOKUP(E234,'All Products'!D:D,'All Products'!Q:Q,FALSE)</f>
        <v>0.8</v>
      </c>
    </row>
    <row r="235" spans="1:23" ht="15" customHeight="1">
      <c r="A235" s="104" t="str">
        <f>IF(K235&gt;0,COUNT($A$7:A234)+COUNT('DWV PVC'!$A$8:$A$284)+COUNT('DWV ABS'!$A$8:$A$116)+1,"")</f>
        <v/>
      </c>
      <c r="B235" s="579"/>
      <c r="C235" s="580"/>
      <c r="D235" s="512" t="str">
        <f>_xlfn.XLOOKUP(E235,'All Products'!D:D,'All Products'!C:C,FALSE)</f>
        <v>437-209</v>
      </c>
      <c r="E235" s="53">
        <v>100022856</v>
      </c>
      <c r="F235" s="522" t="str">
        <f>_xlfn.XLOOKUP(E235,'All Products'!D:D,'All Products'!E:E,FALSE)</f>
        <v>1-1/2X1/2 REDUCER BUSHING SPGX S</v>
      </c>
      <c r="G235" s="282">
        <f>_xlfn.XLOOKUP(E235,'All Products'!D:D,'All Products'!F:F,FALSE)</f>
        <v>100</v>
      </c>
      <c r="H235" s="533">
        <f>_xlfn.XLOOKUP(E235,'All Products'!D:D,'All Products'!G:G,FALSE)</f>
        <v>12000</v>
      </c>
      <c r="I235" s="540">
        <f>_xlfn.XLOOKUP(E235,'All Products'!D:D,'All Products'!H:H,FALSE)</f>
        <v>4.32</v>
      </c>
      <c r="J235" s="216">
        <f>ROUND(I235*Order_Quote!$L$4,2)</f>
        <v>21.6</v>
      </c>
      <c r="K235" s="76"/>
      <c r="L235" s="79"/>
      <c r="M235" s="117">
        <f t="shared" si="9"/>
        <v>0</v>
      </c>
      <c r="O235" s="530" t="str">
        <f>_xlfn.XLOOKUP(E235,'All Products'!D:D,'All Products'!I:I,FALSE)</f>
        <v>In Stock</v>
      </c>
      <c r="P235" s="530" t="str">
        <f>_xlfn.XLOOKUP(E235,'All Products'!D:D,'All Products'!J:J,FALSE)</f>
        <v>Manufactured</v>
      </c>
      <c r="Q235" s="543" t="str">
        <f>_xlfn.XLOOKUP(E235,'All Products'!D:D,'All Products'!K:K,FALSE)</f>
        <v>049081133306</v>
      </c>
      <c r="R235" s="543" t="str">
        <f>_xlfn.XLOOKUP(E235,'All Products'!D:D,'All Products'!L:L,FALSE)</f>
        <v>049081633301</v>
      </c>
      <c r="S235" s="543" t="str">
        <f>_xlfn.XLOOKUP(E235,'All Products'!D:D,'All Products'!M:M,FALSE)</f>
        <v>40049081133304</v>
      </c>
      <c r="T235" s="530">
        <f>_xlfn.XLOOKUP(E235,'All Products'!D:D,'All Products'!N:N,FALSE)</f>
        <v>0.122</v>
      </c>
      <c r="U235" s="543">
        <f>_xlfn.XLOOKUP(E235,'All Products'!D:D,'All Products'!O:O,FALSE)</f>
        <v>5</v>
      </c>
      <c r="V235" s="530">
        <f>_xlfn.XLOOKUP(E235,'All Products'!D:D,'All Products'!P:P,FALSE)</f>
        <v>13.46</v>
      </c>
      <c r="W235" s="530">
        <f>_xlfn.XLOOKUP(E235,'All Products'!D:D,'All Products'!Q:Q,FALSE)</f>
        <v>0.65</v>
      </c>
    </row>
    <row r="236" spans="1:23" ht="15" customHeight="1">
      <c r="A236" s="104" t="str">
        <f>IF(K236&gt;0,COUNT($A$7:A235)+COUNT('DWV PVC'!$A$8:$A$284)+COUNT('DWV ABS'!$A$8:$A$116)+1,"")</f>
        <v/>
      </c>
      <c r="B236" s="579"/>
      <c r="C236" s="580"/>
      <c r="D236" s="512" t="str">
        <f>_xlfn.XLOOKUP(E236,'All Products'!D:D,'All Products'!C:C,FALSE)</f>
        <v>437-210</v>
      </c>
      <c r="E236" s="53">
        <v>100022858</v>
      </c>
      <c r="F236" s="522" t="str">
        <f>_xlfn.XLOOKUP(E236,'All Products'!D:D,'All Products'!E:E,FALSE)</f>
        <v>1-1/2X3/4 REDUCER BUSHING SPGX S</v>
      </c>
      <c r="G236" s="282">
        <f>_xlfn.XLOOKUP(E236,'All Products'!D:D,'All Products'!F:F,FALSE)</f>
        <v>100</v>
      </c>
      <c r="H236" s="533">
        <f>_xlfn.XLOOKUP(E236,'All Products'!D:D,'All Products'!G:G,FALSE)</f>
        <v>12000</v>
      </c>
      <c r="I236" s="540">
        <f>_xlfn.XLOOKUP(E236,'All Products'!D:D,'All Products'!H:H,FALSE)</f>
        <v>4.32</v>
      </c>
      <c r="J236" s="216">
        <f>ROUND(I236*Order_Quote!$L$4,2)</f>
        <v>21.6</v>
      </c>
      <c r="K236" s="76"/>
      <c r="L236" s="79"/>
      <c r="M236" s="117">
        <f t="shared" si="9"/>
        <v>0</v>
      </c>
      <c r="O236" s="530" t="str">
        <f>_xlfn.XLOOKUP(E236,'All Products'!D:D,'All Products'!I:I,FALSE)</f>
        <v>In Stock</v>
      </c>
      <c r="P236" s="530" t="str">
        <f>_xlfn.XLOOKUP(E236,'All Products'!D:D,'All Products'!J:J,FALSE)</f>
        <v>Manufactured</v>
      </c>
      <c r="Q236" s="543" t="str">
        <f>_xlfn.XLOOKUP(E236,'All Products'!D:D,'All Products'!K:K,FALSE)</f>
        <v>049081133283</v>
      </c>
      <c r="R236" s="543" t="str">
        <f>_xlfn.XLOOKUP(E236,'All Products'!D:D,'All Products'!L:L,FALSE)</f>
        <v>049081633288</v>
      </c>
      <c r="S236" s="543" t="str">
        <f>_xlfn.XLOOKUP(E236,'All Products'!D:D,'All Products'!M:M,FALSE)</f>
        <v>40049081133281</v>
      </c>
      <c r="T236" s="530">
        <f>_xlfn.XLOOKUP(E236,'All Products'!D:D,'All Products'!N:N,FALSE)</f>
        <v>0.10199999999999999</v>
      </c>
      <c r="U236" s="543">
        <f>_xlfn.XLOOKUP(E236,'All Products'!D:D,'All Products'!O:O,FALSE)</f>
        <v>5</v>
      </c>
      <c r="V236" s="530">
        <f>_xlfn.XLOOKUP(E236,'All Products'!D:D,'All Products'!P:P,FALSE)</f>
        <v>13.35</v>
      </c>
      <c r="W236" s="530">
        <f>_xlfn.XLOOKUP(E236,'All Products'!D:D,'All Products'!Q:Q,FALSE)</f>
        <v>0.65</v>
      </c>
    </row>
    <row r="237" spans="1:23" ht="15" customHeight="1">
      <c r="A237" s="104" t="str">
        <f>IF(K237&gt;0,COUNT($A$7:A236)+COUNT('DWV PVC'!$A$8:$A$284)+COUNT('DWV ABS'!$A$8:$A$116)+1,"")</f>
        <v/>
      </c>
      <c r="B237" s="579"/>
      <c r="C237" s="580"/>
      <c r="D237" s="512" t="str">
        <f>_xlfn.XLOOKUP(E237,'All Products'!D:D,'All Products'!C:C,FALSE)</f>
        <v>437-211</v>
      </c>
      <c r="E237" s="53">
        <v>100022860</v>
      </c>
      <c r="F237" s="522" t="str">
        <f>_xlfn.XLOOKUP(E237,'All Products'!D:D,'All Products'!E:E,FALSE)</f>
        <v>1-1/2X1 REDUCER BUSHING SPGXSLIP</v>
      </c>
      <c r="G237" s="282">
        <f>_xlfn.XLOOKUP(E237,'All Products'!D:D,'All Products'!F:F,FALSE)</f>
        <v>100</v>
      </c>
      <c r="H237" s="533">
        <f>_xlfn.XLOOKUP(E237,'All Products'!D:D,'All Products'!G:G,FALSE)</f>
        <v>12000</v>
      </c>
      <c r="I237" s="540">
        <f>_xlfn.XLOOKUP(E237,'All Products'!D:D,'All Products'!H:H,FALSE)</f>
        <v>4.32</v>
      </c>
      <c r="J237" s="216">
        <f>ROUND(I237*Order_Quote!$L$4,2)</f>
        <v>21.6</v>
      </c>
      <c r="K237" s="76"/>
      <c r="L237" s="79"/>
      <c r="M237" s="117">
        <f t="shared" si="9"/>
        <v>0</v>
      </c>
      <c r="O237" s="530" t="str">
        <f>_xlfn.XLOOKUP(E237,'All Products'!D:D,'All Products'!I:I,FALSE)</f>
        <v>In Stock</v>
      </c>
      <c r="P237" s="530" t="str">
        <f>_xlfn.XLOOKUP(E237,'All Products'!D:D,'All Products'!J:J,FALSE)</f>
        <v>Manufactured</v>
      </c>
      <c r="Q237" s="543" t="str">
        <f>_xlfn.XLOOKUP(E237,'All Products'!D:D,'All Products'!K:K,FALSE)</f>
        <v>049081133269</v>
      </c>
      <c r="R237" s="543" t="str">
        <f>_xlfn.XLOOKUP(E237,'All Products'!D:D,'All Products'!L:L,FALSE)</f>
        <v>049081633264</v>
      </c>
      <c r="S237" s="543" t="str">
        <f>_xlfn.XLOOKUP(E237,'All Products'!D:D,'All Products'!M:M,FALSE)</f>
        <v>40049081133267</v>
      </c>
      <c r="T237" s="530">
        <f>_xlfn.XLOOKUP(E237,'All Products'!D:D,'All Products'!N:N,FALSE)</f>
        <v>0.122</v>
      </c>
      <c r="U237" s="543">
        <f>_xlfn.XLOOKUP(E237,'All Products'!D:D,'All Products'!O:O,FALSE)</f>
        <v>10</v>
      </c>
      <c r="V237" s="530">
        <f>_xlfn.XLOOKUP(E237,'All Products'!D:D,'All Products'!P:P,FALSE)</f>
        <v>13.04</v>
      </c>
      <c r="W237" s="530">
        <f>_xlfn.XLOOKUP(E237,'All Products'!D:D,'All Products'!Q:Q,FALSE)</f>
        <v>0.65</v>
      </c>
    </row>
    <row r="238" spans="1:23" ht="15" customHeight="1">
      <c r="A238" s="104" t="str">
        <f>IF(K238&gt;0,COUNT($A$7:A237)+COUNT('DWV PVC'!$A$8:$A$284)+COUNT('DWV ABS'!$A$8:$A$116)+1,"")</f>
        <v/>
      </c>
      <c r="B238" s="579"/>
      <c r="C238" s="580"/>
      <c r="D238" s="512" t="str">
        <f>_xlfn.XLOOKUP(E238,'All Products'!D:D,'All Products'!C:C,FALSE)</f>
        <v>437-212</v>
      </c>
      <c r="E238" s="53">
        <v>100022862</v>
      </c>
      <c r="F238" s="522" t="str">
        <f>_xlfn.XLOOKUP(E238,'All Products'!D:D,'All Products'!E:E,FALSE)</f>
        <v>1-1/2X1-1/4 RED BUSHING SPGXS</v>
      </c>
      <c r="G238" s="282">
        <f>_xlfn.XLOOKUP(E238,'All Products'!D:D,'All Products'!F:F,FALSE)</f>
        <v>100</v>
      </c>
      <c r="H238" s="533">
        <f>_xlfn.XLOOKUP(E238,'All Products'!D:D,'All Products'!G:G,FALSE)</f>
        <v>12000</v>
      </c>
      <c r="I238" s="540">
        <f>_xlfn.XLOOKUP(E238,'All Products'!D:D,'All Products'!H:H,FALSE)</f>
        <v>4.32</v>
      </c>
      <c r="J238" s="216">
        <f>ROUND(I238*Order_Quote!$L$4,2)</f>
        <v>21.6</v>
      </c>
      <c r="K238" s="76"/>
      <c r="L238" s="79"/>
      <c r="M238" s="117">
        <f t="shared" si="9"/>
        <v>0</v>
      </c>
      <c r="O238" s="530" t="str">
        <f>_xlfn.XLOOKUP(E238,'All Products'!D:D,'All Products'!I:I,FALSE)</f>
        <v>In Stock</v>
      </c>
      <c r="P238" s="530" t="str">
        <f>_xlfn.XLOOKUP(E238,'All Products'!D:D,'All Products'!J:J,FALSE)</f>
        <v>Manufactured</v>
      </c>
      <c r="Q238" s="543" t="str">
        <f>_xlfn.XLOOKUP(E238,'All Products'!D:D,'All Products'!K:K,FALSE)</f>
        <v>049081133245</v>
      </c>
      <c r="R238" s="543" t="str">
        <f>_xlfn.XLOOKUP(E238,'All Products'!D:D,'All Products'!L:L,FALSE)</f>
        <v>049081633240</v>
      </c>
      <c r="S238" s="543" t="str">
        <f>_xlfn.XLOOKUP(E238,'All Products'!D:D,'All Products'!M:M,FALSE)</f>
        <v>40049081133243</v>
      </c>
      <c r="T238" s="530">
        <f>_xlfn.XLOOKUP(E238,'All Products'!D:D,'All Products'!N:N,FALSE)</f>
        <v>5.1999999999999998E-2</v>
      </c>
      <c r="U238" s="543">
        <f>_xlfn.XLOOKUP(E238,'All Products'!D:D,'All Products'!O:O,FALSE)</f>
        <v>10</v>
      </c>
      <c r="V238" s="530">
        <f>_xlfn.XLOOKUP(E238,'All Products'!D:D,'All Products'!P:P,FALSE)</f>
        <v>6.03</v>
      </c>
      <c r="W238" s="530">
        <f>_xlfn.XLOOKUP(E238,'All Products'!D:D,'All Products'!Q:Q,FALSE)</f>
        <v>0.65</v>
      </c>
    </row>
    <row r="239" spans="1:23" ht="15" customHeight="1">
      <c r="A239" s="104" t="str">
        <f>IF(K239&gt;0,COUNT($A$7:A238)+COUNT('DWV PVC'!$A$8:$A$284)+COUNT('DWV ABS'!$A$8:$A$116)+1,"")</f>
        <v/>
      </c>
      <c r="B239" s="579"/>
      <c r="C239" s="580"/>
      <c r="D239" s="512" t="str">
        <f>_xlfn.XLOOKUP(E239,'All Products'!D:D,'All Products'!C:C,FALSE)</f>
        <v>437-247</v>
      </c>
      <c r="E239" s="53">
        <v>100022864</v>
      </c>
      <c r="F239" s="522" t="str">
        <f>_xlfn.XLOOKUP(E239,'All Products'!D:D,'All Products'!E:E,FALSE)</f>
        <v>2X1/2 REDUCER BUSHING SPGX S</v>
      </c>
      <c r="G239" s="282">
        <f>_xlfn.XLOOKUP(E239,'All Products'!D:D,'All Products'!F:F,FALSE)</f>
        <v>50</v>
      </c>
      <c r="H239" s="533">
        <f>_xlfn.XLOOKUP(E239,'All Products'!D:D,'All Products'!G:G,FALSE)</f>
        <v>7500</v>
      </c>
      <c r="I239" s="540">
        <f>_xlfn.XLOOKUP(E239,'All Products'!D:D,'All Products'!H:H,FALSE)</f>
        <v>7.13</v>
      </c>
      <c r="J239" s="216">
        <f>ROUND(I239*Order_Quote!$L$4,2)</f>
        <v>35.65</v>
      </c>
      <c r="K239" s="76"/>
      <c r="L239" s="79"/>
      <c r="M239" s="117">
        <f t="shared" si="9"/>
        <v>0</v>
      </c>
      <c r="O239" s="530" t="str">
        <f>_xlfn.XLOOKUP(E239,'All Products'!D:D,'All Products'!I:I,FALSE)</f>
        <v>In Stock</v>
      </c>
      <c r="P239" s="530" t="str">
        <f>_xlfn.XLOOKUP(E239,'All Products'!D:D,'All Products'!J:J,FALSE)</f>
        <v>Manufactured</v>
      </c>
      <c r="Q239" s="543" t="str">
        <f>_xlfn.XLOOKUP(E239,'All Products'!D:D,'All Products'!K:K,FALSE)</f>
        <v>049081133405</v>
      </c>
      <c r="R239" s="543" t="str">
        <f>_xlfn.XLOOKUP(E239,'All Products'!D:D,'All Products'!L:L,FALSE)</f>
        <v>049081633400</v>
      </c>
      <c r="S239" s="543" t="str">
        <f>_xlfn.XLOOKUP(E239,'All Products'!D:D,'All Products'!M:M,FALSE)</f>
        <v>40049081133403</v>
      </c>
      <c r="T239" s="530">
        <f>_xlfn.XLOOKUP(E239,'All Products'!D:D,'All Products'!N:N,FALSE)</f>
        <v>0.16400000000000001</v>
      </c>
      <c r="U239" s="543">
        <f>_xlfn.XLOOKUP(E239,'All Products'!D:D,'All Products'!O:O,FALSE)</f>
        <v>5</v>
      </c>
      <c r="V239" s="530">
        <f>_xlfn.XLOOKUP(E239,'All Products'!D:D,'All Products'!P:P,FALSE)</f>
        <v>8.3699999999999992</v>
      </c>
      <c r="W239" s="530">
        <f>_xlfn.XLOOKUP(E239,'All Products'!D:D,'All Products'!Q:Q,FALSE)</f>
        <v>0.5</v>
      </c>
    </row>
    <row r="240" spans="1:23" ht="15" customHeight="1">
      <c r="A240" s="104" t="str">
        <f>IF(K240&gt;0,COUNT($A$7:A239)+COUNT('DWV PVC'!$A$8:$A$284)+COUNT('DWV ABS'!$A$8:$A$116)+1,"")</f>
        <v/>
      </c>
      <c r="B240" s="579"/>
      <c r="C240" s="580"/>
      <c r="D240" s="512" t="str">
        <f>_xlfn.XLOOKUP(E240,'All Products'!D:D,'All Products'!C:C,FALSE)</f>
        <v>437-248</v>
      </c>
      <c r="E240" s="53">
        <v>100022866</v>
      </c>
      <c r="F240" s="522" t="str">
        <f>_xlfn.XLOOKUP(E240,'All Products'!D:D,'All Products'!E:E,FALSE)</f>
        <v>2X3/4 REDUCER BUSHING SPGX S</v>
      </c>
      <c r="G240" s="282">
        <f>_xlfn.XLOOKUP(E240,'All Products'!D:D,'All Products'!F:F,FALSE)</f>
        <v>50</v>
      </c>
      <c r="H240" s="533">
        <f>_xlfn.XLOOKUP(E240,'All Products'!D:D,'All Products'!G:G,FALSE)</f>
        <v>7500</v>
      </c>
      <c r="I240" s="540">
        <f>_xlfn.XLOOKUP(E240,'All Products'!D:D,'All Products'!H:H,FALSE)</f>
        <v>7.13</v>
      </c>
      <c r="J240" s="216">
        <f>ROUND(I240*Order_Quote!$L$4,2)</f>
        <v>35.65</v>
      </c>
      <c r="K240" s="76"/>
      <c r="L240" s="79"/>
      <c r="M240" s="117">
        <f t="shared" si="9"/>
        <v>0</v>
      </c>
      <c r="O240" s="530" t="str">
        <f>_xlfn.XLOOKUP(E240,'All Products'!D:D,'All Products'!I:I,FALSE)</f>
        <v>In Stock</v>
      </c>
      <c r="P240" s="530" t="str">
        <f>_xlfn.XLOOKUP(E240,'All Products'!D:D,'All Products'!J:J,FALSE)</f>
        <v>Manufactured</v>
      </c>
      <c r="Q240" s="543" t="str">
        <f>_xlfn.XLOOKUP(E240,'All Products'!D:D,'All Products'!K:K,FALSE)</f>
        <v>049081133382</v>
      </c>
      <c r="R240" s="543" t="str">
        <f>_xlfn.XLOOKUP(E240,'All Products'!D:D,'All Products'!L:L,FALSE)</f>
        <v>049081633387</v>
      </c>
      <c r="S240" s="543" t="str">
        <f>_xlfn.XLOOKUP(E240,'All Products'!D:D,'All Products'!M:M,FALSE)</f>
        <v>40049081133380</v>
      </c>
      <c r="T240" s="530">
        <f>_xlfn.XLOOKUP(E240,'All Products'!D:D,'All Products'!N:N,FALSE)</f>
        <v>0.16500000000000001</v>
      </c>
      <c r="U240" s="543">
        <f>_xlfn.XLOOKUP(E240,'All Products'!D:D,'All Products'!O:O,FALSE)</f>
        <v>5</v>
      </c>
      <c r="V240" s="530">
        <f>_xlfn.XLOOKUP(E240,'All Products'!D:D,'All Products'!P:P,FALSE)</f>
        <v>9.06</v>
      </c>
      <c r="W240" s="530">
        <f>_xlfn.XLOOKUP(E240,'All Products'!D:D,'All Products'!Q:Q,FALSE)</f>
        <v>0.5</v>
      </c>
    </row>
    <row r="241" spans="1:23" ht="15" customHeight="1">
      <c r="A241" s="104" t="str">
        <f>IF(K241&gt;0,COUNT($A$7:A240)+COUNT('DWV PVC'!$A$8:$A$284)+COUNT('DWV ABS'!$A$8:$A$116)+1,"")</f>
        <v/>
      </c>
      <c r="B241" s="579"/>
      <c r="C241" s="580"/>
      <c r="D241" s="512" t="str">
        <f>_xlfn.XLOOKUP(E241,'All Products'!D:D,'All Products'!C:C,FALSE)</f>
        <v>437-249</v>
      </c>
      <c r="E241" s="53">
        <v>100022868</v>
      </c>
      <c r="F241" s="522" t="str">
        <f>_xlfn.XLOOKUP(E241,'All Products'!D:D,'All Products'!E:E,FALSE)</f>
        <v>2X1 REDUCER BUSHING SPGX S</v>
      </c>
      <c r="G241" s="282">
        <f>_xlfn.XLOOKUP(E241,'All Products'!D:D,'All Products'!F:F,FALSE)</f>
        <v>50</v>
      </c>
      <c r="H241" s="533">
        <f>_xlfn.XLOOKUP(E241,'All Products'!D:D,'All Products'!G:G,FALSE)</f>
        <v>6000</v>
      </c>
      <c r="I241" s="540">
        <f>_xlfn.XLOOKUP(E241,'All Products'!D:D,'All Products'!H:H,FALSE)</f>
        <v>7.13</v>
      </c>
      <c r="J241" s="216">
        <f>ROUND(I241*Order_Quote!$L$4,2)</f>
        <v>35.65</v>
      </c>
      <c r="K241" s="76"/>
      <c r="L241" s="79"/>
      <c r="M241" s="117">
        <f t="shared" si="9"/>
        <v>0</v>
      </c>
      <c r="O241" s="530" t="str">
        <f>_xlfn.XLOOKUP(E241,'All Products'!D:D,'All Products'!I:I,FALSE)</f>
        <v>In Stock</v>
      </c>
      <c r="P241" s="530" t="str">
        <f>_xlfn.XLOOKUP(E241,'All Products'!D:D,'All Products'!J:J,FALSE)</f>
        <v>Manufactured</v>
      </c>
      <c r="Q241" s="543" t="str">
        <f>_xlfn.XLOOKUP(E241,'All Products'!D:D,'All Products'!K:K,FALSE)</f>
        <v>049081133368</v>
      </c>
      <c r="R241" s="543" t="str">
        <f>_xlfn.XLOOKUP(E241,'All Products'!D:D,'All Products'!L:L,FALSE)</f>
        <v>049081633363</v>
      </c>
      <c r="S241" s="543" t="str">
        <f>_xlfn.XLOOKUP(E241,'All Products'!D:D,'All Products'!M:M,FALSE)</f>
        <v>40049081133366</v>
      </c>
      <c r="T241" s="530">
        <f>_xlfn.XLOOKUP(E241,'All Products'!D:D,'All Products'!N:N,FALSE)</f>
        <v>0.17100000000000001</v>
      </c>
      <c r="U241" s="543">
        <f>_xlfn.XLOOKUP(E241,'All Products'!D:D,'All Products'!O:O,FALSE)</f>
        <v>5</v>
      </c>
      <c r="V241" s="530">
        <f>_xlfn.XLOOKUP(E241,'All Products'!D:D,'All Products'!P:P,FALSE)</f>
        <v>9.64</v>
      </c>
      <c r="W241" s="530">
        <f>_xlfn.XLOOKUP(E241,'All Products'!D:D,'All Products'!Q:Q,FALSE)</f>
        <v>0.65</v>
      </c>
    </row>
    <row r="242" spans="1:23" ht="15" customHeight="1">
      <c r="A242" s="104" t="str">
        <f>IF(K242&gt;0,COUNT($A$7:A241)+COUNT('DWV PVC'!$A$8:$A$284)+COUNT('DWV ABS'!$A$8:$A$116)+1,"")</f>
        <v/>
      </c>
      <c r="B242" s="579"/>
      <c r="C242" s="580"/>
      <c r="D242" s="512" t="str">
        <f>_xlfn.XLOOKUP(E242,'All Products'!D:D,'All Products'!C:C,FALSE)</f>
        <v>437-251</v>
      </c>
      <c r="E242" s="53">
        <v>100022870</v>
      </c>
      <c r="F242" s="522" t="str">
        <f>_xlfn.XLOOKUP(E242,'All Products'!D:D,'All Products'!E:E,FALSE)</f>
        <v>2X1-1/2 REDUCER BUSHING SPGX S</v>
      </c>
      <c r="G242" s="282">
        <f>_xlfn.XLOOKUP(E242,'All Products'!D:D,'All Products'!F:F,FALSE)</f>
        <v>50</v>
      </c>
      <c r="H242" s="533">
        <f>_xlfn.XLOOKUP(E242,'All Products'!D:D,'All Products'!G:G,FALSE)</f>
        <v>6000</v>
      </c>
      <c r="I242" s="540">
        <f>_xlfn.XLOOKUP(E242,'All Products'!D:D,'All Products'!H:H,FALSE)</f>
        <v>7.13</v>
      </c>
      <c r="J242" s="216">
        <f>ROUND(I242*Order_Quote!$L$4,2)</f>
        <v>35.65</v>
      </c>
      <c r="K242" s="76"/>
      <c r="L242" s="79"/>
      <c r="M242" s="117">
        <f t="shared" si="9"/>
        <v>0</v>
      </c>
      <c r="O242" s="530" t="str">
        <f>_xlfn.XLOOKUP(E242,'All Products'!D:D,'All Products'!I:I,FALSE)</f>
        <v>In Stock</v>
      </c>
      <c r="P242" s="530" t="str">
        <f>_xlfn.XLOOKUP(E242,'All Products'!D:D,'All Products'!J:J,FALSE)</f>
        <v>Manufactured</v>
      </c>
      <c r="Q242" s="543" t="str">
        <f>_xlfn.XLOOKUP(E242,'All Products'!D:D,'All Products'!K:K,FALSE)</f>
        <v>049081133320</v>
      </c>
      <c r="R242" s="543" t="str">
        <f>_xlfn.XLOOKUP(E242,'All Products'!D:D,'All Products'!L:L,FALSE)</f>
        <v>049081633325</v>
      </c>
      <c r="S242" s="543" t="str">
        <f>_xlfn.XLOOKUP(E242,'All Products'!D:D,'All Products'!M:M,FALSE)</f>
        <v>40049081133328</v>
      </c>
      <c r="T242" s="530">
        <f>_xlfn.XLOOKUP(E242,'All Products'!D:D,'All Products'!N:N,FALSE)</f>
        <v>0.13</v>
      </c>
      <c r="U242" s="543">
        <f>_xlfn.XLOOKUP(E242,'All Products'!D:D,'All Products'!O:O,FALSE)</f>
        <v>5</v>
      </c>
      <c r="V242" s="530">
        <f>_xlfn.XLOOKUP(E242,'All Products'!D:D,'All Products'!P:P,FALSE)</f>
        <v>7.37</v>
      </c>
      <c r="W242" s="530">
        <f>_xlfn.XLOOKUP(E242,'All Products'!D:D,'All Products'!Q:Q,FALSE)</f>
        <v>0.65</v>
      </c>
    </row>
    <row r="243" spans="1:23" ht="15" customHeight="1">
      <c r="A243" s="104" t="str">
        <f>IF(K243&gt;0,COUNT($A$7:A242)+COUNT('DWV PVC'!$A$8:$A$284)+COUNT('DWV ABS'!$A$8:$A$116)+1,"")</f>
        <v/>
      </c>
      <c r="B243" s="579"/>
      <c r="C243" s="580"/>
      <c r="D243" s="512" t="str">
        <f>_xlfn.XLOOKUP(E243,'All Products'!D:D,'All Products'!C:C,FALSE)</f>
        <v>437-288</v>
      </c>
      <c r="E243" s="53">
        <v>100022872</v>
      </c>
      <c r="F243" s="522" t="str">
        <f>_xlfn.XLOOKUP(E243,'All Products'!D:D,'All Products'!E:E,FALSE)</f>
        <v>2-1/2X3/4 REDUCER BUSHING SPGX S</v>
      </c>
      <c r="G243" s="282">
        <f>_xlfn.XLOOKUP(E243,'All Products'!D:D,'All Products'!F:F,FALSE)</f>
        <v>25</v>
      </c>
      <c r="H243" s="533">
        <f>_xlfn.XLOOKUP(E243,'All Products'!D:D,'All Products'!G:G,FALSE)</f>
        <v>3750</v>
      </c>
      <c r="I243" s="540">
        <f>_xlfn.XLOOKUP(E243,'All Products'!D:D,'All Products'!H:H,FALSE)</f>
        <v>11.4</v>
      </c>
      <c r="J243" s="216">
        <f>ROUND(I243*Order_Quote!$L$4,2)</f>
        <v>57</v>
      </c>
      <c r="K243" s="76"/>
      <c r="L243" s="79"/>
      <c r="M243" s="117">
        <f t="shared" si="9"/>
        <v>0</v>
      </c>
      <c r="O243" s="530" t="str">
        <f>_xlfn.XLOOKUP(E243,'All Products'!D:D,'All Products'!I:I,FALSE)</f>
        <v>In Stock</v>
      </c>
      <c r="P243" s="530" t="str">
        <f>_xlfn.XLOOKUP(E243,'All Products'!D:D,'All Products'!J:J,FALSE)</f>
        <v>Manufactured</v>
      </c>
      <c r="Q243" s="543" t="str">
        <f>_xlfn.XLOOKUP(E243,'All Products'!D:D,'All Products'!K:K,FALSE)</f>
        <v>049081133504</v>
      </c>
      <c r="R243" s="543" t="str">
        <f>_xlfn.XLOOKUP(E243,'All Products'!D:D,'All Products'!L:L,FALSE)</f>
        <v>049081633509</v>
      </c>
      <c r="S243" s="543" t="str">
        <f>_xlfn.XLOOKUP(E243,'All Products'!D:D,'All Products'!M:M,FALSE)</f>
        <v>40049081133502</v>
      </c>
      <c r="T243" s="530">
        <f>_xlfn.XLOOKUP(E243,'All Products'!D:D,'All Products'!N:N,FALSE)</f>
        <v>0.34200000000000003</v>
      </c>
      <c r="U243" s="543">
        <f>_xlfn.XLOOKUP(E243,'All Products'!D:D,'All Products'!O:O,FALSE)</f>
        <v>5</v>
      </c>
      <c r="V243" s="530">
        <f>_xlfn.XLOOKUP(E243,'All Products'!D:D,'All Products'!P:P,FALSE)</f>
        <v>9.64</v>
      </c>
      <c r="W243" s="530">
        <f>_xlfn.XLOOKUP(E243,'All Products'!D:D,'All Products'!Q:Q,FALSE)</f>
        <v>0.5</v>
      </c>
    </row>
    <row r="244" spans="1:23" ht="15" customHeight="1">
      <c r="A244" s="104" t="str">
        <f>IF(K244&gt;0,COUNT($A$7:A243)+COUNT('DWV PVC'!$A$8:$A$284)+COUNT('DWV ABS'!$A$8:$A$116)+1,"")</f>
        <v/>
      </c>
      <c r="B244" s="579"/>
      <c r="C244" s="580"/>
      <c r="D244" s="512" t="str">
        <f>_xlfn.XLOOKUP(E244,'All Products'!D:D,'All Products'!C:C,FALSE)</f>
        <v>437-291</v>
      </c>
      <c r="E244" s="53">
        <v>100022877</v>
      </c>
      <c r="F244" s="522" t="str">
        <f>_xlfn.XLOOKUP(E244,'All Products'!D:D,'All Products'!E:E,FALSE)</f>
        <v>2-1/2X1-1/2 RED BUSHING SPGX SLIP</v>
      </c>
      <c r="G244" s="282">
        <f>_xlfn.XLOOKUP(E244,'All Products'!D:D,'All Products'!F:F,FALSE)</f>
        <v>25</v>
      </c>
      <c r="H244" s="533">
        <f>_xlfn.XLOOKUP(E244,'All Products'!D:D,'All Products'!G:G,FALSE)</f>
        <v>3750</v>
      </c>
      <c r="I244" s="540">
        <f>_xlfn.XLOOKUP(E244,'All Products'!D:D,'All Products'!H:H,FALSE)</f>
        <v>11.4</v>
      </c>
      <c r="J244" s="216">
        <f>ROUND(I244*Order_Quote!$L$4,2)</f>
        <v>57</v>
      </c>
      <c r="K244" s="76"/>
      <c r="L244" s="79"/>
      <c r="M244" s="117">
        <f t="shared" si="9"/>
        <v>0</v>
      </c>
      <c r="O244" s="530" t="str">
        <f>_xlfn.XLOOKUP(E244,'All Products'!D:D,'All Products'!I:I,FALSE)</f>
        <v>In Stock</v>
      </c>
      <c r="P244" s="530" t="str">
        <f>_xlfn.XLOOKUP(E244,'All Products'!D:D,'All Products'!J:J,FALSE)</f>
        <v>Manufactured</v>
      </c>
      <c r="Q244" s="543" t="str">
        <f>_xlfn.XLOOKUP(E244,'All Products'!D:D,'All Products'!K:K,FALSE)</f>
        <v>049081133443</v>
      </c>
      <c r="R244" s="543" t="str">
        <f>_xlfn.XLOOKUP(E244,'All Products'!D:D,'All Products'!L:L,FALSE)</f>
        <v>049081633448</v>
      </c>
      <c r="S244" s="543" t="str">
        <f>_xlfn.XLOOKUP(E244,'All Products'!D:D,'All Products'!M:M,FALSE)</f>
        <v>40049081133441</v>
      </c>
      <c r="T244" s="530">
        <f>_xlfn.XLOOKUP(E244,'All Products'!D:D,'All Products'!N:N,FALSE)</f>
        <v>0.372</v>
      </c>
      <c r="U244" s="543">
        <f>_xlfn.XLOOKUP(E244,'All Products'!D:D,'All Products'!O:O,FALSE)</f>
        <v>5</v>
      </c>
      <c r="V244" s="530">
        <f>_xlfn.XLOOKUP(E244,'All Products'!D:D,'All Products'!P:P,FALSE)</f>
        <v>9.41</v>
      </c>
      <c r="W244" s="530">
        <f>_xlfn.XLOOKUP(E244,'All Products'!D:D,'All Products'!Q:Q,FALSE)</f>
        <v>0.5</v>
      </c>
    </row>
    <row r="245" spans="1:23" ht="15" customHeight="1">
      <c r="A245" s="104" t="str">
        <f>IF(K245&gt;0,COUNT($A$7:A244)+COUNT('DWV PVC'!$A$8:$A$284)+COUNT('DWV ABS'!$A$8:$A$116)+1,"")</f>
        <v/>
      </c>
      <c r="B245" s="579"/>
      <c r="C245" s="580"/>
      <c r="D245" s="512" t="str">
        <f>_xlfn.XLOOKUP(E245,'All Products'!D:D,'All Products'!C:C,FALSE)</f>
        <v>437-292</v>
      </c>
      <c r="E245" s="53">
        <v>100022879</v>
      </c>
      <c r="F245" s="522" t="str">
        <f>_xlfn.XLOOKUP(E245,'All Products'!D:D,'All Products'!E:E,FALSE)</f>
        <v>2-1/2X2 REDUCER BUSHING SPGX SLIP</v>
      </c>
      <c r="G245" s="282">
        <f>_xlfn.XLOOKUP(E245,'All Products'!D:D,'All Products'!F:F,FALSE)</f>
        <v>25</v>
      </c>
      <c r="H245" s="533">
        <f>_xlfn.XLOOKUP(E245,'All Products'!D:D,'All Products'!G:G,FALSE)</f>
        <v>3750</v>
      </c>
      <c r="I245" s="540">
        <f>_xlfn.XLOOKUP(E245,'All Products'!D:D,'All Products'!H:H,FALSE)</f>
        <v>11.4</v>
      </c>
      <c r="J245" s="216">
        <f>ROUND(I245*Order_Quote!$L$4,2)</f>
        <v>57</v>
      </c>
      <c r="K245" s="76"/>
      <c r="L245" s="79"/>
      <c r="M245" s="117">
        <f t="shared" si="9"/>
        <v>0</v>
      </c>
      <c r="O245" s="530" t="str">
        <f>_xlfn.XLOOKUP(E245,'All Products'!D:D,'All Products'!I:I,FALSE)</f>
        <v>In Stock</v>
      </c>
      <c r="P245" s="530" t="str">
        <f>_xlfn.XLOOKUP(E245,'All Products'!D:D,'All Products'!J:J,FALSE)</f>
        <v>Manufactured</v>
      </c>
      <c r="Q245" s="543" t="str">
        <f>_xlfn.XLOOKUP(E245,'All Products'!D:D,'All Products'!K:K,FALSE)</f>
        <v>049081133429</v>
      </c>
      <c r="R245" s="543" t="str">
        <f>_xlfn.XLOOKUP(E245,'All Products'!D:D,'All Products'!L:L,FALSE)</f>
        <v>049081633424</v>
      </c>
      <c r="S245" s="543" t="str">
        <f>_xlfn.XLOOKUP(E245,'All Products'!D:D,'All Products'!M:M,FALSE)</f>
        <v>40049081133427</v>
      </c>
      <c r="T245" s="530">
        <f>_xlfn.XLOOKUP(E245,'All Products'!D:D,'All Products'!N:N,FALSE)</f>
        <v>0.24299999999999999</v>
      </c>
      <c r="U245" s="543">
        <f>_xlfn.XLOOKUP(E245,'All Products'!D:D,'All Products'!O:O,FALSE)</f>
        <v>5</v>
      </c>
      <c r="V245" s="530">
        <f>_xlfn.XLOOKUP(E245,'All Products'!D:D,'All Products'!P:P,FALSE)</f>
        <v>6.94</v>
      </c>
      <c r="W245" s="530">
        <f>_xlfn.XLOOKUP(E245,'All Products'!D:D,'All Products'!Q:Q,FALSE)</f>
        <v>0.5</v>
      </c>
    </row>
    <row r="246" spans="1:23" ht="15" customHeight="1">
      <c r="A246" s="104" t="str">
        <f>IF(K246&gt;0,COUNT($A$7:A245)+COUNT('DWV PVC'!$A$8:$A$284)+COUNT('DWV ABS'!$A$8:$A$116)+1,"")</f>
        <v/>
      </c>
      <c r="B246" s="579"/>
      <c r="C246" s="580"/>
      <c r="D246" s="512" t="str">
        <f>_xlfn.XLOOKUP(E246,'All Products'!D:D,'All Products'!C:C,FALSE)</f>
        <v>437-335</v>
      </c>
      <c r="E246" s="53">
        <v>100022884</v>
      </c>
      <c r="F246" s="522" t="str">
        <f>_xlfn.XLOOKUP(E246,'All Products'!D:D,'All Products'!E:E,FALSE)</f>
        <v>3X1 REDUCER BUSHING SPGX SLIP</v>
      </c>
      <c r="G246" s="282">
        <f>_xlfn.XLOOKUP(E246,'All Products'!D:D,'All Products'!F:F,FALSE)</f>
        <v>25</v>
      </c>
      <c r="H246" s="533">
        <f>_xlfn.XLOOKUP(E246,'All Products'!D:D,'All Products'!G:G,FALSE)</f>
        <v>3000</v>
      </c>
      <c r="I246" s="540">
        <f>_xlfn.XLOOKUP(E246,'All Products'!D:D,'All Products'!H:H,FALSE)</f>
        <v>16.82</v>
      </c>
      <c r="J246" s="216">
        <f>ROUND(I246*Order_Quote!$L$4,2)</f>
        <v>84.1</v>
      </c>
      <c r="K246" s="76"/>
      <c r="L246" s="79"/>
      <c r="M246" s="117">
        <f t="shared" si="9"/>
        <v>0</v>
      </c>
      <c r="O246" s="530" t="str">
        <f>_xlfn.XLOOKUP(E246,'All Products'!D:D,'All Products'!I:I,FALSE)</f>
        <v>In Stock</v>
      </c>
      <c r="P246" s="530" t="str">
        <f>_xlfn.XLOOKUP(E246,'All Products'!D:D,'All Products'!J:J,FALSE)</f>
        <v>Manufactured</v>
      </c>
      <c r="Q246" s="543" t="str">
        <f>_xlfn.XLOOKUP(E246,'All Products'!D:D,'All Products'!K:K,FALSE)</f>
        <v>049081133627</v>
      </c>
      <c r="R246" s="543" t="str">
        <f>_xlfn.XLOOKUP(E246,'All Products'!D:D,'All Products'!L:L,FALSE)</f>
        <v>049081633622</v>
      </c>
      <c r="S246" s="543" t="str">
        <f>_xlfn.XLOOKUP(E246,'All Products'!D:D,'All Products'!M:M,FALSE)</f>
        <v>40049081133625</v>
      </c>
      <c r="T246" s="530">
        <f>_xlfn.XLOOKUP(E246,'All Products'!D:D,'All Products'!N:N,FALSE)</f>
        <v>0.41399999999999998</v>
      </c>
      <c r="U246" s="543">
        <f>_xlfn.XLOOKUP(E246,'All Products'!D:D,'All Products'!O:O,FALSE)</f>
        <v>5</v>
      </c>
      <c r="V246" s="530">
        <f>_xlfn.XLOOKUP(E246,'All Products'!D:D,'All Products'!P:P,FALSE)</f>
        <v>11.04</v>
      </c>
      <c r="W246" s="530">
        <f>_xlfn.XLOOKUP(E246,'All Products'!D:D,'All Products'!Q:Q,FALSE)</f>
        <v>0.65</v>
      </c>
    </row>
    <row r="247" spans="1:23" ht="15" customHeight="1">
      <c r="A247" s="104" t="str">
        <f>IF(K247&gt;0,COUNT($A$7:A246)+COUNT('DWV PVC'!$A$8:$A$284)+COUNT('DWV ABS'!$A$8:$A$116)+1,"")</f>
        <v/>
      </c>
      <c r="B247" s="579"/>
      <c r="C247" s="580"/>
      <c r="D247" s="512" t="str">
        <f>_xlfn.XLOOKUP(E247,'All Products'!D:D,'All Products'!C:C,FALSE)</f>
        <v>437-337</v>
      </c>
      <c r="E247" s="53">
        <v>100022887</v>
      </c>
      <c r="F247" s="522" t="str">
        <f>_xlfn.XLOOKUP(E247,'All Products'!D:D,'All Products'!E:E,FALSE)</f>
        <v>3X1-1/2 REDUCER BUSHING SPGX SLIP</v>
      </c>
      <c r="G247" s="282">
        <f>_xlfn.XLOOKUP(E247,'All Products'!D:D,'All Products'!F:F,FALSE)</f>
        <v>25</v>
      </c>
      <c r="H247" s="533">
        <f>_xlfn.XLOOKUP(E247,'All Products'!D:D,'All Products'!G:G,FALSE)</f>
        <v>3000</v>
      </c>
      <c r="I247" s="540">
        <f>_xlfn.XLOOKUP(E247,'All Products'!D:D,'All Products'!H:H,FALSE)</f>
        <v>16.82</v>
      </c>
      <c r="J247" s="216">
        <f>ROUND(I247*Order_Quote!$L$4,2)</f>
        <v>84.1</v>
      </c>
      <c r="K247" s="76"/>
      <c r="L247" s="79"/>
      <c r="M247" s="117">
        <f t="shared" si="9"/>
        <v>0</v>
      </c>
      <c r="O247" s="530" t="str">
        <f>_xlfn.XLOOKUP(E247,'All Products'!D:D,'All Products'!I:I,FALSE)</f>
        <v>In Stock</v>
      </c>
      <c r="P247" s="530" t="str">
        <f>_xlfn.XLOOKUP(E247,'All Products'!D:D,'All Products'!J:J,FALSE)</f>
        <v>Manufactured</v>
      </c>
      <c r="Q247" s="543" t="str">
        <f>_xlfn.XLOOKUP(E247,'All Products'!D:D,'All Products'!K:K,FALSE)</f>
        <v>049081133580</v>
      </c>
      <c r="R247" s="543" t="str">
        <f>_xlfn.XLOOKUP(E247,'All Products'!D:D,'All Products'!L:L,FALSE)</f>
        <v>049081633585</v>
      </c>
      <c r="S247" s="543" t="str">
        <f>_xlfn.XLOOKUP(E247,'All Products'!D:D,'All Products'!M:M,FALSE)</f>
        <v>40049081133588</v>
      </c>
      <c r="T247" s="530">
        <f>_xlfn.XLOOKUP(E247,'All Products'!D:D,'All Products'!N:N,FALSE)</f>
        <v>0.42</v>
      </c>
      <c r="U247" s="543">
        <f>_xlfn.XLOOKUP(E247,'All Products'!D:D,'All Products'!O:O,FALSE)</f>
        <v>5</v>
      </c>
      <c r="V247" s="530">
        <f>_xlfn.XLOOKUP(E247,'All Products'!D:D,'All Products'!P:P,FALSE)</f>
        <v>11.35</v>
      </c>
      <c r="W247" s="530">
        <f>_xlfn.XLOOKUP(E247,'All Products'!D:D,'All Products'!Q:Q,FALSE)</f>
        <v>0.65</v>
      </c>
    </row>
    <row r="248" spans="1:23" ht="15" customHeight="1">
      <c r="A248" s="104" t="str">
        <f>IF(K248&gt;0,COUNT($A$7:A247)+COUNT('DWV PVC'!$A$8:$A$284)+COUNT('DWV ABS'!$A$8:$A$116)+1,"")</f>
        <v/>
      </c>
      <c r="B248" s="579"/>
      <c r="C248" s="580"/>
      <c r="D248" s="512" t="str">
        <f>_xlfn.XLOOKUP(E248,'All Products'!D:D,'All Products'!C:C,FALSE)</f>
        <v>437-338</v>
      </c>
      <c r="E248" s="53">
        <v>100022889</v>
      </c>
      <c r="F248" s="522" t="str">
        <f>_xlfn.XLOOKUP(E248,'All Products'!D:D,'All Products'!E:E,FALSE)</f>
        <v>3X2 REDUCER BUSHING SPGX SLIP</v>
      </c>
      <c r="G248" s="282">
        <f>_xlfn.XLOOKUP(E248,'All Products'!D:D,'All Products'!F:F,FALSE)</f>
        <v>25</v>
      </c>
      <c r="H248" s="533">
        <f>_xlfn.XLOOKUP(E248,'All Products'!D:D,'All Products'!G:G,FALSE)</f>
        <v>3000</v>
      </c>
      <c r="I248" s="540">
        <f>_xlfn.XLOOKUP(E248,'All Products'!D:D,'All Products'!H:H,FALSE)</f>
        <v>16.82</v>
      </c>
      <c r="J248" s="216">
        <f>ROUND(I248*Order_Quote!$L$4,2)</f>
        <v>84.1</v>
      </c>
      <c r="K248" s="76"/>
      <c r="L248" s="79"/>
      <c r="M248" s="117">
        <f t="shared" si="9"/>
        <v>0</v>
      </c>
      <c r="O248" s="530" t="str">
        <f>_xlfn.XLOOKUP(E248,'All Products'!D:D,'All Products'!I:I,FALSE)</f>
        <v>In Stock</v>
      </c>
      <c r="P248" s="530" t="str">
        <f>_xlfn.XLOOKUP(E248,'All Products'!D:D,'All Products'!J:J,FALSE)</f>
        <v>Manufactured</v>
      </c>
      <c r="Q248" s="543" t="str">
        <f>_xlfn.XLOOKUP(E248,'All Products'!D:D,'All Products'!K:K,FALSE)</f>
        <v>049081133566</v>
      </c>
      <c r="R248" s="543" t="str">
        <f>_xlfn.XLOOKUP(E248,'All Products'!D:D,'All Products'!L:L,FALSE)</f>
        <v>049081633561</v>
      </c>
      <c r="S248" s="543" t="str">
        <f>_xlfn.XLOOKUP(E248,'All Products'!D:D,'All Products'!M:M,FALSE)</f>
        <v>40049081133564</v>
      </c>
      <c r="T248" s="530">
        <f>_xlfn.XLOOKUP(E248,'All Products'!D:D,'All Products'!N:N,FALSE)</f>
        <v>0.378</v>
      </c>
      <c r="U248" s="543">
        <f>_xlfn.XLOOKUP(E248,'All Products'!D:D,'All Products'!O:O,FALSE)</f>
        <v>5</v>
      </c>
      <c r="V248" s="530">
        <f>_xlfn.XLOOKUP(E248,'All Products'!D:D,'All Products'!P:P,FALSE)</f>
        <v>11.05</v>
      </c>
      <c r="W248" s="530">
        <f>_xlfn.XLOOKUP(E248,'All Products'!D:D,'All Products'!Q:Q,FALSE)</f>
        <v>0.65</v>
      </c>
    </row>
    <row r="249" spans="1:23" ht="15" customHeight="1">
      <c r="A249" s="104" t="str">
        <f>IF(K249&gt;0,COUNT($A$7:A248)+COUNT('DWV PVC'!$A$8:$A$284)+COUNT('DWV ABS'!$A$8:$A$116)+1,"")</f>
        <v/>
      </c>
      <c r="B249" s="579"/>
      <c r="C249" s="580"/>
      <c r="D249" s="512" t="str">
        <f>_xlfn.XLOOKUP(E249,'All Products'!D:D,'All Products'!C:C,FALSE)</f>
        <v>437-339</v>
      </c>
      <c r="E249" s="53">
        <v>100022891</v>
      </c>
      <c r="F249" s="522" t="str">
        <f>_xlfn.XLOOKUP(E249,'All Products'!D:D,'All Products'!E:E,FALSE)</f>
        <v>3X2-1/2 REDUCER BUSHING SPGX SLIP</v>
      </c>
      <c r="G249" s="282">
        <f>_xlfn.XLOOKUP(E249,'All Products'!D:D,'All Products'!F:F,FALSE)</f>
        <v>25</v>
      </c>
      <c r="H249" s="533">
        <f>_xlfn.XLOOKUP(E249,'All Products'!D:D,'All Products'!G:G,FALSE)</f>
        <v>3000</v>
      </c>
      <c r="I249" s="540">
        <f>_xlfn.XLOOKUP(E249,'All Products'!D:D,'All Products'!H:H,FALSE)</f>
        <v>16.82</v>
      </c>
      <c r="J249" s="216">
        <f>ROUND(I249*Order_Quote!$L$4,2)</f>
        <v>84.1</v>
      </c>
      <c r="K249" s="76"/>
      <c r="L249" s="79"/>
      <c r="M249" s="117">
        <f t="shared" si="9"/>
        <v>0</v>
      </c>
      <c r="O249" s="530" t="str">
        <f>_xlfn.XLOOKUP(E249,'All Products'!D:D,'All Products'!I:I,FALSE)</f>
        <v>In Stock</v>
      </c>
      <c r="P249" s="530" t="str">
        <f>_xlfn.XLOOKUP(E249,'All Products'!D:D,'All Products'!J:J,FALSE)</f>
        <v>Manufactured</v>
      </c>
      <c r="Q249" s="543" t="str">
        <f>_xlfn.XLOOKUP(E249,'All Products'!D:D,'All Products'!K:K,FALSE)</f>
        <v>049081133542</v>
      </c>
      <c r="R249" s="543" t="str">
        <f>_xlfn.XLOOKUP(E249,'All Products'!D:D,'All Products'!L:L,FALSE)</f>
        <v>049081633547</v>
      </c>
      <c r="S249" s="543" t="str">
        <f>_xlfn.XLOOKUP(E249,'All Products'!D:D,'All Products'!M:M,FALSE)</f>
        <v>40049081133540</v>
      </c>
      <c r="T249" s="530">
        <f>_xlfn.XLOOKUP(E249,'All Products'!D:D,'All Products'!N:N,FALSE)</f>
        <v>0.33900000000000002</v>
      </c>
      <c r="U249" s="543">
        <f>_xlfn.XLOOKUP(E249,'All Products'!D:D,'All Products'!O:O,FALSE)</f>
        <v>5</v>
      </c>
      <c r="V249" s="530">
        <f>_xlfn.XLOOKUP(E249,'All Products'!D:D,'All Products'!P:P,FALSE)</f>
        <v>9.18</v>
      </c>
      <c r="W249" s="530">
        <f>_xlfn.XLOOKUP(E249,'All Products'!D:D,'All Products'!Q:Q,FALSE)</f>
        <v>0.65</v>
      </c>
    </row>
    <row r="250" spans="1:23" ht="15" customHeight="1">
      <c r="A250" s="104" t="str">
        <f>IF(K250&gt;0,COUNT($A$7:A249)+COUNT('DWV PVC'!$A$8:$A$284)+COUNT('DWV ABS'!$A$8:$A$116)+1,"")</f>
        <v/>
      </c>
      <c r="B250" s="579"/>
      <c r="C250" s="580"/>
      <c r="D250" s="512" t="str">
        <f>_xlfn.XLOOKUP(E250,'All Products'!D:D,'All Products'!C:C,FALSE)</f>
        <v>437-420</v>
      </c>
      <c r="E250" s="53">
        <v>100022893</v>
      </c>
      <c r="F250" s="522" t="str">
        <f>_xlfn.XLOOKUP(E250,'All Products'!D:D,'All Products'!E:E,FALSE)</f>
        <v>4X2 REDUCER BUSHING SPGX SLIP</v>
      </c>
      <c r="G250" s="282">
        <f>_xlfn.XLOOKUP(E250,'All Products'!D:D,'All Products'!F:F,FALSE)</f>
        <v>10</v>
      </c>
      <c r="H250" s="533">
        <f>_xlfn.XLOOKUP(E250,'All Products'!D:D,'All Products'!G:G,FALSE)</f>
        <v>1500</v>
      </c>
      <c r="I250" s="540">
        <f>_xlfn.XLOOKUP(E250,'All Products'!D:D,'All Products'!H:H,FALSE)</f>
        <v>37.64</v>
      </c>
      <c r="J250" s="216">
        <f>ROUND(I250*Order_Quote!$L$4,2)</f>
        <v>188.2</v>
      </c>
      <c r="K250" s="76"/>
      <c r="L250" s="79"/>
      <c r="M250" s="117">
        <f t="shared" si="9"/>
        <v>0</v>
      </c>
      <c r="O250" s="530" t="str">
        <f>_xlfn.XLOOKUP(E250,'All Products'!D:D,'All Products'!I:I,FALSE)</f>
        <v>In Stock</v>
      </c>
      <c r="P250" s="530" t="str">
        <f>_xlfn.XLOOKUP(E250,'All Products'!D:D,'All Products'!J:J,FALSE)</f>
        <v>Manufactured</v>
      </c>
      <c r="Q250" s="543" t="str">
        <f>_xlfn.XLOOKUP(E250,'All Products'!D:D,'All Products'!K:K,FALSE)</f>
        <v>049081133740</v>
      </c>
      <c r="R250" s="543" t="str">
        <f>_xlfn.XLOOKUP(E250,'All Products'!D:D,'All Products'!L:L,FALSE)</f>
        <v>-</v>
      </c>
      <c r="S250" s="543" t="str">
        <f>_xlfn.XLOOKUP(E250,'All Products'!D:D,'All Products'!M:M,FALSE)</f>
        <v>40049081133748</v>
      </c>
      <c r="T250" s="530">
        <f>_xlfn.XLOOKUP(E250,'All Products'!D:D,'All Products'!N:N,FALSE)</f>
        <v>0.79</v>
      </c>
      <c r="U250" s="543" t="str">
        <f>_xlfn.XLOOKUP(E250,'All Products'!D:D,'All Products'!O:O,FALSE)</f>
        <v>-</v>
      </c>
      <c r="V250" s="530">
        <f>_xlfn.XLOOKUP(E250,'All Products'!D:D,'All Products'!P:P,FALSE)</f>
        <v>8.84</v>
      </c>
      <c r="W250" s="530">
        <f>_xlfn.XLOOKUP(E250,'All Products'!D:D,'All Products'!Q:Q,FALSE)</f>
        <v>0.5</v>
      </c>
    </row>
    <row r="251" spans="1:23" ht="15" customHeight="1">
      <c r="A251" s="104" t="str">
        <f>IF(K251&gt;0,COUNT($A$7:A250)+COUNT('DWV PVC'!$A$8:$A$284)+COUNT('DWV ABS'!$A$8:$A$116)+1,"")</f>
        <v/>
      </c>
      <c r="B251" s="579"/>
      <c r="C251" s="580"/>
      <c r="D251" s="512" t="str">
        <f>_xlfn.XLOOKUP(E251,'All Products'!D:D,'All Products'!C:C,FALSE)</f>
        <v>437-422</v>
      </c>
      <c r="E251" s="53">
        <v>100022895</v>
      </c>
      <c r="F251" s="522" t="str">
        <f>_xlfn.XLOOKUP(E251,'All Products'!D:D,'All Products'!E:E,FALSE)</f>
        <v>4X3 REDUCER BUSHING SPGX SLIP</v>
      </c>
      <c r="G251" s="282">
        <f>_xlfn.XLOOKUP(E251,'All Products'!D:D,'All Products'!F:F,FALSE)</f>
        <v>10</v>
      </c>
      <c r="H251" s="533">
        <f>_xlfn.XLOOKUP(E251,'All Products'!D:D,'All Products'!G:G,FALSE)</f>
        <v>1500</v>
      </c>
      <c r="I251" s="540">
        <f>_xlfn.XLOOKUP(E251,'All Products'!D:D,'All Products'!H:H,FALSE)</f>
        <v>37.64</v>
      </c>
      <c r="J251" s="216">
        <f>ROUND(I251*Order_Quote!$L$4,2)</f>
        <v>188.2</v>
      </c>
      <c r="K251" s="76"/>
      <c r="L251" s="79"/>
      <c r="M251" s="117">
        <f t="shared" si="9"/>
        <v>0</v>
      </c>
      <c r="O251" s="530" t="str">
        <f>_xlfn.XLOOKUP(E251,'All Products'!D:D,'All Products'!I:I,FALSE)</f>
        <v>In Stock</v>
      </c>
      <c r="P251" s="530" t="str">
        <f>_xlfn.XLOOKUP(E251,'All Products'!D:D,'All Products'!J:J,FALSE)</f>
        <v>Manufactured</v>
      </c>
      <c r="Q251" s="543" t="str">
        <f>_xlfn.XLOOKUP(E251,'All Products'!D:D,'All Products'!K:K,FALSE)</f>
        <v>049081133702</v>
      </c>
      <c r="R251" s="543" t="str">
        <f>_xlfn.XLOOKUP(E251,'All Products'!D:D,'All Products'!L:L,FALSE)</f>
        <v>-</v>
      </c>
      <c r="S251" s="543" t="str">
        <f>_xlfn.XLOOKUP(E251,'All Products'!D:D,'All Products'!M:M,FALSE)</f>
        <v>40049081133700</v>
      </c>
      <c r="T251" s="530">
        <f>_xlfn.XLOOKUP(E251,'All Products'!D:D,'All Products'!N:N,FALSE)</f>
        <v>0.78300000000000003</v>
      </c>
      <c r="U251" s="543" t="str">
        <f>_xlfn.XLOOKUP(E251,'All Products'!D:D,'All Products'!O:O,FALSE)</f>
        <v>-</v>
      </c>
      <c r="V251" s="530">
        <f>_xlfn.XLOOKUP(E251,'All Products'!D:D,'All Products'!P:P,FALSE)</f>
        <v>8.5299999999999994</v>
      </c>
      <c r="W251" s="530">
        <f>_xlfn.XLOOKUP(E251,'All Products'!D:D,'All Products'!Q:Q,FALSE)</f>
        <v>0.5</v>
      </c>
    </row>
    <row r="252" spans="1:23" ht="15" customHeight="1">
      <c r="A252" s="104" t="str">
        <f>IF(K252&gt;0,COUNT($A$7:A251)+COUNT('DWV PVC'!$A$8:$A$284)+COUNT('DWV ABS'!$A$8:$A$116)+1,"")</f>
        <v/>
      </c>
      <c r="B252" s="115"/>
      <c r="C252" s="116"/>
      <c r="D252" s="512" t="str">
        <f>_xlfn.XLOOKUP(E252,'All Products'!D:D,'All Products'!C:C,FALSE)</f>
        <v>437-488</v>
      </c>
      <c r="E252" s="53">
        <v>100022899</v>
      </c>
      <c r="F252" s="522" t="str">
        <f>_xlfn.XLOOKUP(E252,'All Products'!D:D,'All Products'!E:E,FALSE)</f>
        <v>5X3 REDUCER BUSHING SPGX SLIP</v>
      </c>
      <c r="G252" s="282">
        <f>_xlfn.XLOOKUP(E252,'All Products'!D:D,'All Products'!F:F,FALSE)</f>
        <v>5</v>
      </c>
      <c r="H252" s="533">
        <f>_xlfn.XLOOKUP(E252,'All Products'!D:D,'All Products'!G:G,FALSE)</f>
        <v>750</v>
      </c>
      <c r="I252" s="540">
        <f>_xlfn.XLOOKUP(E252,'All Products'!D:D,'All Products'!H:H,FALSE)</f>
        <v>52.94</v>
      </c>
      <c r="J252" s="216">
        <f>ROUND(I252*Order_Quote!$L$4,2)</f>
        <v>264.7</v>
      </c>
      <c r="K252" s="76"/>
      <c r="L252" s="79"/>
      <c r="M252" s="117">
        <f t="shared" si="9"/>
        <v>0</v>
      </c>
      <c r="O252" s="530" t="str">
        <f>_xlfn.XLOOKUP(E252,'All Products'!D:D,'All Products'!I:I,FALSE)</f>
        <v>Within 3 Weeks</v>
      </c>
      <c r="P252" s="530" t="str">
        <f>_xlfn.XLOOKUP(E252,'All Products'!D:D,'All Products'!J:J,FALSE)</f>
        <v>Manufactured</v>
      </c>
      <c r="Q252" s="543" t="str">
        <f>_xlfn.XLOOKUP(E252,'All Products'!D:D,'All Products'!K:K,FALSE)</f>
        <v>049081133849</v>
      </c>
      <c r="R252" s="543" t="str">
        <f>_xlfn.XLOOKUP(E252,'All Products'!D:D,'All Products'!L:L,FALSE)</f>
        <v>-</v>
      </c>
      <c r="S252" s="543" t="str">
        <f>_xlfn.XLOOKUP(E252,'All Products'!D:D,'All Products'!M:M,FALSE)</f>
        <v>40049081133847</v>
      </c>
      <c r="T252" s="530">
        <f>_xlfn.XLOOKUP(E252,'All Products'!D:D,'All Products'!N:N,FALSE)</f>
        <v>1.4570000000000001</v>
      </c>
      <c r="U252" s="543" t="str">
        <f>_xlfn.XLOOKUP(E252,'All Products'!D:D,'All Products'!O:O,FALSE)</f>
        <v>-</v>
      </c>
      <c r="V252" s="530">
        <f>_xlfn.XLOOKUP(E252,'All Products'!D:D,'All Products'!P:P,FALSE)</f>
        <v>7.96</v>
      </c>
      <c r="W252" s="530">
        <f>_xlfn.XLOOKUP(E252,'All Products'!D:D,'All Products'!Q:Q,FALSE)</f>
        <v>0.5</v>
      </c>
    </row>
    <row r="253" spans="1:23" ht="15" customHeight="1">
      <c r="A253" s="104" t="str">
        <f>IF(K253&gt;0,COUNT($A$7:A252)+COUNT('DWV PVC'!$A$8:$A$284)+COUNT('DWV ABS'!$A$8:$A$116)+1,"")</f>
        <v/>
      </c>
      <c r="B253" s="115"/>
      <c r="C253" s="116"/>
      <c r="D253" s="512" t="str">
        <f>_xlfn.XLOOKUP(E253,'All Products'!D:D,'All Products'!C:C,FALSE)</f>
        <v>437-490</v>
      </c>
      <c r="E253" s="53">
        <v>100022901</v>
      </c>
      <c r="F253" s="522" t="str">
        <f>_xlfn.XLOOKUP(E253,'All Products'!D:D,'All Products'!E:E,FALSE)</f>
        <v>5X4 REDUCER BUSHING SPGX SLIP</v>
      </c>
      <c r="G253" s="282">
        <f>_xlfn.XLOOKUP(E253,'All Products'!D:D,'All Products'!F:F,FALSE)</f>
        <v>5</v>
      </c>
      <c r="H253" s="533">
        <f>_xlfn.XLOOKUP(E253,'All Products'!D:D,'All Products'!G:G,FALSE)</f>
        <v>750</v>
      </c>
      <c r="I253" s="540">
        <f>_xlfn.XLOOKUP(E253,'All Products'!D:D,'All Products'!H:H,FALSE)</f>
        <v>52.94</v>
      </c>
      <c r="J253" s="216">
        <f>ROUND(I253*Order_Quote!$L$4,2)</f>
        <v>264.7</v>
      </c>
      <c r="K253" s="76"/>
      <c r="L253" s="79"/>
      <c r="M253" s="117">
        <f t="shared" si="9"/>
        <v>0</v>
      </c>
      <c r="O253" s="530" t="str">
        <f>_xlfn.XLOOKUP(E253,'All Products'!D:D,'All Products'!I:I,FALSE)</f>
        <v>In Stock</v>
      </c>
      <c r="P253" s="530" t="str">
        <f>_xlfn.XLOOKUP(E253,'All Products'!D:D,'All Products'!J:J,FALSE)</f>
        <v>Manufactured</v>
      </c>
      <c r="Q253" s="543" t="str">
        <f>_xlfn.XLOOKUP(E253,'All Products'!D:D,'All Products'!K:K,FALSE)</f>
        <v>049081133825</v>
      </c>
      <c r="R253" s="543" t="str">
        <f>_xlfn.XLOOKUP(E253,'All Products'!D:D,'All Products'!L:L,FALSE)</f>
        <v>-</v>
      </c>
      <c r="S253" s="543" t="str">
        <f>_xlfn.XLOOKUP(E253,'All Products'!D:D,'All Products'!M:M,FALSE)</f>
        <v>40049081133823</v>
      </c>
      <c r="T253" s="530">
        <f>_xlfn.XLOOKUP(E253,'All Products'!D:D,'All Products'!N:N,FALSE)</f>
        <v>2.9649999999999999</v>
      </c>
      <c r="U253" s="543" t="str">
        <f>_xlfn.XLOOKUP(E253,'All Products'!D:D,'All Products'!O:O,FALSE)</f>
        <v>-</v>
      </c>
      <c r="V253" s="530">
        <f>_xlfn.XLOOKUP(E253,'All Products'!D:D,'All Products'!P:P,FALSE)</f>
        <v>7.43</v>
      </c>
      <c r="W253" s="530">
        <f>_xlfn.XLOOKUP(E253,'All Products'!D:D,'All Products'!Q:Q,FALSE)</f>
        <v>0.5</v>
      </c>
    </row>
    <row r="254" spans="1:23" ht="15" customHeight="1">
      <c r="A254" s="104" t="str">
        <f>IF(K254&gt;0,COUNT($A$7:A253)+COUNT('DWV PVC'!$A$8:$A$284)+COUNT('DWV ABS'!$A$8:$A$116)+1,"")</f>
        <v/>
      </c>
      <c r="B254" s="115"/>
      <c r="C254" s="116"/>
      <c r="D254" s="512" t="str">
        <f>_xlfn.XLOOKUP(E254,'All Products'!D:D,'All Products'!C:C,FALSE)</f>
        <v>437-528</v>
      </c>
      <c r="E254" s="53">
        <v>100022903</v>
      </c>
      <c r="F254" s="522" t="str">
        <f>_xlfn.XLOOKUP(E254,'All Products'!D:D,'All Products'!E:E,FALSE)</f>
        <v>6X2 REDUCER BUSHING SPGX SLIP</v>
      </c>
      <c r="G254" s="282">
        <f>_xlfn.XLOOKUP(E254,'All Products'!D:D,'All Products'!F:F,FALSE)</f>
        <v>4</v>
      </c>
      <c r="H254" s="533">
        <f>_xlfn.XLOOKUP(E254,'All Products'!D:D,'All Products'!G:G,FALSE)</f>
        <v>480</v>
      </c>
      <c r="I254" s="540">
        <f>_xlfn.XLOOKUP(E254,'All Products'!D:D,'All Products'!H:H,FALSE)</f>
        <v>93.24</v>
      </c>
      <c r="J254" s="216">
        <f>ROUND(I254*Order_Quote!$L$4,2)</f>
        <v>466.2</v>
      </c>
      <c r="K254" s="76"/>
      <c r="L254" s="79"/>
      <c r="M254" s="117">
        <f t="shared" si="9"/>
        <v>0</v>
      </c>
      <c r="O254" s="530" t="str">
        <f>_xlfn.XLOOKUP(E254,'All Products'!D:D,'All Products'!I:I,FALSE)</f>
        <v>In Stock</v>
      </c>
      <c r="P254" s="530" t="str">
        <f>_xlfn.XLOOKUP(E254,'All Products'!D:D,'All Products'!J:J,FALSE)</f>
        <v>Manufactured</v>
      </c>
      <c r="Q254" s="543" t="str">
        <f>_xlfn.XLOOKUP(E254,'All Products'!D:D,'All Products'!K:K,FALSE)</f>
        <v>049081133948</v>
      </c>
      <c r="R254" s="543" t="str">
        <f>_xlfn.XLOOKUP(E254,'All Products'!D:D,'All Products'!L:L,FALSE)</f>
        <v>-</v>
      </c>
      <c r="S254" s="543" t="str">
        <f>_xlfn.XLOOKUP(E254,'All Products'!D:D,'All Products'!M:M,FALSE)</f>
        <v>40049081133946</v>
      </c>
      <c r="T254" s="530">
        <f>_xlfn.XLOOKUP(E254,'All Products'!D:D,'All Products'!N:N,FALSE)</f>
        <v>2.1749999999999998</v>
      </c>
      <c r="U254" s="543" t="str">
        <f>_xlfn.XLOOKUP(E254,'All Products'!D:D,'All Products'!O:O,FALSE)</f>
        <v>-</v>
      </c>
      <c r="V254" s="530">
        <f>_xlfn.XLOOKUP(E254,'All Products'!D:D,'All Products'!P:P,FALSE)</f>
        <v>9.32</v>
      </c>
      <c r="W254" s="530">
        <f>_xlfn.XLOOKUP(E254,'All Products'!D:D,'All Products'!Q:Q,FALSE)</f>
        <v>0.65</v>
      </c>
    </row>
    <row r="255" spans="1:23" ht="15" customHeight="1">
      <c r="A255" s="104" t="str">
        <f>IF(K255&gt;0,COUNT($A$7:A254)+COUNT('DWV PVC'!$A$8:$A$284)+COUNT('DWV ABS'!$A$8:$A$116)+1,"")</f>
        <v/>
      </c>
      <c r="B255" s="115"/>
      <c r="C255" s="116"/>
      <c r="D255" s="512" t="str">
        <f>_xlfn.XLOOKUP(E255,'All Products'!D:D,'All Products'!C:C,FALSE)</f>
        <v>437-530</v>
      </c>
      <c r="E255" s="53">
        <v>100022905</v>
      </c>
      <c r="F255" s="522" t="str">
        <f>_xlfn.XLOOKUP(E255,'All Products'!D:D,'All Products'!E:E,FALSE)</f>
        <v>6X3 REDUCER BUSHING SPGX SLIP</v>
      </c>
      <c r="G255" s="282">
        <f>_xlfn.XLOOKUP(E255,'All Products'!D:D,'All Products'!F:F,FALSE)</f>
        <v>4</v>
      </c>
      <c r="H255" s="533">
        <f>_xlfn.XLOOKUP(E255,'All Products'!D:D,'All Products'!G:G,FALSE)</f>
        <v>480</v>
      </c>
      <c r="I255" s="540">
        <f>_xlfn.XLOOKUP(E255,'All Products'!D:D,'All Products'!H:H,FALSE)</f>
        <v>93.24</v>
      </c>
      <c r="J255" s="216">
        <f>ROUND(I255*Order_Quote!$L$4,2)</f>
        <v>466.2</v>
      </c>
      <c r="K255" s="76"/>
      <c r="L255" s="79"/>
      <c r="M255" s="117">
        <f t="shared" si="9"/>
        <v>0</v>
      </c>
      <c r="O255" s="530" t="str">
        <f>_xlfn.XLOOKUP(E255,'All Products'!D:D,'All Products'!I:I,FALSE)</f>
        <v>In Stock</v>
      </c>
      <c r="P255" s="530" t="str">
        <f>_xlfn.XLOOKUP(E255,'All Products'!D:D,'All Products'!J:J,FALSE)</f>
        <v>Manufactured</v>
      </c>
      <c r="Q255" s="543" t="str">
        <f>_xlfn.XLOOKUP(E255,'All Products'!D:D,'All Products'!K:K,FALSE)</f>
        <v>049081133924</v>
      </c>
      <c r="R255" s="543" t="str">
        <f>_xlfn.XLOOKUP(E255,'All Products'!D:D,'All Products'!L:L,FALSE)</f>
        <v>-</v>
      </c>
      <c r="S255" s="543" t="str">
        <f>_xlfn.XLOOKUP(E255,'All Products'!D:D,'All Products'!M:M,FALSE)</f>
        <v>40049081133922</v>
      </c>
      <c r="T255" s="530">
        <f>_xlfn.XLOOKUP(E255,'All Products'!D:D,'All Products'!N:N,FALSE)</f>
        <v>2.0550000000000002</v>
      </c>
      <c r="U255" s="543" t="str">
        <f>_xlfn.XLOOKUP(E255,'All Products'!D:D,'All Products'!O:O,FALSE)</f>
        <v>-</v>
      </c>
      <c r="V255" s="530">
        <f>_xlfn.XLOOKUP(E255,'All Products'!D:D,'All Products'!P:P,FALSE)</f>
        <v>9.0299999999999994</v>
      </c>
      <c r="W255" s="530">
        <f>_xlfn.XLOOKUP(E255,'All Products'!D:D,'All Products'!Q:Q,FALSE)</f>
        <v>0.65</v>
      </c>
    </row>
    <row r="256" spans="1:23" ht="15" customHeight="1">
      <c r="A256" s="104" t="str">
        <f>IF(K256&gt;0,COUNT($A$7:A255)+COUNT('DWV PVC'!$A$8:$A$284)+COUNT('DWV ABS'!$A$8:$A$116)+1,"")</f>
        <v/>
      </c>
      <c r="B256" s="115"/>
      <c r="C256" s="116"/>
      <c r="D256" s="512" t="str">
        <f>_xlfn.XLOOKUP(E256,'All Products'!D:D,'All Products'!C:C,FALSE)</f>
        <v>437-532</v>
      </c>
      <c r="E256" s="53">
        <v>100022907</v>
      </c>
      <c r="F256" s="522" t="str">
        <f>_xlfn.XLOOKUP(E256,'All Products'!D:D,'All Products'!E:E,FALSE)</f>
        <v>6X4 REDUCER BUSHING SPGX SLIP</v>
      </c>
      <c r="G256" s="282">
        <f>_xlfn.XLOOKUP(E256,'All Products'!D:D,'All Products'!F:F,FALSE)</f>
        <v>4</v>
      </c>
      <c r="H256" s="533">
        <f>_xlfn.XLOOKUP(E256,'All Products'!D:D,'All Products'!G:G,FALSE)</f>
        <v>480</v>
      </c>
      <c r="I256" s="540">
        <f>_xlfn.XLOOKUP(E256,'All Products'!D:D,'All Products'!H:H,FALSE)</f>
        <v>93.24</v>
      </c>
      <c r="J256" s="216">
        <f>ROUND(I256*Order_Quote!$L$4,2)</f>
        <v>466.2</v>
      </c>
      <c r="K256" s="76"/>
      <c r="L256" s="79"/>
      <c r="M256" s="117">
        <f t="shared" si="9"/>
        <v>0</v>
      </c>
      <c r="O256" s="530" t="str">
        <f>_xlfn.XLOOKUP(E256,'All Products'!D:D,'All Products'!I:I,FALSE)</f>
        <v>In Stock</v>
      </c>
      <c r="P256" s="530" t="str">
        <f>_xlfn.XLOOKUP(E256,'All Products'!D:D,'All Products'!J:J,FALSE)</f>
        <v>Manufactured</v>
      </c>
      <c r="Q256" s="543" t="str">
        <f>_xlfn.XLOOKUP(E256,'All Products'!D:D,'All Products'!K:K,FALSE)</f>
        <v>049081133900</v>
      </c>
      <c r="R256" s="543" t="str">
        <f>_xlfn.XLOOKUP(E256,'All Products'!D:D,'All Products'!L:L,FALSE)</f>
        <v>-</v>
      </c>
      <c r="S256" s="543" t="str">
        <f>_xlfn.XLOOKUP(E256,'All Products'!D:D,'All Products'!M:M,FALSE)</f>
        <v>40049081133908</v>
      </c>
      <c r="T256" s="530">
        <f>_xlfn.XLOOKUP(E256,'All Products'!D:D,'All Products'!N:N,FALSE)</f>
        <v>1.7490000000000001</v>
      </c>
      <c r="U256" s="543" t="str">
        <f>_xlfn.XLOOKUP(E256,'All Products'!D:D,'All Products'!O:O,FALSE)</f>
        <v>-</v>
      </c>
      <c r="V256" s="530">
        <f>_xlfn.XLOOKUP(E256,'All Products'!D:D,'All Products'!P:P,FALSE)</f>
        <v>7.74</v>
      </c>
      <c r="W256" s="530">
        <f>_xlfn.XLOOKUP(E256,'All Products'!D:D,'All Products'!Q:Q,FALSE)</f>
        <v>0.65</v>
      </c>
    </row>
    <row r="257" spans="1:23" ht="15" customHeight="1">
      <c r="A257" s="104" t="str">
        <f>IF(K257&gt;0,COUNT($A$7:A256)+COUNT('DWV PVC'!$A$8:$A$284)+COUNT('DWV ABS'!$A$8:$A$116)+1,"")</f>
        <v/>
      </c>
      <c r="B257" s="115"/>
      <c r="C257" s="116"/>
      <c r="D257" s="512" t="str">
        <f>_xlfn.XLOOKUP(E257,'All Products'!D:D,'All Products'!C:C,FALSE)</f>
        <v>437-534</v>
      </c>
      <c r="E257" s="53">
        <v>100022909</v>
      </c>
      <c r="F257" s="522" t="str">
        <f>_xlfn.XLOOKUP(E257,'All Products'!D:D,'All Products'!E:E,FALSE)</f>
        <v>6X5 REDUCER BUSHING SPGX SLIP</v>
      </c>
      <c r="G257" s="282">
        <f>_xlfn.XLOOKUP(E257,'All Products'!D:D,'All Products'!F:F,FALSE)</f>
        <v>4</v>
      </c>
      <c r="H257" s="533">
        <f>_xlfn.XLOOKUP(E257,'All Products'!D:D,'All Products'!G:G,FALSE)</f>
        <v>480</v>
      </c>
      <c r="I257" s="540">
        <f>_xlfn.XLOOKUP(E257,'All Products'!D:D,'All Products'!H:H,FALSE)</f>
        <v>93.24</v>
      </c>
      <c r="J257" s="216">
        <f>ROUND(I257*Order_Quote!$L$4,2)</f>
        <v>466.2</v>
      </c>
      <c r="K257" s="76"/>
      <c r="L257" s="79"/>
      <c r="M257" s="117">
        <f t="shared" si="9"/>
        <v>0</v>
      </c>
      <c r="O257" s="530" t="str">
        <f>_xlfn.XLOOKUP(E257,'All Products'!D:D,'All Products'!I:I,FALSE)</f>
        <v>In Stock</v>
      </c>
      <c r="P257" s="530" t="str">
        <f>_xlfn.XLOOKUP(E257,'All Products'!D:D,'All Products'!J:J,FALSE)</f>
        <v>Manufactured</v>
      </c>
      <c r="Q257" s="543" t="str">
        <f>_xlfn.XLOOKUP(E257,'All Products'!D:D,'All Products'!K:K,FALSE)</f>
        <v>049081133887</v>
      </c>
      <c r="R257" s="543" t="str">
        <f>_xlfn.XLOOKUP(E257,'All Products'!D:D,'All Products'!L:L,FALSE)</f>
        <v>-</v>
      </c>
      <c r="S257" s="543" t="str">
        <f>_xlfn.XLOOKUP(E257,'All Products'!D:D,'All Products'!M:M,FALSE)</f>
        <v>40049081133885</v>
      </c>
      <c r="T257" s="530">
        <f>_xlfn.XLOOKUP(E257,'All Products'!D:D,'All Products'!N:N,FALSE)</f>
        <v>1.913</v>
      </c>
      <c r="U257" s="543" t="str">
        <f>_xlfn.XLOOKUP(E257,'All Products'!D:D,'All Products'!O:O,FALSE)</f>
        <v>-</v>
      </c>
      <c r="V257" s="530">
        <f>_xlfn.XLOOKUP(E257,'All Products'!D:D,'All Products'!P:P,FALSE)</f>
        <v>7.72</v>
      </c>
      <c r="W257" s="530">
        <f>_xlfn.XLOOKUP(E257,'All Products'!D:D,'All Products'!Q:Q,FALSE)</f>
        <v>0.65</v>
      </c>
    </row>
    <row r="258" spans="1:23" ht="15" customHeight="1">
      <c r="A258" s="104" t="str">
        <f>IF(K258&gt;0,COUNT($A$7:A257)+COUNT('DWV PVC'!$A$8:$A$284)+COUNT('DWV ABS'!$A$8:$A$116)+1,"")</f>
        <v/>
      </c>
      <c r="B258" s="115"/>
      <c r="C258" s="116"/>
      <c r="D258" s="512" t="str">
        <f>_xlfn.XLOOKUP(E258,'All Products'!D:D,'All Products'!C:C,FALSE)</f>
        <v>437-578</v>
      </c>
      <c r="E258" s="53">
        <v>100022911</v>
      </c>
      <c r="F258" s="522" t="str">
        <f>_xlfn.XLOOKUP(E258,'All Products'!D:D,'All Products'!E:E,FALSE)</f>
        <v>8X2 REDUCER BUSHING SPGX SLIP</v>
      </c>
      <c r="G258" s="282">
        <f>_xlfn.XLOOKUP(E258,'All Products'!D:D,'All Products'!F:F,FALSE)</f>
        <v>2</v>
      </c>
      <c r="H258" s="533">
        <f>_xlfn.XLOOKUP(E258,'All Products'!D:D,'All Products'!G:G,FALSE)</f>
        <v>180</v>
      </c>
      <c r="I258" s="540">
        <f>_xlfn.XLOOKUP(E258,'All Products'!D:D,'All Products'!H:H,FALSE)</f>
        <v>324.99</v>
      </c>
      <c r="J258" s="216">
        <f>ROUND(I258*Order_Quote!$L$4,2)</f>
        <v>1624.95</v>
      </c>
      <c r="K258" s="76"/>
      <c r="L258" s="79"/>
      <c r="M258" s="117">
        <f t="shared" si="9"/>
        <v>0</v>
      </c>
      <c r="O258" s="530" t="str">
        <f>_xlfn.XLOOKUP(E258,'All Products'!D:D,'All Products'!I:I,FALSE)</f>
        <v>In Stock</v>
      </c>
      <c r="P258" s="530" t="str">
        <f>_xlfn.XLOOKUP(E258,'All Products'!D:D,'All Products'!J:J,FALSE)</f>
        <v>Manufactured</v>
      </c>
      <c r="Q258" s="543" t="str">
        <f>_xlfn.XLOOKUP(E258,'All Products'!D:D,'All Products'!K:K,FALSE)</f>
        <v>049081134006</v>
      </c>
      <c r="R258" s="543" t="str">
        <f>_xlfn.XLOOKUP(E258,'All Products'!D:D,'All Products'!L:L,FALSE)</f>
        <v>-</v>
      </c>
      <c r="S258" s="543" t="str">
        <f>_xlfn.XLOOKUP(E258,'All Products'!D:D,'All Products'!M:M,FALSE)</f>
        <v>40049081134004</v>
      </c>
      <c r="T258" s="530">
        <f>_xlfn.XLOOKUP(E258,'All Products'!D:D,'All Products'!N:N,FALSE)</f>
        <v>4.1050000000000004</v>
      </c>
      <c r="U258" s="543" t="str">
        <f>_xlfn.XLOOKUP(E258,'All Products'!D:D,'All Products'!O:O,FALSE)</f>
        <v>-</v>
      </c>
      <c r="V258" s="530">
        <f>_xlfn.XLOOKUP(E258,'All Products'!D:D,'All Products'!P:P,FALSE)</f>
        <v>8.2899999999999991</v>
      </c>
      <c r="W258" s="530">
        <f>_xlfn.XLOOKUP(E258,'All Products'!D:D,'All Products'!Q:Q,FALSE)</f>
        <v>0.8</v>
      </c>
    </row>
    <row r="259" spans="1:23" ht="15" customHeight="1">
      <c r="A259" s="104" t="str">
        <f>IF(K259&gt;0,COUNT($A$7:A258)+COUNT('DWV PVC'!$A$8:$A$284)+COUNT('DWV ABS'!$A$8:$A$116)+1,"")</f>
        <v/>
      </c>
      <c r="B259" s="115"/>
      <c r="C259" s="116"/>
      <c r="D259" s="512" t="str">
        <f>_xlfn.XLOOKUP(E259,'All Products'!D:D,'All Products'!C:C,FALSE)</f>
        <v>437-582</v>
      </c>
      <c r="E259" s="53">
        <v>100022916</v>
      </c>
      <c r="F259" s="522" t="str">
        <f>_xlfn.XLOOKUP(E259,'All Products'!D:D,'All Products'!E:E,FALSE)</f>
        <v>8X4 REDUCER BUSHING SPGX SLIP</v>
      </c>
      <c r="G259" s="282">
        <f>_xlfn.XLOOKUP(E259,'All Products'!D:D,'All Products'!F:F,FALSE)</f>
        <v>2</v>
      </c>
      <c r="H259" s="533">
        <f>_xlfn.XLOOKUP(E259,'All Products'!D:D,'All Products'!G:G,FALSE)</f>
        <v>150</v>
      </c>
      <c r="I259" s="540">
        <f>_xlfn.XLOOKUP(E259,'All Products'!D:D,'All Products'!H:H,FALSE)</f>
        <v>324.94</v>
      </c>
      <c r="J259" s="216">
        <f>ROUND(I259*Order_Quote!$L$4,2)</f>
        <v>1624.7</v>
      </c>
      <c r="K259" s="76"/>
      <c r="L259" s="79"/>
      <c r="M259" s="117">
        <f t="shared" si="9"/>
        <v>0</v>
      </c>
      <c r="O259" s="530" t="str">
        <f>_xlfn.XLOOKUP(E259,'All Products'!D:D,'All Products'!I:I,FALSE)</f>
        <v>In Stock</v>
      </c>
      <c r="P259" s="530" t="str">
        <f>_xlfn.XLOOKUP(E259,'All Products'!D:D,'All Products'!J:J,FALSE)</f>
        <v>Manufactured</v>
      </c>
      <c r="Q259" s="543" t="str">
        <f>_xlfn.XLOOKUP(E259,'All Products'!D:D,'All Products'!K:K,FALSE)</f>
        <v>049081133986</v>
      </c>
      <c r="R259" s="543" t="str">
        <f>_xlfn.XLOOKUP(E259,'All Products'!D:D,'All Products'!L:L,FALSE)</f>
        <v>-</v>
      </c>
      <c r="S259" s="543" t="str">
        <f>_xlfn.XLOOKUP(E259,'All Products'!D:D,'All Products'!M:M,FALSE)</f>
        <v>40049081133984</v>
      </c>
      <c r="T259" s="530">
        <f>_xlfn.XLOOKUP(E259,'All Products'!D:D,'All Products'!N:N,FALSE)</f>
        <v>3.8740000000000001</v>
      </c>
      <c r="U259" s="543" t="str">
        <f>_xlfn.XLOOKUP(E259,'All Products'!D:D,'All Products'!O:O,FALSE)</f>
        <v>-</v>
      </c>
      <c r="V259" s="530">
        <f>_xlfn.XLOOKUP(E259,'All Products'!D:D,'All Products'!P:P,FALSE)</f>
        <v>8.52</v>
      </c>
      <c r="W259" s="530">
        <f>_xlfn.XLOOKUP(E259,'All Products'!D:D,'All Products'!Q:Q,FALSE)</f>
        <v>1.1000000000000001</v>
      </c>
    </row>
    <row r="260" spans="1:23" ht="15" customHeight="1">
      <c r="A260" s="104" t="str">
        <f>IF(K260&gt;0,COUNT($A$7:A259)+COUNT('DWV PVC'!$A$8:$A$284)+COUNT('DWV ABS'!$A$8:$A$116)+1,"")</f>
        <v/>
      </c>
      <c r="B260" s="115"/>
      <c r="C260" s="116"/>
      <c r="D260" s="512" t="str">
        <f>_xlfn.XLOOKUP(E260,'All Products'!D:D,'All Products'!C:C,FALSE)</f>
        <v>437-585</v>
      </c>
      <c r="E260" s="53">
        <v>100022920</v>
      </c>
      <c r="F260" s="522" t="str">
        <f>_xlfn.XLOOKUP(E260,'All Products'!D:D,'All Products'!E:E,FALSE)</f>
        <v>8X6 REDUCER BUSHING SPGX SLIP</v>
      </c>
      <c r="G260" s="282">
        <f>_xlfn.XLOOKUP(E260,'All Products'!D:D,'All Products'!F:F,FALSE)</f>
        <v>2</v>
      </c>
      <c r="H260" s="533">
        <f>_xlfn.XLOOKUP(E260,'All Products'!D:D,'All Products'!G:G,FALSE)</f>
        <v>150</v>
      </c>
      <c r="I260" s="540">
        <f>_xlfn.XLOOKUP(E260,'All Products'!D:D,'All Products'!H:H,FALSE)</f>
        <v>324.94</v>
      </c>
      <c r="J260" s="216">
        <f>ROUND(I260*Order_Quote!$L$4,2)</f>
        <v>1624.7</v>
      </c>
      <c r="K260" s="76"/>
      <c r="L260" s="79"/>
      <c r="M260" s="117">
        <f t="shared" si="9"/>
        <v>0</v>
      </c>
      <c r="O260" s="530" t="str">
        <f>_xlfn.XLOOKUP(E260,'All Products'!D:D,'All Products'!I:I,FALSE)</f>
        <v>In Stock</v>
      </c>
      <c r="P260" s="530" t="str">
        <f>_xlfn.XLOOKUP(E260,'All Products'!D:D,'All Products'!J:J,FALSE)</f>
        <v>Manufactured</v>
      </c>
      <c r="Q260" s="543" t="str">
        <f>_xlfn.XLOOKUP(E260,'All Products'!D:D,'All Products'!K:K,FALSE)</f>
        <v>049081133962</v>
      </c>
      <c r="R260" s="543" t="str">
        <f>_xlfn.XLOOKUP(E260,'All Products'!D:D,'All Products'!L:L,FALSE)</f>
        <v>-</v>
      </c>
      <c r="S260" s="543" t="str">
        <f>_xlfn.XLOOKUP(E260,'All Products'!D:D,'All Products'!M:M,FALSE)</f>
        <v>40049081133960</v>
      </c>
      <c r="T260" s="530">
        <f>_xlfn.XLOOKUP(E260,'All Products'!D:D,'All Products'!N:N,FALSE)</f>
        <v>3.984</v>
      </c>
      <c r="U260" s="543" t="str">
        <f>_xlfn.XLOOKUP(E260,'All Products'!D:D,'All Products'!O:O,FALSE)</f>
        <v>-</v>
      </c>
      <c r="V260" s="530">
        <f>_xlfn.XLOOKUP(E260,'All Products'!D:D,'All Products'!P:P,FALSE)</f>
        <v>8.6999999999999993</v>
      </c>
      <c r="W260" s="530">
        <f>_xlfn.XLOOKUP(E260,'All Products'!D:D,'All Products'!Q:Q,FALSE)</f>
        <v>1.1000000000000001</v>
      </c>
    </row>
    <row r="261" spans="1:23" ht="15" customHeight="1">
      <c r="A261" s="104" t="str">
        <f>IF(K261&gt;0,COUNT($A$7:A260)+COUNT('DWV PVC'!$A$8:$A$284)+COUNT('DWV ABS'!$A$8:$A$116)+1,"")</f>
        <v/>
      </c>
      <c r="B261" s="379"/>
      <c r="C261" s="291"/>
      <c r="D261" s="512" t="str">
        <f>_xlfn.XLOOKUP(E261,'All Products'!D:D,'All Products'!C:C,FALSE)</f>
        <v>438-071</v>
      </c>
      <c r="E261" s="53">
        <v>100022921</v>
      </c>
      <c r="F261" s="522" t="str">
        <f>_xlfn.XLOOKUP(E261,'All Products'!D:D,'All Products'!E:E,FALSE)</f>
        <v>1/2X1/8 REDUCER BUSHING SPGX FIPT</v>
      </c>
      <c r="G261" s="282">
        <f>_xlfn.XLOOKUP(E261,'All Products'!D:D,'All Products'!F:F,FALSE)</f>
        <v>250</v>
      </c>
      <c r="H261" s="533">
        <f>_xlfn.XLOOKUP(E261,'All Products'!D:D,'All Products'!G:G,FALSE)</f>
        <v>67500</v>
      </c>
      <c r="I261" s="540">
        <f>_xlfn.XLOOKUP(E261,'All Products'!D:D,'All Products'!H:H,FALSE)</f>
        <v>3.48</v>
      </c>
      <c r="J261" s="216">
        <f>ROUND(I261*Order_Quote!$L$4,2)</f>
        <v>17.399999999999999</v>
      </c>
      <c r="K261" s="76"/>
      <c r="L261" s="79"/>
      <c r="M261" s="117">
        <f t="shared" si="9"/>
        <v>0</v>
      </c>
      <c r="O261" s="530" t="str">
        <f>_xlfn.XLOOKUP(E261,'All Products'!D:D,'All Products'!I:I,FALSE)</f>
        <v>Within 3 Weeks</v>
      </c>
      <c r="P261" s="530" t="str">
        <f>_xlfn.XLOOKUP(E261,'All Products'!D:D,'All Products'!J:J,FALSE)</f>
        <v>Manufactured</v>
      </c>
      <c r="Q261" s="543" t="str">
        <f>_xlfn.XLOOKUP(E261,'All Products'!D:D,'All Products'!K:K,FALSE)</f>
        <v>049081134303</v>
      </c>
      <c r="R261" s="543" t="str">
        <f>_xlfn.XLOOKUP(E261,'All Products'!D:D,'All Products'!L:L,FALSE)</f>
        <v>049081634308</v>
      </c>
      <c r="S261" s="543" t="str">
        <f>_xlfn.XLOOKUP(E261,'All Products'!D:D,'All Products'!M:M,FALSE)</f>
        <v>40049081134301</v>
      </c>
      <c r="T261" s="530">
        <f>_xlfn.XLOOKUP(E261,'All Products'!D:D,'All Products'!N:N,FALSE)</f>
        <v>2.1999999999999999E-2</v>
      </c>
      <c r="U261" s="543">
        <f>_xlfn.XLOOKUP(E261,'All Products'!D:D,'All Products'!O:O,FALSE)</f>
        <v>10</v>
      </c>
      <c r="V261" s="530">
        <f>_xlfn.XLOOKUP(E261,'All Products'!D:D,'All Products'!P:P,FALSE)</f>
        <v>6.9</v>
      </c>
      <c r="W261" s="530">
        <f>_xlfn.XLOOKUP(E261,'All Products'!D:D,'All Products'!Q:Q,FALSE)</f>
        <v>0.31</v>
      </c>
    </row>
    <row r="262" spans="1:23" ht="15" customHeight="1">
      <c r="A262" s="104" t="str">
        <f>IF(K262&gt;0,COUNT($A$7:A261)+COUNT('DWV PVC'!$A$8:$A$284)+COUNT('DWV ABS'!$A$8:$A$116)+1,"")</f>
        <v/>
      </c>
      <c r="B262" s="115"/>
      <c r="C262" s="116"/>
      <c r="D262" s="512" t="str">
        <f>_xlfn.XLOOKUP(E262,'All Products'!D:D,'All Products'!C:C,FALSE)</f>
        <v>438-072</v>
      </c>
      <c r="E262" s="53">
        <v>100022923</v>
      </c>
      <c r="F262" s="522" t="str">
        <f>_xlfn.XLOOKUP(E262,'All Products'!D:D,'All Products'!E:E,FALSE)</f>
        <v>1/2X1/4 REDUCER BUSHING SPGX FIPT</v>
      </c>
      <c r="G262" s="282">
        <f>_xlfn.XLOOKUP(E262,'All Products'!D:D,'All Products'!F:F,FALSE)</f>
        <v>250</v>
      </c>
      <c r="H262" s="533">
        <f>_xlfn.XLOOKUP(E262,'All Products'!D:D,'All Products'!G:G,FALSE)</f>
        <v>67500</v>
      </c>
      <c r="I262" s="540">
        <f>_xlfn.XLOOKUP(E262,'All Products'!D:D,'All Products'!H:H,FALSE)</f>
        <v>3.48</v>
      </c>
      <c r="J262" s="216">
        <f>ROUND(I262*Order_Quote!$L$4,2)</f>
        <v>17.399999999999999</v>
      </c>
      <c r="K262" s="76"/>
      <c r="L262" s="79"/>
      <c r="M262" s="117">
        <f t="shared" si="9"/>
        <v>0</v>
      </c>
      <c r="O262" s="530" t="str">
        <f>_xlfn.XLOOKUP(E262,'All Products'!D:D,'All Products'!I:I,FALSE)</f>
        <v>In Stock</v>
      </c>
      <c r="P262" s="530" t="str">
        <f>_xlfn.XLOOKUP(E262,'All Products'!D:D,'All Products'!J:J,FALSE)</f>
        <v>Manufactured</v>
      </c>
      <c r="Q262" s="543" t="str">
        <f>_xlfn.XLOOKUP(E262,'All Products'!D:D,'All Products'!K:K,FALSE)</f>
        <v>049081134280</v>
      </c>
      <c r="R262" s="543" t="str">
        <f>_xlfn.XLOOKUP(E262,'All Products'!D:D,'All Products'!L:L,FALSE)</f>
        <v>049081634285</v>
      </c>
      <c r="S262" s="543" t="str">
        <f>_xlfn.XLOOKUP(E262,'All Products'!D:D,'All Products'!M:M,FALSE)</f>
        <v>40049081134288</v>
      </c>
      <c r="T262" s="530">
        <f>_xlfn.XLOOKUP(E262,'All Products'!D:D,'All Products'!N:N,FALSE)</f>
        <v>2.1000000000000001E-2</v>
      </c>
      <c r="U262" s="543">
        <f>_xlfn.XLOOKUP(E262,'All Products'!D:D,'All Products'!O:O,FALSE)</f>
        <v>10</v>
      </c>
      <c r="V262" s="530">
        <f>_xlfn.XLOOKUP(E262,'All Products'!D:D,'All Products'!P:P,FALSE)</f>
        <v>5.5</v>
      </c>
      <c r="W262" s="530">
        <f>_xlfn.XLOOKUP(E262,'All Products'!D:D,'All Products'!Q:Q,FALSE)</f>
        <v>0.31</v>
      </c>
    </row>
    <row r="263" spans="1:23" ht="15" customHeight="1">
      <c r="A263" s="104" t="str">
        <f>IF(K263&gt;0,COUNT($A$7:A262)+COUNT('DWV PVC'!$A$8:$A$284)+COUNT('DWV ABS'!$A$8:$A$116)+1,"")</f>
        <v/>
      </c>
      <c r="B263" s="115"/>
      <c r="C263" s="116"/>
      <c r="D263" s="512" t="str">
        <f>_xlfn.XLOOKUP(E263,'All Products'!D:D,'All Products'!C:C,FALSE)</f>
        <v>438-073</v>
      </c>
      <c r="E263" s="53">
        <v>100022924</v>
      </c>
      <c r="F263" s="522" t="str">
        <f>_xlfn.XLOOKUP(E263,'All Products'!D:D,'All Products'!E:E,FALSE)</f>
        <v>1/2X3/8 REDUCER BUSHING SPGX FIPT</v>
      </c>
      <c r="G263" s="282">
        <f>_xlfn.XLOOKUP(E263,'All Products'!D:D,'All Products'!F:F,FALSE)</f>
        <v>250</v>
      </c>
      <c r="H263" s="533">
        <f>_xlfn.XLOOKUP(E263,'All Products'!D:D,'All Products'!G:G,FALSE)</f>
        <v>67500</v>
      </c>
      <c r="I263" s="540">
        <f>_xlfn.XLOOKUP(E263,'All Products'!D:D,'All Products'!H:H,FALSE)</f>
        <v>3.48</v>
      </c>
      <c r="J263" s="216">
        <f>ROUND(I263*Order_Quote!$L$4,2)</f>
        <v>17.399999999999999</v>
      </c>
      <c r="K263" s="76"/>
      <c r="L263" s="79"/>
      <c r="M263" s="117">
        <f t="shared" si="9"/>
        <v>0</v>
      </c>
      <c r="O263" s="530" t="str">
        <f>_xlfn.XLOOKUP(E263,'All Products'!D:D,'All Products'!I:I,FALSE)</f>
        <v>Within 3 Weeks</v>
      </c>
      <c r="P263" s="530" t="str">
        <f>_xlfn.XLOOKUP(E263,'All Products'!D:D,'All Products'!J:J,FALSE)</f>
        <v>Manufactured</v>
      </c>
      <c r="Q263" s="543" t="str">
        <f>_xlfn.XLOOKUP(E263,'All Products'!D:D,'All Products'!K:K,FALSE)</f>
        <v>049081134266</v>
      </c>
      <c r="R263" s="543" t="str">
        <f>_xlfn.XLOOKUP(E263,'All Products'!D:D,'All Products'!L:L,FALSE)</f>
        <v>049081634261</v>
      </c>
      <c r="S263" s="543" t="str">
        <f>_xlfn.XLOOKUP(E263,'All Products'!D:D,'All Products'!M:M,FALSE)</f>
        <v>40049081134264</v>
      </c>
      <c r="T263" s="530">
        <f>_xlfn.XLOOKUP(E263,'All Products'!D:D,'All Products'!N:N,FALSE)</f>
        <v>1.7999999999999999E-2</v>
      </c>
      <c r="U263" s="543">
        <f>_xlfn.XLOOKUP(E263,'All Products'!D:D,'All Products'!O:O,FALSE)</f>
        <v>10</v>
      </c>
      <c r="V263" s="530">
        <f>_xlfn.XLOOKUP(E263,'All Products'!D:D,'All Products'!P:P,FALSE)</f>
        <v>4.68</v>
      </c>
      <c r="W263" s="530">
        <f>_xlfn.XLOOKUP(E263,'All Products'!D:D,'All Products'!Q:Q,FALSE)</f>
        <v>0.31</v>
      </c>
    </row>
    <row r="264" spans="1:23" ht="15" customHeight="1">
      <c r="A264" s="104" t="str">
        <f>IF(K264&gt;0,COUNT($A$7:A263)+COUNT('DWV PVC'!$A$8:$A$284)+COUNT('DWV ABS'!$A$8:$A$116)+1,"")</f>
        <v/>
      </c>
      <c r="B264" s="115"/>
      <c r="C264" s="116"/>
      <c r="D264" s="512" t="str">
        <f>_xlfn.XLOOKUP(E264,'All Products'!D:D,'All Products'!C:C,FALSE)</f>
        <v>438-098</v>
      </c>
      <c r="E264" s="53">
        <v>100022926</v>
      </c>
      <c r="F264" s="522" t="str">
        <f>_xlfn.XLOOKUP(E264,'All Products'!D:D,'All Products'!E:E,FALSE)</f>
        <v>3/4X1/4 REDUCER BUSHING SPGX FIPT</v>
      </c>
      <c r="G264" s="282">
        <f>_xlfn.XLOOKUP(E264,'All Products'!D:D,'All Products'!F:F,FALSE)</f>
        <v>250</v>
      </c>
      <c r="H264" s="533">
        <f>_xlfn.XLOOKUP(E264,'All Products'!D:D,'All Products'!G:G,FALSE)</f>
        <v>37500</v>
      </c>
      <c r="I264" s="540">
        <f>_xlfn.XLOOKUP(E264,'All Products'!D:D,'All Products'!H:H,FALSE)</f>
        <v>3.48</v>
      </c>
      <c r="J264" s="216">
        <f>ROUND(I264*Order_Quote!$L$4,2)</f>
        <v>17.399999999999999</v>
      </c>
      <c r="K264" s="76"/>
      <c r="L264" s="79"/>
      <c r="M264" s="117">
        <f t="shared" si="9"/>
        <v>0</v>
      </c>
      <c r="O264" s="530" t="str">
        <f>_xlfn.XLOOKUP(E264,'All Products'!D:D,'All Products'!I:I,FALSE)</f>
        <v>In Stock</v>
      </c>
      <c r="P264" s="530" t="str">
        <f>_xlfn.XLOOKUP(E264,'All Products'!D:D,'All Products'!J:J,FALSE)</f>
        <v>Manufactured</v>
      </c>
      <c r="Q264" s="543" t="str">
        <f>_xlfn.XLOOKUP(E264,'All Products'!D:D,'All Products'!K:K,FALSE)</f>
        <v>049081134402</v>
      </c>
      <c r="R264" s="543" t="str">
        <f>_xlfn.XLOOKUP(E264,'All Products'!D:D,'All Products'!L:L,FALSE)</f>
        <v>049081634407</v>
      </c>
      <c r="S264" s="543" t="str">
        <f>_xlfn.XLOOKUP(E264,'All Products'!D:D,'All Products'!M:M,FALSE)</f>
        <v>40049081134400</v>
      </c>
      <c r="T264" s="530">
        <f>_xlfn.XLOOKUP(E264,'All Products'!D:D,'All Products'!N:N,FALSE)</f>
        <v>3.6999999999999998E-2</v>
      </c>
      <c r="U264" s="543">
        <f>_xlfn.XLOOKUP(E264,'All Products'!D:D,'All Products'!O:O,FALSE)</f>
        <v>10</v>
      </c>
      <c r="V264" s="530">
        <f>_xlfn.XLOOKUP(E264,'All Products'!D:D,'All Products'!P:P,FALSE)</f>
        <v>9.23</v>
      </c>
      <c r="W264" s="530">
        <f>_xlfn.XLOOKUP(E264,'All Products'!D:D,'All Products'!Q:Q,FALSE)</f>
        <v>0.5</v>
      </c>
    </row>
    <row r="265" spans="1:23" ht="15" customHeight="1">
      <c r="A265" s="104" t="str">
        <f>IF(K265&gt;0,COUNT($A$7:A264)+COUNT('DWV PVC'!$A$8:$A$284)+COUNT('DWV ABS'!$A$8:$A$116)+1,"")</f>
        <v/>
      </c>
      <c r="B265" s="579"/>
      <c r="C265" s="580"/>
      <c r="D265" s="512" t="str">
        <f>_xlfn.XLOOKUP(E265,'All Products'!D:D,'All Products'!C:C,FALSE)</f>
        <v>438-101</v>
      </c>
      <c r="E265" s="53">
        <v>100022930</v>
      </c>
      <c r="F265" s="522" t="str">
        <f>_xlfn.XLOOKUP(E265,'All Products'!D:D,'All Products'!E:E,FALSE)</f>
        <v>3/4X1/2 REDUCER BUSHING SPGX FIPT</v>
      </c>
      <c r="G265" s="282">
        <f>_xlfn.XLOOKUP(E265,'All Products'!D:D,'All Products'!F:F,FALSE)</f>
        <v>500</v>
      </c>
      <c r="H265" s="533">
        <f>_xlfn.XLOOKUP(E265,'All Products'!D:D,'All Products'!G:G,FALSE)</f>
        <v>45000</v>
      </c>
      <c r="I265" s="540">
        <f>_xlfn.XLOOKUP(E265,'All Products'!D:D,'All Products'!H:H,FALSE)</f>
        <v>2.65</v>
      </c>
      <c r="J265" s="216">
        <f>ROUND(I265*Order_Quote!$L$4,2)</f>
        <v>13.25</v>
      </c>
      <c r="K265" s="76"/>
      <c r="L265" s="79"/>
      <c r="M265" s="117">
        <f t="shared" si="9"/>
        <v>0</v>
      </c>
      <c r="O265" s="530" t="str">
        <f>_xlfn.XLOOKUP(E265,'All Products'!D:D,'All Products'!I:I,FALSE)</f>
        <v>In Stock</v>
      </c>
      <c r="P265" s="530" t="str">
        <f>_xlfn.XLOOKUP(E265,'All Products'!D:D,'All Products'!J:J,FALSE)</f>
        <v>Manufactured</v>
      </c>
      <c r="Q265" s="543" t="str">
        <f>_xlfn.XLOOKUP(E265,'All Products'!D:D,'All Products'!K:K,FALSE)</f>
        <v>049081134365</v>
      </c>
      <c r="R265" s="543" t="str">
        <f>_xlfn.XLOOKUP(E265,'All Products'!D:D,'All Products'!L:L,FALSE)</f>
        <v>049081634360</v>
      </c>
      <c r="S265" s="543" t="str">
        <f>_xlfn.XLOOKUP(E265,'All Products'!D:D,'All Products'!M:M,FALSE)</f>
        <v>40049081134363</v>
      </c>
      <c r="T265" s="530">
        <f>_xlfn.XLOOKUP(E265,'All Products'!D:D,'All Products'!N:N,FALSE)</f>
        <v>2.8000000000000001E-2</v>
      </c>
      <c r="U265" s="543">
        <f>_xlfn.XLOOKUP(E265,'All Products'!D:D,'All Products'!O:O,FALSE)</f>
        <v>10</v>
      </c>
      <c r="V265" s="530">
        <f>_xlfn.XLOOKUP(E265,'All Products'!D:D,'All Products'!P:P,FALSE)</f>
        <v>15.36</v>
      </c>
      <c r="W265" s="530">
        <f>_xlfn.XLOOKUP(E265,'All Products'!D:D,'All Products'!Q:Q,FALSE)</f>
        <v>0.8</v>
      </c>
    </row>
    <row r="266" spans="1:23" ht="15" customHeight="1">
      <c r="A266" s="104" t="str">
        <f>IF(K266&gt;0,COUNT($A$7:A265)+COUNT('DWV PVC'!$A$8:$A$284)+COUNT('DWV ABS'!$A$8:$A$116)+1,"")</f>
        <v/>
      </c>
      <c r="B266" s="579"/>
      <c r="C266" s="580"/>
      <c r="D266" s="512" t="str">
        <f>_xlfn.XLOOKUP(E266,'All Products'!D:D,'All Products'!C:C,FALSE)</f>
        <v>438-128</v>
      </c>
      <c r="E266" s="53">
        <v>100022931</v>
      </c>
      <c r="F266" s="522" t="str">
        <f>_xlfn.XLOOKUP(E266,'All Products'!D:D,'All Products'!E:E,FALSE)</f>
        <v>1X1/4 REDUCER BUSHING SPGX FIPT</v>
      </c>
      <c r="G266" s="282">
        <f>_xlfn.XLOOKUP(E266,'All Products'!D:D,'All Products'!F:F,FALSE)</f>
        <v>250</v>
      </c>
      <c r="H266" s="533">
        <f>_xlfn.XLOOKUP(E266,'All Products'!D:D,'All Products'!G:G,FALSE)</f>
        <v>37500</v>
      </c>
      <c r="I266" s="540">
        <f>_xlfn.XLOOKUP(E266,'All Products'!D:D,'All Products'!H:H,FALSE)</f>
        <v>4.25</v>
      </c>
      <c r="J266" s="216">
        <f>ROUND(I266*Order_Quote!$L$4,2)</f>
        <v>21.25</v>
      </c>
      <c r="K266" s="76"/>
      <c r="L266" s="79"/>
      <c r="M266" s="117">
        <f t="shared" ref="M266:M303" si="10">K266/G266</f>
        <v>0</v>
      </c>
      <c r="O266" s="530" t="str">
        <f>_xlfn.XLOOKUP(E266,'All Products'!D:D,'All Products'!I:I,FALSE)</f>
        <v>In Stock</v>
      </c>
      <c r="P266" s="530" t="str">
        <f>_xlfn.XLOOKUP(E266,'All Products'!D:D,'All Products'!J:J,FALSE)</f>
        <v>Manufactured</v>
      </c>
      <c r="Q266" s="543" t="str">
        <f>_xlfn.XLOOKUP(E266,'All Products'!D:D,'All Products'!K:K,FALSE)</f>
        <v>049081134495</v>
      </c>
      <c r="R266" s="543" t="str">
        <f>_xlfn.XLOOKUP(E266,'All Products'!D:D,'All Products'!L:L,FALSE)</f>
        <v>049081634490</v>
      </c>
      <c r="S266" s="543" t="str">
        <f>_xlfn.XLOOKUP(E266,'All Products'!D:D,'All Products'!M:M,FALSE)</f>
        <v>40049081134493</v>
      </c>
      <c r="T266" s="530">
        <f>_xlfn.XLOOKUP(E266,'All Products'!D:D,'All Products'!N:N,FALSE)</f>
        <v>0.05</v>
      </c>
      <c r="U266" s="543">
        <f>_xlfn.XLOOKUP(E266,'All Products'!D:D,'All Products'!O:O,FALSE)</f>
        <v>10</v>
      </c>
      <c r="V266" s="530">
        <f>_xlfn.XLOOKUP(E266,'All Products'!D:D,'All Products'!P:P,FALSE)</f>
        <v>15.44</v>
      </c>
      <c r="W266" s="530">
        <f>_xlfn.XLOOKUP(E266,'All Products'!D:D,'All Products'!Q:Q,FALSE)</f>
        <v>0.5</v>
      </c>
    </row>
    <row r="267" spans="1:23" ht="15" customHeight="1">
      <c r="A267" s="104" t="str">
        <f>IF(K267&gt;0,COUNT($A$7:A266)+COUNT('DWV PVC'!$A$8:$A$284)+COUNT('DWV ABS'!$A$8:$A$116)+1,"")</f>
        <v/>
      </c>
      <c r="B267" s="579"/>
      <c r="C267" s="580"/>
      <c r="D267" s="512" t="str">
        <f>_xlfn.XLOOKUP(E267,'All Products'!D:D,'All Products'!C:C,FALSE)</f>
        <v>438-130</v>
      </c>
      <c r="E267" s="53">
        <v>100022934</v>
      </c>
      <c r="F267" s="522" t="str">
        <f>_xlfn.XLOOKUP(E267,'All Products'!D:D,'All Products'!E:E,FALSE)</f>
        <v>1X1/2 REDUCER BUSHING SPGX FIPT</v>
      </c>
      <c r="G267" s="282">
        <f>_xlfn.XLOOKUP(E267,'All Products'!D:D,'All Products'!F:F,FALSE)</f>
        <v>250</v>
      </c>
      <c r="H267" s="533">
        <f>_xlfn.XLOOKUP(E267,'All Products'!D:D,'All Products'!G:G,FALSE)</f>
        <v>30000</v>
      </c>
      <c r="I267" s="540">
        <f>_xlfn.XLOOKUP(E267,'All Products'!D:D,'All Products'!H:H,FALSE)</f>
        <v>4.25</v>
      </c>
      <c r="J267" s="216">
        <f>ROUND(I267*Order_Quote!$L$4,2)</f>
        <v>21.25</v>
      </c>
      <c r="K267" s="76"/>
      <c r="L267" s="79"/>
      <c r="M267" s="117">
        <f t="shared" si="10"/>
        <v>0</v>
      </c>
      <c r="O267" s="530" t="str">
        <f>_xlfn.XLOOKUP(E267,'All Products'!D:D,'All Products'!I:I,FALSE)</f>
        <v>In Stock</v>
      </c>
      <c r="P267" s="530" t="str">
        <f>_xlfn.XLOOKUP(E267,'All Products'!D:D,'All Products'!J:J,FALSE)</f>
        <v>Manufactured</v>
      </c>
      <c r="Q267" s="543" t="str">
        <f>_xlfn.XLOOKUP(E267,'All Products'!D:D,'All Products'!K:K,FALSE)</f>
        <v>049081134488</v>
      </c>
      <c r="R267" s="543" t="str">
        <f>_xlfn.XLOOKUP(E267,'All Products'!D:D,'All Products'!L:L,FALSE)</f>
        <v>049081634483</v>
      </c>
      <c r="S267" s="543" t="str">
        <f>_xlfn.XLOOKUP(E267,'All Products'!D:D,'All Products'!M:M,FALSE)</f>
        <v>40049081134486</v>
      </c>
      <c r="T267" s="530">
        <f>_xlfn.XLOOKUP(E267,'All Products'!D:D,'All Products'!N:N,FALSE)</f>
        <v>5.1999999999999998E-2</v>
      </c>
      <c r="U267" s="543">
        <f>_xlfn.XLOOKUP(E267,'All Products'!D:D,'All Products'!O:O,FALSE)</f>
        <v>10</v>
      </c>
      <c r="V267" s="530">
        <f>_xlfn.XLOOKUP(E267,'All Products'!D:D,'All Products'!P:P,FALSE)</f>
        <v>13.72</v>
      </c>
      <c r="W267" s="530">
        <f>_xlfn.XLOOKUP(E267,'All Products'!D:D,'All Products'!Q:Q,FALSE)</f>
        <v>0.65</v>
      </c>
    </row>
    <row r="268" spans="1:23" ht="15" customHeight="1">
      <c r="A268" s="104" t="str">
        <f>IF(K268&gt;0,COUNT($A$7:A267)+COUNT('DWV PVC'!$A$8:$A$284)+COUNT('DWV ABS'!$A$8:$A$116)+1,"")</f>
        <v/>
      </c>
      <c r="B268" s="579"/>
      <c r="C268" s="580"/>
      <c r="D268" s="512" t="str">
        <f>_xlfn.XLOOKUP(E268,'All Products'!D:D,'All Products'!C:C,FALSE)</f>
        <v>438-131</v>
      </c>
      <c r="E268" s="53">
        <v>100022936</v>
      </c>
      <c r="F268" s="522" t="str">
        <f>_xlfn.XLOOKUP(E268,'All Products'!D:D,'All Products'!E:E,FALSE)</f>
        <v>1X3/4 REDUCER BUSHING SPGX FIPT</v>
      </c>
      <c r="G268" s="282">
        <f>_xlfn.XLOOKUP(E268,'All Products'!D:D,'All Products'!F:F,FALSE)</f>
        <v>250</v>
      </c>
      <c r="H268" s="533">
        <f>_xlfn.XLOOKUP(E268,'All Products'!D:D,'All Products'!G:G,FALSE)</f>
        <v>30000</v>
      </c>
      <c r="I268" s="540">
        <f>_xlfn.XLOOKUP(E268,'All Products'!D:D,'All Products'!H:H,FALSE)</f>
        <v>4.25</v>
      </c>
      <c r="J268" s="216">
        <f>ROUND(I268*Order_Quote!$L$4,2)</f>
        <v>21.25</v>
      </c>
      <c r="K268" s="76"/>
      <c r="L268" s="79"/>
      <c r="M268" s="117">
        <f t="shared" si="10"/>
        <v>0</v>
      </c>
      <c r="O268" s="530" t="str">
        <f>_xlfn.XLOOKUP(E268,'All Products'!D:D,'All Products'!I:I,FALSE)</f>
        <v>In Stock</v>
      </c>
      <c r="P268" s="530" t="str">
        <f>_xlfn.XLOOKUP(E268,'All Products'!D:D,'All Products'!J:J,FALSE)</f>
        <v>Manufactured</v>
      </c>
      <c r="Q268" s="543" t="str">
        <f>_xlfn.XLOOKUP(E268,'All Products'!D:D,'All Products'!K:K,FALSE)</f>
        <v>049081134464</v>
      </c>
      <c r="R268" s="543" t="str">
        <f>_xlfn.XLOOKUP(E268,'All Products'!D:D,'All Products'!L:L,FALSE)</f>
        <v>049081634469</v>
      </c>
      <c r="S268" s="543" t="str">
        <f>_xlfn.XLOOKUP(E268,'All Products'!D:D,'All Products'!M:M,FALSE)</f>
        <v>40049081134462</v>
      </c>
      <c r="T268" s="530">
        <f>_xlfn.XLOOKUP(E268,'All Products'!D:D,'All Products'!N:N,FALSE)</f>
        <v>4.1000000000000002E-2</v>
      </c>
      <c r="U268" s="543">
        <f>_xlfn.XLOOKUP(E268,'All Products'!D:D,'All Products'!O:O,FALSE)</f>
        <v>10</v>
      </c>
      <c r="V268" s="530">
        <f>_xlfn.XLOOKUP(E268,'All Products'!D:D,'All Products'!P:P,FALSE)</f>
        <v>11.31</v>
      </c>
      <c r="W268" s="530">
        <f>_xlfn.XLOOKUP(E268,'All Products'!D:D,'All Products'!Q:Q,FALSE)</f>
        <v>0.65</v>
      </c>
    </row>
    <row r="269" spans="1:23" ht="15" customHeight="1">
      <c r="A269" s="104" t="str">
        <f>IF(K269&gt;0,COUNT($A$7:A268)+COUNT('DWV PVC'!$A$8:$A$284)+COUNT('DWV ABS'!$A$8:$A$116)+1,"")</f>
        <v/>
      </c>
      <c r="B269" s="579"/>
      <c r="C269" s="580"/>
      <c r="D269" s="512" t="str">
        <f>_xlfn.XLOOKUP(E269,'All Products'!D:D,'All Products'!C:C,FALSE)</f>
        <v>438-166</v>
      </c>
      <c r="E269" s="53">
        <v>100022938</v>
      </c>
      <c r="F269" s="522" t="str">
        <f>_xlfn.XLOOKUP(E269,'All Products'!D:D,'All Products'!E:E,FALSE)</f>
        <v>1-1/4X1/2 RED BUSHING SPGX FIPT</v>
      </c>
      <c r="G269" s="282">
        <f>_xlfn.XLOOKUP(E269,'All Products'!D:D,'All Products'!F:F,FALSE)</f>
        <v>150</v>
      </c>
      <c r="H269" s="533">
        <f>_xlfn.XLOOKUP(E269,'All Products'!D:D,'All Products'!G:G,FALSE)</f>
        <v>18000</v>
      </c>
      <c r="I269" s="540">
        <f>_xlfn.XLOOKUP(E269,'All Products'!D:D,'All Products'!H:H,FALSE)</f>
        <v>6.53</v>
      </c>
      <c r="J269" s="216">
        <f>ROUND(I269*Order_Quote!$L$4,2)</f>
        <v>32.65</v>
      </c>
      <c r="K269" s="76"/>
      <c r="L269" s="79"/>
      <c r="M269" s="117">
        <f t="shared" si="10"/>
        <v>0</v>
      </c>
      <c r="O269" s="530" t="str">
        <f>_xlfn.XLOOKUP(E269,'All Products'!D:D,'All Products'!I:I,FALSE)</f>
        <v>Within 3 Weeks</v>
      </c>
      <c r="P269" s="530" t="str">
        <f>_xlfn.XLOOKUP(E269,'All Products'!D:D,'All Products'!J:J,FALSE)</f>
        <v>Manufactured</v>
      </c>
      <c r="Q269" s="543" t="str">
        <f>_xlfn.XLOOKUP(E269,'All Products'!D:D,'All Products'!K:K,FALSE)</f>
        <v>049081134587</v>
      </c>
      <c r="R269" s="543" t="str">
        <f>_xlfn.XLOOKUP(E269,'All Products'!D:D,'All Products'!L:L,FALSE)</f>
        <v>049081634582</v>
      </c>
      <c r="S269" s="543" t="str">
        <f>_xlfn.XLOOKUP(E269,'All Products'!D:D,'All Products'!M:M,FALSE)</f>
        <v>40049081134585</v>
      </c>
      <c r="T269" s="530">
        <f>_xlfn.XLOOKUP(E269,'All Products'!D:D,'All Products'!N:N,FALSE)</f>
        <v>0.08</v>
      </c>
      <c r="U269" s="543">
        <f>_xlfn.XLOOKUP(E269,'All Products'!D:D,'All Products'!O:O,FALSE)</f>
        <v>10</v>
      </c>
      <c r="V269" s="530">
        <f>_xlfn.XLOOKUP(E269,'All Products'!D:D,'All Products'!P:P,FALSE)</f>
        <v>12.85</v>
      </c>
      <c r="W269" s="530">
        <f>_xlfn.XLOOKUP(E269,'All Products'!D:D,'All Products'!Q:Q,FALSE)</f>
        <v>0.65</v>
      </c>
    </row>
    <row r="270" spans="1:23" ht="15" customHeight="1">
      <c r="A270" s="104" t="str">
        <f>IF(K270&gt;0,COUNT($A$7:A269)+COUNT('DWV PVC'!$A$8:$A$284)+COUNT('DWV ABS'!$A$8:$A$116)+1,"")</f>
        <v/>
      </c>
      <c r="B270" s="579"/>
      <c r="C270" s="580"/>
      <c r="D270" s="512" t="str">
        <f>_xlfn.XLOOKUP(E270,'All Products'!D:D,'All Products'!C:C,FALSE)</f>
        <v>438-167</v>
      </c>
      <c r="E270" s="53">
        <v>100022940</v>
      </c>
      <c r="F270" s="522" t="str">
        <f>_xlfn.XLOOKUP(E270,'All Products'!D:D,'All Products'!E:E,FALSE)</f>
        <v>1-1/4X3/4 RED BUSHING SPGX FIPT</v>
      </c>
      <c r="G270" s="282">
        <f>_xlfn.XLOOKUP(E270,'All Products'!D:D,'All Products'!F:F,FALSE)</f>
        <v>150</v>
      </c>
      <c r="H270" s="533">
        <f>_xlfn.XLOOKUP(E270,'All Products'!D:D,'All Products'!G:G,FALSE)</f>
        <v>18000</v>
      </c>
      <c r="I270" s="540">
        <f>_xlfn.XLOOKUP(E270,'All Products'!D:D,'All Products'!H:H,FALSE)</f>
        <v>6.53</v>
      </c>
      <c r="J270" s="216">
        <f>ROUND(I270*Order_Quote!$L$4,2)</f>
        <v>32.65</v>
      </c>
      <c r="K270" s="76"/>
      <c r="L270" s="79"/>
      <c r="M270" s="117">
        <f t="shared" si="10"/>
        <v>0</v>
      </c>
      <c r="O270" s="530" t="str">
        <f>_xlfn.XLOOKUP(E270,'All Products'!D:D,'All Products'!I:I,FALSE)</f>
        <v>Within 3 Weeks</v>
      </c>
      <c r="P270" s="530" t="str">
        <f>_xlfn.XLOOKUP(E270,'All Products'!D:D,'All Products'!J:J,FALSE)</f>
        <v>Manufactured</v>
      </c>
      <c r="Q270" s="543" t="str">
        <f>_xlfn.XLOOKUP(E270,'All Products'!D:D,'All Products'!K:K,FALSE)</f>
        <v>049081134563</v>
      </c>
      <c r="R270" s="543" t="str">
        <f>_xlfn.XLOOKUP(E270,'All Products'!D:D,'All Products'!L:L,FALSE)</f>
        <v>049081634568</v>
      </c>
      <c r="S270" s="543" t="str">
        <f>_xlfn.XLOOKUP(E270,'All Products'!D:D,'All Products'!M:M,FALSE)</f>
        <v>40049081134561</v>
      </c>
      <c r="T270" s="530">
        <f>_xlfn.XLOOKUP(E270,'All Products'!D:D,'All Products'!N:N,FALSE)</f>
        <v>7.8E-2</v>
      </c>
      <c r="U270" s="543">
        <f>_xlfn.XLOOKUP(E270,'All Products'!D:D,'All Products'!O:O,FALSE)</f>
        <v>10</v>
      </c>
      <c r="V270" s="530">
        <f>_xlfn.XLOOKUP(E270,'All Products'!D:D,'All Products'!P:P,FALSE)</f>
        <v>12.39</v>
      </c>
      <c r="W270" s="530">
        <f>_xlfn.XLOOKUP(E270,'All Products'!D:D,'All Products'!Q:Q,FALSE)</f>
        <v>0.65</v>
      </c>
    </row>
    <row r="271" spans="1:23" ht="15" customHeight="1">
      <c r="A271" s="104" t="str">
        <f>IF(K271&gt;0,COUNT($A$7:A270)+COUNT('DWV PVC'!$A$8:$A$284)+COUNT('DWV ABS'!$A$8:$A$116)+1,"")</f>
        <v/>
      </c>
      <c r="B271" s="579"/>
      <c r="C271" s="580"/>
      <c r="D271" s="512" t="str">
        <f>_xlfn.XLOOKUP(E271,'All Products'!D:D,'All Products'!C:C,FALSE)</f>
        <v>438-168</v>
      </c>
      <c r="E271" s="53">
        <v>100022942</v>
      </c>
      <c r="F271" s="522" t="str">
        <f>_xlfn.XLOOKUP(E271,'All Products'!D:D,'All Products'!E:E,FALSE)</f>
        <v>1-1/4X1 RED BUSHING SPGX FIPT</v>
      </c>
      <c r="G271" s="282">
        <f>_xlfn.XLOOKUP(E271,'All Products'!D:D,'All Products'!F:F,FALSE)</f>
        <v>150</v>
      </c>
      <c r="H271" s="533">
        <f>_xlfn.XLOOKUP(E271,'All Products'!D:D,'All Products'!G:G,FALSE)</f>
        <v>13500</v>
      </c>
      <c r="I271" s="540">
        <f>_xlfn.XLOOKUP(E271,'All Products'!D:D,'All Products'!H:H,FALSE)</f>
        <v>6.53</v>
      </c>
      <c r="J271" s="216">
        <f>ROUND(I271*Order_Quote!$L$4,2)</f>
        <v>32.65</v>
      </c>
      <c r="K271" s="76"/>
      <c r="L271" s="79"/>
      <c r="M271" s="117">
        <f t="shared" si="10"/>
        <v>0</v>
      </c>
      <c r="O271" s="530" t="str">
        <f>_xlfn.XLOOKUP(E271,'All Products'!D:D,'All Products'!I:I,FALSE)</f>
        <v>In Stock</v>
      </c>
      <c r="P271" s="530" t="str">
        <f>_xlfn.XLOOKUP(E271,'All Products'!D:D,'All Products'!J:J,FALSE)</f>
        <v>Manufactured</v>
      </c>
      <c r="Q271" s="543" t="str">
        <f>_xlfn.XLOOKUP(E271,'All Products'!D:D,'All Products'!K:K,FALSE)</f>
        <v>049081134549</v>
      </c>
      <c r="R271" s="543" t="str">
        <f>_xlfn.XLOOKUP(E271,'All Products'!D:D,'All Products'!L:L,FALSE)</f>
        <v>049081634544</v>
      </c>
      <c r="S271" s="543" t="str">
        <f>_xlfn.XLOOKUP(E271,'All Products'!D:D,'All Products'!M:M,FALSE)</f>
        <v>40049081134547</v>
      </c>
      <c r="T271" s="530">
        <f>_xlfn.XLOOKUP(E271,'All Products'!D:D,'All Products'!N:N,FALSE)</f>
        <v>6.7000000000000004E-2</v>
      </c>
      <c r="U271" s="543">
        <f>_xlfn.XLOOKUP(E271,'All Products'!D:D,'All Products'!O:O,FALSE)</f>
        <v>10</v>
      </c>
      <c r="V271" s="530">
        <f>_xlfn.XLOOKUP(E271,'All Products'!D:D,'All Products'!P:P,FALSE)</f>
        <v>11.16</v>
      </c>
      <c r="W271" s="530">
        <f>_xlfn.XLOOKUP(E271,'All Products'!D:D,'All Products'!Q:Q,FALSE)</f>
        <v>0.8</v>
      </c>
    </row>
    <row r="272" spans="1:23" ht="15" customHeight="1">
      <c r="A272" s="104" t="str">
        <f>IF(K272&gt;0,COUNT($A$7:A271)+COUNT('DWV PVC'!$A$8:$A$284)+COUNT('DWV ABS'!$A$8:$A$116)+1,"")</f>
        <v/>
      </c>
      <c r="B272" s="579"/>
      <c r="C272" s="580"/>
      <c r="D272" s="512" t="str">
        <f>_xlfn.XLOOKUP(E272,'All Products'!D:D,'All Products'!C:C,FALSE)</f>
        <v>438-209</v>
      </c>
      <c r="E272" s="53">
        <v>100022944</v>
      </c>
      <c r="F272" s="522" t="str">
        <f>_xlfn.XLOOKUP(E272,'All Products'!D:D,'All Products'!E:E,FALSE)</f>
        <v>1-1/2X1/2 RED BUSHING SPGX FIPT</v>
      </c>
      <c r="G272" s="282">
        <f>_xlfn.XLOOKUP(E272,'All Products'!D:D,'All Products'!F:F,FALSE)</f>
        <v>100</v>
      </c>
      <c r="H272" s="533">
        <f>_xlfn.XLOOKUP(E272,'All Products'!D:D,'All Products'!G:G,FALSE)</f>
        <v>12000</v>
      </c>
      <c r="I272" s="540">
        <f>_xlfn.XLOOKUP(E272,'All Products'!D:D,'All Products'!H:H,FALSE)</f>
        <v>7.54</v>
      </c>
      <c r="J272" s="216">
        <f>ROUND(I272*Order_Quote!$L$4,2)</f>
        <v>37.700000000000003</v>
      </c>
      <c r="K272" s="76"/>
      <c r="L272" s="79"/>
      <c r="M272" s="117">
        <f t="shared" si="10"/>
        <v>0</v>
      </c>
      <c r="O272" s="530" t="str">
        <f>_xlfn.XLOOKUP(E272,'All Products'!D:D,'All Products'!I:I,FALSE)</f>
        <v>In Stock</v>
      </c>
      <c r="P272" s="530" t="str">
        <f>_xlfn.XLOOKUP(E272,'All Products'!D:D,'All Products'!J:J,FALSE)</f>
        <v>Manufactured</v>
      </c>
      <c r="Q272" s="543" t="str">
        <f>_xlfn.XLOOKUP(E272,'All Products'!D:D,'All Products'!K:K,FALSE)</f>
        <v>049081134723</v>
      </c>
      <c r="R272" s="543" t="str">
        <f>_xlfn.XLOOKUP(E272,'All Products'!D:D,'All Products'!L:L,FALSE)</f>
        <v>049081634728</v>
      </c>
      <c r="S272" s="543" t="str">
        <f>_xlfn.XLOOKUP(E272,'All Products'!D:D,'All Products'!M:M,FALSE)</f>
        <v>40049081134721</v>
      </c>
      <c r="T272" s="530">
        <f>_xlfn.XLOOKUP(E272,'All Products'!D:D,'All Products'!N:N,FALSE)</f>
        <v>0.108</v>
      </c>
      <c r="U272" s="543">
        <f>_xlfn.XLOOKUP(E272,'All Products'!D:D,'All Products'!O:O,FALSE)</f>
        <v>5</v>
      </c>
      <c r="V272" s="530">
        <f>_xlfn.XLOOKUP(E272,'All Products'!D:D,'All Products'!P:P,FALSE)</f>
        <v>10.76</v>
      </c>
      <c r="W272" s="530">
        <f>_xlfn.XLOOKUP(E272,'All Products'!D:D,'All Products'!Q:Q,FALSE)</f>
        <v>0.65</v>
      </c>
    </row>
    <row r="273" spans="1:23" ht="15" customHeight="1">
      <c r="A273" s="104" t="str">
        <f>IF(K273&gt;0,COUNT($A$7:A272)+COUNT('DWV PVC'!$A$8:$A$284)+COUNT('DWV ABS'!$A$8:$A$116)+1,"")</f>
        <v/>
      </c>
      <c r="B273" s="579"/>
      <c r="C273" s="580"/>
      <c r="D273" s="512" t="str">
        <f>_xlfn.XLOOKUP(E273,'All Products'!D:D,'All Products'!C:C,FALSE)</f>
        <v>438-210</v>
      </c>
      <c r="E273" s="53">
        <v>100022946</v>
      </c>
      <c r="F273" s="522" t="str">
        <f>_xlfn.XLOOKUP(E273,'All Products'!D:D,'All Products'!E:E,FALSE)</f>
        <v>1-1/2X3/4 RED BUSHING SPGX FIPT</v>
      </c>
      <c r="G273" s="282">
        <f>_xlfn.XLOOKUP(E273,'All Products'!D:D,'All Products'!F:F,FALSE)</f>
        <v>100</v>
      </c>
      <c r="H273" s="533">
        <f>_xlfn.XLOOKUP(E273,'All Products'!D:D,'All Products'!G:G,FALSE)</f>
        <v>12000</v>
      </c>
      <c r="I273" s="540">
        <f>_xlfn.XLOOKUP(E273,'All Products'!D:D,'All Products'!H:H,FALSE)</f>
        <v>7.54</v>
      </c>
      <c r="J273" s="216">
        <f>ROUND(I273*Order_Quote!$L$4,2)</f>
        <v>37.700000000000003</v>
      </c>
      <c r="K273" s="76"/>
      <c r="L273" s="79"/>
      <c r="M273" s="117">
        <f t="shared" si="10"/>
        <v>0</v>
      </c>
      <c r="O273" s="530" t="str">
        <f>_xlfn.XLOOKUP(E273,'All Products'!D:D,'All Products'!I:I,FALSE)</f>
        <v>In Stock</v>
      </c>
      <c r="P273" s="530" t="str">
        <f>_xlfn.XLOOKUP(E273,'All Products'!D:D,'All Products'!J:J,FALSE)</f>
        <v>Manufactured</v>
      </c>
      <c r="Q273" s="543" t="str">
        <f>_xlfn.XLOOKUP(E273,'All Products'!D:D,'All Products'!K:K,FALSE)</f>
        <v>049081134709</v>
      </c>
      <c r="R273" s="543" t="str">
        <f>_xlfn.XLOOKUP(E273,'All Products'!D:D,'All Products'!L:L,FALSE)</f>
        <v>049081634704</v>
      </c>
      <c r="S273" s="543" t="str">
        <f>_xlfn.XLOOKUP(E273,'All Products'!D:D,'All Products'!M:M,FALSE)</f>
        <v>40049081134707</v>
      </c>
      <c r="T273" s="530">
        <f>_xlfn.XLOOKUP(E273,'All Products'!D:D,'All Products'!N:N,FALSE)</f>
        <v>0.108</v>
      </c>
      <c r="U273" s="543">
        <f>_xlfn.XLOOKUP(E273,'All Products'!D:D,'All Products'!O:O,FALSE)</f>
        <v>5</v>
      </c>
      <c r="V273" s="530">
        <f>_xlfn.XLOOKUP(E273,'All Products'!D:D,'All Products'!P:P,FALSE)</f>
        <v>10.3</v>
      </c>
      <c r="W273" s="530">
        <f>_xlfn.XLOOKUP(E273,'All Products'!D:D,'All Products'!Q:Q,FALSE)</f>
        <v>0.65</v>
      </c>
    </row>
    <row r="274" spans="1:23" ht="15" customHeight="1">
      <c r="A274" s="104" t="str">
        <f>IF(K274&gt;0,COUNT($A$7:A273)+COUNT('DWV PVC'!$A$8:$A$284)+COUNT('DWV ABS'!$A$8:$A$116)+1,"")</f>
        <v/>
      </c>
      <c r="B274" s="579"/>
      <c r="C274" s="580"/>
      <c r="D274" s="512" t="str">
        <f>_xlfn.XLOOKUP(E274,'All Products'!D:D,'All Products'!C:C,FALSE)</f>
        <v>438-211</v>
      </c>
      <c r="E274" s="53">
        <v>100022948</v>
      </c>
      <c r="F274" s="522" t="str">
        <f>_xlfn.XLOOKUP(E274,'All Products'!D:D,'All Products'!E:E,FALSE)</f>
        <v>1-1/2X1 REDUCER BUSHING SPGX FIPT</v>
      </c>
      <c r="G274" s="282">
        <f>_xlfn.XLOOKUP(E274,'All Products'!D:D,'All Products'!F:F,FALSE)</f>
        <v>100</v>
      </c>
      <c r="H274" s="533">
        <f>_xlfn.XLOOKUP(E274,'All Products'!D:D,'All Products'!G:G,FALSE)</f>
        <v>12000</v>
      </c>
      <c r="I274" s="540">
        <f>_xlfn.XLOOKUP(E274,'All Products'!D:D,'All Products'!H:H,FALSE)</f>
        <v>7.54</v>
      </c>
      <c r="J274" s="216">
        <f>ROUND(I274*Order_Quote!$L$4,2)</f>
        <v>37.700000000000003</v>
      </c>
      <c r="K274" s="76"/>
      <c r="L274" s="79"/>
      <c r="M274" s="117">
        <f t="shared" si="10"/>
        <v>0</v>
      </c>
      <c r="O274" s="530" t="str">
        <f>_xlfn.XLOOKUP(E274,'All Products'!D:D,'All Products'!I:I,FALSE)</f>
        <v>In Stock</v>
      </c>
      <c r="P274" s="530" t="str">
        <f>_xlfn.XLOOKUP(E274,'All Products'!D:D,'All Products'!J:J,FALSE)</f>
        <v>Manufactured</v>
      </c>
      <c r="Q274" s="543" t="str">
        <f>_xlfn.XLOOKUP(E274,'All Products'!D:D,'All Products'!K:K,FALSE)</f>
        <v>049081134686</v>
      </c>
      <c r="R274" s="543" t="str">
        <f>_xlfn.XLOOKUP(E274,'All Products'!D:D,'All Products'!L:L,FALSE)</f>
        <v>049081634681</v>
      </c>
      <c r="S274" s="543" t="str">
        <f>_xlfn.XLOOKUP(E274,'All Products'!D:D,'All Products'!M:M,FALSE)</f>
        <v>40049081134684</v>
      </c>
      <c r="T274" s="530">
        <f>_xlfn.XLOOKUP(E274,'All Products'!D:D,'All Products'!N:N,FALSE)</f>
        <v>0.11</v>
      </c>
      <c r="U274" s="543">
        <f>_xlfn.XLOOKUP(E274,'All Products'!D:D,'All Products'!O:O,FALSE)</f>
        <v>5</v>
      </c>
      <c r="V274" s="530">
        <f>_xlfn.XLOOKUP(E274,'All Products'!D:D,'All Products'!P:P,FALSE)</f>
        <v>10.75</v>
      </c>
      <c r="W274" s="530">
        <f>_xlfn.XLOOKUP(E274,'All Products'!D:D,'All Products'!Q:Q,FALSE)</f>
        <v>0.65</v>
      </c>
    </row>
    <row r="275" spans="1:23" ht="15" customHeight="1">
      <c r="A275" s="104" t="str">
        <f>IF(K275&gt;0,COUNT($A$7:A274)+COUNT('DWV PVC'!$A$8:$A$284)+COUNT('DWV ABS'!$A$8:$A$116)+1,"")</f>
        <v/>
      </c>
      <c r="B275" s="579"/>
      <c r="C275" s="580"/>
      <c r="D275" s="512" t="str">
        <f>_xlfn.XLOOKUP(E275,'All Products'!D:D,'All Products'!C:C,FALSE)</f>
        <v>438-212</v>
      </c>
      <c r="E275" s="53">
        <v>100022950</v>
      </c>
      <c r="F275" s="522" t="str">
        <f>_xlfn.XLOOKUP(E275,'All Products'!D:D,'All Products'!E:E,FALSE)</f>
        <v>1-1/2X1-1/4 RED BUSHING SPGX FIPT</v>
      </c>
      <c r="G275" s="282">
        <f>_xlfn.XLOOKUP(E275,'All Products'!D:D,'All Products'!F:F,FALSE)</f>
        <v>100</v>
      </c>
      <c r="H275" s="533">
        <f>_xlfn.XLOOKUP(E275,'All Products'!D:D,'All Products'!G:G,FALSE)</f>
        <v>12000</v>
      </c>
      <c r="I275" s="540">
        <f>_xlfn.XLOOKUP(E275,'All Products'!D:D,'All Products'!H:H,FALSE)</f>
        <v>7.54</v>
      </c>
      <c r="J275" s="216">
        <f>ROUND(I275*Order_Quote!$L$4,2)</f>
        <v>37.700000000000003</v>
      </c>
      <c r="K275" s="76"/>
      <c r="L275" s="79"/>
      <c r="M275" s="117">
        <f t="shared" si="10"/>
        <v>0</v>
      </c>
      <c r="O275" s="530" t="str">
        <f>_xlfn.XLOOKUP(E275,'All Products'!D:D,'All Products'!I:I,FALSE)</f>
        <v>Within 3 Weeks</v>
      </c>
      <c r="P275" s="530" t="str">
        <f>_xlfn.XLOOKUP(E275,'All Products'!D:D,'All Products'!J:J,FALSE)</f>
        <v>Manufactured</v>
      </c>
      <c r="Q275" s="543" t="str">
        <f>_xlfn.XLOOKUP(E275,'All Products'!D:D,'All Products'!K:K,FALSE)</f>
        <v>049081134662</v>
      </c>
      <c r="R275" s="543" t="str">
        <f>_xlfn.XLOOKUP(E275,'All Products'!D:D,'All Products'!L:L,FALSE)</f>
        <v>049081634667</v>
      </c>
      <c r="S275" s="543" t="str">
        <f>_xlfn.XLOOKUP(E275,'All Products'!D:D,'All Products'!M:M,FALSE)</f>
        <v>40049081134660</v>
      </c>
      <c r="T275" s="530">
        <f>_xlfn.XLOOKUP(E275,'All Products'!D:D,'All Products'!N:N,FALSE)</f>
        <v>7.2999999999999995E-2</v>
      </c>
      <c r="U275" s="543">
        <f>_xlfn.XLOOKUP(E275,'All Products'!D:D,'All Products'!O:O,FALSE)</f>
        <v>5</v>
      </c>
      <c r="V275" s="530">
        <f>_xlfn.XLOOKUP(E275,'All Products'!D:D,'All Products'!P:P,FALSE)</f>
        <v>7.22</v>
      </c>
      <c r="W275" s="530">
        <f>_xlfn.XLOOKUP(E275,'All Products'!D:D,'All Products'!Q:Q,FALSE)</f>
        <v>0.65</v>
      </c>
    </row>
    <row r="276" spans="1:23" ht="15" customHeight="1">
      <c r="A276" s="104" t="str">
        <f>IF(K276&gt;0,COUNT($A$7:A275)+COUNT('DWV PVC'!$A$8:$A$284)+COUNT('DWV ABS'!$A$8:$A$116)+1,"")</f>
        <v/>
      </c>
      <c r="B276" s="579"/>
      <c r="C276" s="580"/>
      <c r="D276" s="512" t="str">
        <f>_xlfn.XLOOKUP(E276,'All Products'!D:D,'All Products'!C:C,FALSE)</f>
        <v>438-247</v>
      </c>
      <c r="E276" s="53">
        <v>100022952</v>
      </c>
      <c r="F276" s="522" t="str">
        <f>_xlfn.XLOOKUP(E276,'All Products'!D:D,'All Products'!E:E,FALSE)</f>
        <v>2X1/2 REDUCER BUSHING SPGX FIPT</v>
      </c>
      <c r="G276" s="282">
        <f>_xlfn.XLOOKUP(E276,'All Products'!D:D,'All Products'!F:F,FALSE)</f>
        <v>50</v>
      </c>
      <c r="H276" s="533">
        <f>_xlfn.XLOOKUP(E276,'All Products'!D:D,'All Products'!G:G,FALSE)</f>
        <v>7500</v>
      </c>
      <c r="I276" s="540">
        <f>_xlfn.XLOOKUP(E276,'All Products'!D:D,'All Products'!H:H,FALSE)</f>
        <v>10.09</v>
      </c>
      <c r="J276" s="216">
        <f>ROUND(I276*Order_Quote!$L$4,2)</f>
        <v>50.45</v>
      </c>
      <c r="K276" s="76"/>
      <c r="L276" s="79"/>
      <c r="M276" s="117">
        <f t="shared" si="10"/>
        <v>0</v>
      </c>
      <c r="O276" s="530" t="str">
        <f>_xlfn.XLOOKUP(E276,'All Products'!D:D,'All Products'!I:I,FALSE)</f>
        <v>In Stock</v>
      </c>
      <c r="P276" s="530" t="str">
        <f>_xlfn.XLOOKUP(E276,'All Products'!D:D,'All Products'!J:J,FALSE)</f>
        <v>Manufactured</v>
      </c>
      <c r="Q276" s="543" t="str">
        <f>_xlfn.XLOOKUP(E276,'All Products'!D:D,'All Products'!K:K,FALSE)</f>
        <v>049081134846</v>
      </c>
      <c r="R276" s="543" t="str">
        <f>_xlfn.XLOOKUP(E276,'All Products'!D:D,'All Products'!L:L,FALSE)</f>
        <v>049081634841</v>
      </c>
      <c r="S276" s="543" t="str">
        <f>_xlfn.XLOOKUP(E276,'All Products'!D:D,'All Products'!M:M,FALSE)</f>
        <v>40049081134844</v>
      </c>
      <c r="T276" s="530">
        <f>_xlfn.XLOOKUP(E276,'All Products'!D:D,'All Products'!N:N,FALSE)</f>
        <v>0.16</v>
      </c>
      <c r="U276" s="543">
        <f>_xlfn.XLOOKUP(E276,'All Products'!D:D,'All Products'!O:O,FALSE)</f>
        <v>5</v>
      </c>
      <c r="V276" s="530">
        <f>_xlfn.XLOOKUP(E276,'All Products'!D:D,'All Products'!P:P,FALSE)</f>
        <v>8.4</v>
      </c>
      <c r="W276" s="530">
        <f>_xlfn.XLOOKUP(E276,'All Products'!D:D,'All Products'!Q:Q,FALSE)</f>
        <v>0.5</v>
      </c>
    </row>
    <row r="277" spans="1:23" ht="15" customHeight="1">
      <c r="A277" s="104" t="str">
        <f>IF(K277&gt;0,COUNT($A$7:A276)+COUNT('DWV PVC'!$A$8:$A$284)+COUNT('DWV ABS'!$A$8:$A$116)+1,"")</f>
        <v/>
      </c>
      <c r="B277" s="579"/>
      <c r="C277" s="580"/>
      <c r="D277" s="512" t="str">
        <f>_xlfn.XLOOKUP(E277,'All Products'!D:D,'All Products'!C:C,FALSE)</f>
        <v>438-248</v>
      </c>
      <c r="E277" s="53">
        <v>100022954</v>
      </c>
      <c r="F277" s="522" t="str">
        <f>_xlfn.XLOOKUP(E277,'All Products'!D:D,'All Products'!E:E,FALSE)</f>
        <v>2X3/4 REDUCER BUSHING SPGX FIPT</v>
      </c>
      <c r="G277" s="282">
        <f>_xlfn.XLOOKUP(E277,'All Products'!D:D,'All Products'!F:F,FALSE)</f>
        <v>50</v>
      </c>
      <c r="H277" s="533">
        <f>_xlfn.XLOOKUP(E277,'All Products'!D:D,'All Products'!G:G,FALSE)</f>
        <v>7500</v>
      </c>
      <c r="I277" s="540">
        <f>_xlfn.XLOOKUP(E277,'All Products'!D:D,'All Products'!H:H,FALSE)</f>
        <v>10.09</v>
      </c>
      <c r="J277" s="216">
        <f>ROUND(I277*Order_Quote!$L$4,2)</f>
        <v>50.45</v>
      </c>
      <c r="K277" s="76"/>
      <c r="L277" s="79"/>
      <c r="M277" s="117">
        <f t="shared" si="10"/>
        <v>0</v>
      </c>
      <c r="O277" s="530" t="str">
        <f>_xlfn.XLOOKUP(E277,'All Products'!D:D,'All Products'!I:I,FALSE)</f>
        <v>In Stock</v>
      </c>
      <c r="P277" s="530" t="str">
        <f>_xlfn.XLOOKUP(E277,'All Products'!D:D,'All Products'!J:J,FALSE)</f>
        <v>Manufactured</v>
      </c>
      <c r="Q277" s="543" t="str">
        <f>_xlfn.XLOOKUP(E277,'All Products'!D:D,'All Products'!K:K,FALSE)</f>
        <v>049081134822</v>
      </c>
      <c r="R277" s="543" t="str">
        <f>_xlfn.XLOOKUP(E277,'All Products'!D:D,'All Products'!L:L,FALSE)</f>
        <v>049081634827</v>
      </c>
      <c r="S277" s="543" t="str">
        <f>_xlfn.XLOOKUP(E277,'All Products'!D:D,'All Products'!M:M,FALSE)</f>
        <v>40049081134820</v>
      </c>
      <c r="T277" s="530">
        <f>_xlfn.XLOOKUP(E277,'All Products'!D:D,'All Products'!N:N,FALSE)</f>
        <v>0.152</v>
      </c>
      <c r="U277" s="543">
        <f>_xlfn.XLOOKUP(E277,'All Products'!D:D,'All Products'!O:O,FALSE)</f>
        <v>5</v>
      </c>
      <c r="V277" s="530">
        <f>_xlfn.XLOOKUP(E277,'All Products'!D:D,'All Products'!P:P,FALSE)</f>
        <v>7.55</v>
      </c>
      <c r="W277" s="530">
        <f>_xlfn.XLOOKUP(E277,'All Products'!D:D,'All Products'!Q:Q,FALSE)</f>
        <v>0.5</v>
      </c>
    </row>
    <row r="278" spans="1:23" ht="15" customHeight="1">
      <c r="A278" s="104" t="str">
        <f>IF(K278&gt;0,COUNT($A$7:A277)+COUNT('DWV PVC'!$A$8:$A$284)+COUNT('DWV ABS'!$A$8:$A$116)+1,"")</f>
        <v/>
      </c>
      <c r="B278" s="579"/>
      <c r="C278" s="580"/>
      <c r="D278" s="512" t="str">
        <f>_xlfn.XLOOKUP(E278,'All Products'!D:D,'All Products'!C:C,FALSE)</f>
        <v>438-249</v>
      </c>
      <c r="E278" s="53">
        <v>100022956</v>
      </c>
      <c r="F278" s="522" t="str">
        <f>_xlfn.XLOOKUP(E278,'All Products'!D:D,'All Products'!E:E,FALSE)</f>
        <v>2X1 REDUCER BUSHING SPGX FIPT</v>
      </c>
      <c r="G278" s="282">
        <f>_xlfn.XLOOKUP(E278,'All Products'!D:D,'All Products'!F:F,FALSE)</f>
        <v>50</v>
      </c>
      <c r="H278" s="533">
        <f>_xlfn.XLOOKUP(E278,'All Products'!D:D,'All Products'!G:G,FALSE)</f>
        <v>7500</v>
      </c>
      <c r="I278" s="540">
        <f>_xlfn.XLOOKUP(E278,'All Products'!D:D,'All Products'!H:H,FALSE)</f>
        <v>10.09</v>
      </c>
      <c r="J278" s="216">
        <f>ROUND(I278*Order_Quote!$L$4,2)</f>
        <v>50.45</v>
      </c>
      <c r="K278" s="76"/>
      <c r="L278" s="79"/>
      <c r="M278" s="117">
        <f t="shared" si="10"/>
        <v>0</v>
      </c>
      <c r="O278" s="530" t="str">
        <f>_xlfn.XLOOKUP(E278,'All Products'!D:D,'All Products'!I:I,FALSE)</f>
        <v>In Stock</v>
      </c>
      <c r="P278" s="530" t="str">
        <f>_xlfn.XLOOKUP(E278,'All Products'!D:D,'All Products'!J:J,FALSE)</f>
        <v>Manufactured</v>
      </c>
      <c r="Q278" s="543" t="str">
        <f>_xlfn.XLOOKUP(E278,'All Products'!D:D,'All Products'!K:K,FALSE)</f>
        <v>049081134808</v>
      </c>
      <c r="R278" s="543" t="str">
        <f>_xlfn.XLOOKUP(E278,'All Products'!D:D,'All Products'!L:L,FALSE)</f>
        <v>049081634803</v>
      </c>
      <c r="S278" s="543" t="str">
        <f>_xlfn.XLOOKUP(E278,'All Products'!D:D,'All Products'!M:M,FALSE)</f>
        <v>40049081134806</v>
      </c>
      <c r="T278" s="530">
        <f>_xlfn.XLOOKUP(E278,'All Products'!D:D,'All Products'!N:N,FALSE)</f>
        <v>0.16300000000000001</v>
      </c>
      <c r="U278" s="543">
        <f>_xlfn.XLOOKUP(E278,'All Products'!D:D,'All Products'!O:O,FALSE)</f>
        <v>5</v>
      </c>
      <c r="V278" s="530">
        <f>_xlfn.XLOOKUP(E278,'All Products'!D:D,'All Products'!P:P,FALSE)</f>
        <v>8.84</v>
      </c>
      <c r="W278" s="530">
        <f>_xlfn.XLOOKUP(E278,'All Products'!D:D,'All Products'!Q:Q,FALSE)</f>
        <v>0.5</v>
      </c>
    </row>
    <row r="279" spans="1:23" ht="15" customHeight="1">
      <c r="A279" s="104" t="str">
        <f>IF(K279&gt;0,COUNT($A$7:A278)+COUNT('DWV PVC'!$A$8:$A$284)+COUNT('DWV ABS'!$A$8:$A$116)+1,"")</f>
        <v/>
      </c>
      <c r="B279" s="579"/>
      <c r="C279" s="580"/>
      <c r="D279" s="512" t="str">
        <f>_xlfn.XLOOKUP(E279,'All Products'!D:D,'All Products'!C:C,FALSE)</f>
        <v>438-250</v>
      </c>
      <c r="E279" s="53">
        <v>100022958</v>
      </c>
      <c r="F279" s="522" t="str">
        <f>_xlfn.XLOOKUP(E279,'All Products'!D:D,'All Products'!E:E,FALSE)</f>
        <v>2X1-1/4 REDUCER BUSHING SPGX FIPT</v>
      </c>
      <c r="G279" s="282">
        <f>_xlfn.XLOOKUP(E279,'All Products'!D:D,'All Products'!F:F,FALSE)</f>
        <v>50</v>
      </c>
      <c r="H279" s="533">
        <f>_xlfn.XLOOKUP(E279,'All Products'!D:D,'All Products'!G:G,FALSE)</f>
        <v>7500</v>
      </c>
      <c r="I279" s="540">
        <f>_xlfn.XLOOKUP(E279,'All Products'!D:D,'All Products'!H:H,FALSE)</f>
        <v>10.09</v>
      </c>
      <c r="J279" s="216">
        <f>ROUND(I279*Order_Quote!$L$4,2)</f>
        <v>50.45</v>
      </c>
      <c r="K279" s="76"/>
      <c r="L279" s="79"/>
      <c r="M279" s="117">
        <f t="shared" si="10"/>
        <v>0</v>
      </c>
      <c r="O279" s="530" t="str">
        <f>_xlfn.XLOOKUP(E279,'All Products'!D:D,'All Products'!I:I,FALSE)</f>
        <v>In Stock</v>
      </c>
      <c r="P279" s="530" t="str">
        <f>_xlfn.XLOOKUP(E279,'All Products'!D:D,'All Products'!J:J,FALSE)</f>
        <v>Manufactured</v>
      </c>
      <c r="Q279" s="543" t="str">
        <f>_xlfn.XLOOKUP(E279,'All Products'!D:D,'All Products'!K:K,FALSE)</f>
        <v>049081134785</v>
      </c>
      <c r="R279" s="543" t="str">
        <f>_xlfn.XLOOKUP(E279,'All Products'!D:D,'All Products'!L:L,FALSE)</f>
        <v>049081634780</v>
      </c>
      <c r="S279" s="543" t="str">
        <f>_xlfn.XLOOKUP(E279,'All Products'!D:D,'All Products'!M:M,FALSE)</f>
        <v>40049081134783</v>
      </c>
      <c r="T279" s="530">
        <f>_xlfn.XLOOKUP(E279,'All Products'!D:D,'All Products'!N:N,FALSE)</f>
        <v>0.16800000000000001</v>
      </c>
      <c r="U279" s="543">
        <f>_xlfn.XLOOKUP(E279,'All Products'!D:D,'All Products'!O:O,FALSE)</f>
        <v>5</v>
      </c>
      <c r="V279" s="530">
        <f>_xlfn.XLOOKUP(E279,'All Products'!D:D,'All Products'!P:P,FALSE)</f>
        <v>9.0030000000000001</v>
      </c>
      <c r="W279" s="530">
        <f>_xlfn.XLOOKUP(E279,'All Products'!D:D,'All Products'!Q:Q,FALSE)</f>
        <v>0.5</v>
      </c>
    </row>
    <row r="280" spans="1:23" ht="15" customHeight="1">
      <c r="A280" s="104" t="str">
        <f>IF(K280&gt;0,COUNT($A$7:A279)+COUNT('DWV PVC'!$A$8:$A$284)+COUNT('DWV ABS'!$A$8:$A$116)+1,"")</f>
        <v/>
      </c>
      <c r="B280" s="579"/>
      <c r="C280" s="580"/>
      <c r="D280" s="512" t="str">
        <f>_xlfn.XLOOKUP(E280,'All Products'!D:D,'All Products'!C:C,FALSE)</f>
        <v>438-251</v>
      </c>
      <c r="E280" s="53">
        <v>100022960</v>
      </c>
      <c r="F280" s="522" t="str">
        <f>_xlfn.XLOOKUP(E280,'All Products'!D:D,'All Products'!E:E,FALSE)</f>
        <v>2X1-1/2 REDUCER BUSHING SPGX FIPT</v>
      </c>
      <c r="G280" s="282">
        <f>_xlfn.XLOOKUP(E280,'All Products'!D:D,'All Products'!F:F,FALSE)</f>
        <v>50</v>
      </c>
      <c r="H280" s="533">
        <f>_xlfn.XLOOKUP(E280,'All Products'!D:D,'All Products'!G:G,FALSE)</f>
        <v>7500</v>
      </c>
      <c r="I280" s="540">
        <f>_xlfn.XLOOKUP(E280,'All Products'!D:D,'All Products'!H:H,FALSE)</f>
        <v>10.09</v>
      </c>
      <c r="J280" s="216">
        <f>ROUND(I280*Order_Quote!$L$4,2)</f>
        <v>50.45</v>
      </c>
      <c r="K280" s="76"/>
      <c r="L280" s="79"/>
      <c r="M280" s="117">
        <f t="shared" si="10"/>
        <v>0</v>
      </c>
      <c r="O280" s="530" t="str">
        <f>_xlfn.XLOOKUP(E280,'All Products'!D:D,'All Products'!I:I,FALSE)</f>
        <v>In Stock</v>
      </c>
      <c r="P280" s="530" t="str">
        <f>_xlfn.XLOOKUP(E280,'All Products'!D:D,'All Products'!J:J,FALSE)</f>
        <v>Manufactured</v>
      </c>
      <c r="Q280" s="543" t="str">
        <f>_xlfn.XLOOKUP(E280,'All Products'!D:D,'All Products'!K:K,FALSE)</f>
        <v>049081134761</v>
      </c>
      <c r="R280" s="543" t="str">
        <f>_xlfn.XLOOKUP(E280,'All Products'!D:D,'All Products'!L:L,FALSE)</f>
        <v>049081634766</v>
      </c>
      <c r="S280" s="543" t="str">
        <f>_xlfn.XLOOKUP(E280,'All Products'!D:D,'All Products'!M:M,FALSE)</f>
        <v>40049081134769</v>
      </c>
      <c r="T280" s="530">
        <f>_xlfn.XLOOKUP(E280,'All Products'!D:D,'All Products'!N:N,FALSE)</f>
        <v>0.13600000000000001</v>
      </c>
      <c r="U280" s="543">
        <f>_xlfn.XLOOKUP(E280,'All Products'!D:D,'All Products'!O:O,FALSE)</f>
        <v>5</v>
      </c>
      <c r="V280" s="530">
        <f>_xlfn.XLOOKUP(E280,'All Products'!D:D,'All Products'!P:P,FALSE)</f>
        <v>6.75</v>
      </c>
      <c r="W280" s="530">
        <f>_xlfn.XLOOKUP(E280,'All Products'!D:D,'All Products'!Q:Q,FALSE)</f>
        <v>0.5</v>
      </c>
    </row>
    <row r="281" spans="1:23" ht="15" customHeight="1">
      <c r="A281" s="104" t="str">
        <f>IF(K281&gt;0,COUNT($A$7:A280)+COUNT('DWV PVC'!$A$8:$A$284)+COUNT('DWV ABS'!$A$8:$A$116)+1,"")</f>
        <v/>
      </c>
      <c r="B281" s="115"/>
      <c r="C281" s="116"/>
      <c r="D281" s="512" t="str">
        <f>_xlfn.XLOOKUP(E281,'All Products'!D:D,'All Products'!C:C,FALSE)</f>
        <v>438-335</v>
      </c>
      <c r="E281" s="53">
        <v>100022974</v>
      </c>
      <c r="F281" s="522" t="str">
        <f>_xlfn.XLOOKUP(E281,'All Products'!D:D,'All Products'!E:E,FALSE)</f>
        <v>3X1 REDUCER BUSHING SPGX FIPT</v>
      </c>
      <c r="G281" s="282">
        <f>_xlfn.XLOOKUP(E281,'All Products'!D:D,'All Products'!F:F,FALSE)</f>
        <v>25</v>
      </c>
      <c r="H281" s="533">
        <f>_xlfn.XLOOKUP(E281,'All Products'!D:D,'All Products'!G:G,FALSE)</f>
        <v>3000</v>
      </c>
      <c r="I281" s="540">
        <f>_xlfn.XLOOKUP(E281,'All Products'!D:D,'All Products'!H:H,FALSE)</f>
        <v>16.82</v>
      </c>
      <c r="J281" s="216">
        <f>ROUND(I281*Order_Quote!$L$4,2)</f>
        <v>84.1</v>
      </c>
      <c r="K281" s="76"/>
      <c r="L281" s="79"/>
      <c r="M281" s="117">
        <f t="shared" si="10"/>
        <v>0</v>
      </c>
      <c r="O281" s="530" t="str">
        <f>_xlfn.XLOOKUP(E281,'All Products'!D:D,'All Products'!I:I,FALSE)</f>
        <v>In Stock</v>
      </c>
      <c r="P281" s="530" t="str">
        <f>_xlfn.XLOOKUP(E281,'All Products'!D:D,'All Products'!J:J,FALSE)</f>
        <v>Manufactured</v>
      </c>
      <c r="Q281" s="543" t="str">
        <f>_xlfn.XLOOKUP(E281,'All Products'!D:D,'All Products'!K:K,FALSE)</f>
        <v>049081135126</v>
      </c>
      <c r="R281" s="543" t="str">
        <f>_xlfn.XLOOKUP(E281,'All Products'!D:D,'All Products'!L:L,FALSE)</f>
        <v>049081635121</v>
      </c>
      <c r="S281" s="543" t="str">
        <f>_xlfn.XLOOKUP(E281,'All Products'!D:D,'All Products'!M:M,FALSE)</f>
        <v>40049081135124</v>
      </c>
      <c r="T281" s="530">
        <f>_xlfn.XLOOKUP(E281,'All Products'!D:D,'All Products'!N:N,FALSE)</f>
        <v>0.63</v>
      </c>
      <c r="U281" s="543">
        <f>_xlfn.XLOOKUP(E281,'All Products'!D:D,'All Products'!O:O,FALSE)</f>
        <v>5</v>
      </c>
      <c r="V281" s="530">
        <f>_xlfn.XLOOKUP(E281,'All Products'!D:D,'All Products'!P:P,FALSE)</f>
        <v>16.66</v>
      </c>
      <c r="W281" s="530">
        <f>_xlfn.XLOOKUP(E281,'All Products'!D:D,'All Products'!Q:Q,FALSE)</f>
        <v>0.65</v>
      </c>
    </row>
    <row r="282" spans="1:23" ht="15" customHeight="1">
      <c r="A282" s="104" t="str">
        <f>IF(K282&gt;0,COUNT($A$7:A281)+COUNT('DWV PVC'!$A$8:$A$284)+COUNT('DWV ABS'!$A$8:$A$116)+1,"")</f>
        <v/>
      </c>
      <c r="B282" s="115"/>
      <c r="C282" s="116"/>
      <c r="D282" s="512" t="str">
        <f>_xlfn.XLOOKUP(E282,'All Products'!D:D,'All Products'!C:C,FALSE)</f>
        <v>438-338</v>
      </c>
      <c r="E282" s="53">
        <v>100022978</v>
      </c>
      <c r="F282" s="522" t="str">
        <f>_xlfn.XLOOKUP(E282,'All Products'!D:D,'All Products'!E:E,FALSE)</f>
        <v>3X2 REDUCER BUSHING SPGX FIPT</v>
      </c>
      <c r="G282" s="282">
        <f>_xlfn.XLOOKUP(E282,'All Products'!D:D,'All Products'!F:F,FALSE)</f>
        <v>25</v>
      </c>
      <c r="H282" s="533">
        <f>_xlfn.XLOOKUP(E282,'All Products'!D:D,'All Products'!G:G,FALSE)</f>
        <v>3000</v>
      </c>
      <c r="I282" s="540">
        <f>_xlfn.XLOOKUP(E282,'All Products'!D:D,'All Products'!H:H,FALSE)</f>
        <v>16.82</v>
      </c>
      <c r="J282" s="216">
        <f>ROUND(I282*Order_Quote!$L$4,2)</f>
        <v>84.1</v>
      </c>
      <c r="K282" s="76"/>
      <c r="L282" s="79"/>
      <c r="M282" s="117">
        <f t="shared" si="10"/>
        <v>0</v>
      </c>
      <c r="O282" s="530" t="str">
        <f>_xlfn.XLOOKUP(E282,'All Products'!D:D,'All Products'!I:I,FALSE)</f>
        <v>In Stock</v>
      </c>
      <c r="P282" s="530" t="str">
        <f>_xlfn.XLOOKUP(E282,'All Products'!D:D,'All Products'!J:J,FALSE)</f>
        <v>Manufactured</v>
      </c>
      <c r="Q282" s="543" t="str">
        <f>_xlfn.XLOOKUP(E282,'All Products'!D:D,'All Products'!K:K,FALSE)</f>
        <v>049081135065</v>
      </c>
      <c r="R282" s="543" t="str">
        <f>_xlfn.XLOOKUP(E282,'All Products'!D:D,'All Products'!L:L,FALSE)</f>
        <v>049081635060</v>
      </c>
      <c r="S282" s="543" t="str">
        <f>_xlfn.XLOOKUP(E282,'All Products'!D:D,'All Products'!M:M,FALSE)</f>
        <v>40049081135063</v>
      </c>
      <c r="T282" s="530">
        <f>_xlfn.XLOOKUP(E282,'All Products'!D:D,'All Products'!N:N,FALSE)</f>
        <v>0.56999999999999995</v>
      </c>
      <c r="U282" s="543">
        <f>_xlfn.XLOOKUP(E282,'All Products'!D:D,'All Products'!O:O,FALSE)</f>
        <v>5</v>
      </c>
      <c r="V282" s="530">
        <f>_xlfn.XLOOKUP(E282,'All Products'!D:D,'All Products'!P:P,FALSE)</f>
        <v>15</v>
      </c>
      <c r="W282" s="530">
        <f>_xlfn.XLOOKUP(E282,'All Products'!D:D,'All Products'!Q:Q,FALSE)</f>
        <v>0.65</v>
      </c>
    </row>
    <row r="283" spans="1:23" ht="15" customHeight="1">
      <c r="A283" s="104" t="str">
        <f>IF(K283&gt;0,COUNT($A$7:A282)+COUNT('DWV PVC'!$A$8:$A$284)+COUNT('DWV ABS'!$A$8:$A$116)+1,"")</f>
        <v/>
      </c>
      <c r="B283" s="115"/>
      <c r="C283" s="116"/>
      <c r="D283" s="512" t="str">
        <f>_xlfn.XLOOKUP(E283,'All Products'!D:D,'All Products'!C:C,FALSE)</f>
        <v>438-417</v>
      </c>
      <c r="E283" s="53">
        <v>100022983</v>
      </c>
      <c r="F283" s="522" t="str">
        <f>_xlfn.XLOOKUP(E283,'All Products'!D:D,'All Products'!E:E,FALSE)</f>
        <v>4X1 REDUCER BUSHING SPGX FIPT</v>
      </c>
      <c r="G283" s="282">
        <f>_xlfn.XLOOKUP(E283,'All Products'!D:D,'All Products'!F:F,FALSE)</f>
        <v>10</v>
      </c>
      <c r="H283" s="533">
        <f>_xlfn.XLOOKUP(E283,'All Products'!D:D,'All Products'!G:G,FALSE)</f>
        <v>1500</v>
      </c>
      <c r="I283" s="540">
        <f>_xlfn.XLOOKUP(E283,'All Products'!D:D,'All Products'!H:H,FALSE)</f>
        <v>37.56</v>
      </c>
      <c r="J283" s="216">
        <f>ROUND(I283*Order_Quote!$L$4,2)</f>
        <v>187.8</v>
      </c>
      <c r="K283" s="76"/>
      <c r="L283" s="79"/>
      <c r="M283" s="117">
        <f t="shared" si="10"/>
        <v>0</v>
      </c>
      <c r="O283" s="530" t="str">
        <f>_xlfn.XLOOKUP(E283,'All Products'!D:D,'All Products'!I:I,FALSE)</f>
        <v>In Stock</v>
      </c>
      <c r="P283" s="530" t="str">
        <f>_xlfn.XLOOKUP(E283,'All Products'!D:D,'All Products'!J:J,FALSE)</f>
        <v>Manufactured</v>
      </c>
      <c r="Q283" s="543" t="str">
        <f>_xlfn.XLOOKUP(E283,'All Products'!D:D,'All Products'!K:K,FALSE)</f>
        <v>049081135232</v>
      </c>
      <c r="R283" s="543" t="str">
        <f>_xlfn.XLOOKUP(E283,'All Products'!D:D,'All Products'!L:L,FALSE)</f>
        <v>-</v>
      </c>
      <c r="S283" s="543" t="str">
        <f>_xlfn.XLOOKUP(E283,'All Products'!D:D,'All Products'!M:M,FALSE)</f>
        <v>40049081135230</v>
      </c>
      <c r="T283" s="530">
        <f>_xlfn.XLOOKUP(E283,'All Products'!D:D,'All Products'!N:N,FALSE)</f>
        <v>0.63600000000000001</v>
      </c>
      <c r="U283" s="543" t="str">
        <f>_xlfn.XLOOKUP(E283,'All Products'!D:D,'All Products'!O:O,FALSE)</f>
        <v>-</v>
      </c>
      <c r="V283" s="530">
        <f>_xlfn.XLOOKUP(E283,'All Products'!D:D,'All Products'!P:P,FALSE)</f>
        <v>7.08</v>
      </c>
      <c r="W283" s="530">
        <f>_xlfn.XLOOKUP(E283,'All Products'!D:D,'All Products'!Q:Q,FALSE)</f>
        <v>0.5</v>
      </c>
    </row>
    <row r="284" spans="1:23" ht="15" customHeight="1">
      <c r="A284" s="104" t="str">
        <f>IF(K284&gt;0,COUNT($A$7:A283)+COUNT('DWV PVC'!$A$8:$A$284)+COUNT('DWV ABS'!$A$8:$A$116)+1,"")</f>
        <v/>
      </c>
      <c r="B284" s="115"/>
      <c r="C284" s="116"/>
      <c r="D284" s="512" t="str">
        <f>_xlfn.XLOOKUP(E284,'All Products'!D:D,'All Products'!C:C,FALSE)</f>
        <v>438-420</v>
      </c>
      <c r="E284" s="53">
        <v>100022987</v>
      </c>
      <c r="F284" s="522" t="str">
        <f>_xlfn.XLOOKUP(E284,'All Products'!D:D,'All Products'!E:E,FALSE)</f>
        <v>4X2 REDUCER BUSHING SPGX FIPT</v>
      </c>
      <c r="G284" s="282">
        <f>_xlfn.XLOOKUP(E284,'All Products'!D:D,'All Products'!F:F,FALSE)</f>
        <v>10</v>
      </c>
      <c r="H284" s="533">
        <f>_xlfn.XLOOKUP(E284,'All Products'!D:D,'All Products'!G:G,FALSE)</f>
        <v>1500</v>
      </c>
      <c r="I284" s="540">
        <f>_xlfn.XLOOKUP(E284,'All Products'!D:D,'All Products'!H:H,FALSE)</f>
        <v>37.56</v>
      </c>
      <c r="J284" s="216">
        <f>ROUND(I284*Order_Quote!$L$4,2)</f>
        <v>187.8</v>
      </c>
      <c r="K284" s="76"/>
      <c r="L284" s="79"/>
      <c r="M284" s="117">
        <f t="shared" si="10"/>
        <v>0</v>
      </c>
      <c r="O284" s="530" t="str">
        <f>_xlfn.XLOOKUP(E284,'All Products'!D:D,'All Products'!I:I,FALSE)</f>
        <v>In Stock</v>
      </c>
      <c r="P284" s="530" t="str">
        <f>_xlfn.XLOOKUP(E284,'All Products'!D:D,'All Products'!J:J,FALSE)</f>
        <v>Manufactured</v>
      </c>
      <c r="Q284" s="543" t="str">
        <f>_xlfn.XLOOKUP(E284,'All Products'!D:D,'All Products'!K:K,FALSE)</f>
        <v>049081135263</v>
      </c>
      <c r="R284" s="543" t="str">
        <f>_xlfn.XLOOKUP(E284,'All Products'!D:D,'All Products'!L:L,FALSE)</f>
        <v>-</v>
      </c>
      <c r="S284" s="543" t="str">
        <f>_xlfn.XLOOKUP(E284,'All Products'!D:D,'All Products'!M:M,FALSE)</f>
        <v>40049081135261</v>
      </c>
      <c r="T284" s="530">
        <f>_xlfn.XLOOKUP(E284,'All Products'!D:D,'All Products'!N:N,FALSE)</f>
        <v>0.61899999999999999</v>
      </c>
      <c r="U284" s="543" t="str">
        <f>_xlfn.XLOOKUP(E284,'All Products'!D:D,'All Products'!O:O,FALSE)</f>
        <v>-</v>
      </c>
      <c r="V284" s="530">
        <f>_xlfn.XLOOKUP(E284,'All Products'!D:D,'All Products'!P:P,FALSE)</f>
        <v>6.89</v>
      </c>
      <c r="W284" s="530">
        <f>_xlfn.XLOOKUP(E284,'All Products'!D:D,'All Products'!Q:Q,FALSE)</f>
        <v>0.5</v>
      </c>
    </row>
    <row r="285" spans="1:23" ht="15" customHeight="1">
      <c r="A285" s="104" t="str">
        <f>IF(K285&gt;0,COUNT($A$7:A284)+COUNT('DWV PVC'!$A$8:$A$284)+COUNT('DWV ABS'!$A$8:$A$116)+1,"")</f>
        <v/>
      </c>
      <c r="B285" s="380"/>
      <c r="C285" s="292"/>
      <c r="D285" s="512" t="str">
        <f>_xlfn.XLOOKUP(E285,'All Products'!D:D,'All Products'!C:C,FALSE)</f>
        <v>438-422</v>
      </c>
      <c r="E285" s="53">
        <v>100022991</v>
      </c>
      <c r="F285" s="522" t="str">
        <f>_xlfn.XLOOKUP(E285,'All Products'!D:D,'All Products'!E:E,FALSE)</f>
        <v>4X3 REDUCER BUSHING SPGX FIPT</v>
      </c>
      <c r="G285" s="282">
        <f>_xlfn.XLOOKUP(E285,'All Products'!D:D,'All Products'!F:F,FALSE)</f>
        <v>10</v>
      </c>
      <c r="H285" s="533">
        <f>_xlfn.XLOOKUP(E285,'All Products'!D:D,'All Products'!G:G,FALSE)</f>
        <v>1500</v>
      </c>
      <c r="I285" s="540">
        <f>_xlfn.XLOOKUP(E285,'All Products'!D:D,'All Products'!H:H,FALSE)</f>
        <v>37.56</v>
      </c>
      <c r="J285" s="216">
        <f>ROUND(I285*Order_Quote!$L$4,2)</f>
        <v>187.8</v>
      </c>
      <c r="K285" s="76"/>
      <c r="L285" s="79"/>
      <c r="M285" s="117">
        <f t="shared" si="10"/>
        <v>0</v>
      </c>
      <c r="O285" s="530" t="str">
        <f>_xlfn.XLOOKUP(E285,'All Products'!D:D,'All Products'!I:I,FALSE)</f>
        <v>Within 3 Weeks</v>
      </c>
      <c r="P285" s="530" t="str">
        <f>_xlfn.XLOOKUP(E285,'All Products'!D:D,'All Products'!J:J,FALSE)</f>
        <v>Manufactured</v>
      </c>
      <c r="Q285" s="543" t="str">
        <f>_xlfn.XLOOKUP(E285,'All Products'!D:D,'All Products'!K:K,FALSE)</f>
        <v>049081135225</v>
      </c>
      <c r="R285" s="543" t="str">
        <f>_xlfn.XLOOKUP(E285,'All Products'!D:D,'All Products'!L:L,FALSE)</f>
        <v>-</v>
      </c>
      <c r="S285" s="543" t="str">
        <f>_xlfn.XLOOKUP(E285,'All Products'!D:D,'All Products'!M:M,FALSE)</f>
        <v>40049081135223</v>
      </c>
      <c r="T285" s="530">
        <f>_xlfn.XLOOKUP(E285,'All Products'!D:D,'All Products'!N:N,FALSE)</f>
        <v>0.747</v>
      </c>
      <c r="U285" s="543" t="str">
        <f>_xlfn.XLOOKUP(E285,'All Products'!D:D,'All Products'!O:O,FALSE)</f>
        <v>-</v>
      </c>
      <c r="V285" s="530">
        <f>_xlfn.XLOOKUP(E285,'All Products'!D:D,'All Products'!P:P,FALSE)</f>
        <v>8.1</v>
      </c>
      <c r="W285" s="530">
        <f>_xlfn.XLOOKUP(E285,'All Products'!D:D,'All Products'!Q:Q,FALSE)</f>
        <v>0.5</v>
      </c>
    </row>
    <row r="286" spans="1:23" ht="15" customHeight="1">
      <c r="A286" s="104" t="str">
        <f>IF(K286&gt;0,COUNT($A$7:A285)+COUNT('DWV PVC'!$A$8:$A$284)+COUNT('DWV ABS'!$A$8:$A$116)+1,"")</f>
        <v/>
      </c>
      <c r="B286" s="115"/>
      <c r="C286" s="116"/>
      <c r="D286" s="512" t="str">
        <f>_xlfn.XLOOKUP(E286,'All Products'!D:D,'All Products'!C:C,FALSE)</f>
        <v>439-072</v>
      </c>
      <c r="E286" s="53">
        <v>100022997</v>
      </c>
      <c r="F286" s="522" t="str">
        <f>_xlfn.XLOOKUP(E286,'All Products'!D:D,'All Products'!E:E,FALSE)</f>
        <v>1/2X1/4 REDUCER BUSHING MIPTXFIPT</v>
      </c>
      <c r="G286" s="282">
        <f>_xlfn.XLOOKUP(E286,'All Products'!D:D,'All Products'!F:F,FALSE)</f>
        <v>500</v>
      </c>
      <c r="H286" s="533">
        <f>_xlfn.XLOOKUP(E286,'All Products'!D:D,'All Products'!G:G,FALSE)</f>
        <v>75000</v>
      </c>
      <c r="I286" s="540">
        <f>_xlfn.XLOOKUP(E286,'All Products'!D:D,'All Products'!H:H,FALSE)</f>
        <v>7.54</v>
      </c>
      <c r="J286" s="216">
        <f>ROUND(I286*Order_Quote!$L$4,2)</f>
        <v>37.700000000000003</v>
      </c>
      <c r="K286" s="76"/>
      <c r="L286" s="79"/>
      <c r="M286" s="117">
        <f t="shared" si="10"/>
        <v>0</v>
      </c>
      <c r="O286" s="530" t="str">
        <f>_xlfn.XLOOKUP(E286,'All Products'!D:D,'All Products'!I:I,FALSE)</f>
        <v>Within 3 Weeks</v>
      </c>
      <c r="P286" s="530" t="str">
        <f>_xlfn.XLOOKUP(E286,'All Products'!D:D,'All Products'!J:J,FALSE)</f>
        <v>Manufactured</v>
      </c>
      <c r="Q286" s="543" t="str">
        <f>_xlfn.XLOOKUP(E286,'All Products'!D:D,'All Products'!K:K,FALSE)</f>
        <v>049081135522</v>
      </c>
      <c r="R286" s="543" t="str">
        <f>_xlfn.XLOOKUP(E286,'All Products'!D:D,'All Products'!L:L,FALSE)</f>
        <v>049081635527</v>
      </c>
      <c r="S286" s="543" t="str">
        <f>_xlfn.XLOOKUP(E286,'All Products'!D:D,'All Products'!M:M,FALSE)</f>
        <v>40049081135520</v>
      </c>
      <c r="T286" s="530">
        <f>_xlfn.XLOOKUP(E286,'All Products'!D:D,'All Products'!N:N,FALSE)</f>
        <v>2.1000000000000001E-2</v>
      </c>
      <c r="U286" s="543">
        <f>_xlfn.XLOOKUP(E286,'All Products'!D:D,'All Products'!O:O,FALSE)</f>
        <v>10</v>
      </c>
      <c r="V286" s="530">
        <f>_xlfn.XLOOKUP(E286,'All Products'!D:D,'All Products'!P:P,FALSE)</f>
        <v>10.8</v>
      </c>
      <c r="W286" s="530">
        <f>_xlfn.XLOOKUP(E286,'All Products'!D:D,'All Products'!Q:Q,FALSE)</f>
        <v>0.5</v>
      </c>
    </row>
    <row r="287" spans="1:23" ht="15" customHeight="1">
      <c r="A287" s="104" t="str">
        <f>IF(K287&gt;0,COUNT($A$7:A286)+COUNT('DWV PVC'!$A$8:$A$284)+COUNT('DWV ABS'!$A$8:$A$116)+1,"")</f>
        <v/>
      </c>
      <c r="B287" s="115"/>
      <c r="C287" s="116"/>
      <c r="D287" s="512" t="str">
        <f>_xlfn.XLOOKUP(E287,'All Products'!D:D,'All Products'!C:C,FALSE)</f>
        <v>439-073</v>
      </c>
      <c r="E287" s="53">
        <v>100022999</v>
      </c>
      <c r="F287" s="522" t="str">
        <f>_xlfn.XLOOKUP(E287,'All Products'!D:D,'All Products'!E:E,FALSE)</f>
        <v>1/2X3/8 REDUCER BUSHING MIPTXFIPT</v>
      </c>
      <c r="G287" s="282">
        <f>_xlfn.XLOOKUP(E287,'All Products'!D:D,'All Products'!F:F,FALSE)</f>
        <v>500</v>
      </c>
      <c r="H287" s="533">
        <f>_xlfn.XLOOKUP(E287,'All Products'!D:D,'All Products'!G:G,FALSE)</f>
        <v>75000</v>
      </c>
      <c r="I287" s="540">
        <f>_xlfn.XLOOKUP(E287,'All Products'!D:D,'All Products'!H:H,FALSE)</f>
        <v>7.54</v>
      </c>
      <c r="J287" s="216">
        <f>ROUND(I287*Order_Quote!$L$4,2)</f>
        <v>37.700000000000003</v>
      </c>
      <c r="K287" s="76"/>
      <c r="L287" s="79"/>
      <c r="M287" s="117">
        <f t="shared" si="10"/>
        <v>0</v>
      </c>
      <c r="O287" s="530" t="str">
        <f>_xlfn.XLOOKUP(E287,'All Products'!D:D,'All Products'!I:I,FALSE)</f>
        <v>Within 3 Weeks</v>
      </c>
      <c r="P287" s="530" t="str">
        <f>_xlfn.XLOOKUP(E287,'All Products'!D:D,'All Products'!J:J,FALSE)</f>
        <v>Manufactured</v>
      </c>
      <c r="Q287" s="543" t="str">
        <f>_xlfn.XLOOKUP(E287,'All Products'!D:D,'All Products'!K:K,FALSE)</f>
        <v>049081135508</v>
      </c>
      <c r="R287" s="543" t="str">
        <f>_xlfn.XLOOKUP(E287,'All Products'!D:D,'All Products'!L:L,FALSE)</f>
        <v>049081635503</v>
      </c>
      <c r="S287" s="543" t="str">
        <f>_xlfn.XLOOKUP(E287,'All Products'!D:D,'All Products'!M:M,FALSE)</f>
        <v>40049081135506</v>
      </c>
      <c r="T287" s="530">
        <f>_xlfn.XLOOKUP(E287,'All Products'!D:D,'All Products'!N:N,FALSE)</f>
        <v>1.6E-2</v>
      </c>
      <c r="U287" s="543">
        <f>_xlfn.XLOOKUP(E287,'All Products'!D:D,'All Products'!O:O,FALSE)</f>
        <v>10</v>
      </c>
      <c r="V287" s="530">
        <f>_xlfn.XLOOKUP(E287,'All Products'!D:D,'All Products'!P:P,FALSE)</f>
        <v>8.4700000000000006</v>
      </c>
      <c r="W287" s="530">
        <f>_xlfn.XLOOKUP(E287,'All Products'!D:D,'All Products'!Q:Q,FALSE)</f>
        <v>0.5</v>
      </c>
    </row>
    <row r="288" spans="1:23" ht="15" customHeight="1">
      <c r="A288" s="104" t="str">
        <f>IF(K288&gt;0,COUNT($A$7:A287)+COUNT('DWV PVC'!$A$8:$A$284)+COUNT('DWV ABS'!$A$8:$A$116)+1,"")</f>
        <v/>
      </c>
      <c r="B288" s="115"/>
      <c r="C288" s="116"/>
      <c r="D288" s="512" t="str">
        <f>_xlfn.XLOOKUP(E288,'All Products'!D:D,'All Products'!C:C,FALSE)</f>
        <v>439-101</v>
      </c>
      <c r="E288" s="53">
        <v>100023005</v>
      </c>
      <c r="F288" s="522" t="str">
        <f>_xlfn.XLOOKUP(E288,'All Products'!D:D,'All Products'!E:E,FALSE)</f>
        <v>3/4X1/2 RED BUSHING MIPT X FIPT</v>
      </c>
      <c r="G288" s="282">
        <f>_xlfn.XLOOKUP(E288,'All Products'!D:D,'All Products'!F:F,FALSE)</f>
        <v>500</v>
      </c>
      <c r="H288" s="533">
        <f>_xlfn.XLOOKUP(E288,'All Products'!D:D,'All Products'!G:G,FALSE)</f>
        <v>60000</v>
      </c>
      <c r="I288" s="540">
        <f>_xlfn.XLOOKUP(E288,'All Products'!D:D,'All Products'!H:H,FALSE)</f>
        <v>4.67</v>
      </c>
      <c r="J288" s="216">
        <f>ROUND(I288*Order_Quote!$L$4,2)</f>
        <v>23.35</v>
      </c>
      <c r="K288" s="76"/>
      <c r="L288" s="79"/>
      <c r="M288" s="117">
        <f t="shared" si="10"/>
        <v>0</v>
      </c>
      <c r="O288" s="530" t="str">
        <f>_xlfn.XLOOKUP(E288,'All Products'!D:D,'All Products'!I:I,FALSE)</f>
        <v>In Stock</v>
      </c>
      <c r="P288" s="530" t="str">
        <f>_xlfn.XLOOKUP(E288,'All Products'!D:D,'All Products'!J:J,FALSE)</f>
        <v>Manufactured</v>
      </c>
      <c r="Q288" s="543" t="str">
        <f>_xlfn.XLOOKUP(E288,'All Products'!D:D,'All Products'!K:K,FALSE)</f>
        <v>049081135584</v>
      </c>
      <c r="R288" s="543" t="str">
        <f>_xlfn.XLOOKUP(E288,'All Products'!D:D,'All Products'!L:L,FALSE)</f>
        <v>049081635589</v>
      </c>
      <c r="S288" s="543" t="str">
        <f>_xlfn.XLOOKUP(E288,'All Products'!D:D,'All Products'!M:M,FALSE)</f>
        <v>40049081135582</v>
      </c>
      <c r="T288" s="530">
        <f>_xlfn.XLOOKUP(E288,'All Products'!D:D,'All Products'!N:N,FALSE)</f>
        <v>2.1000000000000001E-2</v>
      </c>
      <c r="U288" s="543">
        <f>_xlfn.XLOOKUP(E288,'All Products'!D:D,'All Products'!O:O,FALSE)</f>
        <v>10</v>
      </c>
      <c r="V288" s="530">
        <f>_xlfn.XLOOKUP(E288,'All Products'!D:D,'All Products'!P:P,FALSE)</f>
        <v>11.55</v>
      </c>
      <c r="W288" s="530">
        <f>_xlfn.XLOOKUP(E288,'All Products'!D:D,'All Products'!Q:Q,FALSE)</f>
        <v>0.65</v>
      </c>
    </row>
    <row r="289" spans="1:23" ht="15" customHeight="1">
      <c r="A289" s="104" t="str">
        <f>IF(K289&gt;0,COUNT($A$7:A288)+COUNT('DWV PVC'!$A$8:$A$284)+COUNT('DWV ABS'!$A$8:$A$116)+1,"")</f>
        <v/>
      </c>
      <c r="B289" s="115"/>
      <c r="C289" s="116"/>
      <c r="D289" s="512" t="str">
        <f>_xlfn.XLOOKUP(E289,'All Products'!D:D,'All Products'!C:C,FALSE)</f>
        <v>439-130</v>
      </c>
      <c r="E289" s="53">
        <v>100023009</v>
      </c>
      <c r="F289" s="522" t="str">
        <f>_xlfn.XLOOKUP(E289,'All Products'!D:D,'All Products'!E:E,FALSE)</f>
        <v>1X1/2 REDUCER BUSHING MIPT X FIPT</v>
      </c>
      <c r="G289" s="282">
        <f>_xlfn.XLOOKUP(E289,'All Products'!D:D,'All Products'!F:F,FALSE)</f>
        <v>250</v>
      </c>
      <c r="H289" s="533">
        <f>_xlfn.XLOOKUP(E289,'All Products'!D:D,'All Products'!G:G,FALSE)</f>
        <v>30000</v>
      </c>
      <c r="I289" s="540">
        <f>_xlfn.XLOOKUP(E289,'All Products'!D:D,'All Products'!H:H,FALSE)</f>
        <v>6.53</v>
      </c>
      <c r="J289" s="216">
        <f>ROUND(I289*Order_Quote!$L$4,2)</f>
        <v>32.65</v>
      </c>
      <c r="K289" s="76"/>
      <c r="L289" s="79"/>
      <c r="M289" s="117">
        <f t="shared" si="10"/>
        <v>0</v>
      </c>
      <c r="O289" s="530" t="str">
        <f>_xlfn.XLOOKUP(E289,'All Products'!D:D,'All Products'!I:I,FALSE)</f>
        <v>In Stock</v>
      </c>
      <c r="P289" s="530" t="str">
        <f>_xlfn.XLOOKUP(E289,'All Products'!D:D,'All Products'!J:J,FALSE)</f>
        <v>Manufactured</v>
      </c>
      <c r="Q289" s="543" t="str">
        <f>_xlfn.XLOOKUP(E289,'All Products'!D:D,'All Products'!K:K,FALSE)</f>
        <v>049081135706</v>
      </c>
      <c r="R289" s="543" t="str">
        <f>_xlfn.XLOOKUP(E289,'All Products'!D:D,'All Products'!L:L,FALSE)</f>
        <v>049081635701</v>
      </c>
      <c r="S289" s="543" t="str">
        <f>_xlfn.XLOOKUP(E289,'All Products'!D:D,'All Products'!M:M,FALSE)</f>
        <v>40049081135704</v>
      </c>
      <c r="T289" s="530">
        <f>_xlfn.XLOOKUP(E289,'All Products'!D:D,'All Products'!N:N,FALSE)</f>
        <v>4.7E-2</v>
      </c>
      <c r="U289" s="543">
        <f>_xlfn.XLOOKUP(E289,'All Products'!D:D,'All Products'!O:O,FALSE)</f>
        <v>10</v>
      </c>
      <c r="V289" s="530">
        <f>_xlfn.XLOOKUP(E289,'All Products'!D:D,'All Products'!P:P,FALSE)</f>
        <v>12.68</v>
      </c>
      <c r="W289" s="530">
        <f>_xlfn.XLOOKUP(E289,'All Products'!D:D,'All Products'!Q:Q,FALSE)</f>
        <v>0.65</v>
      </c>
    </row>
    <row r="290" spans="1:23" ht="15" customHeight="1">
      <c r="A290" s="104" t="str">
        <f>IF(K290&gt;0,COUNT($A$7:A289)+COUNT('DWV PVC'!$A$8:$A$284)+COUNT('DWV ABS'!$A$8:$A$116)+1,"")</f>
        <v/>
      </c>
      <c r="B290" s="115"/>
      <c r="C290" s="116"/>
      <c r="D290" s="512" t="str">
        <f>_xlfn.XLOOKUP(E290,'All Products'!D:D,'All Products'!C:C,FALSE)</f>
        <v>439-131</v>
      </c>
      <c r="E290" s="53">
        <v>100023011</v>
      </c>
      <c r="F290" s="522" t="str">
        <f>_xlfn.XLOOKUP(E290,'All Products'!D:D,'All Products'!E:E,FALSE)</f>
        <v>1X3/4 REDUCER BUSHING MIPT X FIPT</v>
      </c>
      <c r="G290" s="282">
        <f>_xlfn.XLOOKUP(E290,'All Products'!D:D,'All Products'!F:F,FALSE)</f>
        <v>250</v>
      </c>
      <c r="H290" s="533">
        <f>_xlfn.XLOOKUP(E290,'All Products'!D:D,'All Products'!G:G,FALSE)</f>
        <v>30000</v>
      </c>
      <c r="I290" s="540">
        <f>_xlfn.XLOOKUP(E290,'All Products'!D:D,'All Products'!H:H,FALSE)</f>
        <v>6.53</v>
      </c>
      <c r="J290" s="216">
        <f>ROUND(I290*Order_Quote!$L$4,2)</f>
        <v>32.65</v>
      </c>
      <c r="K290" s="76"/>
      <c r="L290" s="79"/>
      <c r="M290" s="117">
        <f t="shared" si="10"/>
        <v>0</v>
      </c>
      <c r="O290" s="530" t="str">
        <f>_xlfn.XLOOKUP(E290,'All Products'!D:D,'All Products'!I:I,FALSE)</f>
        <v>In Stock</v>
      </c>
      <c r="P290" s="530" t="str">
        <f>_xlfn.XLOOKUP(E290,'All Products'!D:D,'All Products'!J:J,FALSE)</f>
        <v>Manufactured</v>
      </c>
      <c r="Q290" s="543" t="str">
        <f>_xlfn.XLOOKUP(E290,'All Products'!D:D,'All Products'!K:K,FALSE)</f>
        <v>049081135683</v>
      </c>
      <c r="R290" s="543" t="str">
        <f>_xlfn.XLOOKUP(E290,'All Products'!D:D,'All Products'!L:L,FALSE)</f>
        <v>049081635688</v>
      </c>
      <c r="S290" s="543" t="str">
        <f>_xlfn.XLOOKUP(E290,'All Products'!D:D,'All Products'!M:M,FALSE)</f>
        <v>40049081135681</v>
      </c>
      <c r="T290" s="530">
        <f>_xlfn.XLOOKUP(E290,'All Products'!D:D,'All Products'!N:N,FALSE)</f>
        <v>3.5999999999999997E-2</v>
      </c>
      <c r="U290" s="543">
        <f>_xlfn.XLOOKUP(E290,'All Products'!D:D,'All Products'!O:O,FALSE)</f>
        <v>10</v>
      </c>
      <c r="V290" s="530">
        <f>_xlfn.XLOOKUP(E290,'All Products'!D:D,'All Products'!P:P,FALSE)</f>
        <v>10.25</v>
      </c>
      <c r="W290" s="530">
        <f>_xlfn.XLOOKUP(E290,'All Products'!D:D,'All Products'!Q:Q,FALSE)</f>
        <v>0.65</v>
      </c>
    </row>
    <row r="291" spans="1:23" ht="15" customHeight="1">
      <c r="A291" s="104" t="str">
        <f>IF(K291&gt;0,COUNT($A$7:A290)+COUNT('DWV PVC'!$A$8:$A$284)+COUNT('DWV ABS'!$A$8:$A$116)+1,"")</f>
        <v/>
      </c>
      <c r="B291" s="115"/>
      <c r="C291" s="116"/>
      <c r="D291" s="512" t="str">
        <f>_xlfn.XLOOKUP(E291,'All Products'!D:D,'All Products'!C:C,FALSE)</f>
        <v>439-167</v>
      </c>
      <c r="E291" s="53">
        <v>100023015</v>
      </c>
      <c r="F291" s="522" t="str">
        <f>_xlfn.XLOOKUP(E291,'All Products'!D:D,'All Products'!E:E,FALSE)</f>
        <v>1-1/4X3/4 RED BUSHING MIPT X FIPT</v>
      </c>
      <c r="G291" s="282">
        <f>_xlfn.XLOOKUP(E291,'All Products'!D:D,'All Products'!F:F,FALSE)</f>
        <v>150</v>
      </c>
      <c r="H291" s="533">
        <f>_xlfn.XLOOKUP(E291,'All Products'!D:D,'All Products'!G:G,FALSE)</f>
        <v>18000</v>
      </c>
      <c r="I291" s="540">
        <f>_xlfn.XLOOKUP(E291,'All Products'!D:D,'All Products'!H:H,FALSE)</f>
        <v>9.73</v>
      </c>
      <c r="J291" s="216">
        <f>ROUND(I291*Order_Quote!$L$4,2)</f>
        <v>48.65</v>
      </c>
      <c r="K291" s="76"/>
      <c r="L291" s="79"/>
      <c r="M291" s="117">
        <f t="shared" si="10"/>
        <v>0</v>
      </c>
      <c r="O291" s="530" t="str">
        <f>_xlfn.XLOOKUP(E291,'All Products'!D:D,'All Products'!I:I,FALSE)</f>
        <v>Within 3 Weeks</v>
      </c>
      <c r="P291" s="530" t="str">
        <f>_xlfn.XLOOKUP(E291,'All Products'!D:D,'All Products'!J:J,FALSE)</f>
        <v>Manufactured</v>
      </c>
      <c r="Q291" s="543" t="str">
        <f>_xlfn.XLOOKUP(E291,'All Products'!D:D,'All Products'!K:K,FALSE)</f>
        <v>049081135782</v>
      </c>
      <c r="R291" s="543" t="str">
        <f>_xlfn.XLOOKUP(E291,'All Products'!D:D,'All Products'!L:L,FALSE)</f>
        <v>049081635787</v>
      </c>
      <c r="S291" s="543" t="str">
        <f>_xlfn.XLOOKUP(E291,'All Products'!D:D,'All Products'!M:M,FALSE)</f>
        <v>40049081135780</v>
      </c>
      <c r="T291" s="530">
        <f>_xlfn.XLOOKUP(E291,'All Products'!D:D,'All Products'!N:N,FALSE)</f>
        <v>6.8000000000000005E-2</v>
      </c>
      <c r="U291" s="543">
        <f>_xlfn.XLOOKUP(E291,'All Products'!D:D,'All Products'!O:O,FALSE)</f>
        <v>5</v>
      </c>
      <c r="V291" s="530">
        <f>_xlfn.XLOOKUP(E291,'All Products'!D:D,'All Products'!P:P,FALSE)</f>
        <v>13.6</v>
      </c>
      <c r="W291" s="530">
        <f>_xlfn.XLOOKUP(E291,'All Products'!D:D,'All Products'!Q:Q,FALSE)</f>
        <v>0.65</v>
      </c>
    </row>
    <row r="292" spans="1:23" ht="15" customHeight="1">
      <c r="A292" s="104" t="str">
        <f>IF(K292&gt;0,COUNT($A$7:A291)+COUNT('DWV PVC'!$A$8:$A$284)+COUNT('DWV ABS'!$A$8:$A$116)+1,"")</f>
        <v/>
      </c>
      <c r="B292" s="115"/>
      <c r="C292" s="116"/>
      <c r="D292" s="512" t="str">
        <f>_xlfn.XLOOKUP(E292,'All Products'!D:D,'All Products'!C:C,FALSE)</f>
        <v>439-168</v>
      </c>
      <c r="E292" s="53">
        <v>100023017</v>
      </c>
      <c r="F292" s="522" t="str">
        <f>_xlfn.XLOOKUP(E292,'All Products'!D:D,'All Products'!E:E,FALSE)</f>
        <v>1-1/4X1 REDUCER BUSHING MIPTXFIPT</v>
      </c>
      <c r="G292" s="282">
        <f>_xlfn.XLOOKUP(E292,'All Products'!D:D,'All Products'!F:F,FALSE)</f>
        <v>150</v>
      </c>
      <c r="H292" s="533">
        <f>_xlfn.XLOOKUP(E292,'All Products'!D:D,'All Products'!G:G,FALSE)</f>
        <v>18000</v>
      </c>
      <c r="I292" s="540">
        <f>_xlfn.XLOOKUP(E292,'All Products'!D:D,'All Products'!H:H,FALSE)</f>
        <v>9.73</v>
      </c>
      <c r="J292" s="216">
        <f>ROUND(I292*Order_Quote!$L$4,2)</f>
        <v>48.65</v>
      </c>
      <c r="K292" s="76"/>
      <c r="L292" s="79"/>
      <c r="M292" s="117">
        <f t="shared" si="10"/>
        <v>0</v>
      </c>
      <c r="O292" s="530" t="str">
        <f>_xlfn.XLOOKUP(E292,'All Products'!D:D,'All Products'!I:I,FALSE)</f>
        <v>In Stock</v>
      </c>
      <c r="P292" s="530" t="str">
        <f>_xlfn.XLOOKUP(E292,'All Products'!D:D,'All Products'!J:J,FALSE)</f>
        <v>Manufactured</v>
      </c>
      <c r="Q292" s="543" t="str">
        <f>_xlfn.XLOOKUP(E292,'All Products'!D:D,'All Products'!K:K,FALSE)</f>
        <v>049081135768</v>
      </c>
      <c r="R292" s="543" t="str">
        <f>_xlfn.XLOOKUP(E292,'All Products'!D:D,'All Products'!L:L,FALSE)</f>
        <v>049081635763</v>
      </c>
      <c r="S292" s="543" t="str">
        <f>_xlfn.XLOOKUP(E292,'All Products'!D:D,'All Products'!M:M,FALSE)</f>
        <v>40049081135766</v>
      </c>
      <c r="T292" s="530">
        <f>_xlfn.XLOOKUP(E292,'All Products'!D:D,'All Products'!N:N,FALSE)</f>
        <v>5.3999999999999999E-2</v>
      </c>
      <c r="U292" s="543">
        <f>_xlfn.XLOOKUP(E292,'All Products'!D:D,'All Products'!O:O,FALSE)</f>
        <v>5</v>
      </c>
      <c r="V292" s="530">
        <f>_xlfn.XLOOKUP(E292,'All Products'!D:D,'All Products'!P:P,FALSE)</f>
        <v>9.4600000000000009</v>
      </c>
      <c r="W292" s="530">
        <f>_xlfn.XLOOKUP(E292,'All Products'!D:D,'All Products'!Q:Q,FALSE)</f>
        <v>0.65</v>
      </c>
    </row>
    <row r="293" spans="1:23" ht="15" customHeight="1">
      <c r="A293" s="104" t="str">
        <f>IF(K293&gt;0,COUNT($A$7:A292)+COUNT('DWV PVC'!$A$8:$A$284)+COUNT('DWV ABS'!$A$8:$A$116)+1,"")</f>
        <v/>
      </c>
      <c r="B293" s="115"/>
      <c r="C293" s="116"/>
      <c r="D293" s="512" t="str">
        <f>_xlfn.XLOOKUP(E293,'All Products'!D:D,'All Products'!C:C,FALSE)</f>
        <v>439-209</v>
      </c>
      <c r="E293" s="53">
        <v>100023019</v>
      </c>
      <c r="F293" s="522" t="str">
        <f>_xlfn.XLOOKUP(E293,'All Products'!D:D,'All Products'!E:E,FALSE)</f>
        <v>1-1/2X1/2 RED BUSHING MIPTXFIPT</v>
      </c>
      <c r="G293" s="282">
        <f>_xlfn.XLOOKUP(E293,'All Products'!D:D,'All Products'!F:F,FALSE)</f>
        <v>100</v>
      </c>
      <c r="H293" s="533">
        <f>_xlfn.XLOOKUP(E293,'All Products'!D:D,'All Products'!G:G,FALSE)</f>
        <v>15000</v>
      </c>
      <c r="I293" s="540">
        <f>_xlfn.XLOOKUP(E293,'All Products'!D:D,'All Products'!H:H,FALSE)</f>
        <v>11.75</v>
      </c>
      <c r="J293" s="216">
        <f>ROUND(I293*Order_Quote!$L$4,2)</f>
        <v>58.75</v>
      </c>
      <c r="K293" s="76"/>
      <c r="L293" s="79"/>
      <c r="M293" s="117">
        <f t="shared" si="10"/>
        <v>0</v>
      </c>
      <c r="O293" s="530" t="str">
        <f>_xlfn.XLOOKUP(E293,'All Products'!D:D,'All Products'!I:I,FALSE)</f>
        <v>Within 3 Weeks</v>
      </c>
      <c r="P293" s="530" t="str">
        <f>_xlfn.XLOOKUP(E293,'All Products'!D:D,'All Products'!J:J,FALSE)</f>
        <v>Manufactured</v>
      </c>
      <c r="Q293" s="543" t="str">
        <f>_xlfn.XLOOKUP(E293,'All Products'!D:D,'All Products'!K:K,FALSE)</f>
        <v>049081135942</v>
      </c>
      <c r="R293" s="543" t="str">
        <f>_xlfn.XLOOKUP(E293,'All Products'!D:D,'All Products'!L:L,FALSE)</f>
        <v>049081635947</v>
      </c>
      <c r="S293" s="543" t="str">
        <f>_xlfn.XLOOKUP(E293,'All Products'!D:D,'All Products'!M:M,FALSE)</f>
        <v>40049081135940</v>
      </c>
      <c r="T293" s="530">
        <f>_xlfn.XLOOKUP(E293,'All Products'!D:D,'All Products'!N:N,FALSE)</f>
        <v>9.5000000000000001E-2</v>
      </c>
      <c r="U293" s="543">
        <f>_xlfn.XLOOKUP(E293,'All Products'!D:D,'All Products'!O:O,FALSE)</f>
        <v>10</v>
      </c>
      <c r="V293" s="530">
        <f>_xlfn.XLOOKUP(E293,'All Products'!D:D,'All Products'!P:P,FALSE)</f>
        <v>10.27</v>
      </c>
      <c r="W293" s="530">
        <f>_xlfn.XLOOKUP(E293,'All Products'!D:D,'All Products'!Q:Q,FALSE)</f>
        <v>0.5</v>
      </c>
    </row>
    <row r="294" spans="1:23" ht="15" customHeight="1">
      <c r="A294" s="104" t="str">
        <f>IF(K294&gt;0,COUNT($A$7:A293)+COUNT('DWV PVC'!$A$8:$A$284)+COUNT('DWV ABS'!$A$8:$A$116)+1,"")</f>
        <v/>
      </c>
      <c r="B294" s="115"/>
      <c r="C294" s="116"/>
      <c r="D294" s="512" t="str">
        <f>_xlfn.XLOOKUP(E294,'All Products'!D:D,'All Products'!C:C,FALSE)</f>
        <v>439-210</v>
      </c>
      <c r="E294" s="53">
        <v>100023021</v>
      </c>
      <c r="F294" s="522" t="str">
        <f>_xlfn.XLOOKUP(E294,'All Products'!D:D,'All Products'!E:E,FALSE)</f>
        <v>1-1/2X3/4 RED BUSHING MIPT X FIPT</v>
      </c>
      <c r="G294" s="282">
        <f>_xlfn.XLOOKUP(E294,'All Products'!D:D,'All Products'!F:F,FALSE)</f>
        <v>100</v>
      </c>
      <c r="H294" s="533">
        <f>_xlfn.XLOOKUP(E294,'All Products'!D:D,'All Products'!G:G,FALSE)</f>
        <v>15000</v>
      </c>
      <c r="I294" s="540">
        <f>_xlfn.XLOOKUP(E294,'All Products'!D:D,'All Products'!H:H,FALSE)</f>
        <v>11.75</v>
      </c>
      <c r="J294" s="216">
        <f>ROUND(I294*Order_Quote!$L$4,2)</f>
        <v>58.75</v>
      </c>
      <c r="K294" s="76"/>
      <c r="L294" s="79"/>
      <c r="M294" s="117">
        <f t="shared" si="10"/>
        <v>0</v>
      </c>
      <c r="O294" s="530" t="str">
        <f>_xlfn.XLOOKUP(E294,'All Products'!D:D,'All Products'!I:I,FALSE)</f>
        <v>In Stock</v>
      </c>
      <c r="P294" s="530" t="str">
        <f>_xlfn.XLOOKUP(E294,'All Products'!D:D,'All Products'!J:J,FALSE)</f>
        <v>Manufactured</v>
      </c>
      <c r="Q294" s="543" t="str">
        <f>_xlfn.XLOOKUP(E294,'All Products'!D:D,'All Products'!K:K,FALSE)</f>
        <v>049081135928</v>
      </c>
      <c r="R294" s="543" t="str">
        <f>_xlfn.XLOOKUP(E294,'All Products'!D:D,'All Products'!L:L,FALSE)</f>
        <v>049081635923</v>
      </c>
      <c r="S294" s="543" t="str">
        <f>_xlfn.XLOOKUP(E294,'All Products'!D:D,'All Products'!M:M,FALSE)</f>
        <v>40049081135926</v>
      </c>
      <c r="T294" s="530">
        <f>_xlfn.XLOOKUP(E294,'All Products'!D:D,'All Products'!N:N,FALSE)</f>
        <v>9.4E-2</v>
      </c>
      <c r="U294" s="543">
        <f>_xlfn.XLOOKUP(E294,'All Products'!D:D,'All Products'!O:O,FALSE)</f>
        <v>10</v>
      </c>
      <c r="V294" s="530">
        <f>_xlfn.XLOOKUP(E294,'All Products'!D:D,'All Products'!P:P,FALSE)</f>
        <v>10.24</v>
      </c>
      <c r="W294" s="530">
        <f>_xlfn.XLOOKUP(E294,'All Products'!D:D,'All Products'!Q:Q,FALSE)</f>
        <v>0.5</v>
      </c>
    </row>
    <row r="295" spans="1:23" ht="15" customHeight="1">
      <c r="A295" s="104" t="str">
        <f>IF(K295&gt;0,COUNT($A$7:A294)+COUNT('DWV PVC'!$A$8:$A$284)+COUNT('DWV ABS'!$A$8:$A$116)+1,"")</f>
        <v/>
      </c>
      <c r="B295" s="115"/>
      <c r="C295" s="116"/>
      <c r="D295" s="512" t="str">
        <f>_xlfn.XLOOKUP(E295,'All Products'!D:D,'All Products'!C:C,FALSE)</f>
        <v>439-211</v>
      </c>
      <c r="E295" s="53">
        <v>100023023</v>
      </c>
      <c r="F295" s="522" t="str">
        <f>_xlfn.XLOOKUP(E295,'All Products'!D:D,'All Products'!E:E,FALSE)</f>
        <v>1-1/2X1 RED BUSHING MIPT X FIPT</v>
      </c>
      <c r="G295" s="282">
        <f>_xlfn.XLOOKUP(E295,'All Products'!D:D,'All Products'!F:F,FALSE)</f>
        <v>100</v>
      </c>
      <c r="H295" s="533">
        <f>_xlfn.XLOOKUP(E295,'All Products'!D:D,'All Products'!G:G,FALSE)</f>
        <v>15000</v>
      </c>
      <c r="I295" s="540">
        <f>_xlfn.XLOOKUP(E295,'All Products'!D:D,'All Products'!H:H,FALSE)</f>
        <v>11.75</v>
      </c>
      <c r="J295" s="216">
        <f>ROUND(I295*Order_Quote!$L$4,2)</f>
        <v>58.75</v>
      </c>
      <c r="K295" s="76"/>
      <c r="L295" s="79"/>
      <c r="M295" s="117">
        <f t="shared" si="10"/>
        <v>0</v>
      </c>
      <c r="O295" s="530" t="str">
        <f>_xlfn.XLOOKUP(E295,'All Products'!D:D,'All Products'!I:I,FALSE)</f>
        <v>In Stock</v>
      </c>
      <c r="P295" s="530" t="str">
        <f>_xlfn.XLOOKUP(E295,'All Products'!D:D,'All Products'!J:J,FALSE)</f>
        <v>Manufactured</v>
      </c>
      <c r="Q295" s="543" t="str">
        <f>_xlfn.XLOOKUP(E295,'All Products'!D:D,'All Products'!K:K,FALSE)</f>
        <v>049081135904</v>
      </c>
      <c r="R295" s="543" t="str">
        <f>_xlfn.XLOOKUP(E295,'All Products'!D:D,'All Products'!L:L,FALSE)</f>
        <v>049081635909</v>
      </c>
      <c r="S295" s="543" t="str">
        <f>_xlfn.XLOOKUP(E295,'All Products'!D:D,'All Products'!M:M,FALSE)</f>
        <v>40049081135902</v>
      </c>
      <c r="T295" s="530">
        <f>_xlfn.XLOOKUP(E295,'All Products'!D:D,'All Products'!N:N,FALSE)</f>
        <v>9.4E-2</v>
      </c>
      <c r="U295" s="543">
        <f>_xlfn.XLOOKUP(E295,'All Products'!D:D,'All Products'!O:O,FALSE)</f>
        <v>10</v>
      </c>
      <c r="V295" s="530">
        <f>_xlfn.XLOOKUP(E295,'All Products'!D:D,'All Products'!P:P,FALSE)</f>
        <v>9.52</v>
      </c>
      <c r="W295" s="530">
        <f>_xlfn.XLOOKUP(E295,'All Products'!D:D,'All Products'!Q:Q,FALSE)</f>
        <v>0.5</v>
      </c>
    </row>
    <row r="296" spans="1:23" ht="15" customHeight="1">
      <c r="A296" s="104" t="str">
        <f>IF(K296&gt;0,COUNT($A$7:A295)+COUNT('DWV PVC'!$A$8:$A$284)+COUNT('DWV ABS'!$A$8:$A$116)+1,"")</f>
        <v/>
      </c>
      <c r="B296" s="115"/>
      <c r="C296" s="116"/>
      <c r="D296" s="512" t="str">
        <f>_xlfn.XLOOKUP(E296,'All Products'!D:D,'All Products'!C:C,FALSE)</f>
        <v>439-212</v>
      </c>
      <c r="E296" s="53">
        <v>100023025</v>
      </c>
      <c r="F296" s="522" t="str">
        <f>_xlfn.XLOOKUP(E296,'All Products'!D:D,'All Products'!E:E,FALSE)</f>
        <v>1-1/2X1-1/4 RED BUSHING MIPTXFIPT</v>
      </c>
      <c r="G296" s="282">
        <f>_xlfn.XLOOKUP(E296,'All Products'!D:D,'All Products'!F:F,FALSE)</f>
        <v>100</v>
      </c>
      <c r="H296" s="533">
        <f>_xlfn.XLOOKUP(E296,'All Products'!D:D,'All Products'!G:G,FALSE)</f>
        <v>15000</v>
      </c>
      <c r="I296" s="540">
        <f>_xlfn.XLOOKUP(E296,'All Products'!D:D,'All Products'!H:H,FALSE)</f>
        <v>11.75</v>
      </c>
      <c r="J296" s="216">
        <f>ROUND(I296*Order_Quote!$L$4,2)</f>
        <v>58.75</v>
      </c>
      <c r="K296" s="76"/>
      <c r="L296" s="79"/>
      <c r="M296" s="117">
        <f t="shared" si="10"/>
        <v>0</v>
      </c>
      <c r="O296" s="530" t="str">
        <f>_xlfn.XLOOKUP(E296,'All Products'!D:D,'All Products'!I:I,FALSE)</f>
        <v>Within 3 Weeks</v>
      </c>
      <c r="P296" s="530" t="str">
        <f>_xlfn.XLOOKUP(E296,'All Products'!D:D,'All Products'!J:J,FALSE)</f>
        <v>Manufactured</v>
      </c>
      <c r="Q296" s="543" t="str">
        <f>_xlfn.XLOOKUP(E296,'All Products'!D:D,'All Products'!K:K,FALSE)</f>
        <v>049081135881</v>
      </c>
      <c r="R296" s="543" t="str">
        <f>_xlfn.XLOOKUP(E296,'All Products'!D:D,'All Products'!L:L,FALSE)</f>
        <v>049081635886</v>
      </c>
      <c r="S296" s="543" t="str">
        <f>_xlfn.XLOOKUP(E296,'All Products'!D:D,'All Products'!M:M,FALSE)</f>
        <v>40049081135889</v>
      </c>
      <c r="T296" s="530">
        <f>_xlfn.XLOOKUP(E296,'All Products'!D:D,'All Products'!N:N,FALSE)</f>
        <v>0.06</v>
      </c>
      <c r="U296" s="543">
        <f>_xlfn.XLOOKUP(E296,'All Products'!D:D,'All Products'!O:O,FALSE)</f>
        <v>10</v>
      </c>
      <c r="V296" s="530">
        <f>_xlfn.XLOOKUP(E296,'All Products'!D:D,'All Products'!P:P,FALSE)</f>
        <v>7.06</v>
      </c>
      <c r="W296" s="530">
        <f>_xlfn.XLOOKUP(E296,'All Products'!D:D,'All Products'!Q:Q,FALSE)</f>
        <v>0.5</v>
      </c>
    </row>
    <row r="297" spans="1:23" ht="15" customHeight="1">
      <c r="A297" s="104" t="str">
        <f>IF(K297&gt;0,COUNT($A$7:A296)+COUNT('DWV PVC'!$A$8:$A$284)+COUNT('DWV ABS'!$A$8:$A$116)+1,"")</f>
        <v/>
      </c>
      <c r="B297" s="380"/>
      <c r="C297" s="292"/>
      <c r="D297" s="512" t="str">
        <f>_xlfn.XLOOKUP(E297,'All Products'!D:D,'All Products'!C:C,FALSE)</f>
        <v>439-251</v>
      </c>
      <c r="E297" s="53">
        <v>100023027</v>
      </c>
      <c r="F297" s="522" t="str">
        <f>_xlfn.XLOOKUP(E297,'All Products'!D:D,'All Products'!E:E,FALSE)</f>
        <v>2X1-1/2 REDUCER BUSHING MIPTXFIPT</v>
      </c>
      <c r="G297" s="282">
        <f>_xlfn.XLOOKUP(E297,'All Products'!D:D,'All Products'!F:F,FALSE)</f>
        <v>50</v>
      </c>
      <c r="H297" s="533">
        <f>_xlfn.XLOOKUP(E297,'All Products'!D:D,'All Products'!G:G,FALSE)</f>
        <v>6000</v>
      </c>
      <c r="I297" s="540">
        <f>_xlfn.XLOOKUP(E297,'All Products'!D:D,'All Products'!H:H,FALSE)</f>
        <v>12.56</v>
      </c>
      <c r="J297" s="216">
        <f>ROUND(I297*Order_Quote!$L$4,2)</f>
        <v>62.8</v>
      </c>
      <c r="K297" s="76"/>
      <c r="L297" s="79"/>
      <c r="M297" s="117">
        <f t="shared" si="10"/>
        <v>0</v>
      </c>
      <c r="O297" s="530" t="str">
        <f>_xlfn.XLOOKUP(E297,'All Products'!D:D,'All Products'!I:I,FALSE)</f>
        <v>In Stock</v>
      </c>
      <c r="P297" s="530" t="str">
        <f>_xlfn.XLOOKUP(E297,'All Products'!D:D,'All Products'!J:J,FALSE)</f>
        <v>Manufactured</v>
      </c>
      <c r="Q297" s="543" t="str">
        <f>_xlfn.XLOOKUP(E297,'All Products'!D:D,'All Products'!K:K,FALSE)</f>
        <v>049081135980</v>
      </c>
      <c r="R297" s="543" t="str">
        <f>_xlfn.XLOOKUP(E297,'All Products'!D:D,'All Products'!L:L,FALSE)</f>
        <v>049081635985</v>
      </c>
      <c r="S297" s="543" t="str">
        <f>_xlfn.XLOOKUP(E297,'All Products'!D:D,'All Products'!M:M,FALSE)</f>
        <v>40049081135988</v>
      </c>
      <c r="T297" s="530">
        <f>_xlfn.XLOOKUP(E297,'All Products'!D:D,'All Products'!N:N,FALSE)</f>
        <v>0.115</v>
      </c>
      <c r="U297" s="543">
        <f>_xlfn.XLOOKUP(E297,'All Products'!D:D,'All Products'!O:O,FALSE)</f>
        <v>5</v>
      </c>
      <c r="V297" s="530">
        <f>_xlfn.XLOOKUP(E297,'All Products'!D:D,'All Products'!P:P,FALSE)</f>
        <v>6.76</v>
      </c>
      <c r="W297" s="530">
        <f>_xlfn.XLOOKUP(E297,'All Products'!D:D,'All Products'!Q:Q,FALSE)</f>
        <v>0.65</v>
      </c>
    </row>
    <row r="298" spans="1:23" ht="15" customHeight="1">
      <c r="A298" s="104" t="str">
        <f>IF(K298&gt;0,COUNT($A$7:A297)+COUNT('DWV PVC'!$A$8:$A$284)+COUNT('DWV ABS'!$A$8:$A$116)+1,"")</f>
        <v/>
      </c>
      <c r="B298" s="579"/>
      <c r="C298" s="580"/>
      <c r="D298" s="512" t="str">
        <f>_xlfn.XLOOKUP(E298,'All Products'!D:D,'All Products'!C:C,FALSE)</f>
        <v>447-005</v>
      </c>
      <c r="E298" s="53">
        <v>100023029</v>
      </c>
      <c r="F298" s="522" t="str">
        <f>_xlfn.XLOOKUP(E298,'All Products'!D:D,'All Products'!E:E,FALSE)</f>
        <v>1/2 CAP SLIP</v>
      </c>
      <c r="G298" s="282">
        <f>_xlfn.XLOOKUP(E298,'All Products'!D:D,'All Products'!F:F,FALSE)</f>
        <v>250</v>
      </c>
      <c r="H298" s="533">
        <f>_xlfn.XLOOKUP(E298,'All Products'!D:D,'All Products'!G:G,FALSE)</f>
        <v>37500</v>
      </c>
      <c r="I298" s="540">
        <f>_xlfn.XLOOKUP(E298,'All Products'!D:D,'All Products'!H:H,FALSE)</f>
        <v>1.42</v>
      </c>
      <c r="J298" s="216">
        <f>ROUND(I298*Order_Quote!$L$4,2)</f>
        <v>7.1</v>
      </c>
      <c r="K298" s="76"/>
      <c r="L298" s="79"/>
      <c r="M298" s="117">
        <f t="shared" si="10"/>
        <v>0</v>
      </c>
      <c r="O298" s="530" t="str">
        <f>_xlfn.XLOOKUP(E298,'All Products'!D:D,'All Products'!I:I,FALSE)</f>
        <v>In Stock</v>
      </c>
      <c r="P298" s="530" t="str">
        <f>_xlfn.XLOOKUP(E298,'All Products'!D:D,'All Products'!J:J,FALSE)</f>
        <v>Manufactured</v>
      </c>
      <c r="Q298" s="543" t="str">
        <f>_xlfn.XLOOKUP(E298,'All Products'!D:D,'All Products'!K:K,FALSE)</f>
        <v>049081136789</v>
      </c>
      <c r="R298" s="543" t="str">
        <f>_xlfn.XLOOKUP(E298,'All Products'!D:D,'All Products'!L:L,FALSE)</f>
        <v>049081636784</v>
      </c>
      <c r="S298" s="543" t="str">
        <f>_xlfn.XLOOKUP(E298,'All Products'!D:D,'All Products'!M:M,FALSE)</f>
        <v>40049081136787</v>
      </c>
      <c r="T298" s="530">
        <f>_xlfn.XLOOKUP(E298,'All Products'!D:D,'All Products'!N:N,FALSE)</f>
        <v>2.3E-2</v>
      </c>
      <c r="U298" s="543">
        <f>_xlfn.XLOOKUP(E298,'All Products'!D:D,'All Products'!O:O,FALSE)</f>
        <v>10</v>
      </c>
      <c r="V298" s="530">
        <f>_xlfn.XLOOKUP(E298,'All Products'!D:D,'All Products'!P:P,FALSE)</f>
        <v>7.82</v>
      </c>
      <c r="W298" s="530">
        <f>_xlfn.XLOOKUP(E298,'All Products'!D:D,'All Products'!Q:Q,FALSE)</f>
        <v>0.5</v>
      </c>
    </row>
    <row r="299" spans="1:23" ht="15" customHeight="1">
      <c r="A299" s="104" t="str">
        <f>IF(K299&gt;0,COUNT($A$7:A298)+COUNT('DWV PVC'!$A$8:$A$284)+COUNT('DWV ABS'!$A$8:$A$116)+1,"")</f>
        <v/>
      </c>
      <c r="B299" s="579"/>
      <c r="C299" s="580"/>
      <c r="D299" s="512" t="str">
        <f>_xlfn.XLOOKUP(E299,'All Products'!D:D,'All Products'!C:C,FALSE)</f>
        <v>447-007</v>
      </c>
      <c r="E299" s="53">
        <v>100023031</v>
      </c>
      <c r="F299" s="522" t="str">
        <f>_xlfn.XLOOKUP(E299,'All Products'!D:D,'All Products'!E:E,FALSE)</f>
        <v>3/4 CAP SLIP</v>
      </c>
      <c r="G299" s="282">
        <f>_xlfn.XLOOKUP(E299,'All Products'!D:D,'All Products'!F:F,FALSE)</f>
        <v>250</v>
      </c>
      <c r="H299" s="533">
        <f>_xlfn.XLOOKUP(E299,'All Products'!D:D,'All Products'!G:G,FALSE)</f>
        <v>30000</v>
      </c>
      <c r="I299" s="540">
        <f>_xlfn.XLOOKUP(E299,'All Products'!D:D,'All Products'!H:H,FALSE)</f>
        <v>1.67</v>
      </c>
      <c r="J299" s="216">
        <f>ROUND(I299*Order_Quote!$L$4,2)</f>
        <v>8.35</v>
      </c>
      <c r="K299" s="76"/>
      <c r="L299" s="79"/>
      <c r="M299" s="117">
        <f t="shared" si="10"/>
        <v>0</v>
      </c>
      <c r="O299" s="530" t="str">
        <f>_xlfn.XLOOKUP(E299,'All Products'!D:D,'All Products'!I:I,FALSE)</f>
        <v>In Stock</v>
      </c>
      <c r="P299" s="530" t="str">
        <f>_xlfn.XLOOKUP(E299,'All Products'!D:D,'All Products'!J:J,FALSE)</f>
        <v>Manufactured</v>
      </c>
      <c r="Q299" s="543" t="str">
        <f>_xlfn.XLOOKUP(E299,'All Products'!D:D,'All Products'!K:K,FALSE)</f>
        <v>049081136802</v>
      </c>
      <c r="R299" s="543" t="str">
        <f>_xlfn.XLOOKUP(E299,'All Products'!D:D,'All Products'!L:L,FALSE)</f>
        <v>049081636807</v>
      </c>
      <c r="S299" s="543" t="str">
        <f>_xlfn.XLOOKUP(E299,'All Products'!D:D,'All Products'!M:M,FALSE)</f>
        <v>40049081136800</v>
      </c>
      <c r="T299" s="530">
        <f>_xlfn.XLOOKUP(E299,'All Products'!D:D,'All Products'!N:N,FALSE)</f>
        <v>3.6999999999999998E-2</v>
      </c>
      <c r="U299" s="543">
        <f>_xlfn.XLOOKUP(E299,'All Products'!D:D,'All Products'!O:O,FALSE)</f>
        <v>10</v>
      </c>
      <c r="V299" s="530">
        <f>_xlfn.XLOOKUP(E299,'All Products'!D:D,'All Products'!P:P,FALSE)</f>
        <v>11.19</v>
      </c>
      <c r="W299" s="530">
        <f>_xlfn.XLOOKUP(E299,'All Products'!D:D,'All Products'!Q:Q,FALSE)</f>
        <v>0.65</v>
      </c>
    </row>
    <row r="300" spans="1:23" ht="15" customHeight="1">
      <c r="A300" s="104" t="str">
        <f>IF(K300&gt;0,COUNT($A$7:A299)+COUNT('DWV PVC'!$A$8:$A$284)+COUNT('DWV ABS'!$A$8:$A$116)+1,"")</f>
        <v/>
      </c>
      <c r="B300" s="579"/>
      <c r="C300" s="580"/>
      <c r="D300" s="512" t="str">
        <f>_xlfn.XLOOKUP(E300,'All Products'!D:D,'All Products'!C:C,FALSE)</f>
        <v>447-010</v>
      </c>
      <c r="E300" s="53">
        <v>100023033</v>
      </c>
      <c r="F300" s="522" t="str">
        <f>_xlfn.XLOOKUP(E300,'All Products'!D:D,'All Products'!E:E,FALSE)</f>
        <v>1 CAP SLIP</v>
      </c>
      <c r="G300" s="282">
        <f>_xlfn.XLOOKUP(E300,'All Products'!D:D,'All Products'!F:F,FALSE)</f>
        <v>250</v>
      </c>
      <c r="H300" s="533">
        <f>_xlfn.XLOOKUP(E300,'All Products'!D:D,'All Products'!G:G,FALSE)</f>
        <v>22500</v>
      </c>
      <c r="I300" s="540">
        <f>_xlfn.XLOOKUP(E300,'All Products'!D:D,'All Products'!H:H,FALSE)</f>
        <v>2.65</v>
      </c>
      <c r="J300" s="216">
        <f>ROUND(I300*Order_Quote!$L$4,2)</f>
        <v>13.25</v>
      </c>
      <c r="K300" s="76"/>
      <c r="L300" s="79"/>
      <c r="M300" s="117">
        <f t="shared" si="10"/>
        <v>0</v>
      </c>
      <c r="O300" s="530" t="str">
        <f>_xlfn.XLOOKUP(E300,'All Products'!D:D,'All Products'!I:I,FALSE)</f>
        <v>In Stock</v>
      </c>
      <c r="P300" s="530" t="str">
        <f>_xlfn.XLOOKUP(E300,'All Products'!D:D,'All Products'!J:J,FALSE)</f>
        <v>Manufactured</v>
      </c>
      <c r="Q300" s="543" t="str">
        <f>_xlfn.XLOOKUP(E300,'All Products'!D:D,'All Products'!K:K,FALSE)</f>
        <v>049081136826</v>
      </c>
      <c r="R300" s="543" t="str">
        <f>_xlfn.XLOOKUP(E300,'All Products'!D:D,'All Products'!L:L,FALSE)</f>
        <v>049081636821</v>
      </c>
      <c r="S300" s="543" t="str">
        <f>_xlfn.XLOOKUP(E300,'All Products'!D:D,'All Products'!M:M,FALSE)</f>
        <v>40049081136824</v>
      </c>
      <c r="T300" s="530">
        <f>_xlfn.XLOOKUP(E300,'All Products'!D:D,'All Products'!N:N,FALSE)</f>
        <v>6.9000000000000006E-2</v>
      </c>
      <c r="U300" s="543">
        <f>_xlfn.XLOOKUP(E300,'All Products'!D:D,'All Products'!O:O,FALSE)</f>
        <v>10</v>
      </c>
      <c r="V300" s="530">
        <f>_xlfn.XLOOKUP(E300,'All Products'!D:D,'All Products'!P:P,FALSE)</f>
        <v>18.5</v>
      </c>
      <c r="W300" s="530">
        <f>_xlfn.XLOOKUP(E300,'All Products'!D:D,'All Products'!Q:Q,FALSE)</f>
        <v>0.8</v>
      </c>
    </row>
    <row r="301" spans="1:23" ht="15" customHeight="1">
      <c r="A301" s="104" t="str">
        <f>IF(K301&gt;0,COUNT($A$7:A300)+COUNT('DWV PVC'!$A$8:$A$284)+COUNT('DWV ABS'!$A$8:$A$116)+1,"")</f>
        <v/>
      </c>
      <c r="B301" s="579"/>
      <c r="C301" s="580"/>
      <c r="D301" s="512" t="str">
        <f>_xlfn.XLOOKUP(E301,'All Products'!D:D,'All Products'!C:C,FALSE)</f>
        <v>447-012</v>
      </c>
      <c r="E301" s="53">
        <v>100023035</v>
      </c>
      <c r="F301" s="522" t="str">
        <f>_xlfn.XLOOKUP(E301,'All Products'!D:D,'All Products'!E:E,FALSE)</f>
        <v>1-1/4 CAP SLIP</v>
      </c>
      <c r="G301" s="282">
        <f>_xlfn.XLOOKUP(E301,'All Products'!D:D,'All Products'!F:F,FALSE)</f>
        <v>125</v>
      </c>
      <c r="H301" s="533">
        <f>_xlfn.XLOOKUP(E301,'All Products'!D:D,'All Products'!G:G,FALSE)</f>
        <v>11250</v>
      </c>
      <c r="I301" s="540">
        <f>_xlfn.XLOOKUP(E301,'All Products'!D:D,'All Products'!H:H,FALSE)</f>
        <v>3.73</v>
      </c>
      <c r="J301" s="216">
        <f>ROUND(I301*Order_Quote!$L$4,2)</f>
        <v>18.649999999999999</v>
      </c>
      <c r="K301" s="76"/>
      <c r="L301" s="79"/>
      <c r="M301" s="117">
        <f t="shared" si="10"/>
        <v>0</v>
      </c>
      <c r="O301" s="530" t="str">
        <f>_xlfn.XLOOKUP(E301,'All Products'!D:D,'All Products'!I:I,FALSE)</f>
        <v>In Stock</v>
      </c>
      <c r="P301" s="530" t="str">
        <f>_xlfn.XLOOKUP(E301,'All Products'!D:D,'All Products'!J:J,FALSE)</f>
        <v>Manufactured</v>
      </c>
      <c r="Q301" s="543" t="str">
        <f>_xlfn.XLOOKUP(E301,'All Products'!D:D,'All Products'!K:K,FALSE)</f>
        <v>049081136840</v>
      </c>
      <c r="R301" s="543" t="str">
        <f>_xlfn.XLOOKUP(E301,'All Products'!D:D,'All Products'!L:L,FALSE)</f>
        <v>049081636845</v>
      </c>
      <c r="S301" s="543" t="str">
        <f>_xlfn.XLOOKUP(E301,'All Products'!D:D,'All Products'!M:M,FALSE)</f>
        <v>40049081136848</v>
      </c>
      <c r="T301" s="530">
        <f>_xlfn.XLOOKUP(E301,'All Products'!D:D,'All Products'!N:N,FALSE)</f>
        <v>0.10299999999999999</v>
      </c>
      <c r="U301" s="543">
        <f>_xlfn.XLOOKUP(E301,'All Products'!D:D,'All Products'!O:O,FALSE)</f>
        <v>5</v>
      </c>
      <c r="V301" s="530">
        <f>_xlfn.XLOOKUP(E301,'All Products'!D:D,'All Products'!P:P,FALSE)</f>
        <v>13.62</v>
      </c>
      <c r="W301" s="530">
        <f>_xlfn.XLOOKUP(E301,'All Products'!D:D,'All Products'!Q:Q,FALSE)</f>
        <v>0.8</v>
      </c>
    </row>
    <row r="302" spans="1:23" ht="15" customHeight="1">
      <c r="A302" s="104" t="str">
        <f>IF(K302&gt;0,COUNT($A$7:A301)+COUNT('DWV PVC'!$A$8:$A$284)+COUNT('DWV ABS'!$A$8:$A$116)+1,"")</f>
        <v/>
      </c>
      <c r="B302" s="579"/>
      <c r="C302" s="580"/>
      <c r="D302" s="512" t="str">
        <f>_xlfn.XLOOKUP(E302,'All Products'!D:D,'All Products'!C:C,FALSE)</f>
        <v>447-015</v>
      </c>
      <c r="E302" s="53">
        <v>100023037</v>
      </c>
      <c r="F302" s="522" t="str">
        <f>_xlfn.XLOOKUP(E302,'All Products'!D:D,'All Products'!E:E,FALSE)</f>
        <v>1-1/2 CAP SLIP</v>
      </c>
      <c r="G302" s="282">
        <f>_xlfn.XLOOKUP(E302,'All Products'!D:D,'All Products'!F:F,FALSE)</f>
        <v>50</v>
      </c>
      <c r="H302" s="533">
        <f>_xlfn.XLOOKUP(E302,'All Products'!D:D,'All Products'!G:G,FALSE)</f>
        <v>7500</v>
      </c>
      <c r="I302" s="540">
        <f>_xlfn.XLOOKUP(E302,'All Products'!D:D,'All Products'!H:H,FALSE)</f>
        <v>4.07</v>
      </c>
      <c r="J302" s="216">
        <f>ROUND(I302*Order_Quote!$L$4,2)</f>
        <v>20.350000000000001</v>
      </c>
      <c r="K302" s="76"/>
      <c r="L302" s="79"/>
      <c r="M302" s="117">
        <f t="shared" si="10"/>
        <v>0</v>
      </c>
      <c r="O302" s="530" t="str">
        <f>_xlfn.XLOOKUP(E302,'All Products'!D:D,'All Products'!I:I,FALSE)</f>
        <v>In Stock</v>
      </c>
      <c r="P302" s="530" t="str">
        <f>_xlfn.XLOOKUP(E302,'All Products'!D:D,'All Products'!J:J,FALSE)</f>
        <v>Manufactured</v>
      </c>
      <c r="Q302" s="543" t="str">
        <f>_xlfn.XLOOKUP(E302,'All Products'!D:D,'All Products'!K:K,FALSE)</f>
        <v>049081136864</v>
      </c>
      <c r="R302" s="543" t="str">
        <f>_xlfn.XLOOKUP(E302,'All Products'!D:D,'All Products'!L:L,FALSE)</f>
        <v>049081636869</v>
      </c>
      <c r="S302" s="543" t="str">
        <f>_xlfn.XLOOKUP(E302,'All Products'!D:D,'All Products'!M:M,FALSE)</f>
        <v>40049081136862</v>
      </c>
      <c r="T302" s="530">
        <f>_xlfn.XLOOKUP(E302,'All Products'!D:D,'All Products'!N:N,FALSE)</f>
        <v>0.12</v>
      </c>
      <c r="U302" s="543">
        <f>_xlfn.XLOOKUP(E302,'All Products'!D:D,'All Products'!O:O,FALSE)</f>
        <v>5</v>
      </c>
      <c r="V302" s="530">
        <f>_xlfn.XLOOKUP(E302,'All Products'!D:D,'All Products'!P:P,FALSE)</f>
        <v>6.79</v>
      </c>
      <c r="W302" s="530">
        <f>_xlfn.XLOOKUP(E302,'All Products'!D:D,'All Products'!Q:Q,FALSE)</f>
        <v>0.5</v>
      </c>
    </row>
    <row r="303" spans="1:23" ht="15" customHeight="1">
      <c r="A303" s="104" t="str">
        <f>IF(K303&gt;0,COUNT($A$7:A302)+COUNT('DWV PVC'!$A$8:$A$284)+COUNT('DWV ABS'!$A$8:$A$116)+1,"")</f>
        <v/>
      </c>
      <c r="B303" s="579"/>
      <c r="C303" s="580"/>
      <c r="D303" s="512" t="str">
        <f>_xlfn.XLOOKUP(E303,'All Products'!D:D,'All Products'!C:C,FALSE)</f>
        <v>447-020</v>
      </c>
      <c r="E303" s="53">
        <v>100023039</v>
      </c>
      <c r="F303" s="522" t="str">
        <f>_xlfn.XLOOKUP(E303,'All Products'!D:D,'All Products'!E:E,FALSE)</f>
        <v>2 CAP SLIP</v>
      </c>
      <c r="G303" s="282">
        <f>_xlfn.XLOOKUP(E303,'All Products'!D:D,'All Products'!F:F,FALSE)</f>
        <v>50</v>
      </c>
      <c r="H303" s="533">
        <f>_xlfn.XLOOKUP(E303,'All Products'!D:D,'All Products'!G:G,FALSE)</f>
        <v>6000</v>
      </c>
      <c r="I303" s="540">
        <f>_xlfn.XLOOKUP(E303,'All Products'!D:D,'All Products'!H:H,FALSE)</f>
        <v>4.92</v>
      </c>
      <c r="J303" s="216">
        <f>ROUND(I303*Order_Quote!$L$4,2)</f>
        <v>24.6</v>
      </c>
      <c r="K303" s="76"/>
      <c r="L303" s="79"/>
      <c r="M303" s="117">
        <f t="shared" si="10"/>
        <v>0</v>
      </c>
      <c r="O303" s="530" t="str">
        <f>_xlfn.XLOOKUP(E303,'All Products'!D:D,'All Products'!I:I,FALSE)</f>
        <v>In Stock</v>
      </c>
      <c r="P303" s="530" t="str">
        <f>_xlfn.XLOOKUP(E303,'All Products'!D:D,'All Products'!J:J,FALSE)</f>
        <v>Manufactured</v>
      </c>
      <c r="Q303" s="543" t="str">
        <f>_xlfn.XLOOKUP(E303,'All Products'!D:D,'All Products'!K:K,FALSE)</f>
        <v>049081136888</v>
      </c>
      <c r="R303" s="543" t="str">
        <f>_xlfn.XLOOKUP(E303,'All Products'!D:D,'All Products'!L:L,FALSE)</f>
        <v>049081636883</v>
      </c>
      <c r="S303" s="543" t="str">
        <f>_xlfn.XLOOKUP(E303,'All Products'!D:D,'All Products'!M:M,FALSE)</f>
        <v>40049081136886</v>
      </c>
      <c r="T303" s="530">
        <f>_xlfn.XLOOKUP(E303,'All Products'!D:D,'All Products'!N:N,FALSE)</f>
        <v>0.17599999999999999</v>
      </c>
      <c r="U303" s="543">
        <f>_xlfn.XLOOKUP(E303,'All Products'!D:D,'All Products'!O:O,FALSE)</f>
        <v>5</v>
      </c>
      <c r="V303" s="530">
        <f>_xlfn.XLOOKUP(E303,'All Products'!D:D,'All Products'!P:P,FALSE)</f>
        <v>9.82</v>
      </c>
      <c r="W303" s="530">
        <f>_xlfn.XLOOKUP(E303,'All Products'!D:D,'All Products'!Q:Q,FALSE)</f>
        <v>0.65</v>
      </c>
    </row>
    <row r="304" spans="1:23" ht="15" customHeight="1">
      <c r="A304" s="104" t="str">
        <f>IF(K304&gt;0,COUNT($A$7:A303)+COUNT('DWV PVC'!$A$8:$A$284)+COUNT('DWV ABS'!$A$8:$A$116)+1,"")</f>
        <v/>
      </c>
      <c r="B304" s="579"/>
      <c r="C304" s="580"/>
      <c r="D304" s="512" t="str">
        <f>_xlfn.XLOOKUP(E304,'All Products'!D:D,'All Products'!C:C,FALSE)</f>
        <v>447-025</v>
      </c>
      <c r="E304" s="53">
        <v>100023041</v>
      </c>
      <c r="F304" s="522" t="str">
        <f>_xlfn.XLOOKUP(E304,'All Products'!D:D,'All Products'!E:E,FALSE)</f>
        <v>2-1/2 CAP SLIP</v>
      </c>
      <c r="G304" s="282">
        <f>_xlfn.XLOOKUP(E304,'All Products'!D:D,'All Products'!F:F,FALSE)</f>
        <v>25</v>
      </c>
      <c r="H304" s="533">
        <f>_xlfn.XLOOKUP(E304,'All Products'!D:D,'All Products'!G:G,FALSE)</f>
        <v>3000</v>
      </c>
      <c r="I304" s="540">
        <f>_xlfn.XLOOKUP(E304,'All Products'!D:D,'All Products'!H:H,FALSE)</f>
        <v>15.6</v>
      </c>
      <c r="J304" s="216">
        <f>ROUND(I304*Order_Quote!$L$4,2)</f>
        <v>78</v>
      </c>
      <c r="K304" s="76"/>
      <c r="L304" s="79"/>
      <c r="M304" s="117">
        <f t="shared" ref="M304:M350" si="11">K304/G304</f>
        <v>0</v>
      </c>
      <c r="O304" s="530" t="str">
        <f>_xlfn.XLOOKUP(E304,'All Products'!D:D,'All Products'!I:I,FALSE)</f>
        <v>In Stock</v>
      </c>
      <c r="P304" s="530" t="str">
        <f>_xlfn.XLOOKUP(E304,'All Products'!D:D,'All Products'!J:J,FALSE)</f>
        <v>Manufactured</v>
      </c>
      <c r="Q304" s="543" t="str">
        <f>_xlfn.XLOOKUP(E304,'All Products'!D:D,'All Products'!K:K,FALSE)</f>
        <v>049081136901</v>
      </c>
      <c r="R304" s="543" t="str">
        <f>_xlfn.XLOOKUP(E304,'All Products'!D:D,'All Products'!L:L,FALSE)</f>
        <v>-</v>
      </c>
      <c r="S304" s="543" t="str">
        <f>_xlfn.XLOOKUP(E304,'All Products'!D:D,'All Products'!M:M,FALSE)</f>
        <v>40049081136909</v>
      </c>
      <c r="T304" s="530">
        <f>_xlfn.XLOOKUP(E304,'All Products'!D:D,'All Products'!N:N,FALSE)</f>
        <v>0.35499999999999998</v>
      </c>
      <c r="U304" s="543" t="str">
        <f>_xlfn.XLOOKUP(E304,'All Products'!D:D,'All Products'!O:O,FALSE)</f>
        <v>-</v>
      </c>
      <c r="V304" s="530">
        <f>_xlfn.XLOOKUP(E304,'All Products'!D:D,'All Products'!P:P,FALSE)</f>
        <v>9.3699999999999992</v>
      </c>
      <c r="W304" s="530">
        <f>_xlfn.XLOOKUP(E304,'All Products'!D:D,'All Products'!Q:Q,FALSE)</f>
        <v>0.65</v>
      </c>
    </row>
    <row r="305" spans="1:23" ht="15" customHeight="1">
      <c r="A305" s="104" t="str">
        <f>IF(K305&gt;0,COUNT($A$7:A304)+COUNT('DWV PVC'!$A$8:$A$284)+COUNT('DWV ABS'!$A$8:$A$116)+1,"")</f>
        <v/>
      </c>
      <c r="B305" s="579"/>
      <c r="C305" s="580"/>
      <c r="D305" s="512" t="str">
        <f>_xlfn.XLOOKUP(E305,'All Products'!D:D,'All Products'!C:C,FALSE)</f>
        <v>447-030</v>
      </c>
      <c r="E305" s="53">
        <v>100023043</v>
      </c>
      <c r="F305" s="522" t="str">
        <f>_xlfn.XLOOKUP(E305,'All Products'!D:D,'All Products'!E:E,FALSE)</f>
        <v>3 CAP SLIP</v>
      </c>
      <c r="G305" s="282">
        <f>_xlfn.XLOOKUP(E305,'All Products'!D:D,'All Products'!F:F,FALSE)</f>
        <v>15</v>
      </c>
      <c r="H305" s="533">
        <f>_xlfn.XLOOKUP(E305,'All Products'!D:D,'All Products'!G:G,FALSE)</f>
        <v>2250</v>
      </c>
      <c r="I305" s="540">
        <f>_xlfn.XLOOKUP(E305,'All Products'!D:D,'All Products'!H:H,FALSE)</f>
        <v>17.02</v>
      </c>
      <c r="J305" s="216">
        <f>ROUND(I305*Order_Quote!$L$4,2)</f>
        <v>85.1</v>
      </c>
      <c r="K305" s="76"/>
      <c r="L305" s="79"/>
      <c r="M305" s="117">
        <f t="shared" si="11"/>
        <v>0</v>
      </c>
      <c r="O305" s="530" t="str">
        <f>_xlfn.XLOOKUP(E305,'All Products'!D:D,'All Products'!I:I,FALSE)</f>
        <v>In Stock</v>
      </c>
      <c r="P305" s="530" t="str">
        <f>_xlfn.XLOOKUP(E305,'All Products'!D:D,'All Products'!J:J,FALSE)</f>
        <v>Manufactured</v>
      </c>
      <c r="Q305" s="543" t="str">
        <f>_xlfn.XLOOKUP(E305,'All Products'!D:D,'All Products'!K:K,FALSE)</f>
        <v>049081136925</v>
      </c>
      <c r="R305" s="543" t="str">
        <f>_xlfn.XLOOKUP(E305,'All Products'!D:D,'All Products'!L:L,FALSE)</f>
        <v>-</v>
      </c>
      <c r="S305" s="543" t="str">
        <f>_xlfn.XLOOKUP(E305,'All Products'!D:D,'All Products'!M:M,FALSE)</f>
        <v>40049081136923</v>
      </c>
      <c r="T305" s="530">
        <f>_xlfn.XLOOKUP(E305,'All Products'!D:D,'All Products'!N:N,FALSE)</f>
        <v>0.504</v>
      </c>
      <c r="U305" s="543" t="str">
        <f>_xlfn.XLOOKUP(E305,'All Products'!D:D,'All Products'!O:O,FALSE)</f>
        <v>-</v>
      </c>
      <c r="V305" s="530">
        <f>_xlfn.XLOOKUP(E305,'All Products'!D:D,'All Products'!P:P,FALSE)</f>
        <v>7.99</v>
      </c>
      <c r="W305" s="530">
        <f>_xlfn.XLOOKUP(E305,'All Products'!D:D,'All Products'!Q:Q,FALSE)</f>
        <v>0.5</v>
      </c>
    </row>
    <row r="306" spans="1:23" ht="15" customHeight="1">
      <c r="A306" s="104" t="str">
        <f>IF(K306&gt;0,COUNT($A$7:A305)+COUNT('DWV PVC'!$A$8:$A$284)+COUNT('DWV ABS'!$A$8:$A$116)+1,"")</f>
        <v/>
      </c>
      <c r="B306" s="579"/>
      <c r="C306" s="580"/>
      <c r="D306" s="512" t="str">
        <f>_xlfn.XLOOKUP(E306,'All Products'!D:D,'All Products'!C:C,FALSE)</f>
        <v>447-040</v>
      </c>
      <c r="E306" s="53">
        <v>100023045</v>
      </c>
      <c r="F306" s="522" t="str">
        <f>_xlfn.XLOOKUP(E306,'All Products'!D:D,'All Products'!E:E,FALSE)</f>
        <v>4 CAP SLIP</v>
      </c>
      <c r="G306" s="282">
        <f>_xlfn.XLOOKUP(E306,'All Products'!D:D,'All Products'!F:F,FALSE)</f>
        <v>9</v>
      </c>
      <c r="H306" s="533">
        <f>_xlfn.XLOOKUP(E306,'All Products'!D:D,'All Products'!G:G,FALSE)</f>
        <v>1350</v>
      </c>
      <c r="I306" s="540">
        <f>_xlfn.XLOOKUP(E306,'All Products'!D:D,'All Products'!H:H,FALSE)</f>
        <v>38.71</v>
      </c>
      <c r="J306" s="216">
        <f>ROUND(I306*Order_Quote!$L$4,2)</f>
        <v>193.55</v>
      </c>
      <c r="K306" s="76"/>
      <c r="L306" s="79"/>
      <c r="M306" s="117">
        <f t="shared" si="11"/>
        <v>0</v>
      </c>
      <c r="O306" s="530" t="str">
        <f>_xlfn.XLOOKUP(E306,'All Products'!D:D,'All Products'!I:I,FALSE)</f>
        <v>In Stock</v>
      </c>
      <c r="P306" s="530" t="str">
        <f>_xlfn.XLOOKUP(E306,'All Products'!D:D,'All Products'!J:J,FALSE)</f>
        <v>Manufactured</v>
      </c>
      <c r="Q306" s="543" t="str">
        <f>_xlfn.XLOOKUP(E306,'All Products'!D:D,'All Products'!K:K,FALSE)</f>
        <v>049081136949</v>
      </c>
      <c r="R306" s="543" t="str">
        <f>_xlfn.XLOOKUP(E306,'All Products'!D:D,'All Products'!L:L,FALSE)</f>
        <v>-</v>
      </c>
      <c r="S306" s="543" t="str">
        <f>_xlfn.XLOOKUP(E306,'All Products'!D:D,'All Products'!M:M,FALSE)</f>
        <v>40049081136947</v>
      </c>
      <c r="T306" s="530">
        <f>_xlfn.XLOOKUP(E306,'All Products'!D:D,'All Products'!N:N,FALSE)</f>
        <v>0.78400000000000003</v>
      </c>
      <c r="U306" s="543" t="str">
        <f>_xlfn.XLOOKUP(E306,'All Products'!D:D,'All Products'!O:O,FALSE)</f>
        <v>-</v>
      </c>
      <c r="V306" s="530">
        <f>_xlfn.XLOOKUP(E306,'All Products'!D:D,'All Products'!P:P,FALSE)</f>
        <v>7.82</v>
      </c>
      <c r="W306" s="530">
        <f>_xlfn.XLOOKUP(E306,'All Products'!D:D,'All Products'!Q:Q,FALSE)</f>
        <v>0.5</v>
      </c>
    </row>
    <row r="307" spans="1:23" ht="15" customHeight="1">
      <c r="A307" s="104" t="str">
        <f>IF(K307&gt;0,COUNT($A$7:A306)+COUNT('DWV PVC'!$A$8:$A$284)+COUNT('DWV ABS'!$A$8:$A$116)+1,"")</f>
        <v/>
      </c>
      <c r="B307" s="115"/>
      <c r="C307" s="116"/>
      <c r="D307" s="512" t="str">
        <f>_xlfn.XLOOKUP(E307,'All Products'!D:D,'All Products'!C:C,FALSE)</f>
        <v>447-050</v>
      </c>
      <c r="E307" s="53">
        <v>100027429</v>
      </c>
      <c r="F307" s="522" t="str">
        <f>_xlfn.XLOOKUP(E307,'All Products'!D:D,'All Products'!E:E,FALSE)</f>
        <v>5 CAP SLIP</v>
      </c>
      <c r="G307" s="282">
        <f>_xlfn.XLOOKUP(E307,'All Products'!D:D,'All Products'!F:F,FALSE)</f>
        <v>5</v>
      </c>
      <c r="H307" s="533">
        <f>_xlfn.XLOOKUP(E307,'All Products'!D:D,'All Products'!G:G,FALSE)</f>
        <v>450</v>
      </c>
      <c r="I307" s="540">
        <f>_xlfn.XLOOKUP(E307,'All Products'!D:D,'All Products'!H:H,FALSE)</f>
        <v>65.09</v>
      </c>
      <c r="J307" s="216">
        <f>ROUND(I307*Order_Quote!$L$4,2)</f>
        <v>325.45</v>
      </c>
      <c r="K307" s="76"/>
      <c r="L307" s="79"/>
      <c r="M307" s="117">
        <f t="shared" si="11"/>
        <v>0</v>
      </c>
      <c r="O307" s="530" t="str">
        <f>_xlfn.XLOOKUP(E307,'All Products'!D:D,'All Products'!I:I,FALSE)</f>
        <v>In Stock</v>
      </c>
      <c r="P307" s="530" t="str">
        <f>_xlfn.XLOOKUP(E307,'All Products'!D:D,'All Products'!J:J,FALSE)</f>
        <v>Manufactured</v>
      </c>
      <c r="Q307" s="543" t="str">
        <f>_xlfn.XLOOKUP(E307,'All Products'!D:D,'All Products'!K:K,FALSE)</f>
        <v>049081136963</v>
      </c>
      <c r="R307" s="543" t="str">
        <f>_xlfn.XLOOKUP(E307,'All Products'!D:D,'All Products'!L:L,FALSE)</f>
        <v>-</v>
      </c>
      <c r="S307" s="543" t="str">
        <f>_xlfn.XLOOKUP(E307,'All Products'!D:D,'All Products'!M:M,FALSE)</f>
        <v>40049081136961</v>
      </c>
      <c r="T307" s="530">
        <f>_xlfn.XLOOKUP(E307,'All Products'!D:D,'All Products'!N:N,FALSE)</f>
        <v>1.74</v>
      </c>
      <c r="U307" s="543" t="str">
        <f>_xlfn.XLOOKUP(E307,'All Products'!D:D,'All Products'!O:O,FALSE)</f>
        <v>-</v>
      </c>
      <c r="V307" s="530">
        <f>_xlfn.XLOOKUP(E307,'All Products'!D:D,'All Products'!P:P,FALSE)</f>
        <v>8.92</v>
      </c>
      <c r="W307" s="530">
        <f>_xlfn.XLOOKUP(E307,'All Products'!D:D,'All Products'!Q:Q,FALSE)</f>
        <v>0.8</v>
      </c>
    </row>
    <row r="308" spans="1:23" ht="15" customHeight="1">
      <c r="A308" s="104" t="str">
        <f>IF(K308&gt;0,COUNT($A$7:A307)+COUNT('DWV PVC'!$A$8:$A$284)+COUNT('DWV ABS'!$A$8:$A$116)+1,"")</f>
        <v/>
      </c>
      <c r="B308" s="115"/>
      <c r="C308" s="116"/>
      <c r="D308" s="512" t="str">
        <f>_xlfn.XLOOKUP(E308,'All Products'!D:D,'All Products'!C:C,FALSE)</f>
        <v>447-060</v>
      </c>
      <c r="E308" s="53">
        <v>100023047</v>
      </c>
      <c r="F308" s="522" t="str">
        <f>_xlfn.XLOOKUP(E308,'All Products'!D:D,'All Products'!E:E,FALSE)</f>
        <v>6 CAP SLIP</v>
      </c>
      <c r="G308" s="282">
        <f>_xlfn.XLOOKUP(E308,'All Products'!D:D,'All Products'!F:F,FALSE)</f>
        <v>3</v>
      </c>
      <c r="H308" s="533">
        <f>_xlfn.XLOOKUP(E308,'All Products'!D:D,'All Products'!G:G,FALSE)</f>
        <v>360</v>
      </c>
      <c r="I308" s="540">
        <f>_xlfn.XLOOKUP(E308,'All Products'!D:D,'All Products'!H:H,FALSE)</f>
        <v>92.88</v>
      </c>
      <c r="J308" s="216">
        <f>ROUND(I308*Order_Quote!$L$4,2)</f>
        <v>464.4</v>
      </c>
      <c r="K308" s="76"/>
      <c r="L308" s="79"/>
      <c r="M308" s="117">
        <f t="shared" si="11"/>
        <v>0</v>
      </c>
      <c r="O308" s="530" t="str">
        <f>_xlfn.XLOOKUP(E308,'All Products'!D:D,'All Products'!I:I,FALSE)</f>
        <v>In Stock</v>
      </c>
      <c r="P308" s="530" t="str">
        <f>_xlfn.XLOOKUP(E308,'All Products'!D:D,'All Products'!J:J,FALSE)</f>
        <v>Manufactured</v>
      </c>
      <c r="Q308" s="543" t="str">
        <f>_xlfn.XLOOKUP(E308,'All Products'!D:D,'All Products'!K:K,FALSE)</f>
        <v>049081136987</v>
      </c>
      <c r="R308" s="543" t="str">
        <f>_xlfn.XLOOKUP(E308,'All Products'!D:D,'All Products'!L:L,FALSE)</f>
        <v>-</v>
      </c>
      <c r="S308" s="543" t="str">
        <f>_xlfn.XLOOKUP(E308,'All Products'!D:D,'All Products'!M:M,FALSE)</f>
        <v>40049081136985</v>
      </c>
      <c r="T308" s="530">
        <f>_xlfn.XLOOKUP(E308,'All Products'!D:D,'All Products'!N:N,FALSE)</f>
        <v>2.2949999999999999</v>
      </c>
      <c r="U308" s="543" t="str">
        <f>_xlfn.XLOOKUP(E308,'All Products'!D:D,'All Products'!O:O,FALSE)</f>
        <v>-</v>
      </c>
      <c r="V308" s="530">
        <f>_xlfn.XLOOKUP(E308,'All Products'!D:D,'All Products'!P:P,FALSE)</f>
        <v>9.4</v>
      </c>
      <c r="W308" s="530">
        <f>_xlfn.XLOOKUP(E308,'All Products'!D:D,'All Products'!Q:Q,FALSE)</f>
        <v>0.65</v>
      </c>
    </row>
    <row r="309" spans="1:23" ht="15" customHeight="1">
      <c r="A309" s="104" t="str">
        <f>IF(K309&gt;0,COUNT($A$7:A308)+COUNT('DWV PVC'!$A$8:$A$284)+COUNT('DWV ABS'!$A$8:$A$116)+1,"")</f>
        <v/>
      </c>
      <c r="B309" s="115"/>
      <c r="C309" s="116"/>
      <c r="D309" s="512" t="str">
        <f>_xlfn.XLOOKUP(E309,'All Products'!D:D,'All Products'!C:C,FALSE)</f>
        <v>447-080</v>
      </c>
      <c r="E309" s="53">
        <v>100023049</v>
      </c>
      <c r="F309" s="522" t="str">
        <f>_xlfn.XLOOKUP(E309,'All Products'!D:D,'All Products'!E:E,FALSE)</f>
        <v>8 CAP SLIP</v>
      </c>
      <c r="G309" s="282">
        <f>_xlfn.XLOOKUP(E309,'All Products'!D:D,'All Products'!F:F,FALSE)</f>
        <v>2</v>
      </c>
      <c r="H309" s="533">
        <f>_xlfn.XLOOKUP(E309,'All Products'!D:D,'All Products'!G:G,FALSE)</f>
        <v>120</v>
      </c>
      <c r="I309" s="540">
        <f>_xlfn.XLOOKUP(E309,'All Products'!D:D,'All Products'!H:H,FALSE)</f>
        <v>233.25</v>
      </c>
      <c r="J309" s="216">
        <f>ROUND(I309*Order_Quote!$L$4,2)</f>
        <v>1166.25</v>
      </c>
      <c r="K309" s="76"/>
      <c r="L309" s="79"/>
      <c r="M309" s="117">
        <f t="shared" si="11"/>
        <v>0</v>
      </c>
      <c r="O309" s="530" t="str">
        <f>_xlfn.XLOOKUP(E309,'All Products'!D:D,'All Products'!I:I,FALSE)</f>
        <v>In Stock</v>
      </c>
      <c r="P309" s="530" t="str">
        <f>_xlfn.XLOOKUP(E309,'All Products'!D:D,'All Products'!J:J,FALSE)</f>
        <v>Manufactured</v>
      </c>
      <c r="Q309" s="543" t="str">
        <f>_xlfn.XLOOKUP(E309,'All Products'!D:D,'All Products'!K:K,FALSE)</f>
        <v>049081137007</v>
      </c>
      <c r="R309" s="543" t="str">
        <f>_xlfn.XLOOKUP(E309,'All Products'!D:D,'All Products'!L:L,FALSE)</f>
        <v>-</v>
      </c>
      <c r="S309" s="543" t="str">
        <f>_xlfn.XLOOKUP(E309,'All Products'!D:D,'All Products'!M:M,FALSE)</f>
        <v>40049081137005</v>
      </c>
      <c r="T309" s="530">
        <f>_xlfn.XLOOKUP(E309,'All Products'!D:D,'All Products'!N:N,FALSE)</f>
        <v>4.766</v>
      </c>
      <c r="U309" s="543" t="str">
        <f>_xlfn.XLOOKUP(E309,'All Products'!D:D,'All Products'!O:O,FALSE)</f>
        <v>-</v>
      </c>
      <c r="V309" s="530">
        <f>_xlfn.XLOOKUP(E309,'All Products'!D:D,'All Products'!P:P,FALSE)</f>
        <v>10.16</v>
      </c>
      <c r="W309" s="530">
        <f>_xlfn.XLOOKUP(E309,'All Products'!D:D,'All Products'!Q:Q,FALSE)</f>
        <v>1.25</v>
      </c>
    </row>
    <row r="310" spans="1:23" ht="15" customHeight="1">
      <c r="A310" s="104" t="str">
        <f>IF(K310&gt;0,COUNT($A$7:A309)+COUNT('DWV PVC'!$A$8:$A$284)+COUNT('DWV ABS'!$A$8:$A$116)+1,"")</f>
        <v/>
      </c>
      <c r="B310" s="577"/>
      <c r="C310" s="578"/>
      <c r="D310" s="512" t="str">
        <f>_xlfn.XLOOKUP(E310,'All Products'!D:D,'All Products'!C:C,FALSE)</f>
        <v>448-005</v>
      </c>
      <c r="E310" s="53">
        <v>100023051</v>
      </c>
      <c r="F310" s="522" t="str">
        <f>_xlfn.XLOOKUP(E310,'All Products'!D:D,'All Products'!E:E,FALSE)</f>
        <v>1/2 CAP FIPT</v>
      </c>
      <c r="G310" s="282">
        <f>_xlfn.XLOOKUP(E310,'All Products'!D:D,'All Products'!F:F,FALSE)</f>
        <v>250</v>
      </c>
      <c r="H310" s="533">
        <f>_xlfn.XLOOKUP(E310,'All Products'!D:D,'All Products'!G:G,FALSE)</f>
        <v>37500</v>
      </c>
      <c r="I310" s="540">
        <f>_xlfn.XLOOKUP(E310,'All Products'!D:D,'All Products'!H:H,FALSE)</f>
        <v>3.02</v>
      </c>
      <c r="J310" s="216">
        <f>ROUND(I310*Order_Quote!$L$4,2)</f>
        <v>15.1</v>
      </c>
      <c r="K310" s="76"/>
      <c r="L310" s="79"/>
      <c r="M310" s="117">
        <f t="shared" si="11"/>
        <v>0</v>
      </c>
      <c r="O310" s="530" t="str">
        <f>_xlfn.XLOOKUP(E310,'All Products'!D:D,'All Products'!I:I,FALSE)</f>
        <v>In Stock</v>
      </c>
      <c r="P310" s="530" t="str">
        <f>_xlfn.XLOOKUP(E310,'All Products'!D:D,'All Products'!J:J,FALSE)</f>
        <v>Manufactured</v>
      </c>
      <c r="Q310" s="543" t="str">
        <f>_xlfn.XLOOKUP(E310,'All Products'!D:D,'All Products'!K:K,FALSE)</f>
        <v>049081137168</v>
      </c>
      <c r="R310" s="543" t="str">
        <f>_xlfn.XLOOKUP(E310,'All Products'!D:D,'All Products'!L:L,FALSE)</f>
        <v>049081637163</v>
      </c>
      <c r="S310" s="543" t="str">
        <f>_xlfn.XLOOKUP(E310,'All Products'!D:D,'All Products'!M:M,FALSE)</f>
        <v>40049081137166</v>
      </c>
      <c r="T310" s="530">
        <f>_xlfn.XLOOKUP(E310,'All Products'!D:D,'All Products'!N:N,FALSE)</f>
        <v>2.9000000000000001E-2</v>
      </c>
      <c r="U310" s="543">
        <f>_xlfn.XLOOKUP(E310,'All Products'!D:D,'All Products'!O:O,FALSE)</f>
        <v>10</v>
      </c>
      <c r="V310" s="530">
        <f>_xlfn.XLOOKUP(E310,'All Products'!D:D,'All Products'!P:P,FALSE)</f>
        <v>8.2100000000000009</v>
      </c>
      <c r="W310" s="530">
        <f>_xlfn.XLOOKUP(E310,'All Products'!D:D,'All Products'!Q:Q,FALSE)</f>
        <v>0.5</v>
      </c>
    </row>
    <row r="311" spans="1:23" ht="15" customHeight="1">
      <c r="A311" s="104" t="str">
        <f>IF(K311&gt;0,COUNT($A$7:A310)+COUNT('DWV PVC'!$A$8:$A$284)+COUNT('DWV ABS'!$A$8:$A$116)+1,"")</f>
        <v/>
      </c>
      <c r="B311" s="579"/>
      <c r="C311" s="580"/>
      <c r="D311" s="512" t="str">
        <f>_xlfn.XLOOKUP(E311,'All Products'!D:D,'All Products'!C:C,FALSE)</f>
        <v>448-007</v>
      </c>
      <c r="E311" s="53">
        <v>100023053</v>
      </c>
      <c r="F311" s="522" t="str">
        <f>_xlfn.XLOOKUP(E311,'All Products'!D:D,'All Products'!E:E,FALSE)</f>
        <v>3/4 CAP FIPT</v>
      </c>
      <c r="G311" s="282">
        <f>_xlfn.XLOOKUP(E311,'All Products'!D:D,'All Products'!F:F,FALSE)</f>
        <v>250</v>
      </c>
      <c r="H311" s="533">
        <f>_xlfn.XLOOKUP(E311,'All Products'!D:D,'All Products'!G:G,FALSE)</f>
        <v>30000</v>
      </c>
      <c r="I311" s="540">
        <f>_xlfn.XLOOKUP(E311,'All Products'!D:D,'All Products'!H:H,FALSE)</f>
        <v>3.48</v>
      </c>
      <c r="J311" s="216">
        <f>ROUND(I311*Order_Quote!$L$4,2)</f>
        <v>17.399999999999999</v>
      </c>
      <c r="K311" s="76"/>
      <c r="L311" s="79"/>
      <c r="M311" s="117">
        <f t="shared" si="11"/>
        <v>0</v>
      </c>
      <c r="O311" s="530" t="str">
        <f>_xlfn.XLOOKUP(E311,'All Products'!D:D,'All Products'!I:I,FALSE)</f>
        <v>In Stock</v>
      </c>
      <c r="P311" s="530" t="str">
        <f>_xlfn.XLOOKUP(E311,'All Products'!D:D,'All Products'!J:J,FALSE)</f>
        <v>Manufactured</v>
      </c>
      <c r="Q311" s="543" t="str">
        <f>_xlfn.XLOOKUP(E311,'All Products'!D:D,'All Products'!K:K,FALSE)</f>
        <v>049081137182</v>
      </c>
      <c r="R311" s="543" t="str">
        <f>_xlfn.XLOOKUP(E311,'All Products'!D:D,'All Products'!L:L,FALSE)</f>
        <v>049081637187</v>
      </c>
      <c r="S311" s="543" t="str">
        <f>_xlfn.XLOOKUP(E311,'All Products'!D:D,'All Products'!M:M,FALSE)</f>
        <v>40049081137180</v>
      </c>
      <c r="T311" s="530">
        <f>_xlfn.XLOOKUP(E311,'All Products'!D:D,'All Products'!N:N,FALSE)</f>
        <v>0.04</v>
      </c>
      <c r="U311" s="543">
        <f>_xlfn.XLOOKUP(E311,'All Products'!D:D,'All Products'!O:O,FALSE)</f>
        <v>10</v>
      </c>
      <c r="V311" s="530">
        <f>_xlfn.XLOOKUP(E311,'All Products'!D:D,'All Products'!P:P,FALSE)</f>
        <v>10.8</v>
      </c>
      <c r="W311" s="530">
        <f>_xlfn.XLOOKUP(E311,'All Products'!D:D,'All Products'!Q:Q,FALSE)</f>
        <v>0.65</v>
      </c>
    </row>
    <row r="312" spans="1:23" ht="15" customHeight="1">
      <c r="A312" s="104" t="str">
        <f>IF(K312&gt;0,COUNT($A$7:A311)+COUNT('DWV PVC'!$A$8:$A$284)+COUNT('DWV ABS'!$A$8:$A$116)+1,"")</f>
        <v/>
      </c>
      <c r="B312" s="579"/>
      <c r="C312" s="580"/>
      <c r="D312" s="512" t="str">
        <f>_xlfn.XLOOKUP(E312,'All Products'!D:D,'All Products'!C:C,FALSE)</f>
        <v>448-010</v>
      </c>
      <c r="E312" s="53">
        <v>100023055</v>
      </c>
      <c r="F312" s="522" t="str">
        <f>_xlfn.XLOOKUP(E312,'All Products'!D:D,'All Products'!E:E,FALSE)</f>
        <v>1 CAP FIPT</v>
      </c>
      <c r="G312" s="282">
        <f>_xlfn.XLOOKUP(E312,'All Products'!D:D,'All Products'!F:F,FALSE)</f>
        <v>250</v>
      </c>
      <c r="H312" s="533">
        <f>_xlfn.XLOOKUP(E312,'All Products'!D:D,'All Products'!G:G,FALSE)</f>
        <v>22500</v>
      </c>
      <c r="I312" s="540">
        <f>_xlfn.XLOOKUP(E312,'All Products'!D:D,'All Products'!H:H,FALSE)</f>
        <v>5.27</v>
      </c>
      <c r="J312" s="216">
        <f>ROUND(I312*Order_Quote!$L$4,2)</f>
        <v>26.35</v>
      </c>
      <c r="K312" s="76"/>
      <c r="L312" s="79"/>
      <c r="M312" s="117">
        <f t="shared" si="11"/>
        <v>0</v>
      </c>
      <c r="O312" s="530" t="str">
        <f>_xlfn.XLOOKUP(E312,'All Products'!D:D,'All Products'!I:I,FALSE)</f>
        <v>In Stock</v>
      </c>
      <c r="P312" s="530" t="str">
        <f>_xlfn.XLOOKUP(E312,'All Products'!D:D,'All Products'!J:J,FALSE)</f>
        <v>Manufactured</v>
      </c>
      <c r="Q312" s="543">
        <f>_xlfn.XLOOKUP(E312,'All Products'!D:D,'All Products'!K:K,FALSE)</f>
        <v>0</v>
      </c>
      <c r="R312" s="543" t="str">
        <f>_xlfn.XLOOKUP(E312,'All Products'!D:D,'All Products'!L:L,FALSE)</f>
        <v>049081637200</v>
      </c>
      <c r="S312" s="543">
        <f>_xlfn.XLOOKUP(E312,'All Products'!D:D,'All Products'!M:M,FALSE)</f>
        <v>0</v>
      </c>
      <c r="T312" s="530">
        <f>_xlfn.XLOOKUP(E312,'All Products'!D:D,'All Products'!N:N,FALSE)</f>
        <v>7.5999999999999998E-2</v>
      </c>
      <c r="U312" s="543">
        <f>_xlfn.XLOOKUP(E312,'All Products'!D:D,'All Products'!O:O,FALSE)</f>
        <v>10</v>
      </c>
      <c r="V312" s="530">
        <f>_xlfn.XLOOKUP(E312,'All Products'!D:D,'All Products'!P:P,FALSE)</f>
        <v>20.21</v>
      </c>
      <c r="W312" s="530">
        <f>_xlfn.XLOOKUP(E312,'All Products'!D:D,'All Products'!Q:Q,FALSE)</f>
        <v>0.8</v>
      </c>
    </row>
    <row r="313" spans="1:23" ht="15" customHeight="1">
      <c r="A313" s="104" t="str">
        <f>IF(K313&gt;0,COUNT($A$7:A312)+COUNT('DWV PVC'!$A$8:$A$284)+COUNT('DWV ABS'!$A$8:$A$116)+1,"")</f>
        <v/>
      </c>
      <c r="B313" s="579"/>
      <c r="C313" s="580"/>
      <c r="D313" s="512" t="str">
        <f>_xlfn.XLOOKUP(E313,'All Products'!D:D,'All Products'!C:C,FALSE)</f>
        <v>448-012</v>
      </c>
      <c r="E313" s="53">
        <v>100023057</v>
      </c>
      <c r="F313" s="522" t="str">
        <f>_xlfn.XLOOKUP(E313,'All Products'!D:D,'All Products'!E:E,FALSE)</f>
        <v>1-1/4 CAP FIPT</v>
      </c>
      <c r="G313" s="282">
        <f>_xlfn.XLOOKUP(E313,'All Products'!D:D,'All Products'!F:F,FALSE)</f>
        <v>125</v>
      </c>
      <c r="H313" s="533">
        <f>_xlfn.XLOOKUP(E313,'All Products'!D:D,'All Products'!G:G,FALSE)</f>
        <v>11250</v>
      </c>
      <c r="I313" s="540">
        <f>_xlfn.XLOOKUP(E313,'All Products'!D:D,'All Products'!H:H,FALSE)</f>
        <v>6.26</v>
      </c>
      <c r="J313" s="216">
        <f>ROUND(I313*Order_Quote!$L$4,2)</f>
        <v>31.3</v>
      </c>
      <c r="K313" s="76"/>
      <c r="L313" s="79"/>
      <c r="M313" s="117">
        <f t="shared" si="11"/>
        <v>0</v>
      </c>
      <c r="O313" s="530" t="str">
        <f>_xlfn.XLOOKUP(E313,'All Products'!D:D,'All Products'!I:I,FALSE)</f>
        <v>In Stock</v>
      </c>
      <c r="P313" s="530" t="str">
        <f>_xlfn.XLOOKUP(E313,'All Products'!D:D,'All Products'!J:J,FALSE)</f>
        <v>Manufactured</v>
      </c>
      <c r="Q313" s="543" t="str">
        <f>_xlfn.XLOOKUP(E313,'All Products'!D:D,'All Products'!K:K,FALSE)</f>
        <v>049081137229</v>
      </c>
      <c r="R313" s="543" t="str">
        <f>_xlfn.XLOOKUP(E313,'All Products'!D:D,'All Products'!L:L,FALSE)</f>
        <v>049081637224</v>
      </c>
      <c r="S313" s="543" t="str">
        <f>_xlfn.XLOOKUP(E313,'All Products'!D:D,'All Products'!M:M,FALSE)</f>
        <v>40049081137227</v>
      </c>
      <c r="T313" s="530">
        <f>_xlfn.XLOOKUP(E313,'All Products'!D:D,'All Products'!N:N,FALSE)</f>
        <v>8.5999999999999993E-2</v>
      </c>
      <c r="U313" s="543">
        <f>_xlfn.XLOOKUP(E313,'All Products'!D:D,'All Products'!O:O,FALSE)</f>
        <v>5</v>
      </c>
      <c r="V313" s="530">
        <f>_xlfn.XLOOKUP(E313,'All Products'!D:D,'All Products'!P:P,FALSE)</f>
        <v>11.54</v>
      </c>
      <c r="W313" s="530">
        <f>_xlfn.XLOOKUP(E313,'All Products'!D:D,'All Products'!Q:Q,FALSE)</f>
        <v>0.8</v>
      </c>
    </row>
    <row r="314" spans="1:23" ht="15" customHeight="1">
      <c r="A314" s="104" t="str">
        <f>IF(K314&gt;0,COUNT($A$7:A313)+COUNT('DWV PVC'!$A$8:$A$284)+COUNT('DWV ABS'!$A$8:$A$116)+1,"")</f>
        <v/>
      </c>
      <c r="B314" s="579"/>
      <c r="C314" s="580"/>
      <c r="D314" s="512" t="str">
        <f>_xlfn.XLOOKUP(E314,'All Products'!D:D,'All Products'!C:C,FALSE)</f>
        <v>448-015</v>
      </c>
      <c r="E314" s="53">
        <v>100023059</v>
      </c>
      <c r="F314" s="522" t="str">
        <f>_xlfn.XLOOKUP(E314,'All Products'!D:D,'All Products'!E:E,FALSE)</f>
        <v>1-1/2 CAP FIPT</v>
      </c>
      <c r="G314" s="282">
        <f>_xlfn.XLOOKUP(E314,'All Products'!D:D,'All Products'!F:F,FALSE)</f>
        <v>50</v>
      </c>
      <c r="H314" s="533">
        <f>_xlfn.XLOOKUP(E314,'All Products'!D:D,'All Products'!G:G,FALSE)</f>
        <v>7500</v>
      </c>
      <c r="I314" s="540">
        <f>_xlfn.XLOOKUP(E314,'All Products'!D:D,'All Products'!H:H,FALSE)</f>
        <v>6.53</v>
      </c>
      <c r="J314" s="216">
        <f>ROUND(I314*Order_Quote!$L$4,2)</f>
        <v>32.65</v>
      </c>
      <c r="K314" s="76"/>
      <c r="L314" s="79"/>
      <c r="M314" s="117">
        <f t="shared" si="11"/>
        <v>0</v>
      </c>
      <c r="O314" s="530" t="str">
        <f>_xlfn.XLOOKUP(E314,'All Products'!D:D,'All Products'!I:I,FALSE)</f>
        <v>Within 3 Weeks</v>
      </c>
      <c r="P314" s="530" t="str">
        <f>_xlfn.XLOOKUP(E314,'All Products'!D:D,'All Products'!J:J,FALSE)</f>
        <v>Manufactured</v>
      </c>
      <c r="Q314" s="543" t="str">
        <f>_xlfn.XLOOKUP(E314,'All Products'!D:D,'All Products'!K:K,FALSE)</f>
        <v>049081137243</v>
      </c>
      <c r="R314" s="543" t="str">
        <f>_xlfn.XLOOKUP(E314,'All Products'!D:D,'All Products'!L:L,FALSE)</f>
        <v>049081637248</v>
      </c>
      <c r="S314" s="543" t="str">
        <f>_xlfn.XLOOKUP(E314,'All Products'!D:D,'All Products'!M:M,FALSE)</f>
        <v>40049081137241</v>
      </c>
      <c r="T314" s="530">
        <f>_xlfn.XLOOKUP(E314,'All Products'!D:D,'All Products'!N:N,FALSE)</f>
        <v>0.11799999999999999</v>
      </c>
      <c r="U314" s="543">
        <f>_xlfn.XLOOKUP(E314,'All Products'!D:D,'All Products'!O:O,FALSE)</f>
        <v>5</v>
      </c>
      <c r="V314" s="530">
        <f>_xlfn.XLOOKUP(E314,'All Products'!D:D,'All Products'!P:P,FALSE)</f>
        <v>8.4700000000000006</v>
      </c>
      <c r="W314" s="530">
        <f>_xlfn.XLOOKUP(E314,'All Products'!D:D,'All Products'!Q:Q,FALSE)</f>
        <v>0.5</v>
      </c>
    </row>
    <row r="315" spans="1:23" ht="15" customHeight="1">
      <c r="A315" s="104" t="str">
        <f>IF(K315&gt;0,COUNT($A$7:A314)+COUNT('DWV PVC'!$A$8:$A$284)+COUNT('DWV ABS'!$A$8:$A$116)+1,"")</f>
        <v/>
      </c>
      <c r="B315" s="579"/>
      <c r="C315" s="580"/>
      <c r="D315" s="512" t="str">
        <f>_xlfn.XLOOKUP(E315,'All Products'!D:D,'All Products'!C:C,FALSE)</f>
        <v>448-020</v>
      </c>
      <c r="E315" s="53">
        <v>100023061</v>
      </c>
      <c r="F315" s="522" t="str">
        <f>_xlfn.XLOOKUP(E315,'All Products'!D:D,'All Products'!E:E,FALSE)</f>
        <v>2 CAP FIPT</v>
      </c>
      <c r="G315" s="282">
        <f>_xlfn.XLOOKUP(E315,'All Products'!D:D,'All Products'!F:F,FALSE)</f>
        <v>50</v>
      </c>
      <c r="H315" s="533">
        <f>_xlfn.XLOOKUP(E315,'All Products'!D:D,'All Products'!G:G,FALSE)</f>
        <v>6000</v>
      </c>
      <c r="I315" s="540">
        <f>_xlfn.XLOOKUP(E315,'All Products'!D:D,'All Products'!H:H,FALSE)</f>
        <v>11.57</v>
      </c>
      <c r="J315" s="216">
        <f>ROUND(I315*Order_Quote!$L$4,2)</f>
        <v>57.85</v>
      </c>
      <c r="K315" s="76"/>
      <c r="L315" s="79"/>
      <c r="M315" s="117">
        <f t="shared" si="11"/>
        <v>0</v>
      </c>
      <c r="O315" s="530" t="str">
        <f>_xlfn.XLOOKUP(E315,'All Products'!D:D,'All Products'!I:I,FALSE)</f>
        <v>In Stock</v>
      </c>
      <c r="P315" s="530" t="str">
        <f>_xlfn.XLOOKUP(E315,'All Products'!D:D,'All Products'!J:J,FALSE)</f>
        <v>Manufactured</v>
      </c>
      <c r="Q315" s="543" t="str">
        <f>_xlfn.XLOOKUP(E315,'All Products'!D:D,'All Products'!K:K,FALSE)</f>
        <v>049081137267</v>
      </c>
      <c r="R315" s="543" t="str">
        <f>_xlfn.XLOOKUP(E315,'All Products'!D:D,'All Products'!L:L,FALSE)</f>
        <v>049081637262</v>
      </c>
      <c r="S315" s="543" t="str">
        <f>_xlfn.XLOOKUP(E315,'All Products'!D:D,'All Products'!M:M,FALSE)</f>
        <v>40049081137265</v>
      </c>
      <c r="T315" s="530">
        <f>_xlfn.XLOOKUP(E315,'All Products'!D:D,'All Products'!N:N,FALSE)</f>
        <v>0.188</v>
      </c>
      <c r="U315" s="543">
        <f>_xlfn.XLOOKUP(E315,'All Products'!D:D,'All Products'!O:O,FALSE)</f>
        <v>5</v>
      </c>
      <c r="V315" s="530">
        <f>_xlfn.XLOOKUP(E315,'All Products'!D:D,'All Products'!P:P,FALSE)</f>
        <v>10.220000000000001</v>
      </c>
      <c r="W315" s="530">
        <f>_xlfn.XLOOKUP(E315,'All Products'!D:D,'All Products'!Q:Q,FALSE)</f>
        <v>0.65</v>
      </c>
    </row>
    <row r="316" spans="1:23" ht="15" customHeight="1">
      <c r="A316" s="104" t="str">
        <f>IF(K316&gt;0,COUNT($A$7:A315)+COUNT('DWV PVC'!$A$8:$A$284)+COUNT('DWV ABS'!$A$8:$A$116)+1,"")</f>
        <v/>
      </c>
      <c r="B316" s="579"/>
      <c r="C316" s="580"/>
      <c r="D316" s="512" t="str">
        <f>_xlfn.XLOOKUP(E316,'All Products'!D:D,'All Products'!C:C,FALSE)</f>
        <v>448-025</v>
      </c>
      <c r="E316" s="53">
        <v>100023063</v>
      </c>
      <c r="F316" s="522" t="str">
        <f>_xlfn.XLOOKUP(E316,'All Products'!D:D,'All Products'!E:E,FALSE)</f>
        <v>2-1/2 CAP FIPT</v>
      </c>
      <c r="G316" s="282">
        <f>_xlfn.XLOOKUP(E316,'All Products'!D:D,'All Products'!F:F,FALSE)</f>
        <v>25</v>
      </c>
      <c r="H316" s="533">
        <f>_xlfn.XLOOKUP(E316,'All Products'!D:D,'All Products'!G:G,FALSE)</f>
        <v>3000</v>
      </c>
      <c r="I316" s="540">
        <f>_xlfn.XLOOKUP(E316,'All Products'!D:D,'All Products'!H:H,FALSE)</f>
        <v>17.02</v>
      </c>
      <c r="J316" s="216">
        <f>ROUND(I316*Order_Quote!$L$4,2)</f>
        <v>85.1</v>
      </c>
      <c r="K316" s="76"/>
      <c r="L316" s="79"/>
      <c r="M316" s="117">
        <f t="shared" si="11"/>
        <v>0</v>
      </c>
      <c r="O316" s="530" t="str">
        <f>_xlfn.XLOOKUP(E316,'All Products'!D:D,'All Products'!I:I,FALSE)</f>
        <v>In Stock</v>
      </c>
      <c r="P316" s="530" t="str">
        <f>_xlfn.XLOOKUP(E316,'All Products'!D:D,'All Products'!J:J,FALSE)</f>
        <v>Manufactured</v>
      </c>
      <c r="Q316" s="543" t="str">
        <f>_xlfn.XLOOKUP(E316,'All Products'!D:D,'All Products'!K:K,FALSE)</f>
        <v>049081137281</v>
      </c>
      <c r="R316" s="543" t="str">
        <f>_xlfn.XLOOKUP(E316,'All Products'!D:D,'All Products'!L:L,FALSE)</f>
        <v>-</v>
      </c>
      <c r="S316" s="543" t="str">
        <f>_xlfn.XLOOKUP(E316,'All Products'!D:D,'All Products'!M:M,FALSE)</f>
        <v>40049081137289</v>
      </c>
      <c r="T316" s="530">
        <f>_xlfn.XLOOKUP(E316,'All Products'!D:D,'All Products'!N:N,FALSE)</f>
        <v>0.44400000000000001</v>
      </c>
      <c r="U316" s="543" t="str">
        <f>_xlfn.XLOOKUP(E316,'All Products'!D:D,'All Products'!O:O,FALSE)</f>
        <v>-</v>
      </c>
      <c r="V316" s="530">
        <f>_xlfn.XLOOKUP(E316,'All Products'!D:D,'All Products'!P:P,FALSE)</f>
        <v>12.06</v>
      </c>
      <c r="W316" s="530">
        <f>_xlfn.XLOOKUP(E316,'All Products'!D:D,'All Products'!Q:Q,FALSE)</f>
        <v>0.65</v>
      </c>
    </row>
    <row r="317" spans="1:23" ht="15" customHeight="1">
      <c r="A317" s="104" t="str">
        <f>IF(K317&gt;0,COUNT($A$7:A316)+COUNT('DWV PVC'!$A$8:$A$284)+COUNT('DWV ABS'!$A$8:$A$116)+1,"")</f>
        <v/>
      </c>
      <c r="B317" s="579"/>
      <c r="C317" s="580"/>
      <c r="D317" s="512" t="str">
        <f>_xlfn.XLOOKUP(E317,'All Products'!D:D,'All Products'!C:C,FALSE)</f>
        <v>448-030</v>
      </c>
      <c r="E317" s="53">
        <v>100023065</v>
      </c>
      <c r="F317" s="522" t="str">
        <f>_xlfn.XLOOKUP(E317,'All Products'!D:D,'All Products'!E:E,FALSE)</f>
        <v>3 CAP FIPT</v>
      </c>
      <c r="G317" s="282">
        <f>_xlfn.XLOOKUP(E317,'All Products'!D:D,'All Products'!F:F,FALSE)</f>
        <v>15</v>
      </c>
      <c r="H317" s="533">
        <f>_xlfn.XLOOKUP(E317,'All Products'!D:D,'All Products'!G:G,FALSE)</f>
        <v>2250</v>
      </c>
      <c r="I317" s="540">
        <f>_xlfn.XLOOKUP(E317,'All Products'!D:D,'All Products'!H:H,FALSE)</f>
        <v>22.25</v>
      </c>
      <c r="J317" s="216">
        <f>ROUND(I317*Order_Quote!$L$4,2)</f>
        <v>111.25</v>
      </c>
      <c r="K317" s="76"/>
      <c r="L317" s="79"/>
      <c r="M317" s="117">
        <f t="shared" si="11"/>
        <v>0</v>
      </c>
      <c r="O317" s="530" t="str">
        <f>_xlfn.XLOOKUP(E317,'All Products'!D:D,'All Products'!I:I,FALSE)</f>
        <v>In Stock</v>
      </c>
      <c r="P317" s="530" t="str">
        <f>_xlfn.XLOOKUP(E317,'All Products'!D:D,'All Products'!J:J,FALSE)</f>
        <v>Manufactured</v>
      </c>
      <c r="Q317" s="543" t="str">
        <f>_xlfn.XLOOKUP(E317,'All Products'!D:D,'All Products'!K:K,FALSE)</f>
        <v>049081137304</v>
      </c>
      <c r="R317" s="543" t="str">
        <f>_xlfn.XLOOKUP(E317,'All Products'!D:D,'All Products'!L:L,FALSE)</f>
        <v>-</v>
      </c>
      <c r="S317" s="543" t="str">
        <f>_xlfn.XLOOKUP(E317,'All Products'!D:D,'All Products'!M:M,FALSE)</f>
        <v>40049081137302</v>
      </c>
      <c r="T317" s="530">
        <f>_xlfn.XLOOKUP(E317,'All Products'!D:D,'All Products'!N:N,FALSE)</f>
        <v>0.60399999999999998</v>
      </c>
      <c r="U317" s="543" t="str">
        <f>_xlfn.XLOOKUP(E317,'All Products'!D:D,'All Products'!O:O,FALSE)</f>
        <v>-</v>
      </c>
      <c r="V317" s="530">
        <f>_xlfn.XLOOKUP(E317,'All Products'!D:D,'All Products'!P:P,FALSE)</f>
        <v>9.68</v>
      </c>
      <c r="W317" s="530">
        <f>_xlfn.XLOOKUP(E317,'All Products'!D:D,'All Products'!Q:Q,FALSE)</f>
        <v>0.5</v>
      </c>
    </row>
    <row r="318" spans="1:23" ht="15" customHeight="1">
      <c r="A318" s="104" t="str">
        <f>IF(K318&gt;0,COUNT($A$7:A317)+COUNT('DWV PVC'!$A$8:$A$284)+COUNT('DWV ABS'!$A$8:$A$116)+1,"")</f>
        <v/>
      </c>
      <c r="B318" s="581"/>
      <c r="C318" s="582"/>
      <c r="D318" s="512" t="str">
        <f>_xlfn.XLOOKUP(E318,'All Products'!D:D,'All Products'!C:C,FALSE)</f>
        <v>448-040</v>
      </c>
      <c r="E318" s="53">
        <v>100023067</v>
      </c>
      <c r="F318" s="522" t="str">
        <f>_xlfn.XLOOKUP(E318,'All Products'!D:D,'All Products'!E:E,FALSE)</f>
        <v>4 CAP FIPT</v>
      </c>
      <c r="G318" s="282">
        <f>_xlfn.XLOOKUP(E318,'All Products'!D:D,'All Products'!F:F,FALSE)</f>
        <v>9</v>
      </c>
      <c r="H318" s="533">
        <f>_xlfn.XLOOKUP(E318,'All Products'!D:D,'All Products'!G:G,FALSE)</f>
        <v>1350</v>
      </c>
      <c r="I318" s="540">
        <f>_xlfn.XLOOKUP(E318,'All Products'!D:D,'All Products'!H:H,FALSE)</f>
        <v>39.08</v>
      </c>
      <c r="J318" s="216">
        <f>ROUND(I318*Order_Quote!$L$4,2)</f>
        <v>195.4</v>
      </c>
      <c r="K318" s="76"/>
      <c r="L318" s="79"/>
      <c r="M318" s="117">
        <f t="shared" si="11"/>
        <v>0</v>
      </c>
      <c r="O318" s="530" t="str">
        <f>_xlfn.XLOOKUP(E318,'All Products'!D:D,'All Products'!I:I,FALSE)</f>
        <v>Within 3 Weeks</v>
      </c>
      <c r="P318" s="530" t="str">
        <f>_xlfn.XLOOKUP(E318,'All Products'!D:D,'All Products'!J:J,FALSE)</f>
        <v>Manufactured</v>
      </c>
      <c r="Q318" s="543" t="str">
        <f>_xlfn.XLOOKUP(E318,'All Products'!D:D,'All Products'!K:K,FALSE)</f>
        <v>049081137328</v>
      </c>
      <c r="R318" s="543" t="str">
        <f>_xlfn.XLOOKUP(E318,'All Products'!D:D,'All Products'!L:L,FALSE)</f>
        <v>-</v>
      </c>
      <c r="S318" s="543" t="str">
        <f>_xlfn.XLOOKUP(E318,'All Products'!D:D,'All Products'!M:M,FALSE)</f>
        <v>40049081137326</v>
      </c>
      <c r="T318" s="530">
        <f>_xlfn.XLOOKUP(E318,'All Products'!D:D,'All Products'!N:N,FALSE)</f>
        <v>0.93400000000000005</v>
      </c>
      <c r="U318" s="543" t="str">
        <f>_xlfn.XLOOKUP(E318,'All Products'!D:D,'All Products'!O:O,FALSE)</f>
        <v>-</v>
      </c>
      <c r="V318" s="530">
        <f>_xlfn.XLOOKUP(E318,'All Products'!D:D,'All Products'!P:P,FALSE)</f>
        <v>9.39</v>
      </c>
      <c r="W318" s="530">
        <f>_xlfn.XLOOKUP(E318,'All Products'!D:D,'All Products'!Q:Q,FALSE)</f>
        <v>0.5</v>
      </c>
    </row>
    <row r="319" spans="1:23" ht="15" customHeight="1">
      <c r="A319" s="104" t="str">
        <f>IF(K319&gt;0,COUNT($A$7:A318)+COUNT('DWV PVC'!$A$8:$A$284)+COUNT('DWV ABS'!$A$8:$A$116)+1,"")</f>
        <v/>
      </c>
      <c r="B319" s="115"/>
      <c r="C319" s="116"/>
      <c r="D319" s="512" t="str">
        <f>_xlfn.XLOOKUP(E319,'All Products'!D:D,'All Products'!C:C,FALSE)</f>
        <v>449-005</v>
      </c>
      <c r="E319" s="53">
        <v>100023069</v>
      </c>
      <c r="F319" s="522" t="str">
        <f>_xlfn.XLOOKUP(E319,'All Products'!D:D,'All Products'!E:E,FALSE)</f>
        <v>1/2 SPIGOT PLUG</v>
      </c>
      <c r="G319" s="282">
        <f>_xlfn.XLOOKUP(E319,'All Products'!D:D,'All Products'!F:F,FALSE)</f>
        <v>250</v>
      </c>
      <c r="H319" s="533">
        <f>_xlfn.XLOOKUP(E319,'All Products'!D:D,'All Products'!G:G,FALSE)</f>
        <v>67500</v>
      </c>
      <c r="I319" s="540">
        <f>_xlfn.XLOOKUP(E319,'All Products'!D:D,'All Products'!H:H,FALSE)</f>
        <v>3.48</v>
      </c>
      <c r="J319" s="216">
        <f>ROUND(I319*Order_Quote!$L$4,2)</f>
        <v>17.399999999999999</v>
      </c>
      <c r="K319" s="76"/>
      <c r="L319" s="79"/>
      <c r="M319" s="117">
        <f t="shared" si="11"/>
        <v>0</v>
      </c>
      <c r="O319" s="530" t="str">
        <f>_xlfn.XLOOKUP(E319,'All Products'!D:D,'All Products'!I:I,FALSE)</f>
        <v>In Stock</v>
      </c>
      <c r="P319" s="530" t="str">
        <f>_xlfn.XLOOKUP(E319,'All Products'!D:D,'All Products'!J:J,FALSE)</f>
        <v>Manufactured</v>
      </c>
      <c r="Q319" s="543" t="str">
        <f>_xlfn.XLOOKUP(E319,'All Products'!D:D,'All Products'!K:K,FALSE)</f>
        <v>049081142865</v>
      </c>
      <c r="R319" s="543" t="str">
        <f>_xlfn.XLOOKUP(E319,'All Products'!D:D,'All Products'!L:L,FALSE)</f>
        <v>049081642860</v>
      </c>
      <c r="S319" s="543" t="str">
        <f>_xlfn.XLOOKUP(E319,'All Products'!D:D,'All Products'!M:M,FALSE)</f>
        <v>40049081142863</v>
      </c>
      <c r="T319" s="530">
        <f>_xlfn.XLOOKUP(E319,'All Products'!D:D,'All Products'!N:N,FALSE)</f>
        <v>2.1999999999999999E-2</v>
      </c>
      <c r="U319" s="543">
        <f>_xlfn.XLOOKUP(E319,'All Products'!D:D,'All Products'!O:O,FALSE)</f>
        <v>10</v>
      </c>
      <c r="V319" s="530">
        <f>_xlfn.XLOOKUP(E319,'All Products'!D:D,'All Products'!P:P,FALSE)</f>
        <v>6.3</v>
      </c>
      <c r="W319" s="530">
        <f>_xlfn.XLOOKUP(E319,'All Products'!D:D,'All Products'!Q:Q,FALSE)</f>
        <v>0.31</v>
      </c>
    </row>
    <row r="320" spans="1:23" ht="15" customHeight="1">
      <c r="A320" s="104" t="str">
        <f>IF(K320&gt;0,COUNT($A$7:A319)+COUNT('DWV PVC'!$A$8:$A$284)+COUNT('DWV ABS'!$A$8:$A$116)+1,"")</f>
        <v/>
      </c>
      <c r="B320" s="115"/>
      <c r="C320" s="116"/>
      <c r="D320" s="512" t="str">
        <f>_xlfn.XLOOKUP(E320,'All Products'!D:D,'All Products'!C:C,FALSE)</f>
        <v>449-007</v>
      </c>
      <c r="E320" s="53">
        <v>100023071</v>
      </c>
      <c r="F320" s="522" t="str">
        <f>_xlfn.XLOOKUP(E320,'All Products'!D:D,'All Products'!E:E,FALSE)</f>
        <v>3/4 SPIGOT PLUG</v>
      </c>
      <c r="G320" s="282">
        <f>_xlfn.XLOOKUP(E320,'All Products'!D:D,'All Products'!F:F,FALSE)</f>
        <v>250</v>
      </c>
      <c r="H320" s="533">
        <f>_xlfn.XLOOKUP(E320,'All Products'!D:D,'All Products'!G:G,FALSE)</f>
        <v>37500</v>
      </c>
      <c r="I320" s="540">
        <f>_xlfn.XLOOKUP(E320,'All Products'!D:D,'All Products'!H:H,FALSE)</f>
        <v>4.07</v>
      </c>
      <c r="J320" s="216">
        <f>ROUND(I320*Order_Quote!$L$4,2)</f>
        <v>20.350000000000001</v>
      </c>
      <c r="K320" s="76"/>
      <c r="L320" s="79"/>
      <c r="M320" s="117">
        <f t="shared" si="11"/>
        <v>0</v>
      </c>
      <c r="O320" s="530" t="str">
        <f>_xlfn.XLOOKUP(E320,'All Products'!D:D,'All Products'!I:I,FALSE)</f>
        <v>In Stock</v>
      </c>
      <c r="P320" s="530" t="str">
        <f>_xlfn.XLOOKUP(E320,'All Products'!D:D,'All Products'!J:J,FALSE)</f>
        <v>Manufactured</v>
      </c>
      <c r="Q320" s="543" t="str">
        <f>_xlfn.XLOOKUP(E320,'All Products'!D:D,'All Products'!K:K,FALSE)</f>
        <v>049081142889</v>
      </c>
      <c r="R320" s="543" t="str">
        <f>_xlfn.XLOOKUP(E320,'All Products'!D:D,'All Products'!L:L,FALSE)</f>
        <v>049081642884</v>
      </c>
      <c r="S320" s="543" t="str">
        <f>_xlfn.XLOOKUP(E320,'All Products'!D:D,'All Products'!M:M,FALSE)</f>
        <v>40049081142887</v>
      </c>
      <c r="T320" s="530">
        <f>_xlfn.XLOOKUP(E320,'All Products'!D:D,'All Products'!N:N,FALSE)</f>
        <v>3.5000000000000003E-2</v>
      </c>
      <c r="U320" s="543">
        <f>_xlfn.XLOOKUP(E320,'All Products'!D:D,'All Products'!O:O,FALSE)</f>
        <v>10</v>
      </c>
      <c r="V320" s="530">
        <f>_xlfn.XLOOKUP(E320,'All Products'!D:D,'All Products'!P:P,FALSE)</f>
        <v>9.61</v>
      </c>
      <c r="W320" s="530">
        <f>_xlfn.XLOOKUP(E320,'All Products'!D:D,'All Products'!Q:Q,FALSE)</f>
        <v>0.5</v>
      </c>
    </row>
    <row r="321" spans="1:23" ht="15" customHeight="1">
      <c r="A321" s="104" t="str">
        <f>IF(K321&gt;0,COUNT($A$7:A320)+COUNT('DWV PVC'!$A$8:$A$284)+COUNT('DWV ABS'!$A$8:$A$116)+1,"")</f>
        <v/>
      </c>
      <c r="B321" s="112"/>
      <c r="C321" s="79"/>
      <c r="D321" s="512" t="str">
        <f>_xlfn.XLOOKUP(E321,'All Products'!D:D,'All Products'!C:C,FALSE)</f>
        <v>449-010</v>
      </c>
      <c r="E321" s="53">
        <v>100023073</v>
      </c>
      <c r="F321" s="522" t="str">
        <f>_xlfn.XLOOKUP(E321,'All Products'!D:D,'All Products'!E:E,FALSE)</f>
        <v>1 SPIGOT PLUG</v>
      </c>
      <c r="G321" s="282">
        <f>_xlfn.XLOOKUP(E321,'All Products'!D:D,'All Products'!F:F,FALSE)</f>
        <v>250</v>
      </c>
      <c r="H321" s="533">
        <f>_xlfn.XLOOKUP(E321,'All Products'!D:D,'All Products'!G:G,FALSE)</f>
        <v>22500</v>
      </c>
      <c r="I321" s="540">
        <f>_xlfn.XLOOKUP(E321,'All Products'!D:D,'All Products'!H:H,FALSE)</f>
        <v>4.92</v>
      </c>
      <c r="J321" s="216">
        <f>ROUND(I321*Order_Quote!$L$4,2)</f>
        <v>24.6</v>
      </c>
      <c r="K321" s="76"/>
      <c r="L321" s="79"/>
      <c r="M321" s="117">
        <f t="shared" si="11"/>
        <v>0</v>
      </c>
      <c r="O321" s="530" t="str">
        <f>_xlfn.XLOOKUP(E321,'All Products'!D:D,'All Products'!I:I,FALSE)</f>
        <v>In Stock</v>
      </c>
      <c r="P321" s="530" t="str">
        <f>_xlfn.XLOOKUP(E321,'All Products'!D:D,'All Products'!J:J,FALSE)</f>
        <v>Manufactured</v>
      </c>
      <c r="Q321" s="543" t="str">
        <f>_xlfn.XLOOKUP(E321,'All Products'!D:D,'All Products'!K:K,FALSE)</f>
        <v>049081142902</v>
      </c>
      <c r="R321" s="543" t="str">
        <f>_xlfn.XLOOKUP(E321,'All Products'!D:D,'All Products'!L:L,FALSE)</f>
        <v>049081642907</v>
      </c>
      <c r="S321" s="543" t="str">
        <f>_xlfn.XLOOKUP(E321,'All Products'!D:D,'All Products'!M:M,FALSE)</f>
        <v>40049081142900</v>
      </c>
      <c r="T321" s="530">
        <f>_xlfn.XLOOKUP(E321,'All Products'!D:D,'All Products'!N:N,FALSE)</f>
        <v>5.7000000000000002E-2</v>
      </c>
      <c r="U321" s="543">
        <f>_xlfn.XLOOKUP(E321,'All Products'!D:D,'All Products'!O:O,FALSE)</f>
        <v>10</v>
      </c>
      <c r="V321" s="530">
        <f>_xlfn.XLOOKUP(E321,'All Products'!D:D,'All Products'!P:P,FALSE)</f>
        <v>15.79</v>
      </c>
      <c r="W321" s="530">
        <f>_xlfn.XLOOKUP(E321,'All Products'!D:D,'All Products'!Q:Q,FALSE)</f>
        <v>0.8</v>
      </c>
    </row>
    <row r="322" spans="1:23" ht="15" customHeight="1">
      <c r="A322" s="104" t="str">
        <f>IF(K322&gt;0,COUNT($A$7:A321)+COUNT('DWV PVC'!$A$8:$A$284)+COUNT('DWV ABS'!$A$8:$A$116)+1,"")</f>
        <v/>
      </c>
      <c r="B322" s="112"/>
      <c r="C322" s="79"/>
      <c r="D322" s="512" t="str">
        <f>_xlfn.XLOOKUP(E322,'All Products'!D:D,'All Products'!C:C,FALSE)</f>
        <v>449-015</v>
      </c>
      <c r="E322" s="53">
        <v>100023077</v>
      </c>
      <c r="F322" s="522" t="str">
        <f>_xlfn.XLOOKUP(E322,'All Products'!D:D,'All Products'!E:E,FALSE)</f>
        <v>1-1/2 SPIGOT PLUG</v>
      </c>
      <c r="G322" s="282">
        <f>_xlfn.XLOOKUP(E322,'All Products'!D:D,'All Products'!F:F,FALSE)</f>
        <v>50</v>
      </c>
      <c r="H322" s="533">
        <f>_xlfn.XLOOKUP(E322,'All Products'!D:D,'All Products'!G:G,FALSE)</f>
        <v>7500</v>
      </c>
      <c r="I322" s="540">
        <f>_xlfn.XLOOKUP(E322,'All Products'!D:D,'All Products'!H:H,FALSE)</f>
        <v>8.34</v>
      </c>
      <c r="J322" s="216">
        <f>ROUND(I322*Order_Quote!$L$4,2)</f>
        <v>41.7</v>
      </c>
      <c r="K322" s="76"/>
      <c r="L322" s="79"/>
      <c r="M322" s="117">
        <f t="shared" si="11"/>
        <v>0</v>
      </c>
      <c r="O322" s="530" t="str">
        <f>_xlfn.XLOOKUP(E322,'All Products'!D:D,'All Products'!I:I,FALSE)</f>
        <v>In Stock</v>
      </c>
      <c r="P322" s="530" t="str">
        <f>_xlfn.XLOOKUP(E322,'All Products'!D:D,'All Products'!J:J,FALSE)</f>
        <v>Manufactured</v>
      </c>
      <c r="Q322" s="543" t="str">
        <f>_xlfn.XLOOKUP(E322,'All Products'!D:D,'All Products'!K:K,FALSE)</f>
        <v>049081142940</v>
      </c>
      <c r="R322" s="543" t="str">
        <f>_xlfn.XLOOKUP(E322,'All Products'!D:D,'All Products'!L:L,FALSE)</f>
        <v>049081642945</v>
      </c>
      <c r="S322" s="543" t="str">
        <f>_xlfn.XLOOKUP(E322,'All Products'!D:D,'All Products'!M:M,FALSE)</f>
        <v>40049081142948</v>
      </c>
      <c r="T322" s="530">
        <f>_xlfn.XLOOKUP(E322,'All Products'!D:D,'All Products'!N:N,FALSE)</f>
        <v>0.122</v>
      </c>
      <c r="U322" s="543">
        <f>_xlfn.XLOOKUP(E322,'All Products'!D:D,'All Products'!O:O,FALSE)</f>
        <v>5</v>
      </c>
      <c r="V322" s="530">
        <f>_xlfn.XLOOKUP(E322,'All Products'!D:D,'All Products'!P:P,FALSE)</f>
        <v>7.14</v>
      </c>
      <c r="W322" s="530">
        <f>_xlfn.XLOOKUP(E322,'All Products'!D:D,'All Products'!Q:Q,FALSE)</f>
        <v>0.5</v>
      </c>
    </row>
    <row r="323" spans="1:23" ht="15" customHeight="1">
      <c r="A323" s="104" t="str">
        <f>IF(K323&gt;0,COUNT($A$7:A322)+COUNT('DWV PVC'!$A$8:$A$284)+COUNT('DWV ABS'!$A$8:$A$116)+1,"")</f>
        <v/>
      </c>
      <c r="B323" s="112"/>
      <c r="C323" s="79"/>
      <c r="D323" s="512" t="str">
        <f>_xlfn.XLOOKUP(E323,'All Products'!D:D,'All Products'!C:C,FALSE)</f>
        <v>449-020</v>
      </c>
      <c r="E323" s="53">
        <v>100023079</v>
      </c>
      <c r="F323" s="522" t="str">
        <f>_xlfn.XLOOKUP(E323,'All Products'!D:D,'All Products'!E:E,FALSE)</f>
        <v>2 SPIGOT PLUG</v>
      </c>
      <c r="G323" s="282">
        <f>_xlfn.XLOOKUP(E323,'All Products'!D:D,'All Products'!F:F,FALSE)</f>
        <v>50</v>
      </c>
      <c r="H323" s="533">
        <f>_xlfn.XLOOKUP(E323,'All Products'!D:D,'All Products'!G:G,FALSE)</f>
        <v>7500</v>
      </c>
      <c r="I323" s="540">
        <f>_xlfn.XLOOKUP(E323,'All Products'!D:D,'All Products'!H:H,FALSE)</f>
        <v>10.3</v>
      </c>
      <c r="J323" s="216">
        <f>ROUND(I323*Order_Quote!$L$4,2)</f>
        <v>51.5</v>
      </c>
      <c r="K323" s="76"/>
      <c r="L323" s="79"/>
      <c r="M323" s="117">
        <f t="shared" si="11"/>
        <v>0</v>
      </c>
      <c r="O323" s="530" t="str">
        <f>_xlfn.XLOOKUP(E323,'All Products'!D:D,'All Products'!I:I,FALSE)</f>
        <v>In Stock</v>
      </c>
      <c r="P323" s="530" t="str">
        <f>_xlfn.XLOOKUP(E323,'All Products'!D:D,'All Products'!J:J,FALSE)</f>
        <v>Manufactured</v>
      </c>
      <c r="Q323" s="543" t="str">
        <f>_xlfn.XLOOKUP(E323,'All Products'!D:D,'All Products'!K:K,FALSE)</f>
        <v>049081142964</v>
      </c>
      <c r="R323" s="543" t="str">
        <f>_xlfn.XLOOKUP(E323,'All Products'!D:D,'All Products'!L:L,FALSE)</f>
        <v>049081642969</v>
      </c>
      <c r="S323" s="543" t="str">
        <f>_xlfn.XLOOKUP(E323,'All Products'!D:D,'All Products'!M:M,FALSE)</f>
        <v>40049081142962</v>
      </c>
      <c r="T323" s="530">
        <f>_xlfn.XLOOKUP(E323,'All Products'!D:D,'All Products'!N:N,FALSE)</f>
        <v>0.13500000000000001</v>
      </c>
      <c r="U323" s="543">
        <f>_xlfn.XLOOKUP(E323,'All Products'!D:D,'All Products'!O:O,FALSE)</f>
        <v>5</v>
      </c>
      <c r="V323" s="530">
        <f>_xlfn.XLOOKUP(E323,'All Products'!D:D,'All Products'!P:P,FALSE)</f>
        <v>9.9700000000000006</v>
      </c>
      <c r="W323" s="530">
        <f>_xlfn.XLOOKUP(E323,'All Products'!D:D,'All Products'!Q:Q,FALSE)</f>
        <v>0.5</v>
      </c>
    </row>
    <row r="324" spans="1:23" ht="15" customHeight="1">
      <c r="A324" s="104" t="str">
        <f>IF(K324&gt;0,COUNT($A$7:A323)+COUNT('DWV PVC'!$A$8:$A$284)+COUNT('DWV ABS'!$A$8:$A$116)+1,"")</f>
        <v/>
      </c>
      <c r="B324" s="113"/>
      <c r="C324" s="114"/>
      <c r="D324" s="512" t="str">
        <f>_xlfn.XLOOKUP(E324,'All Products'!D:D,'All Products'!C:C,FALSE)</f>
        <v>449-040</v>
      </c>
      <c r="E324" s="53">
        <v>100023084</v>
      </c>
      <c r="F324" s="522" t="str">
        <f>_xlfn.XLOOKUP(E324,'All Products'!D:D,'All Products'!E:E,FALSE)</f>
        <v>4 SPIGOT PLUG</v>
      </c>
      <c r="G324" s="282">
        <f>_xlfn.XLOOKUP(E324,'All Products'!D:D,'All Products'!F:F,FALSE)</f>
        <v>10</v>
      </c>
      <c r="H324" s="533">
        <f>_xlfn.XLOOKUP(E324,'All Products'!D:D,'All Products'!G:G,FALSE)</f>
        <v>1500</v>
      </c>
      <c r="I324" s="540">
        <f>_xlfn.XLOOKUP(E324,'All Products'!D:D,'All Products'!H:H,FALSE)</f>
        <v>52.69</v>
      </c>
      <c r="J324" s="216">
        <f>ROUND(I324*Order_Quote!$L$4,2)</f>
        <v>263.45</v>
      </c>
      <c r="K324" s="76"/>
      <c r="L324" s="79"/>
      <c r="M324" s="117">
        <f t="shared" si="11"/>
        <v>0</v>
      </c>
      <c r="O324" s="530" t="str">
        <f>_xlfn.XLOOKUP(E324,'All Products'!D:D,'All Products'!I:I,FALSE)</f>
        <v>In Stock</v>
      </c>
      <c r="P324" s="530" t="str">
        <f>_xlfn.XLOOKUP(E324,'All Products'!D:D,'All Products'!J:J,FALSE)</f>
        <v>Manufactured</v>
      </c>
      <c r="Q324" s="543" t="str">
        <f>_xlfn.XLOOKUP(E324,'All Products'!D:D,'All Products'!K:K,FALSE)</f>
        <v>049081143022</v>
      </c>
      <c r="R324" s="543" t="str">
        <f>_xlfn.XLOOKUP(E324,'All Products'!D:D,'All Products'!L:L,FALSE)</f>
        <v>-</v>
      </c>
      <c r="S324" s="543" t="str">
        <f>_xlfn.XLOOKUP(E324,'All Products'!D:D,'All Products'!M:M,FALSE)</f>
        <v>40049081143020</v>
      </c>
      <c r="T324" s="530">
        <f>_xlfn.XLOOKUP(E324,'All Products'!D:D,'All Products'!N:N,FALSE)</f>
        <v>0.72899999999999998</v>
      </c>
      <c r="U324" s="543" t="str">
        <f>_xlfn.XLOOKUP(E324,'All Products'!D:D,'All Products'!O:O,FALSE)</f>
        <v>-</v>
      </c>
      <c r="V324" s="530">
        <f>_xlfn.XLOOKUP(E324,'All Products'!D:D,'All Products'!P:P,FALSE)</f>
        <v>7.37</v>
      </c>
      <c r="W324" s="530">
        <f>_xlfn.XLOOKUP(E324,'All Products'!D:D,'All Products'!Q:Q,FALSE)</f>
        <v>0.5</v>
      </c>
    </row>
    <row r="325" spans="1:23" ht="15" customHeight="1">
      <c r="A325" s="104" t="str">
        <f>IF(K325&gt;0,COUNT($A$7:A324)+COUNT('DWV PVC'!$A$8:$A$284)+COUNT('DWV ABS'!$A$8:$A$116)+1,"")</f>
        <v/>
      </c>
      <c r="B325" s="112"/>
      <c r="C325" s="79"/>
      <c r="D325" s="512" t="str">
        <f>_xlfn.XLOOKUP(E325,'All Products'!D:D,'All Products'!C:C,FALSE)</f>
        <v>450-002</v>
      </c>
      <c r="E325" s="53">
        <v>100023086</v>
      </c>
      <c r="F325" s="522" t="str">
        <f>_xlfn.XLOOKUP(E325,'All Products'!D:D,'All Products'!E:E,FALSE)</f>
        <v>1/4 PLUG MIPT</v>
      </c>
      <c r="G325" s="282">
        <f>_xlfn.XLOOKUP(E325,'All Products'!D:D,'All Products'!F:F,FALSE)</f>
        <v>500</v>
      </c>
      <c r="H325" s="533">
        <f>_xlfn.XLOOKUP(E325,'All Products'!D:D,'All Products'!G:G,FALSE)</f>
        <v>75000</v>
      </c>
      <c r="I325" s="540">
        <f>_xlfn.XLOOKUP(E325,'All Products'!D:D,'All Products'!H:H,FALSE)</f>
        <v>2.93</v>
      </c>
      <c r="J325" s="216">
        <f>ROUND(I325*Order_Quote!$L$4,2)</f>
        <v>14.65</v>
      </c>
      <c r="K325" s="76"/>
      <c r="L325" s="79"/>
      <c r="M325" s="117">
        <f t="shared" si="11"/>
        <v>0</v>
      </c>
      <c r="O325" s="530" t="str">
        <f>_xlfn.XLOOKUP(E325,'All Products'!D:D,'All Products'!I:I,FALSE)</f>
        <v>Within 3 Weeks</v>
      </c>
      <c r="P325" s="530" t="str">
        <f>_xlfn.XLOOKUP(E325,'All Products'!D:D,'All Products'!J:J,FALSE)</f>
        <v>Manufactured</v>
      </c>
      <c r="Q325" s="543" t="str">
        <f>_xlfn.XLOOKUP(E325,'All Products'!D:D,'All Products'!K:K,FALSE)</f>
        <v>049081143114</v>
      </c>
      <c r="R325" s="543" t="str">
        <f>_xlfn.XLOOKUP(E325,'All Products'!D:D,'All Products'!L:L,FALSE)</f>
        <v>049081643119</v>
      </c>
      <c r="S325" s="543" t="str">
        <f>_xlfn.XLOOKUP(E325,'All Products'!D:D,'All Products'!M:M,FALSE)</f>
        <v>40049081143112</v>
      </c>
      <c r="T325" s="530">
        <f>_xlfn.XLOOKUP(E325,'All Products'!D:D,'All Products'!N:N,FALSE)</f>
        <v>1.7000000000000001E-2</v>
      </c>
      <c r="U325" s="543">
        <f>_xlfn.XLOOKUP(E325,'All Products'!D:D,'All Products'!O:O,FALSE)</f>
        <v>10</v>
      </c>
      <c r="V325" s="530">
        <f>_xlfn.XLOOKUP(E325,'All Products'!D:D,'All Products'!P:P,FALSE)</f>
        <v>8.81</v>
      </c>
      <c r="W325" s="530">
        <f>_xlfn.XLOOKUP(E325,'All Products'!D:D,'All Products'!Q:Q,FALSE)</f>
        <v>0.5</v>
      </c>
    </row>
    <row r="326" spans="1:23" ht="15" customHeight="1">
      <c r="A326" s="104" t="str">
        <f>IF(K326&gt;0,COUNT($A$7:A325)+COUNT('DWV PVC'!$A$8:$A$284)+COUNT('DWV ABS'!$A$8:$A$116)+1,"")</f>
        <v/>
      </c>
      <c r="B326" s="112"/>
      <c r="C326" s="79"/>
      <c r="D326" s="512" t="str">
        <f>_xlfn.XLOOKUP(E326,'All Products'!D:D,'All Products'!C:C,FALSE)</f>
        <v>450-005</v>
      </c>
      <c r="E326" s="53">
        <v>100023088</v>
      </c>
      <c r="F326" s="522" t="str">
        <f>_xlfn.XLOOKUP(E326,'All Products'!D:D,'All Products'!E:E,FALSE)</f>
        <v>1/2 PLUG MIPT</v>
      </c>
      <c r="G326" s="282">
        <f>_xlfn.XLOOKUP(E326,'All Products'!D:D,'All Products'!F:F,FALSE)</f>
        <v>250</v>
      </c>
      <c r="H326" s="533">
        <f>_xlfn.XLOOKUP(E326,'All Products'!D:D,'All Products'!G:G,FALSE)</f>
        <v>67500</v>
      </c>
      <c r="I326" s="540">
        <f>_xlfn.XLOOKUP(E326,'All Products'!D:D,'All Products'!H:H,FALSE)</f>
        <v>4.32</v>
      </c>
      <c r="J326" s="216">
        <f>ROUND(I326*Order_Quote!$L$4,2)</f>
        <v>21.6</v>
      </c>
      <c r="K326" s="76"/>
      <c r="L326" s="79"/>
      <c r="M326" s="117">
        <f t="shared" si="11"/>
        <v>0</v>
      </c>
      <c r="O326" s="530" t="str">
        <f>_xlfn.XLOOKUP(E326,'All Products'!D:D,'All Products'!I:I,FALSE)</f>
        <v>In Stock</v>
      </c>
      <c r="P326" s="530" t="str">
        <f>_xlfn.XLOOKUP(E326,'All Products'!D:D,'All Products'!J:J,FALSE)</f>
        <v>Manufactured</v>
      </c>
      <c r="Q326" s="543" t="str">
        <f>_xlfn.XLOOKUP(E326,'All Products'!D:D,'All Products'!K:K,FALSE)</f>
        <v>049081143145</v>
      </c>
      <c r="R326" s="543" t="str">
        <f>_xlfn.XLOOKUP(E326,'All Products'!D:D,'All Products'!L:L,FALSE)</f>
        <v>049081643140</v>
      </c>
      <c r="S326" s="543" t="str">
        <f>_xlfn.XLOOKUP(E326,'All Products'!D:D,'All Products'!M:M,FALSE)</f>
        <v>40049081143143</v>
      </c>
      <c r="T326" s="530">
        <f>_xlfn.XLOOKUP(E326,'All Products'!D:D,'All Products'!N:N,FALSE)</f>
        <v>2.1999999999999999E-2</v>
      </c>
      <c r="U326" s="543">
        <f>_xlfn.XLOOKUP(E326,'All Products'!D:D,'All Products'!O:O,FALSE)</f>
        <v>10</v>
      </c>
      <c r="V326" s="530">
        <f>_xlfn.XLOOKUP(E326,'All Products'!D:D,'All Products'!P:P,FALSE)</f>
        <v>6.41</v>
      </c>
      <c r="W326" s="530">
        <f>_xlfn.XLOOKUP(E326,'All Products'!D:D,'All Products'!Q:Q,FALSE)</f>
        <v>0.31</v>
      </c>
    </row>
    <row r="327" spans="1:23" ht="15" customHeight="1">
      <c r="A327" s="104" t="str">
        <f>IF(K327&gt;0,COUNT($A$7:A326)+COUNT('DWV PVC'!$A$8:$A$284)+COUNT('DWV ABS'!$A$8:$A$116)+1,"")</f>
        <v/>
      </c>
      <c r="B327" s="112"/>
      <c r="C327" s="79"/>
      <c r="D327" s="512" t="str">
        <f>_xlfn.XLOOKUP(E327,'All Products'!D:D,'All Products'!C:C,FALSE)</f>
        <v>450-007</v>
      </c>
      <c r="E327" s="53">
        <v>100023090</v>
      </c>
      <c r="F327" s="522" t="str">
        <f>_xlfn.XLOOKUP(E327,'All Products'!D:D,'All Products'!E:E,FALSE)</f>
        <v>3/4 PLUG MIPT</v>
      </c>
      <c r="G327" s="282">
        <f>_xlfn.XLOOKUP(E327,'All Products'!D:D,'All Products'!F:F,FALSE)</f>
        <v>500</v>
      </c>
      <c r="H327" s="533">
        <f>_xlfn.XLOOKUP(E327,'All Products'!D:D,'All Products'!G:G,FALSE)</f>
        <v>45000</v>
      </c>
      <c r="I327" s="540">
        <f>_xlfn.XLOOKUP(E327,'All Products'!D:D,'All Products'!H:H,FALSE)</f>
        <v>4.62</v>
      </c>
      <c r="J327" s="216">
        <f>ROUND(I327*Order_Quote!$L$4,2)</f>
        <v>23.1</v>
      </c>
      <c r="K327" s="76"/>
      <c r="L327" s="79"/>
      <c r="M327" s="117">
        <f t="shared" si="11"/>
        <v>0</v>
      </c>
      <c r="O327" s="530" t="str">
        <f>_xlfn.XLOOKUP(E327,'All Products'!D:D,'All Products'!I:I,FALSE)</f>
        <v>In Stock</v>
      </c>
      <c r="P327" s="530" t="str">
        <f>_xlfn.XLOOKUP(E327,'All Products'!D:D,'All Products'!J:J,FALSE)</f>
        <v>Manufactured</v>
      </c>
      <c r="Q327" s="543" t="str">
        <f>_xlfn.XLOOKUP(E327,'All Products'!D:D,'All Products'!K:K,FALSE)</f>
        <v>049081143169</v>
      </c>
      <c r="R327" s="543" t="str">
        <f>_xlfn.XLOOKUP(E327,'All Products'!D:D,'All Products'!L:L,FALSE)</f>
        <v>049081643164</v>
      </c>
      <c r="S327" s="543" t="str">
        <f>_xlfn.XLOOKUP(E327,'All Products'!D:D,'All Products'!M:M,FALSE)</f>
        <v>40049081143167</v>
      </c>
      <c r="T327" s="530">
        <f>_xlfn.XLOOKUP(E327,'All Products'!D:D,'All Products'!N:N,FALSE)</f>
        <v>2.7E-2</v>
      </c>
      <c r="U327" s="543">
        <f>_xlfn.XLOOKUP(E327,'All Products'!D:D,'All Products'!O:O,FALSE)</f>
        <v>10</v>
      </c>
      <c r="V327" s="530">
        <f>_xlfn.XLOOKUP(E327,'All Products'!D:D,'All Products'!P:P,FALSE)</f>
        <v>15.34</v>
      </c>
      <c r="W327" s="530">
        <f>_xlfn.XLOOKUP(E327,'All Products'!D:D,'All Products'!Q:Q,FALSE)</f>
        <v>0.8</v>
      </c>
    </row>
    <row r="328" spans="1:23" ht="15" customHeight="1">
      <c r="A328" s="104" t="str">
        <f>IF(K328&gt;0,COUNT($A$7:A327)+COUNT('DWV PVC'!$A$8:$A$284)+COUNT('DWV ABS'!$A$8:$A$116)+1,"")</f>
        <v/>
      </c>
      <c r="B328" s="112"/>
      <c r="C328" s="79"/>
      <c r="D328" s="512" t="str">
        <f>_xlfn.XLOOKUP(E328,'All Products'!D:D,'All Products'!C:C,FALSE)</f>
        <v>450-010</v>
      </c>
      <c r="E328" s="53">
        <v>100023092</v>
      </c>
      <c r="F328" s="522" t="str">
        <f>_xlfn.XLOOKUP(E328,'All Products'!D:D,'All Products'!E:E,FALSE)</f>
        <v>1 PLUG MIPT</v>
      </c>
      <c r="G328" s="282">
        <f>_xlfn.XLOOKUP(E328,'All Products'!D:D,'All Products'!F:F,FALSE)</f>
        <v>250</v>
      </c>
      <c r="H328" s="533">
        <f>_xlfn.XLOOKUP(E328,'All Products'!D:D,'All Products'!G:G,FALSE)</f>
        <v>30000</v>
      </c>
      <c r="I328" s="540">
        <f>_xlfn.XLOOKUP(E328,'All Products'!D:D,'All Products'!H:H,FALSE)</f>
        <v>7.54</v>
      </c>
      <c r="J328" s="216">
        <f>ROUND(I328*Order_Quote!$L$4,2)</f>
        <v>37.700000000000003</v>
      </c>
      <c r="K328" s="76"/>
      <c r="L328" s="79"/>
      <c r="M328" s="117">
        <f t="shared" si="11"/>
        <v>0</v>
      </c>
      <c r="O328" s="530" t="str">
        <f>_xlfn.XLOOKUP(E328,'All Products'!D:D,'All Products'!I:I,FALSE)</f>
        <v>In Stock</v>
      </c>
      <c r="P328" s="530" t="str">
        <f>_xlfn.XLOOKUP(E328,'All Products'!D:D,'All Products'!J:J,FALSE)</f>
        <v>Manufactured</v>
      </c>
      <c r="Q328" s="543" t="str">
        <f>_xlfn.XLOOKUP(E328,'All Products'!D:D,'All Products'!K:K,FALSE)</f>
        <v>049081143183</v>
      </c>
      <c r="R328" s="543" t="str">
        <f>_xlfn.XLOOKUP(E328,'All Products'!D:D,'All Products'!L:L,FALSE)</f>
        <v>049081643188</v>
      </c>
      <c r="S328" s="543" t="str">
        <f>_xlfn.XLOOKUP(E328,'All Products'!D:D,'All Products'!M:M,FALSE)</f>
        <v>40049081143181</v>
      </c>
      <c r="T328" s="530">
        <f>_xlfn.XLOOKUP(E328,'All Products'!D:D,'All Products'!N:N,FALSE)</f>
        <v>0.05</v>
      </c>
      <c r="U328" s="543">
        <f>_xlfn.XLOOKUP(E328,'All Products'!D:D,'All Products'!O:O,FALSE)</f>
        <v>10</v>
      </c>
      <c r="V328" s="530">
        <f>_xlfn.XLOOKUP(E328,'All Products'!D:D,'All Products'!P:P,FALSE)</f>
        <v>13.25</v>
      </c>
      <c r="W328" s="530">
        <f>_xlfn.XLOOKUP(E328,'All Products'!D:D,'All Products'!Q:Q,FALSE)</f>
        <v>0.65</v>
      </c>
    </row>
    <row r="329" spans="1:23" ht="15" customHeight="1">
      <c r="A329" s="104" t="str">
        <f>IF(K329&gt;0,COUNT($A$7:A328)+COUNT('DWV PVC'!$A$8:$A$284)+COUNT('DWV ABS'!$A$8:$A$116)+1,"")</f>
        <v/>
      </c>
      <c r="B329" s="112"/>
      <c r="C329" s="79"/>
      <c r="D329" s="512" t="str">
        <f>_xlfn.XLOOKUP(E329,'All Products'!D:D,'All Products'!C:C,FALSE)</f>
        <v>450-012</v>
      </c>
      <c r="E329" s="53">
        <v>100023094</v>
      </c>
      <c r="F329" s="522" t="str">
        <f>_xlfn.XLOOKUP(E329,'All Products'!D:D,'All Products'!E:E,FALSE)</f>
        <v>1-1/4 PLUG MIPT</v>
      </c>
      <c r="G329" s="282">
        <f>_xlfn.XLOOKUP(E329,'All Products'!D:D,'All Products'!F:F,FALSE)</f>
        <v>125</v>
      </c>
      <c r="H329" s="533">
        <f>_xlfn.XLOOKUP(E329,'All Products'!D:D,'All Products'!G:G,FALSE)</f>
        <v>18750</v>
      </c>
      <c r="I329" s="540">
        <f>_xlfn.XLOOKUP(E329,'All Products'!D:D,'All Products'!H:H,FALSE)</f>
        <v>7.94</v>
      </c>
      <c r="J329" s="216">
        <f>ROUND(I329*Order_Quote!$L$4,2)</f>
        <v>39.700000000000003</v>
      </c>
      <c r="K329" s="76"/>
      <c r="L329" s="79"/>
      <c r="M329" s="117">
        <f t="shared" si="11"/>
        <v>0</v>
      </c>
      <c r="O329" s="530" t="str">
        <f>_xlfn.XLOOKUP(E329,'All Products'!D:D,'All Products'!I:I,FALSE)</f>
        <v>In Stock</v>
      </c>
      <c r="P329" s="530" t="str">
        <f>_xlfn.XLOOKUP(E329,'All Products'!D:D,'All Products'!J:J,FALSE)</f>
        <v>Manufactured</v>
      </c>
      <c r="Q329" s="543" t="str">
        <f>_xlfn.XLOOKUP(E329,'All Products'!D:D,'All Products'!K:K,FALSE)</f>
        <v>049081143206</v>
      </c>
      <c r="R329" s="543" t="str">
        <f>_xlfn.XLOOKUP(E329,'All Products'!D:D,'All Products'!L:L,FALSE)</f>
        <v>049081643201</v>
      </c>
      <c r="S329" s="543" t="str">
        <f>_xlfn.XLOOKUP(E329,'All Products'!D:D,'All Products'!M:M,FALSE)</f>
        <v>40049081143204</v>
      </c>
      <c r="T329" s="530">
        <f>_xlfn.XLOOKUP(E329,'All Products'!D:D,'All Products'!N:N,FALSE)</f>
        <v>7.4999999999999997E-2</v>
      </c>
      <c r="U329" s="543">
        <f>_xlfn.XLOOKUP(E329,'All Products'!D:D,'All Products'!O:O,FALSE)</f>
        <v>5</v>
      </c>
      <c r="V329" s="530">
        <f>_xlfn.XLOOKUP(E329,'All Products'!D:D,'All Products'!P:P,FALSE)</f>
        <v>10.5</v>
      </c>
      <c r="W329" s="530">
        <f>_xlfn.XLOOKUP(E329,'All Products'!D:D,'All Products'!Q:Q,FALSE)</f>
        <v>0.5</v>
      </c>
    </row>
    <row r="330" spans="1:23" ht="15" customHeight="1">
      <c r="A330" s="104" t="str">
        <f>IF(K330&gt;0,COUNT($A$7:A329)+COUNT('DWV PVC'!$A$8:$A$284)+COUNT('DWV ABS'!$A$8:$A$116)+1,"")</f>
        <v/>
      </c>
      <c r="B330" s="112"/>
      <c r="C330" s="79"/>
      <c r="D330" s="512" t="str">
        <f>_xlfn.XLOOKUP(E330,'All Products'!D:D,'All Products'!C:C,FALSE)</f>
        <v>450-015</v>
      </c>
      <c r="E330" s="53">
        <v>100027431</v>
      </c>
      <c r="F330" s="522" t="str">
        <f>_xlfn.XLOOKUP(E330,'All Products'!D:D,'All Products'!E:E,FALSE)</f>
        <v>1-1/2 PLUG MIPT</v>
      </c>
      <c r="G330" s="282">
        <f>_xlfn.XLOOKUP(E330,'All Products'!D:D,'All Products'!F:F,FALSE)</f>
        <v>125</v>
      </c>
      <c r="H330" s="533">
        <f>_xlfn.XLOOKUP(E330,'All Products'!D:D,'All Products'!G:G,FALSE)</f>
        <v>11250</v>
      </c>
      <c r="I330" s="540">
        <f>_xlfn.XLOOKUP(E330,'All Products'!D:D,'All Products'!H:H,FALSE)</f>
        <v>8.5</v>
      </c>
      <c r="J330" s="216">
        <f>ROUND(I330*Order_Quote!$L$4,2)</f>
        <v>42.5</v>
      </c>
      <c r="K330" s="76"/>
      <c r="L330" s="79"/>
      <c r="M330" s="117">
        <f t="shared" si="11"/>
        <v>0</v>
      </c>
      <c r="O330" s="530" t="str">
        <f>_xlfn.XLOOKUP(E330,'All Products'!D:D,'All Products'!I:I,FALSE)</f>
        <v>In Stock</v>
      </c>
      <c r="P330" s="530" t="str">
        <f>_xlfn.XLOOKUP(E330,'All Products'!D:D,'All Products'!J:J,FALSE)</f>
        <v>Manufactured</v>
      </c>
      <c r="Q330" s="543">
        <f>_xlfn.XLOOKUP(E330,'All Products'!D:D,'All Products'!K:K,FALSE)</f>
        <v>0</v>
      </c>
      <c r="R330" s="543" t="str">
        <f>_xlfn.XLOOKUP(E330,'All Products'!D:D,'All Products'!L:L,FALSE)</f>
        <v>049081643225</v>
      </c>
      <c r="S330" s="543" t="str">
        <f>_xlfn.XLOOKUP(E330,'All Products'!D:D,'All Products'!M:M,FALSE)</f>
        <v>40049081143228</v>
      </c>
      <c r="T330" s="530">
        <f>_xlfn.XLOOKUP(E330,'All Products'!D:D,'All Products'!N:N,FALSE)</f>
        <v>0.126</v>
      </c>
      <c r="U330" s="543">
        <f>_xlfn.XLOOKUP(E330,'All Products'!D:D,'All Products'!O:O,FALSE)</f>
        <v>5</v>
      </c>
      <c r="V330" s="530">
        <f>_xlfn.XLOOKUP(E330,'All Products'!D:D,'All Products'!P:P,FALSE)</f>
        <v>17.149999999999999</v>
      </c>
      <c r="W330" s="530">
        <f>_xlfn.XLOOKUP(E330,'All Products'!D:D,'All Products'!Q:Q,FALSE)</f>
        <v>0.8</v>
      </c>
    </row>
    <row r="331" spans="1:23" ht="15" customHeight="1">
      <c r="A331" s="104" t="str">
        <f>IF(K331&gt;0,COUNT($A$7:A330)+COUNT('DWV PVC'!$A$8:$A$284)+COUNT('DWV ABS'!$A$8:$A$116)+1,"")</f>
        <v/>
      </c>
      <c r="B331" s="112"/>
      <c r="C331" s="79"/>
      <c r="D331" s="512" t="str">
        <f>_xlfn.XLOOKUP(E331,'All Products'!D:D,'All Products'!C:C,FALSE)</f>
        <v>450-020</v>
      </c>
      <c r="E331" s="53">
        <v>100023096</v>
      </c>
      <c r="F331" s="522" t="str">
        <f>_xlfn.XLOOKUP(E331,'All Products'!D:D,'All Products'!E:E,FALSE)</f>
        <v>2 PLUG MIPT</v>
      </c>
      <c r="G331" s="282">
        <f>_xlfn.XLOOKUP(E331,'All Products'!D:D,'All Products'!F:F,FALSE)</f>
        <v>50</v>
      </c>
      <c r="H331" s="533">
        <f>_xlfn.XLOOKUP(E331,'All Products'!D:D,'All Products'!G:G,FALSE)</f>
        <v>7500</v>
      </c>
      <c r="I331" s="540">
        <f>_xlfn.XLOOKUP(E331,'All Products'!D:D,'All Products'!H:H,FALSE)</f>
        <v>10.98</v>
      </c>
      <c r="J331" s="216">
        <f>ROUND(I331*Order_Quote!$L$4,2)</f>
        <v>54.9</v>
      </c>
      <c r="K331" s="76"/>
      <c r="L331" s="79"/>
      <c r="M331" s="117">
        <f t="shared" si="11"/>
        <v>0</v>
      </c>
      <c r="O331" s="530" t="str">
        <f>_xlfn.XLOOKUP(E331,'All Products'!D:D,'All Products'!I:I,FALSE)</f>
        <v>In Stock</v>
      </c>
      <c r="P331" s="530" t="str">
        <f>_xlfn.XLOOKUP(E331,'All Products'!D:D,'All Products'!J:J,FALSE)</f>
        <v>Manufactured</v>
      </c>
      <c r="Q331" s="543" t="str">
        <f>_xlfn.XLOOKUP(E331,'All Products'!D:D,'All Products'!K:K,FALSE)</f>
        <v>049081143244</v>
      </c>
      <c r="R331" s="543" t="str">
        <f>_xlfn.XLOOKUP(E331,'All Products'!D:D,'All Products'!L:L,FALSE)</f>
        <v>049081643249</v>
      </c>
      <c r="S331" s="543" t="str">
        <f>_xlfn.XLOOKUP(E331,'All Products'!D:D,'All Products'!M:M,FALSE)</f>
        <v>40049081143242</v>
      </c>
      <c r="T331" s="530">
        <f>_xlfn.XLOOKUP(E331,'All Products'!D:D,'All Products'!N:N,FALSE)</f>
        <v>0.152</v>
      </c>
      <c r="U331" s="543">
        <f>_xlfn.XLOOKUP(E331,'All Products'!D:D,'All Products'!O:O,FALSE)</f>
        <v>5</v>
      </c>
      <c r="V331" s="530">
        <f>_xlfn.XLOOKUP(E331,'All Products'!D:D,'All Products'!P:P,FALSE)</f>
        <v>8.58</v>
      </c>
      <c r="W331" s="530">
        <f>_xlfn.XLOOKUP(E331,'All Products'!D:D,'All Products'!Q:Q,FALSE)</f>
        <v>0.5</v>
      </c>
    </row>
    <row r="332" spans="1:23" ht="15" customHeight="1">
      <c r="A332" s="104" t="str">
        <f>IF(K332&gt;0,COUNT($A$7:A331)+COUNT('DWV PVC'!$A$8:$A$284)+COUNT('DWV ABS'!$A$8:$A$116)+1,"")</f>
        <v/>
      </c>
      <c r="B332" s="112"/>
      <c r="C332" s="79"/>
      <c r="D332" s="512" t="str">
        <f>_xlfn.XLOOKUP(E332,'All Products'!D:D,'All Products'!C:C,FALSE)</f>
        <v>450-030</v>
      </c>
      <c r="E332" s="53">
        <v>100023100</v>
      </c>
      <c r="F332" s="522" t="str">
        <f>_xlfn.XLOOKUP(E332,'All Products'!D:D,'All Products'!E:E,FALSE)</f>
        <v>3 PLUG MIPT</v>
      </c>
      <c r="G332" s="282">
        <f>_xlfn.XLOOKUP(E332,'All Products'!D:D,'All Products'!F:F,FALSE)</f>
        <v>25</v>
      </c>
      <c r="H332" s="533">
        <f>_xlfn.XLOOKUP(E332,'All Products'!D:D,'All Products'!G:G,FALSE)</f>
        <v>3000</v>
      </c>
      <c r="I332" s="540">
        <f>_xlfn.XLOOKUP(E332,'All Products'!D:D,'All Products'!H:H,FALSE)</f>
        <v>23.1</v>
      </c>
      <c r="J332" s="216">
        <f>ROUND(I332*Order_Quote!$L$4,2)</f>
        <v>115.5</v>
      </c>
      <c r="K332" s="76"/>
      <c r="L332" s="79"/>
      <c r="M332" s="117">
        <f t="shared" si="11"/>
        <v>0</v>
      </c>
      <c r="O332" s="530" t="str">
        <f>_xlfn.XLOOKUP(E332,'All Products'!D:D,'All Products'!I:I,FALSE)</f>
        <v>In Stock</v>
      </c>
      <c r="P332" s="530" t="str">
        <f>_xlfn.XLOOKUP(E332,'All Products'!D:D,'All Products'!J:J,FALSE)</f>
        <v>Manufactured</v>
      </c>
      <c r="Q332" s="543" t="str">
        <f>_xlfn.XLOOKUP(E332,'All Products'!D:D,'All Products'!K:K,FALSE)</f>
        <v>049081143282</v>
      </c>
      <c r="R332" s="543" t="str">
        <f>_xlfn.XLOOKUP(E332,'All Products'!D:D,'All Products'!L:L,FALSE)</f>
        <v>049081643287</v>
      </c>
      <c r="S332" s="543" t="str">
        <f>_xlfn.XLOOKUP(E332,'All Products'!D:D,'All Products'!M:M,FALSE)</f>
        <v>40049081143280</v>
      </c>
      <c r="T332" s="530">
        <f>_xlfn.XLOOKUP(E332,'All Products'!D:D,'All Products'!N:N,FALSE)</f>
        <v>0.432</v>
      </c>
      <c r="U332" s="543">
        <f>_xlfn.XLOOKUP(E332,'All Products'!D:D,'All Products'!O:O,FALSE)</f>
        <v>5</v>
      </c>
      <c r="V332" s="530">
        <f>_xlfn.XLOOKUP(E332,'All Products'!D:D,'All Products'!P:P,FALSE)</f>
        <v>11.58</v>
      </c>
      <c r="W332" s="530">
        <f>_xlfn.XLOOKUP(E332,'All Products'!D:D,'All Products'!Q:Q,FALSE)</f>
        <v>0.65</v>
      </c>
    </row>
    <row r="333" spans="1:23" ht="15" customHeight="1">
      <c r="A333" s="104" t="str">
        <f>IF(K333&gt;0,COUNT($A$7:A332)+COUNT('DWV PVC'!$A$8:$A$284)+COUNT('DWV ABS'!$A$8:$A$116)+1,"")</f>
        <v/>
      </c>
      <c r="B333" s="110"/>
      <c r="C333" s="111"/>
      <c r="D333" s="512" t="str">
        <f>_xlfn.XLOOKUP(E333,'All Products'!D:D,'All Products'!C:C,FALSE)</f>
        <v>457-005</v>
      </c>
      <c r="E333" s="53">
        <v>100023104</v>
      </c>
      <c r="F333" s="522" t="str">
        <f>_xlfn.XLOOKUP(E333,'All Products'!D:D,'All Products'!E:E,FALSE)</f>
        <v>1/2 UNION SLIP X SLIP</v>
      </c>
      <c r="G333" s="282">
        <f>_xlfn.XLOOKUP(E333,'All Products'!D:D,'All Products'!F:F,FALSE)</f>
        <v>50</v>
      </c>
      <c r="H333" s="533">
        <f>_xlfn.XLOOKUP(E333,'All Products'!D:D,'All Products'!G:G,FALSE)</f>
        <v>13500</v>
      </c>
      <c r="I333" s="540">
        <f>_xlfn.XLOOKUP(E333,'All Products'!D:D,'All Products'!H:H,FALSE)</f>
        <v>19.54</v>
      </c>
      <c r="J333" s="216">
        <f>ROUND(I333*Order_Quote!$L$4,2)</f>
        <v>97.7</v>
      </c>
      <c r="K333" s="76"/>
      <c r="L333" s="79"/>
      <c r="M333" s="117">
        <f t="shared" si="11"/>
        <v>0</v>
      </c>
      <c r="O333" s="530" t="str">
        <f>_xlfn.XLOOKUP(E333,'All Products'!D:D,'All Products'!I:I,FALSE)</f>
        <v>In Stock</v>
      </c>
      <c r="P333" s="530" t="str">
        <f>_xlfn.XLOOKUP(E333,'All Products'!D:D,'All Products'!J:J,FALSE)</f>
        <v>Manufactured</v>
      </c>
      <c r="Q333" s="543" t="str">
        <f>_xlfn.XLOOKUP(E333,'All Products'!D:D,'All Products'!K:K,FALSE)</f>
        <v>049081149642</v>
      </c>
      <c r="R333" s="543" t="str">
        <f>_xlfn.XLOOKUP(E333,'All Products'!D:D,'All Products'!L:L,FALSE)</f>
        <v>-</v>
      </c>
      <c r="S333" s="543" t="str">
        <f>_xlfn.XLOOKUP(E333,'All Products'!D:D,'All Products'!M:M,FALSE)</f>
        <v>40049081149640</v>
      </c>
      <c r="T333" s="530">
        <f>_xlfn.XLOOKUP(E333,'All Products'!D:D,'All Products'!N:N,FALSE)</f>
        <v>0.14599999999999999</v>
      </c>
      <c r="U333" s="543" t="str">
        <f>_xlfn.XLOOKUP(E333,'All Products'!D:D,'All Products'!O:O,FALSE)</f>
        <v>-</v>
      </c>
      <c r="V333" s="530">
        <f>_xlfn.XLOOKUP(E333,'All Products'!D:D,'All Products'!P:P,FALSE)</f>
        <v>3.76</v>
      </c>
      <c r="W333" s="530">
        <f>_xlfn.XLOOKUP(E333,'All Products'!D:D,'All Products'!Q:Q,FALSE)</f>
        <v>0.31</v>
      </c>
    </row>
    <row r="334" spans="1:23" ht="15" customHeight="1">
      <c r="A334" s="104" t="str">
        <f>IF(K334&gt;0,COUNT($A$7:A333)+COUNT('DWV PVC'!$A$8:$A$284)+COUNT('DWV ABS'!$A$8:$A$116)+1,"")</f>
        <v/>
      </c>
      <c r="B334" s="112"/>
      <c r="C334" s="79"/>
      <c r="D334" s="512" t="str">
        <f>_xlfn.XLOOKUP(E334,'All Products'!D:D,'All Products'!C:C,FALSE)</f>
        <v>457-007</v>
      </c>
      <c r="E334" s="53">
        <v>100023106</v>
      </c>
      <c r="F334" s="522" t="str">
        <f>_xlfn.XLOOKUP(E334,'All Products'!D:D,'All Products'!E:E,FALSE)</f>
        <v>3/4 UNION SLIP X SLIP</v>
      </c>
      <c r="G334" s="282">
        <f>_xlfn.XLOOKUP(E334,'All Products'!D:D,'All Products'!F:F,FALSE)</f>
        <v>50</v>
      </c>
      <c r="H334" s="533">
        <f>_xlfn.XLOOKUP(E334,'All Products'!D:D,'All Products'!G:G,FALSE)</f>
        <v>7500</v>
      </c>
      <c r="I334" s="540">
        <f>_xlfn.XLOOKUP(E334,'All Products'!D:D,'All Products'!H:H,FALSE)</f>
        <v>22.18</v>
      </c>
      <c r="J334" s="216">
        <f>ROUND(I334*Order_Quote!$L$4,2)</f>
        <v>110.9</v>
      </c>
      <c r="K334" s="76"/>
      <c r="L334" s="79"/>
      <c r="M334" s="117">
        <f t="shared" si="11"/>
        <v>0</v>
      </c>
      <c r="O334" s="530" t="str">
        <f>_xlfn.XLOOKUP(E334,'All Products'!D:D,'All Products'!I:I,FALSE)</f>
        <v>In Stock</v>
      </c>
      <c r="P334" s="530" t="str">
        <f>_xlfn.XLOOKUP(E334,'All Products'!D:D,'All Products'!J:J,FALSE)</f>
        <v>Manufactured</v>
      </c>
      <c r="Q334" s="543" t="str">
        <f>_xlfn.XLOOKUP(E334,'All Products'!D:D,'All Products'!K:K,FALSE)</f>
        <v>049081149666</v>
      </c>
      <c r="R334" s="543" t="str">
        <f>_xlfn.XLOOKUP(E334,'All Products'!D:D,'All Products'!L:L,FALSE)</f>
        <v>-</v>
      </c>
      <c r="S334" s="543" t="str">
        <f>_xlfn.XLOOKUP(E334,'All Products'!D:D,'All Products'!M:M,FALSE)</f>
        <v>40049081149664</v>
      </c>
      <c r="T334" s="530">
        <f>_xlfn.XLOOKUP(E334,'All Products'!D:D,'All Products'!N:N,FALSE)</f>
        <v>0.27700000000000002</v>
      </c>
      <c r="U334" s="543" t="str">
        <f>_xlfn.XLOOKUP(E334,'All Products'!D:D,'All Products'!O:O,FALSE)</f>
        <v>-</v>
      </c>
      <c r="V334" s="530">
        <f>_xlfn.XLOOKUP(E334,'All Products'!D:D,'All Products'!P:P,FALSE)</f>
        <v>4.97</v>
      </c>
      <c r="W334" s="530">
        <f>_xlfn.XLOOKUP(E334,'All Products'!D:D,'All Products'!Q:Q,FALSE)</f>
        <v>0.5</v>
      </c>
    </row>
    <row r="335" spans="1:23" ht="15" customHeight="1">
      <c r="A335" s="104" t="str">
        <f>IF(K335&gt;0,COUNT($A$7:A334)+COUNT('DWV PVC'!$A$8:$A$284)+COUNT('DWV ABS'!$A$8:$A$116)+1,"")</f>
        <v/>
      </c>
      <c r="B335" s="112"/>
      <c r="C335" s="79"/>
      <c r="D335" s="512" t="str">
        <f>_xlfn.XLOOKUP(E335,'All Products'!D:D,'All Products'!C:C,FALSE)</f>
        <v>457-010</v>
      </c>
      <c r="E335" s="53">
        <v>100023108</v>
      </c>
      <c r="F335" s="522" t="str">
        <f>_xlfn.XLOOKUP(E335,'All Products'!D:D,'All Products'!E:E,FALSE)</f>
        <v>1 UNION SLIP X SLIP</v>
      </c>
      <c r="G335" s="282">
        <f>_xlfn.XLOOKUP(E335,'All Products'!D:D,'All Products'!F:F,FALSE)</f>
        <v>18</v>
      </c>
      <c r="H335" s="533">
        <f>_xlfn.XLOOKUP(E335,'All Products'!D:D,'All Products'!G:G,FALSE)</f>
        <v>2700</v>
      </c>
      <c r="I335" s="540">
        <f>_xlfn.XLOOKUP(E335,'All Products'!D:D,'All Products'!H:H,FALSE)</f>
        <v>22.83</v>
      </c>
      <c r="J335" s="216">
        <f>ROUND(I335*Order_Quote!$L$4,2)</f>
        <v>114.15</v>
      </c>
      <c r="K335" s="76"/>
      <c r="L335" s="79"/>
      <c r="M335" s="117">
        <f t="shared" si="11"/>
        <v>0</v>
      </c>
      <c r="O335" s="530" t="str">
        <f>_xlfn.XLOOKUP(E335,'All Products'!D:D,'All Products'!I:I,FALSE)</f>
        <v>In Stock</v>
      </c>
      <c r="P335" s="530" t="str">
        <f>_xlfn.XLOOKUP(E335,'All Products'!D:D,'All Products'!J:J,FALSE)</f>
        <v>Manufactured</v>
      </c>
      <c r="Q335" s="543" t="str">
        <f>_xlfn.XLOOKUP(E335,'All Products'!D:D,'All Products'!K:K,FALSE)</f>
        <v>049081149680</v>
      </c>
      <c r="R335" s="543" t="str">
        <f>_xlfn.XLOOKUP(E335,'All Products'!D:D,'All Products'!L:L,FALSE)</f>
        <v>-</v>
      </c>
      <c r="S335" s="543" t="str">
        <f>_xlfn.XLOOKUP(E335,'All Products'!D:D,'All Products'!M:M,FALSE)</f>
        <v>40049081149688</v>
      </c>
      <c r="T335" s="530">
        <f>_xlfn.XLOOKUP(E335,'All Products'!D:D,'All Products'!N:N,FALSE)</f>
        <v>0.29699999999999999</v>
      </c>
      <c r="U335" s="543" t="str">
        <f>_xlfn.XLOOKUP(E335,'All Products'!D:D,'All Products'!O:O,FALSE)</f>
        <v>-</v>
      </c>
      <c r="V335" s="530">
        <f>_xlfn.XLOOKUP(E335,'All Products'!D:D,'All Products'!P:P,FALSE)</f>
        <v>3.5</v>
      </c>
      <c r="W335" s="530">
        <f>_xlfn.XLOOKUP(E335,'All Products'!D:D,'All Products'!Q:Q,FALSE)</f>
        <v>0.5</v>
      </c>
    </row>
    <row r="336" spans="1:23" ht="15" customHeight="1">
      <c r="A336" s="104" t="str">
        <f>IF(K336&gt;0,COUNT($A$7:A335)+COUNT('DWV PVC'!$A$8:$A$284)+COUNT('DWV ABS'!$A$8:$A$116)+1,"")</f>
        <v/>
      </c>
      <c r="B336" s="112"/>
      <c r="C336" s="79"/>
      <c r="D336" s="512" t="str">
        <f>_xlfn.XLOOKUP(E336,'All Products'!D:D,'All Products'!C:C,FALSE)</f>
        <v>457-012</v>
      </c>
      <c r="E336" s="53">
        <v>100023110</v>
      </c>
      <c r="F336" s="522" t="str">
        <f>_xlfn.XLOOKUP(E336,'All Products'!D:D,'All Products'!E:E,FALSE)</f>
        <v>1-1/4 UNION SLIP X SLIP</v>
      </c>
      <c r="G336" s="282">
        <f>_xlfn.XLOOKUP(E336,'All Products'!D:D,'All Products'!F:F,FALSE)</f>
        <v>10</v>
      </c>
      <c r="H336" s="533">
        <f>_xlfn.XLOOKUP(E336,'All Products'!D:D,'All Products'!G:G,FALSE)</f>
        <v>2700</v>
      </c>
      <c r="I336" s="540">
        <f>_xlfn.XLOOKUP(E336,'All Products'!D:D,'All Products'!H:H,FALSE)</f>
        <v>73.53</v>
      </c>
      <c r="J336" s="216">
        <f>ROUND(I336*Order_Quote!$L$4,2)</f>
        <v>367.65</v>
      </c>
      <c r="K336" s="76"/>
      <c r="L336" s="79"/>
      <c r="M336" s="117">
        <f t="shared" si="11"/>
        <v>0</v>
      </c>
      <c r="O336" s="530" t="str">
        <f>_xlfn.XLOOKUP(E336,'All Products'!D:D,'All Products'!I:I,FALSE)</f>
        <v>In Stock</v>
      </c>
      <c r="P336" s="530" t="str">
        <f>_xlfn.XLOOKUP(E336,'All Products'!D:D,'All Products'!J:J,FALSE)</f>
        <v>Manufactured</v>
      </c>
      <c r="Q336" s="543" t="str">
        <f>_xlfn.XLOOKUP(E336,'All Products'!D:D,'All Products'!K:K,FALSE)</f>
        <v>049081149703</v>
      </c>
      <c r="R336" s="543" t="str">
        <f>_xlfn.XLOOKUP(E336,'All Products'!D:D,'All Products'!L:L,FALSE)</f>
        <v>-</v>
      </c>
      <c r="S336" s="543" t="str">
        <f>_xlfn.XLOOKUP(E336,'All Products'!D:D,'All Products'!M:M,FALSE)</f>
        <v>40049081149701</v>
      </c>
      <c r="T336" s="530">
        <f>_xlfn.XLOOKUP(E336,'All Products'!D:D,'All Products'!N:N,FALSE)</f>
        <v>0.51700000000000002</v>
      </c>
      <c r="U336" s="543" t="str">
        <f>_xlfn.XLOOKUP(E336,'All Products'!D:D,'All Products'!O:O,FALSE)</f>
        <v>-</v>
      </c>
      <c r="V336" s="530">
        <f>_xlfn.XLOOKUP(E336,'All Products'!D:D,'All Products'!P:P,FALSE)</f>
        <v>2.87</v>
      </c>
      <c r="W336" s="530">
        <f>_xlfn.XLOOKUP(E336,'All Products'!D:D,'All Products'!Q:Q,FALSE)</f>
        <v>0.31</v>
      </c>
    </row>
    <row r="337" spans="1:23" ht="15" customHeight="1">
      <c r="A337" s="104" t="str">
        <f>IF(K337&gt;0,COUNT($A$7:A336)+COUNT('DWV PVC'!$A$8:$A$284)+COUNT('DWV ABS'!$A$8:$A$116)+1,"")</f>
        <v/>
      </c>
      <c r="B337" s="112"/>
      <c r="C337" s="79"/>
      <c r="D337" s="512" t="str">
        <f>_xlfn.XLOOKUP(E337,'All Products'!D:D,'All Products'!C:C,FALSE)</f>
        <v>457-015</v>
      </c>
      <c r="E337" s="53">
        <v>100023112</v>
      </c>
      <c r="F337" s="522" t="str">
        <f>_xlfn.XLOOKUP(E337,'All Products'!D:D,'All Products'!E:E,FALSE)</f>
        <v>1-1/2 UNION SLIP X SLIP</v>
      </c>
      <c r="G337" s="282">
        <f>_xlfn.XLOOKUP(E337,'All Products'!D:D,'All Products'!F:F,FALSE)</f>
        <v>10</v>
      </c>
      <c r="H337" s="533">
        <f>_xlfn.XLOOKUP(E337,'All Products'!D:D,'All Products'!G:G,FALSE)</f>
        <v>1500</v>
      </c>
      <c r="I337" s="540">
        <f>_xlfn.XLOOKUP(E337,'All Products'!D:D,'All Products'!H:H,FALSE)</f>
        <v>76.59</v>
      </c>
      <c r="J337" s="216">
        <f>ROUND(I337*Order_Quote!$L$4,2)</f>
        <v>382.95</v>
      </c>
      <c r="K337" s="76"/>
      <c r="L337" s="79"/>
      <c r="M337" s="117">
        <f t="shared" si="11"/>
        <v>0</v>
      </c>
      <c r="O337" s="530" t="str">
        <f>_xlfn.XLOOKUP(E337,'All Products'!D:D,'All Products'!I:I,FALSE)</f>
        <v>In Stock</v>
      </c>
      <c r="P337" s="530" t="str">
        <f>_xlfn.XLOOKUP(E337,'All Products'!D:D,'All Products'!J:J,FALSE)</f>
        <v>Manufactured</v>
      </c>
      <c r="Q337" s="543" t="str">
        <f>_xlfn.XLOOKUP(E337,'All Products'!D:D,'All Products'!K:K,FALSE)</f>
        <v>049081149727</v>
      </c>
      <c r="R337" s="543" t="str">
        <f>_xlfn.XLOOKUP(E337,'All Products'!D:D,'All Products'!L:L,FALSE)</f>
        <v>-</v>
      </c>
      <c r="S337" s="543" t="str">
        <f>_xlfn.XLOOKUP(E337,'All Products'!D:D,'All Products'!M:M,FALSE)</f>
        <v>40049081149725</v>
      </c>
      <c r="T337" s="530">
        <f>_xlfn.XLOOKUP(E337,'All Products'!D:D,'All Products'!N:N,FALSE)</f>
        <v>0.79400000000000004</v>
      </c>
      <c r="U337" s="543" t="str">
        <f>_xlfn.XLOOKUP(E337,'All Products'!D:D,'All Products'!O:O,FALSE)</f>
        <v>-</v>
      </c>
      <c r="V337" s="530">
        <f>_xlfn.XLOOKUP(E337,'All Products'!D:D,'All Products'!P:P,FALSE)</f>
        <v>4.03</v>
      </c>
      <c r="W337" s="530">
        <f>_xlfn.XLOOKUP(E337,'All Products'!D:D,'All Products'!Q:Q,FALSE)</f>
        <v>0.5</v>
      </c>
    </row>
    <row r="338" spans="1:23" ht="15" customHeight="1">
      <c r="A338" s="104" t="str">
        <f>IF(K338&gt;0,COUNT($A$7:A337)+COUNT('DWV PVC'!$A$8:$A$284)+COUNT('DWV ABS'!$A$8:$A$116)+1,"")</f>
        <v/>
      </c>
      <c r="B338" s="112"/>
      <c r="C338" s="79"/>
      <c r="D338" s="512" t="str">
        <f>_xlfn.XLOOKUP(E338,'All Products'!D:D,'All Products'!C:C,FALSE)</f>
        <v>457-020</v>
      </c>
      <c r="E338" s="53">
        <v>100023114</v>
      </c>
      <c r="F338" s="522" t="str">
        <f>_xlfn.XLOOKUP(E338,'All Products'!D:D,'All Products'!E:E,FALSE)</f>
        <v>2 UNION SLIP X SLIP</v>
      </c>
      <c r="G338" s="282">
        <f>_xlfn.XLOOKUP(E338,'All Products'!D:D,'All Products'!F:F,FALSE)</f>
        <v>16</v>
      </c>
      <c r="H338" s="533">
        <f>_xlfn.XLOOKUP(E338,'All Products'!D:D,'All Products'!G:G,FALSE)</f>
        <v>1200</v>
      </c>
      <c r="I338" s="540">
        <f>_xlfn.XLOOKUP(E338,'All Products'!D:D,'All Products'!H:H,FALSE)</f>
        <v>103.31</v>
      </c>
      <c r="J338" s="216">
        <f>ROUND(I338*Order_Quote!$L$4,2)</f>
        <v>516.54999999999995</v>
      </c>
      <c r="K338" s="76"/>
      <c r="L338" s="79"/>
      <c r="M338" s="117">
        <f t="shared" si="11"/>
        <v>0</v>
      </c>
      <c r="O338" s="530" t="str">
        <f>_xlfn.XLOOKUP(E338,'All Products'!D:D,'All Products'!I:I,FALSE)</f>
        <v>In Stock</v>
      </c>
      <c r="P338" s="530" t="str">
        <f>_xlfn.XLOOKUP(E338,'All Products'!D:D,'All Products'!J:J,FALSE)</f>
        <v>Manufactured</v>
      </c>
      <c r="Q338" s="543" t="str">
        <f>_xlfn.XLOOKUP(E338,'All Products'!D:D,'All Products'!K:K,FALSE)</f>
        <v>049081149741</v>
      </c>
      <c r="R338" s="543" t="str">
        <f>_xlfn.XLOOKUP(E338,'All Products'!D:D,'All Products'!L:L,FALSE)</f>
        <v>-</v>
      </c>
      <c r="S338" s="543" t="str">
        <f>_xlfn.XLOOKUP(E338,'All Products'!D:D,'All Products'!M:M,FALSE)</f>
        <v>40049081149749</v>
      </c>
      <c r="T338" s="530">
        <f>_xlfn.XLOOKUP(E338,'All Products'!D:D,'All Products'!N:N,FALSE)</f>
        <v>1.1679999999999999</v>
      </c>
      <c r="U338" s="543" t="str">
        <f>_xlfn.XLOOKUP(E338,'All Products'!D:D,'All Products'!O:O,FALSE)</f>
        <v>-</v>
      </c>
      <c r="V338" s="530">
        <f>_xlfn.XLOOKUP(E338,'All Products'!D:D,'All Products'!P:P,FALSE)</f>
        <v>9.25</v>
      </c>
      <c r="W338" s="530">
        <f>_xlfn.XLOOKUP(E338,'All Products'!D:D,'All Products'!Q:Q,FALSE)</f>
        <v>1.1000000000000001</v>
      </c>
    </row>
    <row r="339" spans="1:23" ht="15" customHeight="1">
      <c r="A339" s="104" t="str">
        <f>IF(K339&gt;0,COUNT($A$7:A338)+COUNT('DWV PVC'!$A$8:$A$284)+COUNT('DWV ABS'!$A$8:$A$116)+1,"")</f>
        <v/>
      </c>
      <c r="B339" s="112"/>
      <c r="C339" s="79"/>
      <c r="D339" s="512" t="str">
        <f>_xlfn.XLOOKUP(E339,'All Products'!D:D,'All Products'!C:C,FALSE)</f>
        <v>457-025</v>
      </c>
      <c r="E339" s="53">
        <v>100023115</v>
      </c>
      <c r="F339" s="522" t="str">
        <f>_xlfn.XLOOKUP(E339,'All Products'!D:D,'All Products'!E:E,FALSE)</f>
        <v>2-1/2 UNION SLIP X SLIP</v>
      </c>
      <c r="G339" s="282">
        <f>_xlfn.XLOOKUP(E339,'All Products'!D:D,'All Products'!F:F,FALSE)</f>
        <v>3</v>
      </c>
      <c r="H339" s="533">
        <f>_xlfn.XLOOKUP(E339,'All Products'!D:D,'All Products'!G:G,FALSE)</f>
        <v>450</v>
      </c>
      <c r="I339" s="540">
        <f>_xlfn.XLOOKUP(E339,'All Products'!D:D,'All Products'!H:H,FALSE)</f>
        <v>144.6</v>
      </c>
      <c r="J339" s="216">
        <f>ROUND(I339*Order_Quote!$L$4,2)</f>
        <v>723</v>
      </c>
      <c r="K339" s="76"/>
      <c r="L339" s="79"/>
      <c r="M339" s="117">
        <f t="shared" si="11"/>
        <v>0</v>
      </c>
      <c r="O339" s="530" t="str">
        <f>_xlfn.XLOOKUP(E339,'All Products'!D:D,'All Products'!I:I,FALSE)</f>
        <v>In Stock</v>
      </c>
      <c r="P339" s="530" t="str">
        <f>_xlfn.XLOOKUP(E339,'All Products'!D:D,'All Products'!J:J,FALSE)</f>
        <v>Manufactured</v>
      </c>
      <c r="Q339" s="543" t="str">
        <f>_xlfn.XLOOKUP(E339,'All Products'!D:D,'All Products'!K:K,FALSE)</f>
        <v>049081149758</v>
      </c>
      <c r="R339" s="543" t="str">
        <f>_xlfn.XLOOKUP(E339,'All Products'!D:D,'All Products'!L:L,FALSE)</f>
        <v>-</v>
      </c>
      <c r="S339" s="543" t="str">
        <f>_xlfn.XLOOKUP(E339,'All Products'!D:D,'All Products'!M:M,FALSE)</f>
        <v>40049081149756</v>
      </c>
      <c r="T339" s="530">
        <f>_xlfn.XLOOKUP(E339,'All Products'!D:D,'All Products'!N:N,FALSE)</f>
        <v>2.0670000000000002</v>
      </c>
      <c r="U339" s="543" t="str">
        <f>_xlfn.XLOOKUP(E339,'All Products'!D:D,'All Products'!O:O,FALSE)</f>
        <v>-</v>
      </c>
      <c r="V339" s="530">
        <f>_xlfn.XLOOKUP(E339,'All Products'!D:D,'All Products'!P:P,FALSE)</f>
        <v>5.72</v>
      </c>
      <c r="W339" s="530">
        <f>_xlfn.XLOOKUP(E339,'All Products'!D:D,'All Products'!Q:Q,FALSE)</f>
        <v>0.5</v>
      </c>
    </row>
    <row r="340" spans="1:23" ht="15" customHeight="1">
      <c r="A340" s="104" t="str">
        <f>IF(K340&gt;0,COUNT($A$7:A339)+COUNT('DWV PVC'!$A$8:$A$284)+COUNT('DWV ABS'!$A$8:$A$116)+1,"")</f>
        <v/>
      </c>
      <c r="B340" s="112"/>
      <c r="C340" s="79"/>
      <c r="D340" s="512" t="str">
        <f>_xlfn.XLOOKUP(E340,'All Products'!D:D,'All Products'!C:C,FALSE)</f>
        <v>457-030</v>
      </c>
      <c r="E340" s="53">
        <v>100023117</v>
      </c>
      <c r="F340" s="522" t="str">
        <f>_xlfn.XLOOKUP(E340,'All Products'!D:D,'All Products'!E:E,FALSE)</f>
        <v>3 UNION SLIP X SLIP</v>
      </c>
      <c r="G340" s="282">
        <f>_xlfn.XLOOKUP(E340,'All Products'!D:D,'All Products'!F:F,FALSE)</f>
        <v>3</v>
      </c>
      <c r="H340" s="533">
        <f>_xlfn.XLOOKUP(E340,'All Products'!D:D,'All Products'!G:G,FALSE)</f>
        <v>450</v>
      </c>
      <c r="I340" s="540">
        <f>_xlfn.XLOOKUP(E340,'All Products'!D:D,'All Products'!H:H,FALSE)</f>
        <v>230.99</v>
      </c>
      <c r="J340" s="216">
        <f>ROUND(I340*Order_Quote!$L$4,2)</f>
        <v>1154.95</v>
      </c>
      <c r="K340" s="76"/>
      <c r="L340" s="79"/>
      <c r="M340" s="117">
        <f t="shared" si="11"/>
        <v>0</v>
      </c>
      <c r="O340" s="530" t="str">
        <f>_xlfn.XLOOKUP(E340,'All Products'!D:D,'All Products'!I:I,FALSE)</f>
        <v>In Stock</v>
      </c>
      <c r="P340" s="530" t="str">
        <f>_xlfn.XLOOKUP(E340,'All Products'!D:D,'All Products'!J:J,FALSE)</f>
        <v>Manufactured</v>
      </c>
      <c r="Q340" s="543" t="str">
        <f>_xlfn.XLOOKUP(E340,'All Products'!D:D,'All Products'!K:K,FALSE)</f>
        <v>049081149765</v>
      </c>
      <c r="R340" s="543" t="str">
        <f>_xlfn.XLOOKUP(E340,'All Products'!D:D,'All Products'!L:L,FALSE)</f>
        <v>-</v>
      </c>
      <c r="S340" s="543" t="str">
        <f>_xlfn.XLOOKUP(E340,'All Products'!D:D,'All Products'!M:M,FALSE)</f>
        <v>40049081149763</v>
      </c>
      <c r="T340" s="530">
        <f>_xlfn.XLOOKUP(E340,'All Products'!D:D,'All Products'!N:N,FALSE)</f>
        <v>3.0169999999999999</v>
      </c>
      <c r="U340" s="543" t="str">
        <f>_xlfn.XLOOKUP(E340,'All Products'!D:D,'All Products'!O:O,FALSE)</f>
        <v>-</v>
      </c>
      <c r="V340" s="530">
        <f>_xlfn.XLOOKUP(E340,'All Products'!D:D,'All Products'!P:P,FALSE)</f>
        <v>9.07</v>
      </c>
      <c r="W340" s="530">
        <f>_xlfn.XLOOKUP(E340,'All Products'!D:D,'All Products'!Q:Q,FALSE)</f>
        <v>0.5</v>
      </c>
    </row>
    <row r="341" spans="1:23" ht="15" customHeight="1">
      <c r="A341" s="104" t="str">
        <f>IF(K341&gt;0,COUNT($A$7:A340)+COUNT('DWV PVC'!$A$8:$A$284)+COUNT('DWV ABS'!$A$8:$A$116)+1,"")</f>
        <v/>
      </c>
      <c r="B341" s="113"/>
      <c r="C341" s="114"/>
      <c r="D341" s="512" t="str">
        <f>_xlfn.XLOOKUP(E341,'All Products'!D:D,'All Products'!C:C,FALSE)</f>
        <v>457-040</v>
      </c>
      <c r="E341" s="53">
        <v>100027432</v>
      </c>
      <c r="F341" s="522" t="str">
        <f>_xlfn.XLOOKUP(E341,'All Products'!D:D,'All Products'!E:E,FALSE)</f>
        <v>4 UNION SLIP X SLIP</v>
      </c>
      <c r="G341" s="282">
        <f>_xlfn.XLOOKUP(E341,'All Products'!D:D,'All Products'!F:F,FALSE)</f>
        <v>2</v>
      </c>
      <c r="H341" s="533">
        <f>_xlfn.XLOOKUP(E341,'All Products'!D:D,'All Products'!G:G,FALSE)</f>
        <v>180</v>
      </c>
      <c r="I341" s="540">
        <f>_xlfn.XLOOKUP(E341,'All Products'!D:D,'All Products'!H:H,FALSE)</f>
        <v>319.85000000000002</v>
      </c>
      <c r="J341" s="216">
        <f>ROUND(I341*Order_Quote!$L$4,2)</f>
        <v>1599.25</v>
      </c>
      <c r="K341" s="76"/>
      <c r="L341" s="79"/>
      <c r="M341" s="117">
        <f t="shared" si="11"/>
        <v>0</v>
      </c>
      <c r="O341" s="530" t="str">
        <f>_xlfn.XLOOKUP(E341,'All Products'!D:D,'All Products'!I:I,FALSE)</f>
        <v>In Stock</v>
      </c>
      <c r="P341" s="530" t="str">
        <f>_xlfn.XLOOKUP(E341,'All Products'!D:D,'All Products'!J:J,FALSE)</f>
        <v>Manufactured</v>
      </c>
      <c r="Q341" s="543" t="str">
        <f>_xlfn.XLOOKUP(E341,'All Products'!D:D,'All Products'!K:K,FALSE)</f>
        <v>049081149772</v>
      </c>
      <c r="R341" s="543" t="str">
        <f>_xlfn.XLOOKUP(E341,'All Products'!D:D,'All Products'!L:L,FALSE)</f>
        <v>-</v>
      </c>
      <c r="S341" s="543" t="str">
        <f>_xlfn.XLOOKUP(E341,'All Products'!D:D,'All Products'!M:M,FALSE)</f>
        <v>40049081149770</v>
      </c>
      <c r="T341" s="530">
        <f>_xlfn.XLOOKUP(E341,'All Products'!D:D,'All Products'!N:N,FALSE)</f>
        <v>7.26</v>
      </c>
      <c r="U341" s="543" t="str">
        <f>_xlfn.XLOOKUP(E341,'All Products'!D:D,'All Products'!O:O,FALSE)</f>
        <v>-</v>
      </c>
      <c r="V341" s="530">
        <f>_xlfn.XLOOKUP(E341,'All Products'!D:D,'All Products'!P:P,FALSE)</f>
        <v>14.7</v>
      </c>
      <c r="W341" s="530">
        <f>_xlfn.XLOOKUP(E341,'All Products'!D:D,'All Products'!Q:Q,FALSE)</f>
        <v>0.8</v>
      </c>
    </row>
    <row r="342" spans="1:23" ht="15" customHeight="1">
      <c r="A342" s="104" t="str">
        <f>IF(K342&gt;0,COUNT($A$7:A341)+COUNT('DWV PVC'!$A$8:$A$284)+COUNT('DWV ABS'!$A$8:$A$116)+1,"")</f>
        <v/>
      </c>
      <c r="B342" s="112"/>
      <c r="C342" s="79"/>
      <c r="D342" s="512" t="str">
        <f>_xlfn.XLOOKUP(E342,'All Products'!D:D,'All Products'!C:C,FALSE)</f>
        <v>458-005</v>
      </c>
      <c r="E342" s="53">
        <v>100023119</v>
      </c>
      <c r="F342" s="522" t="str">
        <f>_xlfn.XLOOKUP(E342,'All Products'!D:D,'All Products'!E:E,FALSE)</f>
        <v>1/2 UNION FIPT X FIPT</v>
      </c>
      <c r="G342" s="282">
        <f>_xlfn.XLOOKUP(E342,'All Products'!D:D,'All Products'!F:F,FALSE)</f>
        <v>50</v>
      </c>
      <c r="H342" s="533">
        <f>_xlfn.XLOOKUP(E342,'All Products'!D:D,'All Products'!G:G,FALSE)</f>
        <v>13500</v>
      </c>
      <c r="I342" s="540">
        <f>_xlfn.XLOOKUP(E342,'All Products'!D:D,'All Products'!H:H,FALSE)</f>
        <v>21.8</v>
      </c>
      <c r="J342" s="216">
        <f>ROUND(I342*Order_Quote!$L$4,2)</f>
        <v>109</v>
      </c>
      <c r="K342" s="76"/>
      <c r="L342" s="79"/>
      <c r="M342" s="117">
        <f t="shared" si="11"/>
        <v>0</v>
      </c>
      <c r="O342" s="530" t="str">
        <f>_xlfn.XLOOKUP(E342,'All Products'!D:D,'All Products'!I:I,FALSE)</f>
        <v>Within 4 Months</v>
      </c>
      <c r="P342" s="530" t="str">
        <f>_xlfn.XLOOKUP(E342,'All Products'!D:D,'All Products'!J:J,FALSE)</f>
        <v>Manufactured</v>
      </c>
      <c r="Q342" s="543" t="str">
        <f>_xlfn.XLOOKUP(E342,'All Products'!D:D,'All Products'!K:K,FALSE)</f>
        <v>049081149840</v>
      </c>
      <c r="R342" s="543" t="str">
        <f>_xlfn.XLOOKUP(E342,'All Products'!D:D,'All Products'!L:L,FALSE)</f>
        <v>-</v>
      </c>
      <c r="S342" s="543" t="str">
        <f>_xlfn.XLOOKUP(E342,'All Products'!D:D,'All Products'!M:M,FALSE)</f>
        <v>40049081149848</v>
      </c>
      <c r="T342" s="530">
        <f>_xlfn.XLOOKUP(E342,'All Products'!D:D,'All Products'!N:N,FALSE)</f>
        <v>0.126</v>
      </c>
      <c r="U342" s="543" t="str">
        <f>_xlfn.XLOOKUP(E342,'All Products'!D:D,'All Products'!O:O,FALSE)</f>
        <v>-</v>
      </c>
      <c r="V342" s="530">
        <f>_xlfn.XLOOKUP(E342,'All Products'!D:D,'All Products'!P:P,FALSE)</f>
        <v>8.75</v>
      </c>
      <c r="W342" s="530">
        <f>_xlfn.XLOOKUP(E342,'All Products'!D:D,'All Products'!Q:Q,FALSE)</f>
        <v>0.31</v>
      </c>
    </row>
    <row r="343" spans="1:23" ht="15" customHeight="1">
      <c r="A343" s="104" t="str">
        <f>IF(K343&gt;0,COUNT($A$7:A342)+COUNT('DWV PVC'!$A$8:$A$284)+COUNT('DWV ABS'!$A$8:$A$116)+1,"")</f>
        <v/>
      </c>
      <c r="B343" s="112"/>
      <c r="C343" s="79"/>
      <c r="D343" s="512" t="str">
        <f>_xlfn.XLOOKUP(E343,'All Products'!D:D,'All Products'!C:C,FALSE)</f>
        <v>458-007</v>
      </c>
      <c r="E343" s="53">
        <v>100023121</v>
      </c>
      <c r="F343" s="522" t="str">
        <f>_xlfn.XLOOKUP(E343,'All Products'!D:D,'All Products'!E:E,FALSE)</f>
        <v>3/4 UNION FIPT X FIPT</v>
      </c>
      <c r="G343" s="282">
        <f>_xlfn.XLOOKUP(E343,'All Products'!D:D,'All Products'!F:F,FALSE)</f>
        <v>50</v>
      </c>
      <c r="H343" s="533">
        <f>_xlfn.XLOOKUP(E343,'All Products'!D:D,'All Products'!G:G,FALSE)</f>
        <v>7500</v>
      </c>
      <c r="I343" s="540">
        <f>_xlfn.XLOOKUP(E343,'All Products'!D:D,'All Products'!H:H,FALSE)</f>
        <v>36.450000000000003</v>
      </c>
      <c r="J343" s="216">
        <f>ROUND(I343*Order_Quote!$L$4,2)</f>
        <v>182.25</v>
      </c>
      <c r="K343" s="76"/>
      <c r="L343" s="79"/>
      <c r="M343" s="117">
        <f t="shared" si="11"/>
        <v>0</v>
      </c>
      <c r="O343" s="530" t="str">
        <f>_xlfn.XLOOKUP(E343,'All Products'!D:D,'All Products'!I:I,FALSE)</f>
        <v>Within 4 Months</v>
      </c>
      <c r="P343" s="530" t="str">
        <f>_xlfn.XLOOKUP(E343,'All Products'!D:D,'All Products'!J:J,FALSE)</f>
        <v>Manufactured</v>
      </c>
      <c r="Q343" s="543" t="str">
        <f>_xlfn.XLOOKUP(E343,'All Products'!D:D,'All Products'!K:K,FALSE)</f>
        <v>049081149864</v>
      </c>
      <c r="R343" s="543" t="str">
        <f>_xlfn.XLOOKUP(E343,'All Products'!D:D,'All Products'!L:L,FALSE)</f>
        <v>-</v>
      </c>
      <c r="S343" s="543" t="str">
        <f>_xlfn.XLOOKUP(E343,'All Products'!D:D,'All Products'!M:M,FALSE)</f>
        <v>40049081149862</v>
      </c>
      <c r="T343" s="530">
        <f>_xlfn.XLOOKUP(E343,'All Products'!D:D,'All Products'!N:N,FALSE)</f>
        <v>0.20100000000000001</v>
      </c>
      <c r="U343" s="543" t="str">
        <f>_xlfn.XLOOKUP(E343,'All Products'!D:D,'All Products'!O:O,FALSE)</f>
        <v>-</v>
      </c>
      <c r="V343" s="530">
        <f>_xlfn.XLOOKUP(E343,'All Products'!D:D,'All Products'!P:P,FALSE)</f>
        <v>13.5</v>
      </c>
      <c r="W343" s="530">
        <f>_xlfn.XLOOKUP(E343,'All Products'!D:D,'All Products'!Q:Q,FALSE)</f>
        <v>0.5</v>
      </c>
    </row>
    <row r="344" spans="1:23" ht="15" customHeight="1">
      <c r="A344" s="104" t="str">
        <f>IF(K344&gt;0,COUNT($A$7:A343)+COUNT('DWV PVC'!$A$8:$A$284)+COUNT('DWV ABS'!$A$8:$A$116)+1,"")</f>
        <v/>
      </c>
      <c r="B344" s="112"/>
      <c r="C344" s="79"/>
      <c r="D344" s="512" t="str">
        <f>_xlfn.XLOOKUP(E344,'All Products'!D:D,'All Products'!C:C,FALSE)</f>
        <v>458-010</v>
      </c>
      <c r="E344" s="53">
        <v>100023123</v>
      </c>
      <c r="F344" s="522" t="str">
        <f>_xlfn.XLOOKUP(E344,'All Products'!D:D,'All Products'!E:E,FALSE)</f>
        <v>1 UNION FIPT X FIPT</v>
      </c>
      <c r="G344" s="282">
        <f>_xlfn.XLOOKUP(E344,'All Products'!D:D,'All Products'!F:F,FALSE)</f>
        <v>18</v>
      </c>
      <c r="H344" s="533">
        <f>_xlfn.XLOOKUP(E344,'All Products'!D:D,'All Products'!G:G,FALSE)</f>
        <v>2700</v>
      </c>
      <c r="I344" s="540">
        <f>_xlfn.XLOOKUP(E344,'All Products'!D:D,'All Products'!H:H,FALSE)</f>
        <v>49.8</v>
      </c>
      <c r="J344" s="216">
        <f>ROUND(I344*Order_Quote!$L$4,2)</f>
        <v>249</v>
      </c>
      <c r="K344" s="76"/>
      <c r="L344" s="79"/>
      <c r="M344" s="117">
        <f t="shared" si="11"/>
        <v>0</v>
      </c>
      <c r="O344" s="530" t="str">
        <f>_xlfn.XLOOKUP(E344,'All Products'!D:D,'All Products'!I:I,FALSE)</f>
        <v>In Stock</v>
      </c>
      <c r="P344" s="530" t="str">
        <f>_xlfn.XLOOKUP(E344,'All Products'!D:D,'All Products'!J:J,FALSE)</f>
        <v>Manufactured</v>
      </c>
      <c r="Q344" s="543" t="str">
        <f>_xlfn.XLOOKUP(E344,'All Products'!D:D,'All Products'!K:K,FALSE)</f>
        <v>049081149888</v>
      </c>
      <c r="R344" s="543" t="str">
        <f>_xlfn.XLOOKUP(E344,'All Products'!D:D,'All Products'!L:L,FALSE)</f>
        <v>-</v>
      </c>
      <c r="S344" s="543" t="str">
        <f>_xlfn.XLOOKUP(E344,'All Products'!D:D,'All Products'!M:M,FALSE)</f>
        <v>40049081149886</v>
      </c>
      <c r="T344" s="530">
        <f>_xlfn.XLOOKUP(E344,'All Products'!D:D,'All Products'!N:N,FALSE)</f>
        <v>0.317</v>
      </c>
      <c r="U344" s="543" t="str">
        <f>_xlfn.XLOOKUP(E344,'All Products'!D:D,'All Products'!O:O,FALSE)</f>
        <v>-</v>
      </c>
      <c r="V344" s="530">
        <f>_xlfn.XLOOKUP(E344,'All Products'!D:D,'All Products'!P:P,FALSE)</f>
        <v>6.5</v>
      </c>
      <c r="W344" s="530">
        <f>_xlfn.XLOOKUP(E344,'All Products'!D:D,'All Products'!Q:Q,FALSE)</f>
        <v>0.5</v>
      </c>
    </row>
    <row r="345" spans="1:23" ht="15" customHeight="1">
      <c r="A345" s="104" t="str">
        <f>IF(K345&gt;0,COUNT($A$7:A344)+COUNT('DWV PVC'!$A$8:$A$284)+COUNT('DWV ABS'!$A$8:$A$116)+1,"")</f>
        <v/>
      </c>
      <c r="B345" s="112"/>
      <c r="C345" s="79"/>
      <c r="D345" s="512" t="str">
        <f>_xlfn.XLOOKUP(E345,'All Products'!D:D,'All Products'!C:C,FALSE)</f>
        <v>458-012</v>
      </c>
      <c r="E345" s="53">
        <v>100023125</v>
      </c>
      <c r="F345" s="522" t="str">
        <f>_xlfn.XLOOKUP(E345,'All Products'!D:D,'All Products'!E:E,FALSE)</f>
        <v>1-1/4 UNION FIPT X FIPT</v>
      </c>
      <c r="G345" s="282">
        <f>_xlfn.XLOOKUP(E345,'All Products'!D:D,'All Products'!F:F,FALSE)</f>
        <v>10</v>
      </c>
      <c r="H345" s="533">
        <f>_xlfn.XLOOKUP(E345,'All Products'!D:D,'All Products'!G:G,FALSE)</f>
        <v>2700</v>
      </c>
      <c r="I345" s="540">
        <f>_xlfn.XLOOKUP(E345,'All Products'!D:D,'All Products'!H:H,FALSE)</f>
        <v>85.48</v>
      </c>
      <c r="J345" s="216">
        <f>ROUND(I345*Order_Quote!$L$4,2)</f>
        <v>427.4</v>
      </c>
      <c r="K345" s="76"/>
      <c r="L345" s="79"/>
      <c r="M345" s="117">
        <f t="shared" si="11"/>
        <v>0</v>
      </c>
      <c r="O345" s="530" t="str">
        <f>_xlfn.XLOOKUP(E345,'All Products'!D:D,'All Products'!I:I,FALSE)</f>
        <v>Within 4 Months</v>
      </c>
      <c r="P345" s="530" t="str">
        <f>_xlfn.XLOOKUP(E345,'All Products'!D:D,'All Products'!J:J,FALSE)</f>
        <v>Manufactured</v>
      </c>
      <c r="Q345" s="543" t="str">
        <f>_xlfn.XLOOKUP(E345,'All Products'!D:D,'All Products'!K:K,FALSE)</f>
        <v>049081149901</v>
      </c>
      <c r="R345" s="543" t="str">
        <f>_xlfn.XLOOKUP(E345,'All Products'!D:D,'All Products'!L:L,FALSE)</f>
        <v>-</v>
      </c>
      <c r="S345" s="543" t="str">
        <f>_xlfn.XLOOKUP(E345,'All Products'!D:D,'All Products'!M:M,FALSE)</f>
        <v>40049081149909</v>
      </c>
      <c r="T345" s="530">
        <f>_xlfn.XLOOKUP(E345,'All Products'!D:D,'All Products'!N:N,FALSE)</f>
        <v>0.75</v>
      </c>
      <c r="U345" s="543" t="str">
        <f>_xlfn.XLOOKUP(E345,'All Products'!D:D,'All Products'!O:O,FALSE)</f>
        <v>-</v>
      </c>
      <c r="V345" s="530">
        <f>_xlfn.XLOOKUP(E345,'All Products'!D:D,'All Products'!P:P,FALSE)</f>
        <v>5.21</v>
      </c>
      <c r="W345" s="530">
        <f>_xlfn.XLOOKUP(E345,'All Products'!D:D,'All Products'!Q:Q,FALSE)</f>
        <v>0.31</v>
      </c>
    </row>
    <row r="346" spans="1:23" ht="15" customHeight="1">
      <c r="A346" s="104" t="str">
        <f>IF(K346&gt;0,COUNT($A$7:A345)+COUNT('DWV PVC'!$A$8:$A$284)+COUNT('DWV ABS'!$A$8:$A$116)+1,"")</f>
        <v/>
      </c>
      <c r="B346" s="112"/>
      <c r="C346" s="79"/>
      <c r="D346" s="512" t="str">
        <f>_xlfn.XLOOKUP(E346,'All Products'!D:D,'All Products'!C:C,FALSE)</f>
        <v>458-015</v>
      </c>
      <c r="E346" s="53">
        <v>100023127</v>
      </c>
      <c r="F346" s="522" t="str">
        <f>_xlfn.XLOOKUP(E346,'All Products'!D:D,'All Products'!E:E,FALSE)</f>
        <v>1-1/2 UNION FIPT X FIPT</v>
      </c>
      <c r="G346" s="282">
        <f>_xlfn.XLOOKUP(E346,'All Products'!D:D,'All Products'!F:F,FALSE)</f>
        <v>10</v>
      </c>
      <c r="H346" s="533">
        <f>_xlfn.XLOOKUP(E346,'All Products'!D:D,'All Products'!G:G,FALSE)</f>
        <v>1500</v>
      </c>
      <c r="I346" s="540">
        <f>_xlfn.XLOOKUP(E346,'All Products'!D:D,'All Products'!H:H,FALSE)</f>
        <v>87.4</v>
      </c>
      <c r="J346" s="216">
        <f>ROUND(I346*Order_Quote!$L$4,2)</f>
        <v>437</v>
      </c>
      <c r="K346" s="76"/>
      <c r="L346" s="79"/>
      <c r="M346" s="117">
        <f t="shared" si="11"/>
        <v>0</v>
      </c>
      <c r="O346" s="530" t="str">
        <f>_xlfn.XLOOKUP(E346,'All Products'!D:D,'All Products'!I:I,FALSE)</f>
        <v>In Stock</v>
      </c>
      <c r="P346" s="530" t="str">
        <f>_xlfn.XLOOKUP(E346,'All Products'!D:D,'All Products'!J:J,FALSE)</f>
        <v>Manufactured</v>
      </c>
      <c r="Q346" s="543" t="str">
        <f>_xlfn.XLOOKUP(E346,'All Products'!D:D,'All Products'!K:K,FALSE)</f>
        <v>049081149925</v>
      </c>
      <c r="R346" s="543" t="str">
        <f>_xlfn.XLOOKUP(E346,'All Products'!D:D,'All Products'!L:L,FALSE)</f>
        <v>-</v>
      </c>
      <c r="S346" s="543" t="str">
        <f>_xlfn.XLOOKUP(E346,'All Products'!D:D,'All Products'!M:M,FALSE)</f>
        <v>40049081149923</v>
      </c>
      <c r="T346" s="530">
        <f>_xlfn.XLOOKUP(E346,'All Products'!D:D,'All Products'!N:N,FALSE)</f>
        <v>0.91500000000000004</v>
      </c>
      <c r="U346" s="543" t="str">
        <f>_xlfn.XLOOKUP(E346,'All Products'!D:D,'All Products'!O:O,FALSE)</f>
        <v>-</v>
      </c>
      <c r="V346" s="530">
        <f>_xlfn.XLOOKUP(E346,'All Products'!D:D,'All Products'!P:P,FALSE)</f>
        <v>4.37</v>
      </c>
      <c r="W346" s="530">
        <f>_xlfn.XLOOKUP(E346,'All Products'!D:D,'All Products'!Q:Q,FALSE)</f>
        <v>0.5</v>
      </c>
    </row>
    <row r="347" spans="1:23" ht="15" customHeight="1">
      <c r="A347" s="104" t="str">
        <f>IF(K347&gt;0,COUNT($A$7:A346)+COUNT('DWV PVC'!$A$8:$A$284)+COUNT('DWV ABS'!$A$8:$A$116)+1,"")</f>
        <v/>
      </c>
      <c r="B347" s="112"/>
      <c r="C347" s="79"/>
      <c r="D347" s="512" t="str">
        <f>_xlfn.XLOOKUP(E347,'All Products'!D:D,'All Products'!C:C,FALSE)</f>
        <v>458-020</v>
      </c>
      <c r="E347" s="53">
        <v>100023129</v>
      </c>
      <c r="F347" s="522" t="str">
        <f>_xlfn.XLOOKUP(E347,'All Products'!D:D,'All Products'!E:E,FALSE)</f>
        <v>2 UNION FIPT X FIPT</v>
      </c>
      <c r="G347" s="282">
        <f>_xlfn.XLOOKUP(E347,'All Products'!D:D,'All Products'!F:F,FALSE)</f>
        <v>16</v>
      </c>
      <c r="H347" s="533">
        <f>_xlfn.XLOOKUP(E347,'All Products'!D:D,'All Products'!G:G,FALSE)</f>
        <v>1200</v>
      </c>
      <c r="I347" s="540">
        <f>_xlfn.XLOOKUP(E347,'All Products'!D:D,'All Products'!H:H,FALSE)</f>
        <v>107.24</v>
      </c>
      <c r="J347" s="216">
        <f>ROUND(I347*Order_Quote!$L$4,2)</f>
        <v>536.20000000000005</v>
      </c>
      <c r="K347" s="76"/>
      <c r="L347" s="79"/>
      <c r="M347" s="117">
        <f t="shared" si="11"/>
        <v>0</v>
      </c>
      <c r="O347" s="530" t="str">
        <f>_xlfn.XLOOKUP(E347,'All Products'!D:D,'All Products'!I:I,FALSE)</f>
        <v>In Stock</v>
      </c>
      <c r="P347" s="530" t="str">
        <f>_xlfn.XLOOKUP(E347,'All Products'!D:D,'All Products'!J:J,FALSE)</f>
        <v>Manufactured</v>
      </c>
      <c r="Q347" s="543" t="str">
        <f>_xlfn.XLOOKUP(E347,'All Products'!D:D,'All Products'!K:K,FALSE)</f>
        <v>049081149949</v>
      </c>
      <c r="R347" s="543" t="str">
        <f>_xlfn.XLOOKUP(E347,'All Products'!D:D,'All Products'!L:L,FALSE)</f>
        <v>-</v>
      </c>
      <c r="S347" s="543" t="str">
        <f>_xlfn.XLOOKUP(E347,'All Products'!D:D,'All Products'!M:M,FALSE)</f>
        <v>40049081149947</v>
      </c>
      <c r="T347" s="530">
        <f>_xlfn.XLOOKUP(E347,'All Products'!D:D,'All Products'!N:N,FALSE)</f>
        <v>1.3720000000000001</v>
      </c>
      <c r="U347" s="543" t="str">
        <f>_xlfn.XLOOKUP(E347,'All Products'!D:D,'All Products'!O:O,FALSE)</f>
        <v>-</v>
      </c>
      <c r="V347" s="530">
        <f>_xlfn.XLOOKUP(E347,'All Products'!D:D,'All Products'!P:P,FALSE)</f>
        <v>21.86</v>
      </c>
      <c r="W347" s="530">
        <f>_xlfn.XLOOKUP(E347,'All Products'!D:D,'All Products'!Q:Q,FALSE)</f>
        <v>0.95</v>
      </c>
    </row>
    <row r="348" spans="1:23" ht="15" customHeight="1">
      <c r="A348" s="104" t="str">
        <f>IF(K348&gt;0,COUNT($A$7:A347)+COUNT('DWV PVC'!$A$8:$A$284)+COUNT('DWV ABS'!$A$8:$A$116)+1,"")</f>
        <v/>
      </c>
      <c r="B348" s="112"/>
      <c r="C348" s="79"/>
      <c r="D348" s="512" t="str">
        <f>_xlfn.XLOOKUP(E348,'All Products'!D:D,'All Products'!C:C,FALSE)</f>
        <v>458-030</v>
      </c>
      <c r="E348" s="53">
        <v>100023132</v>
      </c>
      <c r="F348" s="522" t="str">
        <f>_xlfn.XLOOKUP(E348,'All Products'!D:D,'All Products'!E:E,FALSE)</f>
        <v>3 UNION FIPT X FIPT</v>
      </c>
      <c r="G348" s="282">
        <f>_xlfn.XLOOKUP(E348,'All Products'!D:D,'All Products'!F:F,FALSE)</f>
        <v>3</v>
      </c>
      <c r="H348" s="533">
        <f>_xlfn.XLOOKUP(E348,'All Products'!D:D,'All Products'!G:G,FALSE)</f>
        <v>450</v>
      </c>
      <c r="I348" s="540">
        <f>_xlfn.XLOOKUP(E348,'All Products'!D:D,'All Products'!H:H,FALSE)</f>
        <v>245.2</v>
      </c>
      <c r="J348" s="216">
        <f>ROUND(I348*Order_Quote!$L$4,2)</f>
        <v>1226</v>
      </c>
      <c r="K348" s="76"/>
      <c r="L348" s="79"/>
      <c r="M348" s="117">
        <f t="shared" si="11"/>
        <v>0</v>
      </c>
      <c r="O348" s="530" t="str">
        <f>_xlfn.XLOOKUP(E348,'All Products'!D:D,'All Products'!I:I,FALSE)</f>
        <v>In Stock</v>
      </c>
      <c r="P348" s="530" t="str">
        <f>_xlfn.XLOOKUP(E348,'All Products'!D:D,'All Products'!J:J,FALSE)</f>
        <v>Manufactured</v>
      </c>
      <c r="Q348" s="543" t="str">
        <f>_xlfn.XLOOKUP(E348,'All Products'!D:D,'All Products'!K:K,FALSE)</f>
        <v>049081194949</v>
      </c>
      <c r="R348" s="543" t="str">
        <f>_xlfn.XLOOKUP(E348,'All Products'!D:D,'All Products'!L:L,FALSE)</f>
        <v>-</v>
      </c>
      <c r="S348" s="543" t="str">
        <f>_xlfn.XLOOKUP(E348,'All Products'!D:D,'All Products'!M:M,FALSE)</f>
        <v>40049081194947</v>
      </c>
      <c r="T348" s="530">
        <f>_xlfn.XLOOKUP(E348,'All Products'!D:D,'All Products'!N:N,FALSE)</f>
        <v>3.1829999999999998</v>
      </c>
      <c r="U348" s="543" t="str">
        <f>_xlfn.XLOOKUP(E348,'All Products'!D:D,'All Products'!O:O,FALSE)</f>
        <v>-</v>
      </c>
      <c r="V348" s="530">
        <f>_xlfn.XLOOKUP(E348,'All Products'!D:D,'All Products'!P:P,FALSE)</f>
        <v>9.5299999999999994</v>
      </c>
      <c r="W348" s="530">
        <f>_xlfn.XLOOKUP(E348,'All Products'!D:D,'All Products'!Q:Q,FALSE)</f>
        <v>0.5</v>
      </c>
    </row>
    <row r="349" spans="1:23" ht="30.75" customHeight="1">
      <c r="A349" s="104" t="str">
        <f>IF(K349&gt;0,COUNT($A$7:A348)+COUNT('DWV PVC'!$A$8:$A$284)+COUNT('DWV ABS'!$A$8:$A$116)+1,"")</f>
        <v/>
      </c>
      <c r="B349" s="110"/>
      <c r="C349" s="111"/>
      <c r="D349" s="512" t="str">
        <f>_xlfn.XLOOKUP(E349,'All Products'!D:D,'All Products'!C:C,FALSE)</f>
        <v>459-015</v>
      </c>
      <c r="E349" s="53">
        <v>100023137</v>
      </c>
      <c r="F349" s="522" t="str">
        <f>_xlfn.XLOOKUP(E349,'All Products'!D:D,'All Products'!E:E,FALSE)</f>
        <v>1-1/2 UNION SLIP X FIPT</v>
      </c>
      <c r="G349" s="282">
        <f>_xlfn.XLOOKUP(E349,'All Products'!D:D,'All Products'!F:F,FALSE)</f>
        <v>10</v>
      </c>
      <c r="H349" s="533">
        <f>_xlfn.XLOOKUP(E349,'All Products'!D:D,'All Products'!G:G,FALSE)</f>
        <v>1500</v>
      </c>
      <c r="I349" s="540">
        <f>_xlfn.XLOOKUP(E349,'All Products'!D:D,'All Products'!H:H,FALSE)</f>
        <v>82.33</v>
      </c>
      <c r="J349" s="216">
        <f>ROUND(I349*Order_Quote!$L$4,2)</f>
        <v>411.65</v>
      </c>
      <c r="K349" s="76"/>
      <c r="L349" s="79"/>
      <c r="M349" s="117">
        <f t="shared" si="11"/>
        <v>0</v>
      </c>
      <c r="O349" s="530" t="str">
        <f>_xlfn.XLOOKUP(E349,'All Products'!D:D,'All Products'!I:I,FALSE)</f>
        <v>In Stock</v>
      </c>
      <c r="P349" s="530" t="str">
        <f>_xlfn.XLOOKUP(E349,'All Products'!D:D,'All Products'!J:J,FALSE)</f>
        <v>Manufactured</v>
      </c>
      <c r="Q349" s="543" t="str">
        <f>_xlfn.XLOOKUP(E349,'All Products'!D:D,'All Products'!K:K,FALSE)</f>
        <v>049081140205</v>
      </c>
      <c r="R349" s="543" t="str">
        <f>_xlfn.XLOOKUP(E349,'All Products'!D:D,'All Products'!L:L,FALSE)</f>
        <v>-</v>
      </c>
      <c r="S349" s="543" t="str">
        <f>_xlfn.XLOOKUP(E349,'All Products'!D:D,'All Products'!M:M,FALSE)</f>
        <v>40049081140203</v>
      </c>
      <c r="T349" s="530">
        <f>_xlfn.XLOOKUP(E349,'All Products'!D:D,'All Products'!N:N,FALSE)</f>
        <v>0.79200000000000004</v>
      </c>
      <c r="U349" s="543" t="str">
        <f>_xlfn.XLOOKUP(E349,'All Products'!D:D,'All Products'!O:O,FALSE)</f>
        <v>-</v>
      </c>
      <c r="V349" s="530">
        <f>_xlfn.XLOOKUP(E349,'All Products'!D:D,'All Products'!P:P,FALSE)</f>
        <v>6.43</v>
      </c>
      <c r="W349" s="530">
        <f>_xlfn.XLOOKUP(E349,'All Products'!D:D,'All Products'!Q:Q,FALSE)</f>
        <v>0.5</v>
      </c>
    </row>
    <row r="350" spans="1:23" ht="30.75" customHeight="1">
      <c r="A350" s="104" t="str">
        <f>IF(K350&gt;0,COUNT($A$7:A349)+COUNT('DWV PVC'!$A$8:$A$284)+COUNT('DWV ABS'!$A$8:$A$116)+1,"")</f>
        <v/>
      </c>
      <c r="B350" s="113"/>
      <c r="C350" s="114"/>
      <c r="D350" s="512" t="str">
        <f>_xlfn.XLOOKUP(E350,'All Products'!D:D,'All Products'!C:C,FALSE)</f>
        <v>459-020</v>
      </c>
      <c r="E350" s="53">
        <v>100023138</v>
      </c>
      <c r="F350" s="522" t="str">
        <f>_xlfn.XLOOKUP(E350,'All Products'!D:D,'All Products'!E:E,FALSE)</f>
        <v>2 UNION SLIP X FIPT</v>
      </c>
      <c r="G350" s="282">
        <f>_xlfn.XLOOKUP(E350,'All Products'!D:D,'All Products'!F:F,FALSE)</f>
        <v>16</v>
      </c>
      <c r="H350" s="533">
        <f>_xlfn.XLOOKUP(E350,'All Products'!D:D,'All Products'!G:G,FALSE)</f>
        <v>1200</v>
      </c>
      <c r="I350" s="540">
        <f>_xlfn.XLOOKUP(E350,'All Products'!D:D,'All Products'!H:H,FALSE)</f>
        <v>105.59</v>
      </c>
      <c r="J350" s="216">
        <f>ROUND(I350*Order_Quote!$L$4,2)</f>
        <v>527.95000000000005</v>
      </c>
      <c r="K350" s="76"/>
      <c r="L350" s="79"/>
      <c r="M350" s="117">
        <f t="shared" si="11"/>
        <v>0</v>
      </c>
      <c r="O350" s="530" t="str">
        <f>_xlfn.XLOOKUP(E350,'All Products'!D:D,'All Products'!I:I,FALSE)</f>
        <v>In Stock</v>
      </c>
      <c r="P350" s="530" t="str">
        <f>_xlfn.XLOOKUP(E350,'All Products'!D:D,'All Products'!J:J,FALSE)</f>
        <v>Manufactured</v>
      </c>
      <c r="Q350" s="543" t="str">
        <f>_xlfn.XLOOKUP(E350,'All Products'!D:D,'All Products'!K:K,FALSE)</f>
        <v>049081140212</v>
      </c>
      <c r="R350" s="543" t="str">
        <f>_xlfn.XLOOKUP(E350,'All Products'!D:D,'All Products'!L:L,FALSE)</f>
        <v>-</v>
      </c>
      <c r="S350" s="543" t="str">
        <f>_xlfn.XLOOKUP(E350,'All Products'!D:D,'All Products'!M:M,FALSE)</f>
        <v>40049081140210</v>
      </c>
      <c r="T350" s="530">
        <f>_xlfn.XLOOKUP(E350,'All Products'!D:D,'All Products'!N:N,FALSE)</f>
        <v>1.3460000000000001</v>
      </c>
      <c r="U350" s="543" t="str">
        <f>_xlfn.XLOOKUP(E350,'All Products'!D:D,'All Products'!O:O,FALSE)</f>
        <v>-</v>
      </c>
      <c r="V350" s="530">
        <f>_xlfn.XLOOKUP(E350,'All Products'!D:D,'All Products'!P:P,FALSE)</f>
        <v>13.99</v>
      </c>
      <c r="W350" s="530">
        <f>_xlfn.XLOOKUP(E350,'All Products'!D:D,'All Products'!Q:Q,FALSE)</f>
        <v>0.95</v>
      </c>
    </row>
    <row r="351" spans="1:23" ht="15" customHeight="1">
      <c r="A351" s="104" t="str">
        <f>IF(K351&gt;0,COUNT($A$7:A350)+COUNT('DWV PVC'!$A$8:$A$284)+COUNT('DWV ABS'!$A$8:$A$116)+1,"")</f>
        <v/>
      </c>
      <c r="B351" s="112"/>
      <c r="C351" s="79"/>
      <c r="D351" s="512" t="str">
        <f>_xlfn.XLOOKUP(E351,'All Products'!D:D,'All Products'!C:C,FALSE)</f>
        <v>463-007</v>
      </c>
      <c r="E351" s="53">
        <v>100023144</v>
      </c>
      <c r="F351" s="522" t="str">
        <f>_xlfn.XLOOKUP(E351,'All Products'!D:D,'All Products'!E:E,FALSE)</f>
        <v>3/4 SNAP TEE SNAPXSLIP</v>
      </c>
      <c r="G351" s="282">
        <f>_xlfn.XLOOKUP(E351,'All Products'!D:D,'All Products'!F:F,FALSE)</f>
        <v>100</v>
      </c>
      <c r="H351" s="533">
        <f>_xlfn.XLOOKUP(E351,'All Products'!D:D,'All Products'!G:G,FALSE)</f>
        <v>9000</v>
      </c>
      <c r="I351" s="540">
        <f>_xlfn.XLOOKUP(E351,'All Products'!D:D,'All Products'!H:H,FALSE)</f>
        <v>3.93</v>
      </c>
      <c r="J351" s="216">
        <f>ROUND(I351*Order_Quote!$L$4,2)</f>
        <v>19.649999999999999</v>
      </c>
      <c r="K351" s="76"/>
      <c r="L351" s="79"/>
      <c r="M351" s="117">
        <f t="shared" ref="M351:M375" si="12">K351/G351</f>
        <v>0</v>
      </c>
      <c r="O351" s="530" t="str">
        <f>_xlfn.XLOOKUP(E351,'All Products'!D:D,'All Products'!I:I,FALSE)</f>
        <v>Within 3 Weeks</v>
      </c>
      <c r="P351" s="530" t="str">
        <f>_xlfn.XLOOKUP(E351,'All Products'!D:D,'All Products'!J:J,FALSE)</f>
        <v>Manufactured</v>
      </c>
      <c r="Q351" s="543" t="str">
        <f>_xlfn.XLOOKUP(E351,'All Products'!D:D,'All Products'!K:K,FALSE)</f>
        <v>049081143367</v>
      </c>
      <c r="R351" s="543" t="str">
        <f>_xlfn.XLOOKUP(E351,'All Products'!D:D,'All Products'!L:L,FALSE)</f>
        <v>049081643362</v>
      </c>
      <c r="S351" s="543" t="str">
        <f>_xlfn.XLOOKUP(E351,'All Products'!D:D,'All Products'!M:M,FALSE)</f>
        <v>40049081143365</v>
      </c>
      <c r="T351" s="530">
        <f>_xlfn.XLOOKUP(E351,'All Products'!D:D,'All Products'!N:N,FALSE)</f>
        <v>9.0999999999999998E-2</v>
      </c>
      <c r="U351" s="543">
        <f>_xlfn.XLOOKUP(E351,'All Products'!D:D,'All Products'!O:O,FALSE)</f>
        <v>10</v>
      </c>
      <c r="V351" s="530">
        <f>_xlfn.XLOOKUP(E351,'All Products'!D:D,'All Products'!P:P,FALSE)</f>
        <v>10.199999999999999</v>
      </c>
      <c r="W351" s="530">
        <f>_xlfn.XLOOKUP(E351,'All Products'!D:D,'All Products'!Q:Q,FALSE)</f>
        <v>0.8</v>
      </c>
    </row>
    <row r="352" spans="1:23" ht="15" customHeight="1">
      <c r="A352" s="104" t="str">
        <f>IF(K352&gt;0,COUNT($A$7:A351)+COUNT('DWV PVC'!$A$8:$A$284)+COUNT('DWV ABS'!$A$8:$A$116)+1,"")</f>
        <v/>
      </c>
      <c r="B352" s="112"/>
      <c r="C352" s="79"/>
      <c r="D352" s="512" t="str">
        <f>_xlfn.XLOOKUP(E352,'All Products'!D:D,'All Products'!C:C,FALSE)</f>
        <v>463-010</v>
      </c>
      <c r="E352" s="53">
        <v>100023146</v>
      </c>
      <c r="F352" s="522" t="str">
        <f>_xlfn.XLOOKUP(E352,'All Products'!D:D,'All Products'!E:E,FALSE)</f>
        <v>1 SNAP TEE SNAPXSLIP</v>
      </c>
      <c r="G352" s="282">
        <f>_xlfn.XLOOKUP(E352,'All Products'!D:D,'All Products'!F:F,FALSE)</f>
        <v>45</v>
      </c>
      <c r="H352" s="533">
        <f>_xlfn.XLOOKUP(E352,'All Products'!D:D,'All Products'!G:G,FALSE)</f>
        <v>5400</v>
      </c>
      <c r="I352" s="540">
        <f>_xlfn.XLOOKUP(E352,'All Products'!D:D,'All Products'!H:H,FALSE)</f>
        <v>7.57</v>
      </c>
      <c r="J352" s="216">
        <f>ROUND(I352*Order_Quote!$L$4,2)</f>
        <v>37.85</v>
      </c>
      <c r="K352" s="76"/>
      <c r="L352" s="79"/>
      <c r="M352" s="117">
        <f t="shared" si="12"/>
        <v>0</v>
      </c>
      <c r="O352" s="530" t="str">
        <f>_xlfn.XLOOKUP(E352,'All Products'!D:D,'All Products'!I:I,FALSE)</f>
        <v>Within 3 Weeks</v>
      </c>
      <c r="P352" s="530" t="str">
        <f>_xlfn.XLOOKUP(E352,'All Products'!D:D,'All Products'!J:J,FALSE)</f>
        <v>Manufactured</v>
      </c>
      <c r="Q352" s="543" t="str">
        <f>_xlfn.XLOOKUP(E352,'All Products'!D:D,'All Products'!K:K,FALSE)</f>
        <v>049081143374</v>
      </c>
      <c r="R352" s="543" t="str">
        <f>_xlfn.XLOOKUP(E352,'All Products'!D:D,'All Products'!L:L,FALSE)</f>
        <v>-</v>
      </c>
      <c r="S352" s="543" t="str">
        <f>_xlfn.XLOOKUP(E352,'All Products'!D:D,'All Products'!M:M,FALSE)</f>
        <v>40049081143372</v>
      </c>
      <c r="T352" s="530">
        <f>_xlfn.XLOOKUP(E352,'All Products'!D:D,'All Products'!N:N,FALSE)</f>
        <v>0.15</v>
      </c>
      <c r="U352" s="543" t="str">
        <f>_xlfn.XLOOKUP(E352,'All Products'!D:D,'All Products'!O:O,FALSE)</f>
        <v>-</v>
      </c>
      <c r="V352" s="530">
        <f>_xlfn.XLOOKUP(E352,'All Products'!D:D,'All Products'!P:P,FALSE)</f>
        <v>7.62</v>
      </c>
      <c r="W352" s="530">
        <f>_xlfn.XLOOKUP(E352,'All Products'!D:D,'All Products'!Q:Q,FALSE)</f>
        <v>0.65</v>
      </c>
    </row>
    <row r="353" spans="1:23" ht="15" customHeight="1">
      <c r="A353" s="104" t="str">
        <f>IF(K353&gt;0,COUNT($A$7:A352)+COUNT('DWV PVC'!$A$8:$A$284)+COUNT('DWV ABS'!$A$8:$A$116)+1,"")</f>
        <v/>
      </c>
      <c r="B353" s="112"/>
      <c r="C353" s="79"/>
      <c r="D353" s="512" t="str">
        <f>_xlfn.XLOOKUP(E353,'All Products'!D:D,'All Products'!C:C,FALSE)</f>
        <v>463-015</v>
      </c>
      <c r="E353" s="53">
        <v>100023150</v>
      </c>
      <c r="F353" s="522" t="str">
        <f>_xlfn.XLOOKUP(E353,'All Products'!D:D,'All Products'!E:E,FALSE)</f>
        <v>1-1/2 SNAP TEE SNAPXSLIP</v>
      </c>
      <c r="G353" s="282">
        <f>_xlfn.XLOOKUP(E353,'All Products'!D:D,'All Products'!F:F,FALSE)</f>
        <v>25</v>
      </c>
      <c r="H353" s="533">
        <f>_xlfn.XLOOKUP(E353,'All Products'!D:D,'All Products'!G:G,FALSE)</f>
        <v>3000</v>
      </c>
      <c r="I353" s="540">
        <f>_xlfn.XLOOKUP(E353,'All Products'!D:D,'All Products'!H:H,FALSE)</f>
        <v>14.25</v>
      </c>
      <c r="J353" s="216">
        <f>ROUND(I353*Order_Quote!$L$4,2)</f>
        <v>71.25</v>
      </c>
      <c r="K353" s="76"/>
      <c r="L353" s="79"/>
      <c r="M353" s="117">
        <f t="shared" si="12"/>
        <v>0</v>
      </c>
      <c r="O353" s="530" t="str">
        <f>_xlfn.XLOOKUP(E353,'All Products'!D:D,'All Products'!I:I,FALSE)</f>
        <v>In Stock</v>
      </c>
      <c r="P353" s="530" t="str">
        <f>_xlfn.XLOOKUP(E353,'All Products'!D:D,'All Products'!J:J,FALSE)</f>
        <v>Manufactured</v>
      </c>
      <c r="Q353" s="543" t="str">
        <f>_xlfn.XLOOKUP(E353,'All Products'!D:D,'All Products'!K:K,FALSE)</f>
        <v>049081143398</v>
      </c>
      <c r="R353" s="543" t="str">
        <f>_xlfn.XLOOKUP(E353,'All Products'!D:D,'All Products'!L:L,FALSE)</f>
        <v>-</v>
      </c>
      <c r="S353" s="543" t="str">
        <f>_xlfn.XLOOKUP(E353,'All Products'!D:D,'All Products'!M:M,FALSE)</f>
        <v>40049081143396</v>
      </c>
      <c r="T353" s="530">
        <f>_xlfn.XLOOKUP(E353,'All Products'!D:D,'All Products'!N:N,FALSE)</f>
        <v>0.28399999999999997</v>
      </c>
      <c r="U353" s="543" t="str">
        <f>_xlfn.XLOOKUP(E353,'All Products'!D:D,'All Products'!O:O,FALSE)</f>
        <v>-</v>
      </c>
      <c r="V353" s="530">
        <f>_xlfn.XLOOKUP(E353,'All Products'!D:D,'All Products'!P:P,FALSE)</f>
        <v>7.24</v>
      </c>
      <c r="W353" s="530">
        <f>_xlfn.XLOOKUP(E353,'All Products'!D:D,'All Products'!Q:Q,FALSE)</f>
        <v>0.65</v>
      </c>
    </row>
    <row r="354" spans="1:23" ht="15" customHeight="1">
      <c r="A354" s="104" t="str">
        <f>IF(K354&gt;0,COUNT($A$7:A353)+COUNT('DWV PVC'!$A$8:$A$284)+COUNT('DWV ABS'!$A$8:$A$116)+1,"")</f>
        <v/>
      </c>
      <c r="B354" s="112"/>
      <c r="C354" s="79"/>
      <c r="D354" s="512" t="str">
        <f>_xlfn.XLOOKUP(E354,'All Products'!D:D,'All Products'!C:C,FALSE)</f>
        <v>463-030</v>
      </c>
      <c r="E354" s="53">
        <v>100023155</v>
      </c>
      <c r="F354" s="522" t="str">
        <f>_xlfn.XLOOKUP(E354,'All Products'!D:D,'All Products'!E:E,FALSE)</f>
        <v>3 SNAP TEE SNAPXSLIP</v>
      </c>
      <c r="G354" s="282">
        <f>_xlfn.XLOOKUP(E354,'All Products'!D:D,'All Products'!F:F,FALSE)</f>
        <v>5</v>
      </c>
      <c r="H354" s="533">
        <f>_xlfn.XLOOKUP(E354,'All Products'!D:D,'All Products'!G:G,FALSE)</f>
        <v>600</v>
      </c>
      <c r="I354" s="540">
        <f>_xlfn.XLOOKUP(E354,'All Products'!D:D,'All Products'!H:H,FALSE)</f>
        <v>110.69</v>
      </c>
      <c r="J354" s="216">
        <f>ROUND(I354*Order_Quote!$L$4,2)</f>
        <v>553.45000000000005</v>
      </c>
      <c r="K354" s="76"/>
      <c r="L354" s="79"/>
      <c r="M354" s="117">
        <f t="shared" si="12"/>
        <v>0</v>
      </c>
      <c r="O354" s="530" t="str">
        <f>_xlfn.XLOOKUP(E354,'All Products'!D:D,'All Products'!I:I,FALSE)</f>
        <v>In Stock</v>
      </c>
      <c r="P354" s="530" t="str">
        <f>_xlfn.XLOOKUP(E354,'All Products'!D:D,'All Products'!J:J,FALSE)</f>
        <v>Manufactured</v>
      </c>
      <c r="Q354" s="543" t="str">
        <f>_xlfn.XLOOKUP(E354,'All Products'!D:D,'All Products'!K:K,FALSE)</f>
        <v>049081143497</v>
      </c>
      <c r="R354" s="543" t="str">
        <f>_xlfn.XLOOKUP(E354,'All Products'!D:D,'All Products'!L:L,FALSE)</f>
        <v>-</v>
      </c>
      <c r="S354" s="543" t="str">
        <f>_xlfn.XLOOKUP(E354,'All Products'!D:D,'All Products'!M:M,FALSE)</f>
        <v>40049081143495</v>
      </c>
      <c r="T354" s="530">
        <f>_xlfn.XLOOKUP(E354,'All Products'!D:D,'All Products'!N:N,FALSE)</f>
        <v>1.169</v>
      </c>
      <c r="U354" s="543" t="str">
        <f>_xlfn.XLOOKUP(E354,'All Products'!D:D,'All Products'!O:O,FALSE)</f>
        <v>-</v>
      </c>
      <c r="V354" s="530">
        <f>_xlfn.XLOOKUP(E354,'All Products'!D:D,'All Products'!P:P,FALSE)</f>
        <v>6.77</v>
      </c>
      <c r="W354" s="530">
        <f>_xlfn.XLOOKUP(E354,'All Products'!D:D,'All Products'!Q:Q,FALSE)</f>
        <v>0.65</v>
      </c>
    </row>
    <row r="355" spans="1:23" ht="15" customHeight="1">
      <c r="A355" s="104" t="str">
        <f>IF(K355&gt;0,COUNT($A$7:A354)+COUNT('DWV PVC'!$A$8:$A$284)+COUNT('DWV ABS'!$A$8:$A$116)+1,"")</f>
        <v/>
      </c>
      <c r="B355" s="112"/>
      <c r="C355" s="79"/>
      <c r="D355" s="512" t="str">
        <f>_xlfn.XLOOKUP(E355,'All Products'!D:D,'All Products'!C:C,FALSE)</f>
        <v>463-040</v>
      </c>
      <c r="E355" s="53">
        <v>100023157</v>
      </c>
      <c r="F355" s="522" t="str">
        <f>_xlfn.XLOOKUP(E355,'All Products'!D:D,'All Products'!E:E,FALSE)</f>
        <v>4 SNAP TEE SNAPXSLIP</v>
      </c>
      <c r="G355" s="282">
        <f>_xlfn.XLOOKUP(E355,'All Products'!D:D,'All Products'!F:F,FALSE)</f>
        <v>3</v>
      </c>
      <c r="H355" s="533">
        <f>_xlfn.XLOOKUP(E355,'All Products'!D:D,'All Products'!G:G,FALSE)</f>
        <v>270</v>
      </c>
      <c r="I355" s="540">
        <f>_xlfn.XLOOKUP(E355,'All Products'!D:D,'All Products'!H:H,FALSE)</f>
        <v>184.38</v>
      </c>
      <c r="J355" s="216">
        <f>ROUND(I355*Order_Quote!$L$4,2)</f>
        <v>921.9</v>
      </c>
      <c r="K355" s="76"/>
      <c r="L355" s="79"/>
      <c r="M355" s="117">
        <f t="shared" si="12"/>
        <v>0</v>
      </c>
      <c r="O355" s="530" t="str">
        <f>_xlfn.XLOOKUP(E355,'All Products'!D:D,'All Products'!I:I,FALSE)</f>
        <v>In Stock</v>
      </c>
      <c r="P355" s="530" t="str">
        <f>_xlfn.XLOOKUP(E355,'All Products'!D:D,'All Products'!J:J,FALSE)</f>
        <v>Manufactured</v>
      </c>
      <c r="Q355" s="543" t="str">
        <f>_xlfn.XLOOKUP(E355,'All Products'!D:D,'All Products'!K:K,FALSE)</f>
        <v>049081143534</v>
      </c>
      <c r="R355" s="543" t="str">
        <f>_xlfn.XLOOKUP(E355,'All Products'!D:D,'All Products'!L:L,FALSE)</f>
        <v>-</v>
      </c>
      <c r="S355" s="543" t="str">
        <f>_xlfn.XLOOKUP(E355,'All Products'!D:D,'All Products'!M:M,FALSE)</f>
        <v>40049081143532</v>
      </c>
      <c r="T355" s="530">
        <f>_xlfn.XLOOKUP(E355,'All Products'!D:D,'All Products'!N:N,FALSE)</f>
        <v>2.0070000000000001</v>
      </c>
      <c r="U355" s="543" t="str">
        <f>_xlfn.XLOOKUP(E355,'All Products'!D:D,'All Products'!O:O,FALSE)</f>
        <v>-</v>
      </c>
      <c r="V355" s="530">
        <f>_xlfn.XLOOKUP(E355,'All Products'!D:D,'All Products'!P:P,FALSE)</f>
        <v>6.18</v>
      </c>
      <c r="W355" s="530">
        <f>_xlfn.XLOOKUP(E355,'All Products'!D:D,'All Products'!Q:Q,FALSE)</f>
        <v>0.8</v>
      </c>
    </row>
    <row r="356" spans="1:23" ht="15" customHeight="1">
      <c r="A356" s="104" t="str">
        <f>IF(K356&gt;0,COUNT($A$7:A355)+COUNT('DWV PVC'!$A$8:$A$284)+COUNT('DWV ABS'!$A$8:$A$116)+1,"")</f>
        <v/>
      </c>
      <c r="B356" s="113"/>
      <c r="C356" s="114"/>
      <c r="D356" s="512" t="str">
        <f>_xlfn.XLOOKUP(E356,'All Products'!D:D,'All Products'!C:C,FALSE)</f>
        <v>463-130</v>
      </c>
      <c r="E356" s="53">
        <v>100023159</v>
      </c>
      <c r="F356" s="522" t="str">
        <f>_xlfn.XLOOKUP(E356,'All Products'!D:D,'All Products'!E:E,FALSE)</f>
        <v>1X1/2 SNAP TEE SNAPXSLIP</v>
      </c>
      <c r="G356" s="282">
        <f>_xlfn.XLOOKUP(E356,'All Products'!D:D,'All Products'!F:F,FALSE)</f>
        <v>70</v>
      </c>
      <c r="H356" s="533">
        <f>_xlfn.XLOOKUP(E356,'All Products'!D:D,'All Products'!G:G,FALSE)</f>
        <v>8400</v>
      </c>
      <c r="I356" s="540">
        <f>_xlfn.XLOOKUP(E356,'All Products'!D:D,'All Products'!H:H,FALSE)</f>
        <v>7.57</v>
      </c>
      <c r="J356" s="216">
        <f>ROUND(I356*Order_Quote!$L$4,2)</f>
        <v>37.85</v>
      </c>
      <c r="K356" s="76"/>
      <c r="L356" s="79"/>
      <c r="M356" s="117">
        <f t="shared" si="12"/>
        <v>0</v>
      </c>
      <c r="O356" s="530" t="str">
        <f>_xlfn.XLOOKUP(E356,'All Products'!D:D,'All Products'!I:I,FALSE)</f>
        <v>In Stock</v>
      </c>
      <c r="P356" s="530" t="str">
        <f>_xlfn.XLOOKUP(E356,'All Products'!D:D,'All Products'!J:J,FALSE)</f>
        <v>Manufactured</v>
      </c>
      <c r="Q356" s="543" t="str">
        <f>_xlfn.XLOOKUP(E356,'All Products'!D:D,'All Products'!K:K,FALSE)</f>
        <v>049081143459</v>
      </c>
      <c r="R356" s="543" t="str">
        <f>_xlfn.XLOOKUP(E356,'All Products'!D:D,'All Products'!L:L,FALSE)</f>
        <v>-</v>
      </c>
      <c r="S356" s="543" t="str">
        <f>_xlfn.XLOOKUP(E356,'All Products'!D:D,'All Products'!M:M,FALSE)</f>
        <v>40049081143457</v>
      </c>
      <c r="T356" s="530">
        <f>_xlfn.XLOOKUP(E356,'All Products'!D:D,'All Products'!N:N,FALSE)</f>
        <v>9.7000000000000003E-2</v>
      </c>
      <c r="U356" s="543" t="str">
        <f>_xlfn.XLOOKUP(E356,'All Products'!D:D,'All Products'!O:O,FALSE)</f>
        <v>-</v>
      </c>
      <c r="V356" s="530">
        <f>_xlfn.XLOOKUP(E356,'All Products'!D:D,'All Products'!P:P,FALSE)</f>
        <v>7.66</v>
      </c>
      <c r="W356" s="530">
        <f>_xlfn.XLOOKUP(E356,'All Products'!D:D,'All Products'!Q:Q,FALSE)</f>
        <v>0.65</v>
      </c>
    </row>
    <row r="357" spans="1:23" ht="36.75" customHeight="1">
      <c r="A357" s="104" t="str">
        <f>IF(K357&gt;0,COUNT($A$7:A356)+COUNT('DWV PVC'!$A$8:$A$284)+COUNT('DWV ABS'!$A$8:$A$116)+1,"")</f>
        <v/>
      </c>
      <c r="B357" s="110"/>
      <c r="C357" s="111"/>
      <c r="D357" s="512" t="str">
        <f>_xlfn.XLOOKUP(E357,'All Products'!D:D,'All Products'!C:C,FALSE)</f>
        <v>464-101</v>
      </c>
      <c r="E357" s="53">
        <v>100023165</v>
      </c>
      <c r="F357" s="522" t="str">
        <f>_xlfn.XLOOKUP(E357,'All Products'!D:D,'All Products'!E:E,FALSE)</f>
        <v>3/4X1/2 SNAP TEE SNAP X FIPT</v>
      </c>
      <c r="G357" s="282">
        <f>_xlfn.XLOOKUP(E357,'All Products'!D:D,'All Products'!F:F,FALSE)</f>
        <v>125</v>
      </c>
      <c r="H357" s="533">
        <f>_xlfn.XLOOKUP(E357,'All Products'!D:D,'All Products'!G:G,FALSE)</f>
        <v>15000</v>
      </c>
      <c r="I357" s="540">
        <f>_xlfn.XLOOKUP(E357,'All Products'!D:D,'All Products'!H:H,FALSE)</f>
        <v>6.11</v>
      </c>
      <c r="J357" s="216">
        <f>ROUND(I357*Order_Quote!$L$4,2)</f>
        <v>30.55</v>
      </c>
      <c r="K357" s="76"/>
      <c r="L357" s="79"/>
      <c r="M357" s="117">
        <f t="shared" si="12"/>
        <v>0</v>
      </c>
      <c r="O357" s="530" t="str">
        <f>_xlfn.XLOOKUP(E357,'All Products'!D:D,'All Products'!I:I,FALSE)</f>
        <v>Within 3 Weeks</v>
      </c>
      <c r="P357" s="530" t="str">
        <f>_xlfn.XLOOKUP(E357,'All Products'!D:D,'All Products'!J:J,FALSE)</f>
        <v>Manufactured</v>
      </c>
      <c r="Q357" s="543" t="str">
        <f>_xlfn.XLOOKUP(E357,'All Products'!D:D,'All Products'!K:K,FALSE)</f>
        <v>049081143817</v>
      </c>
      <c r="R357" s="543" t="str">
        <f>_xlfn.XLOOKUP(E357,'All Products'!D:D,'All Products'!L:L,FALSE)</f>
        <v>-</v>
      </c>
      <c r="S357" s="543" t="str">
        <f>_xlfn.XLOOKUP(E357,'All Products'!D:D,'All Products'!M:M,FALSE)</f>
        <v>40049081143815</v>
      </c>
      <c r="T357" s="530">
        <f>_xlfn.XLOOKUP(E357,'All Products'!D:D,'All Products'!N:N,FALSE)</f>
        <v>6.7000000000000004E-2</v>
      </c>
      <c r="U357" s="543" t="str">
        <f>_xlfn.XLOOKUP(E357,'All Products'!D:D,'All Products'!O:O,FALSE)</f>
        <v>-</v>
      </c>
      <c r="V357" s="530">
        <f>_xlfn.XLOOKUP(E357,'All Products'!D:D,'All Products'!P:P,FALSE)</f>
        <v>9.32</v>
      </c>
      <c r="W357" s="530">
        <f>_xlfn.XLOOKUP(E357,'All Products'!D:D,'All Products'!Q:Q,FALSE)</f>
        <v>0.65</v>
      </c>
    </row>
    <row r="358" spans="1:23" ht="36.75" customHeight="1">
      <c r="A358" s="104" t="str">
        <f>IF(K358&gt;0,COUNT($A$7:A357)+COUNT('DWV PVC'!$A$8:$A$284)+COUNT('DWV ABS'!$A$8:$A$116)+1,"")</f>
        <v/>
      </c>
      <c r="B358" s="113"/>
      <c r="C358" s="114"/>
      <c r="D358" s="512" t="str">
        <f>_xlfn.XLOOKUP(E358,'All Products'!D:D,'All Products'!C:C,FALSE)</f>
        <v>464-130</v>
      </c>
      <c r="E358" s="53">
        <v>100023167</v>
      </c>
      <c r="F358" s="522" t="str">
        <f>_xlfn.XLOOKUP(E358,'All Products'!D:D,'All Products'!E:E,FALSE)</f>
        <v>1X1/2 SNAP TEE SNAP X FIPT</v>
      </c>
      <c r="G358" s="282">
        <f>_xlfn.XLOOKUP(E358,'All Products'!D:D,'All Products'!F:F,FALSE)</f>
        <v>70</v>
      </c>
      <c r="H358" s="533">
        <f>_xlfn.XLOOKUP(E358,'All Products'!D:D,'All Products'!G:G,FALSE)</f>
        <v>8400</v>
      </c>
      <c r="I358" s="540">
        <f>_xlfn.XLOOKUP(E358,'All Products'!D:D,'All Products'!H:H,FALSE)</f>
        <v>11</v>
      </c>
      <c r="J358" s="216">
        <f>ROUND(I358*Order_Quote!$L$4,2)</f>
        <v>55</v>
      </c>
      <c r="K358" s="76"/>
      <c r="L358" s="79"/>
      <c r="M358" s="117">
        <f t="shared" si="12"/>
        <v>0</v>
      </c>
      <c r="O358" s="530" t="str">
        <f>_xlfn.XLOOKUP(E358,'All Products'!D:D,'All Products'!I:I,FALSE)</f>
        <v>In Stock</v>
      </c>
      <c r="P358" s="530" t="str">
        <f>_xlfn.XLOOKUP(E358,'All Products'!D:D,'All Products'!J:J,FALSE)</f>
        <v>Manufactured</v>
      </c>
      <c r="Q358" s="543" t="str">
        <f>_xlfn.XLOOKUP(E358,'All Products'!D:D,'All Products'!K:K,FALSE)</f>
        <v>049081143824</v>
      </c>
      <c r="R358" s="543" t="str">
        <f>_xlfn.XLOOKUP(E358,'All Products'!D:D,'All Products'!L:L,FALSE)</f>
        <v>-</v>
      </c>
      <c r="S358" s="543" t="str">
        <f>_xlfn.XLOOKUP(E358,'All Products'!D:D,'All Products'!M:M,FALSE)</f>
        <v>40049081143822</v>
      </c>
      <c r="T358" s="530">
        <f>_xlfn.XLOOKUP(E358,'All Products'!D:D,'All Products'!N:N,FALSE)</f>
        <v>0.10299999999999999</v>
      </c>
      <c r="U358" s="543" t="str">
        <f>_xlfn.XLOOKUP(E358,'All Products'!D:D,'All Products'!O:O,FALSE)</f>
        <v>-</v>
      </c>
      <c r="V358" s="530">
        <f>_xlfn.XLOOKUP(E358,'All Products'!D:D,'All Products'!P:P,FALSE)</f>
        <v>7.92</v>
      </c>
      <c r="W358" s="530">
        <f>_xlfn.XLOOKUP(E358,'All Products'!D:D,'All Products'!Q:Q,FALSE)</f>
        <v>0.65</v>
      </c>
    </row>
    <row r="359" spans="1:23" ht="21" customHeight="1">
      <c r="A359" s="104" t="str">
        <f>IF(K359&gt;0,COUNT($A$7:A358)+COUNT('DWV PVC'!$A$8:$A$284)+COUNT('DWV ABS'!$A$8:$A$116)+1,"")</f>
        <v/>
      </c>
      <c r="B359" s="577"/>
      <c r="C359" s="578"/>
      <c r="D359" s="512" t="str">
        <f>_xlfn.XLOOKUP(E359,'All Products'!D:D,'All Products'!C:C,FALSE)</f>
        <v>474-015</v>
      </c>
      <c r="E359" s="53">
        <v>100023170</v>
      </c>
      <c r="F359" s="522" t="str">
        <f>_xlfn.XLOOKUP(E359,'All Products'!D:D,'All Products'!E:E,FALSE)</f>
        <v>1-1/2 INSERT FITG ADAPTER INSXSLIP</v>
      </c>
      <c r="G359" s="282">
        <f>_xlfn.XLOOKUP(E359,'All Products'!D:D,'All Products'!F:F,FALSE)</f>
        <v>50</v>
      </c>
      <c r="H359" s="533">
        <f>_xlfn.XLOOKUP(E359,'All Products'!D:D,'All Products'!G:G,FALSE)</f>
        <v>6000</v>
      </c>
      <c r="I359" s="540">
        <f>_xlfn.XLOOKUP(E359,'All Products'!D:D,'All Products'!H:H,FALSE)</f>
        <v>8.5</v>
      </c>
      <c r="J359" s="216">
        <f>ROUND(I359*Order_Quote!$L$4,2)</f>
        <v>42.5</v>
      </c>
      <c r="K359" s="76"/>
      <c r="L359" s="79"/>
      <c r="M359" s="117">
        <f t="shared" si="12"/>
        <v>0</v>
      </c>
      <c r="O359" s="530" t="str">
        <f>_xlfn.XLOOKUP(E359,'All Products'!D:D,'All Products'!I:I,FALSE)</f>
        <v>Within 3 Weeks</v>
      </c>
      <c r="P359" s="530" t="str">
        <f>_xlfn.XLOOKUP(E359,'All Products'!D:D,'All Products'!J:J,FALSE)</f>
        <v>Manufactured</v>
      </c>
      <c r="Q359" s="543" t="str">
        <f>_xlfn.XLOOKUP(E359,'All Products'!D:D,'All Products'!K:K,FALSE)</f>
        <v>049081130961</v>
      </c>
      <c r="R359" s="543" t="str">
        <f>_xlfn.XLOOKUP(E359,'All Products'!D:D,'All Products'!L:L,FALSE)</f>
        <v>049081630966</v>
      </c>
      <c r="S359" s="543" t="str">
        <f>_xlfn.XLOOKUP(E359,'All Products'!D:D,'All Products'!M:M,FALSE)</f>
        <v>40049081130969</v>
      </c>
      <c r="T359" s="530">
        <f>_xlfn.XLOOKUP(E359,'All Products'!D:D,'All Products'!N:N,FALSE)</f>
        <v>0.14899999999999999</v>
      </c>
      <c r="U359" s="543">
        <f>_xlfn.XLOOKUP(E359,'All Products'!D:D,'All Products'!O:O,FALSE)</f>
        <v>10</v>
      </c>
      <c r="V359" s="530">
        <f>_xlfn.XLOOKUP(E359,'All Products'!D:D,'All Products'!P:P,FALSE)</f>
        <v>8.44</v>
      </c>
      <c r="W359" s="530">
        <f>_xlfn.XLOOKUP(E359,'All Products'!D:D,'All Products'!Q:Q,FALSE)</f>
        <v>0.65</v>
      </c>
    </row>
    <row r="360" spans="1:23" ht="21" customHeight="1">
      <c r="A360" s="104" t="str">
        <f>IF(K360&gt;0,COUNT($A$7:A359)+COUNT('DWV PVC'!$A$8:$A$284)+COUNT('DWV ABS'!$A$8:$A$116)+1,"")</f>
        <v/>
      </c>
      <c r="B360" s="581"/>
      <c r="C360" s="582"/>
      <c r="D360" s="512" t="str">
        <f>_xlfn.XLOOKUP(E360,'All Products'!D:D,'All Products'!C:C,FALSE)</f>
        <v>474-020</v>
      </c>
      <c r="E360" s="53">
        <v>100023172</v>
      </c>
      <c r="F360" s="522" t="str">
        <f>_xlfn.XLOOKUP(E360,'All Products'!D:D,'All Products'!E:E,FALSE)</f>
        <v>2 INSERT FITTING ADAPTER INSXSLIP</v>
      </c>
      <c r="G360" s="282">
        <f>_xlfn.XLOOKUP(E360,'All Products'!D:D,'All Products'!F:F,FALSE)</f>
        <v>25</v>
      </c>
      <c r="H360" s="533">
        <f>_xlfn.XLOOKUP(E360,'All Products'!D:D,'All Products'!G:G,FALSE)</f>
        <v>3750</v>
      </c>
      <c r="I360" s="540">
        <f>_xlfn.XLOOKUP(E360,'All Products'!D:D,'All Products'!H:H,FALSE)</f>
        <v>14.13</v>
      </c>
      <c r="J360" s="216">
        <f>ROUND(I360*Order_Quote!$L$4,2)</f>
        <v>70.650000000000006</v>
      </c>
      <c r="K360" s="76"/>
      <c r="L360" s="79"/>
      <c r="M360" s="117">
        <f t="shared" si="12"/>
        <v>0</v>
      </c>
      <c r="O360" s="530" t="str">
        <f>_xlfn.XLOOKUP(E360,'All Products'!D:D,'All Products'!I:I,FALSE)</f>
        <v>Within 3 Weeks</v>
      </c>
      <c r="P360" s="530" t="str">
        <f>_xlfn.XLOOKUP(E360,'All Products'!D:D,'All Products'!J:J,FALSE)</f>
        <v>Manufactured</v>
      </c>
      <c r="Q360" s="543" t="str">
        <f>_xlfn.XLOOKUP(E360,'All Products'!D:D,'All Products'!K:K,FALSE)</f>
        <v>049081130954</v>
      </c>
      <c r="R360" s="543" t="str">
        <f>_xlfn.XLOOKUP(E360,'All Products'!D:D,'All Products'!L:L,FALSE)</f>
        <v>049081630959</v>
      </c>
      <c r="S360" s="543" t="str">
        <f>_xlfn.XLOOKUP(E360,'All Products'!D:D,'All Products'!M:M,FALSE)</f>
        <v>40049081130952</v>
      </c>
      <c r="T360" s="530">
        <f>_xlfn.XLOOKUP(E360,'All Products'!D:D,'All Products'!N:N,FALSE)</f>
        <v>0.22600000000000001</v>
      </c>
      <c r="U360" s="543">
        <f>_xlfn.XLOOKUP(E360,'All Products'!D:D,'All Products'!O:O,FALSE)</f>
        <v>5</v>
      </c>
      <c r="V360" s="530">
        <f>_xlfn.XLOOKUP(E360,'All Products'!D:D,'All Products'!P:P,FALSE)</f>
        <v>4.9000000000000004</v>
      </c>
      <c r="W360" s="530">
        <f>_xlfn.XLOOKUP(E360,'All Products'!D:D,'All Products'!Q:Q,FALSE)</f>
        <v>0.5</v>
      </c>
    </row>
    <row r="361" spans="1:23" ht="25.5" customHeight="1">
      <c r="A361" s="104" t="str">
        <f>IF(K361&gt;0,COUNT($A$7:A360)+COUNT('DWV PVC'!$A$8:$A$284)+COUNT('DWV ABS'!$A$8:$A$116)+1,"")</f>
        <v/>
      </c>
      <c r="B361" s="579"/>
      <c r="C361" s="580"/>
      <c r="D361" s="512" t="str">
        <f>_xlfn.XLOOKUP(E361,'All Products'!D:D,'All Products'!C:C,FALSE)</f>
        <v>475-010</v>
      </c>
      <c r="E361" s="53">
        <v>100026390</v>
      </c>
      <c r="F361" s="522" t="str">
        <f>_xlfn.XLOOKUP(E361,'All Products'!D:D,'All Products'!E:E,FALSE)</f>
        <v>1 MANIFOLD TEE SLIPXSPGXMIPT</v>
      </c>
      <c r="G361" s="282">
        <f>_xlfn.XLOOKUP(E361,'All Products'!D:D,'All Products'!F:F,FALSE)</f>
        <v>50</v>
      </c>
      <c r="H361" s="533">
        <f>_xlfn.XLOOKUP(E361,'All Products'!D:D,'All Products'!G:G,FALSE)</f>
        <v>3750</v>
      </c>
      <c r="I361" s="540">
        <f>_xlfn.XLOOKUP(E361,'All Products'!D:D,'All Products'!H:H,FALSE)</f>
        <v>16.7</v>
      </c>
      <c r="J361" s="216">
        <f>ROUND(I361*Order_Quote!$L$4,2)</f>
        <v>83.5</v>
      </c>
      <c r="K361" s="76"/>
      <c r="L361" s="79"/>
      <c r="M361" s="117">
        <f t="shared" si="12"/>
        <v>0</v>
      </c>
      <c r="O361" s="530" t="str">
        <f>_xlfn.XLOOKUP(E361,'All Products'!D:D,'All Products'!I:I,FALSE)</f>
        <v>In Stock</v>
      </c>
      <c r="P361" s="530" t="str">
        <f>_xlfn.XLOOKUP(E361,'All Products'!D:D,'All Products'!J:J,FALSE)</f>
        <v>Manufactured</v>
      </c>
      <c r="Q361" s="543" t="str">
        <f>_xlfn.XLOOKUP(E361,'All Products'!D:D,'All Products'!K:K,FALSE)</f>
        <v>049081145088</v>
      </c>
      <c r="R361" s="543" t="str">
        <f>_xlfn.XLOOKUP(E361,'All Products'!D:D,'All Products'!L:L,FALSE)</f>
        <v>049081645083</v>
      </c>
      <c r="S361" s="543" t="str">
        <f>_xlfn.XLOOKUP(E361,'All Products'!D:D,'All Products'!M:M,FALSE)</f>
        <v>40049081145086</v>
      </c>
      <c r="T361" s="530">
        <f>_xlfn.XLOOKUP(E361,'All Products'!D:D,'All Products'!N:N,FALSE)</f>
        <v>0.23</v>
      </c>
      <c r="U361" s="543">
        <f>_xlfn.XLOOKUP(E361,'All Products'!D:D,'All Products'!O:O,FALSE)</f>
        <v>10</v>
      </c>
      <c r="V361" s="530">
        <f>_xlfn.XLOOKUP(E361,'All Products'!D:D,'All Products'!P:P,FALSE)</f>
        <v>12.73</v>
      </c>
      <c r="W361" s="530">
        <f>_xlfn.XLOOKUP(E361,'All Products'!D:D,'All Products'!Q:Q,FALSE)</f>
        <v>0.95</v>
      </c>
    </row>
    <row r="362" spans="1:23" ht="25.5" customHeight="1">
      <c r="A362" s="104" t="str">
        <f>IF(K362&gt;0,COUNT($A$7:A361)+COUNT('DWV PVC'!$A$8:$A$284)+COUNT('DWV ABS'!$A$8:$A$116)+1,"")</f>
        <v/>
      </c>
      <c r="B362" s="581"/>
      <c r="C362" s="582"/>
      <c r="D362" s="512" t="str">
        <f>_xlfn.XLOOKUP(E362,'All Products'!D:D,'All Products'!C:C,FALSE)</f>
        <v>475-131</v>
      </c>
      <c r="E362" s="53">
        <v>100026391</v>
      </c>
      <c r="F362" s="522" t="str">
        <f>_xlfn.XLOOKUP(E362,'All Products'!D:D,'All Products'!E:E,FALSE)</f>
        <v>1X1X3/4 MANIFOLD TEE SLIPXSPGXMIPT</v>
      </c>
      <c r="G362" s="282">
        <f>_xlfn.XLOOKUP(E362,'All Products'!D:D,'All Products'!F:F,FALSE)</f>
        <v>50</v>
      </c>
      <c r="H362" s="533">
        <f>_xlfn.XLOOKUP(E362,'All Products'!D:D,'All Products'!G:G,FALSE)</f>
        <v>3750</v>
      </c>
      <c r="I362" s="540">
        <f>_xlfn.XLOOKUP(E362,'All Products'!D:D,'All Products'!H:H,FALSE)</f>
        <v>16.7</v>
      </c>
      <c r="J362" s="216">
        <f>ROUND(I362*Order_Quote!$L$4,2)</f>
        <v>83.5</v>
      </c>
      <c r="K362" s="76"/>
      <c r="L362" s="79"/>
      <c r="M362" s="117">
        <f t="shared" si="12"/>
        <v>0</v>
      </c>
      <c r="O362" s="530" t="str">
        <f>_xlfn.XLOOKUP(E362,'All Products'!D:D,'All Products'!I:I,FALSE)</f>
        <v>In Stock</v>
      </c>
      <c r="P362" s="530" t="str">
        <f>_xlfn.XLOOKUP(E362,'All Products'!D:D,'All Products'!J:J,FALSE)</f>
        <v>Manufactured</v>
      </c>
      <c r="Q362" s="543" t="str">
        <f>_xlfn.XLOOKUP(E362,'All Products'!D:D,'All Products'!K:K,FALSE)</f>
        <v>049081145101</v>
      </c>
      <c r="R362" s="543" t="str">
        <f>_xlfn.XLOOKUP(E362,'All Products'!D:D,'All Products'!L:L,FALSE)</f>
        <v>049081645106</v>
      </c>
      <c r="S362" s="543" t="str">
        <f>_xlfn.XLOOKUP(E362,'All Products'!D:D,'All Products'!M:M,FALSE)</f>
        <v>40049081145109</v>
      </c>
      <c r="T362" s="530">
        <f>_xlfn.XLOOKUP(E362,'All Products'!D:D,'All Products'!N:N,FALSE)</f>
        <v>0.245</v>
      </c>
      <c r="U362" s="543">
        <f>_xlfn.XLOOKUP(E362,'All Products'!D:D,'All Products'!O:O,FALSE)</f>
        <v>10</v>
      </c>
      <c r="V362" s="530">
        <f>_xlfn.XLOOKUP(E362,'All Products'!D:D,'All Products'!P:P,FALSE)</f>
        <v>12.26</v>
      </c>
      <c r="W362" s="530">
        <f>_xlfn.XLOOKUP(E362,'All Products'!D:D,'All Products'!Q:Q,FALSE)</f>
        <v>0.95</v>
      </c>
    </row>
    <row r="363" spans="1:23" ht="36.75" customHeight="1">
      <c r="A363" s="104" t="str">
        <f>IF(K363&gt;0,COUNT($A$7:A362)+COUNT('DWV PVC'!$A$8:$A$284)+COUNT('DWV ABS'!$A$8:$A$116)+1,"")</f>
        <v/>
      </c>
      <c r="B363" s="115"/>
      <c r="C363" s="116"/>
      <c r="D363" s="512" t="str">
        <f>_xlfn.XLOOKUP(E363,'All Products'!D:D,'All Products'!C:C,FALSE)</f>
        <v>476-010</v>
      </c>
      <c r="E363" s="53">
        <v>100026392</v>
      </c>
      <c r="F363" s="522" t="str">
        <f>_xlfn.XLOOKUP(E363,'All Products'!D:D,'All Products'!E:E,FALSE)</f>
        <v>1 MANIFOLD TEE SLIPXSPGXFIPT</v>
      </c>
      <c r="G363" s="282">
        <f>_xlfn.XLOOKUP(E363,'All Products'!D:D,'All Products'!F:F,FALSE)</f>
        <v>50</v>
      </c>
      <c r="H363" s="533">
        <f>_xlfn.XLOOKUP(E363,'All Products'!D:D,'All Products'!G:G,FALSE)</f>
        <v>3750</v>
      </c>
      <c r="I363" s="540">
        <f>_xlfn.XLOOKUP(E363,'All Products'!D:D,'All Products'!H:H,FALSE)</f>
        <v>15.5</v>
      </c>
      <c r="J363" s="216">
        <f>ROUND(I363*Order_Quote!$L$4,2)</f>
        <v>77.5</v>
      </c>
      <c r="K363" s="76"/>
      <c r="L363" s="79"/>
      <c r="M363" s="117">
        <f t="shared" si="12"/>
        <v>0</v>
      </c>
      <c r="O363" s="530" t="str">
        <f>_xlfn.XLOOKUP(E363,'All Products'!D:D,'All Products'!I:I,FALSE)</f>
        <v>In Stock</v>
      </c>
      <c r="P363" s="530" t="str">
        <f>_xlfn.XLOOKUP(E363,'All Products'!D:D,'All Products'!J:J,FALSE)</f>
        <v>Manufactured</v>
      </c>
      <c r="Q363" s="543" t="str">
        <f>_xlfn.XLOOKUP(E363,'All Products'!D:D,'All Products'!K:K,FALSE)</f>
        <v>049081356576</v>
      </c>
      <c r="R363" s="543" t="str">
        <f>_xlfn.XLOOKUP(E363,'All Products'!D:D,'All Products'!L:L,FALSE)</f>
        <v>049081756574</v>
      </c>
      <c r="S363" s="543" t="str">
        <f>_xlfn.XLOOKUP(E363,'All Products'!D:D,'All Products'!M:M,FALSE)</f>
        <v>40049081356574</v>
      </c>
      <c r="T363" s="530">
        <f>_xlfn.XLOOKUP(E363,'All Products'!D:D,'All Products'!N:N,FALSE)</f>
        <v>0.26100000000000001</v>
      </c>
      <c r="U363" s="543">
        <f>_xlfn.XLOOKUP(E363,'All Products'!D:D,'All Products'!O:O,FALSE)</f>
        <v>10</v>
      </c>
      <c r="V363" s="530">
        <f>_xlfn.XLOOKUP(E363,'All Products'!D:D,'All Products'!P:P,FALSE)</f>
        <v>13.66</v>
      </c>
      <c r="W363" s="530">
        <f>_xlfn.XLOOKUP(E363,'All Products'!D:D,'All Products'!Q:Q,FALSE)</f>
        <v>0.95</v>
      </c>
    </row>
    <row r="364" spans="1:23" ht="15" customHeight="1">
      <c r="A364" s="104" t="str">
        <f>IF(K364&gt;0,COUNT($A$7:A363)+COUNT('DWV PVC'!$A$8:$A$284)+COUNT('DWV ABS'!$A$8:$A$116)+1,"")</f>
        <v/>
      </c>
      <c r="B364" s="577"/>
      <c r="C364" s="578"/>
      <c r="D364" s="512" t="str">
        <f>_xlfn.XLOOKUP(E364,'All Products'!D:D,'All Products'!C:C,FALSE)</f>
        <v>477-020</v>
      </c>
      <c r="E364" s="53">
        <v>100023174</v>
      </c>
      <c r="F364" s="522" t="str">
        <f>_xlfn.XLOOKUP(E364,'All Products'!D:D,'All Products'!E:E,FALSE)</f>
        <v>2 WYE SLIP X SLIP X SLIP</v>
      </c>
      <c r="G364" s="282">
        <f>_xlfn.XLOOKUP(E364,'All Products'!D:D,'All Products'!F:F,FALSE)</f>
        <v>8</v>
      </c>
      <c r="H364" s="533">
        <f>_xlfn.XLOOKUP(E364,'All Products'!D:D,'All Products'!G:G,FALSE)</f>
        <v>960</v>
      </c>
      <c r="I364" s="540">
        <f>_xlfn.XLOOKUP(E364,'All Products'!D:D,'All Products'!H:H,FALSE)</f>
        <v>88.63</v>
      </c>
      <c r="J364" s="216">
        <f>ROUND(I364*Order_Quote!$L$4,2)</f>
        <v>443.15</v>
      </c>
      <c r="K364" s="76"/>
      <c r="L364" s="79"/>
      <c r="M364" s="117">
        <f t="shared" si="12"/>
        <v>0</v>
      </c>
      <c r="O364" s="530" t="str">
        <f>_xlfn.XLOOKUP(E364,'All Products'!D:D,'All Products'!I:I,FALSE)</f>
        <v>In Stock</v>
      </c>
      <c r="P364" s="530" t="str">
        <f>_xlfn.XLOOKUP(E364,'All Products'!D:D,'All Products'!J:J,FALSE)</f>
        <v>Manufactured</v>
      </c>
      <c r="Q364" s="543" t="str">
        <f>_xlfn.XLOOKUP(E364,'All Products'!D:D,'All Products'!K:K,FALSE)</f>
        <v>049081350468</v>
      </c>
      <c r="R364" s="543" t="str">
        <f>_xlfn.XLOOKUP(E364,'All Products'!D:D,'All Products'!L:L,FALSE)</f>
        <v>-</v>
      </c>
      <c r="S364" s="543" t="str">
        <f>_xlfn.XLOOKUP(E364,'All Products'!D:D,'All Products'!M:M,FALSE)</f>
        <v>40049081350466</v>
      </c>
      <c r="T364" s="530">
        <f>_xlfn.XLOOKUP(E364,'All Products'!D:D,'All Products'!N:N,FALSE)</f>
        <v>1.133</v>
      </c>
      <c r="U364" s="543" t="str">
        <f>_xlfn.XLOOKUP(E364,'All Products'!D:D,'All Products'!O:O,FALSE)</f>
        <v>-</v>
      </c>
      <c r="V364" s="530">
        <f>_xlfn.XLOOKUP(E364,'All Products'!D:D,'All Products'!P:P,FALSE)</f>
        <v>9.84</v>
      </c>
      <c r="W364" s="530">
        <f>_xlfn.XLOOKUP(E364,'All Products'!D:D,'All Products'!Q:Q,FALSE)</f>
        <v>0.65</v>
      </c>
    </row>
    <row r="365" spans="1:23" ht="15" customHeight="1">
      <c r="A365" s="104" t="str">
        <f>IF(K365&gt;0,COUNT($A$7:A364)+COUNT('DWV PVC'!$A$8:$A$284)+COUNT('DWV ABS'!$A$8:$A$116)+1,"")</f>
        <v/>
      </c>
      <c r="B365" s="579"/>
      <c r="C365" s="580"/>
      <c r="D365" s="512" t="str">
        <f>_xlfn.XLOOKUP(E365,'All Products'!D:D,'All Products'!C:C,FALSE)</f>
        <v>477-040</v>
      </c>
      <c r="E365" s="53">
        <v>100023176</v>
      </c>
      <c r="F365" s="522" t="str">
        <f>_xlfn.XLOOKUP(E365,'All Products'!D:D,'All Products'!E:E,FALSE)</f>
        <v>4 WYE SLIP X SLIP X SLIP</v>
      </c>
      <c r="G365" s="282">
        <f>_xlfn.XLOOKUP(E365,'All Products'!D:D,'All Products'!F:F,FALSE)</f>
        <v>2</v>
      </c>
      <c r="H365" s="533">
        <f>_xlfn.XLOOKUP(E365,'All Products'!D:D,'All Products'!G:G,FALSE)</f>
        <v>150</v>
      </c>
      <c r="I365" s="540">
        <f>_xlfn.XLOOKUP(E365,'All Products'!D:D,'All Products'!H:H,FALSE)</f>
        <v>281.55</v>
      </c>
      <c r="J365" s="216">
        <f>ROUND(I365*Order_Quote!$L$4,2)</f>
        <v>1407.75</v>
      </c>
      <c r="K365" s="76"/>
      <c r="L365" s="79"/>
      <c r="M365" s="117">
        <f t="shared" si="12"/>
        <v>0</v>
      </c>
      <c r="O365" s="530" t="str">
        <f>_xlfn.XLOOKUP(E365,'All Products'!D:D,'All Products'!I:I,FALSE)</f>
        <v>In Stock</v>
      </c>
      <c r="P365" s="530" t="str">
        <f>_xlfn.XLOOKUP(E365,'All Products'!D:D,'All Products'!J:J,FALSE)</f>
        <v>Manufactured</v>
      </c>
      <c r="Q365" s="543" t="str">
        <f>_xlfn.XLOOKUP(E365,'All Products'!D:D,'All Products'!K:K,FALSE)</f>
        <v>049081350499</v>
      </c>
      <c r="R365" s="543" t="str">
        <f>_xlfn.XLOOKUP(E365,'All Products'!D:D,'All Products'!L:L,FALSE)</f>
        <v>-</v>
      </c>
      <c r="S365" s="543" t="str">
        <f>_xlfn.XLOOKUP(E365,'All Products'!D:D,'All Products'!M:M,FALSE)</f>
        <v>40049081350497</v>
      </c>
      <c r="T365" s="530">
        <f>_xlfn.XLOOKUP(E365,'All Products'!D:D,'All Products'!N:N,FALSE)</f>
        <v>5.13</v>
      </c>
      <c r="U365" s="543" t="str">
        <f>_xlfn.XLOOKUP(E365,'All Products'!D:D,'All Products'!O:O,FALSE)</f>
        <v>-</v>
      </c>
      <c r="V365" s="530">
        <f>_xlfn.XLOOKUP(E365,'All Products'!D:D,'All Products'!P:P,FALSE)</f>
        <v>11.05</v>
      </c>
      <c r="W365" s="530">
        <f>_xlfn.XLOOKUP(E365,'All Products'!D:D,'All Products'!Q:Q,FALSE)</f>
        <v>1.1000000000000001</v>
      </c>
    </row>
    <row r="366" spans="1:23" ht="15" customHeight="1">
      <c r="A366" s="104" t="str">
        <f>IF(K366&gt;0,COUNT($A$7:A365)+COUNT('DWV PVC'!$A$8:$A$284)+COUNT('DWV ABS'!$A$8:$A$116)+1,"")</f>
        <v/>
      </c>
      <c r="B366" s="581"/>
      <c r="C366" s="582"/>
      <c r="D366" s="512" t="str">
        <f>_xlfn.XLOOKUP(E366,'All Products'!D:D,'All Products'!C:C,FALSE)</f>
        <v>477-060</v>
      </c>
      <c r="E366" s="53">
        <v>100023177</v>
      </c>
      <c r="F366" s="522" t="str">
        <f>_xlfn.XLOOKUP(E366,'All Products'!D:D,'All Products'!E:E,FALSE)</f>
        <v>6 WYE SLIP X SLIP X SLIP</v>
      </c>
      <c r="G366" s="282">
        <f>_xlfn.XLOOKUP(E366,'All Products'!D:D,'All Products'!F:F,FALSE)</f>
        <v>1</v>
      </c>
      <c r="H366" s="533">
        <f>_xlfn.XLOOKUP(E366,'All Products'!D:D,'All Products'!G:G,FALSE)</f>
        <v>60</v>
      </c>
      <c r="I366" s="540">
        <f>_xlfn.XLOOKUP(E366,'All Products'!D:D,'All Products'!H:H,FALSE)</f>
        <v>595.70000000000005</v>
      </c>
      <c r="J366" s="216">
        <f>ROUND(I366*Order_Quote!$L$4,2)</f>
        <v>2978.5</v>
      </c>
      <c r="K366" s="76"/>
      <c r="L366" s="79"/>
      <c r="M366" s="117">
        <f t="shared" si="12"/>
        <v>0</v>
      </c>
      <c r="O366" s="530" t="str">
        <f>_xlfn.XLOOKUP(E366,'All Products'!D:D,'All Products'!I:I,FALSE)</f>
        <v>Within 3 Weeks</v>
      </c>
      <c r="P366" s="530" t="str">
        <f>_xlfn.XLOOKUP(E366,'All Products'!D:D,'All Products'!J:J,FALSE)</f>
        <v>Manufactured</v>
      </c>
      <c r="Q366" s="543" t="str">
        <f>_xlfn.XLOOKUP(E366,'All Products'!D:D,'All Products'!K:K,FALSE)</f>
        <v>049081350505</v>
      </c>
      <c r="R366" s="543" t="str">
        <f>_xlfn.XLOOKUP(E366,'All Products'!D:D,'All Products'!L:L,FALSE)</f>
        <v>-</v>
      </c>
      <c r="S366" s="543" t="str">
        <f>_xlfn.XLOOKUP(E366,'All Products'!D:D,'All Products'!M:M,FALSE)</f>
        <v>40049081350503</v>
      </c>
      <c r="T366" s="530">
        <f>_xlfn.XLOOKUP(E366,'All Products'!D:D,'All Products'!N:N,FALSE)</f>
        <v>13.134</v>
      </c>
      <c r="U366" s="543" t="str">
        <f>_xlfn.XLOOKUP(E366,'All Products'!D:D,'All Products'!O:O,FALSE)</f>
        <v>-</v>
      </c>
      <c r="V366" s="530">
        <f>_xlfn.XLOOKUP(E366,'All Products'!D:D,'All Products'!P:P,FALSE)</f>
        <v>12.9</v>
      </c>
      <c r="W366" s="530">
        <f>_xlfn.XLOOKUP(E366,'All Products'!D:D,'All Products'!Q:Q,FALSE)</f>
        <v>1.25</v>
      </c>
    </row>
    <row r="367" spans="1:23" ht="15" customHeight="1">
      <c r="A367" s="104" t="str">
        <f>IF(K367&gt;0,COUNT($A$7:A366)+COUNT('DWV PVC'!$A$8:$A$284)+COUNT('DWV ABS'!$A$8:$A$116)+1,"")</f>
        <v/>
      </c>
      <c r="B367" s="110"/>
      <c r="C367" s="111"/>
      <c r="D367" s="512" t="str">
        <f>_xlfn.XLOOKUP(E367,'All Products'!D:D,'All Products'!C:C,FALSE)</f>
        <v>478-007</v>
      </c>
      <c r="E367" s="53">
        <v>100023181</v>
      </c>
      <c r="F367" s="522" t="str">
        <f>_xlfn.XLOOKUP(E367,'All Products'!D:D,'All Products'!E:E,FALSE)</f>
        <v>3/4 FEM FITTING ADAPTER SPG X FIPT</v>
      </c>
      <c r="G367" s="282">
        <f>_xlfn.XLOOKUP(E367,'All Products'!D:D,'All Products'!F:F,FALSE)</f>
        <v>250</v>
      </c>
      <c r="H367" s="533">
        <f>_xlfn.XLOOKUP(E367,'All Products'!D:D,'All Products'!G:G,FALSE)</f>
        <v>30000</v>
      </c>
      <c r="I367" s="540">
        <f>_xlfn.XLOOKUP(E367,'All Products'!D:D,'All Products'!H:H,FALSE)</f>
        <v>2.37</v>
      </c>
      <c r="J367" s="216">
        <f>ROUND(I367*Order_Quote!$L$4,2)</f>
        <v>11.85</v>
      </c>
      <c r="K367" s="76"/>
      <c r="L367" s="79"/>
      <c r="M367" s="117">
        <f t="shared" si="12"/>
        <v>0</v>
      </c>
      <c r="O367" s="530" t="str">
        <f>_xlfn.XLOOKUP(E367,'All Products'!D:D,'All Products'!I:I,FALSE)</f>
        <v>Within 3 Weeks</v>
      </c>
      <c r="P367" s="530" t="str">
        <f>_xlfn.XLOOKUP(E367,'All Products'!D:D,'All Products'!J:J,FALSE)</f>
        <v>Manufactured</v>
      </c>
      <c r="Q367" s="543" t="str">
        <f>_xlfn.XLOOKUP(E367,'All Products'!D:D,'All Products'!K:K,FALSE)</f>
        <v>049081132804</v>
      </c>
      <c r="R367" s="543" t="str">
        <f>_xlfn.XLOOKUP(E367,'All Products'!D:D,'All Products'!L:L,FALSE)</f>
        <v>049081632809</v>
      </c>
      <c r="S367" s="543" t="str">
        <f>_xlfn.XLOOKUP(E367,'All Products'!D:D,'All Products'!M:M,FALSE)</f>
        <v>40049081132802</v>
      </c>
      <c r="T367" s="530">
        <f>_xlfn.XLOOKUP(E367,'All Products'!D:D,'All Products'!N:N,FALSE)</f>
        <v>4.4999999999999998E-2</v>
      </c>
      <c r="U367" s="543">
        <f>_xlfn.XLOOKUP(E367,'All Products'!D:D,'All Products'!O:O,FALSE)</f>
        <v>10</v>
      </c>
      <c r="V367" s="530">
        <f>_xlfn.XLOOKUP(E367,'All Products'!D:D,'All Products'!P:P,FALSE)</f>
        <v>12.91</v>
      </c>
      <c r="W367" s="530">
        <f>_xlfn.XLOOKUP(E367,'All Products'!D:D,'All Products'!Q:Q,FALSE)</f>
        <v>0.65</v>
      </c>
    </row>
    <row r="368" spans="1:23" ht="15" customHeight="1">
      <c r="A368" s="104" t="str">
        <f>IF(K368&gt;0,COUNT($A$7:A367)+COUNT('DWV PVC'!$A$8:$A$284)+COUNT('DWV ABS'!$A$8:$A$116)+1,"")</f>
        <v/>
      </c>
      <c r="B368" s="112"/>
      <c r="C368" s="79"/>
      <c r="D368" s="512" t="str">
        <f>_xlfn.XLOOKUP(E368,'All Products'!D:D,'All Products'!C:C,FALSE)</f>
        <v>478-010</v>
      </c>
      <c r="E368" s="53">
        <v>100023183</v>
      </c>
      <c r="F368" s="522" t="str">
        <f>_xlfn.XLOOKUP(E368,'All Products'!D:D,'All Products'!E:E,FALSE)</f>
        <v>1 FEMALE FITTING ADAPTER SPG X FIPT</v>
      </c>
      <c r="G368" s="282">
        <f>_xlfn.XLOOKUP(E368,'All Products'!D:D,'All Products'!F:F,FALSE)</f>
        <v>100</v>
      </c>
      <c r="H368" s="533">
        <f>_xlfn.XLOOKUP(E368,'All Products'!D:D,'All Products'!G:G,FALSE)</f>
        <v>15000</v>
      </c>
      <c r="I368" s="540">
        <f>_xlfn.XLOOKUP(E368,'All Products'!D:D,'All Products'!H:H,FALSE)</f>
        <v>3.74</v>
      </c>
      <c r="J368" s="216">
        <f>ROUND(I368*Order_Quote!$L$4,2)</f>
        <v>18.7</v>
      </c>
      <c r="K368" s="76"/>
      <c r="L368" s="79"/>
      <c r="M368" s="117">
        <f t="shared" si="12"/>
        <v>0</v>
      </c>
      <c r="O368" s="530" t="str">
        <f>_xlfn.XLOOKUP(E368,'All Products'!D:D,'All Products'!I:I,FALSE)</f>
        <v>Within 3 Weeks</v>
      </c>
      <c r="P368" s="530" t="str">
        <f>_xlfn.XLOOKUP(E368,'All Products'!D:D,'All Products'!J:J,FALSE)</f>
        <v>Manufactured</v>
      </c>
      <c r="Q368" s="543" t="str">
        <f>_xlfn.XLOOKUP(E368,'All Products'!D:D,'All Products'!K:K,FALSE)</f>
        <v>049081132828</v>
      </c>
      <c r="R368" s="543" t="str">
        <f>_xlfn.XLOOKUP(E368,'All Products'!D:D,'All Products'!L:L,FALSE)</f>
        <v>049081632823</v>
      </c>
      <c r="S368" s="543" t="str">
        <f>_xlfn.XLOOKUP(E368,'All Products'!D:D,'All Products'!M:M,FALSE)</f>
        <v>40049081132826</v>
      </c>
      <c r="T368" s="530">
        <f>_xlfn.XLOOKUP(E368,'All Products'!D:D,'All Products'!N:N,FALSE)</f>
        <v>7.8E-2</v>
      </c>
      <c r="U368" s="543">
        <f>_xlfn.XLOOKUP(E368,'All Products'!D:D,'All Products'!O:O,FALSE)</f>
        <v>10</v>
      </c>
      <c r="V368" s="530">
        <f>_xlfn.XLOOKUP(E368,'All Products'!D:D,'All Products'!P:P,FALSE)</f>
        <v>8.74</v>
      </c>
      <c r="W368" s="530">
        <f>_xlfn.XLOOKUP(E368,'All Products'!D:D,'All Products'!Q:Q,FALSE)</f>
        <v>0.5</v>
      </c>
    </row>
    <row r="369" spans="1:23" ht="15" customHeight="1">
      <c r="A369" s="104" t="str">
        <f>IF(K369&gt;0,COUNT($A$7:A368)+COUNT('DWV PVC'!$A$8:$A$284)+COUNT('DWV ABS'!$A$8:$A$116)+1,"")</f>
        <v/>
      </c>
      <c r="B369" s="112"/>
      <c r="C369" s="79"/>
      <c r="D369" s="512" t="str">
        <f>_xlfn.XLOOKUP(E369,'All Products'!D:D,'All Products'!C:C,FALSE)</f>
        <v>478-020</v>
      </c>
      <c r="E369" s="53">
        <v>100023189</v>
      </c>
      <c r="F369" s="522" t="str">
        <f>_xlfn.XLOOKUP(E369,'All Products'!D:D,'All Products'!E:E,FALSE)</f>
        <v>2 FEMALE FITTING ADAPTER SPG X FIPT</v>
      </c>
      <c r="G369" s="282">
        <f>_xlfn.XLOOKUP(E369,'All Products'!D:D,'All Products'!F:F,FALSE)</f>
        <v>25</v>
      </c>
      <c r="H369" s="533">
        <f>_xlfn.XLOOKUP(E369,'All Products'!D:D,'All Products'!G:G,FALSE)</f>
        <v>3750</v>
      </c>
      <c r="I369" s="540">
        <f>_xlfn.XLOOKUP(E369,'All Products'!D:D,'All Products'!H:H,FALSE)</f>
        <v>9.5</v>
      </c>
      <c r="J369" s="216">
        <f>ROUND(I369*Order_Quote!$L$4,2)</f>
        <v>47.5</v>
      </c>
      <c r="K369" s="76"/>
      <c r="L369" s="79"/>
      <c r="M369" s="117">
        <f t="shared" si="12"/>
        <v>0</v>
      </c>
      <c r="O369" s="530" t="str">
        <f>_xlfn.XLOOKUP(E369,'All Products'!D:D,'All Products'!I:I,FALSE)</f>
        <v>Within 3 Weeks</v>
      </c>
      <c r="P369" s="530" t="str">
        <f>_xlfn.XLOOKUP(E369,'All Products'!D:D,'All Products'!J:J,FALSE)</f>
        <v>Manufactured</v>
      </c>
      <c r="Q369" s="543" t="str">
        <f>_xlfn.XLOOKUP(E369,'All Products'!D:D,'All Products'!K:K,FALSE)</f>
        <v>049081132866</v>
      </c>
      <c r="R369" s="543" t="str">
        <f>_xlfn.XLOOKUP(E369,'All Products'!D:D,'All Products'!L:L,FALSE)</f>
        <v>-</v>
      </c>
      <c r="S369" s="543" t="str">
        <f>_xlfn.XLOOKUP(E369,'All Products'!D:D,'All Products'!M:M,FALSE)</f>
        <v>40049081132864</v>
      </c>
      <c r="T369" s="530">
        <f>_xlfn.XLOOKUP(E369,'All Products'!D:D,'All Products'!N:N,FALSE)</f>
        <v>0.20300000000000001</v>
      </c>
      <c r="U369" s="543" t="str">
        <f>_xlfn.XLOOKUP(E369,'All Products'!D:D,'All Products'!O:O,FALSE)</f>
        <v>-</v>
      </c>
      <c r="V369" s="530">
        <f>_xlfn.XLOOKUP(E369,'All Products'!D:D,'All Products'!P:P,FALSE)</f>
        <v>5.04</v>
      </c>
      <c r="W369" s="530">
        <f>_xlfn.XLOOKUP(E369,'All Products'!D:D,'All Products'!Q:Q,FALSE)</f>
        <v>0.5</v>
      </c>
    </row>
    <row r="370" spans="1:23" ht="15" customHeight="1">
      <c r="A370" s="104" t="str">
        <f>IF(K370&gt;0,COUNT($A$7:A369)+COUNT('DWV PVC'!$A$8:$A$284)+COUNT('DWV ABS'!$A$8:$A$116)+1,"")</f>
        <v/>
      </c>
      <c r="B370" s="113"/>
      <c r="C370" s="114"/>
      <c r="D370" s="512" t="str">
        <f>_xlfn.XLOOKUP(E370,'All Products'!D:D,'All Products'!C:C,FALSE)</f>
        <v>478-040</v>
      </c>
      <c r="E370" s="53">
        <v>100023193</v>
      </c>
      <c r="F370" s="522" t="str">
        <f>_xlfn.XLOOKUP(E370,'All Products'!D:D,'All Products'!E:E,FALSE)</f>
        <v>4 FEMALE FITTING ADAPTER SPG X FIPT</v>
      </c>
      <c r="G370" s="282">
        <f>_xlfn.XLOOKUP(E370,'All Products'!D:D,'All Products'!F:F,FALSE)</f>
        <v>6</v>
      </c>
      <c r="H370" s="533">
        <f>_xlfn.XLOOKUP(E370,'All Products'!D:D,'All Products'!G:G,FALSE)</f>
        <v>540</v>
      </c>
      <c r="I370" s="540">
        <f>_xlfn.XLOOKUP(E370,'All Products'!D:D,'All Products'!H:H,FALSE)</f>
        <v>53.54</v>
      </c>
      <c r="J370" s="216">
        <f>ROUND(I370*Order_Quote!$L$4,2)</f>
        <v>267.7</v>
      </c>
      <c r="K370" s="76"/>
      <c r="L370" s="79"/>
      <c r="M370" s="117">
        <f t="shared" si="12"/>
        <v>0</v>
      </c>
      <c r="O370" s="530" t="str">
        <f>_xlfn.XLOOKUP(E370,'All Products'!D:D,'All Products'!I:I,FALSE)</f>
        <v>Within 3 Weeks</v>
      </c>
      <c r="P370" s="530" t="str">
        <f>_xlfn.XLOOKUP(E370,'All Products'!D:D,'All Products'!J:J,FALSE)</f>
        <v>Manufactured</v>
      </c>
      <c r="Q370" s="543" t="str">
        <f>_xlfn.XLOOKUP(E370,'All Products'!D:D,'All Products'!K:K,FALSE)</f>
        <v>049081132880</v>
      </c>
      <c r="R370" s="543" t="str">
        <f>_xlfn.XLOOKUP(E370,'All Products'!D:D,'All Products'!L:L,FALSE)</f>
        <v>-</v>
      </c>
      <c r="S370" s="543" t="str">
        <f>_xlfn.XLOOKUP(E370,'All Products'!D:D,'All Products'!M:M,FALSE)</f>
        <v>40049081132888</v>
      </c>
      <c r="T370" s="530">
        <f>_xlfn.XLOOKUP(E370,'All Products'!D:D,'All Products'!N:N,FALSE)</f>
        <v>0.83399999999999996</v>
      </c>
      <c r="U370" s="543" t="str">
        <f>_xlfn.XLOOKUP(E370,'All Products'!D:D,'All Products'!O:O,FALSE)</f>
        <v>-</v>
      </c>
      <c r="V370" s="530">
        <f>_xlfn.XLOOKUP(E370,'All Products'!D:D,'All Products'!P:P,FALSE)</f>
        <v>7.19</v>
      </c>
      <c r="W370" s="530">
        <f>_xlfn.XLOOKUP(E370,'All Products'!D:D,'All Products'!Q:Q,FALSE)</f>
        <v>0.8</v>
      </c>
    </row>
    <row r="371" spans="1:23" ht="18.75" customHeight="1">
      <c r="A371" s="104" t="str">
        <f>IF(K371&gt;0,COUNT($A$7:A370)+COUNT('DWV PVC'!$A$8:$A$284)+COUNT('DWV ABS'!$A$8:$A$116)+1,"")</f>
        <v/>
      </c>
      <c r="B371" s="112"/>
      <c r="C371" s="79"/>
      <c r="D371" s="512" t="str">
        <f>_xlfn.XLOOKUP(E371,'All Products'!D:D,'All Products'!C:C,FALSE)</f>
        <v>479-020</v>
      </c>
      <c r="E371" s="53">
        <v>100023196</v>
      </c>
      <c r="F371" s="522" t="str">
        <f>_xlfn.XLOOKUP(E371,'All Products'!D:D,'All Products'!E:E,FALSE)</f>
        <v>2 EXTRA DEEP COUPLING SLIP X SLIP</v>
      </c>
      <c r="G371" s="282">
        <f>_xlfn.XLOOKUP(E371,'All Products'!D:D,'All Products'!F:F,FALSE)</f>
        <v>15</v>
      </c>
      <c r="H371" s="533">
        <f>_xlfn.XLOOKUP(E371,'All Products'!D:D,'All Products'!G:G,FALSE)</f>
        <v>2250</v>
      </c>
      <c r="I371" s="540">
        <f>_xlfn.XLOOKUP(E371,'All Products'!D:D,'All Products'!H:H,FALSE)</f>
        <v>16.100000000000001</v>
      </c>
      <c r="J371" s="216">
        <f>ROUND(I371*Order_Quote!$L$4,2)</f>
        <v>80.5</v>
      </c>
      <c r="K371" s="76"/>
      <c r="L371" s="79"/>
      <c r="M371" s="117">
        <f t="shared" si="12"/>
        <v>0</v>
      </c>
      <c r="O371" s="530" t="str">
        <f>_xlfn.XLOOKUP(E371,'All Products'!D:D,'All Products'!I:I,FALSE)</f>
        <v>In Stock</v>
      </c>
      <c r="P371" s="530" t="str">
        <f>_xlfn.XLOOKUP(E371,'All Products'!D:D,'All Products'!J:J,FALSE)</f>
        <v>Manufactured</v>
      </c>
      <c r="Q371" s="543" t="str">
        <f>_xlfn.XLOOKUP(E371,'All Products'!D:D,'All Products'!K:K,FALSE)</f>
        <v>049081138400</v>
      </c>
      <c r="R371" s="543" t="str">
        <f>_xlfn.XLOOKUP(E371,'All Products'!D:D,'All Products'!L:L,FALSE)</f>
        <v>-</v>
      </c>
      <c r="S371" s="543" t="str">
        <f>_xlfn.XLOOKUP(E371,'All Products'!D:D,'All Products'!M:M,FALSE)</f>
        <v>40049081138408</v>
      </c>
      <c r="T371" s="530">
        <f>_xlfn.XLOOKUP(E371,'All Products'!D:D,'All Products'!N:N,FALSE)</f>
        <v>0.42799999999999999</v>
      </c>
      <c r="U371" s="543" t="str">
        <f>_xlfn.XLOOKUP(E371,'All Products'!D:D,'All Products'!O:O,FALSE)</f>
        <v>-</v>
      </c>
      <c r="V371" s="530">
        <f>_xlfn.XLOOKUP(E371,'All Products'!D:D,'All Products'!P:P,FALSE)</f>
        <v>7.26</v>
      </c>
      <c r="W371" s="530">
        <f>_xlfn.XLOOKUP(E371,'All Products'!D:D,'All Products'!Q:Q,FALSE)</f>
        <v>0.5</v>
      </c>
    </row>
    <row r="372" spans="1:23" ht="18.75" customHeight="1">
      <c r="A372" s="104" t="str">
        <f>IF(K372&gt;0,COUNT($A$7:A371)+COUNT('DWV PVC'!$A$8:$A$284)+COUNT('DWV ABS'!$A$8:$A$116)+1,"")</f>
        <v/>
      </c>
      <c r="B372" s="112"/>
      <c r="C372" s="79"/>
      <c r="D372" s="512" t="str">
        <f>_xlfn.XLOOKUP(E372,'All Products'!D:D,'All Products'!C:C,FALSE)</f>
        <v>479-030</v>
      </c>
      <c r="E372" s="53">
        <v>100023198</v>
      </c>
      <c r="F372" s="522" t="str">
        <f>_xlfn.XLOOKUP(E372,'All Products'!D:D,'All Products'!E:E,FALSE)</f>
        <v>3 EXTRA DEEP COUPLING SLIP X SLIP</v>
      </c>
      <c r="G372" s="282">
        <f>_xlfn.XLOOKUP(E372,'All Products'!D:D,'All Products'!F:F,FALSE)</f>
        <v>8</v>
      </c>
      <c r="H372" s="533">
        <f>_xlfn.XLOOKUP(E372,'All Products'!D:D,'All Products'!G:G,FALSE)</f>
        <v>960</v>
      </c>
      <c r="I372" s="540">
        <f>_xlfn.XLOOKUP(E372,'All Products'!D:D,'All Products'!H:H,FALSE)</f>
        <v>31.17</v>
      </c>
      <c r="J372" s="216">
        <f>ROUND(I372*Order_Quote!$L$4,2)</f>
        <v>155.85</v>
      </c>
      <c r="K372" s="76"/>
      <c r="L372" s="79"/>
      <c r="M372" s="117">
        <f t="shared" si="12"/>
        <v>0</v>
      </c>
      <c r="O372" s="530" t="str">
        <f>_xlfn.XLOOKUP(E372,'All Products'!D:D,'All Products'!I:I,FALSE)</f>
        <v>In Stock</v>
      </c>
      <c r="P372" s="530" t="str">
        <f>_xlfn.XLOOKUP(E372,'All Products'!D:D,'All Products'!J:J,FALSE)</f>
        <v>Manufactured</v>
      </c>
      <c r="Q372" s="543" t="str">
        <f>_xlfn.XLOOKUP(E372,'All Products'!D:D,'All Products'!K:K,FALSE)</f>
        <v>049081138448</v>
      </c>
      <c r="R372" s="543" t="str">
        <f>_xlfn.XLOOKUP(E372,'All Products'!D:D,'All Products'!L:L,FALSE)</f>
        <v>-</v>
      </c>
      <c r="S372" s="543" t="str">
        <f>_xlfn.XLOOKUP(E372,'All Products'!D:D,'All Products'!M:M,FALSE)</f>
        <v>40049081138446</v>
      </c>
      <c r="T372" s="530">
        <f>_xlfn.XLOOKUP(E372,'All Products'!D:D,'All Products'!N:N,FALSE)</f>
        <v>1.22</v>
      </c>
      <c r="U372" s="543" t="str">
        <f>_xlfn.XLOOKUP(E372,'All Products'!D:D,'All Products'!O:O,FALSE)</f>
        <v>-</v>
      </c>
      <c r="V372" s="530">
        <f>_xlfn.XLOOKUP(E372,'All Products'!D:D,'All Products'!P:P,FALSE)</f>
        <v>10.74</v>
      </c>
      <c r="W372" s="530">
        <f>_xlfn.XLOOKUP(E372,'All Products'!D:D,'All Products'!Q:Q,FALSE)</f>
        <v>0.65</v>
      </c>
    </row>
    <row r="373" spans="1:23" ht="18.75" customHeight="1">
      <c r="A373" s="104" t="str">
        <f>IF(K373&gt;0,COUNT($A$7:A372)+COUNT('DWV PVC'!$A$8:$A$284)+COUNT('DWV ABS'!$A$8:$A$116)+1,"")</f>
        <v/>
      </c>
      <c r="B373" s="113"/>
      <c r="C373" s="114"/>
      <c r="D373" s="512" t="str">
        <f>_xlfn.XLOOKUP(E373,'All Products'!D:D,'All Products'!C:C,FALSE)</f>
        <v>479-040</v>
      </c>
      <c r="E373" s="53">
        <v>100023199</v>
      </c>
      <c r="F373" s="522" t="str">
        <f>_xlfn.XLOOKUP(E373,'All Products'!D:D,'All Products'!E:E,FALSE)</f>
        <v>4 EXTRA DEEP COUPLING SLIP X SLIP</v>
      </c>
      <c r="G373" s="282">
        <f>_xlfn.XLOOKUP(E373,'All Products'!D:D,'All Products'!F:F,FALSE)</f>
        <v>6</v>
      </c>
      <c r="H373" s="533">
        <f>_xlfn.XLOOKUP(E373,'All Products'!D:D,'All Products'!G:G,FALSE)</f>
        <v>540</v>
      </c>
      <c r="I373" s="540">
        <f>_xlfn.XLOOKUP(E373,'All Products'!D:D,'All Products'!H:H,FALSE)</f>
        <v>62.6</v>
      </c>
      <c r="J373" s="216">
        <f>ROUND(I373*Order_Quote!$L$4,2)</f>
        <v>313</v>
      </c>
      <c r="K373" s="76"/>
      <c r="L373" s="79"/>
      <c r="M373" s="117">
        <f t="shared" si="12"/>
        <v>0</v>
      </c>
      <c r="O373" s="530" t="str">
        <f>_xlfn.XLOOKUP(E373,'All Products'!D:D,'All Products'!I:I,FALSE)</f>
        <v>In Stock</v>
      </c>
      <c r="P373" s="530" t="str">
        <f>_xlfn.XLOOKUP(E373,'All Products'!D:D,'All Products'!J:J,FALSE)</f>
        <v>Manufactured</v>
      </c>
      <c r="Q373" s="543" t="str">
        <f>_xlfn.XLOOKUP(E373,'All Products'!D:D,'All Products'!K:K,FALSE)</f>
        <v>049081138462</v>
      </c>
      <c r="R373" s="543" t="str">
        <f>_xlfn.XLOOKUP(E373,'All Products'!D:D,'All Products'!L:L,FALSE)</f>
        <v>-</v>
      </c>
      <c r="S373" s="543" t="str">
        <f>_xlfn.XLOOKUP(E373,'All Products'!D:D,'All Products'!M:M,FALSE)</f>
        <v>40049081138460</v>
      </c>
      <c r="T373" s="530">
        <f>_xlfn.XLOOKUP(E373,'All Products'!D:D,'All Products'!N:N,FALSE)</f>
        <v>1.7130000000000001</v>
      </c>
      <c r="U373" s="543" t="str">
        <f>_xlfn.XLOOKUP(E373,'All Products'!D:D,'All Products'!O:O,FALSE)</f>
        <v>-</v>
      </c>
      <c r="V373" s="530">
        <f>_xlfn.XLOOKUP(E373,'All Products'!D:D,'All Products'!P:P,FALSE)</f>
        <v>11.31</v>
      </c>
      <c r="W373" s="530">
        <f>_xlfn.XLOOKUP(E373,'All Products'!D:D,'All Products'!Q:Q,FALSE)</f>
        <v>0.8</v>
      </c>
    </row>
    <row r="374" spans="1:23" ht="30.75" customHeight="1">
      <c r="A374" s="104" t="str">
        <f>IF(K374&gt;0,COUNT($A$7:A373)+COUNT('DWV PVC'!$A$8:$A$284)+COUNT('DWV ABS'!$A$8:$A$116)+1,"")</f>
        <v/>
      </c>
      <c r="B374" s="202"/>
      <c r="C374" s="203"/>
      <c r="D374" s="512" t="str">
        <f>_xlfn.XLOOKUP(E374,'All Products'!D:D,'All Products'!C:C,FALSE)</f>
        <v>488-007</v>
      </c>
      <c r="E374" s="53">
        <v>300006192</v>
      </c>
      <c r="F374" s="522" t="str">
        <f>_xlfn.XLOOKUP(E374,'All Products'!D:D,'All Products'!E:E,FALSE)</f>
        <v xml:space="preserve">3/4 RUNNING TRAP </v>
      </c>
      <c r="G374" s="282">
        <f>_xlfn.XLOOKUP(E374,'All Products'!D:D,'All Products'!F:F,FALSE)</f>
        <v>50</v>
      </c>
      <c r="H374" s="533">
        <f>_xlfn.XLOOKUP(E374,'All Products'!D:D,'All Products'!G:G,FALSE)</f>
        <v>3000</v>
      </c>
      <c r="I374" s="540">
        <f>_xlfn.XLOOKUP(E374,'All Products'!D:D,'All Products'!H:H,FALSE)</f>
        <v>16.7</v>
      </c>
      <c r="J374" s="216">
        <f>ROUND(I374*Order_Quote!$L$4,2)</f>
        <v>83.5</v>
      </c>
      <c r="K374" s="76"/>
      <c r="L374" s="79"/>
      <c r="M374" s="117">
        <f t="shared" si="12"/>
        <v>0</v>
      </c>
      <c r="O374" s="530" t="str">
        <f>_xlfn.XLOOKUP(E374,'All Products'!D:D,'All Products'!I:I,FALSE)</f>
        <v>Within 6 Weeks</v>
      </c>
      <c r="P374" s="530" t="str">
        <f>_xlfn.XLOOKUP(E374,'All Products'!D:D,'All Products'!J:J,FALSE)</f>
        <v>Sourced</v>
      </c>
      <c r="Q374" s="543">
        <f>_xlfn.XLOOKUP(E374,'All Products'!D:D,'All Products'!K:K,FALSE)</f>
        <v>0</v>
      </c>
      <c r="R374" s="543" t="str">
        <f>_xlfn.XLOOKUP(E374,'All Products'!D:D,'All Products'!L:L,FALSE)</f>
        <v>-</v>
      </c>
      <c r="S374" s="543">
        <f>_xlfn.XLOOKUP(E374,'All Products'!D:D,'All Products'!M:M,FALSE)</f>
        <v>0</v>
      </c>
      <c r="T374" s="530">
        <f>_xlfn.XLOOKUP(E374,'All Products'!D:D,'All Products'!N:N,FALSE)</f>
        <v>0.247</v>
      </c>
      <c r="U374" s="543" t="str">
        <f>_xlfn.XLOOKUP(E374,'All Products'!D:D,'All Products'!O:O,FALSE)</f>
        <v>-</v>
      </c>
      <c r="V374" s="530" t="str">
        <f>_xlfn.XLOOKUP(E374,'All Products'!D:D,'All Products'!P:P,FALSE)</f>
        <v>-</v>
      </c>
      <c r="W374" s="530" t="str">
        <f>_xlfn.XLOOKUP(E374,'All Products'!D:D,'All Products'!Q:Q,FALSE)</f>
        <v>-</v>
      </c>
    </row>
    <row r="375" spans="1:23" ht="38.25" customHeight="1">
      <c r="A375" s="104" t="str">
        <f>IF(K375&gt;0,COUNT($A$7:A374)+COUNT('DWV PVC'!$A$8:$A$284)+COUNT('DWV ABS'!$A$8:$A$116)+1,"")</f>
        <v/>
      </c>
      <c r="B375" s="113"/>
      <c r="C375" s="114"/>
      <c r="D375" s="512" t="str">
        <f>_xlfn.XLOOKUP(E375,'All Products'!D:D,'All Products'!C:C,FALSE)</f>
        <v>489-007</v>
      </c>
      <c r="E375" s="53">
        <v>300005951</v>
      </c>
      <c r="F375" s="522" t="str">
        <f>_xlfn.XLOOKUP(E375,'All Products'!D:D,'All Products'!E:E,FALSE)</f>
        <v xml:space="preserve">3/4 P TRAP </v>
      </c>
      <c r="G375" s="282">
        <f>_xlfn.XLOOKUP(E375,'All Products'!D:D,'All Products'!F:F,FALSE)</f>
        <v>50</v>
      </c>
      <c r="H375" s="533">
        <f>_xlfn.XLOOKUP(E375,'All Products'!D:D,'All Products'!G:G,FALSE)</f>
        <v>3000</v>
      </c>
      <c r="I375" s="540">
        <f>_xlfn.XLOOKUP(E375,'All Products'!D:D,'All Products'!H:H,FALSE)</f>
        <v>16.7</v>
      </c>
      <c r="J375" s="216">
        <f>ROUND(I375*Order_Quote!$L$4,2)</f>
        <v>83.5</v>
      </c>
      <c r="K375" s="76"/>
      <c r="L375" s="79"/>
      <c r="M375" s="117">
        <f t="shared" si="12"/>
        <v>0</v>
      </c>
      <c r="O375" s="530" t="str">
        <f>_xlfn.XLOOKUP(E375,'All Products'!D:D,'All Products'!I:I,FALSE)</f>
        <v>Within 3 Weeks</v>
      </c>
      <c r="P375" s="530" t="str">
        <f>_xlfn.XLOOKUP(E375,'All Products'!D:D,'All Products'!J:J,FALSE)</f>
        <v>Sourced</v>
      </c>
      <c r="Q375" s="543" t="str">
        <f>_xlfn.XLOOKUP(E375,'All Products'!D:D,'All Products'!K:K,FALSE)</f>
        <v>810116843497</v>
      </c>
      <c r="R375" s="543" t="str">
        <f>_xlfn.XLOOKUP(E375,'All Products'!D:D,'All Products'!L:L,FALSE)</f>
        <v>-</v>
      </c>
      <c r="S375" s="543">
        <f>_xlfn.XLOOKUP(E375,'All Products'!D:D,'All Products'!M:M,FALSE)</f>
        <v>0</v>
      </c>
      <c r="T375" s="530">
        <f>_xlfn.XLOOKUP(E375,'All Products'!D:D,'All Products'!N:N,FALSE)</f>
        <v>0.247</v>
      </c>
      <c r="U375" s="543" t="str">
        <f>_xlfn.XLOOKUP(E375,'All Products'!D:D,'All Products'!O:O,FALSE)</f>
        <v>-</v>
      </c>
      <c r="V375" s="530" t="str">
        <f>_xlfn.XLOOKUP(E375,'All Products'!D:D,'All Products'!P:P,FALSE)</f>
        <v>-</v>
      </c>
      <c r="W375" s="530" t="str">
        <f>_xlfn.XLOOKUP(E375,'All Products'!D:D,'All Products'!Q:Q,FALSE)</f>
        <v>-</v>
      </c>
    </row>
    <row r="376" spans="1:23">
      <c r="A376" s="104">
        <f>MAX(A8:A375)+1</f>
        <v>1</v>
      </c>
      <c r="U376" s="546"/>
    </row>
    <row r="377" spans="1:23"/>
    <row r="378" spans="1:23"/>
    <row r="379" spans="1:23"/>
    <row r="380" spans="1:23"/>
    <row r="381" spans="1:23"/>
    <row r="382" spans="1:23"/>
    <row r="383" spans="1:23"/>
    <row r="384" spans="1:23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</sheetData>
  <sheetProtection algorithmName="SHA-512" hashValue="Q8ogMYv5y32e9lTrUsAhe7kFAQvWbStopbkRPdC4dHrFsmV3s40xcLcVIs0FP7j+tZZcAslpHLE0bV6njkd2Dw==" saltValue="4uofF1VeWwbFOJTHSbzRMw==" spinCount="100000" sheet="1" formatCells="0" formatColumns="0" formatRows="0" insertColumns="0" insertRows="0" insertHyperlinks="0" deleteColumns="0" deleteRows="0" sort="0" autoFilter="0" pivotTables="0"/>
  <mergeCells count="21">
    <mergeCell ref="J2:K3"/>
    <mergeCell ref="B100:C101"/>
    <mergeCell ref="B298:C306"/>
    <mergeCell ref="B310:C318"/>
    <mergeCell ref="B138:C146"/>
    <mergeCell ref="B156:C164"/>
    <mergeCell ref="B193:C201"/>
    <mergeCell ref="B207:C214"/>
    <mergeCell ref="B265:C280"/>
    <mergeCell ref="B230:C251"/>
    <mergeCell ref="B134:C136"/>
    <mergeCell ref="B8:C15"/>
    <mergeCell ref="B20:C22"/>
    <mergeCell ref="B53:C55"/>
    <mergeCell ref="B84:C92"/>
    <mergeCell ref="Q6:S6"/>
    <mergeCell ref="B359:C360"/>
    <mergeCell ref="B361:C362"/>
    <mergeCell ref="B364:C366"/>
    <mergeCell ref="B154:C155"/>
    <mergeCell ref="B168:C169"/>
  </mergeCells>
  <dataValidations xWindow="849" yWindow="381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L321:L64806 K376:K64806" xr:uid="{00000000-0002-0000-0400-000000000000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00000000-0002-0000-04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L310:L320 K310:K375 K8:L309" xr:uid="{00000000-0002-0000-0400-000002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00000000-0002-0000-0400-000003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7" manualBreakCount="7">
    <brk id="59" max="8" man="1"/>
    <brk id="95" max="8" man="1"/>
    <brk id="137" max="8" man="1"/>
    <brk id="188" max="8" man="1"/>
    <brk id="229" max="8" man="1"/>
    <brk id="285" max="8" man="1"/>
    <brk id="332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2D659-5F7F-4D1D-9DF5-661FECF94536}">
  <sheetPr>
    <tabColor theme="0"/>
    <pageSetUpPr fitToPage="1"/>
  </sheetPr>
  <dimension ref="A1:AL688"/>
  <sheetViews>
    <sheetView showGridLines="0" zoomScaleNormal="100" workbookViewId="0">
      <pane xSplit="6" ySplit="7" topLeftCell="I9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20" customWidth="1"/>
    <col min="9" max="9" width="10.7109375" style="485" customWidth="1"/>
    <col min="10" max="10" width="10.7109375" style="215" customWidth="1"/>
    <col min="11" max="11" width="10.7109375" style="17" customWidth="1"/>
    <col min="12" max="12" width="1" style="17" customWidth="1"/>
    <col min="13" max="13" width="10.7109375" style="17" customWidth="1"/>
    <col min="14" max="14" width="2.28515625" style="17" customWidth="1"/>
    <col min="15" max="15" width="12.7109375" style="486" customWidth="1"/>
    <col min="16" max="16" width="10.7109375" style="217" customWidth="1"/>
    <col min="17" max="17" width="11.28515625" style="217" customWidth="1"/>
    <col min="18" max="18" width="10.7109375" style="217" customWidth="1"/>
    <col min="19" max="19" width="13.140625" style="217" customWidth="1"/>
    <col min="20" max="20" width="10.7109375" style="545" customWidth="1"/>
    <col min="21" max="21" width="10.7109375" style="217" customWidth="1"/>
    <col min="22" max="23" width="10.7109375" style="545" customWidth="1"/>
    <col min="24" max="24" width="9.140625" style="17" customWidth="1"/>
    <col min="25" max="25" width="2.140625" style="17" customWidth="1"/>
    <col min="26" max="26" width="0" style="266" hidden="1" customWidth="1"/>
    <col min="27" max="38" width="0" style="17" hidden="1" customWidth="1"/>
    <col min="39" max="16384" width="9.140625" style="17" hidden="1"/>
  </cols>
  <sheetData>
    <row r="1" spans="1:23" ht="18.75">
      <c r="F1" s="173" t="s">
        <v>337</v>
      </c>
      <c r="G1" s="549"/>
      <c r="H1" s="236"/>
      <c r="O1" s="551"/>
      <c r="P1" s="236"/>
      <c r="Q1" s="236"/>
      <c r="R1" s="236"/>
      <c r="S1" s="236"/>
      <c r="T1" s="544"/>
      <c r="U1" s="236"/>
      <c r="V1" s="544"/>
      <c r="W1" s="544"/>
    </row>
    <row r="2" spans="1:23" ht="15.75" customHeight="1">
      <c r="D2" s="238"/>
      <c r="E2" s="268"/>
      <c r="J2" s="628" t="s">
        <v>59</v>
      </c>
      <c r="K2" s="628"/>
    </row>
    <row r="3" spans="1:23" ht="15">
      <c r="F3" s="436" t="s">
        <v>338</v>
      </c>
      <c r="J3" s="628"/>
      <c r="K3" s="628"/>
      <c r="O3" s="552"/>
    </row>
    <row r="4" spans="1:23" ht="15">
      <c r="E4" s="163" t="s">
        <v>334</v>
      </c>
      <c r="F4" s="440" t="s">
        <v>339</v>
      </c>
      <c r="O4" s="552"/>
      <c r="P4" s="17"/>
      <c r="Q4" s="17"/>
      <c r="R4" s="17"/>
      <c r="S4" s="17"/>
      <c r="T4" s="485"/>
      <c r="U4" s="17"/>
      <c r="V4" s="485"/>
      <c r="W4" s="485"/>
    </row>
    <row r="5" spans="1:23" ht="15">
      <c r="F5" s="438" t="s">
        <v>329</v>
      </c>
      <c r="O5" s="552"/>
      <c r="P5" s="17"/>
      <c r="Q5" s="17"/>
      <c r="R5" s="17"/>
      <c r="S5" s="17"/>
      <c r="T5" s="485"/>
      <c r="U5" s="17"/>
      <c r="V5" s="485"/>
      <c r="W5" s="485"/>
    </row>
    <row r="6" spans="1:23" ht="15">
      <c r="F6" s="17"/>
      <c r="O6" s="486" t="s">
        <v>63</v>
      </c>
      <c r="P6" s="17"/>
      <c r="Q6" s="576" t="s">
        <v>64</v>
      </c>
      <c r="R6" s="576"/>
      <c r="S6" s="576"/>
      <c r="T6" s="485"/>
      <c r="U6" s="17"/>
      <c r="V6" s="485"/>
      <c r="W6" s="485"/>
    </row>
    <row r="7" spans="1:23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149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529" t="s">
        <v>73</v>
      </c>
      <c r="U7" s="263" t="s">
        <v>336</v>
      </c>
      <c r="V7" s="529" t="s">
        <v>330</v>
      </c>
      <c r="W7" s="529" t="s">
        <v>331</v>
      </c>
    </row>
    <row r="8" spans="1:23" ht="30" customHeight="1">
      <c r="A8" s="104" t="str">
        <f>IF(K8&gt;0,COUNT($A$7:A7)+COUNT('DWV PVC'!$A$8:$A$284)+COUNT('DWV ABS'!$A$8:$A$116)+COUNT('PVC SCH40'!$A$8:$A$375)+1,"")</f>
        <v/>
      </c>
      <c r="B8" s="115"/>
      <c r="C8" s="116"/>
      <c r="D8" s="547" t="str">
        <f>_xlfn.XLOOKUP(E8,'All Products'!D:D,'All Products'!C:C,FALSE)</f>
        <v>401-100</v>
      </c>
      <c r="E8" s="53">
        <v>100022263</v>
      </c>
      <c r="F8" s="548" t="str">
        <f>_xlfn.XLOOKUP(E8,'All Products'!D:D,'All Products'!E:E,FALSE)</f>
        <v>10 TEE SLIP X SLIP X SLIP</v>
      </c>
      <c r="G8" s="353">
        <f>_xlfn.XLOOKUP(E8,'All Products'!D:D,'All Products'!F:F,FALSE)</f>
        <v>1</v>
      </c>
      <c r="H8" s="353">
        <f>_xlfn.XLOOKUP(E8,'All Products'!D:D,'All Products'!G:G,FALSE)</f>
        <v>18</v>
      </c>
      <c r="I8" s="550">
        <f>_xlfn.XLOOKUP(E8,'All Products'!D:D,'All Products'!H:H,FALSE)</f>
        <v>2381</v>
      </c>
      <c r="J8" s="216">
        <f>ROUND(I8*Order_Quote!$L$5,2)</f>
        <v>11905</v>
      </c>
      <c r="K8" s="76"/>
      <c r="L8" s="79"/>
      <c r="M8" s="117">
        <f t="shared" ref="M8:M9" si="0">K8/G8</f>
        <v>0</v>
      </c>
      <c r="N8" s="275"/>
      <c r="O8" s="553" t="str">
        <f>_xlfn.XLOOKUP(E8,'All Products'!D:D,'All Products'!I:I,FALSE)</f>
        <v>In Stock</v>
      </c>
      <c r="P8" s="553" t="str">
        <f>_xlfn.XLOOKUP(E8,'All Products'!D:D,'All Products'!J:J,FALSE)</f>
        <v>Manufactured</v>
      </c>
      <c r="Q8" s="553" t="str">
        <f>_xlfn.XLOOKUP(E8,'All Products'!D:D,'All Products'!K:K,FALSE)</f>
        <v>049081147280</v>
      </c>
      <c r="R8" s="553" t="str">
        <f>_xlfn.XLOOKUP(E8,'All Products'!D:D,'All Products'!L:L,FALSE)</f>
        <v>-</v>
      </c>
      <c r="S8" s="553" t="str">
        <f>_xlfn.XLOOKUP(E8,'All Products'!D:D,'All Products'!M:M,FALSE)</f>
        <v>40049081147288</v>
      </c>
      <c r="T8" s="553">
        <f>_xlfn.XLOOKUP(E8,'All Products'!D:D,'All Products'!N:N,FALSE)</f>
        <v>21.742000000000001</v>
      </c>
      <c r="U8" s="553" t="str">
        <f>_xlfn.XLOOKUP(E8,'All Products'!D:D,'All Products'!O:O,FALSE)</f>
        <v>-</v>
      </c>
      <c r="V8" s="553">
        <f>_xlfn.XLOOKUP(E8,'All Products'!D:D,'All Products'!P:P,FALSE)</f>
        <v>23.15</v>
      </c>
      <c r="W8" s="553">
        <f>_xlfn.XLOOKUP(E8,'All Products'!D:D,'All Products'!Q:Q,FALSE)</f>
        <v>2.65</v>
      </c>
    </row>
    <row r="9" spans="1:23" ht="30" customHeight="1">
      <c r="A9" s="104" t="str">
        <f>IF(K9&gt;0,COUNT($A$7:A8)+COUNT('DWV PVC'!$A$8:$A$284)+COUNT('DWV ABS'!$A$8:$A$116)+COUNT('PVC SCH40'!$A$8:$A$375)+1,"")</f>
        <v/>
      </c>
      <c r="B9" s="380"/>
      <c r="C9" s="292"/>
      <c r="D9" s="547" t="str">
        <f>_xlfn.XLOOKUP(E9,'All Products'!D:D,'All Products'!C:C,FALSE)</f>
        <v>401-120</v>
      </c>
      <c r="E9" s="53">
        <v>100022264</v>
      </c>
      <c r="F9" s="548" t="str">
        <f>_xlfn.XLOOKUP(E9,'All Products'!D:D,'All Products'!E:E,FALSE)</f>
        <v>12 TEE SLIP X SLIP X SLIP</v>
      </c>
      <c r="G9" s="353">
        <f>_xlfn.XLOOKUP(E9,'All Products'!D:D,'All Products'!F:F,FALSE)</f>
        <v>1</v>
      </c>
      <c r="H9" s="353">
        <f>_xlfn.XLOOKUP(E9,'All Products'!D:D,'All Products'!G:G,FALSE)</f>
        <v>18</v>
      </c>
      <c r="I9" s="550">
        <f>_xlfn.XLOOKUP(E9,'All Products'!D:D,'All Products'!H:H,FALSE)</f>
        <v>3517.96</v>
      </c>
      <c r="J9" s="216">
        <f>ROUND(I9*Order_Quote!$L$5,2)</f>
        <v>17589.8</v>
      </c>
      <c r="K9" s="76"/>
      <c r="L9" s="79"/>
      <c r="M9" s="117">
        <f t="shared" si="0"/>
        <v>0</v>
      </c>
      <c r="N9" s="275"/>
      <c r="O9" s="553" t="str">
        <f>_xlfn.XLOOKUP(E9,'All Products'!D:D,'All Products'!I:I,FALSE)</f>
        <v>In Stock</v>
      </c>
      <c r="P9" s="553" t="str">
        <f>_xlfn.XLOOKUP(E9,'All Products'!D:D,'All Products'!J:J,FALSE)</f>
        <v>Manufactured</v>
      </c>
      <c r="Q9" s="553" t="str">
        <f>_xlfn.XLOOKUP(E9,'All Products'!D:D,'All Products'!K:K,FALSE)</f>
        <v>049081147303</v>
      </c>
      <c r="R9" s="553" t="str">
        <f>_xlfn.XLOOKUP(E9,'All Products'!D:D,'All Products'!L:L,FALSE)</f>
        <v>-</v>
      </c>
      <c r="S9" s="553" t="str">
        <f>_xlfn.XLOOKUP(E9,'All Products'!D:D,'All Products'!M:M,FALSE)</f>
        <v>40049081147301</v>
      </c>
      <c r="T9" s="553">
        <f>_xlfn.XLOOKUP(E9,'All Products'!D:D,'All Products'!N:N,FALSE)</f>
        <v>37</v>
      </c>
      <c r="U9" s="553" t="str">
        <f>_xlfn.XLOOKUP(E9,'All Products'!D:D,'All Products'!O:O,FALSE)</f>
        <v>-</v>
      </c>
      <c r="V9" s="553">
        <f>_xlfn.XLOOKUP(E9,'All Products'!D:D,'All Products'!P:P,FALSE)</f>
        <v>38.590000000000003</v>
      </c>
      <c r="W9" s="553">
        <f>_xlfn.XLOOKUP(E9,'All Products'!D:D,'All Products'!Q:Q,FALSE)</f>
        <v>4.38</v>
      </c>
    </row>
    <row r="10" spans="1:23" ht="30" customHeight="1">
      <c r="A10" s="104" t="str">
        <f>IF(K10&gt;0,COUNT($A$7:A9)+COUNT('DWV PVC'!$A$8:$A$284)+COUNT('DWV ABS'!$A$8:$A$116)+COUNT('PVC SCH40'!$A$8:$A$375)+1,"")</f>
        <v/>
      </c>
      <c r="B10" s="115"/>
      <c r="C10" s="116"/>
      <c r="D10" s="547" t="str">
        <f>_xlfn.XLOOKUP(E10,'All Products'!D:D,'All Products'!C:C,FALSE)</f>
        <v>406-100</v>
      </c>
      <c r="E10" s="53">
        <v>100022266</v>
      </c>
      <c r="F10" s="548" t="str">
        <f>_xlfn.XLOOKUP(E10,'All Products'!D:D,'All Products'!E:E,FALSE)</f>
        <v>10 90 ELL SLIP X SLIP</v>
      </c>
      <c r="G10" s="353">
        <f>_xlfn.XLOOKUP(E10,'All Products'!D:D,'All Products'!F:F,FALSE)</f>
        <v>1</v>
      </c>
      <c r="H10" s="353">
        <f>_xlfn.XLOOKUP(E10,'All Products'!D:D,'All Products'!G:G,FALSE)</f>
        <v>18</v>
      </c>
      <c r="I10" s="550">
        <f>_xlfn.XLOOKUP(E10,'All Products'!D:D,'All Products'!H:H,FALSE)</f>
        <v>1912.65</v>
      </c>
      <c r="J10" s="216">
        <f>ROUND(I10*Order_Quote!$L$5,2)</f>
        <v>9563.25</v>
      </c>
      <c r="K10" s="76"/>
      <c r="L10" s="79"/>
      <c r="M10" s="117">
        <f t="shared" ref="M10:M11" si="1">K10/G10</f>
        <v>0</v>
      </c>
      <c r="N10" s="275"/>
      <c r="O10" s="553" t="str">
        <f>_xlfn.XLOOKUP(E10,'All Products'!D:D,'All Products'!I:I,FALSE)</f>
        <v>In Stock</v>
      </c>
      <c r="P10" s="553" t="str">
        <f>_xlfn.XLOOKUP(E10,'All Products'!D:D,'All Products'!J:J,FALSE)</f>
        <v>Manufactured</v>
      </c>
      <c r="Q10" s="553" t="str">
        <f>_xlfn.XLOOKUP(E10,'All Products'!D:D,'All Products'!K:K,FALSE)</f>
        <v>049081141080</v>
      </c>
      <c r="R10" s="553" t="str">
        <f>_xlfn.XLOOKUP(E10,'All Products'!D:D,'All Products'!L:L,FALSE)</f>
        <v>-</v>
      </c>
      <c r="S10" s="553" t="str">
        <f>_xlfn.XLOOKUP(E10,'All Products'!D:D,'All Products'!M:M,FALSE)</f>
        <v>40049081141088</v>
      </c>
      <c r="T10" s="553">
        <f>_xlfn.XLOOKUP(E10,'All Products'!D:D,'All Products'!N:N,FALSE)</f>
        <v>16.251999999999999</v>
      </c>
      <c r="U10" s="553" t="str">
        <f>_xlfn.XLOOKUP(E10,'All Products'!D:D,'All Products'!O:O,FALSE)</f>
        <v>-</v>
      </c>
      <c r="V10" s="553">
        <f>_xlfn.XLOOKUP(E10,'All Products'!D:D,'All Products'!P:P,FALSE)</f>
        <v>17.86</v>
      </c>
      <c r="W10" s="553">
        <f>_xlfn.XLOOKUP(E10,'All Products'!D:D,'All Products'!Q:Q,FALSE)</f>
        <v>2.65</v>
      </c>
    </row>
    <row r="11" spans="1:23" ht="30" customHeight="1">
      <c r="A11" s="104" t="str">
        <f>IF(K11&gt;0,COUNT($A$7:A10)+COUNT('DWV PVC'!$A$8:$A$284)+COUNT('DWV ABS'!$A$8:$A$116)+COUNT('PVC SCH40'!$A$8:$A$375)+1,"")</f>
        <v/>
      </c>
      <c r="B11" s="115"/>
      <c r="C11" s="116"/>
      <c r="D11" s="547" t="str">
        <f>_xlfn.XLOOKUP(E11,'All Products'!D:D,'All Products'!C:C,FALSE)</f>
        <v>406-120</v>
      </c>
      <c r="E11" s="53">
        <v>100022267</v>
      </c>
      <c r="F11" s="548" t="str">
        <f>_xlfn.XLOOKUP(E11,'All Products'!D:D,'All Products'!E:E,FALSE)</f>
        <v>12 90 ELL SLIP X SLIP</v>
      </c>
      <c r="G11" s="353">
        <f>_xlfn.XLOOKUP(E11,'All Products'!D:D,'All Products'!F:F,FALSE)</f>
        <v>1</v>
      </c>
      <c r="H11" s="353">
        <f>_xlfn.XLOOKUP(E11,'All Products'!D:D,'All Products'!G:G,FALSE)</f>
        <v>18</v>
      </c>
      <c r="I11" s="550">
        <f>_xlfn.XLOOKUP(E11,'All Products'!D:D,'All Products'!H:H,FALSE)</f>
        <v>2565.25</v>
      </c>
      <c r="J11" s="216">
        <f>ROUND(I11*Order_Quote!$L$5,2)</f>
        <v>12826.25</v>
      </c>
      <c r="K11" s="76"/>
      <c r="L11" s="79"/>
      <c r="M11" s="117">
        <f t="shared" si="1"/>
        <v>0</v>
      </c>
      <c r="N11" s="275"/>
      <c r="O11" s="553" t="str">
        <f>_xlfn.XLOOKUP(E11,'All Products'!D:D,'All Products'!I:I,FALSE)</f>
        <v>In Stock</v>
      </c>
      <c r="P11" s="553" t="str">
        <f>_xlfn.XLOOKUP(E11,'All Products'!D:D,'All Products'!J:J,FALSE)</f>
        <v>Manufactured</v>
      </c>
      <c r="Q11" s="553" t="str">
        <f>_xlfn.XLOOKUP(E11,'All Products'!D:D,'All Products'!K:K,FALSE)</f>
        <v>049081141103</v>
      </c>
      <c r="R11" s="553" t="str">
        <f>_xlfn.XLOOKUP(E11,'All Products'!D:D,'All Products'!L:L,FALSE)</f>
        <v>-</v>
      </c>
      <c r="S11" s="553" t="str">
        <f>_xlfn.XLOOKUP(E11,'All Products'!D:D,'All Products'!M:M,FALSE)</f>
        <v>40049081141101</v>
      </c>
      <c r="T11" s="553">
        <f>_xlfn.XLOOKUP(E11,'All Products'!D:D,'All Products'!N:N,FALSE)</f>
        <v>24.844000000000001</v>
      </c>
      <c r="U11" s="553" t="str">
        <f>_xlfn.XLOOKUP(E11,'All Products'!D:D,'All Products'!O:O,FALSE)</f>
        <v>-</v>
      </c>
      <c r="V11" s="553">
        <f>_xlfn.XLOOKUP(E11,'All Products'!D:D,'All Products'!P:P,FALSE)</f>
        <v>26.72</v>
      </c>
      <c r="W11" s="553">
        <f>_xlfn.XLOOKUP(E11,'All Products'!D:D,'All Products'!Q:Q,FALSE)</f>
        <v>4.38</v>
      </c>
    </row>
    <row r="12" spans="1:23" ht="30" customHeight="1">
      <c r="A12" s="104" t="str">
        <f>IF(K12&gt;0,COUNT($A$7:A11)+COUNT('DWV PVC'!$A$8:$A$284)+COUNT('DWV ABS'!$A$8:$A$116)+COUNT('PVC SCH40'!$A$8:$A$375)+1,"")</f>
        <v/>
      </c>
      <c r="B12" s="379"/>
      <c r="C12" s="291"/>
      <c r="D12" s="547" t="str">
        <f>_xlfn.XLOOKUP(E12,'All Products'!D:D,'All Products'!C:C,FALSE)</f>
        <v>417-100</v>
      </c>
      <c r="E12" s="53">
        <v>100022268</v>
      </c>
      <c r="F12" s="548" t="str">
        <f>_xlfn.XLOOKUP(E12,'All Products'!D:D,'All Products'!E:E,FALSE)</f>
        <v>10 45 ELL SLIP X SLIP</v>
      </c>
      <c r="G12" s="353">
        <f>_xlfn.XLOOKUP(E12,'All Products'!D:D,'All Products'!F:F,FALSE)</f>
        <v>1</v>
      </c>
      <c r="H12" s="353">
        <f>_xlfn.XLOOKUP(E12,'All Products'!D:D,'All Products'!G:G,FALSE)</f>
        <v>18</v>
      </c>
      <c r="I12" s="550">
        <f>_xlfn.XLOOKUP(E12,'All Products'!D:D,'All Products'!H:H,FALSE)</f>
        <v>1249.53</v>
      </c>
      <c r="J12" s="216">
        <f>ROUND(I12*Order_Quote!$L$5,2)</f>
        <v>6247.65</v>
      </c>
      <c r="K12" s="76"/>
      <c r="L12" s="79"/>
      <c r="M12" s="117"/>
      <c r="N12" s="275"/>
      <c r="O12" s="553" t="str">
        <f>_xlfn.XLOOKUP(E12,'All Products'!D:D,'All Products'!I:I,FALSE)</f>
        <v>In Stock</v>
      </c>
      <c r="P12" s="553" t="str">
        <f>_xlfn.XLOOKUP(E12,'All Products'!D:D,'All Products'!J:J,FALSE)</f>
        <v>Manufactured</v>
      </c>
      <c r="Q12" s="553" t="str">
        <f>_xlfn.XLOOKUP(E12,'All Products'!D:D,'All Products'!K:K,FALSE)</f>
        <v>049081140465</v>
      </c>
      <c r="R12" s="553" t="str">
        <f>_xlfn.XLOOKUP(E12,'All Products'!D:D,'All Products'!L:L,FALSE)</f>
        <v>-</v>
      </c>
      <c r="S12" s="553" t="str">
        <f>_xlfn.XLOOKUP(E12,'All Products'!D:D,'All Products'!M:M,FALSE)</f>
        <v>40049081140463</v>
      </c>
      <c r="T12" s="553">
        <f>_xlfn.XLOOKUP(E12,'All Products'!D:D,'All Products'!N:N,FALSE)</f>
        <v>11.992000000000001</v>
      </c>
      <c r="U12" s="553" t="str">
        <f>_xlfn.XLOOKUP(E12,'All Products'!D:D,'All Products'!O:O,FALSE)</f>
        <v>-</v>
      </c>
      <c r="V12" s="553">
        <f>_xlfn.XLOOKUP(E12,'All Products'!D:D,'All Products'!P:P,FALSE)</f>
        <v>13.55</v>
      </c>
      <c r="W12" s="553">
        <f>_xlfn.XLOOKUP(E12,'All Products'!D:D,'All Products'!Q:Q,FALSE)</f>
        <v>2.65</v>
      </c>
    </row>
    <row r="13" spans="1:23" ht="30" customHeight="1">
      <c r="A13" s="104" t="str">
        <f>IF(K13&gt;0,COUNT($A$7:A12)+COUNT('DWV PVC'!$A$8:$A$284)+COUNT('DWV ABS'!$A$8:$A$116)+COUNT('PVC SCH40'!$A$8:$A$375)+1,"")</f>
        <v/>
      </c>
      <c r="B13" s="380"/>
      <c r="C13" s="292"/>
      <c r="D13" s="547" t="str">
        <f>_xlfn.XLOOKUP(E13,'All Products'!D:D,'All Products'!C:C,FALSE)</f>
        <v>417-120</v>
      </c>
      <c r="E13" s="53">
        <v>100022247</v>
      </c>
      <c r="F13" s="548" t="str">
        <f>_xlfn.XLOOKUP(E13,'All Products'!D:D,'All Products'!E:E,FALSE)</f>
        <v>12 45 ELL SLIP X SLIP</v>
      </c>
      <c r="G13" s="353">
        <f>_xlfn.XLOOKUP(E13,'All Products'!D:D,'All Products'!F:F,FALSE)</f>
        <v>1</v>
      </c>
      <c r="H13" s="353">
        <f>_xlfn.XLOOKUP(E13,'All Products'!D:D,'All Products'!G:G,FALSE)</f>
        <v>18</v>
      </c>
      <c r="I13" s="550">
        <f>_xlfn.XLOOKUP(E13,'All Products'!D:D,'All Products'!H:H,FALSE)</f>
        <v>1851.62</v>
      </c>
      <c r="J13" s="216">
        <f>ROUND(I13*Order_Quote!$L$5,2)</f>
        <v>9258.1</v>
      </c>
      <c r="K13" s="76"/>
      <c r="L13" s="79"/>
      <c r="M13" s="117"/>
      <c r="N13" s="275"/>
      <c r="O13" s="553" t="str">
        <f>_xlfn.XLOOKUP(E13,'All Products'!D:D,'All Products'!I:I,FALSE)</f>
        <v>In Stock</v>
      </c>
      <c r="P13" s="553" t="str">
        <f>_xlfn.XLOOKUP(E13,'All Products'!D:D,'All Products'!J:J,FALSE)</f>
        <v>Manufactured</v>
      </c>
      <c r="Q13" s="553" t="str">
        <f>_xlfn.XLOOKUP(E13,'All Products'!D:D,'All Products'!K:K,FALSE)</f>
        <v>049081140489</v>
      </c>
      <c r="R13" s="553" t="str">
        <f>_xlfn.XLOOKUP(E13,'All Products'!D:D,'All Products'!L:L,FALSE)</f>
        <v>-</v>
      </c>
      <c r="S13" s="553" t="str">
        <f>_xlfn.XLOOKUP(E13,'All Products'!D:D,'All Products'!M:M,FALSE)</f>
        <v>40049081140487</v>
      </c>
      <c r="T13" s="553">
        <f>_xlfn.XLOOKUP(E13,'All Products'!D:D,'All Products'!N:N,FALSE)</f>
        <v>20.937000000000001</v>
      </c>
      <c r="U13" s="553" t="str">
        <f>_xlfn.XLOOKUP(E13,'All Products'!D:D,'All Products'!O:O,FALSE)</f>
        <v>-</v>
      </c>
      <c r="V13" s="553">
        <f>_xlfn.XLOOKUP(E13,'All Products'!D:D,'All Products'!P:P,FALSE)</f>
        <v>23.25</v>
      </c>
      <c r="W13" s="553">
        <f>_xlfn.XLOOKUP(E13,'All Products'!D:D,'All Products'!Q:Q,FALSE)</f>
        <v>4.38</v>
      </c>
    </row>
    <row r="14" spans="1:23" ht="50.1" customHeight="1">
      <c r="A14" s="104" t="str">
        <f>IF(K14&gt;0,COUNT($A$7:A13)+COUNT('DWV PVC'!$A$8:$A$284)+COUNT('DWV ABS'!$A$8:$A$116)+COUNT('PVC SCH40'!$A$8:$A$375)+1,"")</f>
        <v/>
      </c>
      <c r="B14" s="115"/>
      <c r="C14" s="116"/>
      <c r="D14" s="547" t="str">
        <f>_xlfn.XLOOKUP(E14,'All Products'!D:D,'All Products'!C:C,FALSE)</f>
        <v>429-100</v>
      </c>
      <c r="E14" s="53">
        <v>100022269</v>
      </c>
      <c r="F14" s="548" t="str">
        <f>_xlfn.XLOOKUP(E14,'All Products'!D:D,'All Products'!E:E,FALSE)</f>
        <v>10 COUPLING SLIP X SLIP</v>
      </c>
      <c r="G14" s="353">
        <f>_xlfn.XLOOKUP(E14,'All Products'!D:D,'All Products'!F:F,FALSE)</f>
        <v>1</v>
      </c>
      <c r="H14" s="353">
        <f>_xlfn.XLOOKUP(E14,'All Products'!D:D,'All Products'!G:G,FALSE)</f>
        <v>18</v>
      </c>
      <c r="I14" s="550">
        <f>_xlfn.XLOOKUP(E14,'All Products'!D:D,'All Products'!H:H,FALSE)</f>
        <v>489.76</v>
      </c>
      <c r="J14" s="216">
        <f>ROUND(I14*Order_Quote!$L$5,2)</f>
        <v>2448.8000000000002</v>
      </c>
      <c r="K14" s="76"/>
      <c r="L14" s="79"/>
      <c r="M14" s="117">
        <f t="shared" ref="M14" si="2">K14/G14</f>
        <v>0</v>
      </c>
      <c r="N14" s="275"/>
      <c r="O14" s="553" t="str">
        <f>_xlfn.XLOOKUP(E14,'All Products'!D:D,'All Products'!I:I,FALSE)</f>
        <v>In Stock</v>
      </c>
      <c r="P14" s="553" t="str">
        <f>_xlfn.XLOOKUP(E14,'All Products'!D:D,'All Products'!J:J,FALSE)</f>
        <v>Manufactured</v>
      </c>
      <c r="Q14" s="553" t="str">
        <f>_xlfn.XLOOKUP(E14,'All Products'!D:D,'All Products'!K:K,FALSE)</f>
        <v>049081137823</v>
      </c>
      <c r="R14" s="553" t="str">
        <f>_xlfn.XLOOKUP(E14,'All Products'!D:D,'All Products'!L:L,FALSE)</f>
        <v>-</v>
      </c>
      <c r="S14" s="553" t="str">
        <f>_xlfn.XLOOKUP(E14,'All Products'!D:D,'All Products'!M:M,FALSE)</f>
        <v>40049081137821</v>
      </c>
      <c r="T14" s="553">
        <f>_xlfn.XLOOKUP(E14,'All Products'!D:D,'All Products'!N:N,FALSE)</f>
        <v>11.45</v>
      </c>
      <c r="U14" s="553" t="str">
        <f>_xlfn.XLOOKUP(E14,'All Products'!D:D,'All Products'!O:O,FALSE)</f>
        <v>-</v>
      </c>
      <c r="V14" s="553">
        <f>_xlfn.XLOOKUP(E14,'All Products'!D:D,'All Products'!P:P,FALSE)</f>
        <v>12.5</v>
      </c>
      <c r="W14" s="553">
        <f>_xlfn.XLOOKUP(E14,'All Products'!D:D,'All Products'!Q:Q,FALSE)</f>
        <v>2.65</v>
      </c>
    </row>
    <row r="15" spans="1:23" ht="15" customHeight="1">
      <c r="A15" s="104" t="str">
        <f>IF(K15&gt;0,COUNT($A$7:A14)+COUNT('DWV PVC'!$A$8:$A$284)+COUNT('DWV ABS'!$A$8:$A$116)+COUNT('PVC SCH40'!$A$8:$A$375)+1,"")</f>
        <v/>
      </c>
      <c r="B15" s="115"/>
      <c r="C15" s="116"/>
      <c r="D15" s="547" t="str">
        <f>_xlfn.XLOOKUP(E15,'All Products'!D:D,'All Products'!C:C,FALSE)</f>
        <v>437-626</v>
      </c>
      <c r="E15" s="53">
        <v>100027381</v>
      </c>
      <c r="F15" s="548" t="str">
        <f>_xlfn.XLOOKUP(E15,'All Products'!D:D,'All Products'!E:E,FALSE)</f>
        <v>10X6 REDUCER BUSHING SPGX SLIP</v>
      </c>
      <c r="G15" s="353">
        <f>_xlfn.XLOOKUP(E15,'All Products'!D:D,'All Products'!F:F,FALSE)</f>
        <v>1</v>
      </c>
      <c r="H15" s="353">
        <f>_xlfn.XLOOKUP(E15,'All Products'!D:D,'All Products'!G:G,FALSE)</f>
        <v>75</v>
      </c>
      <c r="I15" s="550">
        <f>_xlfn.XLOOKUP(E15,'All Products'!D:D,'All Products'!H:H,FALSE)</f>
        <v>884.49</v>
      </c>
      <c r="J15" s="216">
        <f>ROUND(I15*Order_Quote!$L$5,2)</f>
        <v>4422.45</v>
      </c>
      <c r="K15" s="76"/>
      <c r="L15" s="79"/>
      <c r="M15" s="117">
        <f t="shared" ref="M15:M19" si="3">K15/G15</f>
        <v>0</v>
      </c>
      <c r="N15" s="275"/>
      <c r="O15" s="553" t="str">
        <f>_xlfn.XLOOKUP(E15,'All Products'!D:D,'All Products'!I:I,FALSE)</f>
        <v>In Stock</v>
      </c>
      <c r="P15" s="553" t="str">
        <f>_xlfn.XLOOKUP(E15,'All Products'!D:D,'All Products'!J:J,FALSE)</f>
        <v>Manufactured</v>
      </c>
      <c r="Q15" s="553" t="str">
        <f>_xlfn.XLOOKUP(E15,'All Products'!D:D,'All Products'!K:K,FALSE)</f>
        <v>049081134044</v>
      </c>
      <c r="R15" s="553" t="str">
        <f>_xlfn.XLOOKUP(E15,'All Products'!D:D,'All Products'!L:L,FALSE)</f>
        <v>-</v>
      </c>
      <c r="S15" s="553" t="str">
        <f>_xlfn.XLOOKUP(E15,'All Products'!D:D,'All Products'!M:M,FALSE)</f>
        <v>40049081134042</v>
      </c>
      <c r="T15" s="553">
        <f>_xlfn.XLOOKUP(E15,'All Products'!D:D,'All Products'!N:N,FALSE)</f>
        <v>6.14</v>
      </c>
      <c r="U15" s="553" t="str">
        <f>_xlfn.XLOOKUP(E15,'All Products'!D:D,'All Products'!O:O,FALSE)</f>
        <v>-</v>
      </c>
      <c r="V15" s="553">
        <f>_xlfn.XLOOKUP(E15,'All Products'!D:D,'All Products'!P:P,FALSE)</f>
        <v>7.12</v>
      </c>
      <c r="W15" s="553">
        <f>_xlfn.XLOOKUP(E15,'All Products'!D:D,'All Products'!Q:Q,FALSE)</f>
        <v>0.95</v>
      </c>
    </row>
    <row r="16" spans="1:23" ht="15" customHeight="1">
      <c r="A16" s="104" t="str">
        <f>IF(K16&gt;0,COUNT($A$7:A15)+COUNT('DWV PVC'!$A$8:$A$284)+COUNT('DWV ABS'!$A$8:$A$116)+COUNT('PVC SCH40'!$A$8:$A$375)+1,"")</f>
        <v/>
      </c>
      <c r="B16" s="115"/>
      <c r="C16" s="116"/>
      <c r="D16" s="547" t="str">
        <f>_xlfn.XLOOKUP(E16,'All Products'!D:D,'All Products'!C:C,FALSE)</f>
        <v>437-628</v>
      </c>
      <c r="E16" s="53">
        <v>100022276</v>
      </c>
      <c r="F16" s="548" t="str">
        <f>_xlfn.XLOOKUP(E16,'All Products'!D:D,'All Products'!E:E,FALSE)</f>
        <v>10X8 REDUCER BUSHING SPGX SLIP</v>
      </c>
      <c r="G16" s="353">
        <f>_xlfn.XLOOKUP(E16,'All Products'!D:D,'All Products'!F:F,FALSE)</f>
        <v>1</v>
      </c>
      <c r="H16" s="353">
        <f>_xlfn.XLOOKUP(E16,'All Products'!D:D,'All Products'!G:G,FALSE)</f>
        <v>75</v>
      </c>
      <c r="I16" s="550">
        <f>_xlfn.XLOOKUP(E16,'All Products'!D:D,'All Products'!H:H,FALSE)</f>
        <v>884.49</v>
      </c>
      <c r="J16" s="216">
        <f>ROUND(I16*Order_Quote!$L$5,2)</f>
        <v>4422.45</v>
      </c>
      <c r="K16" s="76"/>
      <c r="L16" s="79"/>
      <c r="M16" s="117">
        <f t="shared" si="3"/>
        <v>0</v>
      </c>
      <c r="N16" s="275"/>
      <c r="O16" s="553" t="str">
        <f>_xlfn.XLOOKUP(E16,'All Products'!D:D,'All Products'!I:I,FALSE)</f>
        <v>In Stock</v>
      </c>
      <c r="P16" s="553" t="str">
        <f>_xlfn.XLOOKUP(E16,'All Products'!D:D,'All Products'!J:J,FALSE)</f>
        <v>Manufactured</v>
      </c>
      <c r="Q16" s="553" t="str">
        <f>_xlfn.XLOOKUP(E16,'All Products'!D:D,'All Products'!K:K,FALSE)</f>
        <v>049081134020</v>
      </c>
      <c r="R16" s="553" t="str">
        <f>_xlfn.XLOOKUP(E16,'All Products'!D:D,'All Products'!L:L,FALSE)</f>
        <v>-</v>
      </c>
      <c r="S16" s="553" t="str">
        <f>_xlfn.XLOOKUP(E16,'All Products'!D:D,'All Products'!M:M,FALSE)</f>
        <v>40049081134028</v>
      </c>
      <c r="T16" s="553">
        <f>_xlfn.XLOOKUP(E16,'All Products'!D:D,'All Products'!N:N,FALSE)</f>
        <v>6.1180000000000003</v>
      </c>
      <c r="U16" s="553" t="str">
        <f>_xlfn.XLOOKUP(E16,'All Products'!D:D,'All Products'!O:O,FALSE)</f>
        <v>-</v>
      </c>
      <c r="V16" s="553">
        <f>_xlfn.XLOOKUP(E16,'All Products'!D:D,'All Products'!P:P,FALSE)</f>
        <v>6.98</v>
      </c>
      <c r="W16" s="553">
        <f>_xlfn.XLOOKUP(E16,'All Products'!D:D,'All Products'!Q:Q,FALSE)</f>
        <v>0.95</v>
      </c>
    </row>
    <row r="17" spans="1:23" ht="15" customHeight="1">
      <c r="A17" s="104" t="str">
        <f>IF(K17&gt;0,COUNT($A$7:A16)+COUNT('DWV PVC'!$A$8:$A$284)+COUNT('DWV ABS'!$A$8:$A$116)+COUNT('PVC SCH40'!$A$8:$A$375)+1,"")</f>
        <v/>
      </c>
      <c r="B17" s="115"/>
      <c r="C17" s="116"/>
      <c r="D17" s="547" t="str">
        <f>_xlfn.XLOOKUP(E17,'All Products'!D:D,'All Products'!C:C,FALSE)</f>
        <v>437-666</v>
      </c>
      <c r="E17" s="53">
        <v>100022278</v>
      </c>
      <c r="F17" s="548" t="str">
        <f>_xlfn.XLOOKUP(E17,'All Products'!D:D,'All Products'!E:E,FALSE)</f>
        <v>12X6 REDUCER BUSHING SPGX SLIP</v>
      </c>
      <c r="G17" s="353">
        <f>_xlfn.XLOOKUP(E17,'All Products'!D:D,'All Products'!F:F,FALSE)</f>
        <v>1</v>
      </c>
      <c r="H17" s="353">
        <f>_xlfn.XLOOKUP(E17,'All Products'!D:D,'All Products'!G:G,FALSE)</f>
        <v>75</v>
      </c>
      <c r="I17" s="550">
        <f>_xlfn.XLOOKUP(E17,'All Products'!D:D,'All Products'!H:H,FALSE)</f>
        <v>703.67</v>
      </c>
      <c r="J17" s="216">
        <f>ROUND(I17*Order_Quote!$L$5,2)</f>
        <v>3518.35</v>
      </c>
      <c r="K17" s="76"/>
      <c r="L17" s="79"/>
      <c r="M17" s="117">
        <f t="shared" si="3"/>
        <v>0</v>
      </c>
      <c r="N17" s="275"/>
      <c r="O17" s="553" t="str">
        <f>_xlfn.XLOOKUP(E17,'All Products'!D:D,'All Products'!I:I,FALSE)</f>
        <v>In Stock</v>
      </c>
      <c r="P17" s="553" t="str">
        <f>_xlfn.XLOOKUP(E17,'All Products'!D:D,'All Products'!J:J,FALSE)</f>
        <v>Manufactured</v>
      </c>
      <c r="Q17" s="553" t="str">
        <f>_xlfn.XLOOKUP(E17,'All Products'!D:D,'All Products'!K:K,FALSE)</f>
        <v>049081134105</v>
      </c>
      <c r="R17" s="553" t="str">
        <f>_xlfn.XLOOKUP(E17,'All Products'!D:D,'All Products'!L:L,FALSE)</f>
        <v>-</v>
      </c>
      <c r="S17" s="553" t="str">
        <f>_xlfn.XLOOKUP(E17,'All Products'!D:D,'All Products'!M:M,FALSE)</f>
        <v>40049081134103</v>
      </c>
      <c r="T17" s="553">
        <f>_xlfn.XLOOKUP(E17,'All Products'!D:D,'All Products'!N:N,FALSE)</f>
        <v>10.5</v>
      </c>
      <c r="U17" s="553" t="str">
        <f>_xlfn.XLOOKUP(E17,'All Products'!D:D,'All Products'!O:O,FALSE)</f>
        <v>-</v>
      </c>
      <c r="V17" s="553">
        <f>_xlfn.XLOOKUP(E17,'All Products'!D:D,'All Products'!P:P,FALSE)</f>
        <v>10.86</v>
      </c>
      <c r="W17" s="553">
        <f>_xlfn.XLOOKUP(E17,'All Products'!D:D,'All Products'!Q:Q,FALSE)</f>
        <v>1.1000000000000001</v>
      </c>
    </row>
    <row r="18" spans="1:23" ht="15" customHeight="1">
      <c r="A18" s="104" t="str">
        <f>IF(K18&gt;0,COUNT($A$7:A17)+COUNT('DWV PVC'!$A$8:$A$284)+COUNT('DWV ABS'!$A$8:$A$116)+COUNT('PVC SCH40'!$A$8:$A$375)+1,"")</f>
        <v/>
      </c>
      <c r="B18" s="115"/>
      <c r="C18" s="116"/>
      <c r="D18" s="547" t="str">
        <f>_xlfn.XLOOKUP(E18,'All Products'!D:D,'All Products'!C:C,FALSE)</f>
        <v>437-668</v>
      </c>
      <c r="E18" s="53">
        <v>100022279</v>
      </c>
      <c r="F18" s="548" t="str">
        <f>_xlfn.XLOOKUP(E18,'All Products'!D:D,'All Products'!E:E,FALSE)</f>
        <v>12X8 REDUCER BUSHING SPGX SLIP</v>
      </c>
      <c r="G18" s="353">
        <f>_xlfn.XLOOKUP(E18,'All Products'!D:D,'All Products'!F:F,FALSE)</f>
        <v>1</v>
      </c>
      <c r="H18" s="353">
        <f>_xlfn.XLOOKUP(E18,'All Products'!D:D,'All Products'!G:G,FALSE)</f>
        <v>75</v>
      </c>
      <c r="I18" s="550">
        <f>_xlfn.XLOOKUP(E18,'All Products'!D:D,'All Products'!H:H,FALSE)</f>
        <v>983.65</v>
      </c>
      <c r="J18" s="216">
        <f>ROUND(I18*Order_Quote!$L$5,2)</f>
        <v>4918.25</v>
      </c>
      <c r="K18" s="76"/>
      <c r="L18" s="79"/>
      <c r="M18" s="117">
        <f t="shared" si="3"/>
        <v>0</v>
      </c>
      <c r="N18" s="275"/>
      <c r="O18" s="553" t="str">
        <f>_xlfn.XLOOKUP(E18,'All Products'!D:D,'All Products'!I:I,FALSE)</f>
        <v>In Stock</v>
      </c>
      <c r="P18" s="553" t="str">
        <f>_xlfn.XLOOKUP(E18,'All Products'!D:D,'All Products'!J:J,FALSE)</f>
        <v>Manufactured</v>
      </c>
      <c r="Q18" s="553" t="str">
        <f>_xlfn.XLOOKUP(E18,'All Products'!D:D,'All Products'!K:K,FALSE)</f>
        <v>049081134082</v>
      </c>
      <c r="R18" s="553" t="str">
        <f>_xlfn.XLOOKUP(E18,'All Products'!D:D,'All Products'!L:L,FALSE)</f>
        <v>-</v>
      </c>
      <c r="S18" s="553" t="str">
        <f>_xlfn.XLOOKUP(E18,'All Products'!D:D,'All Products'!M:M,FALSE)</f>
        <v>40049081134080</v>
      </c>
      <c r="T18" s="553">
        <f>_xlfn.XLOOKUP(E18,'All Products'!D:D,'All Products'!N:N,FALSE)</f>
        <v>11.39</v>
      </c>
      <c r="U18" s="553" t="str">
        <f>_xlfn.XLOOKUP(E18,'All Products'!D:D,'All Products'!O:O,FALSE)</f>
        <v>-</v>
      </c>
      <c r="V18" s="553">
        <f>_xlfn.XLOOKUP(E18,'All Products'!D:D,'All Products'!P:P,FALSE)</f>
        <v>11.43</v>
      </c>
      <c r="W18" s="553">
        <f>_xlfn.XLOOKUP(E18,'All Products'!D:D,'All Products'!Q:Q,FALSE)</f>
        <v>1.1000000000000001</v>
      </c>
    </row>
    <row r="19" spans="1:23" ht="15" customHeight="1">
      <c r="A19" s="104" t="str">
        <f>IF(K19&gt;0,COUNT($A$7:A18)+COUNT('DWV PVC'!$A$8:$A$284)+COUNT('DWV ABS'!$A$8:$A$116)+COUNT('PVC SCH40'!$A$8:$A$375)+1,"")</f>
        <v/>
      </c>
      <c r="B19" s="380"/>
      <c r="C19" s="292"/>
      <c r="D19" s="547" t="str">
        <f>_xlfn.XLOOKUP(E19,'All Products'!D:D,'All Products'!C:C,FALSE)</f>
        <v>437-670</v>
      </c>
      <c r="E19" s="53">
        <v>100022280</v>
      </c>
      <c r="F19" s="548" t="str">
        <f>_xlfn.XLOOKUP(E19,'All Products'!D:D,'All Products'!E:E,FALSE)</f>
        <v>12X10 REDUCER BUSHING SPGX SLIP</v>
      </c>
      <c r="G19" s="353">
        <f>_xlfn.XLOOKUP(E19,'All Products'!D:D,'All Products'!F:F,FALSE)</f>
        <v>1</v>
      </c>
      <c r="H19" s="353">
        <f>_xlfn.XLOOKUP(E19,'All Products'!D:D,'All Products'!G:G,FALSE)</f>
        <v>75</v>
      </c>
      <c r="I19" s="550">
        <f>_xlfn.XLOOKUP(E19,'All Products'!D:D,'All Products'!H:H,FALSE)</f>
        <v>983.65</v>
      </c>
      <c r="J19" s="216">
        <f>ROUND(I19*Order_Quote!$L$5,2)</f>
        <v>4918.25</v>
      </c>
      <c r="K19" s="76"/>
      <c r="L19" s="79"/>
      <c r="M19" s="117">
        <f t="shared" si="3"/>
        <v>0</v>
      </c>
      <c r="N19" s="275"/>
      <c r="O19" s="553" t="str">
        <f>_xlfn.XLOOKUP(E19,'All Products'!D:D,'All Products'!I:I,FALSE)</f>
        <v>In Stock</v>
      </c>
      <c r="P19" s="553" t="str">
        <f>_xlfn.XLOOKUP(E19,'All Products'!D:D,'All Products'!J:J,FALSE)</f>
        <v>Manufactured</v>
      </c>
      <c r="Q19" s="553" t="str">
        <f>_xlfn.XLOOKUP(E19,'All Products'!D:D,'All Products'!K:K,FALSE)</f>
        <v>049081134068</v>
      </c>
      <c r="R19" s="553" t="str">
        <f>_xlfn.XLOOKUP(E19,'All Products'!D:D,'All Products'!L:L,FALSE)</f>
        <v>-</v>
      </c>
      <c r="S19" s="553" t="str">
        <f>_xlfn.XLOOKUP(E19,'All Products'!D:D,'All Products'!M:M,FALSE)</f>
        <v>40049081134066</v>
      </c>
      <c r="T19" s="553">
        <f>_xlfn.XLOOKUP(E19,'All Products'!D:D,'All Products'!N:N,FALSE)</f>
        <v>8.1300000000000008</v>
      </c>
      <c r="U19" s="553" t="str">
        <f>_xlfn.XLOOKUP(E19,'All Products'!D:D,'All Products'!O:O,FALSE)</f>
        <v>-</v>
      </c>
      <c r="V19" s="553">
        <f>_xlfn.XLOOKUP(E19,'All Products'!D:D,'All Products'!P:P,FALSE)</f>
        <v>9.15</v>
      </c>
      <c r="W19" s="553">
        <f>_xlfn.XLOOKUP(E19,'All Products'!D:D,'All Products'!Q:Q,FALSE)</f>
        <v>1.1000000000000001</v>
      </c>
    </row>
    <row r="20" spans="1:23" ht="30" customHeight="1">
      <c r="A20" s="104" t="str">
        <f>IF(K20&gt;0,COUNT($A$7:A19)+COUNT('DWV PVC'!$A$8:$A$284)+COUNT('DWV ABS'!$A$8:$A$116)+COUNT('PVC SCH40'!$A$8:$A$375)+1,"")</f>
        <v/>
      </c>
      <c r="B20" s="379"/>
      <c r="C20" s="291"/>
      <c r="D20" s="547" t="str">
        <f>_xlfn.XLOOKUP(E20,'All Products'!D:D,'All Products'!C:C,FALSE)</f>
        <v>447-100</v>
      </c>
      <c r="E20" s="53">
        <v>100022281</v>
      </c>
      <c r="F20" s="548" t="str">
        <f>_xlfn.XLOOKUP(E20,'All Products'!D:D,'All Products'!E:E,FALSE)</f>
        <v>10 CAP SLIP</v>
      </c>
      <c r="G20" s="353">
        <f>_xlfn.XLOOKUP(E20,'All Products'!D:D,'All Products'!F:F,FALSE)</f>
        <v>1</v>
      </c>
      <c r="H20" s="353">
        <f>_xlfn.XLOOKUP(E20,'All Products'!D:D,'All Products'!G:G,FALSE)</f>
        <v>75</v>
      </c>
      <c r="I20" s="550">
        <f>_xlfn.XLOOKUP(E20,'All Products'!D:D,'All Products'!H:H,FALSE)</f>
        <v>1477.75</v>
      </c>
      <c r="J20" s="216">
        <f>ROUND(I20*Order_Quote!$L$5,2)</f>
        <v>7388.75</v>
      </c>
      <c r="K20" s="76"/>
      <c r="L20" s="79"/>
      <c r="M20" s="117">
        <f t="shared" ref="M20:M21" si="4">K20/G20</f>
        <v>0</v>
      </c>
      <c r="N20" s="275"/>
      <c r="O20" s="553" t="str">
        <f>_xlfn.XLOOKUP(E20,'All Products'!D:D,'All Products'!I:I,FALSE)</f>
        <v>In Stock</v>
      </c>
      <c r="P20" s="553" t="str">
        <f>_xlfn.XLOOKUP(E20,'All Products'!D:D,'All Products'!J:J,FALSE)</f>
        <v>Manufactured</v>
      </c>
      <c r="Q20" s="553" t="str">
        <f>_xlfn.XLOOKUP(E20,'All Products'!D:D,'All Products'!K:K,FALSE)</f>
        <v>049081137021</v>
      </c>
      <c r="R20" s="553" t="str">
        <f>_xlfn.XLOOKUP(E20,'All Products'!D:D,'All Products'!L:L,FALSE)</f>
        <v>-</v>
      </c>
      <c r="S20" s="553" t="str">
        <f>_xlfn.XLOOKUP(E20,'All Products'!D:D,'All Products'!M:M,FALSE)</f>
        <v>40049081137029</v>
      </c>
      <c r="T20" s="553">
        <f>_xlfn.XLOOKUP(E20,'All Products'!D:D,'All Products'!N:N,FALSE)</f>
        <v>8.3859999999999992</v>
      </c>
      <c r="U20" s="553" t="str">
        <f>_xlfn.XLOOKUP(E20,'All Products'!D:D,'All Products'!O:O,FALSE)</f>
        <v>-</v>
      </c>
      <c r="V20" s="553">
        <f>_xlfn.XLOOKUP(E20,'All Products'!D:D,'All Products'!P:P,FALSE)</f>
        <v>8.73</v>
      </c>
      <c r="W20" s="553">
        <f>_xlfn.XLOOKUP(E20,'All Products'!D:D,'All Products'!Q:Q,FALSE)</f>
        <v>0.95</v>
      </c>
    </row>
    <row r="21" spans="1:23" ht="30" customHeight="1">
      <c r="A21" s="104" t="str">
        <f>IF(K21&gt;0,COUNT($A$7:A20)+COUNT('DWV PVC'!$A$8:$A$284)+COUNT('DWV ABS'!$A$8:$A$116)+COUNT('PVC SCH40'!$A$8:$A$375)+1,"")</f>
        <v/>
      </c>
      <c r="B21" s="380"/>
      <c r="C21" s="292"/>
      <c r="D21" s="547" t="str">
        <f>_xlfn.XLOOKUP(E21,'All Products'!D:D,'All Products'!C:C,FALSE)</f>
        <v>447-120</v>
      </c>
      <c r="E21" s="53">
        <v>100022282</v>
      </c>
      <c r="F21" s="548" t="str">
        <f>_xlfn.XLOOKUP(E21,'All Products'!D:D,'All Products'!E:E,FALSE)</f>
        <v>12 CAP SLIP</v>
      </c>
      <c r="G21" s="353">
        <f>_xlfn.XLOOKUP(E21,'All Products'!D:D,'All Products'!F:F,FALSE)</f>
        <v>2</v>
      </c>
      <c r="H21" s="353">
        <f>_xlfn.XLOOKUP(E21,'All Products'!D:D,'All Products'!G:G,FALSE)</f>
        <v>48</v>
      </c>
      <c r="I21" s="550">
        <f>_xlfn.XLOOKUP(E21,'All Products'!D:D,'All Products'!H:H,FALSE)</f>
        <v>1523.01</v>
      </c>
      <c r="J21" s="216">
        <f>ROUND(I21*Order_Quote!$L$5,2)</f>
        <v>7615.05</v>
      </c>
      <c r="K21" s="76"/>
      <c r="L21" s="79"/>
      <c r="M21" s="117">
        <f t="shared" si="4"/>
        <v>0</v>
      </c>
      <c r="N21" s="275"/>
      <c r="O21" s="553" t="str">
        <f>_xlfn.XLOOKUP(E21,'All Products'!D:D,'All Products'!I:I,FALSE)</f>
        <v>In Stock</v>
      </c>
      <c r="P21" s="553" t="str">
        <f>_xlfn.XLOOKUP(E21,'All Products'!D:D,'All Products'!J:J,FALSE)</f>
        <v>Manufactured</v>
      </c>
      <c r="Q21" s="553" t="str">
        <f>_xlfn.XLOOKUP(E21,'All Products'!D:D,'All Products'!K:K,FALSE)</f>
        <v>049081137045</v>
      </c>
      <c r="R21" s="553" t="str">
        <f>_xlfn.XLOOKUP(E21,'All Products'!D:D,'All Products'!L:L,FALSE)</f>
        <v>-</v>
      </c>
      <c r="S21" s="553" t="str">
        <f>_xlfn.XLOOKUP(E21,'All Products'!D:D,'All Products'!M:M,FALSE)</f>
        <v>40049081137043</v>
      </c>
      <c r="T21" s="553">
        <f>_xlfn.XLOOKUP(E21,'All Products'!D:D,'All Products'!N:N,FALSE)</f>
        <v>14.21</v>
      </c>
      <c r="U21" s="553" t="str">
        <f>_xlfn.XLOOKUP(E21,'All Products'!D:D,'All Products'!O:O,FALSE)</f>
        <v>-</v>
      </c>
      <c r="V21" s="553">
        <f>_xlfn.XLOOKUP(E21,'All Products'!D:D,'All Products'!P:P,FALSE)</f>
        <v>28.84</v>
      </c>
      <c r="W21" s="553">
        <f>_xlfn.XLOOKUP(E21,'All Products'!D:D,'All Products'!Q:Q,FALSE)</f>
        <v>2.77</v>
      </c>
    </row>
    <row r="22" spans="1:23" ht="15" customHeight="1">
      <c r="A22" s="104">
        <f>MAX(A8:A21)+1</f>
        <v>1</v>
      </c>
    </row>
    <row r="23" spans="1:23" ht="15" customHeight="1"/>
    <row r="24" spans="1:23" ht="15" customHeight="1"/>
    <row r="25" spans="1:23" ht="15" customHeight="1"/>
    <row r="26" spans="1:23" ht="15" customHeight="1"/>
    <row r="27" spans="1:23" ht="15" customHeight="1"/>
    <row r="28" spans="1:23" ht="15" customHeight="1"/>
    <row r="29" spans="1:23" ht="15" customHeight="1"/>
    <row r="30" spans="1:23" ht="15" customHeight="1"/>
    <row r="31" spans="1:23" ht="15" customHeight="1"/>
    <row r="32" spans="1:23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</sheetData>
  <sheetProtection algorithmName="SHA-512" hashValue="m99Yp3flXeRTXS7JMtmb2pd0HORSDV4clk1Kblz4+I1NE59b7/JCNVltXNNKFux4nf1DBiI+dqcB6hbs1nz+OQ==" saltValue="MqEUHzvzPfLrTh4dlT81RA==" spinCount="100000" sheet="1" formatCells="0" formatColumns="0" formatRows="0" insertColumns="0" insertRows="0" insertHyperlinks="0" deleteColumns="0" deleteRows="0" sort="0" autoFilter="0" pivotTables="0"/>
  <mergeCells count="2">
    <mergeCell ref="J2:K3"/>
    <mergeCell ref="Q6:S6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743E4919-D372-4529-95A2-F4E26FE41469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1 K14:L21" xr:uid="{BCF2E9B0-EDBA-46D1-A785-62B82B2F8E92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C5323244-DE0F-4FEC-8E07-5DF89AB47418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K22:L63792" xr:uid="{6394AC50-F95C-4BDB-B950-1F0098B093BF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1D63-6EF0-4733-B756-F5ECEBB72668}">
  <sheetPr>
    <tabColor theme="0"/>
    <pageSetUpPr fitToPage="1"/>
  </sheetPr>
  <dimension ref="A1:AL688"/>
  <sheetViews>
    <sheetView showGridLines="0" zoomScaleNormal="100" workbookViewId="0">
      <pane xSplit="6" ySplit="7" topLeftCell="H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20" customWidth="1"/>
    <col min="9" max="9" width="10.7109375" style="485" customWidth="1"/>
    <col min="10" max="10" width="10.7109375" style="215" customWidth="1"/>
    <col min="11" max="11" width="10.7109375" style="17" customWidth="1"/>
    <col min="12" max="12" width="1" style="17" customWidth="1"/>
    <col min="13" max="13" width="10.7109375" style="17" customWidth="1"/>
    <col min="14" max="14" width="2.28515625" style="17" customWidth="1"/>
    <col min="15" max="15" width="12.7109375" style="217" customWidth="1"/>
    <col min="16" max="16" width="10.7109375" style="217" customWidth="1"/>
    <col min="17" max="17" width="11.28515625" style="217" customWidth="1"/>
    <col min="18" max="18" width="10.7109375" style="217" customWidth="1"/>
    <col min="19" max="19" width="13.140625" style="545" customWidth="1"/>
    <col min="20" max="23" width="10.7109375" style="217" customWidth="1"/>
    <col min="24" max="24" width="9.140625" style="17" customWidth="1"/>
    <col min="25" max="25" width="2.140625" style="17" customWidth="1"/>
    <col min="26" max="26" width="0" style="266" hidden="1" customWidth="1"/>
    <col min="27" max="38" width="0" style="17" hidden="1" customWidth="1"/>
    <col min="39" max="16384" width="9.140625" style="17" hidden="1"/>
  </cols>
  <sheetData>
    <row r="1" spans="1:23" ht="18.75">
      <c r="F1" s="173" t="s">
        <v>17</v>
      </c>
      <c r="G1" s="549"/>
      <c r="H1" s="236"/>
      <c r="O1" s="236"/>
      <c r="P1" s="236"/>
      <c r="Q1" s="236"/>
      <c r="R1" s="236"/>
      <c r="S1" s="544"/>
      <c r="T1" s="236"/>
      <c r="U1" s="236"/>
      <c r="V1" s="236"/>
      <c r="W1" s="236"/>
    </row>
    <row r="2" spans="1:23" ht="15.75" customHeight="1">
      <c r="D2" s="238"/>
      <c r="E2" s="268"/>
      <c r="J2" s="628" t="s">
        <v>59</v>
      </c>
      <c r="K2" s="628"/>
    </row>
    <row r="3" spans="1:23" ht="15">
      <c r="F3" s="436" t="s">
        <v>340</v>
      </c>
      <c r="J3" s="628"/>
      <c r="K3" s="628"/>
      <c r="O3" s="17"/>
    </row>
    <row r="4" spans="1:23" ht="15">
      <c r="E4" s="163" t="s">
        <v>334</v>
      </c>
      <c r="F4" s="440" t="s">
        <v>341</v>
      </c>
      <c r="O4" s="17"/>
      <c r="P4" s="17"/>
      <c r="Q4" s="17"/>
      <c r="R4" s="17"/>
      <c r="S4" s="485"/>
      <c r="T4" s="17"/>
      <c r="U4" s="17"/>
      <c r="V4" s="17"/>
      <c r="W4" s="17"/>
    </row>
    <row r="5" spans="1:23" ht="15">
      <c r="F5" s="438" t="s">
        <v>329</v>
      </c>
      <c r="O5" s="17"/>
      <c r="P5" s="17"/>
      <c r="Q5" s="17"/>
      <c r="R5" s="17"/>
      <c r="S5" s="485"/>
      <c r="T5" s="17"/>
      <c r="U5" s="17"/>
      <c r="V5" s="17"/>
      <c r="W5" s="17"/>
    </row>
    <row r="6" spans="1:23" ht="15">
      <c r="F6" s="17"/>
      <c r="O6" s="486" t="s">
        <v>63</v>
      </c>
      <c r="P6" s="17"/>
      <c r="Q6" s="576" t="s">
        <v>64</v>
      </c>
      <c r="R6" s="576"/>
      <c r="S6" s="576"/>
      <c r="T6" s="17"/>
      <c r="U6" s="17"/>
      <c r="V6" s="17"/>
      <c r="W6" s="17"/>
    </row>
    <row r="7" spans="1:23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149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529" t="s">
        <v>72</v>
      </c>
      <c r="T7" s="263" t="s">
        <v>73</v>
      </c>
      <c r="U7" s="263" t="s">
        <v>336</v>
      </c>
      <c r="V7" s="263" t="s">
        <v>330</v>
      </c>
      <c r="W7" s="263" t="s">
        <v>331</v>
      </c>
    </row>
    <row r="8" spans="1:23" ht="30" customHeight="1">
      <c r="A8" s="104" t="str">
        <f>IF(K8&gt;0,COUNT($A$7:A7)+COUNT('DWV PVC'!$A$8:$A$284)+COUNT('DWV ABS'!$A$8:$A$116)+COUNT('PVC SCH40'!$A$8:$A$375)
+COUNT('PVC SCH40 LD'!$A$8:$A$21)+1,"")</f>
        <v/>
      </c>
      <c r="B8" s="577"/>
      <c r="C8" s="578"/>
      <c r="D8" s="128" t="str">
        <f>_xlfn.XLOOKUP(E8,'All Products'!D:D,'All Products'!C:C,FALSE)</f>
        <v>406-015SW</v>
      </c>
      <c r="E8" s="53">
        <v>100022214</v>
      </c>
      <c r="F8" s="522" t="str">
        <f>_xlfn.XLOOKUP(E8,'All Products'!D:D,'All Products'!E:E,FALSE)</f>
        <v>1-1/2 SLIP X SLIP POOL SWP ELL</v>
      </c>
      <c r="G8" s="282">
        <f>_xlfn.XLOOKUP(E8,'All Products'!D:D,'All Products'!F:F,FALSE)</f>
        <v>25</v>
      </c>
      <c r="H8" s="282">
        <f>_xlfn.XLOOKUP(E8,'All Products'!D:D,'All Products'!G:G,FALSE)</f>
        <v>0</v>
      </c>
      <c r="I8" s="540">
        <f>_xlfn.XLOOKUP(E8,'All Products'!D:D,'All Products'!H:H,FALSE)</f>
        <v>9.7899999999999991</v>
      </c>
      <c r="J8" s="216">
        <f>ROUND(I8*Order_Quote!$L$6,2)</f>
        <v>48.95</v>
      </c>
      <c r="K8" s="76"/>
      <c r="L8" s="79"/>
      <c r="M8" s="117">
        <f t="shared" ref="M8:M11" si="0">K8/G8</f>
        <v>0</v>
      </c>
      <c r="N8" s="275"/>
      <c r="O8" s="530" t="str">
        <f>_xlfn.XLOOKUP(E8,'All Products'!D:D,'All Products'!I:I,FALSE)</f>
        <v>In Stock</v>
      </c>
      <c r="P8" s="530" t="str">
        <f>_xlfn.XLOOKUP(E8,'All Products'!D:D,'All Products'!J:J,FALSE)</f>
        <v>Manufactured</v>
      </c>
      <c r="Q8" s="530" t="str">
        <f>_xlfn.XLOOKUP(E8,'All Products'!D:D,'All Products'!K:K,FALSE)</f>
        <v>049081140847</v>
      </c>
      <c r="R8" s="530" t="str">
        <f>_xlfn.XLOOKUP(E8,'All Products'!D:D,'All Products'!L:L,FALSE)</f>
        <v>-</v>
      </c>
      <c r="S8" s="530" t="str">
        <f>_xlfn.XLOOKUP(E8,'All Products'!D:D,'All Products'!M:M,FALSE)</f>
        <v>40049081140845</v>
      </c>
      <c r="T8" s="530">
        <f>_xlfn.XLOOKUP(E8,'All Products'!D:D,'All Products'!N:N,FALSE)</f>
        <v>0.27500000000000002</v>
      </c>
      <c r="U8" s="530" t="str">
        <f>_xlfn.XLOOKUP(E8,'All Products'!D:D,'All Products'!O:O,FALSE)</f>
        <v>-</v>
      </c>
      <c r="V8" s="530">
        <f>_xlfn.XLOOKUP(E8,'All Products'!D:D,'All Products'!P:P,FALSE)</f>
        <v>7.34</v>
      </c>
      <c r="W8" s="530">
        <f>_xlfn.XLOOKUP(E8,'All Products'!D:D,'All Products'!Q:Q,FALSE)</f>
        <v>0.65</v>
      </c>
    </row>
    <row r="9" spans="1:23" ht="30" customHeight="1">
      <c r="A9" s="104" t="str">
        <f>IF(K9&gt;0,COUNT($A$7:A8)+COUNT('DWV PVC'!$A$8:$A$284)+COUNT('DWV ABS'!$A$8:$A$116)+COUNT('PVC SCH40'!$A$8:$A$375)
+COUNT('PVC SCH40 LD'!$A$8:$A$21)+1,"")</f>
        <v/>
      </c>
      <c r="B9" s="581"/>
      <c r="C9" s="582"/>
      <c r="D9" s="128" t="str">
        <f>_xlfn.XLOOKUP(E9,'All Products'!D:D,'All Products'!C:C,FALSE)</f>
        <v>406-020SW</v>
      </c>
      <c r="E9" s="53">
        <v>100022216</v>
      </c>
      <c r="F9" s="522" t="str">
        <f>_xlfn.XLOOKUP(E9,'All Products'!D:D,'All Products'!E:E,FALSE)</f>
        <v>2 SLIP X SLIP POOL SWP ELL</v>
      </c>
      <c r="G9" s="282">
        <f>_xlfn.XLOOKUP(E9,'All Products'!D:D,'All Products'!F:F,FALSE)</f>
        <v>25</v>
      </c>
      <c r="H9" s="282">
        <f>_xlfn.XLOOKUP(E9,'All Products'!D:D,'All Products'!G:G,FALSE)</f>
        <v>0</v>
      </c>
      <c r="I9" s="540">
        <f>_xlfn.XLOOKUP(E9,'All Products'!D:D,'All Products'!H:H,FALSE)</f>
        <v>12.23</v>
      </c>
      <c r="J9" s="216">
        <f>ROUND(I9*Order_Quote!$L$6,2)</f>
        <v>61.15</v>
      </c>
      <c r="K9" s="76"/>
      <c r="L9" s="79"/>
      <c r="M9" s="117">
        <f t="shared" si="0"/>
        <v>0</v>
      </c>
      <c r="N9" s="275"/>
      <c r="O9" s="530" t="str">
        <f>_xlfn.XLOOKUP(E9,'All Products'!D:D,'All Products'!I:I,FALSE)</f>
        <v>In Stock</v>
      </c>
      <c r="P9" s="530" t="str">
        <f>_xlfn.XLOOKUP(E9,'All Products'!D:D,'All Products'!J:J,FALSE)</f>
        <v>Manufactured</v>
      </c>
      <c r="Q9" s="530" t="str">
        <f>_xlfn.XLOOKUP(E9,'All Products'!D:D,'All Products'!K:K,FALSE)</f>
        <v>049081142285</v>
      </c>
      <c r="R9" s="530" t="str">
        <f>_xlfn.XLOOKUP(E9,'All Products'!D:D,'All Products'!L:L,FALSE)</f>
        <v>-</v>
      </c>
      <c r="S9" s="530" t="str">
        <f>_xlfn.XLOOKUP(E9,'All Products'!D:D,'All Products'!M:M,FALSE)</f>
        <v>40049081142283</v>
      </c>
      <c r="T9" s="530">
        <f>_xlfn.XLOOKUP(E9,'All Products'!D:D,'All Products'!N:N,FALSE)</f>
        <v>0.437</v>
      </c>
      <c r="U9" s="530" t="str">
        <f>_xlfn.XLOOKUP(E9,'All Products'!D:D,'All Products'!O:O,FALSE)</f>
        <v>-</v>
      </c>
      <c r="V9" s="530">
        <f>_xlfn.XLOOKUP(E9,'All Products'!D:D,'All Products'!P:P,FALSE)</f>
        <v>12.1</v>
      </c>
      <c r="W9" s="530">
        <f>_xlfn.XLOOKUP(E9,'All Products'!D:D,'All Products'!Q:Q,FALSE)</f>
        <v>0.95</v>
      </c>
    </row>
    <row r="10" spans="1:23" ht="30" customHeight="1">
      <c r="A10" s="104" t="str">
        <f>IF(K10&gt;0,COUNT($A$7:A9)+COUNT('DWV PVC'!$A$8:$A$284)+COUNT('DWV ABS'!$A$8:$A$116)+COUNT('PVC SCH40'!$A$8:$A$375)
+COUNT('PVC SCH40 LD'!$A$8:$A$21)+1,"")</f>
        <v/>
      </c>
      <c r="B10" s="579"/>
      <c r="C10" s="580"/>
      <c r="D10" s="128" t="str">
        <f>_xlfn.XLOOKUP(E10,'All Products'!D:D,'All Products'!C:C,FALSE)</f>
        <v>409-015SW</v>
      </c>
      <c r="E10" s="53">
        <v>100022218</v>
      </c>
      <c r="F10" s="522" t="str">
        <f>_xlfn.XLOOKUP(E10,'All Products'!D:D,'All Products'!E:E,FALSE)</f>
        <v>1-1/2 SLIP X SPGT POOL SWP ELL</v>
      </c>
      <c r="G10" s="282">
        <f>_xlfn.XLOOKUP(E10,'All Products'!D:D,'All Products'!F:F,FALSE)</f>
        <v>25</v>
      </c>
      <c r="H10" s="282">
        <f>_xlfn.XLOOKUP(E10,'All Products'!D:D,'All Products'!G:G,FALSE)</f>
        <v>0</v>
      </c>
      <c r="I10" s="540">
        <f>_xlfn.XLOOKUP(E10,'All Products'!D:D,'All Products'!H:H,FALSE)</f>
        <v>11.39</v>
      </c>
      <c r="J10" s="216">
        <f>ROUND(I10*Order_Quote!$L$6,2)</f>
        <v>56.95</v>
      </c>
      <c r="K10" s="76"/>
      <c r="L10" s="79"/>
      <c r="M10" s="117">
        <f t="shared" si="0"/>
        <v>0</v>
      </c>
      <c r="N10" s="275"/>
      <c r="O10" s="530" t="str">
        <f>_xlfn.XLOOKUP(E10,'All Products'!D:D,'All Products'!I:I,FALSE)</f>
        <v>Within 3 Weeks</v>
      </c>
      <c r="P10" s="530" t="str">
        <f>_xlfn.XLOOKUP(E10,'All Products'!D:D,'All Products'!J:J,FALSE)</f>
        <v>Manufactured</v>
      </c>
      <c r="Q10" s="530" t="str">
        <f>_xlfn.XLOOKUP(E10,'All Products'!D:D,'All Products'!K:K,FALSE)</f>
        <v>049081140939</v>
      </c>
      <c r="R10" s="530" t="str">
        <f>_xlfn.XLOOKUP(E10,'All Products'!D:D,'All Products'!L:L,FALSE)</f>
        <v>-</v>
      </c>
      <c r="S10" s="530" t="str">
        <f>_xlfn.XLOOKUP(E10,'All Products'!D:D,'All Products'!M:M,FALSE)</f>
        <v>40049081140937</v>
      </c>
      <c r="T10" s="530">
        <f>_xlfn.XLOOKUP(E10,'All Products'!D:D,'All Products'!N:N,FALSE)</f>
        <v>0.26900000000000002</v>
      </c>
      <c r="U10" s="530" t="str">
        <f>_xlfn.XLOOKUP(E10,'All Products'!D:D,'All Products'!O:O,FALSE)</f>
        <v>-</v>
      </c>
      <c r="V10" s="530">
        <f>_xlfn.XLOOKUP(E10,'All Products'!D:D,'All Products'!P:P,FALSE)</f>
        <v>7.44</v>
      </c>
      <c r="W10" s="530">
        <f>_xlfn.XLOOKUP(E10,'All Products'!D:D,'All Products'!Q:Q,FALSE)</f>
        <v>0.65</v>
      </c>
    </row>
    <row r="11" spans="1:23" ht="30" customHeight="1">
      <c r="A11" s="104" t="str">
        <f>IF(K11&gt;0,COUNT($A$7:A10)+COUNT('DWV PVC'!$A$8:$A$284)+COUNT('DWV ABS'!$A$8:$A$116)+COUNT('PVC SCH40'!$A$8:$A$375)
+COUNT('PVC SCH40 LD'!$A$8:$A$21)+1,"")</f>
        <v/>
      </c>
      <c r="B11" s="581"/>
      <c r="C11" s="582"/>
      <c r="D11" s="128" t="str">
        <f>_xlfn.XLOOKUP(E11,'All Products'!D:D,'All Products'!C:C,FALSE)</f>
        <v>409-020SW</v>
      </c>
      <c r="E11" s="53">
        <v>100022220</v>
      </c>
      <c r="F11" s="522" t="str">
        <f>_xlfn.XLOOKUP(E11,'All Products'!D:D,'All Products'!E:E,FALSE)</f>
        <v>2 SLIP X SPGT POOL SWP ELL</v>
      </c>
      <c r="G11" s="282">
        <f>_xlfn.XLOOKUP(E11,'All Products'!D:D,'All Products'!F:F,FALSE)</f>
        <v>25</v>
      </c>
      <c r="H11" s="282">
        <f>_xlfn.XLOOKUP(E11,'All Products'!D:D,'All Products'!G:G,FALSE)</f>
        <v>0</v>
      </c>
      <c r="I11" s="540">
        <f>_xlfn.XLOOKUP(E11,'All Products'!D:D,'All Products'!H:H,FALSE)</f>
        <v>14.29</v>
      </c>
      <c r="J11" s="216">
        <f>ROUND(I11*Order_Quote!$L$6,2)</f>
        <v>71.45</v>
      </c>
      <c r="K11" s="76"/>
      <c r="L11" s="79"/>
      <c r="M11" s="117">
        <f t="shared" si="0"/>
        <v>0</v>
      </c>
      <c r="N11" s="275"/>
      <c r="O11" s="530" t="str">
        <f>_xlfn.XLOOKUP(E11,'All Products'!D:D,'All Products'!I:I,FALSE)</f>
        <v>In Stock</v>
      </c>
      <c r="P11" s="530" t="str">
        <f>_xlfn.XLOOKUP(E11,'All Products'!D:D,'All Products'!J:J,FALSE)</f>
        <v>Manufactured</v>
      </c>
      <c r="Q11" s="530" t="str">
        <f>_xlfn.XLOOKUP(E11,'All Products'!D:D,'All Products'!K:K,FALSE)</f>
        <v>049081142292</v>
      </c>
      <c r="R11" s="530" t="str">
        <f>_xlfn.XLOOKUP(E11,'All Products'!D:D,'All Products'!L:L,FALSE)</f>
        <v>-</v>
      </c>
      <c r="S11" s="530" t="str">
        <f>_xlfn.XLOOKUP(E11,'All Products'!D:D,'All Products'!M:M,FALSE)</f>
        <v>40049081142290</v>
      </c>
      <c r="T11" s="530">
        <f>_xlfn.XLOOKUP(E11,'All Products'!D:D,'All Products'!N:N,FALSE)</f>
        <v>0.437</v>
      </c>
      <c r="U11" s="530" t="str">
        <f>_xlfn.XLOOKUP(E11,'All Products'!D:D,'All Products'!O:O,FALSE)</f>
        <v>-</v>
      </c>
      <c r="V11" s="530">
        <f>_xlfn.XLOOKUP(E11,'All Products'!D:D,'All Products'!P:P,FALSE)</f>
        <v>11.86</v>
      </c>
      <c r="W11" s="530" t="str">
        <f>_xlfn.XLOOKUP(E11,'All Products'!D:D,'All Products'!Q:Q,FALSE)</f>
        <v>-</v>
      </c>
    </row>
    <row r="12" spans="1:23" ht="15" customHeight="1">
      <c r="A12" s="104">
        <f>MAX(A8:A11)+1</f>
        <v>1</v>
      </c>
    </row>
    <row r="13" spans="1:23" ht="15" customHeight="1"/>
    <row r="14" spans="1:23" ht="15" customHeight="1"/>
    <row r="15" spans="1:23" ht="15" customHeight="1"/>
    <row r="16" spans="1:2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</sheetData>
  <sheetProtection algorithmName="SHA-512" hashValue="9w9MRvqD7lMPHSFjgpn/bv18OvMV2WOgK+HqPhUq77+ClXrzSKLan4/CqqktqgjaubxSDEaaIIy7R7BNjev3wA==" saltValue="2AhGiVMLjHNE33jJLTcV4g==" spinCount="100000" sheet="1" formatCells="0" formatColumns="0" formatRows="0" insertColumns="0" insertRows="0" insertHyperlinks="0" deleteColumns="0" deleteRows="0" sort="0" autoFilter="0" pivotTables="0"/>
  <mergeCells count="4">
    <mergeCell ref="J2:K3"/>
    <mergeCell ref="Q6:S6"/>
    <mergeCell ref="B8:C9"/>
    <mergeCell ref="B10:C11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6E31AB9D-2E4D-497A-98A9-2C69A86EF4E8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1" xr:uid="{705AB64D-26B1-472D-BDD5-217AE1291F7F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BAF84917-4194-48B9-A907-9424EF5456BE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K12:L63782" xr:uid="{0D7B6865-A773-4106-8A9A-D81013DD5BA1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07EAD-DA3A-4AD7-B4E4-ED7A9DD81A47}">
  <sheetPr>
    <tabColor theme="0"/>
    <pageSetUpPr fitToPage="1"/>
  </sheetPr>
  <dimension ref="A1:AL688"/>
  <sheetViews>
    <sheetView showGridLines="0" zoomScaleNormal="100" workbookViewId="0">
      <pane xSplit="6" ySplit="7" topLeftCell="I8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0" defaultRowHeight="0" customHeight="1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538" customWidth="1"/>
    <col min="9" max="9" width="10.7109375" style="120" customWidth="1"/>
    <col min="10" max="10" width="10.7109375" style="215" customWidth="1"/>
    <col min="11" max="11" width="10.7109375" style="17" customWidth="1"/>
    <col min="12" max="12" width="1" style="17" customWidth="1"/>
    <col min="13" max="13" width="10.7109375" style="17" customWidth="1"/>
    <col min="14" max="14" width="2.28515625" style="17" customWidth="1"/>
    <col min="15" max="15" width="12.7109375" style="527" customWidth="1"/>
    <col min="16" max="16" width="10.7109375" style="217" customWidth="1"/>
    <col min="17" max="17" width="11.28515625" style="217" customWidth="1"/>
    <col min="18" max="18" width="10.7109375" style="217" customWidth="1"/>
    <col min="19" max="19" width="13.140625" style="217" customWidth="1"/>
    <col min="20" max="20" width="10.7109375" style="557" customWidth="1"/>
    <col min="21" max="21" width="10.7109375" style="541" customWidth="1"/>
    <col min="22" max="23" width="10.7109375" style="545" customWidth="1"/>
    <col min="24" max="24" width="9.140625" style="17" customWidth="1"/>
    <col min="25" max="25" width="2.140625" style="17" customWidth="1"/>
    <col min="26" max="26" width="0" style="266" hidden="1" customWidth="1"/>
    <col min="27" max="38" width="0" style="17" hidden="1" customWidth="1"/>
    <col min="39" max="16384" width="9.140625" style="17" hidden="1"/>
  </cols>
  <sheetData>
    <row r="1" spans="1:23" ht="18.75">
      <c r="F1" s="173" t="s">
        <v>20</v>
      </c>
      <c r="G1" s="549"/>
      <c r="H1" s="537"/>
      <c r="O1" s="372"/>
      <c r="P1" s="236"/>
      <c r="Q1" s="236"/>
      <c r="R1" s="236"/>
      <c r="S1" s="236"/>
      <c r="T1" s="556"/>
      <c r="U1" s="535"/>
      <c r="V1" s="544"/>
      <c r="W1" s="544"/>
    </row>
    <row r="2" spans="1:23" ht="15.75" customHeight="1">
      <c r="D2" s="238"/>
      <c r="E2" s="268"/>
      <c r="J2" s="628" t="s">
        <v>59</v>
      </c>
      <c r="K2" s="628"/>
    </row>
    <row r="3" spans="1:23" ht="15">
      <c r="F3" s="436" t="s">
        <v>342</v>
      </c>
      <c r="J3" s="628"/>
      <c r="K3" s="628"/>
    </row>
    <row r="4" spans="1:23" ht="15">
      <c r="E4" s="163" t="s">
        <v>334</v>
      </c>
      <c r="F4" s="440" t="s">
        <v>343</v>
      </c>
      <c r="P4" s="17"/>
      <c r="Q4" s="17"/>
      <c r="R4" s="17"/>
      <c r="S4" s="17"/>
      <c r="U4" s="434"/>
      <c r="V4" s="485"/>
      <c r="W4" s="485"/>
    </row>
    <row r="5" spans="1:23" ht="15">
      <c r="F5" s="438" t="s">
        <v>329</v>
      </c>
      <c r="P5" s="17"/>
      <c r="Q5" s="17"/>
      <c r="R5" s="17"/>
      <c r="S5" s="17"/>
      <c r="U5" s="434"/>
      <c r="V5" s="485"/>
      <c r="W5" s="485"/>
    </row>
    <row r="6" spans="1:23" ht="15">
      <c r="F6" s="17"/>
      <c r="O6" s="527" t="s">
        <v>63</v>
      </c>
      <c r="P6" s="17"/>
      <c r="Q6" s="576" t="s">
        <v>64</v>
      </c>
      <c r="R6" s="576"/>
      <c r="S6" s="576"/>
      <c r="U6" s="434"/>
      <c r="V6" s="485"/>
      <c r="W6" s="485"/>
    </row>
    <row r="7" spans="1:23" ht="36" customHeight="1">
      <c r="A7" s="44"/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524" t="s">
        <v>66</v>
      </c>
      <c r="I7" s="176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263" t="s">
        <v>71</v>
      </c>
      <c r="S7" s="263" t="s">
        <v>72</v>
      </c>
      <c r="T7" s="529" t="s">
        <v>73</v>
      </c>
      <c r="U7" s="542" t="s">
        <v>336</v>
      </c>
      <c r="V7" s="529" t="s">
        <v>330</v>
      </c>
      <c r="W7" s="529" t="s">
        <v>331</v>
      </c>
    </row>
    <row r="8" spans="1:23" ht="30" customHeight="1">
      <c r="A8" s="104" t="str">
        <f>IF(K8&gt;0,COUNT($A$7:A7)+COUNT('DWV PVC'!$A$8:$A$284)+COUNT('DWV ABS'!$A$8:$A$116)+COUNT('PVC SCH40'!$A$8:$A$375)
+COUNT('PVC SCH40 LD'!$A$8:$A$21)
+COUNT('Pool &amp; SPA Sweep Elbows'!$A$8:$A$11)+1,"")</f>
        <v/>
      </c>
      <c r="B8" s="379"/>
      <c r="C8" s="291"/>
      <c r="D8" s="547" t="str">
        <f>_xlfn.XLOOKUP(E8,'All Products'!D:D,'All Products'!C:C,FALSE)</f>
        <v>PX-010</v>
      </c>
      <c r="E8" s="53">
        <v>100022203</v>
      </c>
      <c r="F8" s="548" t="str">
        <f>_xlfn.XLOOKUP(E8,'All Products'!D:D,'All Products'!E:E,FALSE)</f>
        <v>1 PIPE EXTENDER (SPG X PIPE ID)</v>
      </c>
      <c r="G8" s="353">
        <f>_xlfn.XLOOKUP(E8,'All Products'!D:D,'All Products'!F:F,FALSE)</f>
        <v>100</v>
      </c>
      <c r="H8" s="554">
        <f>_xlfn.XLOOKUP(E8,'All Products'!D:D,'All Products'!G:G,FALSE)</f>
        <v>15000</v>
      </c>
      <c r="I8" s="267">
        <f>_xlfn.XLOOKUP(E8,'All Products'!D:D,'All Products'!H:H,FALSE)</f>
        <v>8.44</v>
      </c>
      <c r="J8" s="216">
        <f>ROUND(I8*Order_Quote!$L$7,2)</f>
        <v>42.2</v>
      </c>
      <c r="K8" s="76"/>
      <c r="L8" s="79"/>
      <c r="M8" s="117">
        <f t="shared" ref="M8:M10" si="0">K8/G8</f>
        <v>0</v>
      </c>
      <c r="N8" s="275"/>
      <c r="O8" s="555" t="str">
        <f>_xlfn.XLOOKUP(E8,'All Products'!D:D,'All Products'!I:I,FALSE)</f>
        <v>In Stock</v>
      </c>
      <c r="P8" s="555" t="str">
        <f>_xlfn.XLOOKUP(E8,'All Products'!D:D,'All Products'!J:J,FALSE)</f>
        <v>Manufactured</v>
      </c>
      <c r="Q8" s="555" t="str">
        <f>_xlfn.XLOOKUP(E8,'All Products'!D:D,'All Products'!K:K,FALSE)</f>
        <v>049081005108</v>
      </c>
      <c r="R8" s="555" t="str">
        <f>_xlfn.XLOOKUP(E8,'All Products'!D:D,'All Products'!L:L,FALSE)</f>
        <v>049081005306</v>
      </c>
      <c r="S8" s="555" t="str">
        <f>_xlfn.XLOOKUP(E8,'All Products'!D:D,'All Products'!M:M,FALSE)</f>
        <v>40049081005106</v>
      </c>
      <c r="T8" s="553">
        <f>_xlfn.XLOOKUP(E8,'All Products'!D:D,'All Products'!N:N,FALSE)</f>
        <v>7.2999999999999995E-2</v>
      </c>
      <c r="U8" s="558">
        <f>_xlfn.XLOOKUP(E8,'All Products'!D:D,'All Products'!O:O,FALSE)</f>
        <v>10</v>
      </c>
      <c r="V8" s="553">
        <f>_xlfn.XLOOKUP(E8,'All Products'!D:D,'All Products'!P:P,FALSE)</f>
        <v>7.25</v>
      </c>
      <c r="W8" s="553">
        <f>_xlfn.XLOOKUP(E8,'All Products'!D:D,'All Products'!Q:Q,FALSE)</f>
        <v>0.5</v>
      </c>
    </row>
    <row r="9" spans="1:23" ht="30" customHeight="1">
      <c r="A9" s="104" t="str">
        <f>IF(K9&gt;0,COUNT($A$7:A8)+COUNT('DWV PVC'!$A$8:$A$284)+COUNT('DWV ABS'!$A$8:$A$116)+COUNT('PVC SCH40'!$A$8:$A$375)
+COUNT('PVC SCH40 LD'!$A$8:$A$21)
+COUNT('Pool &amp; SPA Sweep Elbows'!$A$8:$A$11)+1,"")</f>
        <v/>
      </c>
      <c r="B9" s="115"/>
      <c r="C9" s="116"/>
      <c r="D9" s="547" t="str">
        <f>_xlfn.XLOOKUP(E9,'All Products'!D:D,'All Products'!C:C,FALSE)</f>
        <v>PX-015</v>
      </c>
      <c r="E9" s="53">
        <v>100022208</v>
      </c>
      <c r="F9" s="548" t="str">
        <f>_xlfn.XLOOKUP(E9,'All Products'!D:D,'All Products'!E:E,FALSE)</f>
        <v>1-1/2 PIPE EXTENDER (SPG X PIPE ID)</v>
      </c>
      <c r="G9" s="353">
        <f>_xlfn.XLOOKUP(E9,'All Products'!D:D,'All Products'!F:F,FALSE)</f>
        <v>50</v>
      </c>
      <c r="H9" s="554">
        <f>_xlfn.XLOOKUP(E9,'All Products'!D:D,'All Products'!G:G,FALSE)</f>
        <v>7500</v>
      </c>
      <c r="I9" s="267">
        <f>_xlfn.XLOOKUP(E9,'All Products'!D:D,'All Products'!H:H,FALSE)</f>
        <v>10.210000000000001</v>
      </c>
      <c r="J9" s="216">
        <f>ROUND(I9*Order_Quote!$L$7,2)</f>
        <v>51.05</v>
      </c>
      <c r="K9" s="76"/>
      <c r="L9" s="79"/>
      <c r="M9" s="117">
        <f t="shared" si="0"/>
        <v>0</v>
      </c>
      <c r="N9" s="275"/>
      <c r="O9" s="555" t="str">
        <f>_xlfn.XLOOKUP(E9,'All Products'!D:D,'All Products'!I:I,FALSE)</f>
        <v>In Stock</v>
      </c>
      <c r="P9" s="555" t="str">
        <f>_xlfn.XLOOKUP(E9,'All Products'!D:D,'All Products'!J:J,FALSE)</f>
        <v>Manufactured</v>
      </c>
      <c r="Q9" s="555" t="str">
        <f>_xlfn.XLOOKUP(E9,'All Products'!D:D,'All Products'!K:K,FALSE)</f>
        <v>049081149802</v>
      </c>
      <c r="R9" s="555" t="str">
        <f>_xlfn.XLOOKUP(E9,'All Products'!D:D,'All Products'!L:L,FALSE)</f>
        <v>049081649807</v>
      </c>
      <c r="S9" s="555" t="str">
        <f>_xlfn.XLOOKUP(E9,'All Products'!D:D,'All Products'!M:M,FALSE)</f>
        <v>40049081149800</v>
      </c>
      <c r="T9" s="553">
        <f>_xlfn.XLOOKUP(E9,'All Products'!D:D,'All Products'!N:N,FALSE)</f>
        <v>0.14099999999999999</v>
      </c>
      <c r="U9" s="558">
        <f>_xlfn.XLOOKUP(E9,'All Products'!D:D,'All Products'!O:O,FALSE)</f>
        <v>10</v>
      </c>
      <c r="V9" s="553">
        <f>_xlfn.XLOOKUP(E9,'All Products'!D:D,'All Products'!P:P,FALSE)</f>
        <v>7.05</v>
      </c>
      <c r="W9" s="553">
        <f>_xlfn.XLOOKUP(E9,'All Products'!D:D,'All Products'!Q:Q,FALSE)</f>
        <v>0.5</v>
      </c>
    </row>
    <row r="10" spans="1:23" ht="30" customHeight="1">
      <c r="A10" s="104" t="str">
        <f>IF(K10&gt;0,COUNT($A$7:A9)+COUNT('DWV PVC'!$A$8:$A$284)+COUNT('DWV ABS'!$A$8:$A$116)+COUNT('PVC SCH40'!$A$8:$A$375)
+COUNT('PVC SCH40 LD'!$A$8:$A$21)
+COUNT('Pool &amp; SPA Sweep Elbows'!$A$8:$A$11)+1,"")</f>
        <v/>
      </c>
      <c r="B10" s="380"/>
      <c r="C10" s="292"/>
      <c r="D10" s="547" t="str">
        <f>_xlfn.XLOOKUP(E10,'All Products'!D:D,'All Products'!C:C,FALSE)</f>
        <v>PX-020</v>
      </c>
      <c r="E10" s="53">
        <v>100022211</v>
      </c>
      <c r="F10" s="548" t="str">
        <f>_xlfn.XLOOKUP(E10,'All Products'!D:D,'All Products'!E:E,FALSE)</f>
        <v>2 PIPE EXTENDER (SPG X PIPE ID)</v>
      </c>
      <c r="G10" s="353">
        <f>_xlfn.XLOOKUP(E10,'All Products'!D:D,'All Products'!F:F,FALSE)</f>
        <v>25</v>
      </c>
      <c r="H10" s="554">
        <f>_xlfn.XLOOKUP(E10,'All Products'!D:D,'All Products'!G:G,FALSE)</f>
        <v>3750</v>
      </c>
      <c r="I10" s="267">
        <f>_xlfn.XLOOKUP(E10,'All Products'!D:D,'All Products'!H:H,FALSE)</f>
        <v>12.74</v>
      </c>
      <c r="J10" s="216">
        <f>ROUND(I10*Order_Quote!$L$7,2)</f>
        <v>63.7</v>
      </c>
      <c r="K10" s="76"/>
      <c r="L10" s="79"/>
      <c r="M10" s="117">
        <f t="shared" si="0"/>
        <v>0</v>
      </c>
      <c r="N10" s="275"/>
      <c r="O10" s="555" t="str">
        <f>_xlfn.XLOOKUP(E10,'All Products'!D:D,'All Products'!I:I,FALSE)</f>
        <v>In Stock</v>
      </c>
      <c r="P10" s="555" t="str">
        <f>_xlfn.XLOOKUP(E10,'All Products'!D:D,'All Products'!J:J,FALSE)</f>
        <v>Manufactured</v>
      </c>
      <c r="Q10" s="555" t="str">
        <f>_xlfn.XLOOKUP(E10,'All Products'!D:D,'All Products'!K:K,FALSE)</f>
        <v>049081149819</v>
      </c>
      <c r="R10" s="555" t="str">
        <f>_xlfn.XLOOKUP(E10,'All Products'!D:D,'All Products'!L:L,FALSE)</f>
        <v>049081649814</v>
      </c>
      <c r="S10" s="555" t="str">
        <f>_xlfn.XLOOKUP(E10,'All Products'!D:D,'All Products'!M:M,FALSE)</f>
        <v>40049081149817</v>
      </c>
      <c r="T10" s="553">
        <f>_xlfn.XLOOKUP(E10,'All Products'!D:D,'All Products'!N:N,FALSE)</f>
        <v>0.18</v>
      </c>
      <c r="U10" s="558">
        <f>_xlfn.XLOOKUP(E10,'All Products'!D:D,'All Products'!O:O,FALSE)</f>
        <v>5</v>
      </c>
      <c r="V10" s="553">
        <f>_xlfn.XLOOKUP(E10,'All Products'!D:D,'All Products'!P:P,FALSE)</f>
        <v>5.27</v>
      </c>
      <c r="W10" s="553">
        <f>_xlfn.XLOOKUP(E10,'All Products'!D:D,'All Products'!Q:Q,FALSE)</f>
        <v>0.5</v>
      </c>
    </row>
    <row r="11" spans="1:23" ht="15" customHeight="1">
      <c r="A11" s="104">
        <f>MAX(A8:A10)+1</f>
        <v>1</v>
      </c>
    </row>
    <row r="12" spans="1:23" ht="15" customHeight="1"/>
    <row r="13" spans="1:23" ht="15" customHeight="1"/>
    <row r="14" spans="1:23" ht="15" customHeight="1"/>
    <row r="15" spans="1:23" ht="15" customHeight="1"/>
    <row r="16" spans="1:23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</sheetData>
  <sheetProtection algorithmName="SHA-512" hashValue="OJ11UqlFmHIqNx09B0MOT3m5QtoHoHy72xix2+1FIbf8sDYhLuatiW2Y/w7J98x0tCGA5okEcWeg508RRKwYcw==" saltValue="plWJ8wu4vCh5Hb26RRjTTA==" spinCount="100000" sheet="1" formatCells="0" formatColumns="0" formatRows="0" insertColumns="0" insertRows="0" insertHyperlinks="0" deleteColumns="0" deleteRows="0" sort="0" autoFilter="0" pivotTables="0"/>
  <mergeCells count="2">
    <mergeCell ref="J2:K3"/>
    <mergeCell ref="Q6:S6"/>
  </mergeCells>
  <dataValidations disablePrompts="1"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K11:L63781" xr:uid="{67EA1D90-C80B-4E27-A9AD-1F4AD575D865}">
      <formula1>1</formula1>
    </dataValidation>
    <dataValidation type="decimal" operator="lessThanOrEqual" allowBlank="1" showInputMessage="1" showErrorMessage="1" errorTitle="Invalid Entry" error="An invalid quantity has been entered. Please enter only decimal numbers. Click Retry to change entry or Cancel to clear entry." sqref="E2" xr:uid="{77EB4979-1344-48B0-BC33-513ADC65C44B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286F1AC1-2472-4BE8-B761-CE1158D6EFD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10" xr:uid="{C2385267-9813-4235-9E07-288B325C14F3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/>
    <pageSetUpPr fitToPage="1"/>
  </sheetPr>
  <dimension ref="A1:W523"/>
  <sheetViews>
    <sheetView showGridLines="0" zoomScaleNormal="100" workbookViewId="0">
      <pane xSplit="6" ySplit="7" topLeftCell="I107" activePane="bottomRight" state="frozen"/>
      <selection pane="bottomRight" activeCell="F6" sqref="F6"/>
      <selection pane="bottomLeft" activeCell="F8" sqref="F8"/>
      <selection pane="topRight" activeCell="F8" sqref="F8"/>
    </sheetView>
  </sheetViews>
  <sheetFormatPr defaultColWidth="9.140625" defaultRowHeight="15" zeroHeight="1"/>
  <cols>
    <col min="1" max="1" width="2.28515625" style="104" customWidth="1"/>
    <col min="2" max="3" width="8.7109375" style="17" customWidth="1"/>
    <col min="4" max="5" width="12.7109375" style="20" customWidth="1"/>
    <col min="6" max="6" width="50.7109375" style="217" customWidth="1"/>
    <col min="7" max="7" width="10.7109375" style="536" customWidth="1"/>
    <col min="8" max="8" width="10.7109375" style="538" customWidth="1"/>
    <col min="9" max="9" width="10.7109375" style="560" customWidth="1"/>
    <col min="10" max="10" width="10.7109375" style="25" customWidth="1"/>
    <col min="11" max="11" width="10.7109375" style="20" customWidth="1"/>
    <col min="12" max="12" width="1.42578125" style="20" customWidth="1"/>
    <col min="13" max="13" width="10.7109375" style="20" customWidth="1"/>
    <col min="14" max="14" width="2.28515625" style="17" customWidth="1"/>
    <col min="15" max="15" width="12.7109375" style="20" customWidth="1"/>
    <col min="16" max="16" width="10.7109375" style="20" customWidth="1"/>
    <col min="17" max="17" width="11.28515625" style="20" bestFit="1" customWidth="1"/>
    <col min="18" max="18" width="11.28515625" style="536" bestFit="1" customWidth="1"/>
    <col min="19" max="19" width="13.140625" style="20" bestFit="1" customWidth="1"/>
    <col min="20" max="20" width="9.140625" style="485" customWidth="1"/>
    <col min="21" max="21" width="9.140625" style="434" customWidth="1"/>
    <col min="22" max="23" width="9.140625" style="485" customWidth="1"/>
    <col min="24" max="25" width="9.140625" style="17" customWidth="1"/>
    <col min="26" max="16384" width="9.140625" style="17"/>
  </cols>
  <sheetData>
    <row r="1" spans="1:23" ht="18.75">
      <c r="F1" s="173" t="s">
        <v>344</v>
      </c>
      <c r="G1" s="549"/>
      <c r="H1" s="537"/>
      <c r="O1" s="236"/>
      <c r="P1" s="236"/>
      <c r="Q1" s="236"/>
      <c r="R1" s="535"/>
      <c r="S1" s="236"/>
    </row>
    <row r="2" spans="1:23" ht="15.75">
      <c r="D2" s="238"/>
      <c r="E2" s="239"/>
      <c r="J2" s="628" t="s">
        <v>59</v>
      </c>
      <c r="K2" s="628"/>
    </row>
    <row r="3" spans="1:23">
      <c r="F3" s="436" t="s">
        <v>345</v>
      </c>
      <c r="J3" s="628"/>
      <c r="K3" s="628"/>
    </row>
    <row r="4" spans="1:23">
      <c r="E4" s="163" t="s">
        <v>346</v>
      </c>
      <c r="F4" s="440" t="s">
        <v>347</v>
      </c>
      <c r="J4" s="21"/>
      <c r="K4" s="17"/>
    </row>
    <row r="5" spans="1:23">
      <c r="F5" s="438" t="s">
        <v>329</v>
      </c>
      <c r="J5" s="21"/>
      <c r="K5" s="17"/>
    </row>
    <row r="6" spans="1:23" ht="14.25" customHeight="1">
      <c r="J6" s="21"/>
      <c r="K6" s="17"/>
      <c r="O6" s="486" t="s">
        <v>63</v>
      </c>
      <c r="Q6" s="576" t="s">
        <v>64</v>
      </c>
      <c r="R6" s="576"/>
      <c r="S6" s="576"/>
    </row>
    <row r="7" spans="1:23" ht="36" customHeight="1" thickBot="1">
      <c r="B7" s="149"/>
      <c r="C7" s="149"/>
      <c r="D7" s="149" t="s">
        <v>48</v>
      </c>
      <c r="E7" s="149" t="s">
        <v>49</v>
      </c>
      <c r="F7" s="149" t="s">
        <v>50</v>
      </c>
      <c r="G7" s="281" t="s">
        <v>65</v>
      </c>
      <c r="H7" s="524" t="s">
        <v>66</v>
      </c>
      <c r="I7" s="539" t="s">
        <v>51</v>
      </c>
      <c r="J7" s="176" t="s">
        <v>55</v>
      </c>
      <c r="K7" s="177" t="s">
        <v>52</v>
      </c>
      <c r="L7" s="178"/>
      <c r="M7" s="156" t="s">
        <v>67</v>
      </c>
      <c r="O7" s="263" t="s">
        <v>68</v>
      </c>
      <c r="P7" s="263" t="s">
        <v>69</v>
      </c>
      <c r="Q7" s="263" t="s">
        <v>70</v>
      </c>
      <c r="R7" s="542" t="s">
        <v>71</v>
      </c>
      <c r="S7" s="263" t="s">
        <v>72</v>
      </c>
      <c r="T7" s="529" t="s">
        <v>73</v>
      </c>
      <c r="U7" s="542" t="s">
        <v>336</v>
      </c>
      <c r="V7" s="529" t="s">
        <v>330</v>
      </c>
      <c r="W7" s="529" t="s">
        <v>331</v>
      </c>
    </row>
    <row r="8" spans="1:23">
      <c r="A8" s="104" t="str">
        <f>IF(K8&gt;0,COUNT($A$7:A7)+COUNT('DWV PVC'!$A$8:$A$284)
+COUNT('DWV ABS'!$A$8:$A$116)
+COUNT('PVC SCH40'!$A$8:$A$375)
+COUNT('PVC SCH40 LD'!$A$8:$A$21)
+COUNT('Pool &amp; SPA Sweep Elbows'!$A$8:$A$11)
+COUNT('Pool &amp; SPA Pipe Extender'!$A$8:$A$10)+1,"")</f>
        <v/>
      </c>
      <c r="B8" s="577"/>
      <c r="C8" s="578"/>
      <c r="D8" s="155" t="str">
        <f>_xlfn.XLOOKUP(E8,'All Products'!D:D,'All Products'!C:C,FALSE)</f>
        <v>801-002</v>
      </c>
      <c r="E8" s="106">
        <v>100023374</v>
      </c>
      <c r="F8" s="559" t="str">
        <f>_xlfn.XLOOKUP(E8,'All Products'!D:D,'All Products'!E:E,FALSE)</f>
        <v>1/4 TEE SXSXS SCH80</v>
      </c>
      <c r="G8" s="283">
        <f>_xlfn.XLOOKUP(E8,'All Products'!D:D,'All Products'!F:F,FALSE)</f>
        <v>250</v>
      </c>
      <c r="H8" s="234">
        <f>_xlfn.XLOOKUP(E8,'All Products'!D:D,'All Products'!G:G,FALSE)</f>
        <v>22500</v>
      </c>
      <c r="I8" s="561">
        <f>_xlfn.XLOOKUP(E8,'All Products'!D:D,'All Products'!H:H,FALSE)</f>
        <v>23.35</v>
      </c>
      <c r="J8" s="135">
        <f>ROUND(I8*Order_Quote!$L$8,2)</f>
        <v>116.75</v>
      </c>
      <c r="K8" s="481"/>
      <c r="L8" s="116"/>
      <c r="M8" s="199">
        <f t="shared" ref="M8:M32" si="0">K8/G8</f>
        <v>0</v>
      </c>
      <c r="O8" s="348" t="str">
        <f>_xlfn.XLOOKUP(E8,'All Products'!D:D,'All Products'!I:I,FALSE)</f>
        <v>In Stock</v>
      </c>
      <c r="P8" s="348" t="str">
        <f>_xlfn.XLOOKUP(E8,'All Products'!D:D,'All Products'!J:J,FALSE)</f>
        <v>Manufactured</v>
      </c>
      <c r="Q8" s="348" t="str">
        <f>_xlfn.XLOOKUP(E8,'All Products'!D:D,'All Products'!K:K,FALSE)</f>
        <v>049081166069</v>
      </c>
      <c r="R8" s="351" t="str">
        <f>_xlfn.XLOOKUP(E8,'All Products'!D:D,'All Products'!L:L,FALSE)</f>
        <v>049081666064</v>
      </c>
      <c r="S8" s="351" t="str">
        <f>_xlfn.XLOOKUP(E8,'All Products'!D:D,'All Products'!M:M,FALSE)</f>
        <v>40049081166067</v>
      </c>
      <c r="T8" s="348">
        <f>_xlfn.XLOOKUP(E8,'All Products'!D:D,'All Products'!N:N,FALSE)</f>
        <v>7.0000000000000007E-2</v>
      </c>
      <c r="U8" s="351">
        <f>_xlfn.XLOOKUP(E8,'All Products'!D:D,'All Products'!O:O,FALSE)</f>
        <v>10</v>
      </c>
      <c r="V8" s="348">
        <f>_xlfn.XLOOKUP(E8,'All Products'!D:D,'All Products'!P:P,FALSE)</f>
        <v>17.55</v>
      </c>
      <c r="W8" s="348">
        <f>_xlfn.XLOOKUP(E8,'All Products'!D:D,'All Products'!Q:Q,FALSE)</f>
        <v>0.8</v>
      </c>
    </row>
    <row r="9" spans="1:23">
      <c r="A9" s="104" t="str">
        <f>IF(K9&gt;0,COUNT($A$7:A8)+COUNT('DWV PVC'!$A$8:$A$284)
+COUNT('DWV ABS'!$A$8:$A$116)
+COUNT('PVC SCH40'!$A$8:$A$375)
+COUNT('PVC SCH40 LD'!$A$8:$A$21)
+COUNT('Pool &amp; SPA Sweep Elbows'!$A$8:$A$11)
+COUNT('Pool &amp; SPA Pipe Extender'!$A$8:$A$10)+1,"")</f>
        <v/>
      </c>
      <c r="B9" s="579"/>
      <c r="C9" s="580"/>
      <c r="D9" s="155" t="str">
        <f>_xlfn.XLOOKUP(E9,'All Products'!D:D,'All Products'!C:C,FALSE)</f>
        <v>801-003</v>
      </c>
      <c r="E9" s="106">
        <v>100023474</v>
      </c>
      <c r="F9" s="559" t="str">
        <f>_xlfn.XLOOKUP(E9,'All Products'!D:D,'All Products'!E:E,FALSE)</f>
        <v>3/8 TEE SXSXS SCH80</v>
      </c>
      <c r="G9" s="283">
        <f>_xlfn.XLOOKUP(E9,'All Products'!D:D,'All Products'!F:F,FALSE)</f>
        <v>250</v>
      </c>
      <c r="H9" s="234">
        <f>_xlfn.XLOOKUP(E9,'All Products'!D:D,'All Products'!G:G,FALSE)</f>
        <v>18750</v>
      </c>
      <c r="I9" s="561">
        <f>_xlfn.XLOOKUP(E9,'All Products'!D:D,'All Products'!H:H,FALSE)</f>
        <v>23.35</v>
      </c>
      <c r="J9" s="135">
        <f>ROUND(I9*Order_Quote!$L$8,2)</f>
        <v>116.75</v>
      </c>
      <c r="K9" s="78"/>
      <c r="L9" s="116"/>
      <c r="M9" s="199">
        <f t="shared" si="0"/>
        <v>0</v>
      </c>
      <c r="O9" s="348" t="str">
        <f>_xlfn.XLOOKUP(E9,'All Products'!D:D,'All Products'!I:I,FALSE)</f>
        <v>Within 3 Weeks</v>
      </c>
      <c r="P9" s="348" t="str">
        <f>_xlfn.XLOOKUP(E9,'All Products'!D:D,'All Products'!J:J,FALSE)</f>
        <v>Manufactured</v>
      </c>
      <c r="Q9" s="348" t="str">
        <f>_xlfn.XLOOKUP(E9,'All Products'!D:D,'All Products'!K:K,FALSE)</f>
        <v>049081166083</v>
      </c>
      <c r="R9" s="351" t="str">
        <f>_xlfn.XLOOKUP(E9,'All Products'!D:D,'All Products'!L:L,FALSE)</f>
        <v>049081666088</v>
      </c>
      <c r="S9" s="351" t="str">
        <f>_xlfn.XLOOKUP(E9,'All Products'!D:D,'All Products'!M:M,FALSE)</f>
        <v>40049081166081</v>
      </c>
      <c r="T9" s="348">
        <f>_xlfn.XLOOKUP(E9,'All Products'!D:D,'All Products'!N:N,FALSE)</f>
        <v>9.9000000000000005E-2</v>
      </c>
      <c r="U9" s="351">
        <f>_xlfn.XLOOKUP(E9,'All Products'!D:D,'All Products'!O:O,FALSE)</f>
        <v>10</v>
      </c>
      <c r="V9" s="348">
        <f>_xlfn.XLOOKUP(E9,'All Products'!D:D,'All Products'!P:P,FALSE)</f>
        <v>24.8</v>
      </c>
      <c r="W9" s="348">
        <f>_xlfn.XLOOKUP(E9,'All Products'!D:D,'All Products'!Q:Q,FALSE)</f>
        <v>1.1000000000000001</v>
      </c>
    </row>
    <row r="10" spans="1:23">
      <c r="A10" s="104" t="str">
        <f>IF(K10&gt;0,COUNT($A$7:A9)+COUNT('DWV PVC'!$A$8:$A$284)
+COUNT('DWV ABS'!$A$8:$A$116)
+COUNT('PVC SCH40'!$A$8:$A$375)
+COUNT('PVC SCH40 LD'!$A$8:$A$21)
+COUNT('Pool &amp; SPA Sweep Elbows'!$A$8:$A$11)
+COUNT('Pool &amp; SPA Pipe Extender'!$A$8:$A$10)+1,"")</f>
        <v/>
      </c>
      <c r="B10" s="579"/>
      <c r="C10" s="580"/>
      <c r="D10" s="155" t="str">
        <f>_xlfn.XLOOKUP(E10,'All Products'!D:D,'All Products'!C:C,FALSE)</f>
        <v>801-005</v>
      </c>
      <c r="E10" s="106">
        <v>100023475</v>
      </c>
      <c r="F10" s="559" t="str">
        <f>_xlfn.XLOOKUP(E10,'All Products'!D:D,'All Products'!E:E,FALSE)</f>
        <v>1/2 TEE SXSXS SCH80</v>
      </c>
      <c r="G10" s="283">
        <f>_xlfn.XLOOKUP(E10,'All Products'!D:D,'All Products'!F:F,FALSE)</f>
        <v>200</v>
      </c>
      <c r="H10" s="234">
        <f>_xlfn.XLOOKUP(E10,'All Products'!D:D,'All Products'!G:G,FALSE)</f>
        <v>12000</v>
      </c>
      <c r="I10" s="561">
        <f>_xlfn.XLOOKUP(E10,'All Products'!D:D,'All Products'!H:H,FALSE)</f>
        <v>23.35</v>
      </c>
      <c r="J10" s="135">
        <f>ROUND(I10*Order_Quote!$L$8,2)</f>
        <v>116.75</v>
      </c>
      <c r="K10" s="78"/>
      <c r="L10" s="116"/>
      <c r="M10" s="199">
        <f t="shared" si="0"/>
        <v>0</v>
      </c>
      <c r="O10" s="348" t="str">
        <f>_xlfn.XLOOKUP(E10,'All Products'!D:D,'All Products'!I:I,FALSE)</f>
        <v>In Stock</v>
      </c>
      <c r="P10" s="348" t="str">
        <f>_xlfn.XLOOKUP(E10,'All Products'!D:D,'All Products'!J:J,FALSE)</f>
        <v>Manufactured</v>
      </c>
      <c r="Q10" s="348" t="str">
        <f>_xlfn.XLOOKUP(E10,'All Products'!D:D,'All Products'!K:K,FALSE)</f>
        <v>049081166120</v>
      </c>
      <c r="R10" s="351" t="str">
        <f>_xlfn.XLOOKUP(E10,'All Products'!D:D,'All Products'!L:L,FALSE)</f>
        <v>049081666125</v>
      </c>
      <c r="S10" s="351" t="str">
        <f>_xlfn.XLOOKUP(E10,'All Products'!D:D,'All Products'!M:M,FALSE)</f>
        <v>40049081166128</v>
      </c>
      <c r="T10" s="348">
        <f>_xlfn.XLOOKUP(E10,'All Products'!D:D,'All Products'!N:N,FALSE)</f>
        <v>0.13500000000000001</v>
      </c>
      <c r="U10" s="351">
        <f>_xlfn.XLOOKUP(E10,'All Products'!D:D,'All Products'!O:O,FALSE)</f>
        <v>10</v>
      </c>
      <c r="V10" s="348">
        <f>_xlfn.XLOOKUP(E10,'All Products'!D:D,'All Products'!P:P,FALSE)</f>
        <v>27.1</v>
      </c>
      <c r="W10" s="348">
        <f>_xlfn.XLOOKUP(E10,'All Products'!D:D,'All Products'!Q:Q,FALSE)</f>
        <v>1.25</v>
      </c>
    </row>
    <row r="11" spans="1:23">
      <c r="A11" s="104" t="str">
        <f>IF(K11&gt;0,COUNT($A$7:A10)+COUNT('DWV PVC'!$A$8:$A$284)
+COUNT('DWV ABS'!$A$8:$A$116)
+COUNT('PVC SCH40'!$A$8:$A$375)
+COUNT('PVC SCH40 LD'!$A$8:$A$21)
+COUNT('Pool &amp; SPA Sweep Elbows'!$A$8:$A$11)
+COUNT('Pool &amp; SPA Pipe Extender'!$A$8:$A$10)+1,"")</f>
        <v/>
      </c>
      <c r="B11" s="579"/>
      <c r="C11" s="580"/>
      <c r="D11" s="155" t="str">
        <f>_xlfn.XLOOKUP(E11,'All Products'!D:D,'All Products'!C:C,FALSE)</f>
        <v>801-007</v>
      </c>
      <c r="E11" s="106">
        <v>100023476</v>
      </c>
      <c r="F11" s="559" t="str">
        <f>_xlfn.XLOOKUP(E11,'All Products'!D:D,'All Products'!E:E,FALSE)</f>
        <v>3/4 TEE SXSXS SCH80</v>
      </c>
      <c r="G11" s="283">
        <f>_xlfn.XLOOKUP(E11,'All Products'!D:D,'All Products'!F:F,FALSE)</f>
        <v>100</v>
      </c>
      <c r="H11" s="234">
        <f>_xlfn.XLOOKUP(E11,'All Products'!D:D,'All Products'!G:G,FALSE)</f>
        <v>7500</v>
      </c>
      <c r="I11" s="561">
        <f>_xlfn.XLOOKUP(E11,'All Products'!D:D,'All Products'!H:H,FALSE)</f>
        <v>24.47</v>
      </c>
      <c r="J11" s="135">
        <f>ROUND(I11*Order_Quote!$L$8,2)</f>
        <v>122.35</v>
      </c>
      <c r="K11" s="78"/>
      <c r="L11" s="116"/>
      <c r="M11" s="199">
        <f t="shared" si="0"/>
        <v>0</v>
      </c>
      <c r="O11" s="348" t="str">
        <f>_xlfn.XLOOKUP(E11,'All Products'!D:D,'All Products'!I:I,FALSE)</f>
        <v>In Stock</v>
      </c>
      <c r="P11" s="348" t="str">
        <f>_xlfn.XLOOKUP(E11,'All Products'!D:D,'All Products'!J:J,FALSE)</f>
        <v>Manufactured</v>
      </c>
      <c r="Q11" s="348" t="str">
        <f>_xlfn.XLOOKUP(E11,'All Products'!D:D,'All Products'!K:K,FALSE)</f>
        <v>049081166182</v>
      </c>
      <c r="R11" s="351" t="str">
        <f>_xlfn.XLOOKUP(E11,'All Products'!D:D,'All Products'!L:L,FALSE)</f>
        <v>049081666187</v>
      </c>
      <c r="S11" s="351" t="str">
        <f>_xlfn.XLOOKUP(E11,'All Products'!D:D,'All Products'!M:M,FALSE)</f>
        <v>40049081166180</v>
      </c>
      <c r="T11" s="348">
        <f>_xlfn.XLOOKUP(E11,'All Products'!D:D,'All Products'!N:N,FALSE)</f>
        <v>0.16300000000000001</v>
      </c>
      <c r="U11" s="351">
        <f>_xlfn.XLOOKUP(E11,'All Products'!D:D,'All Products'!O:O,FALSE)</f>
        <v>10</v>
      </c>
      <c r="V11" s="348">
        <f>_xlfn.XLOOKUP(E11,'All Products'!D:D,'All Products'!P:P,FALSE)</f>
        <v>16.3</v>
      </c>
      <c r="W11" s="348">
        <f>_xlfn.XLOOKUP(E11,'All Products'!D:D,'All Products'!Q:Q,FALSE)</f>
        <v>0.95</v>
      </c>
    </row>
    <row r="12" spans="1:23">
      <c r="A12" s="104" t="str">
        <f>IF(K12&gt;0,COUNT($A$7:A11)+COUNT('DWV PVC'!$A$8:$A$284)
+COUNT('DWV ABS'!$A$8:$A$116)
+COUNT('PVC SCH40'!$A$8:$A$375)
+COUNT('PVC SCH40 LD'!$A$8:$A$21)
+COUNT('Pool &amp; SPA Sweep Elbows'!$A$8:$A$11)
+COUNT('Pool &amp; SPA Pipe Extender'!$A$8:$A$10)+1,"")</f>
        <v/>
      </c>
      <c r="B12" s="579"/>
      <c r="C12" s="580"/>
      <c r="D12" s="155" t="str">
        <f>_xlfn.XLOOKUP(E12,'All Products'!D:D,'All Products'!C:C,FALSE)</f>
        <v>801-010</v>
      </c>
      <c r="E12" s="106">
        <v>100023477</v>
      </c>
      <c r="F12" s="559" t="str">
        <f>_xlfn.XLOOKUP(E12,'All Products'!D:D,'All Products'!E:E,FALSE)</f>
        <v>1 TEE SXSXS SCH80</v>
      </c>
      <c r="G12" s="283">
        <f>_xlfn.XLOOKUP(E12,'All Products'!D:D,'All Products'!F:F,FALSE)</f>
        <v>50</v>
      </c>
      <c r="H12" s="234">
        <f>_xlfn.XLOOKUP(E12,'All Products'!D:D,'All Products'!G:G,FALSE)</f>
        <v>4500</v>
      </c>
      <c r="I12" s="561">
        <f>_xlfn.XLOOKUP(E12,'All Products'!D:D,'All Products'!H:H,FALSE)</f>
        <v>30.65</v>
      </c>
      <c r="J12" s="135">
        <f>ROUND(I12*Order_Quote!$L$8,2)</f>
        <v>153.25</v>
      </c>
      <c r="K12" s="78"/>
      <c r="L12" s="116"/>
      <c r="M12" s="199">
        <f t="shared" si="0"/>
        <v>0</v>
      </c>
      <c r="O12" s="348" t="str">
        <f>_xlfn.XLOOKUP(E12,'All Products'!D:D,'All Products'!I:I,FALSE)</f>
        <v>In Stock</v>
      </c>
      <c r="P12" s="348" t="str">
        <f>_xlfn.XLOOKUP(E12,'All Products'!D:D,'All Products'!J:J,FALSE)</f>
        <v>Manufactured</v>
      </c>
      <c r="Q12" s="348" t="str">
        <f>_xlfn.XLOOKUP(E12,'All Products'!D:D,'All Products'!K:K,FALSE)</f>
        <v>049081166281</v>
      </c>
      <c r="R12" s="351" t="str">
        <f>_xlfn.XLOOKUP(E12,'All Products'!D:D,'All Products'!L:L,FALSE)</f>
        <v>049081666286</v>
      </c>
      <c r="S12" s="351" t="str">
        <f>_xlfn.XLOOKUP(E12,'All Products'!D:D,'All Products'!M:M,FALSE)</f>
        <v>40049081166289</v>
      </c>
      <c r="T12" s="348">
        <f>_xlfn.XLOOKUP(E12,'All Products'!D:D,'All Products'!N:N,FALSE)</f>
        <v>0.252</v>
      </c>
      <c r="U12" s="351">
        <f>_xlfn.XLOOKUP(E12,'All Products'!D:D,'All Products'!O:O,FALSE)</f>
        <v>10</v>
      </c>
      <c r="V12" s="348">
        <f>_xlfn.XLOOKUP(E12,'All Products'!D:D,'All Products'!P:P,FALSE)</f>
        <v>13.4</v>
      </c>
      <c r="W12" s="348">
        <f>_xlfn.XLOOKUP(E12,'All Products'!D:D,'All Products'!Q:Q,FALSE)</f>
        <v>0.8</v>
      </c>
    </row>
    <row r="13" spans="1:23">
      <c r="A13" s="104" t="str">
        <f>IF(K13&gt;0,COUNT($A$7:A12)+COUNT('DWV PVC'!$A$8:$A$284)
+COUNT('DWV ABS'!$A$8:$A$116)
+COUNT('PVC SCH40'!$A$8:$A$375)
+COUNT('PVC SCH40 LD'!$A$8:$A$21)
+COUNT('Pool &amp; SPA Sweep Elbows'!$A$8:$A$11)
+COUNT('Pool &amp; SPA Pipe Extender'!$A$8:$A$10)+1,"")</f>
        <v/>
      </c>
      <c r="B13" s="579"/>
      <c r="C13" s="580"/>
      <c r="D13" s="155" t="str">
        <f>_xlfn.XLOOKUP(E13,'All Products'!D:D,'All Products'!C:C,FALSE)</f>
        <v>801-012</v>
      </c>
      <c r="E13" s="106">
        <v>100023478</v>
      </c>
      <c r="F13" s="559" t="str">
        <f>_xlfn.XLOOKUP(E13,'All Products'!D:D,'All Products'!E:E,FALSE)</f>
        <v>1-1/4 TEE SXSXS SCH80</v>
      </c>
      <c r="G13" s="283">
        <f>_xlfn.XLOOKUP(E13,'All Products'!D:D,'All Products'!F:F,FALSE)</f>
        <v>50</v>
      </c>
      <c r="H13" s="234">
        <f>_xlfn.XLOOKUP(E13,'All Products'!D:D,'All Products'!G:G,FALSE)</f>
        <v>3000</v>
      </c>
      <c r="I13" s="561">
        <f>_xlfn.XLOOKUP(E13,'All Products'!D:D,'All Products'!H:H,FALSE)</f>
        <v>84.11</v>
      </c>
      <c r="J13" s="135">
        <f>ROUND(I13*Order_Quote!$L$8,2)</f>
        <v>420.55</v>
      </c>
      <c r="K13" s="78"/>
      <c r="L13" s="116"/>
      <c r="M13" s="199">
        <f t="shared" si="0"/>
        <v>0</v>
      </c>
      <c r="O13" s="348" t="str">
        <f>_xlfn.XLOOKUP(E13,'All Products'!D:D,'All Products'!I:I,FALSE)</f>
        <v>In Stock</v>
      </c>
      <c r="P13" s="348" t="str">
        <f>_xlfn.XLOOKUP(E13,'All Products'!D:D,'All Products'!J:J,FALSE)</f>
        <v>Manufactured</v>
      </c>
      <c r="Q13" s="348" t="str">
        <f>_xlfn.XLOOKUP(E13,'All Products'!D:D,'All Products'!K:K,FALSE)</f>
        <v>049081166502</v>
      </c>
      <c r="R13" s="351" t="str">
        <f>_xlfn.XLOOKUP(E13,'All Products'!D:D,'All Products'!L:L,FALSE)</f>
        <v>049081666507</v>
      </c>
      <c r="S13" s="351" t="str">
        <f>_xlfn.XLOOKUP(E13,'All Products'!D:D,'All Products'!M:M,FALSE)</f>
        <v>40049081166500</v>
      </c>
      <c r="T13" s="348">
        <f>_xlfn.XLOOKUP(E13,'All Products'!D:D,'All Products'!N:N,FALSE)</f>
        <v>0.433</v>
      </c>
      <c r="U13" s="351">
        <f>_xlfn.XLOOKUP(E13,'All Products'!D:D,'All Products'!O:O,FALSE)</f>
        <v>5</v>
      </c>
      <c r="V13" s="348">
        <f>_xlfn.XLOOKUP(E13,'All Products'!D:D,'All Products'!P:P,FALSE)</f>
        <v>21.64</v>
      </c>
      <c r="W13" s="348">
        <f>_xlfn.XLOOKUP(E13,'All Products'!D:D,'All Products'!Q:Q,FALSE)</f>
        <v>1.41</v>
      </c>
    </row>
    <row r="14" spans="1:23">
      <c r="A14" s="104" t="str">
        <f>IF(K14&gt;0,COUNT($A$7:A13)+COUNT('DWV PVC'!$A$8:$A$284)
+COUNT('DWV ABS'!$A$8:$A$116)
+COUNT('PVC SCH40'!$A$8:$A$375)
+COUNT('PVC SCH40 LD'!$A$8:$A$21)
+COUNT('Pool &amp; SPA Sweep Elbows'!$A$8:$A$11)
+COUNT('Pool &amp; SPA Pipe Extender'!$A$8:$A$10)+1,"")</f>
        <v/>
      </c>
      <c r="B14" s="579"/>
      <c r="C14" s="580"/>
      <c r="D14" s="155" t="str">
        <f>_xlfn.XLOOKUP(E14,'All Products'!D:D,'All Products'!C:C,FALSE)</f>
        <v>801-015</v>
      </c>
      <c r="E14" s="106">
        <v>100023479</v>
      </c>
      <c r="F14" s="559" t="str">
        <f>_xlfn.XLOOKUP(E14,'All Products'!D:D,'All Products'!E:E,FALSE)</f>
        <v>1-1/2 TEE SXSXS SCH80</v>
      </c>
      <c r="G14" s="283">
        <f>_xlfn.XLOOKUP(E14,'All Products'!D:D,'All Products'!F:F,FALSE)</f>
        <v>25</v>
      </c>
      <c r="H14" s="234">
        <f>_xlfn.XLOOKUP(E14,'All Products'!D:D,'All Products'!G:G,FALSE)</f>
        <v>1875</v>
      </c>
      <c r="I14" s="561">
        <f>_xlfn.XLOOKUP(E14,'All Products'!D:D,'All Products'!H:H,FALSE)</f>
        <v>84.11</v>
      </c>
      <c r="J14" s="135">
        <f>ROUND(I14*Order_Quote!$L$8,2)</f>
        <v>420.55</v>
      </c>
      <c r="K14" s="78"/>
      <c r="L14" s="116"/>
      <c r="M14" s="199">
        <f t="shared" si="0"/>
        <v>0</v>
      </c>
      <c r="O14" s="348" t="str">
        <f>_xlfn.XLOOKUP(E14,'All Products'!D:D,'All Products'!I:I,FALSE)</f>
        <v>In Stock</v>
      </c>
      <c r="P14" s="348" t="str">
        <f>_xlfn.XLOOKUP(E14,'All Products'!D:D,'All Products'!J:J,FALSE)</f>
        <v>Manufactured</v>
      </c>
      <c r="Q14" s="348" t="str">
        <f>_xlfn.XLOOKUP(E14,'All Products'!D:D,'All Products'!K:K,FALSE)</f>
        <v>049081166762</v>
      </c>
      <c r="R14" s="351" t="str">
        <f>_xlfn.XLOOKUP(E14,'All Products'!D:D,'All Products'!L:L,FALSE)</f>
        <v>049081666767</v>
      </c>
      <c r="S14" s="351" t="str">
        <f>_xlfn.XLOOKUP(E14,'All Products'!D:D,'All Products'!M:M,FALSE)</f>
        <v>40049081166760</v>
      </c>
      <c r="T14" s="348">
        <f>_xlfn.XLOOKUP(E14,'All Products'!D:D,'All Products'!N:N,FALSE)</f>
        <v>0.48</v>
      </c>
      <c r="U14" s="351">
        <f>_xlfn.XLOOKUP(E14,'All Products'!D:D,'All Products'!O:O,FALSE)</f>
        <v>5</v>
      </c>
      <c r="V14" s="348">
        <f>_xlfn.XLOOKUP(E14,'All Products'!D:D,'All Products'!P:P,FALSE)</f>
        <v>12.85</v>
      </c>
      <c r="W14" s="348">
        <f>_xlfn.XLOOKUP(E14,'All Products'!D:D,'All Products'!Q:Q,FALSE)</f>
        <v>0.95</v>
      </c>
    </row>
    <row r="15" spans="1:23">
      <c r="A15" s="104" t="str">
        <f>IF(K15&gt;0,COUNT($A$7:A14)+COUNT('DWV PVC'!$A$8:$A$284)
+COUNT('DWV ABS'!$A$8:$A$116)
+COUNT('PVC SCH40'!$A$8:$A$375)
+COUNT('PVC SCH40 LD'!$A$8:$A$21)
+COUNT('Pool &amp; SPA Sweep Elbows'!$A$8:$A$11)
+COUNT('Pool &amp; SPA Pipe Extender'!$A$8:$A$10)+1,"")</f>
        <v/>
      </c>
      <c r="B15" s="579"/>
      <c r="C15" s="580"/>
      <c r="D15" s="155" t="str">
        <f>_xlfn.XLOOKUP(E15,'All Products'!D:D,'All Products'!C:C,FALSE)</f>
        <v>801-020</v>
      </c>
      <c r="E15" s="106">
        <v>100023480</v>
      </c>
      <c r="F15" s="559" t="str">
        <f>_xlfn.XLOOKUP(E15,'All Products'!D:D,'All Products'!E:E,FALSE)</f>
        <v>2 TEE SXSXS SCH80</v>
      </c>
      <c r="G15" s="283">
        <f>_xlfn.XLOOKUP(E15,'All Products'!D:D,'All Products'!F:F,FALSE)</f>
        <v>10</v>
      </c>
      <c r="H15" s="234">
        <f>_xlfn.XLOOKUP(E15,'All Products'!D:D,'All Products'!G:G,FALSE)</f>
        <v>900</v>
      </c>
      <c r="I15" s="561">
        <f>_xlfn.XLOOKUP(E15,'All Products'!D:D,'All Products'!H:H,FALSE)</f>
        <v>105.21</v>
      </c>
      <c r="J15" s="135">
        <f>ROUND(I15*Order_Quote!$L$8,2)</f>
        <v>526.04999999999995</v>
      </c>
      <c r="K15" s="78"/>
      <c r="L15" s="116"/>
      <c r="M15" s="199">
        <f t="shared" si="0"/>
        <v>0</v>
      </c>
      <c r="O15" s="348" t="str">
        <f>_xlfn.XLOOKUP(E15,'All Products'!D:D,'All Products'!I:I,FALSE)</f>
        <v>In Stock</v>
      </c>
      <c r="P15" s="348" t="str">
        <f>_xlfn.XLOOKUP(E15,'All Products'!D:D,'All Products'!J:J,FALSE)</f>
        <v>Manufactured</v>
      </c>
      <c r="Q15" s="348" t="str">
        <f>_xlfn.XLOOKUP(E15,'All Products'!D:D,'All Products'!K:K,FALSE)</f>
        <v>049081167141</v>
      </c>
      <c r="R15" s="351" t="str">
        <f>_xlfn.XLOOKUP(E15,'All Products'!D:D,'All Products'!L:L,FALSE)</f>
        <v>-</v>
      </c>
      <c r="S15" s="351" t="str">
        <f>_xlfn.XLOOKUP(E15,'All Products'!D:D,'All Products'!M:M,FALSE)</f>
        <v>40049081167149</v>
      </c>
      <c r="T15" s="348">
        <f>_xlfn.XLOOKUP(E15,'All Products'!D:D,'All Products'!N:N,FALSE)</f>
        <v>0.77900000000000003</v>
      </c>
      <c r="U15" s="351" t="str">
        <f>_xlfn.XLOOKUP(E15,'All Products'!D:D,'All Products'!O:O,FALSE)</f>
        <v>-</v>
      </c>
      <c r="V15" s="348">
        <f>_xlfn.XLOOKUP(E15,'All Products'!D:D,'All Products'!P:P,FALSE)</f>
        <v>8.6199999999999992</v>
      </c>
      <c r="W15" s="348">
        <f>_xlfn.XLOOKUP(E15,'All Products'!D:D,'All Products'!Q:Q,FALSE)</f>
        <v>0.8</v>
      </c>
    </row>
    <row r="16" spans="1:23">
      <c r="A16" s="104" t="str">
        <f>IF(K16&gt;0,COUNT($A$7:A15)+COUNT('DWV PVC'!$A$8:$A$284)
+COUNT('DWV ABS'!$A$8:$A$116)
+COUNT('PVC SCH40'!$A$8:$A$375)
+COUNT('PVC SCH40 LD'!$A$8:$A$21)
+COUNT('Pool &amp; SPA Sweep Elbows'!$A$8:$A$11)
+COUNT('Pool &amp; SPA Pipe Extender'!$A$8:$A$10)+1,"")</f>
        <v/>
      </c>
      <c r="B16" s="579"/>
      <c r="C16" s="580"/>
      <c r="D16" s="155" t="str">
        <f>_xlfn.XLOOKUP(E16,'All Products'!D:D,'All Products'!C:C,FALSE)</f>
        <v>801-025</v>
      </c>
      <c r="E16" s="106">
        <v>100023481</v>
      </c>
      <c r="F16" s="559" t="str">
        <f>_xlfn.XLOOKUP(E16,'All Products'!D:D,'All Products'!E:E,FALSE)</f>
        <v>2-1/2 TEE SXSXS SCH80</v>
      </c>
      <c r="G16" s="283">
        <f>_xlfn.XLOOKUP(E16,'All Products'!D:D,'All Products'!F:F,FALSE)</f>
        <v>10</v>
      </c>
      <c r="H16" s="234">
        <f>_xlfn.XLOOKUP(E16,'All Products'!D:D,'All Products'!G:G,FALSE)</f>
        <v>750</v>
      </c>
      <c r="I16" s="561">
        <f>_xlfn.XLOOKUP(E16,'All Products'!D:D,'All Products'!H:H,FALSE)</f>
        <v>114.37</v>
      </c>
      <c r="J16" s="135">
        <f>ROUND(I16*Order_Quote!$L$8,2)</f>
        <v>571.85</v>
      </c>
      <c r="K16" s="78"/>
      <c r="L16" s="116"/>
      <c r="M16" s="199">
        <f t="shared" si="0"/>
        <v>0</v>
      </c>
      <c r="O16" s="348" t="str">
        <f>_xlfn.XLOOKUP(E16,'All Products'!D:D,'All Products'!I:I,FALSE)</f>
        <v>In Stock</v>
      </c>
      <c r="P16" s="348" t="str">
        <f>_xlfn.XLOOKUP(E16,'All Products'!D:D,'All Products'!J:J,FALSE)</f>
        <v>Manufactured</v>
      </c>
      <c r="Q16" s="348" t="str">
        <f>_xlfn.XLOOKUP(E16,'All Products'!D:D,'All Products'!K:K,FALSE)</f>
        <v>049081167462</v>
      </c>
      <c r="R16" s="351" t="str">
        <f>_xlfn.XLOOKUP(E16,'All Products'!D:D,'All Products'!L:L,FALSE)</f>
        <v>-</v>
      </c>
      <c r="S16" s="351" t="str">
        <f>_xlfn.XLOOKUP(E16,'All Products'!D:D,'All Products'!M:M,FALSE)</f>
        <v>40049081167460</v>
      </c>
      <c r="T16" s="348">
        <f>_xlfn.XLOOKUP(E16,'All Products'!D:D,'All Products'!N:N,FALSE)</f>
        <v>1.3560000000000001</v>
      </c>
      <c r="U16" s="351" t="str">
        <f>_xlfn.XLOOKUP(E16,'All Products'!D:D,'All Products'!O:O,FALSE)</f>
        <v>-</v>
      </c>
      <c r="V16" s="348">
        <f>_xlfn.XLOOKUP(E16,'All Products'!D:D,'All Products'!P:P,FALSE)</f>
        <v>14.64</v>
      </c>
      <c r="W16" s="348">
        <f>_xlfn.XLOOKUP(E16,'All Products'!D:D,'All Products'!Q:Q,FALSE)</f>
        <v>0.95</v>
      </c>
    </row>
    <row r="17" spans="1:23">
      <c r="A17" s="104" t="str">
        <f>IF(K17&gt;0,COUNT($A$7:A16)+COUNT('DWV PVC'!$A$8:$A$284)
+COUNT('DWV ABS'!$A$8:$A$116)
+COUNT('PVC SCH40'!$A$8:$A$375)
+COUNT('PVC SCH40 LD'!$A$8:$A$21)
+COUNT('Pool &amp; SPA Sweep Elbows'!$A$8:$A$11)
+COUNT('Pool &amp; SPA Pipe Extender'!$A$8:$A$10)+1,"")</f>
        <v/>
      </c>
      <c r="B17" s="579"/>
      <c r="C17" s="580"/>
      <c r="D17" s="155" t="str">
        <f>_xlfn.XLOOKUP(E17,'All Products'!D:D,'All Products'!C:C,FALSE)</f>
        <v>801-030</v>
      </c>
      <c r="E17" s="106">
        <v>100023482</v>
      </c>
      <c r="F17" s="559" t="str">
        <f>_xlfn.XLOOKUP(E17,'All Products'!D:D,'All Products'!E:E,FALSE)</f>
        <v>3 TEE SXSXS SCH80</v>
      </c>
      <c r="G17" s="283">
        <f>_xlfn.XLOOKUP(E17,'All Products'!D:D,'All Products'!F:F,FALSE)</f>
        <v>5</v>
      </c>
      <c r="H17" s="234">
        <f>_xlfn.XLOOKUP(E17,'All Products'!D:D,'All Products'!G:G,FALSE)</f>
        <v>450</v>
      </c>
      <c r="I17" s="561">
        <f>_xlfn.XLOOKUP(E17,'All Products'!D:D,'All Products'!H:H,FALSE)</f>
        <v>142.94999999999999</v>
      </c>
      <c r="J17" s="135">
        <f>ROUND(I17*Order_Quote!$L$8,2)</f>
        <v>714.75</v>
      </c>
      <c r="K17" s="78"/>
      <c r="L17" s="116"/>
      <c r="M17" s="199">
        <f t="shared" si="0"/>
        <v>0</v>
      </c>
      <c r="O17" s="348" t="str">
        <f>_xlfn.XLOOKUP(E17,'All Products'!D:D,'All Products'!I:I,FALSE)</f>
        <v>In Stock</v>
      </c>
      <c r="P17" s="348" t="str">
        <f>_xlfn.XLOOKUP(E17,'All Products'!D:D,'All Products'!J:J,FALSE)</f>
        <v>Manufactured</v>
      </c>
      <c r="Q17" s="348" t="str">
        <f>_xlfn.XLOOKUP(E17,'All Products'!D:D,'All Products'!K:K,FALSE)</f>
        <v>049081167608</v>
      </c>
      <c r="R17" s="351" t="str">
        <f>_xlfn.XLOOKUP(E17,'All Products'!D:D,'All Products'!L:L,FALSE)</f>
        <v>-</v>
      </c>
      <c r="S17" s="351" t="str">
        <f>_xlfn.XLOOKUP(E17,'All Products'!D:D,'All Products'!M:M,FALSE)</f>
        <v>40049081167606</v>
      </c>
      <c r="T17" s="348">
        <f>_xlfn.XLOOKUP(E17,'All Products'!D:D,'All Products'!N:N,FALSE)</f>
        <v>2.04</v>
      </c>
      <c r="U17" s="351" t="str">
        <f>_xlfn.XLOOKUP(E17,'All Products'!D:D,'All Products'!O:O,FALSE)</f>
        <v>-</v>
      </c>
      <c r="V17" s="348">
        <f>_xlfn.XLOOKUP(E17,'All Products'!D:D,'All Products'!P:P,FALSE)</f>
        <v>11.18</v>
      </c>
      <c r="W17" s="348">
        <f>_xlfn.XLOOKUP(E17,'All Products'!D:D,'All Products'!Q:Q,FALSE)</f>
        <v>0.8</v>
      </c>
    </row>
    <row r="18" spans="1:23">
      <c r="A18" s="104" t="str">
        <f>IF(K18&gt;0,COUNT($A$7:A17)+COUNT('DWV PVC'!$A$8:$A$284)
+COUNT('DWV ABS'!$A$8:$A$116)
+COUNT('PVC SCH40'!$A$8:$A$375)
+COUNT('PVC SCH40 LD'!$A$8:$A$21)
+COUNT('Pool &amp; SPA Sweep Elbows'!$A$8:$A$11)
+COUNT('Pool &amp; SPA Pipe Extender'!$A$8:$A$10)+1,"")</f>
        <v/>
      </c>
      <c r="B18" s="579"/>
      <c r="C18" s="580"/>
      <c r="D18" s="155" t="str">
        <f>_xlfn.XLOOKUP(E18,'All Products'!D:D,'All Products'!C:C,FALSE)</f>
        <v>801-040</v>
      </c>
      <c r="E18" s="106">
        <v>100023483</v>
      </c>
      <c r="F18" s="559" t="str">
        <f>_xlfn.XLOOKUP(E18,'All Products'!D:D,'All Products'!E:E,FALSE)</f>
        <v>4 TEE SXSXS SCH80</v>
      </c>
      <c r="G18" s="283">
        <f>_xlfn.XLOOKUP(E18,'All Products'!D:D,'All Products'!F:F,FALSE)</f>
        <v>4</v>
      </c>
      <c r="H18" s="234">
        <f>_xlfn.XLOOKUP(E18,'All Products'!D:D,'All Products'!G:G,FALSE)</f>
        <v>240</v>
      </c>
      <c r="I18" s="561">
        <f>_xlfn.XLOOKUP(E18,'All Products'!D:D,'All Products'!H:H,FALSE)</f>
        <v>165.63</v>
      </c>
      <c r="J18" s="135">
        <f>ROUND(I18*Order_Quote!$L$8,2)</f>
        <v>828.15</v>
      </c>
      <c r="K18" s="78"/>
      <c r="L18" s="116"/>
      <c r="M18" s="199">
        <f t="shared" si="0"/>
        <v>0</v>
      </c>
      <c r="O18" s="348" t="str">
        <f>_xlfn.XLOOKUP(E18,'All Products'!D:D,'All Products'!I:I,FALSE)</f>
        <v>In Stock</v>
      </c>
      <c r="P18" s="348" t="str">
        <f>_xlfn.XLOOKUP(E18,'All Products'!D:D,'All Products'!J:J,FALSE)</f>
        <v>Manufactured</v>
      </c>
      <c r="Q18" s="348" t="str">
        <f>_xlfn.XLOOKUP(E18,'All Products'!D:D,'All Products'!K:K,FALSE)</f>
        <v>049081167769</v>
      </c>
      <c r="R18" s="351" t="str">
        <f>_xlfn.XLOOKUP(E18,'All Products'!D:D,'All Products'!L:L,FALSE)</f>
        <v>-</v>
      </c>
      <c r="S18" s="351" t="str">
        <f>_xlfn.XLOOKUP(E18,'All Products'!D:D,'All Products'!M:M,FALSE)</f>
        <v>40049081167767</v>
      </c>
      <c r="T18" s="348">
        <f>_xlfn.XLOOKUP(E18,'All Products'!D:D,'All Products'!N:N,FALSE)</f>
        <v>3.4009999999999998</v>
      </c>
      <c r="U18" s="351" t="str">
        <f>_xlfn.XLOOKUP(E18,'All Products'!D:D,'All Products'!O:O,FALSE)</f>
        <v>-</v>
      </c>
      <c r="V18" s="348">
        <f>_xlfn.XLOOKUP(E18,'All Products'!D:D,'All Products'!P:P,FALSE)</f>
        <v>14.85</v>
      </c>
      <c r="W18" s="348">
        <f>_xlfn.XLOOKUP(E18,'All Products'!D:D,'All Products'!Q:Q,FALSE)</f>
        <v>1.25</v>
      </c>
    </row>
    <row r="19" spans="1:23">
      <c r="A19" s="104" t="str">
        <f>IF(K19&gt;0,COUNT($A$7:A18)+COUNT('DWV PVC'!$A$8:$A$284)
+COUNT('DWV ABS'!$A$8:$A$116)
+COUNT('PVC SCH40'!$A$8:$A$375)
+COUNT('PVC SCH40 LD'!$A$8:$A$21)
+COUNT('Pool &amp; SPA Sweep Elbows'!$A$8:$A$11)
+COUNT('Pool &amp; SPA Pipe Extender'!$A$8:$A$10)+1,"")</f>
        <v/>
      </c>
      <c r="B19" s="579"/>
      <c r="C19" s="580"/>
      <c r="D19" s="155" t="str">
        <f>_xlfn.XLOOKUP(E19,'All Products'!D:D,'All Products'!C:C,FALSE)</f>
        <v>801-060</v>
      </c>
      <c r="E19" s="106">
        <v>100023484</v>
      </c>
      <c r="F19" s="559" t="str">
        <f>_xlfn.XLOOKUP(E19,'All Products'!D:D,'All Products'!E:E,FALSE)</f>
        <v>6 TEE SXSXS SCH80</v>
      </c>
      <c r="G19" s="283">
        <f>_xlfn.XLOOKUP(E19,'All Products'!D:D,'All Products'!F:F,FALSE)</f>
        <v>1</v>
      </c>
      <c r="H19" s="234">
        <f>_xlfn.XLOOKUP(E19,'All Products'!D:D,'All Products'!G:G,FALSE)</f>
        <v>75</v>
      </c>
      <c r="I19" s="561">
        <f>_xlfn.XLOOKUP(E19,'All Products'!D:D,'All Products'!H:H,FALSE)</f>
        <v>565.49</v>
      </c>
      <c r="J19" s="135">
        <f>ROUND(I19*Order_Quote!$L$8,2)</f>
        <v>2827.45</v>
      </c>
      <c r="K19" s="78"/>
      <c r="L19" s="116"/>
      <c r="M19" s="199">
        <f t="shared" si="0"/>
        <v>0</v>
      </c>
      <c r="O19" s="348" t="str">
        <f>_xlfn.XLOOKUP(E19,'All Products'!D:D,'All Products'!I:I,FALSE)</f>
        <v>In Stock</v>
      </c>
      <c r="P19" s="348" t="str">
        <f>_xlfn.XLOOKUP(E19,'All Products'!D:D,'All Products'!J:J,FALSE)</f>
        <v>Manufactured</v>
      </c>
      <c r="Q19" s="348" t="str">
        <f>_xlfn.XLOOKUP(E19,'All Products'!D:D,'All Products'!K:K,FALSE)</f>
        <v>049081168001</v>
      </c>
      <c r="R19" s="351" t="str">
        <f>_xlfn.XLOOKUP(E19,'All Products'!D:D,'All Products'!L:L,FALSE)</f>
        <v>-</v>
      </c>
      <c r="S19" s="351" t="str">
        <f>_xlfn.XLOOKUP(E19,'All Products'!D:D,'All Products'!M:M,FALSE)</f>
        <v>40049081168009</v>
      </c>
      <c r="T19" s="348">
        <f>_xlfn.XLOOKUP(E19,'All Products'!D:D,'All Products'!N:N,FALSE)</f>
        <v>10.175000000000001</v>
      </c>
      <c r="U19" s="351" t="str">
        <f>_xlfn.XLOOKUP(E19,'All Products'!D:D,'All Products'!O:O,FALSE)</f>
        <v>-</v>
      </c>
      <c r="V19" s="348">
        <f>_xlfn.XLOOKUP(E19,'All Products'!D:D,'All Products'!P:P,FALSE)</f>
        <v>11.36</v>
      </c>
      <c r="W19" s="348">
        <f>_xlfn.XLOOKUP(E19,'All Products'!D:D,'All Products'!Q:Q,FALSE)</f>
        <v>0.95</v>
      </c>
    </row>
    <row r="20" spans="1:23">
      <c r="A20" s="104" t="str">
        <f>IF(K20&gt;0,COUNT($A$7:A19)+COUNT('DWV PVC'!$A$8:$A$284)
+COUNT('DWV ABS'!$A$8:$A$116)
+COUNT('PVC SCH40'!$A$8:$A$375)
+COUNT('PVC SCH40 LD'!$A$8:$A$21)
+COUNT('Pool &amp; SPA Sweep Elbows'!$A$8:$A$11)
+COUNT('Pool &amp; SPA Pipe Extender'!$A$8:$A$10)+1,"")</f>
        <v/>
      </c>
      <c r="B20" s="581"/>
      <c r="C20" s="582"/>
      <c r="D20" s="155" t="str">
        <f>_xlfn.XLOOKUP(E20,'All Products'!D:D,'All Products'!C:C,FALSE)</f>
        <v>801-080</v>
      </c>
      <c r="E20" s="106">
        <v>100023485</v>
      </c>
      <c r="F20" s="559" t="str">
        <f>_xlfn.XLOOKUP(E20,'All Products'!D:D,'All Products'!E:E,FALSE)</f>
        <v>8 TEE SXSXS SCH80</v>
      </c>
      <c r="G20" s="283">
        <f>_xlfn.XLOOKUP(E20,'All Products'!D:D,'All Products'!F:F,FALSE)</f>
        <v>2</v>
      </c>
      <c r="H20" s="234">
        <f>_xlfn.XLOOKUP(E20,'All Products'!D:D,'All Products'!G:G,FALSE)</f>
        <v>36</v>
      </c>
      <c r="I20" s="561">
        <f>_xlfn.XLOOKUP(E20,'All Products'!D:D,'All Products'!H:H,FALSE)</f>
        <v>1311.57</v>
      </c>
      <c r="J20" s="135">
        <f>ROUND(I20*Order_Quote!$L$8,2)</f>
        <v>6557.85</v>
      </c>
      <c r="K20" s="78"/>
      <c r="L20" s="116"/>
      <c r="M20" s="199">
        <f t="shared" si="0"/>
        <v>0</v>
      </c>
      <c r="O20" s="348" t="str">
        <f>_xlfn.XLOOKUP(E20,'All Products'!D:D,'All Products'!I:I,FALSE)</f>
        <v>In Stock</v>
      </c>
      <c r="P20" s="348" t="str">
        <f>_xlfn.XLOOKUP(E20,'All Products'!D:D,'All Products'!J:J,FALSE)</f>
        <v>Manufactured</v>
      </c>
      <c r="Q20" s="348" t="str">
        <f>_xlfn.XLOOKUP(E20,'All Products'!D:D,'All Products'!K:K,FALSE)</f>
        <v>049081168087</v>
      </c>
      <c r="R20" s="351" t="str">
        <f>_xlfn.XLOOKUP(E20,'All Products'!D:D,'All Products'!L:L,FALSE)</f>
        <v>-</v>
      </c>
      <c r="S20" s="351" t="str">
        <f>_xlfn.XLOOKUP(E20,'All Products'!D:D,'All Products'!M:M,FALSE)</f>
        <v>40049081168085</v>
      </c>
      <c r="T20" s="348">
        <f>_xlfn.XLOOKUP(E20,'All Products'!D:D,'All Products'!N:N,FALSE)</f>
        <v>18.670000000000002</v>
      </c>
      <c r="U20" s="351" t="str">
        <f>_xlfn.XLOOKUP(E20,'All Products'!D:D,'All Products'!O:O,FALSE)</f>
        <v>-</v>
      </c>
      <c r="V20" s="348">
        <f>_xlfn.XLOOKUP(E20,'All Products'!D:D,'All Products'!P:P,FALSE)</f>
        <v>39.83</v>
      </c>
      <c r="W20" s="348">
        <f>_xlfn.XLOOKUP(E20,'All Products'!D:D,'All Products'!Q:Q,FALSE)</f>
        <v>4.38</v>
      </c>
    </row>
    <row r="21" spans="1:23">
      <c r="A21" s="104" t="str">
        <f>IF(K21&gt;0,COUNT($A$7:A20)+COUNT('DWV PVC'!$A$8:$A$284)
+COUNT('DWV ABS'!$A$8:$A$116)
+COUNT('PVC SCH40'!$A$8:$A$375)
+COUNT('PVC SCH40 LD'!$A$8:$A$21)
+COUNT('Pool &amp; SPA Sweep Elbows'!$A$8:$A$11)
+COUNT('Pool &amp; SPA Pipe Extender'!$A$8:$A$10)+1,"")</f>
        <v/>
      </c>
      <c r="B21" s="577"/>
      <c r="C21" s="578"/>
      <c r="D21" s="155" t="str">
        <f>_xlfn.XLOOKUP(E21,'All Products'!D:D,'All Products'!C:C,FALSE)</f>
        <v>805-002</v>
      </c>
      <c r="E21" s="106">
        <v>100023498</v>
      </c>
      <c r="F21" s="559" t="str">
        <f>_xlfn.XLOOKUP(E21,'All Products'!D:D,'All Products'!E:E,FALSE)</f>
        <v>1/4 TEE FIPTXFIPTXFIPT SCH80</v>
      </c>
      <c r="G21" s="283">
        <f>_xlfn.XLOOKUP(E21,'All Products'!D:D,'All Products'!F:F,FALSE)</f>
        <v>250</v>
      </c>
      <c r="H21" s="234">
        <f>_xlfn.XLOOKUP(E21,'All Products'!D:D,'All Products'!G:G,FALSE)</f>
        <v>22500</v>
      </c>
      <c r="I21" s="561">
        <f>_xlfn.XLOOKUP(E21,'All Products'!D:D,'All Products'!H:H,FALSE)</f>
        <v>26.98</v>
      </c>
      <c r="J21" s="135">
        <f>ROUND(I21*Order_Quote!$L$8,2)</f>
        <v>134.9</v>
      </c>
      <c r="K21" s="78"/>
      <c r="L21" s="116"/>
      <c r="M21" s="199">
        <f t="shared" si="0"/>
        <v>0</v>
      </c>
      <c r="O21" s="348" t="str">
        <f>_xlfn.XLOOKUP(E21,'All Products'!D:D,'All Products'!I:I,FALSE)</f>
        <v>Within 3 Weeks</v>
      </c>
      <c r="P21" s="348" t="str">
        <f>_xlfn.XLOOKUP(E21,'All Products'!D:D,'All Products'!J:J,FALSE)</f>
        <v>Manufactured</v>
      </c>
      <c r="Q21" s="348" t="str">
        <f>_xlfn.XLOOKUP(E21,'All Products'!D:D,'All Products'!K:K,FALSE)</f>
        <v>049081170264</v>
      </c>
      <c r="R21" s="351" t="str">
        <f>_xlfn.XLOOKUP(E21,'All Products'!D:D,'All Products'!L:L,FALSE)</f>
        <v>049081670269</v>
      </c>
      <c r="S21" s="351" t="str">
        <f>_xlfn.XLOOKUP(E21,'All Products'!D:D,'All Products'!M:M,FALSE)</f>
        <v>40049081170262</v>
      </c>
      <c r="T21" s="348">
        <f>_xlfn.XLOOKUP(E21,'All Products'!D:D,'All Products'!N:N,FALSE)</f>
        <v>6.8000000000000005E-2</v>
      </c>
      <c r="U21" s="351">
        <f>_xlfn.XLOOKUP(E21,'All Products'!D:D,'All Products'!O:O,FALSE)</f>
        <v>10</v>
      </c>
      <c r="V21" s="348">
        <f>_xlfn.XLOOKUP(E21,'All Products'!D:D,'All Products'!P:P,FALSE)</f>
        <v>18.78</v>
      </c>
      <c r="W21" s="348">
        <f>_xlfn.XLOOKUP(E21,'All Products'!D:D,'All Products'!Q:Q,FALSE)</f>
        <v>0.8</v>
      </c>
    </row>
    <row r="22" spans="1:23">
      <c r="A22" s="104" t="str">
        <f>IF(K22&gt;0,COUNT($A$7:A21)+COUNT('DWV PVC'!$A$8:$A$284)
+COUNT('DWV ABS'!$A$8:$A$116)
+COUNT('PVC SCH40'!$A$8:$A$375)
+COUNT('PVC SCH40 LD'!$A$8:$A$21)
+COUNT('Pool &amp; SPA Sweep Elbows'!$A$8:$A$11)
+COUNT('Pool &amp; SPA Pipe Extender'!$A$8:$A$10)+1,"")</f>
        <v/>
      </c>
      <c r="B22" s="579"/>
      <c r="C22" s="580"/>
      <c r="D22" s="155" t="str">
        <f>_xlfn.XLOOKUP(E22,'All Products'!D:D,'All Products'!C:C,FALSE)</f>
        <v>805-003</v>
      </c>
      <c r="E22" s="106">
        <v>100023499</v>
      </c>
      <c r="F22" s="559" t="str">
        <f>_xlfn.XLOOKUP(E22,'All Products'!D:D,'All Products'!E:E,FALSE)</f>
        <v>3/8 TEE FIPTXFIPTXFIPT SCH80</v>
      </c>
      <c r="G22" s="283">
        <f>_xlfn.XLOOKUP(E22,'All Products'!D:D,'All Products'!F:F,FALSE)</f>
        <v>250</v>
      </c>
      <c r="H22" s="234">
        <f>_xlfn.XLOOKUP(E22,'All Products'!D:D,'All Products'!G:G,FALSE)</f>
        <v>18750</v>
      </c>
      <c r="I22" s="561">
        <f>_xlfn.XLOOKUP(E22,'All Products'!D:D,'All Products'!H:H,FALSE)</f>
        <v>26.98</v>
      </c>
      <c r="J22" s="135">
        <f>ROUND(I22*Order_Quote!$L$8,2)</f>
        <v>134.9</v>
      </c>
      <c r="K22" s="78"/>
      <c r="L22" s="116"/>
      <c r="M22" s="199">
        <f t="shared" si="0"/>
        <v>0</v>
      </c>
      <c r="O22" s="348" t="str">
        <f>_xlfn.XLOOKUP(E22,'All Products'!D:D,'All Products'!I:I,FALSE)</f>
        <v>In Stock</v>
      </c>
      <c r="P22" s="348" t="str">
        <f>_xlfn.XLOOKUP(E22,'All Products'!D:D,'All Products'!J:J,FALSE)</f>
        <v>Manufactured</v>
      </c>
      <c r="Q22" s="348" t="str">
        <f>_xlfn.XLOOKUP(E22,'All Products'!D:D,'All Products'!K:K,FALSE)</f>
        <v>049081170288</v>
      </c>
      <c r="R22" s="351" t="str">
        <f>_xlfn.XLOOKUP(E22,'All Products'!D:D,'All Products'!L:L,FALSE)</f>
        <v>049081670283</v>
      </c>
      <c r="S22" s="351" t="str">
        <f>_xlfn.XLOOKUP(E22,'All Products'!D:D,'All Products'!M:M,FALSE)</f>
        <v>40049081170286</v>
      </c>
      <c r="T22" s="348">
        <f>_xlfn.XLOOKUP(E22,'All Products'!D:D,'All Products'!N:N,FALSE)</f>
        <v>9.5000000000000001E-2</v>
      </c>
      <c r="U22" s="351">
        <f>_xlfn.XLOOKUP(E22,'All Products'!D:D,'All Products'!O:O,FALSE)</f>
        <v>10</v>
      </c>
      <c r="V22" s="348">
        <f>_xlfn.XLOOKUP(E22,'All Products'!D:D,'All Products'!P:P,FALSE)</f>
        <v>25.12</v>
      </c>
      <c r="W22" s="348">
        <f>_xlfn.XLOOKUP(E22,'All Products'!D:D,'All Products'!Q:Q,FALSE)</f>
        <v>1.1000000000000001</v>
      </c>
    </row>
    <row r="23" spans="1:23">
      <c r="A23" s="104" t="str">
        <f>IF(K23&gt;0,COUNT($A$7:A22)+COUNT('DWV PVC'!$A$8:$A$284)
+COUNT('DWV ABS'!$A$8:$A$116)
+COUNT('PVC SCH40'!$A$8:$A$375)
+COUNT('PVC SCH40 LD'!$A$8:$A$21)
+COUNT('Pool &amp; SPA Sweep Elbows'!$A$8:$A$11)
+COUNT('Pool &amp; SPA Pipe Extender'!$A$8:$A$10)+1,"")</f>
        <v/>
      </c>
      <c r="B23" s="579"/>
      <c r="C23" s="580"/>
      <c r="D23" s="155" t="str">
        <f>_xlfn.XLOOKUP(E23,'All Products'!D:D,'All Products'!C:C,FALSE)</f>
        <v>805-005</v>
      </c>
      <c r="E23" s="106">
        <v>100023500</v>
      </c>
      <c r="F23" s="559" t="str">
        <f>_xlfn.XLOOKUP(E23,'All Products'!D:D,'All Products'!E:E,FALSE)</f>
        <v>1/2 TEE FIPTXFIPTXFIPT SCH80</v>
      </c>
      <c r="G23" s="283">
        <f>_xlfn.XLOOKUP(E23,'All Products'!D:D,'All Products'!F:F,FALSE)</f>
        <v>125</v>
      </c>
      <c r="H23" s="234">
        <f>_xlfn.XLOOKUP(E23,'All Products'!D:D,'All Products'!G:G,FALSE)</f>
        <v>9375</v>
      </c>
      <c r="I23" s="561">
        <f>_xlfn.XLOOKUP(E23,'All Products'!D:D,'All Products'!H:H,FALSE)</f>
        <v>26.98</v>
      </c>
      <c r="J23" s="135">
        <f>ROUND(I23*Order_Quote!$L$8,2)</f>
        <v>134.9</v>
      </c>
      <c r="K23" s="78"/>
      <c r="L23" s="116"/>
      <c r="M23" s="199">
        <f t="shared" si="0"/>
        <v>0</v>
      </c>
      <c r="O23" s="348" t="str">
        <f>_xlfn.XLOOKUP(E23,'All Products'!D:D,'All Products'!I:I,FALSE)</f>
        <v>In Stock</v>
      </c>
      <c r="P23" s="348" t="str">
        <f>_xlfn.XLOOKUP(E23,'All Products'!D:D,'All Products'!J:J,FALSE)</f>
        <v>Manufactured</v>
      </c>
      <c r="Q23" s="348" t="str">
        <f>_xlfn.XLOOKUP(E23,'All Products'!D:D,'All Products'!K:K,FALSE)</f>
        <v>049081170301</v>
      </c>
      <c r="R23" s="351" t="str">
        <f>_xlfn.XLOOKUP(E23,'All Products'!D:D,'All Products'!L:L,FALSE)</f>
        <v>049081670306</v>
      </c>
      <c r="S23" s="351" t="str">
        <f>_xlfn.XLOOKUP(E23,'All Products'!D:D,'All Products'!M:M,FALSE)</f>
        <v>40049081170309</v>
      </c>
      <c r="T23" s="348">
        <f>_xlfn.XLOOKUP(E23,'All Products'!D:D,'All Products'!N:N,FALSE)</f>
        <v>0.184</v>
      </c>
      <c r="U23" s="351">
        <f>_xlfn.XLOOKUP(E23,'All Products'!D:D,'All Products'!O:O,FALSE)</f>
        <v>5</v>
      </c>
      <c r="V23" s="348">
        <f>_xlfn.XLOOKUP(E23,'All Products'!D:D,'All Products'!P:P,FALSE)</f>
        <v>23.5</v>
      </c>
      <c r="W23" s="348">
        <f>_xlfn.XLOOKUP(E23,'All Products'!D:D,'All Products'!Q:Q,FALSE)</f>
        <v>1.1000000000000001</v>
      </c>
    </row>
    <row r="24" spans="1:23">
      <c r="A24" s="104" t="str">
        <f>IF(K24&gt;0,COUNT($A$7:A23)+COUNT('DWV PVC'!$A$8:$A$284)
+COUNT('DWV ABS'!$A$8:$A$116)
+COUNT('PVC SCH40'!$A$8:$A$375)
+COUNT('PVC SCH40 LD'!$A$8:$A$21)
+COUNT('Pool &amp; SPA Sweep Elbows'!$A$8:$A$11)
+COUNT('Pool &amp; SPA Pipe Extender'!$A$8:$A$10)+1,"")</f>
        <v/>
      </c>
      <c r="B24" s="579"/>
      <c r="C24" s="580"/>
      <c r="D24" s="155" t="str">
        <f>_xlfn.XLOOKUP(E24,'All Products'!D:D,'All Products'!C:C,FALSE)</f>
        <v>805-007</v>
      </c>
      <c r="E24" s="106">
        <v>100023501</v>
      </c>
      <c r="F24" s="559" t="str">
        <f>_xlfn.XLOOKUP(E24,'All Products'!D:D,'All Products'!E:E,FALSE)</f>
        <v>3/4 TEE FIPTXFIPTXFIPT SCH80</v>
      </c>
      <c r="G24" s="283">
        <f>_xlfn.XLOOKUP(E24,'All Products'!D:D,'All Products'!F:F,FALSE)</f>
        <v>125</v>
      </c>
      <c r="H24" s="234">
        <f>_xlfn.XLOOKUP(E24,'All Products'!D:D,'All Products'!G:G,FALSE)</f>
        <v>7500</v>
      </c>
      <c r="I24" s="561">
        <f>_xlfn.XLOOKUP(E24,'All Products'!D:D,'All Products'!H:H,FALSE)</f>
        <v>30.07</v>
      </c>
      <c r="J24" s="135">
        <f>ROUND(I24*Order_Quote!$L$8,2)</f>
        <v>150.35</v>
      </c>
      <c r="K24" s="78"/>
      <c r="L24" s="116"/>
      <c r="M24" s="199">
        <f t="shared" si="0"/>
        <v>0</v>
      </c>
      <c r="O24" s="348" t="str">
        <f>_xlfn.XLOOKUP(E24,'All Products'!D:D,'All Products'!I:I,FALSE)</f>
        <v>In Stock</v>
      </c>
      <c r="P24" s="348" t="str">
        <f>_xlfn.XLOOKUP(E24,'All Products'!D:D,'All Products'!J:J,FALSE)</f>
        <v>Manufactured</v>
      </c>
      <c r="Q24" s="348" t="str">
        <f>_xlfn.XLOOKUP(E24,'All Products'!D:D,'All Products'!K:K,FALSE)</f>
        <v>049081170325</v>
      </c>
      <c r="R24" s="351" t="str">
        <f>_xlfn.XLOOKUP(E24,'All Products'!D:D,'All Products'!L:L,FALSE)</f>
        <v>049081670320</v>
      </c>
      <c r="S24" s="351" t="str">
        <f>_xlfn.XLOOKUP(E24,'All Products'!D:D,'All Products'!M:M,FALSE)</f>
        <v>40049081170323</v>
      </c>
      <c r="T24" s="348">
        <f>_xlfn.XLOOKUP(E24,'All Products'!D:D,'All Products'!N:N,FALSE)</f>
        <v>0.23</v>
      </c>
      <c r="U24" s="351">
        <f>_xlfn.XLOOKUP(E24,'All Products'!D:D,'All Products'!O:O,FALSE)</f>
        <v>5</v>
      </c>
      <c r="V24" s="348">
        <f>_xlfn.XLOOKUP(E24,'All Products'!D:D,'All Products'!P:P,FALSE)</f>
        <v>31.32</v>
      </c>
      <c r="W24" s="348">
        <f>_xlfn.XLOOKUP(E24,'All Products'!D:D,'All Products'!Q:Q,FALSE)</f>
        <v>1.25</v>
      </c>
    </row>
    <row r="25" spans="1:23">
      <c r="A25" s="104" t="str">
        <f>IF(K25&gt;0,COUNT($A$7:A24)+COUNT('DWV PVC'!$A$8:$A$284)
+COUNT('DWV ABS'!$A$8:$A$116)
+COUNT('PVC SCH40'!$A$8:$A$375)
+COUNT('PVC SCH40 LD'!$A$8:$A$21)
+COUNT('Pool &amp; SPA Sweep Elbows'!$A$8:$A$11)
+COUNT('Pool &amp; SPA Pipe Extender'!$A$8:$A$10)+1,"")</f>
        <v/>
      </c>
      <c r="B25" s="579"/>
      <c r="C25" s="580"/>
      <c r="D25" s="155" t="str">
        <f>_xlfn.XLOOKUP(E25,'All Products'!D:D,'All Products'!C:C,FALSE)</f>
        <v>805-010</v>
      </c>
      <c r="E25" s="106">
        <v>100023502</v>
      </c>
      <c r="F25" s="559" t="str">
        <f>_xlfn.XLOOKUP(E25,'All Products'!D:D,'All Products'!E:E,FALSE)</f>
        <v>1 TEE FIPTXFIPTXFIPT SCH80</v>
      </c>
      <c r="G25" s="283">
        <f>_xlfn.XLOOKUP(E25,'All Products'!D:D,'All Products'!F:F,FALSE)</f>
        <v>50</v>
      </c>
      <c r="H25" s="234">
        <f>_xlfn.XLOOKUP(E25,'All Products'!D:D,'All Products'!G:G,FALSE)</f>
        <v>3750</v>
      </c>
      <c r="I25" s="561">
        <f>_xlfn.XLOOKUP(E25,'All Products'!D:D,'All Products'!H:H,FALSE)</f>
        <v>66.34</v>
      </c>
      <c r="J25" s="135">
        <f>ROUND(I25*Order_Quote!$L$8,2)</f>
        <v>331.7</v>
      </c>
      <c r="K25" s="78"/>
      <c r="L25" s="116"/>
      <c r="M25" s="199">
        <f t="shared" si="0"/>
        <v>0</v>
      </c>
      <c r="O25" s="348" t="str">
        <f>_xlfn.XLOOKUP(E25,'All Products'!D:D,'All Products'!I:I,FALSE)</f>
        <v>In Stock</v>
      </c>
      <c r="P25" s="348" t="str">
        <f>_xlfn.XLOOKUP(E25,'All Products'!D:D,'All Products'!J:J,FALSE)</f>
        <v>Manufactured</v>
      </c>
      <c r="Q25" s="348" t="str">
        <f>_xlfn.XLOOKUP(E25,'All Products'!D:D,'All Products'!K:K,FALSE)</f>
        <v>049081170349</v>
      </c>
      <c r="R25" s="351" t="str">
        <f>_xlfn.XLOOKUP(E25,'All Products'!D:D,'All Products'!L:L,FALSE)</f>
        <v>049081670344</v>
      </c>
      <c r="S25" s="351" t="str">
        <f>_xlfn.XLOOKUP(E25,'All Products'!D:D,'All Products'!M:M,FALSE)</f>
        <v>40049081170347</v>
      </c>
      <c r="T25" s="348">
        <f>_xlfn.XLOOKUP(E25,'All Products'!D:D,'All Products'!N:N,FALSE)</f>
        <v>0.38</v>
      </c>
      <c r="U25" s="351">
        <f>_xlfn.XLOOKUP(E25,'All Products'!D:D,'All Products'!O:O,FALSE)</f>
        <v>5</v>
      </c>
      <c r="V25" s="348">
        <f>_xlfn.XLOOKUP(E25,'All Products'!D:D,'All Products'!P:P,FALSE)</f>
        <v>20.66</v>
      </c>
      <c r="W25" s="348">
        <f>_xlfn.XLOOKUP(E25,'All Products'!D:D,'All Products'!Q:Q,FALSE)</f>
        <v>0.95</v>
      </c>
    </row>
    <row r="26" spans="1:23">
      <c r="A26" s="104" t="str">
        <f>IF(K26&gt;0,COUNT($A$7:A25)+COUNT('DWV PVC'!$A$8:$A$284)
+COUNT('DWV ABS'!$A$8:$A$116)
+COUNT('PVC SCH40'!$A$8:$A$375)
+COUNT('PVC SCH40 LD'!$A$8:$A$21)
+COUNT('Pool &amp; SPA Sweep Elbows'!$A$8:$A$11)
+COUNT('Pool &amp; SPA Pipe Extender'!$A$8:$A$10)+1,"")</f>
        <v/>
      </c>
      <c r="B26" s="581"/>
      <c r="C26" s="582"/>
      <c r="D26" s="155" t="str">
        <f>_xlfn.XLOOKUP(E26,'All Products'!D:D,'All Products'!C:C,FALSE)</f>
        <v>805-025</v>
      </c>
      <c r="E26" s="106">
        <v>100028097</v>
      </c>
      <c r="F26" s="559" t="str">
        <f>_xlfn.XLOOKUP(E26,'All Products'!D:D,'All Products'!E:E,FALSE)</f>
        <v>2-1/2 TEE FIPTXFIPTXFIPT SCH80</v>
      </c>
      <c r="G26" s="283">
        <f>_xlfn.XLOOKUP(E26,'All Products'!D:D,'All Products'!F:F,FALSE)</f>
        <v>25</v>
      </c>
      <c r="H26" s="234">
        <f>_xlfn.XLOOKUP(E26,'All Products'!D:D,'All Products'!G:G,FALSE)</f>
        <v>0</v>
      </c>
      <c r="I26" s="561">
        <f>_xlfn.XLOOKUP(E26,'All Products'!D:D,'All Products'!H:H,FALSE)</f>
        <v>333.68</v>
      </c>
      <c r="J26" s="135">
        <f>ROUND(I26*Order_Quote!$L$8,2)</f>
        <v>1668.4</v>
      </c>
      <c r="K26" s="78"/>
      <c r="L26" s="116"/>
      <c r="M26" s="199">
        <f t="shared" si="0"/>
        <v>0</v>
      </c>
      <c r="O26" s="348" t="str">
        <f>_xlfn.XLOOKUP(E26,'All Products'!D:D,'All Products'!I:I,FALSE)</f>
        <v>Within 3 Weeks</v>
      </c>
      <c r="P26" s="348" t="str">
        <f>_xlfn.XLOOKUP(E26,'All Products'!D:D,'All Products'!J:J,FALSE)</f>
        <v>Manufactured</v>
      </c>
      <c r="Q26" s="348" t="str">
        <f>_xlfn.XLOOKUP(E26,'All Products'!D:D,'All Products'!K:K,FALSE)</f>
        <v>049081170424</v>
      </c>
      <c r="R26" s="351" t="str">
        <f>_xlfn.XLOOKUP(E26,'All Products'!D:D,'All Products'!L:L,FALSE)</f>
        <v>-</v>
      </c>
      <c r="S26" s="351" t="str">
        <f>_xlfn.XLOOKUP(E26,'All Products'!D:D,'All Products'!M:M,FALSE)</f>
        <v>40049081170422</v>
      </c>
      <c r="T26" s="348">
        <f>_xlfn.XLOOKUP(E26,'All Products'!D:D,'All Products'!N:N,FALSE)</f>
        <v>1.698</v>
      </c>
      <c r="U26" s="351" t="str">
        <f>_xlfn.XLOOKUP(E26,'All Products'!D:D,'All Products'!O:O,FALSE)</f>
        <v>-</v>
      </c>
      <c r="V26" s="348">
        <f>_xlfn.XLOOKUP(E26,'All Products'!D:D,'All Products'!P:P,FALSE)</f>
        <v>44.368000000000002</v>
      </c>
      <c r="W26" s="348" t="str">
        <f>_xlfn.XLOOKUP(E26,'All Products'!D:D,'All Products'!Q:Q,FALSE)</f>
        <v>-</v>
      </c>
    </row>
    <row r="27" spans="1:23">
      <c r="A27" s="104" t="str">
        <f>IF(K27&gt;0,COUNT($A$7:A26)+COUNT('DWV PVC'!$A$8:$A$284)
+COUNT('DWV ABS'!$A$8:$A$116)
+COUNT('PVC SCH40'!$A$8:$A$375)
+COUNT('PVC SCH40 LD'!$A$8:$A$21)
+COUNT('Pool &amp; SPA Sweep Elbows'!$A$8:$A$11)
+COUNT('Pool &amp; SPA Pipe Extender'!$A$8:$A$10)+1,"")</f>
        <v/>
      </c>
      <c r="B27" s="579"/>
      <c r="C27" s="580"/>
      <c r="D27" s="155" t="str">
        <f>_xlfn.XLOOKUP(E27,'All Products'!D:D,'All Products'!C:C,FALSE)</f>
        <v>806-005</v>
      </c>
      <c r="E27" s="106">
        <v>100023507</v>
      </c>
      <c r="F27" s="559" t="str">
        <f>_xlfn.XLOOKUP(E27,'All Products'!D:D,'All Products'!E:E,FALSE)</f>
        <v>1/2 ELBOW 90 SXS SCH80</v>
      </c>
      <c r="G27" s="283">
        <f>_xlfn.XLOOKUP(E27,'All Products'!D:D,'All Products'!F:F,FALSE)</f>
        <v>250</v>
      </c>
      <c r="H27" s="234">
        <f>_xlfn.XLOOKUP(E27,'All Products'!D:D,'All Products'!G:G,FALSE)</f>
        <v>18750</v>
      </c>
      <c r="I27" s="561">
        <f>_xlfn.XLOOKUP(E27,'All Products'!D:D,'All Products'!H:H,FALSE)</f>
        <v>8.26</v>
      </c>
      <c r="J27" s="135">
        <f>ROUND(I27*Order_Quote!$L$8,2)</f>
        <v>41.3</v>
      </c>
      <c r="K27" s="78"/>
      <c r="L27" s="116"/>
      <c r="M27" s="199">
        <f t="shared" si="0"/>
        <v>0</v>
      </c>
      <c r="O27" s="348" t="str">
        <f>_xlfn.XLOOKUP(E27,'All Products'!D:D,'All Products'!I:I,FALSE)</f>
        <v>In Stock</v>
      </c>
      <c r="P27" s="348" t="str">
        <f>_xlfn.XLOOKUP(E27,'All Products'!D:D,'All Products'!J:J,FALSE)</f>
        <v>Manufactured</v>
      </c>
      <c r="Q27" s="348" t="str">
        <f>_xlfn.XLOOKUP(E27,'All Products'!D:D,'All Products'!K:K,FALSE)</f>
        <v>049081162702</v>
      </c>
      <c r="R27" s="351" t="str">
        <f>_xlfn.XLOOKUP(E27,'All Products'!D:D,'All Products'!L:L,FALSE)</f>
        <v>049081662707</v>
      </c>
      <c r="S27" s="351" t="str">
        <f>_xlfn.XLOOKUP(E27,'All Products'!D:D,'All Products'!M:M,FALSE)</f>
        <v>40049081162700</v>
      </c>
      <c r="T27" s="348">
        <f>_xlfn.XLOOKUP(E27,'All Products'!D:D,'All Products'!N:N,FALSE)</f>
        <v>9.8000000000000004E-2</v>
      </c>
      <c r="U27" s="351">
        <f>_xlfn.XLOOKUP(E27,'All Products'!D:D,'All Products'!O:O,FALSE)</f>
        <v>10</v>
      </c>
      <c r="V27" s="348">
        <f>_xlfn.XLOOKUP(E27,'All Products'!D:D,'All Products'!P:P,FALSE)</f>
        <v>26.08</v>
      </c>
      <c r="W27" s="348">
        <f>_xlfn.XLOOKUP(E27,'All Products'!D:D,'All Products'!Q:Q,FALSE)</f>
        <v>1.1000000000000001</v>
      </c>
    </row>
    <row r="28" spans="1:23">
      <c r="A28" s="104" t="str">
        <f>IF(K28&gt;0,COUNT($A$7:A27)+COUNT('DWV PVC'!$A$8:$A$284)
+COUNT('DWV ABS'!$A$8:$A$116)
+COUNT('PVC SCH40'!$A$8:$A$375)
+COUNT('PVC SCH40 LD'!$A$8:$A$21)
+COUNT('Pool &amp; SPA Sweep Elbows'!$A$8:$A$11)
+COUNT('Pool &amp; SPA Pipe Extender'!$A$8:$A$10)+1,"")</f>
        <v/>
      </c>
      <c r="B28" s="579"/>
      <c r="C28" s="580"/>
      <c r="D28" s="155" t="str">
        <f>_xlfn.XLOOKUP(E28,'All Products'!D:D,'All Products'!C:C,FALSE)</f>
        <v>806-007</v>
      </c>
      <c r="E28" s="106">
        <v>100023508</v>
      </c>
      <c r="F28" s="559" t="str">
        <f>_xlfn.XLOOKUP(E28,'All Products'!D:D,'All Products'!E:E,FALSE)</f>
        <v>3/4 ELBOW 90 SXS SCH80</v>
      </c>
      <c r="G28" s="283">
        <f>_xlfn.XLOOKUP(E28,'All Products'!D:D,'All Products'!F:F,FALSE)</f>
        <v>200</v>
      </c>
      <c r="H28" s="234">
        <f>_xlfn.XLOOKUP(E28,'All Products'!D:D,'All Products'!G:G,FALSE)</f>
        <v>12000</v>
      </c>
      <c r="I28" s="561">
        <f>_xlfn.XLOOKUP(E28,'All Products'!D:D,'All Products'!H:H,FALSE)</f>
        <v>10.57</v>
      </c>
      <c r="J28" s="135">
        <f>ROUND(I28*Order_Quote!$L$8,2)</f>
        <v>52.85</v>
      </c>
      <c r="K28" s="78"/>
      <c r="L28" s="116"/>
      <c r="M28" s="199">
        <f t="shared" si="0"/>
        <v>0</v>
      </c>
      <c r="O28" s="348" t="str">
        <f>_xlfn.XLOOKUP(E28,'All Products'!D:D,'All Products'!I:I,FALSE)</f>
        <v>In Stock</v>
      </c>
      <c r="P28" s="348" t="str">
        <f>_xlfn.XLOOKUP(E28,'All Products'!D:D,'All Products'!J:J,FALSE)</f>
        <v>Manufactured</v>
      </c>
      <c r="Q28" s="348" t="str">
        <f>_xlfn.XLOOKUP(E28,'All Products'!D:D,'All Products'!K:K,FALSE)</f>
        <v>049081162726</v>
      </c>
      <c r="R28" s="351" t="str">
        <f>_xlfn.XLOOKUP(E28,'All Products'!D:D,'All Products'!L:L,FALSE)</f>
        <v>049081662721</v>
      </c>
      <c r="S28" s="351" t="str">
        <f>_xlfn.XLOOKUP(E28,'All Products'!D:D,'All Products'!M:M,FALSE)</f>
        <v>40049081162724</v>
      </c>
      <c r="T28" s="348">
        <f>_xlfn.XLOOKUP(E28,'All Products'!D:D,'All Products'!N:N,FALSE)</f>
        <v>0.114</v>
      </c>
      <c r="U28" s="351">
        <f>_xlfn.XLOOKUP(E28,'All Products'!D:D,'All Products'!O:O,FALSE)</f>
        <v>10</v>
      </c>
      <c r="V28" s="348">
        <f>_xlfn.XLOOKUP(E28,'All Products'!D:D,'All Products'!P:P,FALSE)</f>
        <v>24.17</v>
      </c>
      <c r="W28" s="348">
        <f>_xlfn.XLOOKUP(E28,'All Products'!D:D,'All Products'!Q:Q,FALSE)</f>
        <v>1.25</v>
      </c>
    </row>
    <row r="29" spans="1:23">
      <c r="A29" s="104" t="str">
        <f>IF(K29&gt;0,COUNT($A$7:A28)+COUNT('DWV PVC'!$A$8:$A$284)
+COUNT('DWV ABS'!$A$8:$A$116)
+COUNT('PVC SCH40'!$A$8:$A$375)
+COUNT('PVC SCH40 LD'!$A$8:$A$21)
+COUNT('Pool &amp; SPA Sweep Elbows'!$A$8:$A$11)
+COUNT('Pool &amp; SPA Pipe Extender'!$A$8:$A$10)+1,"")</f>
        <v/>
      </c>
      <c r="B29" s="579"/>
      <c r="C29" s="580"/>
      <c r="D29" s="155" t="str">
        <f>_xlfn.XLOOKUP(E29,'All Products'!D:D,'All Products'!C:C,FALSE)</f>
        <v>806-010</v>
      </c>
      <c r="E29" s="106">
        <v>100023510</v>
      </c>
      <c r="F29" s="559" t="str">
        <f>_xlfn.XLOOKUP(E29,'All Products'!D:D,'All Products'!E:E,FALSE)</f>
        <v>1 ELBOW 90 SXS SCH80</v>
      </c>
      <c r="G29" s="283">
        <f>_xlfn.XLOOKUP(E29,'All Products'!D:D,'All Products'!F:F,FALSE)</f>
        <v>50</v>
      </c>
      <c r="H29" s="234">
        <f>_xlfn.XLOOKUP(E29,'All Products'!D:D,'All Products'!G:G,FALSE)</f>
        <v>6000</v>
      </c>
      <c r="I29" s="561">
        <f>_xlfn.XLOOKUP(E29,'All Products'!D:D,'All Products'!H:H,FALSE)</f>
        <v>17.05</v>
      </c>
      <c r="J29" s="135">
        <f>ROUND(I29*Order_Quote!$L$8,2)</f>
        <v>85.25</v>
      </c>
      <c r="K29" s="78"/>
      <c r="L29" s="116"/>
      <c r="M29" s="199">
        <f t="shared" si="0"/>
        <v>0</v>
      </c>
      <c r="O29" s="348" t="str">
        <f>_xlfn.XLOOKUP(E29,'All Products'!D:D,'All Products'!I:I,FALSE)</f>
        <v>In Stock</v>
      </c>
      <c r="P29" s="348" t="str">
        <f>_xlfn.XLOOKUP(E29,'All Products'!D:D,'All Products'!J:J,FALSE)</f>
        <v>Manufactured</v>
      </c>
      <c r="Q29" s="348" t="str">
        <f>_xlfn.XLOOKUP(E29,'All Products'!D:D,'All Products'!K:K,FALSE)</f>
        <v>049081162764</v>
      </c>
      <c r="R29" s="351" t="str">
        <f>_xlfn.XLOOKUP(E29,'All Products'!D:D,'All Products'!L:L,FALSE)</f>
        <v>049081662769</v>
      </c>
      <c r="S29" s="351" t="str">
        <f>_xlfn.XLOOKUP(E29,'All Products'!D:D,'All Products'!M:M,FALSE)</f>
        <v>40049081162762</v>
      </c>
      <c r="T29" s="348">
        <f>_xlfn.XLOOKUP(E29,'All Products'!D:D,'All Products'!N:N,FALSE)</f>
        <v>0.20799999999999999</v>
      </c>
      <c r="U29" s="351">
        <f>_xlfn.XLOOKUP(E29,'All Products'!D:D,'All Products'!O:O,FALSE)</f>
        <v>10</v>
      </c>
      <c r="V29" s="348">
        <f>_xlfn.XLOOKUP(E29,'All Products'!D:D,'All Products'!P:P,FALSE)</f>
        <v>11.9</v>
      </c>
      <c r="W29" s="348">
        <f>_xlfn.XLOOKUP(E29,'All Products'!D:D,'All Products'!Q:Q,FALSE)</f>
        <v>0.65</v>
      </c>
    </row>
    <row r="30" spans="1:23">
      <c r="A30" s="104" t="str">
        <f>IF(K30&gt;0,COUNT($A$7:A29)+COUNT('DWV PVC'!$A$8:$A$284)
+COUNT('DWV ABS'!$A$8:$A$116)
+COUNT('PVC SCH40'!$A$8:$A$375)
+COUNT('PVC SCH40 LD'!$A$8:$A$21)
+COUNT('Pool &amp; SPA Sweep Elbows'!$A$8:$A$11)
+COUNT('Pool &amp; SPA Pipe Extender'!$A$8:$A$10)+1,"")</f>
        <v/>
      </c>
      <c r="B30" s="579"/>
      <c r="C30" s="580"/>
      <c r="D30" s="155" t="str">
        <f>_xlfn.XLOOKUP(E30,'All Products'!D:D,'All Products'!C:C,FALSE)</f>
        <v>806-012</v>
      </c>
      <c r="E30" s="106">
        <v>100023511</v>
      </c>
      <c r="F30" s="559" t="str">
        <f>_xlfn.XLOOKUP(E30,'All Products'!D:D,'All Products'!E:E,FALSE)</f>
        <v>1-1/4 ELBOW 90 SXS SCH80</v>
      </c>
      <c r="G30" s="283">
        <f>_xlfn.XLOOKUP(E30,'All Products'!D:D,'All Products'!F:F,FALSE)</f>
        <v>50</v>
      </c>
      <c r="H30" s="234">
        <f>_xlfn.XLOOKUP(E30,'All Products'!D:D,'All Products'!G:G,FALSE)</f>
        <v>3750</v>
      </c>
      <c r="I30" s="561">
        <f>_xlfn.XLOOKUP(E30,'All Products'!D:D,'All Products'!H:H,FALSE)</f>
        <v>22.83</v>
      </c>
      <c r="J30" s="135">
        <f>ROUND(I30*Order_Quote!$L$8,2)</f>
        <v>114.15</v>
      </c>
      <c r="K30" s="78"/>
      <c r="L30" s="116"/>
      <c r="M30" s="199">
        <f t="shared" si="0"/>
        <v>0</v>
      </c>
      <c r="O30" s="348" t="str">
        <f>_xlfn.XLOOKUP(E30,'All Products'!D:D,'All Products'!I:I,FALSE)</f>
        <v>In Stock</v>
      </c>
      <c r="P30" s="348" t="str">
        <f>_xlfn.XLOOKUP(E30,'All Products'!D:D,'All Products'!J:J,FALSE)</f>
        <v>Manufactured</v>
      </c>
      <c r="Q30" s="348" t="str">
        <f>_xlfn.XLOOKUP(E30,'All Products'!D:D,'All Products'!K:K,FALSE)</f>
        <v>049081162825</v>
      </c>
      <c r="R30" s="351" t="str">
        <f>_xlfn.XLOOKUP(E30,'All Products'!D:D,'All Products'!L:L,FALSE)</f>
        <v>049081662820</v>
      </c>
      <c r="S30" s="351" t="str">
        <f>_xlfn.XLOOKUP(E30,'All Products'!D:D,'All Products'!M:M,FALSE)</f>
        <v>40049081162823</v>
      </c>
      <c r="T30" s="348">
        <f>_xlfn.XLOOKUP(E30,'All Products'!D:D,'All Products'!N:N,FALSE)</f>
        <v>0.26900000000000002</v>
      </c>
      <c r="U30" s="351">
        <f>_xlfn.XLOOKUP(E30,'All Products'!D:D,'All Products'!O:O,FALSE)</f>
        <v>5</v>
      </c>
      <c r="V30" s="348">
        <f>_xlfn.XLOOKUP(E30,'All Products'!D:D,'All Products'!P:P,FALSE)</f>
        <v>17.25</v>
      </c>
      <c r="W30" s="348">
        <f>_xlfn.XLOOKUP(E30,'All Products'!D:D,'All Products'!Q:Q,FALSE)</f>
        <v>0.95</v>
      </c>
    </row>
    <row r="31" spans="1:23">
      <c r="A31" s="104" t="str">
        <f>IF(K31&gt;0,COUNT($A$7:A30)+COUNT('DWV PVC'!$A$8:$A$284)
+COUNT('DWV ABS'!$A$8:$A$116)
+COUNT('PVC SCH40'!$A$8:$A$375)
+COUNT('PVC SCH40 LD'!$A$8:$A$21)
+COUNT('Pool &amp; SPA Sweep Elbows'!$A$8:$A$11)
+COUNT('Pool &amp; SPA Pipe Extender'!$A$8:$A$10)+1,"")</f>
        <v/>
      </c>
      <c r="B31" s="579"/>
      <c r="C31" s="580"/>
      <c r="D31" s="155" t="str">
        <f>_xlfn.XLOOKUP(E31,'All Products'!D:D,'All Products'!C:C,FALSE)</f>
        <v>806-015</v>
      </c>
      <c r="E31" s="106">
        <v>100023512</v>
      </c>
      <c r="F31" s="559" t="str">
        <f>_xlfn.XLOOKUP(E31,'All Products'!D:D,'All Products'!E:E,FALSE)</f>
        <v>1-1/2 ELBOW 90 SXS SCH80</v>
      </c>
      <c r="G31" s="283">
        <f>_xlfn.XLOOKUP(E31,'All Products'!D:D,'All Products'!F:F,FALSE)</f>
        <v>25</v>
      </c>
      <c r="H31" s="234">
        <f>_xlfn.XLOOKUP(E31,'All Products'!D:D,'All Products'!G:G,FALSE)</f>
        <v>2250</v>
      </c>
      <c r="I31" s="561">
        <f>_xlfn.XLOOKUP(E31,'All Products'!D:D,'All Products'!H:H,FALSE)</f>
        <v>24.45</v>
      </c>
      <c r="J31" s="135">
        <f>ROUND(I31*Order_Quote!$L$8,2)</f>
        <v>122.25</v>
      </c>
      <c r="K31" s="78"/>
      <c r="L31" s="116"/>
      <c r="M31" s="199">
        <f t="shared" si="0"/>
        <v>0</v>
      </c>
      <c r="O31" s="348" t="str">
        <f>_xlfn.XLOOKUP(E31,'All Products'!D:D,'All Products'!I:I,FALSE)</f>
        <v>In Stock</v>
      </c>
      <c r="P31" s="348" t="str">
        <f>_xlfn.XLOOKUP(E31,'All Products'!D:D,'All Products'!J:J,FALSE)</f>
        <v>Manufactured</v>
      </c>
      <c r="Q31" s="348" t="str">
        <f>_xlfn.XLOOKUP(E31,'All Products'!D:D,'All Products'!K:K,FALSE)</f>
        <v>049081162900</v>
      </c>
      <c r="R31" s="351" t="str">
        <f>_xlfn.XLOOKUP(E31,'All Products'!D:D,'All Products'!L:L,FALSE)</f>
        <v>049081662905</v>
      </c>
      <c r="S31" s="351" t="str">
        <f>_xlfn.XLOOKUP(E31,'All Products'!D:D,'All Products'!M:M,FALSE)</f>
        <v>40049081162908</v>
      </c>
      <c r="T31" s="348">
        <f>_xlfn.XLOOKUP(E31,'All Products'!D:D,'All Products'!N:N,FALSE)</f>
        <v>0.36199999999999999</v>
      </c>
      <c r="U31" s="351">
        <f>_xlfn.XLOOKUP(E31,'All Products'!D:D,'All Products'!O:O,FALSE)</f>
        <v>5</v>
      </c>
      <c r="V31" s="348">
        <f>_xlfn.XLOOKUP(E31,'All Products'!D:D,'All Products'!P:P,FALSE)</f>
        <v>9.93</v>
      </c>
      <c r="W31" s="348">
        <f>_xlfn.XLOOKUP(E31,'All Products'!D:D,'All Products'!Q:Q,FALSE)</f>
        <v>0.8</v>
      </c>
    </row>
    <row r="32" spans="1:23">
      <c r="A32" s="104" t="str">
        <f>IF(K32&gt;0,COUNT($A$7:A31)+COUNT('DWV PVC'!$A$8:$A$284)
+COUNT('DWV ABS'!$A$8:$A$116)
+COUNT('PVC SCH40'!$A$8:$A$375)
+COUNT('PVC SCH40 LD'!$A$8:$A$21)
+COUNT('Pool &amp; SPA Sweep Elbows'!$A$8:$A$11)
+COUNT('Pool &amp; SPA Pipe Extender'!$A$8:$A$10)+1,"")</f>
        <v/>
      </c>
      <c r="B32" s="579"/>
      <c r="C32" s="580"/>
      <c r="D32" s="155" t="str">
        <f>_xlfn.XLOOKUP(E32,'All Products'!D:D,'All Products'!C:C,FALSE)</f>
        <v>806-020</v>
      </c>
      <c r="E32" s="106">
        <v>100023513</v>
      </c>
      <c r="F32" s="559" t="str">
        <f>_xlfn.XLOOKUP(E32,'All Products'!D:D,'All Products'!E:E,FALSE)</f>
        <v>2 ELBOW 90 SXS SCH80</v>
      </c>
      <c r="G32" s="283">
        <f>_xlfn.XLOOKUP(E32,'All Products'!D:D,'All Products'!F:F,FALSE)</f>
        <v>25</v>
      </c>
      <c r="H32" s="234">
        <f>_xlfn.XLOOKUP(E32,'All Products'!D:D,'All Products'!G:G,FALSE)</f>
        <v>1875</v>
      </c>
      <c r="I32" s="561">
        <f>_xlfn.XLOOKUP(E32,'All Products'!D:D,'All Products'!H:H,FALSE)</f>
        <v>29.52</v>
      </c>
      <c r="J32" s="135">
        <f>ROUND(I32*Order_Quote!$L$8,2)</f>
        <v>147.6</v>
      </c>
      <c r="K32" s="78"/>
      <c r="L32" s="116"/>
      <c r="M32" s="199">
        <f t="shared" si="0"/>
        <v>0</v>
      </c>
      <c r="O32" s="348" t="str">
        <f>_xlfn.XLOOKUP(E32,'All Products'!D:D,'All Products'!I:I,FALSE)</f>
        <v>In Stock</v>
      </c>
      <c r="P32" s="348" t="str">
        <f>_xlfn.XLOOKUP(E32,'All Products'!D:D,'All Products'!J:J,FALSE)</f>
        <v>Manufactured</v>
      </c>
      <c r="Q32" s="348" t="str">
        <f>_xlfn.XLOOKUP(E32,'All Products'!D:D,'All Products'!K:K,FALSE)</f>
        <v>049081162986</v>
      </c>
      <c r="R32" s="351" t="str">
        <f>_xlfn.XLOOKUP(E32,'All Products'!D:D,'All Products'!L:L,FALSE)</f>
        <v>049081662981</v>
      </c>
      <c r="S32" s="351" t="str">
        <f>_xlfn.XLOOKUP(E32,'All Products'!D:D,'All Products'!M:M,FALSE)</f>
        <v>40049081162984</v>
      </c>
      <c r="T32" s="348">
        <f>_xlfn.XLOOKUP(E32,'All Products'!D:D,'All Products'!N:N,FALSE)</f>
        <v>0.56000000000000005</v>
      </c>
      <c r="U32" s="351">
        <f>_xlfn.XLOOKUP(E32,'All Products'!D:D,'All Products'!O:O,FALSE)</f>
        <v>5</v>
      </c>
      <c r="V32" s="348">
        <f>_xlfn.XLOOKUP(E32,'All Products'!D:D,'All Products'!P:P,FALSE)</f>
        <v>14.71</v>
      </c>
      <c r="W32" s="348">
        <f>_xlfn.XLOOKUP(E32,'All Products'!D:D,'All Products'!Q:Q,FALSE)</f>
        <v>1.1000000000000001</v>
      </c>
    </row>
    <row r="33" spans="1:23">
      <c r="A33" s="104" t="str">
        <f>IF(K33&gt;0,COUNT($A$7:A32)+COUNT('DWV PVC'!$A$8:$A$284)
+COUNT('DWV ABS'!$A$8:$A$116)
+COUNT('PVC SCH40'!$A$8:$A$375)
+COUNT('PVC SCH40 LD'!$A$8:$A$21)
+COUNT('Pool &amp; SPA Sweep Elbows'!$A$8:$A$11)
+COUNT('Pool &amp; SPA Pipe Extender'!$A$8:$A$10)+1,"")</f>
        <v/>
      </c>
      <c r="B33" s="579"/>
      <c r="C33" s="580"/>
      <c r="D33" s="155" t="str">
        <f>_xlfn.XLOOKUP(E33,'All Products'!D:D,'All Products'!C:C,FALSE)</f>
        <v>806-030</v>
      </c>
      <c r="E33" s="106">
        <v>100023515</v>
      </c>
      <c r="F33" s="559" t="str">
        <f>_xlfn.XLOOKUP(E33,'All Products'!D:D,'All Products'!E:E,FALSE)</f>
        <v>3 ELBOW 90 SXS SCH80</v>
      </c>
      <c r="G33" s="283">
        <f>_xlfn.XLOOKUP(E33,'All Products'!D:D,'All Products'!F:F,FALSE)</f>
        <v>10</v>
      </c>
      <c r="H33" s="234">
        <f>_xlfn.XLOOKUP(E33,'All Products'!D:D,'All Products'!G:G,FALSE)</f>
        <v>750</v>
      </c>
      <c r="I33" s="561">
        <f>_xlfn.XLOOKUP(E33,'All Products'!D:D,'All Products'!H:H,FALSE)</f>
        <v>77.7</v>
      </c>
      <c r="J33" s="135">
        <f>ROUND(I33*Order_Quote!$L$8,2)</f>
        <v>388.5</v>
      </c>
      <c r="K33" s="78"/>
      <c r="L33" s="116"/>
      <c r="M33" s="199">
        <f t="shared" ref="M33:M68" si="1">K33/G33</f>
        <v>0</v>
      </c>
      <c r="O33" s="348" t="str">
        <f>_xlfn.XLOOKUP(E33,'All Products'!D:D,'All Products'!I:I,FALSE)</f>
        <v>In Stock</v>
      </c>
      <c r="P33" s="348" t="str">
        <f>_xlfn.XLOOKUP(E33,'All Products'!D:D,'All Products'!J:J,FALSE)</f>
        <v>Manufactured</v>
      </c>
      <c r="Q33" s="348" t="str">
        <f>_xlfn.XLOOKUP(E33,'All Products'!D:D,'All Products'!K:K,FALSE)</f>
        <v>049081163068</v>
      </c>
      <c r="R33" s="351" t="str">
        <f>_xlfn.XLOOKUP(E33,'All Products'!D:D,'All Products'!L:L,FALSE)</f>
        <v>-</v>
      </c>
      <c r="S33" s="351" t="str">
        <f>_xlfn.XLOOKUP(E33,'All Products'!D:D,'All Products'!M:M,FALSE)</f>
        <v>40049081163066</v>
      </c>
      <c r="T33" s="348">
        <f>_xlfn.XLOOKUP(E33,'All Products'!D:D,'All Products'!N:N,FALSE)</f>
        <v>1.63</v>
      </c>
      <c r="U33" s="351" t="str">
        <f>_xlfn.XLOOKUP(E33,'All Products'!D:D,'All Products'!O:O,FALSE)</f>
        <v>-</v>
      </c>
      <c r="V33" s="348">
        <f>_xlfn.XLOOKUP(E33,'All Products'!D:D,'All Products'!P:P,FALSE)</f>
        <v>17.98</v>
      </c>
      <c r="W33" s="348">
        <f>_xlfn.XLOOKUP(E33,'All Products'!D:D,'All Products'!Q:Q,FALSE)</f>
        <v>1.1000000000000001</v>
      </c>
    </row>
    <row r="34" spans="1:23">
      <c r="A34" s="104" t="str">
        <f>IF(K34&gt;0,COUNT($A$7:A33)+COUNT('DWV PVC'!$A$8:$A$284)
+COUNT('DWV ABS'!$A$8:$A$116)
+COUNT('PVC SCH40'!$A$8:$A$375)
+COUNT('PVC SCH40 LD'!$A$8:$A$21)
+COUNT('Pool &amp; SPA Sweep Elbows'!$A$8:$A$11)
+COUNT('Pool &amp; SPA Pipe Extender'!$A$8:$A$10)+1,"")</f>
        <v/>
      </c>
      <c r="B34" s="579"/>
      <c r="C34" s="580"/>
      <c r="D34" s="155" t="str">
        <f>_xlfn.XLOOKUP(E34,'All Products'!D:D,'All Products'!C:C,FALSE)</f>
        <v>806-040</v>
      </c>
      <c r="E34" s="106">
        <v>100023516</v>
      </c>
      <c r="F34" s="559" t="str">
        <f>_xlfn.XLOOKUP(E34,'All Products'!D:D,'All Products'!E:E,FALSE)</f>
        <v>4 ELBOW 90 SXS SCH80</v>
      </c>
      <c r="G34" s="283">
        <f>_xlfn.XLOOKUP(E34,'All Products'!D:D,'All Products'!F:F,FALSE)</f>
        <v>5</v>
      </c>
      <c r="H34" s="234">
        <f>_xlfn.XLOOKUP(E34,'All Products'!D:D,'All Products'!G:G,FALSE)</f>
        <v>375</v>
      </c>
      <c r="I34" s="561">
        <f>_xlfn.XLOOKUP(E34,'All Products'!D:D,'All Products'!H:H,FALSE)</f>
        <v>118.19</v>
      </c>
      <c r="J34" s="135">
        <f>ROUND(I34*Order_Quote!$L$8,2)</f>
        <v>590.95000000000005</v>
      </c>
      <c r="K34" s="78"/>
      <c r="L34" s="116"/>
      <c r="M34" s="199">
        <f t="shared" si="1"/>
        <v>0</v>
      </c>
      <c r="O34" s="348" t="str">
        <f>_xlfn.XLOOKUP(E34,'All Products'!D:D,'All Products'!I:I,FALSE)</f>
        <v>In Stock</v>
      </c>
      <c r="P34" s="348" t="str">
        <f>_xlfn.XLOOKUP(E34,'All Products'!D:D,'All Products'!J:J,FALSE)</f>
        <v>Manufactured</v>
      </c>
      <c r="Q34" s="348" t="str">
        <f>_xlfn.XLOOKUP(E34,'All Products'!D:D,'All Products'!K:K,FALSE)</f>
        <v>049081163082</v>
      </c>
      <c r="R34" s="351" t="str">
        <f>_xlfn.XLOOKUP(E34,'All Products'!D:D,'All Products'!L:L,FALSE)</f>
        <v>-</v>
      </c>
      <c r="S34" s="351" t="str">
        <f>_xlfn.XLOOKUP(E34,'All Products'!D:D,'All Products'!M:M,FALSE)</f>
        <v>40049081163080</v>
      </c>
      <c r="T34" s="348">
        <f>_xlfn.XLOOKUP(E34,'All Products'!D:D,'All Products'!N:N,FALSE)</f>
        <v>2.7610000000000001</v>
      </c>
      <c r="U34" s="351" t="str">
        <f>_xlfn.XLOOKUP(E34,'All Products'!D:D,'All Products'!O:O,FALSE)</f>
        <v>-</v>
      </c>
      <c r="V34" s="348">
        <f>_xlfn.XLOOKUP(E34,'All Products'!D:D,'All Products'!P:P,FALSE)</f>
        <v>15.1</v>
      </c>
      <c r="W34" s="348">
        <f>_xlfn.XLOOKUP(E34,'All Products'!D:D,'All Products'!Q:Q,FALSE)</f>
        <v>1.1000000000000001</v>
      </c>
    </row>
    <row r="35" spans="1:23">
      <c r="A35" s="104" t="str">
        <f>IF(K35&gt;0,COUNT($A$7:A34)+COUNT('DWV PVC'!$A$8:$A$284)
+COUNT('DWV ABS'!$A$8:$A$116)
+COUNT('PVC SCH40'!$A$8:$A$375)
+COUNT('PVC SCH40 LD'!$A$8:$A$21)
+COUNT('Pool &amp; SPA Sweep Elbows'!$A$8:$A$11)
+COUNT('Pool &amp; SPA Pipe Extender'!$A$8:$A$10)+1,"")</f>
        <v/>
      </c>
      <c r="B35" s="581"/>
      <c r="C35" s="582"/>
      <c r="D35" s="155" t="str">
        <f>_xlfn.XLOOKUP(E35,'All Products'!D:D,'All Products'!C:C,FALSE)</f>
        <v>806-080</v>
      </c>
      <c r="E35" s="106">
        <v>100023518</v>
      </c>
      <c r="F35" s="559" t="str">
        <f>_xlfn.XLOOKUP(E35,'All Products'!D:D,'All Products'!E:E,FALSE)</f>
        <v>8 ELBOW 90 SXS SCH80</v>
      </c>
      <c r="G35" s="283">
        <f>_xlfn.XLOOKUP(E35,'All Products'!D:D,'All Products'!F:F,FALSE)</f>
        <v>2</v>
      </c>
      <c r="H35" s="234">
        <f>_xlfn.XLOOKUP(E35,'All Products'!D:D,'All Products'!G:G,FALSE)</f>
        <v>48</v>
      </c>
      <c r="I35" s="561">
        <f>_xlfn.XLOOKUP(E35,'All Products'!D:D,'All Products'!H:H,FALSE)</f>
        <v>926.88</v>
      </c>
      <c r="J35" s="135">
        <f>ROUND(I35*Order_Quote!$L$8,2)</f>
        <v>4634.3999999999996</v>
      </c>
      <c r="K35" s="78"/>
      <c r="L35" s="116"/>
      <c r="M35" s="199">
        <f t="shared" si="1"/>
        <v>0</v>
      </c>
      <c r="O35" s="348" t="str">
        <f>_xlfn.XLOOKUP(E35,'All Products'!D:D,'All Products'!I:I,FALSE)</f>
        <v>In Stock</v>
      </c>
      <c r="P35" s="348" t="str">
        <f>_xlfn.XLOOKUP(E35,'All Products'!D:D,'All Products'!J:J,FALSE)</f>
        <v>Manufactured</v>
      </c>
      <c r="Q35" s="348" t="str">
        <f>_xlfn.XLOOKUP(E35,'All Products'!D:D,'All Products'!K:K,FALSE)</f>
        <v>049081163143</v>
      </c>
      <c r="R35" s="351" t="str">
        <f>_xlfn.XLOOKUP(E35,'All Products'!D:D,'All Products'!L:L,FALSE)</f>
        <v>-</v>
      </c>
      <c r="S35" s="351" t="str">
        <f>_xlfn.XLOOKUP(E35,'All Products'!D:D,'All Products'!M:M,FALSE)</f>
        <v>40049081163141</v>
      </c>
      <c r="T35" s="348">
        <f>_xlfn.XLOOKUP(E35,'All Products'!D:D,'All Products'!N:N,FALSE)</f>
        <v>15.573</v>
      </c>
      <c r="U35" s="351" t="str">
        <f>_xlfn.XLOOKUP(E35,'All Products'!D:D,'All Products'!O:O,FALSE)</f>
        <v>-</v>
      </c>
      <c r="V35" s="348">
        <f>_xlfn.XLOOKUP(E35,'All Products'!D:D,'All Products'!P:P,FALSE)</f>
        <v>30.15</v>
      </c>
      <c r="W35" s="348">
        <f>_xlfn.XLOOKUP(E35,'All Products'!D:D,'All Products'!Q:Q,FALSE)</f>
        <v>2.77</v>
      </c>
    </row>
    <row r="36" spans="1:23" ht="29.25" customHeight="1">
      <c r="A36" s="104" t="str">
        <f>IF(K36&gt;0,COUNT($A$7:A35)+COUNT('DWV PVC'!$A$8:$A$284)
+COUNT('DWV ABS'!$A$8:$A$116)
+COUNT('PVC SCH40'!$A$8:$A$375)
+COUNT('PVC SCH40 LD'!$A$8:$A$21)
+COUNT('Pool &amp; SPA Sweep Elbows'!$A$8:$A$11)
+COUNT('Pool &amp; SPA Pipe Extender'!$A$8:$A$10)+1,"")</f>
        <v/>
      </c>
      <c r="B36" s="579"/>
      <c r="C36" s="580"/>
      <c r="D36" s="155" t="str">
        <f>_xlfn.XLOOKUP(E36,'All Products'!D:D,'All Products'!C:C,FALSE)</f>
        <v>807-007</v>
      </c>
      <c r="E36" s="106">
        <v>100023520</v>
      </c>
      <c r="F36" s="559" t="str">
        <f>_xlfn.XLOOKUP(E36,'All Products'!D:D,'All Products'!E:E,FALSE)</f>
        <v>3/4 ELBOW 90 SXFIPT SCH80</v>
      </c>
      <c r="G36" s="283">
        <f>_xlfn.XLOOKUP(E36,'All Products'!D:D,'All Products'!F:F,FALSE)</f>
        <v>200</v>
      </c>
      <c r="H36" s="234">
        <f>_xlfn.XLOOKUP(E36,'All Products'!D:D,'All Products'!G:G,FALSE)</f>
        <v>12000</v>
      </c>
      <c r="I36" s="561">
        <f>_xlfn.XLOOKUP(E36,'All Products'!D:D,'All Products'!H:H,FALSE)</f>
        <v>38.32</v>
      </c>
      <c r="J36" s="135">
        <f>ROUND(I36*Order_Quote!$L$8,2)</f>
        <v>191.6</v>
      </c>
      <c r="K36" s="78"/>
      <c r="L36" s="116"/>
      <c r="M36" s="199">
        <f t="shared" si="1"/>
        <v>0</v>
      </c>
      <c r="O36" s="348" t="str">
        <f>_xlfn.XLOOKUP(E36,'All Products'!D:D,'All Products'!I:I,FALSE)</f>
        <v>In Stock</v>
      </c>
      <c r="P36" s="348" t="str">
        <f>_xlfn.XLOOKUP(E36,'All Products'!D:D,'All Products'!J:J,FALSE)</f>
        <v>Manufactured</v>
      </c>
      <c r="Q36" s="348" t="str">
        <f>_xlfn.XLOOKUP(E36,'All Products'!D:D,'All Products'!K:K,FALSE)</f>
        <v>049081163303</v>
      </c>
      <c r="R36" s="351" t="str">
        <f>_xlfn.XLOOKUP(E36,'All Products'!D:D,'All Products'!L:L,FALSE)</f>
        <v>049081663308</v>
      </c>
      <c r="S36" s="351" t="str">
        <f>_xlfn.XLOOKUP(E36,'All Products'!D:D,'All Products'!M:M,FALSE)</f>
        <v>40049081163301</v>
      </c>
      <c r="T36" s="348">
        <f>_xlfn.XLOOKUP(E36,'All Products'!D:D,'All Products'!N:N,FALSE)</f>
        <v>0.17499999999999999</v>
      </c>
      <c r="U36" s="351">
        <f>_xlfn.XLOOKUP(E36,'All Products'!D:D,'All Products'!O:O,FALSE)</f>
        <v>10</v>
      </c>
      <c r="V36" s="348">
        <f>_xlfn.XLOOKUP(E36,'All Products'!D:D,'All Products'!P:P,FALSE)</f>
        <v>35.619999999999997</v>
      </c>
      <c r="W36" s="348">
        <f>_xlfn.XLOOKUP(E36,'All Products'!D:D,'All Products'!Q:Q,FALSE)</f>
        <v>1.41</v>
      </c>
    </row>
    <row r="37" spans="1:23" ht="29.25" customHeight="1">
      <c r="A37" s="104" t="str">
        <f>IF(K37&gt;0,COUNT($A$7:A36)+COUNT('DWV PVC'!$A$8:$A$284)
+COUNT('DWV ABS'!$A$8:$A$116)
+COUNT('PVC SCH40'!$A$8:$A$375)
+COUNT('PVC SCH40 LD'!$A$8:$A$21)
+COUNT('Pool &amp; SPA Sweep Elbows'!$A$8:$A$11)
+COUNT('Pool &amp; SPA Pipe Extender'!$A$8:$A$10)+1,"")</f>
        <v/>
      </c>
      <c r="B37" s="579"/>
      <c r="C37" s="580"/>
      <c r="D37" s="155" t="str">
        <f>_xlfn.XLOOKUP(E37,'All Products'!D:D,'All Products'!C:C,FALSE)</f>
        <v>807-010</v>
      </c>
      <c r="E37" s="106">
        <v>100023521</v>
      </c>
      <c r="F37" s="559" t="str">
        <f>_xlfn.XLOOKUP(E37,'All Products'!D:D,'All Products'!E:E,FALSE)</f>
        <v>1 ELBOW 90 SXFIPT SCH80</v>
      </c>
      <c r="G37" s="283">
        <f>_xlfn.XLOOKUP(E37,'All Products'!D:D,'All Products'!F:F,FALSE)</f>
        <v>50</v>
      </c>
      <c r="H37" s="234">
        <f>_xlfn.XLOOKUP(E37,'All Products'!D:D,'All Products'!G:G,FALSE)</f>
        <v>6000</v>
      </c>
      <c r="I37" s="561">
        <f>_xlfn.XLOOKUP(E37,'All Products'!D:D,'All Products'!H:H,FALSE)</f>
        <v>41.49</v>
      </c>
      <c r="J37" s="135">
        <f>ROUND(I37*Order_Quote!$L$8,2)</f>
        <v>207.45</v>
      </c>
      <c r="K37" s="78"/>
      <c r="L37" s="116"/>
      <c r="M37" s="199">
        <f t="shared" si="1"/>
        <v>0</v>
      </c>
      <c r="O37" s="348" t="str">
        <f>_xlfn.XLOOKUP(E37,'All Products'!D:D,'All Products'!I:I,FALSE)</f>
        <v>In Stock</v>
      </c>
      <c r="P37" s="348" t="str">
        <f>_xlfn.XLOOKUP(E37,'All Products'!D:D,'All Products'!J:J,FALSE)</f>
        <v>Manufactured</v>
      </c>
      <c r="Q37" s="348" t="str">
        <f>_xlfn.XLOOKUP(E37,'All Products'!D:D,'All Products'!K:K,FALSE)</f>
        <v>049081163327</v>
      </c>
      <c r="R37" s="351" t="str">
        <f>_xlfn.XLOOKUP(E37,'All Products'!D:D,'All Products'!L:L,FALSE)</f>
        <v>049081663322</v>
      </c>
      <c r="S37" s="351" t="str">
        <f>_xlfn.XLOOKUP(E37,'All Products'!D:D,'All Products'!M:M,FALSE)</f>
        <v>40049081163325</v>
      </c>
      <c r="T37" s="348">
        <f>_xlfn.XLOOKUP(E37,'All Products'!D:D,'All Products'!N:N,FALSE)</f>
        <v>0.29199999999999998</v>
      </c>
      <c r="U37" s="351">
        <f>_xlfn.XLOOKUP(E37,'All Products'!D:D,'All Products'!O:O,FALSE)</f>
        <v>5</v>
      </c>
      <c r="V37" s="348">
        <f>_xlfn.XLOOKUP(E37,'All Products'!D:D,'All Products'!P:P,FALSE)</f>
        <v>14.76</v>
      </c>
      <c r="W37" s="348">
        <f>_xlfn.XLOOKUP(E37,'All Products'!D:D,'All Products'!Q:Q,FALSE)</f>
        <v>0.65</v>
      </c>
    </row>
    <row r="38" spans="1:23" ht="29.25" customHeight="1">
      <c r="A38" s="104" t="str">
        <f>IF(K38&gt;0,COUNT($A$7:A37)+COUNT('DWV PVC'!$A$8:$A$284)
+COUNT('DWV ABS'!$A$8:$A$116)
+COUNT('PVC SCH40'!$A$8:$A$375)
+COUNT('PVC SCH40 LD'!$A$8:$A$21)
+COUNT('Pool &amp; SPA Sweep Elbows'!$A$8:$A$11)
+COUNT('Pool &amp; SPA Pipe Extender'!$A$8:$A$10)+1,"")</f>
        <v/>
      </c>
      <c r="B38" s="579"/>
      <c r="C38" s="580"/>
      <c r="D38" s="155" t="str">
        <f>_xlfn.XLOOKUP(E38,'All Products'!D:D,'All Products'!C:C,FALSE)</f>
        <v>807-020</v>
      </c>
      <c r="E38" s="106">
        <v>100023524</v>
      </c>
      <c r="F38" s="559" t="str">
        <f>_xlfn.XLOOKUP(E38,'All Products'!D:D,'All Products'!E:E,FALSE)</f>
        <v>2 ELBOW 90 SXFIPT SCH80</v>
      </c>
      <c r="G38" s="283">
        <f>_xlfn.XLOOKUP(E38,'All Products'!D:D,'All Products'!F:F,FALSE)</f>
        <v>25</v>
      </c>
      <c r="H38" s="234">
        <f>_xlfn.XLOOKUP(E38,'All Products'!D:D,'All Products'!G:G,FALSE)</f>
        <v>1875</v>
      </c>
      <c r="I38" s="561">
        <f>_xlfn.XLOOKUP(E38,'All Products'!D:D,'All Products'!H:H,FALSE)</f>
        <v>73.83</v>
      </c>
      <c r="J38" s="135">
        <f>ROUND(I38*Order_Quote!$L$8,2)</f>
        <v>369.15</v>
      </c>
      <c r="K38" s="78"/>
      <c r="L38" s="116"/>
      <c r="M38" s="199">
        <f t="shared" si="1"/>
        <v>0</v>
      </c>
      <c r="O38" s="348" t="str">
        <f>_xlfn.XLOOKUP(E38,'All Products'!D:D,'All Products'!I:I,FALSE)</f>
        <v>In Stock</v>
      </c>
      <c r="P38" s="348" t="str">
        <f>_xlfn.XLOOKUP(E38,'All Products'!D:D,'All Products'!J:J,FALSE)</f>
        <v>Manufactured</v>
      </c>
      <c r="Q38" s="348" t="str">
        <f>_xlfn.XLOOKUP(E38,'All Products'!D:D,'All Products'!K:K,FALSE)</f>
        <v>049081163389</v>
      </c>
      <c r="R38" s="351" t="str">
        <f>_xlfn.XLOOKUP(E38,'All Products'!D:D,'All Products'!L:L,FALSE)</f>
        <v>049081663384</v>
      </c>
      <c r="S38" s="351" t="str">
        <f>_xlfn.XLOOKUP(E38,'All Products'!D:D,'All Products'!M:M,FALSE)</f>
        <v>40049081163387</v>
      </c>
      <c r="T38" s="348">
        <f>_xlfn.XLOOKUP(E38,'All Products'!D:D,'All Products'!N:N,FALSE)</f>
        <v>0.79500000000000004</v>
      </c>
      <c r="U38" s="351">
        <f>_xlfn.XLOOKUP(E38,'All Products'!D:D,'All Products'!O:O,FALSE)</f>
        <v>5</v>
      </c>
      <c r="V38" s="348">
        <f>_xlfn.XLOOKUP(E38,'All Products'!D:D,'All Products'!P:P,FALSE)</f>
        <v>21.01</v>
      </c>
      <c r="W38" s="348">
        <f>_xlfn.XLOOKUP(E38,'All Products'!D:D,'All Products'!Q:Q,FALSE)</f>
        <v>1.1000000000000001</v>
      </c>
    </row>
    <row r="39" spans="1:23">
      <c r="A39" s="104" t="str">
        <f>IF(K39&gt;0,COUNT($A$7:A38)+COUNT('DWV PVC'!$A$8:$A$284)
+COUNT('DWV ABS'!$A$8:$A$116)
+COUNT('PVC SCH40'!$A$8:$A$375)
+COUNT('PVC SCH40 LD'!$A$8:$A$21)
+COUNT('Pool &amp; SPA Sweep Elbows'!$A$8:$A$11)
+COUNT('Pool &amp; SPA Pipe Extender'!$A$8:$A$10)+1,"")</f>
        <v/>
      </c>
      <c r="B39" s="577"/>
      <c r="C39" s="578"/>
      <c r="D39" s="155" t="str">
        <f>_xlfn.XLOOKUP(E39,'All Products'!D:D,'All Products'!C:C,FALSE)</f>
        <v>808-002</v>
      </c>
      <c r="E39" s="106">
        <v>100023525</v>
      </c>
      <c r="F39" s="559" t="str">
        <f>_xlfn.XLOOKUP(E39,'All Products'!D:D,'All Products'!E:E,FALSE)</f>
        <v>1/4 ELBOW 90 FIPTXFIPT SCH80</v>
      </c>
      <c r="G39" s="283">
        <f>_xlfn.XLOOKUP(E39,'All Products'!D:D,'All Products'!F:F,FALSE)</f>
        <v>250</v>
      </c>
      <c r="H39" s="234">
        <f>_xlfn.XLOOKUP(E39,'All Products'!D:D,'All Products'!G:G,FALSE)</f>
        <v>37500</v>
      </c>
      <c r="I39" s="561">
        <f>_xlfn.XLOOKUP(E39,'All Products'!D:D,'All Products'!H:H,FALSE)</f>
        <v>20.54</v>
      </c>
      <c r="J39" s="135">
        <f>ROUND(I39*Order_Quote!$L$8,2)</f>
        <v>102.7</v>
      </c>
      <c r="K39" s="78"/>
      <c r="L39" s="116"/>
      <c r="M39" s="199">
        <f t="shared" si="1"/>
        <v>0</v>
      </c>
      <c r="O39" s="348" t="str">
        <f>_xlfn.XLOOKUP(E39,'All Products'!D:D,'All Products'!I:I,FALSE)</f>
        <v>In Stock</v>
      </c>
      <c r="P39" s="348" t="str">
        <f>_xlfn.XLOOKUP(E39,'All Products'!D:D,'All Products'!J:J,FALSE)</f>
        <v>Manufactured</v>
      </c>
      <c r="Q39" s="348" t="str">
        <f>_xlfn.XLOOKUP(E39,'All Products'!D:D,'All Products'!K:K,FALSE)</f>
        <v>049081163501</v>
      </c>
      <c r="R39" s="351" t="str">
        <f>_xlfn.XLOOKUP(E39,'All Products'!D:D,'All Products'!L:L,FALSE)</f>
        <v>049081663506</v>
      </c>
      <c r="S39" s="351" t="str">
        <f>_xlfn.XLOOKUP(E39,'All Products'!D:D,'All Products'!M:M,FALSE)</f>
        <v>40049081163509</v>
      </c>
      <c r="T39" s="348">
        <f>_xlfn.XLOOKUP(E39,'All Products'!D:D,'All Products'!N:N,FALSE)</f>
        <v>0.05</v>
      </c>
      <c r="U39" s="351">
        <f>_xlfn.XLOOKUP(E39,'All Products'!D:D,'All Products'!O:O,FALSE)</f>
        <v>10</v>
      </c>
      <c r="V39" s="348">
        <f>_xlfn.XLOOKUP(E39,'All Products'!D:D,'All Products'!P:P,FALSE)</f>
        <v>12.5</v>
      </c>
      <c r="W39" s="348">
        <f>_xlfn.XLOOKUP(E39,'All Products'!D:D,'All Products'!Q:Q,FALSE)</f>
        <v>0.5</v>
      </c>
    </row>
    <row r="40" spans="1:23">
      <c r="A40" s="104" t="str">
        <f>IF(K40&gt;0,COUNT($A$7:A39)+COUNT('DWV PVC'!$A$8:$A$284)
+COUNT('DWV ABS'!$A$8:$A$116)
+COUNT('PVC SCH40'!$A$8:$A$375)
+COUNT('PVC SCH40 LD'!$A$8:$A$21)
+COUNT('Pool &amp; SPA Sweep Elbows'!$A$8:$A$11)
+COUNT('Pool &amp; SPA Pipe Extender'!$A$8:$A$10)+1,"")</f>
        <v/>
      </c>
      <c r="B40" s="579"/>
      <c r="C40" s="580"/>
      <c r="D40" s="155" t="str">
        <f>_xlfn.XLOOKUP(E40,'All Products'!D:D,'All Products'!C:C,FALSE)</f>
        <v>808-003</v>
      </c>
      <c r="E40" s="106">
        <v>100023526</v>
      </c>
      <c r="F40" s="559" t="str">
        <f>_xlfn.XLOOKUP(E40,'All Products'!D:D,'All Products'!E:E,FALSE)</f>
        <v>3/8 ELBOW 90 FIPTXFIPT SCH80</v>
      </c>
      <c r="G40" s="283">
        <f>_xlfn.XLOOKUP(E40,'All Products'!D:D,'All Products'!F:F,FALSE)</f>
        <v>250</v>
      </c>
      <c r="H40" s="234">
        <f>_xlfn.XLOOKUP(E40,'All Products'!D:D,'All Products'!G:G,FALSE)</f>
        <v>30000</v>
      </c>
      <c r="I40" s="561">
        <f>_xlfn.XLOOKUP(E40,'All Products'!D:D,'All Products'!H:H,FALSE)</f>
        <v>20.54</v>
      </c>
      <c r="J40" s="135">
        <f>ROUND(I40*Order_Quote!$L$8,2)</f>
        <v>102.7</v>
      </c>
      <c r="K40" s="78"/>
      <c r="L40" s="116"/>
      <c r="M40" s="199">
        <f t="shared" si="1"/>
        <v>0</v>
      </c>
      <c r="O40" s="348" t="str">
        <f>_xlfn.XLOOKUP(E40,'All Products'!D:D,'All Products'!I:I,FALSE)</f>
        <v>Within 3 Weeks</v>
      </c>
      <c r="P40" s="348" t="str">
        <f>_xlfn.XLOOKUP(E40,'All Products'!D:D,'All Products'!J:J,FALSE)</f>
        <v>Manufactured</v>
      </c>
      <c r="Q40" s="348" t="str">
        <f>_xlfn.XLOOKUP(E40,'All Products'!D:D,'All Products'!K:K,FALSE)</f>
        <v>049081163525</v>
      </c>
      <c r="R40" s="351" t="str">
        <f>_xlfn.XLOOKUP(E40,'All Products'!D:D,'All Products'!L:L,FALSE)</f>
        <v>049081663520</v>
      </c>
      <c r="S40" s="351" t="str">
        <f>_xlfn.XLOOKUP(E40,'All Products'!D:D,'All Products'!M:M,FALSE)</f>
        <v>40049081163523</v>
      </c>
      <c r="T40" s="348">
        <f>_xlfn.XLOOKUP(E40,'All Products'!D:D,'All Products'!N:N,FALSE)</f>
        <v>7.2999999999999995E-2</v>
      </c>
      <c r="U40" s="351">
        <f>_xlfn.XLOOKUP(E40,'All Products'!D:D,'All Products'!O:O,FALSE)</f>
        <v>10</v>
      </c>
      <c r="V40" s="348">
        <f>_xlfn.XLOOKUP(E40,'All Products'!D:D,'All Products'!P:P,FALSE)</f>
        <v>18.899999999999999</v>
      </c>
      <c r="W40" s="348">
        <f>_xlfn.XLOOKUP(E40,'All Products'!D:D,'All Products'!Q:Q,FALSE)</f>
        <v>0.65</v>
      </c>
    </row>
    <row r="41" spans="1:23">
      <c r="A41" s="104" t="str">
        <f>IF(K41&gt;0,COUNT($A$7:A40)+COUNT('DWV PVC'!$A$8:$A$284)
+COUNT('DWV ABS'!$A$8:$A$116)
+COUNT('PVC SCH40'!$A$8:$A$375)
+COUNT('PVC SCH40 LD'!$A$8:$A$21)
+COUNT('Pool &amp; SPA Sweep Elbows'!$A$8:$A$11)
+COUNT('Pool &amp; SPA Pipe Extender'!$A$8:$A$10)+1,"")</f>
        <v/>
      </c>
      <c r="B41" s="579"/>
      <c r="C41" s="580"/>
      <c r="D41" s="155" t="str">
        <f>_xlfn.XLOOKUP(E41,'All Products'!D:D,'All Products'!C:C,FALSE)</f>
        <v>808-005</v>
      </c>
      <c r="E41" s="106">
        <v>100023527</v>
      </c>
      <c r="F41" s="559" t="str">
        <f>_xlfn.XLOOKUP(E41,'All Products'!D:D,'All Products'!E:E,FALSE)</f>
        <v>1/2 ELBOW 90 FIPTXFIPT SCH80</v>
      </c>
      <c r="G41" s="283">
        <f>_xlfn.XLOOKUP(E41,'All Products'!D:D,'All Products'!F:F,FALSE)</f>
        <v>250</v>
      </c>
      <c r="H41" s="234">
        <f>_xlfn.XLOOKUP(E41,'All Products'!D:D,'All Products'!G:G,FALSE)</f>
        <v>18750</v>
      </c>
      <c r="I41" s="561">
        <f>_xlfn.XLOOKUP(E41,'All Products'!D:D,'All Products'!H:H,FALSE)</f>
        <v>19.16</v>
      </c>
      <c r="J41" s="135">
        <f>ROUND(I41*Order_Quote!$L$8,2)</f>
        <v>95.8</v>
      </c>
      <c r="K41" s="78"/>
      <c r="L41" s="116"/>
      <c r="M41" s="199">
        <f t="shared" si="1"/>
        <v>0</v>
      </c>
      <c r="O41" s="348" t="str">
        <f>_xlfn.XLOOKUP(E41,'All Products'!D:D,'All Products'!I:I,FALSE)</f>
        <v>In Stock</v>
      </c>
      <c r="P41" s="348" t="str">
        <f>_xlfn.XLOOKUP(E41,'All Products'!D:D,'All Products'!J:J,FALSE)</f>
        <v>Manufactured</v>
      </c>
      <c r="Q41" s="348" t="str">
        <f>_xlfn.XLOOKUP(E41,'All Products'!D:D,'All Products'!K:K,FALSE)</f>
        <v>049081163549</v>
      </c>
      <c r="R41" s="351" t="str">
        <f>_xlfn.XLOOKUP(E41,'All Products'!D:D,'All Products'!L:L,FALSE)</f>
        <v>049081663544</v>
      </c>
      <c r="S41" s="351" t="str">
        <f>_xlfn.XLOOKUP(E41,'All Products'!D:D,'All Products'!M:M,FALSE)</f>
        <v>40049081163547</v>
      </c>
      <c r="T41" s="348">
        <f>_xlfn.XLOOKUP(E41,'All Products'!D:D,'All Products'!N:N,FALSE)</f>
        <v>0.13400000000000001</v>
      </c>
      <c r="U41" s="351">
        <f>_xlfn.XLOOKUP(E41,'All Products'!D:D,'All Products'!O:O,FALSE)</f>
        <v>10</v>
      </c>
      <c r="V41" s="348">
        <f>_xlfn.XLOOKUP(E41,'All Products'!D:D,'All Products'!P:P,FALSE)</f>
        <v>34.82</v>
      </c>
      <c r="W41" s="348">
        <f>_xlfn.XLOOKUP(E41,'All Products'!D:D,'All Products'!Q:Q,FALSE)</f>
        <v>1.1000000000000001</v>
      </c>
    </row>
    <row r="42" spans="1:23">
      <c r="A42" s="104" t="str">
        <f>IF(K42&gt;0,COUNT($A$7:A41)+COUNT('DWV PVC'!$A$8:$A$284)
+COUNT('DWV ABS'!$A$8:$A$116)
+COUNT('PVC SCH40'!$A$8:$A$375)
+COUNT('PVC SCH40 LD'!$A$8:$A$21)
+COUNT('Pool &amp; SPA Sweep Elbows'!$A$8:$A$11)
+COUNT('Pool &amp; SPA Pipe Extender'!$A$8:$A$10)+1,"")</f>
        <v/>
      </c>
      <c r="B42" s="579"/>
      <c r="C42" s="580"/>
      <c r="D42" s="155" t="str">
        <f>_xlfn.XLOOKUP(E42,'All Products'!D:D,'All Products'!C:C,FALSE)</f>
        <v>808-007</v>
      </c>
      <c r="E42" s="106">
        <v>100023528</v>
      </c>
      <c r="F42" s="559" t="str">
        <f>_xlfn.XLOOKUP(E42,'All Products'!D:D,'All Products'!E:E,FALSE)</f>
        <v>3/4 ELBOW 90 FIPTXFIPT SCH80</v>
      </c>
      <c r="G42" s="283">
        <f>_xlfn.XLOOKUP(E42,'All Products'!D:D,'All Products'!F:F,FALSE)</f>
        <v>100</v>
      </c>
      <c r="H42" s="234">
        <f>_xlfn.XLOOKUP(E42,'All Products'!D:D,'All Products'!G:G,FALSE)</f>
        <v>12000</v>
      </c>
      <c r="I42" s="561">
        <f>_xlfn.XLOOKUP(E42,'All Products'!D:D,'All Products'!H:H,FALSE)</f>
        <v>23.91</v>
      </c>
      <c r="J42" s="135">
        <f>ROUND(I42*Order_Quote!$L$8,2)</f>
        <v>119.55</v>
      </c>
      <c r="K42" s="78"/>
      <c r="L42" s="116"/>
      <c r="M42" s="199">
        <f t="shared" si="1"/>
        <v>0</v>
      </c>
      <c r="O42" s="348" t="str">
        <f>_xlfn.XLOOKUP(E42,'All Products'!D:D,'All Products'!I:I,FALSE)</f>
        <v>In Stock</v>
      </c>
      <c r="P42" s="348" t="str">
        <f>_xlfn.XLOOKUP(E42,'All Products'!D:D,'All Products'!J:J,FALSE)</f>
        <v>Manufactured</v>
      </c>
      <c r="Q42" s="348" t="str">
        <f>_xlfn.XLOOKUP(E42,'All Products'!D:D,'All Products'!K:K,FALSE)</f>
        <v>049081163563</v>
      </c>
      <c r="R42" s="351" t="str">
        <f>_xlfn.XLOOKUP(E42,'All Products'!D:D,'All Products'!L:L,FALSE)</f>
        <v>049081663568</v>
      </c>
      <c r="S42" s="351" t="str">
        <f>_xlfn.XLOOKUP(E42,'All Products'!D:D,'All Products'!M:M,FALSE)</f>
        <v>40049081163561</v>
      </c>
      <c r="T42" s="348">
        <f>_xlfn.XLOOKUP(E42,'All Products'!D:D,'All Products'!N:N,FALSE)</f>
        <v>0.17699999999999999</v>
      </c>
      <c r="U42" s="351">
        <f>_xlfn.XLOOKUP(E42,'All Products'!D:D,'All Products'!O:O,FALSE)</f>
        <v>10</v>
      </c>
      <c r="V42" s="348">
        <f>_xlfn.XLOOKUP(E42,'All Products'!D:D,'All Products'!P:P,FALSE)</f>
        <v>18.36</v>
      </c>
      <c r="W42" s="348">
        <f>_xlfn.XLOOKUP(E42,'All Products'!D:D,'All Products'!Q:Q,FALSE)</f>
        <v>0.65</v>
      </c>
    </row>
    <row r="43" spans="1:23">
      <c r="A43" s="104" t="str">
        <f>IF(K43&gt;0,COUNT($A$7:A42)+COUNT('DWV PVC'!$A$8:$A$284)
+COUNT('DWV ABS'!$A$8:$A$116)
+COUNT('PVC SCH40'!$A$8:$A$375)
+COUNT('PVC SCH40 LD'!$A$8:$A$21)
+COUNT('Pool &amp; SPA Sweep Elbows'!$A$8:$A$11)
+COUNT('Pool &amp; SPA Pipe Extender'!$A$8:$A$10)+1,"")</f>
        <v/>
      </c>
      <c r="B43" s="579"/>
      <c r="C43" s="580"/>
      <c r="D43" s="155" t="str">
        <f>_xlfn.XLOOKUP(E43,'All Products'!D:D,'All Products'!C:C,FALSE)</f>
        <v>808-010</v>
      </c>
      <c r="E43" s="106">
        <v>100023529</v>
      </c>
      <c r="F43" s="559" t="str">
        <f>_xlfn.XLOOKUP(E43,'All Products'!D:D,'All Products'!E:E,FALSE)</f>
        <v>1 ELBOW 90 FIPTXFIPT SCH80</v>
      </c>
      <c r="G43" s="283">
        <f>_xlfn.XLOOKUP(E43,'All Products'!D:D,'All Products'!F:F,FALSE)</f>
        <v>50</v>
      </c>
      <c r="H43" s="234">
        <f>_xlfn.XLOOKUP(E43,'All Products'!D:D,'All Products'!G:G,FALSE)</f>
        <v>6000</v>
      </c>
      <c r="I43" s="561">
        <f>_xlfn.XLOOKUP(E43,'All Products'!D:D,'All Products'!H:H,FALSE)</f>
        <v>30.07</v>
      </c>
      <c r="J43" s="135">
        <f>ROUND(I43*Order_Quote!$L$8,2)</f>
        <v>150.35</v>
      </c>
      <c r="K43" s="78"/>
      <c r="L43" s="116"/>
      <c r="M43" s="199">
        <f t="shared" si="1"/>
        <v>0</v>
      </c>
      <c r="O43" s="348" t="str">
        <f>_xlfn.XLOOKUP(E43,'All Products'!D:D,'All Products'!I:I,FALSE)</f>
        <v>In Stock</v>
      </c>
      <c r="P43" s="348" t="str">
        <f>_xlfn.XLOOKUP(E43,'All Products'!D:D,'All Products'!J:J,FALSE)</f>
        <v>Manufactured</v>
      </c>
      <c r="Q43" s="348" t="str">
        <f>_xlfn.XLOOKUP(E43,'All Products'!D:D,'All Products'!K:K,FALSE)</f>
        <v>049081163587</v>
      </c>
      <c r="R43" s="351" t="str">
        <f>_xlfn.XLOOKUP(E43,'All Products'!D:D,'All Products'!L:L,FALSE)</f>
        <v>049081663582</v>
      </c>
      <c r="S43" s="351" t="str">
        <f>_xlfn.XLOOKUP(E43,'All Products'!D:D,'All Products'!M:M,FALSE)</f>
        <v>40049081163585</v>
      </c>
      <c r="T43" s="348">
        <f>_xlfn.XLOOKUP(E43,'All Products'!D:D,'All Products'!N:N,FALSE)</f>
        <v>0.27600000000000002</v>
      </c>
      <c r="U43" s="351">
        <f>_xlfn.XLOOKUP(E43,'All Products'!D:D,'All Products'!O:O,FALSE)</f>
        <v>5</v>
      </c>
      <c r="V43" s="348">
        <f>_xlfn.XLOOKUP(E43,'All Products'!D:D,'All Products'!P:P,FALSE)</f>
        <v>15.27</v>
      </c>
      <c r="W43" s="348">
        <f>_xlfn.XLOOKUP(E43,'All Products'!D:D,'All Products'!Q:Q,FALSE)</f>
        <v>0.65</v>
      </c>
    </row>
    <row r="44" spans="1:23">
      <c r="A44" s="104" t="str">
        <f>IF(K44&gt;0,COUNT($A$7:A43)+COUNT('DWV PVC'!$A$8:$A$284)
+COUNT('DWV ABS'!$A$8:$A$116)
+COUNT('PVC SCH40'!$A$8:$A$375)
+COUNT('PVC SCH40 LD'!$A$8:$A$21)
+COUNT('Pool &amp; SPA Sweep Elbows'!$A$8:$A$11)
+COUNT('Pool &amp; SPA Pipe Extender'!$A$8:$A$10)+1,"")</f>
        <v/>
      </c>
      <c r="B44" s="579"/>
      <c r="C44" s="580"/>
      <c r="D44" s="155" t="str">
        <f>_xlfn.XLOOKUP(E44,'All Products'!D:D,'All Products'!C:C,FALSE)</f>
        <v>808-012</v>
      </c>
      <c r="E44" s="106">
        <v>100023530</v>
      </c>
      <c r="F44" s="559" t="str">
        <f>_xlfn.XLOOKUP(E44,'All Products'!D:D,'All Products'!E:E,FALSE)</f>
        <v>1-1/4 ELBOW 90 FIPTXFIPT SCH80</v>
      </c>
      <c r="G44" s="283">
        <f>_xlfn.XLOOKUP(E44,'All Products'!D:D,'All Products'!F:F,FALSE)</f>
        <v>50</v>
      </c>
      <c r="H44" s="234">
        <f>_xlfn.XLOOKUP(E44,'All Products'!D:D,'All Products'!G:G,FALSE)</f>
        <v>3750</v>
      </c>
      <c r="I44" s="561">
        <f>_xlfn.XLOOKUP(E44,'All Products'!D:D,'All Products'!H:H,FALSE)</f>
        <v>32.4</v>
      </c>
      <c r="J44" s="135">
        <f>ROUND(I44*Order_Quote!$L$8,2)</f>
        <v>162</v>
      </c>
      <c r="K44" s="78"/>
      <c r="L44" s="116"/>
      <c r="M44" s="199">
        <f t="shared" si="1"/>
        <v>0</v>
      </c>
      <c r="O44" s="348" t="str">
        <f>_xlfn.XLOOKUP(E44,'All Products'!D:D,'All Products'!I:I,FALSE)</f>
        <v>Within 3 Weeks</v>
      </c>
      <c r="P44" s="348" t="str">
        <f>_xlfn.XLOOKUP(E44,'All Products'!D:D,'All Products'!J:J,FALSE)</f>
        <v>Manufactured</v>
      </c>
      <c r="Q44" s="348" t="str">
        <f>_xlfn.XLOOKUP(E44,'All Products'!D:D,'All Products'!K:K,FALSE)</f>
        <v>049081163600</v>
      </c>
      <c r="R44" s="351" t="str">
        <f>_xlfn.XLOOKUP(E44,'All Products'!D:D,'All Products'!L:L,FALSE)</f>
        <v>049081663605</v>
      </c>
      <c r="S44" s="351" t="str">
        <f>_xlfn.XLOOKUP(E44,'All Products'!D:D,'All Products'!M:M,FALSE)</f>
        <v>40049081163608</v>
      </c>
      <c r="T44" s="348">
        <f>_xlfn.XLOOKUP(E44,'All Products'!D:D,'All Products'!N:N,FALSE)</f>
        <v>0.46</v>
      </c>
      <c r="U44" s="351">
        <f>_xlfn.XLOOKUP(E44,'All Products'!D:D,'All Products'!O:O,FALSE)</f>
        <v>5</v>
      </c>
      <c r="V44" s="348">
        <f>_xlfn.XLOOKUP(E44,'All Products'!D:D,'All Products'!P:P,FALSE)</f>
        <v>22.97</v>
      </c>
      <c r="W44" s="348">
        <f>_xlfn.XLOOKUP(E44,'All Products'!D:D,'All Products'!Q:Q,FALSE)</f>
        <v>0.95</v>
      </c>
    </row>
    <row r="45" spans="1:23">
      <c r="A45" s="104" t="str">
        <f>IF(K45&gt;0,COUNT($A$7:A44)+COUNT('DWV PVC'!$A$8:$A$284)
+COUNT('DWV ABS'!$A$8:$A$116)
+COUNT('PVC SCH40'!$A$8:$A$375)
+COUNT('PVC SCH40 LD'!$A$8:$A$21)
+COUNT('Pool &amp; SPA Sweep Elbows'!$A$8:$A$11)
+COUNT('Pool &amp; SPA Pipe Extender'!$A$8:$A$10)+1,"")</f>
        <v/>
      </c>
      <c r="B45" s="579"/>
      <c r="C45" s="580"/>
      <c r="D45" s="155" t="str">
        <f>_xlfn.XLOOKUP(E45,'All Products'!D:D,'All Products'!C:C,FALSE)</f>
        <v>808-015</v>
      </c>
      <c r="E45" s="106">
        <v>100023531</v>
      </c>
      <c r="F45" s="559" t="str">
        <f>_xlfn.XLOOKUP(E45,'All Products'!D:D,'All Products'!E:E,FALSE)</f>
        <v>1-1/2 ELBOW 90 FIPTXFIPT SCH80</v>
      </c>
      <c r="G45" s="283">
        <f>_xlfn.XLOOKUP(E45,'All Products'!D:D,'All Products'!F:F,FALSE)</f>
        <v>25</v>
      </c>
      <c r="H45" s="234">
        <f>_xlfn.XLOOKUP(E45,'All Products'!D:D,'All Products'!G:G,FALSE)</f>
        <v>2250</v>
      </c>
      <c r="I45" s="561">
        <f>_xlfn.XLOOKUP(E45,'All Products'!D:D,'All Products'!H:H,FALSE)</f>
        <v>45.93</v>
      </c>
      <c r="J45" s="135">
        <f>ROUND(I45*Order_Quote!$L$8,2)</f>
        <v>229.65</v>
      </c>
      <c r="K45" s="78"/>
      <c r="L45" s="116"/>
      <c r="M45" s="199">
        <f t="shared" si="1"/>
        <v>0</v>
      </c>
      <c r="O45" s="348" t="str">
        <f>_xlfn.XLOOKUP(E45,'All Products'!D:D,'All Products'!I:I,FALSE)</f>
        <v>In Stock</v>
      </c>
      <c r="P45" s="348" t="str">
        <f>_xlfn.XLOOKUP(E45,'All Products'!D:D,'All Products'!J:J,FALSE)</f>
        <v>Manufactured</v>
      </c>
      <c r="Q45" s="348" t="str">
        <f>_xlfn.XLOOKUP(E45,'All Products'!D:D,'All Products'!K:K,FALSE)</f>
        <v>049081163624</v>
      </c>
      <c r="R45" s="351" t="str">
        <f>_xlfn.XLOOKUP(E45,'All Products'!D:D,'All Products'!L:L,FALSE)</f>
        <v>049081663629</v>
      </c>
      <c r="S45" s="351" t="str">
        <f>_xlfn.XLOOKUP(E45,'All Products'!D:D,'All Products'!M:M,FALSE)</f>
        <v>40049081163622</v>
      </c>
      <c r="T45" s="348">
        <f>_xlfn.XLOOKUP(E45,'All Products'!D:D,'All Products'!N:N,FALSE)</f>
        <v>0.61599999999999999</v>
      </c>
      <c r="U45" s="351">
        <f>_xlfn.XLOOKUP(E45,'All Products'!D:D,'All Products'!O:O,FALSE)</f>
        <v>5</v>
      </c>
      <c r="V45" s="348">
        <f>_xlfn.XLOOKUP(E45,'All Products'!D:D,'All Products'!P:P,FALSE)</f>
        <v>15.89</v>
      </c>
      <c r="W45" s="348">
        <f>_xlfn.XLOOKUP(E45,'All Products'!D:D,'All Products'!Q:Q,FALSE)</f>
        <v>0.8</v>
      </c>
    </row>
    <row r="46" spans="1:23">
      <c r="A46" s="104" t="str">
        <f>IF(K46&gt;0,COUNT($A$7:A45)+COUNT('DWV PVC'!$A$8:$A$284)
+COUNT('DWV ABS'!$A$8:$A$116)
+COUNT('PVC SCH40'!$A$8:$A$375)
+COUNT('PVC SCH40 LD'!$A$8:$A$21)
+COUNT('Pool &amp; SPA Sweep Elbows'!$A$8:$A$11)
+COUNT('Pool &amp; SPA Pipe Extender'!$A$8:$A$10)+1,"")</f>
        <v/>
      </c>
      <c r="B46" s="579"/>
      <c r="C46" s="580"/>
      <c r="D46" s="155" t="str">
        <f>_xlfn.XLOOKUP(E46,'All Products'!D:D,'All Products'!C:C,FALSE)</f>
        <v>808-020</v>
      </c>
      <c r="E46" s="106">
        <v>100023532</v>
      </c>
      <c r="F46" s="559" t="str">
        <f>_xlfn.XLOOKUP(E46,'All Products'!D:D,'All Products'!E:E,FALSE)</f>
        <v>2 ELBOW 90 FIPTXFIPT SCH80</v>
      </c>
      <c r="G46" s="283">
        <f>_xlfn.XLOOKUP(E46,'All Products'!D:D,'All Products'!F:F,FALSE)</f>
        <v>25</v>
      </c>
      <c r="H46" s="234">
        <f>_xlfn.XLOOKUP(E46,'All Products'!D:D,'All Products'!G:G,FALSE)</f>
        <v>1875</v>
      </c>
      <c r="I46" s="561">
        <f>_xlfn.XLOOKUP(E46,'All Products'!D:D,'All Products'!H:H,FALSE)</f>
        <v>51.71</v>
      </c>
      <c r="J46" s="135">
        <f>ROUND(I46*Order_Quote!$L$8,2)</f>
        <v>258.55</v>
      </c>
      <c r="K46" s="78"/>
      <c r="L46" s="116"/>
      <c r="M46" s="199">
        <f t="shared" si="1"/>
        <v>0</v>
      </c>
      <c r="O46" s="348" t="str">
        <f>_xlfn.XLOOKUP(E46,'All Products'!D:D,'All Products'!I:I,FALSE)</f>
        <v>In Stock</v>
      </c>
      <c r="P46" s="348" t="str">
        <f>_xlfn.XLOOKUP(E46,'All Products'!D:D,'All Products'!J:J,FALSE)</f>
        <v>Manufactured</v>
      </c>
      <c r="Q46" s="348" t="str">
        <f>_xlfn.XLOOKUP(E46,'All Products'!D:D,'All Products'!K:K,FALSE)</f>
        <v>049081163648</v>
      </c>
      <c r="R46" s="351" t="str">
        <f>_xlfn.XLOOKUP(E46,'All Products'!D:D,'All Products'!L:L,FALSE)</f>
        <v>049081663643</v>
      </c>
      <c r="S46" s="351" t="str">
        <f>_xlfn.XLOOKUP(E46,'All Products'!D:D,'All Products'!M:M,FALSE)</f>
        <v>40049081163646</v>
      </c>
      <c r="T46" s="348">
        <f>_xlfn.XLOOKUP(E46,'All Products'!D:D,'All Products'!N:N,FALSE)</f>
        <v>0.86599999999999999</v>
      </c>
      <c r="U46" s="351">
        <f>_xlfn.XLOOKUP(E46,'All Products'!D:D,'All Products'!O:O,FALSE)</f>
        <v>5</v>
      </c>
      <c r="V46" s="348">
        <f>_xlfn.XLOOKUP(E46,'All Products'!D:D,'All Products'!P:P,FALSE)</f>
        <v>21.75</v>
      </c>
      <c r="W46" s="348">
        <f>_xlfn.XLOOKUP(E46,'All Products'!D:D,'All Products'!Q:Q,FALSE)</f>
        <v>1.1000000000000001</v>
      </c>
    </row>
    <row r="47" spans="1:23" ht="36.75" customHeight="1">
      <c r="A47" s="104" t="str">
        <f>IF(K47&gt;0,COUNT($A$7:A46)+COUNT('DWV PVC'!$A$8:$A$284)
+COUNT('DWV ABS'!$A$8:$A$116)
+COUNT('PVC SCH40'!$A$8:$A$375)
+COUNT('PVC SCH40 LD'!$A$8:$A$21)
+COUNT('Pool &amp; SPA Sweep Elbows'!$A$8:$A$11)
+COUNT('Pool &amp; SPA Pipe Extender'!$A$8:$A$10)+1,"")</f>
        <v/>
      </c>
      <c r="B47" s="577"/>
      <c r="C47" s="578"/>
      <c r="D47" s="155" t="str">
        <f>_xlfn.XLOOKUP(E47,'All Products'!D:D,'All Products'!C:C,FALSE)</f>
        <v>810-010</v>
      </c>
      <c r="E47" s="106">
        <v>100023535</v>
      </c>
      <c r="F47" s="559" t="str">
        <f>_xlfn.XLOOKUP(E47,'All Products'!D:D,'All Products'!E:E,FALSE)</f>
        <v>1 ELBOW 90 STREET MIPTXS SCH80</v>
      </c>
      <c r="G47" s="283">
        <f>_xlfn.XLOOKUP(E47,'All Products'!D:D,'All Products'!F:F,FALSE)</f>
        <v>50</v>
      </c>
      <c r="H47" s="234">
        <f>_xlfn.XLOOKUP(E47,'All Products'!D:D,'All Products'!G:G,FALSE)</f>
        <v>6000</v>
      </c>
      <c r="I47" s="561">
        <f>_xlfn.XLOOKUP(E47,'All Products'!D:D,'All Products'!H:H,FALSE)</f>
        <v>64.58</v>
      </c>
      <c r="J47" s="135">
        <f>ROUND(I47*Order_Quote!$L$8,2)</f>
        <v>322.89999999999998</v>
      </c>
      <c r="K47" s="78"/>
      <c r="L47" s="116"/>
      <c r="M47" s="199">
        <f t="shared" si="1"/>
        <v>0</v>
      </c>
      <c r="O47" s="348" t="str">
        <f>_xlfn.XLOOKUP(E47,'All Products'!D:D,'All Products'!I:I,FALSE)</f>
        <v>In Stock</v>
      </c>
      <c r="P47" s="348" t="str">
        <f>_xlfn.XLOOKUP(E47,'All Products'!D:D,'All Products'!J:J,FALSE)</f>
        <v>Manufactured</v>
      </c>
      <c r="Q47" s="348" t="str">
        <f>_xlfn.XLOOKUP(E47,'All Products'!D:D,'All Products'!K:K,FALSE)</f>
        <v>049081161781</v>
      </c>
      <c r="R47" s="351" t="str">
        <f>_xlfn.XLOOKUP(E47,'All Products'!D:D,'All Products'!L:L,FALSE)</f>
        <v>049081661786</v>
      </c>
      <c r="S47" s="351" t="str">
        <f>_xlfn.XLOOKUP(E47,'All Products'!D:D,'All Products'!M:M,FALSE)</f>
        <v>40049081161789</v>
      </c>
      <c r="T47" s="348">
        <f>_xlfn.XLOOKUP(E47,'All Products'!D:D,'All Products'!N:N,FALSE)</f>
        <v>0.23599999999999999</v>
      </c>
      <c r="U47" s="351">
        <f>_xlfn.XLOOKUP(E47,'All Products'!D:D,'All Products'!O:O,FALSE)</f>
        <v>5</v>
      </c>
      <c r="V47" s="348">
        <f>_xlfn.XLOOKUP(E47,'All Products'!D:D,'All Products'!P:P,FALSE)</f>
        <v>11.4</v>
      </c>
      <c r="W47" s="348">
        <f>_xlfn.XLOOKUP(E47,'All Products'!D:D,'All Products'!Q:Q,FALSE)</f>
        <v>0.65</v>
      </c>
    </row>
    <row r="48" spans="1:23" ht="36.75" customHeight="1">
      <c r="A48" s="104" t="str">
        <f>IF(K48&gt;0,COUNT($A$7:A47)+COUNT('DWV PVC'!$A$8:$A$284)
+COUNT('DWV ABS'!$A$8:$A$116)
+COUNT('PVC SCH40'!$A$8:$A$375)
+COUNT('PVC SCH40 LD'!$A$8:$A$21)
+COUNT('Pool &amp; SPA Sweep Elbows'!$A$8:$A$11)
+COUNT('Pool &amp; SPA Pipe Extender'!$A$8:$A$10)+1,"")</f>
        <v/>
      </c>
      <c r="B48" s="579"/>
      <c r="C48" s="580"/>
      <c r="D48" s="155" t="str">
        <f>_xlfn.XLOOKUP(E48,'All Products'!D:D,'All Products'!C:C,FALSE)</f>
        <v>810-015</v>
      </c>
      <c r="E48" s="106">
        <v>100023536</v>
      </c>
      <c r="F48" s="559" t="str">
        <f>_xlfn.XLOOKUP(E48,'All Products'!D:D,'All Products'!E:E,FALSE)</f>
        <v>1-1/2 ELBOW 90 STREET MIPTXS SCH80</v>
      </c>
      <c r="G48" s="283">
        <f>_xlfn.XLOOKUP(E48,'All Products'!D:D,'All Products'!F:F,FALSE)</f>
        <v>50</v>
      </c>
      <c r="H48" s="234">
        <f>_xlfn.XLOOKUP(E48,'All Products'!D:D,'All Products'!G:G,FALSE)</f>
        <v>3750</v>
      </c>
      <c r="I48" s="561">
        <f>_xlfn.XLOOKUP(E48,'All Products'!D:D,'All Products'!H:H,FALSE)</f>
        <v>85.06</v>
      </c>
      <c r="J48" s="135">
        <f>ROUND(I48*Order_Quote!$L$8,2)</f>
        <v>425.3</v>
      </c>
      <c r="K48" s="78"/>
      <c r="L48" s="116"/>
      <c r="M48" s="199">
        <f t="shared" si="1"/>
        <v>0</v>
      </c>
      <c r="O48" s="348" t="str">
        <f>_xlfn.XLOOKUP(E48,'All Products'!D:D,'All Products'!I:I,FALSE)</f>
        <v>In Stock</v>
      </c>
      <c r="P48" s="348" t="str">
        <f>_xlfn.XLOOKUP(E48,'All Products'!D:D,'All Products'!J:J,FALSE)</f>
        <v>Manufactured</v>
      </c>
      <c r="Q48" s="348" t="str">
        <f>_xlfn.XLOOKUP(E48,'All Products'!D:D,'All Products'!K:K,FALSE)</f>
        <v>049081161804</v>
      </c>
      <c r="R48" s="351" t="str">
        <f>_xlfn.XLOOKUP(E48,'All Products'!D:D,'All Products'!L:L,FALSE)</f>
        <v>049081661809</v>
      </c>
      <c r="S48" s="351" t="str">
        <f>_xlfn.XLOOKUP(E48,'All Products'!D:D,'All Products'!M:M,FALSE)</f>
        <v>40049081161802</v>
      </c>
      <c r="T48" s="348">
        <f>_xlfn.XLOOKUP(E48,'All Products'!D:D,'All Products'!N:N,FALSE)</f>
        <v>0.41199999999999998</v>
      </c>
      <c r="U48" s="351">
        <f>_xlfn.XLOOKUP(E48,'All Products'!D:D,'All Products'!O:O,FALSE)</f>
        <v>5</v>
      </c>
      <c r="V48" s="348">
        <f>_xlfn.XLOOKUP(E48,'All Products'!D:D,'All Products'!P:P,FALSE)</f>
        <v>21.54</v>
      </c>
      <c r="W48" s="348">
        <f>_xlfn.XLOOKUP(E48,'All Products'!D:D,'All Products'!Q:Q,FALSE)</f>
        <v>1.1000000000000001</v>
      </c>
    </row>
    <row r="49" spans="1:23" ht="53.25" customHeight="1">
      <c r="A49" s="104" t="str">
        <f>IF(K49&gt;0,COUNT($A$7:A48)+COUNT('DWV PVC'!$A$8:$A$284)
+COUNT('DWV ABS'!$A$8:$A$116)
+COUNT('PVC SCH40'!$A$8:$A$375)
+COUNT('PVC SCH40 LD'!$A$8:$A$21)
+COUNT('Pool &amp; SPA Sweep Elbows'!$A$8:$A$11)
+COUNT('Pool &amp; SPA Pipe Extender'!$A$8:$A$10)+1,"")</f>
        <v/>
      </c>
      <c r="B49" s="577"/>
      <c r="C49" s="578"/>
      <c r="D49" s="155" t="str">
        <f>_xlfn.XLOOKUP(E49,'All Products'!D:D,'All Products'!C:C,FALSE)</f>
        <v>812-010</v>
      </c>
      <c r="E49" s="106">
        <v>100023538</v>
      </c>
      <c r="F49" s="559" t="str">
        <f>_xlfn.XLOOKUP(E49,'All Products'!D:D,'All Products'!E:E,FALSE)</f>
        <v>1 ELBOW 90 ST MIPTXFIPT SCH80</v>
      </c>
      <c r="G49" s="283">
        <f>_xlfn.XLOOKUP(E49,'All Products'!D:D,'All Products'!F:F,FALSE)</f>
        <v>50</v>
      </c>
      <c r="H49" s="234">
        <f>_xlfn.XLOOKUP(E49,'All Products'!D:D,'All Products'!G:G,FALSE)</f>
        <v>6000</v>
      </c>
      <c r="I49" s="561">
        <f>_xlfn.XLOOKUP(E49,'All Products'!D:D,'All Products'!H:H,FALSE)</f>
        <v>69.02</v>
      </c>
      <c r="J49" s="135">
        <f>ROUND(I49*Order_Quote!$L$8,2)</f>
        <v>345.1</v>
      </c>
      <c r="K49" s="78"/>
      <c r="L49" s="116"/>
      <c r="M49" s="199">
        <f t="shared" si="1"/>
        <v>0</v>
      </c>
      <c r="O49" s="348" t="str">
        <f>_xlfn.XLOOKUP(E49,'All Products'!D:D,'All Products'!I:I,FALSE)</f>
        <v>In Stock</v>
      </c>
      <c r="P49" s="348" t="str">
        <f>_xlfn.XLOOKUP(E49,'All Products'!D:D,'All Products'!J:J,FALSE)</f>
        <v>Manufactured</v>
      </c>
      <c r="Q49" s="348" t="str">
        <f>_xlfn.XLOOKUP(E49,'All Products'!D:D,'All Products'!K:K,FALSE)</f>
        <v>049081162566</v>
      </c>
      <c r="R49" s="351" t="str">
        <f>_xlfn.XLOOKUP(E49,'All Products'!D:D,'All Products'!L:L,FALSE)</f>
        <v>049081662561</v>
      </c>
      <c r="S49" s="351" t="str">
        <f>_xlfn.XLOOKUP(E49,'All Products'!D:D,'All Products'!M:M,FALSE)</f>
        <v>40049081162564</v>
      </c>
      <c r="T49" s="348">
        <f>_xlfn.XLOOKUP(E49,'All Products'!D:D,'All Products'!N:N,FALSE)</f>
        <v>0.22700000000000001</v>
      </c>
      <c r="U49" s="351">
        <f>_xlfn.XLOOKUP(E49,'All Products'!D:D,'All Products'!O:O,FALSE)</f>
        <v>5</v>
      </c>
      <c r="V49" s="348">
        <f>_xlfn.XLOOKUP(E49,'All Products'!D:D,'All Products'!P:P,FALSE)</f>
        <v>12.36</v>
      </c>
      <c r="W49" s="348">
        <f>_xlfn.XLOOKUP(E49,'All Products'!D:D,'All Products'!Q:Q,FALSE)</f>
        <v>0.65</v>
      </c>
    </row>
    <row r="50" spans="1:23">
      <c r="A50" s="104" t="str">
        <f>IF(K50&gt;0,COUNT($A$7:A49)+COUNT('DWV PVC'!$A$8:$A$284)
+COUNT('DWV ABS'!$A$8:$A$116)
+COUNT('PVC SCH40'!$A$8:$A$375)
+COUNT('PVC SCH40 LD'!$A$8:$A$21)
+COUNT('Pool &amp; SPA Sweep Elbows'!$A$8:$A$11)
+COUNT('Pool &amp; SPA Pipe Extender'!$A$8:$A$10)+1,"")</f>
        <v/>
      </c>
      <c r="B50" s="577"/>
      <c r="C50" s="578"/>
      <c r="D50" s="155" t="str">
        <f>_xlfn.XLOOKUP(E50,'All Products'!D:D,'All Products'!C:C,FALSE)</f>
        <v>817-002</v>
      </c>
      <c r="E50" s="106">
        <v>100028108</v>
      </c>
      <c r="F50" s="559" t="str">
        <f>_xlfn.XLOOKUP(E50,'All Products'!D:D,'All Products'!E:E,FALSE)</f>
        <v>1/4 ELBOW 45 SXS SCH80</v>
      </c>
      <c r="G50" s="283">
        <f>_xlfn.XLOOKUP(E50,'All Products'!D:D,'All Products'!F:F,FALSE)</f>
        <v>150</v>
      </c>
      <c r="H50" s="234">
        <f>_xlfn.XLOOKUP(E50,'All Products'!D:D,'All Products'!G:G,FALSE)</f>
        <v>0</v>
      </c>
      <c r="I50" s="561">
        <f>_xlfn.XLOOKUP(E50,'All Products'!D:D,'All Products'!H:H,FALSE)</f>
        <v>29.77</v>
      </c>
      <c r="J50" s="135">
        <f>ROUND(I50*Order_Quote!$L$8,2)</f>
        <v>148.85</v>
      </c>
      <c r="K50" s="78"/>
      <c r="L50" s="116"/>
      <c r="M50" s="199">
        <f t="shared" si="1"/>
        <v>0</v>
      </c>
      <c r="O50" s="348" t="str">
        <f>_xlfn.XLOOKUP(E50,'All Products'!D:D,'All Products'!I:I,FALSE)</f>
        <v>Within 3 Weeks</v>
      </c>
      <c r="P50" s="348" t="str">
        <f>_xlfn.XLOOKUP(E50,'All Products'!D:D,'All Products'!J:J,FALSE)</f>
        <v>Manufactured</v>
      </c>
      <c r="Q50" s="348" t="str">
        <f>_xlfn.XLOOKUP(E50,'All Products'!D:D,'All Products'!K:K,FALSE)</f>
        <v>049081161842</v>
      </c>
      <c r="R50" s="351" t="str">
        <f>_xlfn.XLOOKUP(E50,'All Products'!D:D,'All Products'!L:L,FALSE)</f>
        <v>-</v>
      </c>
      <c r="S50" s="351" t="str">
        <f>_xlfn.XLOOKUP(E50,'All Products'!D:D,'All Products'!M:M,FALSE)</f>
        <v>40049081161840</v>
      </c>
      <c r="T50" s="348">
        <f>_xlfn.XLOOKUP(E50,'All Products'!D:D,'All Products'!N:N,FALSE)</f>
        <v>3.3000000000000002E-2</v>
      </c>
      <c r="U50" s="351" t="str">
        <f>_xlfn.XLOOKUP(E50,'All Products'!D:D,'All Products'!O:O,FALSE)</f>
        <v>-</v>
      </c>
      <c r="V50" s="348">
        <f>_xlfn.XLOOKUP(E50,'All Products'!D:D,'All Products'!P:P,FALSE)</f>
        <v>4.95</v>
      </c>
      <c r="W50" s="348" t="str">
        <f>_xlfn.XLOOKUP(E50,'All Products'!D:D,'All Products'!Q:Q,FALSE)</f>
        <v>-</v>
      </c>
    </row>
    <row r="51" spans="1:23">
      <c r="A51" s="104" t="str">
        <f>IF(K51&gt;0,COUNT($A$7:A50)+COUNT('DWV PVC'!$A$8:$A$284)
+COUNT('DWV ABS'!$A$8:$A$116)
+COUNT('PVC SCH40'!$A$8:$A$375)
+COUNT('PVC SCH40 LD'!$A$8:$A$21)
+COUNT('Pool &amp; SPA Sweep Elbows'!$A$8:$A$11)
+COUNT('Pool &amp; SPA Pipe Extender'!$A$8:$A$10)+1,"")</f>
        <v/>
      </c>
      <c r="B51" s="579"/>
      <c r="C51" s="580"/>
      <c r="D51" s="155" t="str">
        <f>_xlfn.XLOOKUP(E51,'All Products'!D:D,'All Products'!C:C,FALSE)</f>
        <v>817-003</v>
      </c>
      <c r="E51" s="106">
        <v>100028109</v>
      </c>
      <c r="F51" s="559" t="str">
        <f>_xlfn.XLOOKUP(E51,'All Products'!D:D,'All Products'!E:E,FALSE)</f>
        <v>3/8 ELBOW 45 SXS SCH80</v>
      </c>
      <c r="G51" s="283">
        <f>_xlfn.XLOOKUP(E51,'All Products'!D:D,'All Products'!F:F,FALSE)</f>
        <v>200</v>
      </c>
      <c r="H51" s="234">
        <f>_xlfn.XLOOKUP(E51,'All Products'!D:D,'All Products'!G:G,FALSE)</f>
        <v>0</v>
      </c>
      <c r="I51" s="561">
        <f>_xlfn.XLOOKUP(E51,'All Products'!D:D,'All Products'!H:H,FALSE)</f>
        <v>29.77</v>
      </c>
      <c r="J51" s="135">
        <f>ROUND(I51*Order_Quote!$L$8,2)</f>
        <v>148.85</v>
      </c>
      <c r="K51" s="78"/>
      <c r="L51" s="116"/>
      <c r="M51" s="199">
        <f t="shared" si="1"/>
        <v>0</v>
      </c>
      <c r="O51" s="348" t="str">
        <f>_xlfn.XLOOKUP(E51,'All Products'!D:D,'All Products'!I:I,FALSE)</f>
        <v>Within 3 Weeks</v>
      </c>
      <c r="P51" s="348" t="str">
        <f>_xlfn.XLOOKUP(E51,'All Products'!D:D,'All Products'!J:J,FALSE)</f>
        <v>Manufactured</v>
      </c>
      <c r="Q51" s="348" t="str">
        <f>_xlfn.XLOOKUP(E51,'All Products'!D:D,'All Products'!K:K,FALSE)</f>
        <v>049081161866</v>
      </c>
      <c r="R51" s="351" t="str">
        <f>_xlfn.XLOOKUP(E51,'All Products'!D:D,'All Products'!L:L,FALSE)</f>
        <v>-</v>
      </c>
      <c r="S51" s="351" t="str">
        <f>_xlfn.XLOOKUP(E51,'All Products'!D:D,'All Products'!M:M,FALSE)</f>
        <v>40049081161864</v>
      </c>
      <c r="T51" s="348">
        <f>_xlfn.XLOOKUP(E51,'All Products'!D:D,'All Products'!N:N,FALSE)</f>
        <v>5.7000000000000002E-2</v>
      </c>
      <c r="U51" s="351" t="str">
        <f>_xlfn.XLOOKUP(E51,'All Products'!D:D,'All Products'!O:O,FALSE)</f>
        <v>-</v>
      </c>
      <c r="V51" s="348">
        <f>_xlfn.XLOOKUP(E51,'All Products'!D:D,'All Products'!P:P,FALSE)</f>
        <v>11.46</v>
      </c>
      <c r="W51" s="348" t="str">
        <f>_xlfn.XLOOKUP(E51,'All Products'!D:D,'All Products'!Q:Q,FALSE)</f>
        <v>-</v>
      </c>
    </row>
    <row r="52" spans="1:23">
      <c r="A52" s="104" t="str">
        <f>IF(K52&gt;0,COUNT($A$7:A51)+COUNT('DWV PVC'!$A$8:$A$284)
+COUNT('DWV ABS'!$A$8:$A$116)
+COUNT('PVC SCH40'!$A$8:$A$375)
+COUNT('PVC SCH40 LD'!$A$8:$A$21)
+COUNT('Pool &amp; SPA Sweep Elbows'!$A$8:$A$11)
+COUNT('Pool &amp; SPA Pipe Extender'!$A$8:$A$10)+1,"")</f>
        <v/>
      </c>
      <c r="B52" s="579"/>
      <c r="C52" s="580"/>
      <c r="D52" s="155" t="str">
        <f>_xlfn.XLOOKUP(E52,'All Products'!D:D,'All Products'!C:C,FALSE)</f>
        <v>817-005</v>
      </c>
      <c r="E52" s="106">
        <v>100023541</v>
      </c>
      <c r="F52" s="559" t="str">
        <f>_xlfn.XLOOKUP(E52,'All Products'!D:D,'All Products'!E:E,FALSE)</f>
        <v>1/2 ELBOW 45 SXS SCH80</v>
      </c>
      <c r="G52" s="283">
        <f>_xlfn.XLOOKUP(E52,'All Products'!D:D,'All Products'!F:F,FALSE)</f>
        <v>250</v>
      </c>
      <c r="H52" s="234">
        <f>_xlfn.XLOOKUP(E52,'All Products'!D:D,'All Products'!G:G,FALSE)</f>
        <v>18750</v>
      </c>
      <c r="I52" s="561">
        <f>_xlfn.XLOOKUP(E52,'All Products'!D:D,'All Products'!H:H,FALSE)</f>
        <v>15.61</v>
      </c>
      <c r="J52" s="135">
        <f>ROUND(I52*Order_Quote!$L$8,2)</f>
        <v>78.05</v>
      </c>
      <c r="K52" s="78"/>
      <c r="L52" s="116"/>
      <c r="M52" s="199">
        <f t="shared" si="1"/>
        <v>0</v>
      </c>
      <c r="O52" s="348" t="str">
        <f>_xlfn.XLOOKUP(E52,'All Products'!D:D,'All Products'!I:I,FALSE)</f>
        <v>In Stock</v>
      </c>
      <c r="P52" s="348" t="str">
        <f>_xlfn.XLOOKUP(E52,'All Products'!D:D,'All Products'!J:J,FALSE)</f>
        <v>Manufactured</v>
      </c>
      <c r="Q52" s="348" t="str">
        <f>_xlfn.XLOOKUP(E52,'All Products'!D:D,'All Products'!K:K,FALSE)</f>
        <v>049081161880</v>
      </c>
      <c r="R52" s="351" t="str">
        <f>_xlfn.XLOOKUP(E52,'All Products'!D:D,'All Products'!L:L,FALSE)</f>
        <v>049081661885</v>
      </c>
      <c r="S52" s="351" t="str">
        <f>_xlfn.XLOOKUP(E52,'All Products'!D:D,'All Products'!M:M,FALSE)</f>
        <v>40049081161888</v>
      </c>
      <c r="T52" s="348">
        <f>_xlfn.XLOOKUP(E52,'All Products'!D:D,'All Products'!N:N,FALSE)</f>
        <v>7.4999999999999997E-2</v>
      </c>
      <c r="U52" s="351">
        <f>_xlfn.XLOOKUP(E52,'All Products'!D:D,'All Products'!O:O,FALSE)</f>
        <v>10</v>
      </c>
      <c r="V52" s="348">
        <f>_xlfn.XLOOKUP(E52,'All Products'!D:D,'All Products'!P:P,FALSE)</f>
        <v>18.55</v>
      </c>
      <c r="W52" s="348">
        <f>_xlfn.XLOOKUP(E52,'All Products'!D:D,'All Products'!Q:Q,FALSE)</f>
        <v>0.95</v>
      </c>
    </row>
    <row r="53" spans="1:23">
      <c r="A53" s="104" t="str">
        <f>IF(K53&gt;0,COUNT($A$7:A52)+COUNT('DWV PVC'!$A$8:$A$284)
+COUNT('DWV ABS'!$A$8:$A$116)
+COUNT('PVC SCH40'!$A$8:$A$375)
+COUNT('PVC SCH40 LD'!$A$8:$A$21)
+COUNT('Pool &amp; SPA Sweep Elbows'!$A$8:$A$11)
+COUNT('Pool &amp; SPA Pipe Extender'!$A$8:$A$10)+1,"")</f>
        <v/>
      </c>
      <c r="B53" s="579"/>
      <c r="C53" s="580"/>
      <c r="D53" s="155" t="str">
        <f>_xlfn.XLOOKUP(E53,'All Products'!D:D,'All Products'!C:C,FALSE)</f>
        <v>817-007</v>
      </c>
      <c r="E53" s="106">
        <v>100023542</v>
      </c>
      <c r="F53" s="559" t="str">
        <f>_xlfn.XLOOKUP(E53,'All Products'!D:D,'All Products'!E:E,FALSE)</f>
        <v>3/4 ELBOW 45 SXS SCH80</v>
      </c>
      <c r="G53" s="283">
        <f>_xlfn.XLOOKUP(E53,'All Products'!D:D,'All Products'!F:F,FALSE)</f>
        <v>100</v>
      </c>
      <c r="H53" s="234">
        <f>_xlfn.XLOOKUP(E53,'All Products'!D:D,'All Products'!G:G,FALSE)</f>
        <v>12000</v>
      </c>
      <c r="I53" s="561">
        <f>_xlfn.XLOOKUP(E53,'All Products'!D:D,'All Products'!H:H,FALSE)</f>
        <v>23.85</v>
      </c>
      <c r="J53" s="135">
        <f>ROUND(I53*Order_Quote!$L$8,2)</f>
        <v>119.25</v>
      </c>
      <c r="K53" s="78"/>
      <c r="L53" s="116"/>
      <c r="M53" s="199">
        <f t="shared" si="1"/>
        <v>0</v>
      </c>
      <c r="O53" s="348" t="str">
        <f>_xlfn.XLOOKUP(E53,'All Products'!D:D,'All Products'!I:I,FALSE)</f>
        <v>In Stock</v>
      </c>
      <c r="P53" s="348" t="str">
        <f>_xlfn.XLOOKUP(E53,'All Products'!D:D,'All Products'!J:J,FALSE)</f>
        <v>Manufactured</v>
      </c>
      <c r="Q53" s="348" t="str">
        <f>_xlfn.XLOOKUP(E53,'All Products'!D:D,'All Products'!K:K,FALSE)</f>
        <v>049081161903</v>
      </c>
      <c r="R53" s="351" t="str">
        <f>_xlfn.XLOOKUP(E53,'All Products'!D:D,'All Products'!L:L,FALSE)</f>
        <v>049081661908</v>
      </c>
      <c r="S53" s="351" t="str">
        <f>_xlfn.XLOOKUP(E53,'All Products'!D:D,'All Products'!M:M,FALSE)</f>
        <v>40049081161901</v>
      </c>
      <c r="T53" s="348">
        <f>_xlfn.XLOOKUP(E53,'All Products'!D:D,'All Products'!N:N,FALSE)</f>
        <v>0.13200000000000001</v>
      </c>
      <c r="U53" s="351">
        <f>_xlfn.XLOOKUP(E53,'All Products'!D:D,'All Products'!O:O,FALSE)</f>
        <v>10</v>
      </c>
      <c r="V53" s="348">
        <f>_xlfn.XLOOKUP(E53,'All Products'!D:D,'All Products'!P:P,FALSE)</f>
        <v>12.96</v>
      </c>
      <c r="W53" s="348">
        <f>_xlfn.XLOOKUP(E53,'All Products'!D:D,'All Products'!Q:Q,FALSE)</f>
        <v>0.65</v>
      </c>
    </row>
    <row r="54" spans="1:23">
      <c r="A54" s="104" t="str">
        <f>IF(K54&gt;0,COUNT($A$7:A53)+COUNT('DWV PVC'!$A$8:$A$284)
+COUNT('DWV ABS'!$A$8:$A$116)
+COUNT('PVC SCH40'!$A$8:$A$375)
+COUNT('PVC SCH40 LD'!$A$8:$A$21)
+COUNT('Pool &amp; SPA Sweep Elbows'!$A$8:$A$11)
+COUNT('Pool &amp; SPA Pipe Extender'!$A$8:$A$10)+1,"")</f>
        <v/>
      </c>
      <c r="B54" s="579"/>
      <c r="C54" s="580"/>
      <c r="D54" s="155" t="str">
        <f>_xlfn.XLOOKUP(E54,'All Products'!D:D,'All Products'!C:C,FALSE)</f>
        <v>817-010</v>
      </c>
      <c r="E54" s="106">
        <v>100023543</v>
      </c>
      <c r="F54" s="559" t="str">
        <f>_xlfn.XLOOKUP(E54,'All Products'!D:D,'All Products'!E:E,FALSE)</f>
        <v>1 ELBOW 45 SXS SCH80</v>
      </c>
      <c r="G54" s="283">
        <f>_xlfn.XLOOKUP(E54,'All Products'!D:D,'All Products'!F:F,FALSE)</f>
        <v>50</v>
      </c>
      <c r="H54" s="234">
        <f>_xlfn.XLOOKUP(E54,'All Products'!D:D,'All Products'!G:G,FALSE)</f>
        <v>7500</v>
      </c>
      <c r="I54" s="561">
        <f>_xlfn.XLOOKUP(E54,'All Products'!D:D,'All Products'!H:H,FALSE)</f>
        <v>35.729999999999997</v>
      </c>
      <c r="J54" s="135">
        <f>ROUND(I54*Order_Quote!$L$8,2)</f>
        <v>178.65</v>
      </c>
      <c r="K54" s="78"/>
      <c r="L54" s="116"/>
      <c r="M54" s="199">
        <f t="shared" si="1"/>
        <v>0</v>
      </c>
      <c r="O54" s="348" t="str">
        <f>_xlfn.XLOOKUP(E54,'All Products'!D:D,'All Products'!I:I,FALSE)</f>
        <v>In Stock</v>
      </c>
      <c r="P54" s="348" t="str">
        <f>_xlfn.XLOOKUP(E54,'All Products'!D:D,'All Products'!J:J,FALSE)</f>
        <v>Manufactured</v>
      </c>
      <c r="Q54" s="348" t="str">
        <f>_xlfn.XLOOKUP(E54,'All Products'!D:D,'All Products'!K:K,FALSE)</f>
        <v>049081161927</v>
      </c>
      <c r="R54" s="351" t="str">
        <f>_xlfn.XLOOKUP(E54,'All Products'!D:D,'All Products'!L:L,FALSE)</f>
        <v>049081661922</v>
      </c>
      <c r="S54" s="351" t="str">
        <f>_xlfn.XLOOKUP(E54,'All Products'!D:D,'All Products'!M:M,FALSE)</f>
        <v>40049081161925</v>
      </c>
      <c r="T54" s="348">
        <f>_xlfn.XLOOKUP(E54,'All Products'!D:D,'All Products'!N:N,FALSE)</f>
        <v>0.18</v>
      </c>
      <c r="U54" s="351">
        <f>_xlfn.XLOOKUP(E54,'All Products'!D:D,'All Products'!O:O,FALSE)</f>
        <v>10</v>
      </c>
      <c r="V54" s="348">
        <f>_xlfn.XLOOKUP(E54,'All Products'!D:D,'All Products'!P:P,FALSE)</f>
        <v>9.85</v>
      </c>
      <c r="W54" s="348">
        <f>_xlfn.XLOOKUP(E54,'All Products'!D:D,'All Products'!Q:Q,FALSE)</f>
        <v>0.5</v>
      </c>
    </row>
    <row r="55" spans="1:23">
      <c r="A55" s="104" t="str">
        <f>IF(K55&gt;0,COUNT($A$7:A54)+COUNT('DWV PVC'!$A$8:$A$284)
+COUNT('DWV ABS'!$A$8:$A$116)
+COUNT('PVC SCH40'!$A$8:$A$375)
+COUNT('PVC SCH40 LD'!$A$8:$A$21)
+COUNT('Pool &amp; SPA Sweep Elbows'!$A$8:$A$11)
+COUNT('Pool &amp; SPA Pipe Extender'!$A$8:$A$10)+1,"")</f>
        <v/>
      </c>
      <c r="B55" s="579"/>
      <c r="C55" s="580"/>
      <c r="D55" s="155" t="str">
        <f>_xlfn.XLOOKUP(E55,'All Products'!D:D,'All Products'!C:C,FALSE)</f>
        <v>817-012</v>
      </c>
      <c r="E55" s="106">
        <v>100023544</v>
      </c>
      <c r="F55" s="559" t="str">
        <f>_xlfn.XLOOKUP(E55,'All Products'!D:D,'All Products'!E:E,FALSE)</f>
        <v>1-1/4 ELBOW 45 SXS SCH80</v>
      </c>
      <c r="G55" s="283">
        <f>_xlfn.XLOOKUP(E55,'All Products'!D:D,'All Products'!F:F,FALSE)</f>
        <v>50</v>
      </c>
      <c r="H55" s="234">
        <f>_xlfn.XLOOKUP(E55,'All Products'!D:D,'All Products'!G:G,FALSE)</f>
        <v>4500</v>
      </c>
      <c r="I55" s="561">
        <f>_xlfn.XLOOKUP(E55,'All Products'!D:D,'All Products'!H:H,FALSE)</f>
        <v>45.53</v>
      </c>
      <c r="J55" s="135">
        <f>ROUND(I55*Order_Quote!$L$8,2)</f>
        <v>227.65</v>
      </c>
      <c r="K55" s="78"/>
      <c r="L55" s="116"/>
      <c r="M55" s="199">
        <f t="shared" si="1"/>
        <v>0</v>
      </c>
      <c r="O55" s="348" t="str">
        <f>_xlfn.XLOOKUP(E55,'All Products'!D:D,'All Products'!I:I,FALSE)</f>
        <v>In Stock</v>
      </c>
      <c r="P55" s="348" t="str">
        <f>_xlfn.XLOOKUP(E55,'All Products'!D:D,'All Products'!J:J,FALSE)</f>
        <v>Manufactured</v>
      </c>
      <c r="Q55" s="348" t="str">
        <f>_xlfn.XLOOKUP(E55,'All Products'!D:D,'All Products'!K:K,FALSE)</f>
        <v>049081161941</v>
      </c>
      <c r="R55" s="351" t="str">
        <f>_xlfn.XLOOKUP(E55,'All Products'!D:D,'All Products'!L:L,FALSE)</f>
        <v>049081661946</v>
      </c>
      <c r="S55" s="351" t="str">
        <f>_xlfn.XLOOKUP(E55,'All Products'!D:D,'All Products'!M:M,FALSE)</f>
        <v>40049081161949</v>
      </c>
      <c r="T55" s="348">
        <f>_xlfn.XLOOKUP(E55,'All Products'!D:D,'All Products'!N:N,FALSE)</f>
        <v>0.28100000000000003</v>
      </c>
      <c r="U55" s="351">
        <f>_xlfn.XLOOKUP(E55,'All Products'!D:D,'All Products'!O:O,FALSE)</f>
        <v>10</v>
      </c>
      <c r="V55" s="348">
        <f>_xlfn.XLOOKUP(E55,'All Products'!D:D,'All Products'!P:P,FALSE)</f>
        <v>14.35</v>
      </c>
      <c r="W55" s="348">
        <f>_xlfn.XLOOKUP(E55,'All Products'!D:D,'All Products'!Q:Q,FALSE)</f>
        <v>0.8</v>
      </c>
    </row>
    <row r="56" spans="1:23">
      <c r="A56" s="104" t="str">
        <f>IF(K56&gt;0,COUNT($A$7:A55)+COUNT('DWV PVC'!$A$8:$A$284)
+COUNT('DWV ABS'!$A$8:$A$116)
+COUNT('PVC SCH40'!$A$8:$A$375)
+COUNT('PVC SCH40 LD'!$A$8:$A$21)
+COUNT('Pool &amp; SPA Sweep Elbows'!$A$8:$A$11)
+COUNT('Pool &amp; SPA Pipe Extender'!$A$8:$A$10)+1,"")</f>
        <v/>
      </c>
      <c r="B56" s="579"/>
      <c r="C56" s="580"/>
      <c r="D56" s="155" t="str">
        <f>_xlfn.XLOOKUP(E56,'All Products'!D:D,'All Products'!C:C,FALSE)</f>
        <v>817-015</v>
      </c>
      <c r="E56" s="106">
        <v>100023545</v>
      </c>
      <c r="F56" s="559" t="str">
        <f>_xlfn.XLOOKUP(E56,'All Products'!D:D,'All Products'!E:E,FALSE)</f>
        <v>1-1/2 ELBOW 45 SXS SCH80</v>
      </c>
      <c r="G56" s="283">
        <f>_xlfn.XLOOKUP(E56,'All Products'!D:D,'All Products'!F:F,FALSE)</f>
        <v>50</v>
      </c>
      <c r="H56" s="234">
        <f>_xlfn.XLOOKUP(E56,'All Products'!D:D,'All Products'!G:G,FALSE)</f>
        <v>3750</v>
      </c>
      <c r="I56" s="561">
        <f>_xlfn.XLOOKUP(E56,'All Products'!D:D,'All Products'!H:H,FALSE)</f>
        <v>53.82</v>
      </c>
      <c r="J56" s="135">
        <f>ROUND(I56*Order_Quote!$L$8,2)</f>
        <v>269.10000000000002</v>
      </c>
      <c r="K56" s="78"/>
      <c r="L56" s="116"/>
      <c r="M56" s="199">
        <f t="shared" si="1"/>
        <v>0</v>
      </c>
      <c r="O56" s="348" t="str">
        <f>_xlfn.XLOOKUP(E56,'All Products'!D:D,'All Products'!I:I,FALSE)</f>
        <v>In Stock</v>
      </c>
      <c r="P56" s="348" t="str">
        <f>_xlfn.XLOOKUP(E56,'All Products'!D:D,'All Products'!J:J,FALSE)</f>
        <v>Manufactured</v>
      </c>
      <c r="Q56" s="348" t="str">
        <f>_xlfn.XLOOKUP(E56,'All Products'!D:D,'All Products'!K:K,FALSE)</f>
        <v>049081161965</v>
      </c>
      <c r="R56" s="351" t="str">
        <f>_xlfn.XLOOKUP(E56,'All Products'!D:D,'All Products'!L:L,FALSE)</f>
        <v>049081661960</v>
      </c>
      <c r="S56" s="351" t="str">
        <f>_xlfn.XLOOKUP(E56,'All Products'!D:D,'All Products'!M:M,FALSE)</f>
        <v>40049081161963</v>
      </c>
      <c r="T56" s="348">
        <f>_xlfn.XLOOKUP(E56,'All Products'!D:D,'All Products'!N:N,FALSE)</f>
        <v>0.371</v>
      </c>
      <c r="U56" s="351">
        <f>_xlfn.XLOOKUP(E56,'All Products'!D:D,'All Products'!O:O,FALSE)</f>
        <v>5</v>
      </c>
      <c r="V56" s="348">
        <f>_xlfn.XLOOKUP(E56,'All Products'!D:D,'All Products'!P:P,FALSE)</f>
        <v>18.420000000000002</v>
      </c>
      <c r="W56" s="348">
        <f>_xlfn.XLOOKUP(E56,'All Products'!D:D,'All Products'!Q:Q,FALSE)</f>
        <v>1.1000000000000001</v>
      </c>
    </row>
    <row r="57" spans="1:23">
      <c r="A57" s="104" t="str">
        <f>IF(K57&gt;0,COUNT($A$7:A56)+COUNT('DWV PVC'!$A$8:$A$284)
+COUNT('DWV ABS'!$A$8:$A$116)
+COUNT('PVC SCH40'!$A$8:$A$375)
+COUNT('PVC SCH40 LD'!$A$8:$A$21)
+COUNT('Pool &amp; SPA Sweep Elbows'!$A$8:$A$11)
+COUNT('Pool &amp; SPA Pipe Extender'!$A$8:$A$10)+1,"")</f>
        <v/>
      </c>
      <c r="B57" s="579"/>
      <c r="C57" s="580"/>
      <c r="D57" s="155" t="str">
        <f>_xlfn.XLOOKUP(E57,'All Products'!D:D,'All Products'!C:C,FALSE)</f>
        <v>817-020</v>
      </c>
      <c r="E57" s="106">
        <v>100023546</v>
      </c>
      <c r="F57" s="559" t="str">
        <f>_xlfn.XLOOKUP(E57,'All Products'!D:D,'All Products'!E:E,FALSE)</f>
        <v>2 ELBOW 45 SXS SCH80</v>
      </c>
      <c r="G57" s="283">
        <f>_xlfn.XLOOKUP(E57,'All Products'!D:D,'All Products'!F:F,FALSE)</f>
        <v>25</v>
      </c>
      <c r="H57" s="234">
        <f>_xlfn.XLOOKUP(E57,'All Products'!D:D,'All Products'!G:G,FALSE)</f>
        <v>1875</v>
      </c>
      <c r="I57" s="561">
        <f>_xlfn.XLOOKUP(E57,'All Products'!D:D,'All Products'!H:H,FALSE)</f>
        <v>69.73</v>
      </c>
      <c r="J57" s="135">
        <f>ROUND(I57*Order_Quote!$L$8,2)</f>
        <v>348.65</v>
      </c>
      <c r="K57" s="78"/>
      <c r="L57" s="116"/>
      <c r="M57" s="199">
        <f t="shared" si="1"/>
        <v>0</v>
      </c>
      <c r="O57" s="348" t="str">
        <f>_xlfn.XLOOKUP(E57,'All Products'!D:D,'All Products'!I:I,FALSE)</f>
        <v>In Stock</v>
      </c>
      <c r="P57" s="348" t="str">
        <f>_xlfn.XLOOKUP(E57,'All Products'!D:D,'All Products'!J:J,FALSE)</f>
        <v>Manufactured</v>
      </c>
      <c r="Q57" s="348" t="str">
        <f>_xlfn.XLOOKUP(E57,'All Products'!D:D,'All Products'!K:K,FALSE)</f>
        <v>049081161989</v>
      </c>
      <c r="R57" s="351" t="str">
        <f>_xlfn.XLOOKUP(E57,'All Products'!D:D,'All Products'!L:L,FALSE)</f>
        <v>049081661984</v>
      </c>
      <c r="S57" s="351" t="str">
        <f>_xlfn.XLOOKUP(E57,'All Products'!D:D,'All Products'!M:M,FALSE)</f>
        <v>40049081161987</v>
      </c>
      <c r="T57" s="348">
        <f>_xlfn.XLOOKUP(E57,'All Products'!D:D,'All Products'!N:N,FALSE)</f>
        <v>0.51</v>
      </c>
      <c r="U57" s="351">
        <f>_xlfn.XLOOKUP(E57,'All Products'!D:D,'All Products'!O:O,FALSE)</f>
        <v>5</v>
      </c>
      <c r="V57" s="348">
        <f>_xlfn.XLOOKUP(E57,'All Products'!D:D,'All Products'!P:P,FALSE)</f>
        <v>14.26</v>
      </c>
      <c r="W57" s="348">
        <f>_xlfn.XLOOKUP(E57,'All Products'!D:D,'All Products'!Q:Q,FALSE)</f>
        <v>1.1000000000000001</v>
      </c>
    </row>
    <row r="58" spans="1:23">
      <c r="A58" s="104" t="str">
        <f>IF(K58&gt;0,COUNT($A$7:A57)+COUNT('DWV PVC'!$A$8:$A$284)
+COUNT('DWV ABS'!$A$8:$A$116)
+COUNT('PVC SCH40'!$A$8:$A$375)
+COUNT('PVC SCH40 LD'!$A$8:$A$21)
+COUNT('Pool &amp; SPA Sweep Elbows'!$A$8:$A$11)
+COUNT('Pool &amp; SPA Pipe Extender'!$A$8:$A$10)+1,"")</f>
        <v/>
      </c>
      <c r="B58" s="579"/>
      <c r="C58" s="580"/>
      <c r="D58" s="155" t="str">
        <f>_xlfn.XLOOKUP(E58,'All Products'!D:D,'All Products'!C:C,FALSE)</f>
        <v>817-025</v>
      </c>
      <c r="E58" s="106">
        <v>100023547</v>
      </c>
      <c r="F58" s="559" t="str">
        <f>_xlfn.XLOOKUP(E58,'All Products'!D:D,'All Products'!E:E,FALSE)</f>
        <v>2-1/2 ELBOW 45 SXS SCH80</v>
      </c>
      <c r="G58" s="283">
        <f>_xlfn.XLOOKUP(E58,'All Products'!D:D,'All Products'!F:F,FALSE)</f>
        <v>10</v>
      </c>
      <c r="H58" s="234">
        <f>_xlfn.XLOOKUP(E58,'All Products'!D:D,'All Products'!G:G,FALSE)</f>
        <v>900</v>
      </c>
      <c r="I58" s="561">
        <f>_xlfn.XLOOKUP(E58,'All Products'!D:D,'All Products'!H:H,FALSE)</f>
        <v>146.44</v>
      </c>
      <c r="J58" s="135">
        <f>ROUND(I58*Order_Quote!$L$8,2)</f>
        <v>732.2</v>
      </c>
      <c r="K58" s="78"/>
      <c r="L58" s="116"/>
      <c r="M58" s="199">
        <f t="shared" si="1"/>
        <v>0</v>
      </c>
      <c r="O58" s="348" t="str">
        <f>_xlfn.XLOOKUP(E58,'All Products'!D:D,'All Products'!I:I,FALSE)</f>
        <v>In Stock</v>
      </c>
      <c r="P58" s="348" t="str">
        <f>_xlfn.XLOOKUP(E58,'All Products'!D:D,'All Products'!J:J,FALSE)</f>
        <v>Manufactured</v>
      </c>
      <c r="Q58" s="348" t="str">
        <f>_xlfn.XLOOKUP(E58,'All Products'!D:D,'All Products'!K:K,FALSE)</f>
        <v>049081162009</v>
      </c>
      <c r="R58" s="351" t="str">
        <f>_xlfn.XLOOKUP(E58,'All Products'!D:D,'All Products'!L:L,FALSE)</f>
        <v>-</v>
      </c>
      <c r="S58" s="351" t="str">
        <f>_xlfn.XLOOKUP(E58,'All Products'!D:D,'All Products'!M:M,FALSE)</f>
        <v>40049081162007</v>
      </c>
      <c r="T58" s="348">
        <f>_xlfn.XLOOKUP(E58,'All Products'!D:D,'All Products'!N:N,FALSE)</f>
        <v>1.2050000000000001</v>
      </c>
      <c r="U58" s="351" t="str">
        <f>_xlfn.XLOOKUP(E58,'All Products'!D:D,'All Products'!O:O,FALSE)</f>
        <v>-</v>
      </c>
      <c r="V58" s="348">
        <f>_xlfn.XLOOKUP(E58,'All Products'!D:D,'All Products'!P:P,FALSE)</f>
        <v>12.23</v>
      </c>
      <c r="W58" s="348">
        <f>_xlfn.XLOOKUP(E58,'All Products'!D:D,'All Products'!Q:Q,FALSE)</f>
        <v>0.8</v>
      </c>
    </row>
    <row r="59" spans="1:23">
      <c r="A59" s="104" t="str">
        <f>IF(K59&gt;0,COUNT($A$7:A58)+COUNT('DWV PVC'!$A$8:$A$284)
+COUNT('DWV ABS'!$A$8:$A$116)
+COUNT('PVC SCH40'!$A$8:$A$375)
+COUNT('PVC SCH40 LD'!$A$8:$A$21)
+COUNT('Pool &amp; SPA Sweep Elbows'!$A$8:$A$11)
+COUNT('Pool &amp; SPA Pipe Extender'!$A$8:$A$10)+1,"")</f>
        <v/>
      </c>
      <c r="B59" s="579"/>
      <c r="C59" s="580"/>
      <c r="D59" s="155" t="str">
        <f>_xlfn.XLOOKUP(E59,'All Products'!D:D,'All Products'!C:C,FALSE)</f>
        <v>817-030</v>
      </c>
      <c r="E59" s="106">
        <v>100023548</v>
      </c>
      <c r="F59" s="559" t="str">
        <f>_xlfn.XLOOKUP(E59,'All Products'!D:D,'All Products'!E:E,FALSE)</f>
        <v>3 ELBOW 45 SXS SCH80</v>
      </c>
      <c r="G59" s="283">
        <f>_xlfn.XLOOKUP(E59,'All Products'!D:D,'All Products'!F:F,FALSE)</f>
        <v>10</v>
      </c>
      <c r="H59" s="234">
        <f>_xlfn.XLOOKUP(E59,'All Products'!D:D,'All Products'!G:G,FALSE)</f>
        <v>750</v>
      </c>
      <c r="I59" s="561">
        <f>_xlfn.XLOOKUP(E59,'All Products'!D:D,'All Products'!H:H,FALSE)</f>
        <v>178.22</v>
      </c>
      <c r="J59" s="135">
        <f>ROUND(I59*Order_Quote!$L$8,2)</f>
        <v>891.1</v>
      </c>
      <c r="K59" s="78"/>
      <c r="L59" s="116"/>
      <c r="M59" s="199">
        <f t="shared" si="1"/>
        <v>0</v>
      </c>
      <c r="O59" s="348" t="str">
        <f>_xlfn.XLOOKUP(E59,'All Products'!D:D,'All Products'!I:I,FALSE)</f>
        <v>In Stock</v>
      </c>
      <c r="P59" s="348" t="str">
        <f>_xlfn.XLOOKUP(E59,'All Products'!D:D,'All Products'!J:J,FALSE)</f>
        <v>Manufactured</v>
      </c>
      <c r="Q59" s="348" t="str">
        <f>_xlfn.XLOOKUP(E59,'All Products'!D:D,'All Products'!K:K,FALSE)</f>
        <v>049081162023</v>
      </c>
      <c r="R59" s="351" t="str">
        <f>_xlfn.XLOOKUP(E59,'All Products'!D:D,'All Products'!L:L,FALSE)</f>
        <v>-</v>
      </c>
      <c r="S59" s="351" t="str">
        <f>_xlfn.XLOOKUP(E59,'All Products'!D:D,'All Products'!M:M,FALSE)</f>
        <v>40049081162021</v>
      </c>
      <c r="T59" s="348">
        <f>_xlfn.XLOOKUP(E59,'All Products'!D:D,'All Products'!N:N,FALSE)</f>
        <v>1.4890000000000001</v>
      </c>
      <c r="U59" s="351" t="str">
        <f>_xlfn.XLOOKUP(E59,'All Products'!D:D,'All Products'!O:O,FALSE)</f>
        <v>-</v>
      </c>
      <c r="V59" s="348">
        <f>_xlfn.XLOOKUP(E59,'All Products'!D:D,'All Products'!P:P,FALSE)</f>
        <v>16.03</v>
      </c>
      <c r="W59" s="348">
        <f>_xlfn.XLOOKUP(E59,'All Products'!D:D,'All Products'!Q:Q,FALSE)</f>
        <v>1.1000000000000001</v>
      </c>
    </row>
    <row r="60" spans="1:23">
      <c r="A60" s="104" t="str">
        <f>IF(K60&gt;0,COUNT($A$7:A59)+COUNT('DWV PVC'!$A$8:$A$284)
+COUNT('DWV ABS'!$A$8:$A$116)
+COUNT('PVC SCH40'!$A$8:$A$375)
+COUNT('PVC SCH40 LD'!$A$8:$A$21)
+COUNT('Pool &amp; SPA Sweep Elbows'!$A$8:$A$11)
+COUNT('Pool &amp; SPA Pipe Extender'!$A$8:$A$10)+1,"")</f>
        <v/>
      </c>
      <c r="B60" s="579"/>
      <c r="C60" s="580"/>
      <c r="D60" s="155" t="str">
        <f>_xlfn.XLOOKUP(E60,'All Products'!D:D,'All Products'!C:C,FALSE)</f>
        <v>817-040</v>
      </c>
      <c r="E60" s="106">
        <v>100023549</v>
      </c>
      <c r="F60" s="559" t="str">
        <f>_xlfn.XLOOKUP(E60,'All Products'!D:D,'All Products'!E:E,FALSE)</f>
        <v>4 ELBOW 45 SXS SCH80</v>
      </c>
      <c r="G60" s="283">
        <f>_xlfn.XLOOKUP(E60,'All Products'!D:D,'All Products'!F:F,FALSE)</f>
        <v>4</v>
      </c>
      <c r="H60" s="234">
        <f>_xlfn.XLOOKUP(E60,'All Products'!D:D,'All Products'!G:G,FALSE)</f>
        <v>240</v>
      </c>
      <c r="I60" s="561">
        <f>_xlfn.XLOOKUP(E60,'All Products'!D:D,'All Products'!H:H,FALSE)</f>
        <v>320.88</v>
      </c>
      <c r="J60" s="135">
        <f>ROUND(I60*Order_Quote!$L$8,2)</f>
        <v>1604.4</v>
      </c>
      <c r="K60" s="78"/>
      <c r="L60" s="116"/>
      <c r="M60" s="199">
        <f t="shared" si="1"/>
        <v>0</v>
      </c>
      <c r="O60" s="348" t="str">
        <f>_xlfn.XLOOKUP(E60,'All Products'!D:D,'All Products'!I:I,FALSE)</f>
        <v>In Stock</v>
      </c>
      <c r="P60" s="348" t="str">
        <f>_xlfn.XLOOKUP(E60,'All Products'!D:D,'All Products'!J:J,FALSE)</f>
        <v>Manufactured</v>
      </c>
      <c r="Q60" s="348" t="str">
        <f>_xlfn.XLOOKUP(E60,'All Products'!D:D,'All Products'!K:K,FALSE)</f>
        <v>049081162047</v>
      </c>
      <c r="R60" s="351" t="str">
        <f>_xlfn.XLOOKUP(E60,'All Products'!D:D,'All Products'!L:L,FALSE)</f>
        <v>-</v>
      </c>
      <c r="S60" s="351" t="str">
        <f>_xlfn.XLOOKUP(E60,'All Products'!D:D,'All Products'!M:M,FALSE)</f>
        <v>40049081162045</v>
      </c>
      <c r="T60" s="348">
        <f>_xlfn.XLOOKUP(E60,'All Products'!D:D,'All Products'!N:N,FALSE)</f>
        <v>2.734</v>
      </c>
      <c r="U60" s="351" t="str">
        <f>_xlfn.XLOOKUP(E60,'All Products'!D:D,'All Products'!O:O,FALSE)</f>
        <v>-</v>
      </c>
      <c r="V60" s="348">
        <f>_xlfn.XLOOKUP(E60,'All Products'!D:D,'All Products'!P:P,FALSE)</f>
        <v>12.16</v>
      </c>
      <c r="W60" s="348">
        <f>_xlfn.XLOOKUP(E60,'All Products'!D:D,'All Products'!Q:Q,FALSE)</f>
        <v>1.25</v>
      </c>
    </row>
    <row r="61" spans="1:23">
      <c r="A61" s="104" t="str">
        <f>IF(K61&gt;0,COUNT($A$7:A60)+COUNT('DWV PVC'!$A$8:$A$284)
+COUNT('DWV ABS'!$A$8:$A$116)
+COUNT('PVC SCH40'!$A$8:$A$375)
+COUNT('PVC SCH40 LD'!$A$8:$A$21)
+COUNT('Pool &amp; SPA Sweep Elbows'!$A$8:$A$11)
+COUNT('Pool &amp; SPA Pipe Extender'!$A$8:$A$10)+1,"")</f>
        <v/>
      </c>
      <c r="B61" s="579"/>
      <c r="C61" s="580"/>
      <c r="D61" s="155" t="str">
        <f>_xlfn.XLOOKUP(E61,'All Products'!D:D,'All Products'!C:C,FALSE)</f>
        <v>817-060</v>
      </c>
      <c r="E61" s="106">
        <v>100023550</v>
      </c>
      <c r="F61" s="559" t="str">
        <f>_xlfn.XLOOKUP(E61,'All Products'!D:D,'All Products'!E:E,FALSE)</f>
        <v>6 ELBOW 45 SXS SCH80</v>
      </c>
      <c r="G61" s="283">
        <f>_xlfn.XLOOKUP(E61,'All Products'!D:D,'All Products'!F:F,FALSE)</f>
        <v>2</v>
      </c>
      <c r="H61" s="234">
        <f>_xlfn.XLOOKUP(E61,'All Products'!D:D,'All Products'!G:G,FALSE)</f>
        <v>120</v>
      </c>
      <c r="I61" s="561">
        <f>_xlfn.XLOOKUP(E61,'All Products'!D:D,'All Products'!H:H,FALSE)</f>
        <v>404.12</v>
      </c>
      <c r="J61" s="135">
        <f>ROUND(I61*Order_Quote!$L$8,2)</f>
        <v>2020.6</v>
      </c>
      <c r="K61" s="78"/>
      <c r="L61" s="116"/>
      <c r="M61" s="199">
        <f t="shared" si="1"/>
        <v>0</v>
      </c>
      <c r="O61" s="348" t="str">
        <f>_xlfn.XLOOKUP(E61,'All Products'!D:D,'All Products'!I:I,FALSE)</f>
        <v>In Stock</v>
      </c>
      <c r="P61" s="348" t="str">
        <f>_xlfn.XLOOKUP(E61,'All Products'!D:D,'All Products'!J:J,FALSE)</f>
        <v>Manufactured</v>
      </c>
      <c r="Q61" s="348" t="str">
        <f>_xlfn.XLOOKUP(E61,'All Products'!D:D,'All Products'!K:K,FALSE)</f>
        <v>049081162085</v>
      </c>
      <c r="R61" s="351" t="str">
        <f>_xlfn.XLOOKUP(E61,'All Products'!D:D,'All Products'!L:L,FALSE)</f>
        <v>-</v>
      </c>
      <c r="S61" s="351" t="str">
        <f>_xlfn.XLOOKUP(E61,'All Products'!D:D,'All Products'!M:M,FALSE)</f>
        <v>40049081162083</v>
      </c>
      <c r="T61" s="348">
        <f>_xlfn.XLOOKUP(E61,'All Products'!D:D,'All Products'!N:N,FALSE)</f>
        <v>5.4939999999999998</v>
      </c>
      <c r="U61" s="351" t="str">
        <f>_xlfn.XLOOKUP(E61,'All Products'!D:D,'All Products'!O:O,FALSE)</f>
        <v>-</v>
      </c>
      <c r="V61" s="348">
        <f>_xlfn.XLOOKUP(E61,'All Products'!D:D,'All Products'!P:P,FALSE)</f>
        <v>11.9</v>
      </c>
      <c r="W61" s="348">
        <f>_xlfn.XLOOKUP(E61,'All Products'!D:D,'All Products'!Q:Q,FALSE)</f>
        <v>1.41</v>
      </c>
    </row>
    <row r="62" spans="1:23">
      <c r="A62" s="104" t="str">
        <f>IF(K62&gt;0,COUNT($A$7:A61)+COUNT('DWV PVC'!$A$8:$A$284)
+COUNT('DWV ABS'!$A$8:$A$116)
+COUNT('PVC SCH40'!$A$8:$A$375)
+COUNT('PVC SCH40 LD'!$A$8:$A$21)
+COUNT('Pool &amp; SPA Sweep Elbows'!$A$8:$A$11)
+COUNT('Pool &amp; SPA Pipe Extender'!$A$8:$A$10)+1,"")</f>
        <v/>
      </c>
      <c r="B62" s="581"/>
      <c r="C62" s="582"/>
      <c r="D62" s="155" t="str">
        <f>_xlfn.XLOOKUP(E62,'All Products'!D:D,'All Products'!C:C,FALSE)</f>
        <v>817-080</v>
      </c>
      <c r="E62" s="106">
        <v>100023551</v>
      </c>
      <c r="F62" s="559" t="str">
        <f>_xlfn.XLOOKUP(E62,'All Products'!D:D,'All Products'!E:E,FALSE)</f>
        <v>8 ELBOW 45 SXS SCH80</v>
      </c>
      <c r="G62" s="283">
        <f>_xlfn.XLOOKUP(E62,'All Products'!D:D,'All Products'!F:F,FALSE)</f>
        <v>2</v>
      </c>
      <c r="H62" s="234">
        <f>_xlfn.XLOOKUP(E62,'All Products'!D:D,'All Products'!G:G,FALSE)</f>
        <v>48</v>
      </c>
      <c r="I62" s="561">
        <f>_xlfn.XLOOKUP(E62,'All Products'!D:D,'All Products'!H:H,FALSE)</f>
        <v>876.15</v>
      </c>
      <c r="J62" s="135">
        <f>ROUND(I62*Order_Quote!$L$8,2)</f>
        <v>4380.75</v>
      </c>
      <c r="K62" s="78"/>
      <c r="L62" s="116"/>
      <c r="M62" s="199">
        <f t="shared" si="1"/>
        <v>0</v>
      </c>
      <c r="O62" s="348" t="str">
        <f>_xlfn.XLOOKUP(E62,'All Products'!D:D,'All Products'!I:I,FALSE)</f>
        <v>In Stock</v>
      </c>
      <c r="P62" s="348" t="str">
        <f>_xlfn.XLOOKUP(E62,'All Products'!D:D,'All Products'!J:J,FALSE)</f>
        <v>Manufactured</v>
      </c>
      <c r="Q62" s="348" t="str">
        <f>_xlfn.XLOOKUP(E62,'All Products'!D:D,'All Products'!K:K,FALSE)</f>
        <v>049081162108</v>
      </c>
      <c r="R62" s="351" t="str">
        <f>_xlfn.XLOOKUP(E62,'All Products'!D:D,'All Products'!L:L,FALSE)</f>
        <v>-</v>
      </c>
      <c r="S62" s="351" t="str">
        <f>_xlfn.XLOOKUP(E62,'All Products'!D:D,'All Products'!M:M,FALSE)</f>
        <v>40049081162106</v>
      </c>
      <c r="T62" s="348">
        <f>_xlfn.XLOOKUP(E62,'All Products'!D:D,'All Products'!N:N,FALSE)</f>
        <v>13.265000000000001</v>
      </c>
      <c r="U62" s="351" t="str">
        <f>_xlfn.XLOOKUP(E62,'All Products'!D:D,'All Products'!O:O,FALSE)</f>
        <v>-</v>
      </c>
      <c r="V62" s="348">
        <f>_xlfn.XLOOKUP(E62,'All Products'!D:D,'All Products'!P:P,FALSE)</f>
        <v>28.34</v>
      </c>
      <c r="W62" s="348">
        <f>_xlfn.XLOOKUP(E62,'All Products'!D:D,'All Products'!Q:Q,FALSE)</f>
        <v>2.77</v>
      </c>
    </row>
    <row r="63" spans="1:23">
      <c r="A63" s="104" t="str">
        <f>IF(K63&gt;0,COUNT($A$7:A62)+COUNT('DWV PVC'!$A$8:$A$284)
+COUNT('DWV ABS'!$A$8:$A$116)
+COUNT('PVC SCH40'!$A$8:$A$375)
+COUNT('PVC SCH40 LD'!$A$8:$A$21)
+COUNT('Pool &amp; SPA Sweep Elbows'!$A$8:$A$11)
+COUNT('Pool &amp; SPA Pipe Extender'!$A$8:$A$10)+1,"")</f>
        <v/>
      </c>
      <c r="B63" s="579"/>
      <c r="C63" s="580"/>
      <c r="D63" s="155" t="str">
        <f>_xlfn.XLOOKUP(E63,'All Products'!D:D,'All Products'!C:C,FALSE)</f>
        <v>819-012</v>
      </c>
      <c r="E63" s="106">
        <v>100028116</v>
      </c>
      <c r="F63" s="559" t="str">
        <f>_xlfn.XLOOKUP(E63,'All Products'!D:D,'All Products'!E:E,FALSE)</f>
        <v>1-1/4 ELBOW 45 FIPTXFIPT SCH80</v>
      </c>
      <c r="G63" s="283">
        <f>_xlfn.XLOOKUP(E63,'All Products'!D:D,'All Products'!F:F,FALSE)</f>
        <v>25</v>
      </c>
      <c r="H63" s="234">
        <f>_xlfn.XLOOKUP(E63,'All Products'!D:D,'All Products'!G:G,FALSE)</f>
        <v>0</v>
      </c>
      <c r="I63" s="561">
        <f>_xlfn.XLOOKUP(E63,'All Products'!D:D,'All Products'!H:H,FALSE)</f>
        <v>63.31</v>
      </c>
      <c r="J63" s="135">
        <f>ROUND(I63*Order_Quote!$L$8,2)</f>
        <v>316.55</v>
      </c>
      <c r="K63" s="78"/>
      <c r="L63" s="116"/>
      <c r="M63" s="199">
        <f t="shared" si="1"/>
        <v>0</v>
      </c>
      <c r="O63" s="348" t="str">
        <f>_xlfn.XLOOKUP(E63,'All Products'!D:D,'All Products'!I:I,FALSE)</f>
        <v>In Stock</v>
      </c>
      <c r="P63" s="348" t="str">
        <f>_xlfn.XLOOKUP(E63,'All Products'!D:D,'All Products'!J:J,FALSE)</f>
        <v>Manufactured</v>
      </c>
      <c r="Q63" s="348" t="str">
        <f>_xlfn.XLOOKUP(E63,'All Products'!D:D,'All Products'!K:K,FALSE)</f>
        <v>049081162344</v>
      </c>
      <c r="R63" s="351" t="str">
        <f>_xlfn.XLOOKUP(E63,'All Products'!D:D,'All Products'!L:L,FALSE)</f>
        <v>-</v>
      </c>
      <c r="S63" s="351" t="str">
        <f>_xlfn.XLOOKUP(E63,'All Products'!D:D,'All Products'!M:M,FALSE)</f>
        <v>40049081162342</v>
      </c>
      <c r="T63" s="348">
        <f>_xlfn.XLOOKUP(E63,'All Products'!D:D,'All Products'!N:N,FALSE)</f>
        <v>0.26700000000000002</v>
      </c>
      <c r="U63" s="351" t="str">
        <f>_xlfn.XLOOKUP(E63,'All Products'!D:D,'All Products'!O:O,FALSE)</f>
        <v>-</v>
      </c>
      <c r="V63" s="348">
        <f>_xlfn.XLOOKUP(E63,'All Products'!D:D,'All Products'!P:P,FALSE)</f>
        <v>6.6680000000000001</v>
      </c>
      <c r="W63" s="348" t="str">
        <f>_xlfn.XLOOKUP(E63,'All Products'!D:D,'All Products'!Q:Q,FALSE)</f>
        <v>-</v>
      </c>
    </row>
    <row r="64" spans="1:23">
      <c r="A64" s="104" t="str">
        <f>IF(K64&gt;0,COUNT($A$7:A63)+COUNT('DWV PVC'!$A$8:$A$284)
+COUNT('DWV ABS'!$A$8:$A$116)
+COUNT('PVC SCH40'!$A$8:$A$375)
+COUNT('PVC SCH40 LD'!$A$8:$A$21)
+COUNT('Pool &amp; SPA Sweep Elbows'!$A$8:$A$11)
+COUNT('Pool &amp; SPA Pipe Extender'!$A$8:$A$10)+1,"")</f>
        <v/>
      </c>
      <c r="B64" s="579"/>
      <c r="C64" s="580"/>
      <c r="D64" s="155" t="str">
        <f>_xlfn.XLOOKUP(E64,'All Products'!D:D,'All Products'!C:C,FALSE)</f>
        <v>819-020</v>
      </c>
      <c r="E64" s="106">
        <v>100028118</v>
      </c>
      <c r="F64" s="559" t="str">
        <f>_xlfn.XLOOKUP(E64,'All Products'!D:D,'All Products'!E:E,FALSE)</f>
        <v>2 ELBOW 45 FIPTXFIPT SCH80</v>
      </c>
      <c r="G64" s="283">
        <f>_xlfn.XLOOKUP(E64,'All Products'!D:D,'All Products'!F:F,FALSE)</f>
        <v>20</v>
      </c>
      <c r="H64" s="234">
        <f>_xlfn.XLOOKUP(E64,'All Products'!D:D,'All Products'!G:G,FALSE)</f>
        <v>0</v>
      </c>
      <c r="I64" s="561">
        <f>_xlfn.XLOOKUP(E64,'All Products'!D:D,'All Products'!H:H,FALSE)</f>
        <v>117.98</v>
      </c>
      <c r="J64" s="135">
        <f>ROUND(I64*Order_Quote!$L$8,2)</f>
        <v>589.9</v>
      </c>
      <c r="K64" s="78"/>
      <c r="L64" s="116"/>
      <c r="M64" s="199">
        <f t="shared" si="1"/>
        <v>0</v>
      </c>
      <c r="O64" s="348" t="str">
        <f>_xlfn.XLOOKUP(E64,'All Products'!D:D,'All Products'!I:I,FALSE)</f>
        <v>In Stock</v>
      </c>
      <c r="P64" s="348" t="str">
        <f>_xlfn.XLOOKUP(E64,'All Products'!D:D,'All Products'!J:J,FALSE)</f>
        <v>Manufactured</v>
      </c>
      <c r="Q64" s="348" t="str">
        <f>_xlfn.XLOOKUP(E64,'All Products'!D:D,'All Products'!K:K,FALSE)</f>
        <v>049081162382</v>
      </c>
      <c r="R64" s="351" t="str">
        <f>_xlfn.XLOOKUP(E64,'All Products'!D:D,'All Products'!L:L,FALSE)</f>
        <v>-</v>
      </c>
      <c r="S64" s="351" t="str">
        <f>_xlfn.XLOOKUP(E64,'All Products'!D:D,'All Products'!M:M,FALSE)</f>
        <v>40049081162380</v>
      </c>
      <c r="T64" s="348">
        <f>_xlfn.XLOOKUP(E64,'All Products'!D:D,'All Products'!N:N,FALSE)</f>
        <v>0.52</v>
      </c>
      <c r="U64" s="351" t="str">
        <f>_xlfn.XLOOKUP(E64,'All Products'!D:D,'All Products'!O:O,FALSE)</f>
        <v>-</v>
      </c>
      <c r="V64" s="348">
        <f>_xlfn.XLOOKUP(E64,'All Products'!D:D,'All Products'!P:P,FALSE)</f>
        <v>10.404</v>
      </c>
      <c r="W64" s="348" t="str">
        <f>_xlfn.XLOOKUP(E64,'All Products'!D:D,'All Products'!Q:Q,FALSE)</f>
        <v>-</v>
      </c>
    </row>
    <row r="65" spans="1:23">
      <c r="A65" s="104" t="str">
        <f>IF(K65&gt;0,COUNT($A$7:A64)+COUNT('DWV PVC'!$A$8:$A$284)
+COUNT('DWV ABS'!$A$8:$A$116)
+COUNT('PVC SCH40'!$A$8:$A$375)
+COUNT('PVC SCH40 LD'!$A$8:$A$21)
+COUNT('Pool &amp; SPA Sweep Elbows'!$A$8:$A$11)
+COUNT('Pool &amp; SPA Pipe Extender'!$A$8:$A$10)+1,"")</f>
        <v/>
      </c>
      <c r="B65" s="579"/>
      <c r="C65" s="580"/>
      <c r="D65" s="155" t="str">
        <f>_xlfn.XLOOKUP(E65,'All Products'!D:D,'All Products'!C:C,FALSE)</f>
        <v>819-030</v>
      </c>
      <c r="E65" s="106">
        <v>100028119</v>
      </c>
      <c r="F65" s="559" t="str">
        <f>_xlfn.XLOOKUP(E65,'All Products'!D:D,'All Products'!E:E,FALSE)</f>
        <v>3 ELBOW 45 FIPTXFIPT SCH80</v>
      </c>
      <c r="G65" s="283">
        <f>_xlfn.XLOOKUP(E65,'All Products'!D:D,'All Products'!F:F,FALSE)</f>
        <v>15</v>
      </c>
      <c r="H65" s="234">
        <f>_xlfn.XLOOKUP(E65,'All Products'!D:D,'All Products'!G:G,FALSE)</f>
        <v>0</v>
      </c>
      <c r="I65" s="561">
        <f>_xlfn.XLOOKUP(E65,'All Products'!D:D,'All Products'!H:H,FALSE)</f>
        <v>375.5</v>
      </c>
      <c r="J65" s="135">
        <f>ROUND(I65*Order_Quote!$L$8,2)</f>
        <v>1877.5</v>
      </c>
      <c r="K65" s="78"/>
      <c r="L65" s="116"/>
      <c r="M65" s="199">
        <f t="shared" si="1"/>
        <v>0</v>
      </c>
      <c r="O65" s="348" t="str">
        <f>_xlfn.XLOOKUP(E65,'All Products'!D:D,'All Products'!I:I,FALSE)</f>
        <v>Within 3 Weeks</v>
      </c>
      <c r="P65" s="348" t="str">
        <f>_xlfn.XLOOKUP(E65,'All Products'!D:D,'All Products'!J:J,FALSE)</f>
        <v>Manufactured</v>
      </c>
      <c r="Q65" s="348" t="str">
        <f>_xlfn.XLOOKUP(E65,'All Products'!D:D,'All Products'!K:K,FALSE)</f>
        <v>049081162429</v>
      </c>
      <c r="R65" s="351" t="str">
        <f>_xlfn.XLOOKUP(E65,'All Products'!D:D,'All Products'!L:L,FALSE)</f>
        <v>-</v>
      </c>
      <c r="S65" s="351" t="str">
        <f>_xlfn.XLOOKUP(E65,'All Products'!D:D,'All Products'!M:M,FALSE)</f>
        <v>40049081162427</v>
      </c>
      <c r="T65" s="348">
        <f>_xlfn.XLOOKUP(E65,'All Products'!D:D,'All Products'!N:N,FALSE)</f>
        <v>1.429</v>
      </c>
      <c r="U65" s="351" t="str">
        <f>_xlfn.XLOOKUP(E65,'All Products'!D:D,'All Products'!O:O,FALSE)</f>
        <v>-</v>
      </c>
      <c r="V65" s="348">
        <f>_xlfn.XLOOKUP(E65,'All Products'!D:D,'All Products'!P:P,FALSE)</f>
        <v>21.428999999999998</v>
      </c>
      <c r="W65" s="348" t="str">
        <f>_xlfn.XLOOKUP(E65,'All Products'!D:D,'All Products'!Q:Q,FALSE)</f>
        <v>-</v>
      </c>
    </row>
    <row r="66" spans="1:23">
      <c r="A66" s="104" t="str">
        <f>IF(K66&gt;0,COUNT($A$7:A65)+COUNT('DWV PVC'!$A$8:$A$284)
+COUNT('DWV ABS'!$A$8:$A$116)
+COUNT('PVC SCH40'!$A$8:$A$375)
+COUNT('PVC SCH40 LD'!$A$8:$A$21)
+COUNT('Pool &amp; SPA Sweep Elbows'!$A$8:$A$11)
+COUNT('Pool &amp; SPA Pipe Extender'!$A$8:$A$10)+1,"")</f>
        <v/>
      </c>
      <c r="B66" s="581"/>
      <c r="C66" s="582"/>
      <c r="D66" s="155" t="str">
        <f>_xlfn.XLOOKUP(E66,'All Products'!D:D,'All Products'!C:C,FALSE)</f>
        <v>819-040</v>
      </c>
      <c r="E66" s="106">
        <v>100028120</v>
      </c>
      <c r="F66" s="559" t="str">
        <f>_xlfn.XLOOKUP(E66,'All Products'!D:D,'All Products'!E:E,FALSE)</f>
        <v>4 ELBOW 45 FIPTXFIPT SCH80</v>
      </c>
      <c r="G66" s="283">
        <f>_xlfn.XLOOKUP(E66,'All Products'!D:D,'All Products'!F:F,FALSE)</f>
        <v>5</v>
      </c>
      <c r="H66" s="234">
        <f>_xlfn.XLOOKUP(E66,'All Products'!D:D,'All Products'!G:G,FALSE)</f>
        <v>0</v>
      </c>
      <c r="I66" s="561">
        <f>_xlfn.XLOOKUP(E66,'All Products'!D:D,'All Products'!H:H,FALSE)</f>
        <v>538.83000000000004</v>
      </c>
      <c r="J66" s="135">
        <f>ROUND(I66*Order_Quote!$L$8,2)</f>
        <v>2694.15</v>
      </c>
      <c r="K66" s="78"/>
      <c r="L66" s="116"/>
      <c r="M66" s="199">
        <f t="shared" si="1"/>
        <v>0</v>
      </c>
      <c r="O66" s="348" t="str">
        <f>_xlfn.XLOOKUP(E66,'All Products'!D:D,'All Products'!I:I,FALSE)</f>
        <v>Within 3 Weeks</v>
      </c>
      <c r="P66" s="348" t="str">
        <f>_xlfn.XLOOKUP(E66,'All Products'!D:D,'All Products'!J:J,FALSE)</f>
        <v>Manufactured</v>
      </c>
      <c r="Q66" s="348" t="str">
        <f>_xlfn.XLOOKUP(E66,'All Products'!D:D,'All Products'!K:K,FALSE)</f>
        <v>049081162443</v>
      </c>
      <c r="R66" s="351" t="str">
        <f>_xlfn.XLOOKUP(E66,'All Products'!D:D,'All Products'!L:L,FALSE)</f>
        <v>-</v>
      </c>
      <c r="S66" s="351" t="str">
        <f>_xlfn.XLOOKUP(E66,'All Products'!D:D,'All Products'!M:M,FALSE)</f>
        <v>40049081162441</v>
      </c>
      <c r="T66" s="348">
        <f>_xlfn.XLOOKUP(E66,'All Products'!D:D,'All Products'!N:N,FALSE)</f>
        <v>2.5129999999999999</v>
      </c>
      <c r="U66" s="351" t="str">
        <f>_xlfn.XLOOKUP(E66,'All Products'!D:D,'All Products'!O:O,FALSE)</f>
        <v>-</v>
      </c>
      <c r="V66" s="348">
        <f>_xlfn.XLOOKUP(E66,'All Products'!D:D,'All Products'!P:P,FALSE)</f>
        <v>12.566000000000001</v>
      </c>
      <c r="W66" s="348" t="str">
        <f>_xlfn.XLOOKUP(E66,'All Products'!D:D,'All Products'!Q:Q,FALSE)</f>
        <v>-</v>
      </c>
    </row>
    <row r="67" spans="1:23">
      <c r="A67" s="104" t="str">
        <f>IF(K67&gt;0,COUNT($A$7:A66)+COUNT('DWV PVC'!$A$8:$A$284)
+COUNT('DWV ABS'!$A$8:$A$116)
+COUNT('PVC SCH40'!$A$8:$A$375)
+COUNT('PVC SCH40 LD'!$A$8:$A$21)
+COUNT('Pool &amp; SPA Sweep Elbows'!$A$8:$A$11)
+COUNT('Pool &amp; SPA Pipe Extender'!$A$8:$A$10)+1,"")</f>
        <v/>
      </c>
      <c r="B67" s="577"/>
      <c r="C67" s="578"/>
      <c r="D67" s="155" t="str">
        <f>_xlfn.XLOOKUP(E67,'All Products'!D:D,'All Products'!C:C,FALSE)</f>
        <v>829-002</v>
      </c>
      <c r="E67" s="106">
        <v>100028121</v>
      </c>
      <c r="F67" s="559" t="str">
        <f>_xlfn.XLOOKUP(E67,'All Products'!D:D,'All Products'!E:E,FALSE)</f>
        <v>1/4 COUPLING SXS SCH80</v>
      </c>
      <c r="G67" s="283">
        <f>_xlfn.XLOOKUP(E67,'All Products'!D:D,'All Products'!F:F,FALSE)</f>
        <v>200</v>
      </c>
      <c r="H67" s="234">
        <f>_xlfn.XLOOKUP(E67,'All Products'!D:D,'All Products'!G:G,FALSE)</f>
        <v>0</v>
      </c>
      <c r="I67" s="561">
        <f>_xlfn.XLOOKUP(E67,'All Products'!D:D,'All Products'!H:H,FALSE)</f>
        <v>23.98</v>
      </c>
      <c r="J67" s="135">
        <f>ROUND(I67*Order_Quote!$L$8,2)</f>
        <v>119.9</v>
      </c>
      <c r="K67" s="78"/>
      <c r="L67" s="116"/>
      <c r="M67" s="199">
        <f t="shared" si="1"/>
        <v>0</v>
      </c>
      <c r="O67" s="348" t="str">
        <f>_xlfn.XLOOKUP(E67,'All Products'!D:D,'All Products'!I:I,FALSE)</f>
        <v>Within 3 Weeks</v>
      </c>
      <c r="P67" s="348" t="str">
        <f>_xlfn.XLOOKUP(E67,'All Products'!D:D,'All Products'!J:J,FALSE)</f>
        <v>Manufactured</v>
      </c>
      <c r="Q67" s="348" t="str">
        <f>_xlfn.XLOOKUP(E67,'All Products'!D:D,'All Products'!K:K,FALSE)</f>
        <v>049081160609</v>
      </c>
      <c r="R67" s="351">
        <f>_xlfn.XLOOKUP(E67,'All Products'!D:D,'All Products'!L:L,FALSE)</f>
        <v>0</v>
      </c>
      <c r="S67" s="351" t="str">
        <f>_xlfn.XLOOKUP(E67,'All Products'!D:D,'All Products'!M:M,FALSE)</f>
        <v>40049081160607</v>
      </c>
      <c r="T67" s="348">
        <f>_xlfn.XLOOKUP(E67,'All Products'!D:D,'All Products'!N:N,FALSE)</f>
        <v>2.9000000000000001E-2</v>
      </c>
      <c r="U67" s="351">
        <f>_xlfn.XLOOKUP(E67,'All Products'!D:D,'All Products'!O:O,FALSE)</f>
        <v>100</v>
      </c>
      <c r="V67" s="348">
        <f>_xlfn.XLOOKUP(E67,'All Products'!D:D,'All Products'!P:P,FALSE)</f>
        <v>5.72</v>
      </c>
      <c r="W67" s="348" t="str">
        <f>_xlfn.XLOOKUP(E67,'All Products'!D:D,'All Products'!Q:Q,FALSE)</f>
        <v>-</v>
      </c>
    </row>
    <row r="68" spans="1:23">
      <c r="A68" s="104" t="str">
        <f>IF(K68&gt;0,COUNT($A$7:A67)+COUNT('DWV PVC'!$A$8:$A$284)
+COUNT('DWV ABS'!$A$8:$A$116)
+COUNT('PVC SCH40'!$A$8:$A$375)
+COUNT('PVC SCH40 LD'!$A$8:$A$21)
+COUNT('Pool &amp; SPA Sweep Elbows'!$A$8:$A$11)
+COUNT('Pool &amp; SPA Pipe Extender'!$A$8:$A$10)+1,"")</f>
        <v/>
      </c>
      <c r="B68" s="579"/>
      <c r="C68" s="580"/>
      <c r="D68" s="155" t="str">
        <f>_xlfn.XLOOKUP(E68,'All Products'!D:D,'All Products'!C:C,FALSE)</f>
        <v>829-003</v>
      </c>
      <c r="E68" s="106">
        <v>100028122</v>
      </c>
      <c r="F68" s="559" t="str">
        <f>_xlfn.XLOOKUP(E68,'All Products'!D:D,'All Products'!E:E,FALSE)</f>
        <v>3/8 COUPLING SXS SCH80</v>
      </c>
      <c r="G68" s="283">
        <f>_xlfn.XLOOKUP(E68,'All Products'!D:D,'All Products'!F:F,FALSE)</f>
        <v>50</v>
      </c>
      <c r="H68" s="234">
        <f>_xlfn.XLOOKUP(E68,'All Products'!D:D,'All Products'!G:G,FALSE)</f>
        <v>0</v>
      </c>
      <c r="I68" s="561">
        <f>_xlfn.XLOOKUP(E68,'All Products'!D:D,'All Products'!H:H,FALSE)</f>
        <v>23.98</v>
      </c>
      <c r="J68" s="135">
        <f>ROUND(I68*Order_Quote!$L$8,2)</f>
        <v>119.9</v>
      </c>
      <c r="K68" s="78"/>
      <c r="L68" s="116"/>
      <c r="M68" s="199">
        <f t="shared" si="1"/>
        <v>0</v>
      </c>
      <c r="O68" s="348" t="str">
        <f>_xlfn.XLOOKUP(E68,'All Products'!D:D,'All Products'!I:I,FALSE)</f>
        <v>Within 3 Weeks</v>
      </c>
      <c r="P68" s="348" t="str">
        <f>_xlfn.XLOOKUP(E68,'All Products'!D:D,'All Products'!J:J,FALSE)</f>
        <v>Manufactured</v>
      </c>
      <c r="Q68" s="348" t="str">
        <f>_xlfn.XLOOKUP(E68,'All Products'!D:D,'All Products'!K:K,FALSE)</f>
        <v>049081160623</v>
      </c>
      <c r="R68" s="351" t="str">
        <f>_xlfn.XLOOKUP(E68,'All Products'!D:D,'All Products'!L:L,FALSE)</f>
        <v>-</v>
      </c>
      <c r="S68" s="351" t="str">
        <f>_xlfn.XLOOKUP(E68,'All Products'!D:D,'All Products'!M:M,FALSE)</f>
        <v>40049081160621</v>
      </c>
      <c r="T68" s="348">
        <f>_xlfn.XLOOKUP(E68,'All Products'!D:D,'All Products'!N:N,FALSE)</f>
        <v>3.4000000000000002E-2</v>
      </c>
      <c r="U68" s="351" t="str">
        <f>_xlfn.XLOOKUP(E68,'All Products'!D:D,'All Products'!O:O,FALSE)</f>
        <v>-</v>
      </c>
      <c r="V68" s="348">
        <f>_xlfn.XLOOKUP(E68,'All Products'!D:D,'All Products'!P:P,FALSE)</f>
        <v>2.09</v>
      </c>
      <c r="W68" s="348" t="str">
        <f>_xlfn.XLOOKUP(E68,'All Products'!D:D,'All Products'!Q:Q,FALSE)</f>
        <v>-</v>
      </c>
    </row>
    <row r="69" spans="1:23">
      <c r="A69" s="104" t="str">
        <f>IF(K69&gt;0,COUNT($A$7:A68)+COUNT('DWV PVC'!$A$8:$A$284)
+COUNT('DWV ABS'!$A$8:$A$116)
+COUNT('PVC SCH40'!$A$8:$A$375)
+COUNT('PVC SCH40 LD'!$A$8:$A$21)
+COUNT('Pool &amp; SPA Sweep Elbows'!$A$8:$A$11)
+COUNT('Pool &amp; SPA Pipe Extender'!$A$8:$A$10)+1,"")</f>
        <v/>
      </c>
      <c r="B69" s="579"/>
      <c r="C69" s="580"/>
      <c r="D69" s="155" t="str">
        <f>_xlfn.XLOOKUP(E69,'All Products'!D:D,'All Products'!C:C,FALSE)</f>
        <v>829-005</v>
      </c>
      <c r="E69" s="106">
        <v>100023552</v>
      </c>
      <c r="F69" s="559" t="str">
        <f>_xlfn.XLOOKUP(E69,'All Products'!D:D,'All Products'!E:E,FALSE)</f>
        <v>1/2 COUPLING SXS SCH80</v>
      </c>
      <c r="G69" s="283">
        <f>_xlfn.XLOOKUP(E69,'All Products'!D:D,'All Products'!F:F,FALSE)</f>
        <v>250</v>
      </c>
      <c r="H69" s="234">
        <f>_xlfn.XLOOKUP(E69,'All Products'!D:D,'All Products'!G:G,FALSE)</f>
        <v>30000</v>
      </c>
      <c r="I69" s="561">
        <f>_xlfn.XLOOKUP(E69,'All Products'!D:D,'All Products'!H:H,FALSE)</f>
        <v>15.02</v>
      </c>
      <c r="J69" s="135">
        <f>ROUND(I69*Order_Quote!$L$8,2)</f>
        <v>75.099999999999994</v>
      </c>
      <c r="K69" s="78"/>
      <c r="L69" s="116"/>
      <c r="M69" s="199">
        <f t="shared" ref="M69:M103" si="2">K69/G69</f>
        <v>0</v>
      </c>
      <c r="O69" s="348" t="str">
        <f>_xlfn.XLOOKUP(E69,'All Products'!D:D,'All Products'!I:I,FALSE)</f>
        <v>In Stock</v>
      </c>
      <c r="P69" s="348" t="str">
        <f>_xlfn.XLOOKUP(E69,'All Products'!D:D,'All Products'!J:J,FALSE)</f>
        <v>Manufactured</v>
      </c>
      <c r="Q69" s="348" t="str">
        <f>_xlfn.XLOOKUP(E69,'All Products'!D:D,'All Products'!K:K,FALSE)</f>
        <v>049081160647</v>
      </c>
      <c r="R69" s="351" t="str">
        <f>_xlfn.XLOOKUP(E69,'All Products'!D:D,'All Products'!L:L,FALSE)</f>
        <v>049081660642</v>
      </c>
      <c r="S69" s="351" t="str">
        <f>_xlfn.XLOOKUP(E69,'All Products'!D:D,'All Products'!M:M,FALSE)</f>
        <v>40049081160645</v>
      </c>
      <c r="T69" s="348">
        <f>_xlfn.XLOOKUP(E69,'All Products'!D:D,'All Products'!N:N,FALSE)</f>
        <v>5.3999999999999999E-2</v>
      </c>
      <c r="U69" s="351">
        <f>_xlfn.XLOOKUP(E69,'All Products'!D:D,'All Products'!O:O,FALSE)</f>
        <v>10</v>
      </c>
      <c r="V69" s="348">
        <f>_xlfn.XLOOKUP(E69,'All Products'!D:D,'All Products'!P:P,FALSE)</f>
        <v>13.17</v>
      </c>
      <c r="W69" s="348">
        <f>_xlfn.XLOOKUP(E69,'All Products'!D:D,'All Products'!Q:Q,FALSE)</f>
        <v>0.65</v>
      </c>
    </row>
    <row r="70" spans="1:23">
      <c r="A70" s="104" t="str">
        <f>IF(K70&gt;0,COUNT($A$7:A69)+COUNT('DWV PVC'!$A$8:$A$284)
+COUNT('DWV ABS'!$A$8:$A$116)
+COUNT('PVC SCH40'!$A$8:$A$375)
+COUNT('PVC SCH40 LD'!$A$8:$A$21)
+COUNT('Pool &amp; SPA Sweep Elbows'!$A$8:$A$11)
+COUNT('Pool &amp; SPA Pipe Extender'!$A$8:$A$10)+1,"")</f>
        <v/>
      </c>
      <c r="B70" s="579"/>
      <c r="C70" s="580"/>
      <c r="D70" s="155" t="str">
        <f>_xlfn.XLOOKUP(E70,'All Products'!D:D,'All Products'!C:C,FALSE)</f>
        <v>829-007</v>
      </c>
      <c r="E70" s="106">
        <v>100023553</v>
      </c>
      <c r="F70" s="559" t="str">
        <f>_xlfn.XLOOKUP(E70,'All Products'!D:D,'All Products'!E:E,FALSE)</f>
        <v>3/4 COUPLING SXS SCH80</v>
      </c>
      <c r="G70" s="283">
        <f>_xlfn.XLOOKUP(E70,'All Products'!D:D,'All Products'!F:F,FALSE)</f>
        <v>250</v>
      </c>
      <c r="H70" s="234">
        <f>_xlfn.XLOOKUP(E70,'All Products'!D:D,'All Products'!G:G,FALSE)</f>
        <v>18750</v>
      </c>
      <c r="I70" s="561">
        <f>_xlfn.XLOOKUP(E70,'All Products'!D:D,'All Products'!H:H,FALSE)</f>
        <v>20.28</v>
      </c>
      <c r="J70" s="135">
        <f>ROUND(I70*Order_Quote!$L$8,2)</f>
        <v>101.4</v>
      </c>
      <c r="K70" s="78"/>
      <c r="L70" s="116"/>
      <c r="M70" s="199">
        <f t="shared" si="2"/>
        <v>0</v>
      </c>
      <c r="O70" s="348" t="str">
        <f>_xlfn.XLOOKUP(E70,'All Products'!D:D,'All Products'!I:I,FALSE)</f>
        <v>In Stock</v>
      </c>
      <c r="P70" s="348" t="str">
        <f>_xlfn.XLOOKUP(E70,'All Products'!D:D,'All Products'!J:J,FALSE)</f>
        <v>Manufactured</v>
      </c>
      <c r="Q70" s="348" t="str">
        <f>_xlfn.XLOOKUP(E70,'All Products'!D:D,'All Products'!K:K,FALSE)</f>
        <v>049081160661</v>
      </c>
      <c r="R70" s="351" t="str">
        <f>_xlfn.XLOOKUP(E70,'All Products'!D:D,'All Products'!L:L,FALSE)</f>
        <v>049081660666</v>
      </c>
      <c r="S70" s="351" t="str">
        <f>_xlfn.XLOOKUP(E70,'All Products'!D:D,'All Products'!M:M,FALSE)</f>
        <v>40049081160669</v>
      </c>
      <c r="T70" s="348">
        <f>_xlfn.XLOOKUP(E70,'All Products'!D:D,'All Products'!N:N,FALSE)</f>
        <v>7.1999999999999995E-2</v>
      </c>
      <c r="U70" s="351">
        <f>_xlfn.XLOOKUP(E70,'All Products'!D:D,'All Products'!O:O,FALSE)</f>
        <v>10</v>
      </c>
      <c r="V70" s="348">
        <f>_xlfn.XLOOKUP(E70,'All Products'!D:D,'All Products'!P:P,FALSE)</f>
        <v>19.25</v>
      </c>
      <c r="W70" s="348">
        <f>_xlfn.XLOOKUP(E70,'All Products'!D:D,'All Products'!Q:Q,FALSE)</f>
        <v>0.95</v>
      </c>
    </row>
    <row r="71" spans="1:23">
      <c r="A71" s="104" t="str">
        <f>IF(K71&gt;0,COUNT($A$7:A70)+COUNT('DWV PVC'!$A$8:$A$284)
+COUNT('DWV ABS'!$A$8:$A$116)
+COUNT('PVC SCH40'!$A$8:$A$375)
+COUNT('PVC SCH40 LD'!$A$8:$A$21)
+COUNT('Pool &amp; SPA Sweep Elbows'!$A$8:$A$11)
+COUNT('Pool &amp; SPA Pipe Extender'!$A$8:$A$10)+1,"")</f>
        <v/>
      </c>
      <c r="B71" s="579"/>
      <c r="C71" s="580"/>
      <c r="D71" s="155" t="str">
        <f>_xlfn.XLOOKUP(E71,'All Products'!D:D,'All Products'!C:C,FALSE)</f>
        <v>829-010</v>
      </c>
      <c r="E71" s="106">
        <v>100023555</v>
      </c>
      <c r="F71" s="559" t="str">
        <f>_xlfn.XLOOKUP(E71,'All Products'!D:D,'All Products'!E:E,FALSE)</f>
        <v>1 COUPLING SXS SCH80</v>
      </c>
      <c r="G71" s="283">
        <f>_xlfn.XLOOKUP(E71,'All Products'!D:D,'All Products'!F:F,FALSE)</f>
        <v>100</v>
      </c>
      <c r="H71" s="234">
        <f>_xlfn.XLOOKUP(E71,'All Products'!D:D,'All Products'!G:G,FALSE)</f>
        <v>9000</v>
      </c>
      <c r="I71" s="561">
        <f>_xlfn.XLOOKUP(E71,'All Products'!D:D,'All Products'!H:H,FALSE)</f>
        <v>20.89</v>
      </c>
      <c r="J71" s="135">
        <f>ROUND(I71*Order_Quote!$L$8,2)</f>
        <v>104.45</v>
      </c>
      <c r="K71" s="78"/>
      <c r="L71" s="116"/>
      <c r="M71" s="199">
        <f t="shared" si="2"/>
        <v>0</v>
      </c>
      <c r="O71" s="348" t="str">
        <f>_xlfn.XLOOKUP(E71,'All Products'!D:D,'All Products'!I:I,FALSE)</f>
        <v>In Stock</v>
      </c>
      <c r="P71" s="348" t="str">
        <f>_xlfn.XLOOKUP(E71,'All Products'!D:D,'All Products'!J:J,FALSE)</f>
        <v>Manufactured</v>
      </c>
      <c r="Q71" s="348" t="str">
        <f>_xlfn.XLOOKUP(E71,'All Products'!D:D,'All Products'!K:K,FALSE)</f>
        <v>049081160708</v>
      </c>
      <c r="R71" s="351" t="str">
        <f>_xlfn.XLOOKUP(E71,'All Products'!D:D,'All Products'!L:L,FALSE)</f>
        <v>049081660703</v>
      </c>
      <c r="S71" s="351" t="str">
        <f>_xlfn.XLOOKUP(E71,'All Products'!D:D,'All Products'!M:M,FALSE)</f>
        <v>40049081160706</v>
      </c>
      <c r="T71" s="348">
        <f>_xlfn.XLOOKUP(E71,'All Products'!D:D,'All Products'!N:N,FALSE)</f>
        <v>0.13200000000000001</v>
      </c>
      <c r="U71" s="351">
        <f>_xlfn.XLOOKUP(E71,'All Products'!D:D,'All Products'!O:O,FALSE)</f>
        <v>10</v>
      </c>
      <c r="V71" s="348">
        <f>_xlfn.XLOOKUP(E71,'All Products'!D:D,'All Products'!P:P,FALSE)</f>
        <v>14.21</v>
      </c>
      <c r="W71" s="348">
        <f>_xlfn.XLOOKUP(E71,'All Products'!D:D,'All Products'!Q:Q,FALSE)</f>
        <v>0.8</v>
      </c>
    </row>
    <row r="72" spans="1:23">
      <c r="A72" s="104" t="str">
        <f>IF(K72&gt;0,COUNT($A$7:A71)+COUNT('DWV PVC'!$A$8:$A$284)
+COUNT('DWV ABS'!$A$8:$A$116)
+COUNT('PVC SCH40'!$A$8:$A$375)
+COUNT('PVC SCH40 LD'!$A$8:$A$21)
+COUNT('Pool &amp; SPA Sweep Elbows'!$A$8:$A$11)
+COUNT('Pool &amp; SPA Pipe Extender'!$A$8:$A$10)+1,"")</f>
        <v/>
      </c>
      <c r="B72" s="579"/>
      <c r="C72" s="580"/>
      <c r="D72" s="155" t="str">
        <f>_xlfn.XLOOKUP(E72,'All Products'!D:D,'All Products'!C:C,FALSE)</f>
        <v>829-012</v>
      </c>
      <c r="E72" s="106">
        <v>100023556</v>
      </c>
      <c r="F72" s="559" t="str">
        <f>_xlfn.XLOOKUP(E72,'All Products'!D:D,'All Products'!E:E,FALSE)</f>
        <v>1-1/4 COUPLING SXS SCH80</v>
      </c>
      <c r="G72" s="283">
        <f>_xlfn.XLOOKUP(E72,'All Products'!D:D,'All Products'!F:F,FALSE)</f>
        <v>50</v>
      </c>
      <c r="H72" s="234">
        <f>_xlfn.XLOOKUP(E72,'All Products'!D:D,'All Products'!G:G,FALSE)</f>
        <v>6000</v>
      </c>
      <c r="I72" s="561">
        <f>_xlfn.XLOOKUP(E72,'All Products'!D:D,'All Products'!H:H,FALSE)</f>
        <v>31.77</v>
      </c>
      <c r="J72" s="135">
        <f>ROUND(I72*Order_Quote!$L$8,2)</f>
        <v>158.85</v>
      </c>
      <c r="K72" s="78"/>
      <c r="L72" s="116"/>
      <c r="M72" s="199">
        <f t="shared" si="2"/>
        <v>0</v>
      </c>
      <c r="O72" s="348" t="str">
        <f>_xlfn.XLOOKUP(E72,'All Products'!D:D,'All Products'!I:I,FALSE)</f>
        <v>In Stock</v>
      </c>
      <c r="P72" s="348" t="str">
        <f>_xlfn.XLOOKUP(E72,'All Products'!D:D,'All Products'!J:J,FALSE)</f>
        <v>Manufactured</v>
      </c>
      <c r="Q72" s="348" t="str">
        <f>_xlfn.XLOOKUP(E72,'All Products'!D:D,'All Products'!K:K,FALSE)</f>
        <v>049081160746</v>
      </c>
      <c r="R72" s="351" t="str">
        <f>_xlfn.XLOOKUP(E72,'All Products'!D:D,'All Products'!L:L,FALSE)</f>
        <v>049081660741</v>
      </c>
      <c r="S72" s="351" t="str">
        <f>_xlfn.XLOOKUP(E72,'All Products'!D:D,'All Products'!M:M,FALSE)</f>
        <v>40049081160744</v>
      </c>
      <c r="T72" s="348">
        <f>_xlfn.XLOOKUP(E72,'All Products'!D:D,'All Products'!N:N,FALSE)</f>
        <v>0.19</v>
      </c>
      <c r="U72" s="351">
        <f>_xlfn.XLOOKUP(E72,'All Products'!D:D,'All Products'!O:O,FALSE)</f>
        <v>5</v>
      </c>
      <c r="V72" s="348">
        <f>_xlfn.XLOOKUP(E72,'All Products'!D:D,'All Products'!P:P,FALSE)</f>
        <v>10.73</v>
      </c>
      <c r="W72" s="348">
        <f>_xlfn.XLOOKUP(E72,'All Products'!D:D,'All Products'!Q:Q,FALSE)</f>
        <v>0.65</v>
      </c>
    </row>
    <row r="73" spans="1:23">
      <c r="A73" s="104" t="str">
        <f>IF(K73&gt;0,COUNT($A$7:A72)+COUNT('DWV PVC'!$A$8:$A$284)
+COUNT('DWV ABS'!$A$8:$A$116)
+COUNT('PVC SCH40'!$A$8:$A$375)
+COUNT('PVC SCH40 LD'!$A$8:$A$21)
+COUNT('Pool &amp; SPA Sweep Elbows'!$A$8:$A$11)
+COUNT('Pool &amp; SPA Pipe Extender'!$A$8:$A$10)+1,"")</f>
        <v/>
      </c>
      <c r="B73" s="579"/>
      <c r="C73" s="580"/>
      <c r="D73" s="155" t="str">
        <f>_xlfn.XLOOKUP(E73,'All Products'!D:D,'All Products'!C:C,FALSE)</f>
        <v>829-015</v>
      </c>
      <c r="E73" s="106">
        <v>100023557</v>
      </c>
      <c r="F73" s="559" t="str">
        <f>_xlfn.XLOOKUP(E73,'All Products'!D:D,'All Products'!E:E,FALSE)</f>
        <v>1-1/2 COUPLING SXS SCH80</v>
      </c>
      <c r="G73" s="283">
        <f>_xlfn.XLOOKUP(E73,'All Products'!D:D,'All Products'!F:F,FALSE)</f>
        <v>50</v>
      </c>
      <c r="H73" s="234">
        <f>_xlfn.XLOOKUP(E73,'All Products'!D:D,'All Products'!G:G,FALSE)</f>
        <v>3750</v>
      </c>
      <c r="I73" s="561">
        <f>_xlfn.XLOOKUP(E73,'All Products'!D:D,'All Products'!H:H,FALSE)</f>
        <v>34.24</v>
      </c>
      <c r="J73" s="135">
        <f>ROUND(I73*Order_Quote!$L$8,2)</f>
        <v>171.2</v>
      </c>
      <c r="K73" s="78"/>
      <c r="L73" s="116"/>
      <c r="M73" s="199">
        <f t="shared" si="2"/>
        <v>0</v>
      </c>
      <c r="O73" s="348" t="str">
        <f>_xlfn.XLOOKUP(E73,'All Products'!D:D,'All Products'!I:I,FALSE)</f>
        <v>In Stock</v>
      </c>
      <c r="P73" s="348" t="str">
        <f>_xlfn.XLOOKUP(E73,'All Products'!D:D,'All Products'!J:J,FALSE)</f>
        <v>Manufactured</v>
      </c>
      <c r="Q73" s="348" t="str">
        <f>_xlfn.XLOOKUP(E73,'All Products'!D:D,'All Products'!K:K,FALSE)</f>
        <v>049081160784</v>
      </c>
      <c r="R73" s="351" t="str">
        <f>_xlfn.XLOOKUP(E73,'All Products'!D:D,'All Products'!L:L,FALSE)</f>
        <v>049081660789</v>
      </c>
      <c r="S73" s="351" t="str">
        <f>_xlfn.XLOOKUP(E73,'All Products'!D:D,'All Products'!M:M,FALSE)</f>
        <v>40049081160782</v>
      </c>
      <c r="T73" s="348">
        <f>_xlfn.XLOOKUP(E73,'All Products'!D:D,'All Products'!N:N,FALSE)</f>
        <v>0.29299999999999998</v>
      </c>
      <c r="U73" s="351">
        <f>_xlfn.XLOOKUP(E73,'All Products'!D:D,'All Products'!O:O,FALSE)</f>
        <v>5</v>
      </c>
      <c r="V73" s="348">
        <f>_xlfn.XLOOKUP(E73,'All Products'!D:D,'All Products'!P:P,FALSE)</f>
        <v>14.74</v>
      </c>
      <c r="W73" s="348">
        <f>_xlfn.XLOOKUP(E73,'All Products'!D:D,'All Products'!Q:Q,FALSE)</f>
        <v>0.95</v>
      </c>
    </row>
    <row r="74" spans="1:23">
      <c r="A74" s="104" t="str">
        <f>IF(K74&gt;0,COUNT($A$7:A73)+COUNT('DWV PVC'!$A$8:$A$284)
+COUNT('DWV ABS'!$A$8:$A$116)
+COUNT('PVC SCH40'!$A$8:$A$375)
+COUNT('PVC SCH40 LD'!$A$8:$A$21)
+COUNT('Pool &amp; SPA Sweep Elbows'!$A$8:$A$11)
+COUNT('Pool &amp; SPA Pipe Extender'!$A$8:$A$10)+1,"")</f>
        <v/>
      </c>
      <c r="B74" s="579"/>
      <c r="C74" s="580"/>
      <c r="D74" s="155" t="str">
        <f>_xlfn.XLOOKUP(E74,'All Products'!D:D,'All Products'!C:C,FALSE)</f>
        <v>829-020</v>
      </c>
      <c r="E74" s="106">
        <v>100023558</v>
      </c>
      <c r="F74" s="559" t="str">
        <f>_xlfn.XLOOKUP(E74,'All Products'!D:D,'All Products'!E:E,FALSE)</f>
        <v>2 COUPLING SXS SCH80</v>
      </c>
      <c r="G74" s="283">
        <f>_xlfn.XLOOKUP(E74,'All Products'!D:D,'All Products'!F:F,FALSE)</f>
        <v>25</v>
      </c>
      <c r="H74" s="234">
        <f>_xlfn.XLOOKUP(E74,'All Products'!D:D,'All Products'!G:G,FALSE)</f>
        <v>2250</v>
      </c>
      <c r="I74" s="561">
        <f>_xlfn.XLOOKUP(E74,'All Products'!D:D,'All Products'!H:H,FALSE)</f>
        <v>36.76</v>
      </c>
      <c r="J74" s="135">
        <f>ROUND(I74*Order_Quote!$L$8,2)</f>
        <v>183.8</v>
      </c>
      <c r="K74" s="78"/>
      <c r="L74" s="116"/>
      <c r="M74" s="199">
        <f t="shared" si="2"/>
        <v>0</v>
      </c>
      <c r="O74" s="348" t="str">
        <f>_xlfn.XLOOKUP(E74,'All Products'!D:D,'All Products'!I:I,FALSE)</f>
        <v>In Stock</v>
      </c>
      <c r="P74" s="348" t="str">
        <f>_xlfn.XLOOKUP(E74,'All Products'!D:D,'All Products'!J:J,FALSE)</f>
        <v>Manufactured</v>
      </c>
      <c r="Q74" s="348" t="str">
        <f>_xlfn.XLOOKUP(E74,'All Products'!D:D,'All Products'!K:K,FALSE)</f>
        <v>049081160821</v>
      </c>
      <c r="R74" s="351" t="str">
        <f>_xlfn.XLOOKUP(E74,'All Products'!D:D,'All Products'!L:L,FALSE)</f>
        <v>049081660826</v>
      </c>
      <c r="S74" s="351" t="str">
        <f>_xlfn.XLOOKUP(E74,'All Products'!D:D,'All Products'!M:M,FALSE)</f>
        <v>40049081160829</v>
      </c>
      <c r="T74" s="348">
        <f>_xlfn.XLOOKUP(E74,'All Products'!D:D,'All Products'!N:N,FALSE)</f>
        <v>0.378</v>
      </c>
      <c r="U74" s="351">
        <f>_xlfn.XLOOKUP(E74,'All Products'!D:D,'All Products'!O:O,FALSE)</f>
        <v>5</v>
      </c>
      <c r="V74" s="348">
        <f>_xlfn.XLOOKUP(E74,'All Products'!D:D,'All Products'!P:P,FALSE)</f>
        <v>10.65</v>
      </c>
      <c r="W74" s="348">
        <f>_xlfn.XLOOKUP(E74,'All Products'!D:D,'All Products'!Q:Q,FALSE)</f>
        <v>0.8</v>
      </c>
    </row>
    <row r="75" spans="1:23">
      <c r="A75" s="104" t="str">
        <f>IF(K75&gt;0,COUNT($A$7:A74)+COUNT('DWV PVC'!$A$8:$A$284)
+COUNT('DWV ABS'!$A$8:$A$116)
+COUNT('PVC SCH40'!$A$8:$A$375)
+COUNT('PVC SCH40 LD'!$A$8:$A$21)
+COUNT('Pool &amp; SPA Sweep Elbows'!$A$8:$A$11)
+COUNT('Pool &amp; SPA Pipe Extender'!$A$8:$A$10)+1,"")</f>
        <v/>
      </c>
      <c r="B75" s="579"/>
      <c r="C75" s="580"/>
      <c r="D75" s="155" t="str">
        <f>_xlfn.XLOOKUP(E75,'All Products'!D:D,'All Products'!C:C,FALSE)</f>
        <v>829-025</v>
      </c>
      <c r="E75" s="106">
        <v>100023559</v>
      </c>
      <c r="F75" s="559" t="str">
        <f>_xlfn.XLOOKUP(E75,'All Products'!D:D,'All Products'!E:E,FALSE)</f>
        <v>2-1/2 COUPLING SXS SCH80</v>
      </c>
      <c r="G75" s="283">
        <f>_xlfn.XLOOKUP(E75,'All Products'!D:D,'All Products'!F:F,FALSE)</f>
        <v>25</v>
      </c>
      <c r="H75" s="234">
        <f>_xlfn.XLOOKUP(E75,'All Products'!D:D,'All Products'!G:G,FALSE)</f>
        <v>1875</v>
      </c>
      <c r="I75" s="561">
        <f>_xlfn.XLOOKUP(E75,'All Products'!D:D,'All Products'!H:H,FALSE)</f>
        <v>90.53</v>
      </c>
      <c r="J75" s="135">
        <f>ROUND(I75*Order_Quote!$L$8,2)</f>
        <v>452.65</v>
      </c>
      <c r="K75" s="78"/>
      <c r="L75" s="116"/>
      <c r="M75" s="199">
        <f t="shared" si="2"/>
        <v>0</v>
      </c>
      <c r="O75" s="348" t="str">
        <f>_xlfn.XLOOKUP(E75,'All Products'!D:D,'All Products'!I:I,FALSE)</f>
        <v>In Stock</v>
      </c>
      <c r="P75" s="348" t="str">
        <f>_xlfn.XLOOKUP(E75,'All Products'!D:D,'All Products'!J:J,FALSE)</f>
        <v>Manufactured</v>
      </c>
      <c r="Q75" s="348" t="str">
        <f>_xlfn.XLOOKUP(E75,'All Products'!D:D,'All Products'!K:K,FALSE)</f>
        <v>049081160869</v>
      </c>
      <c r="R75" s="351" t="str">
        <f>_xlfn.XLOOKUP(E75,'All Products'!D:D,'All Products'!L:L,FALSE)</f>
        <v>049081660864</v>
      </c>
      <c r="S75" s="351" t="str">
        <f>_xlfn.XLOOKUP(E75,'All Products'!D:D,'All Products'!M:M,FALSE)</f>
        <v>40049081160867</v>
      </c>
      <c r="T75" s="348">
        <f>_xlfn.XLOOKUP(E75,'All Products'!D:D,'All Products'!N:N,FALSE)</f>
        <v>0.754</v>
      </c>
      <c r="U75" s="351">
        <f>_xlfn.XLOOKUP(E75,'All Products'!D:D,'All Products'!O:O,FALSE)</f>
        <v>5</v>
      </c>
      <c r="V75" s="348">
        <f>_xlfn.XLOOKUP(E75,'All Products'!D:D,'All Products'!P:P,FALSE)</f>
        <v>18.66</v>
      </c>
      <c r="W75" s="348">
        <f>_xlfn.XLOOKUP(E75,'All Products'!D:D,'All Products'!Q:Q,FALSE)</f>
        <v>1.1000000000000001</v>
      </c>
    </row>
    <row r="76" spans="1:23">
      <c r="A76" s="104" t="str">
        <f>IF(K76&gt;0,COUNT($A$7:A75)+COUNT('DWV PVC'!$A$8:$A$284)
+COUNT('DWV ABS'!$A$8:$A$116)
+COUNT('PVC SCH40'!$A$8:$A$375)
+COUNT('PVC SCH40 LD'!$A$8:$A$21)
+COUNT('Pool &amp; SPA Sweep Elbows'!$A$8:$A$11)
+COUNT('Pool &amp; SPA Pipe Extender'!$A$8:$A$10)+1,"")</f>
        <v/>
      </c>
      <c r="B76" s="579"/>
      <c r="C76" s="580"/>
      <c r="D76" s="155" t="str">
        <f>_xlfn.XLOOKUP(E76,'All Products'!D:D,'All Products'!C:C,FALSE)</f>
        <v>829-030</v>
      </c>
      <c r="E76" s="106">
        <v>100023560</v>
      </c>
      <c r="F76" s="559" t="str">
        <f>_xlfn.XLOOKUP(E76,'All Products'!D:D,'All Products'!E:E,FALSE)</f>
        <v>3 COUPLING SXS SCH80</v>
      </c>
      <c r="G76" s="283">
        <f>_xlfn.XLOOKUP(E76,'All Products'!D:D,'All Products'!F:F,FALSE)</f>
        <v>10</v>
      </c>
      <c r="H76" s="234">
        <f>_xlfn.XLOOKUP(E76,'All Products'!D:D,'All Products'!G:G,FALSE)</f>
        <v>1200</v>
      </c>
      <c r="I76" s="561">
        <f>_xlfn.XLOOKUP(E76,'All Products'!D:D,'All Products'!H:H,FALSE)</f>
        <v>103.92</v>
      </c>
      <c r="J76" s="135">
        <f>ROUND(I76*Order_Quote!$L$8,2)</f>
        <v>519.6</v>
      </c>
      <c r="K76" s="78"/>
      <c r="L76" s="116"/>
      <c r="M76" s="199">
        <f t="shared" si="2"/>
        <v>0</v>
      </c>
      <c r="O76" s="348" t="str">
        <f>_xlfn.XLOOKUP(E76,'All Products'!D:D,'All Products'!I:I,FALSE)</f>
        <v>In Stock</v>
      </c>
      <c r="P76" s="348" t="str">
        <f>_xlfn.XLOOKUP(E76,'All Products'!D:D,'All Products'!J:J,FALSE)</f>
        <v>Manufactured</v>
      </c>
      <c r="Q76" s="348" t="str">
        <f>_xlfn.XLOOKUP(E76,'All Products'!D:D,'All Products'!K:K,FALSE)</f>
        <v>049081160883</v>
      </c>
      <c r="R76" s="351" t="str">
        <f>_xlfn.XLOOKUP(E76,'All Products'!D:D,'All Products'!L:L,FALSE)</f>
        <v>-</v>
      </c>
      <c r="S76" s="351" t="str">
        <f>_xlfn.XLOOKUP(E76,'All Products'!D:D,'All Products'!M:M,FALSE)</f>
        <v>40049081160881</v>
      </c>
      <c r="T76" s="348">
        <f>_xlfn.XLOOKUP(E76,'All Products'!D:D,'All Products'!N:N,FALSE)</f>
        <v>0.85599999999999998</v>
      </c>
      <c r="U76" s="351" t="str">
        <f>_xlfn.XLOOKUP(E76,'All Products'!D:D,'All Products'!O:O,FALSE)</f>
        <v>-</v>
      </c>
      <c r="V76" s="348">
        <f>_xlfn.XLOOKUP(E76,'All Products'!D:D,'All Products'!P:P,FALSE)</f>
        <v>9.3699999999999992</v>
      </c>
      <c r="W76" s="348">
        <f>_xlfn.XLOOKUP(E76,'All Products'!D:D,'All Products'!Q:Q,FALSE)</f>
        <v>0.65</v>
      </c>
    </row>
    <row r="77" spans="1:23">
      <c r="A77" s="104" t="str">
        <f>IF(K77&gt;0,COUNT($A$7:A76)+COUNT('DWV PVC'!$A$8:$A$284)
+COUNT('DWV ABS'!$A$8:$A$116)
+COUNT('PVC SCH40'!$A$8:$A$375)
+COUNT('PVC SCH40 LD'!$A$8:$A$21)
+COUNT('Pool &amp; SPA Sweep Elbows'!$A$8:$A$11)
+COUNT('Pool &amp; SPA Pipe Extender'!$A$8:$A$10)+1,"")</f>
        <v/>
      </c>
      <c r="B77" s="579"/>
      <c r="C77" s="580"/>
      <c r="D77" s="155" t="str">
        <f>_xlfn.XLOOKUP(E77,'All Products'!D:D,'All Products'!C:C,FALSE)</f>
        <v>829-040</v>
      </c>
      <c r="E77" s="106">
        <v>100023561</v>
      </c>
      <c r="F77" s="559" t="str">
        <f>_xlfn.XLOOKUP(E77,'All Products'!D:D,'All Products'!E:E,FALSE)</f>
        <v>4 COUPLING SXS SCH80</v>
      </c>
      <c r="G77" s="283">
        <f>_xlfn.XLOOKUP(E77,'All Products'!D:D,'All Products'!F:F,FALSE)</f>
        <v>8</v>
      </c>
      <c r="H77" s="234">
        <f>_xlfn.XLOOKUP(E77,'All Products'!D:D,'All Products'!G:G,FALSE)</f>
        <v>600</v>
      </c>
      <c r="I77" s="561">
        <f>_xlfn.XLOOKUP(E77,'All Products'!D:D,'All Products'!H:H,FALSE)</f>
        <v>130.13</v>
      </c>
      <c r="J77" s="135">
        <f>ROUND(I77*Order_Quote!$L$8,2)</f>
        <v>650.65</v>
      </c>
      <c r="K77" s="78"/>
      <c r="L77" s="116"/>
      <c r="M77" s="199">
        <f t="shared" si="2"/>
        <v>0</v>
      </c>
      <c r="O77" s="348" t="str">
        <f>_xlfn.XLOOKUP(E77,'All Products'!D:D,'All Products'!I:I,FALSE)</f>
        <v>In Stock</v>
      </c>
      <c r="P77" s="348" t="str">
        <f>_xlfn.XLOOKUP(E77,'All Products'!D:D,'All Products'!J:J,FALSE)</f>
        <v>Manufactured</v>
      </c>
      <c r="Q77" s="348" t="str">
        <f>_xlfn.XLOOKUP(E77,'All Products'!D:D,'All Products'!K:K,FALSE)</f>
        <v>049081160906</v>
      </c>
      <c r="R77" s="351" t="str">
        <f>_xlfn.XLOOKUP(E77,'All Products'!D:D,'All Products'!L:L,FALSE)</f>
        <v>-</v>
      </c>
      <c r="S77" s="351" t="str">
        <f>_xlfn.XLOOKUP(E77,'All Products'!D:D,'All Products'!M:M,FALSE)</f>
        <v>40049081160904</v>
      </c>
      <c r="T77" s="348">
        <f>_xlfn.XLOOKUP(E77,'All Products'!D:D,'All Products'!N:N,FALSE)</f>
        <v>1.3160000000000001</v>
      </c>
      <c r="U77" s="351" t="str">
        <f>_xlfn.XLOOKUP(E77,'All Products'!D:D,'All Products'!O:O,FALSE)</f>
        <v>-</v>
      </c>
      <c r="V77" s="348">
        <f>_xlfn.XLOOKUP(E77,'All Products'!D:D,'All Products'!P:P,FALSE)</f>
        <v>11.95</v>
      </c>
      <c r="W77" s="348">
        <f>_xlfn.XLOOKUP(E77,'All Products'!D:D,'All Products'!Q:Q,FALSE)</f>
        <v>1.1000000000000001</v>
      </c>
    </row>
    <row r="78" spans="1:23">
      <c r="A78" s="104" t="str">
        <f>IF(K78&gt;0,COUNT($A$7:A77)+COUNT('DWV PVC'!$A$8:$A$284)
+COUNT('DWV ABS'!$A$8:$A$116)
+COUNT('PVC SCH40'!$A$8:$A$375)
+COUNT('PVC SCH40 LD'!$A$8:$A$21)
+COUNT('Pool &amp; SPA Sweep Elbows'!$A$8:$A$11)
+COUNT('Pool &amp; SPA Pipe Extender'!$A$8:$A$10)+1,"")</f>
        <v/>
      </c>
      <c r="B78" s="579"/>
      <c r="C78" s="580"/>
      <c r="D78" s="155" t="str">
        <f>_xlfn.XLOOKUP(E78,'All Products'!D:D,'All Products'!C:C,FALSE)</f>
        <v>829-060</v>
      </c>
      <c r="E78" s="106">
        <v>100023562</v>
      </c>
      <c r="F78" s="559" t="str">
        <f>_xlfn.XLOOKUP(E78,'All Products'!D:D,'All Products'!E:E,FALSE)</f>
        <v>6 COUPLING SXS SCH80</v>
      </c>
      <c r="G78" s="283">
        <f>_xlfn.XLOOKUP(E78,'All Products'!D:D,'All Products'!F:F,FALSE)</f>
        <v>4</v>
      </c>
      <c r="H78" s="234">
        <f>_xlfn.XLOOKUP(E78,'All Products'!D:D,'All Products'!G:G,FALSE)</f>
        <v>300</v>
      </c>
      <c r="I78" s="561">
        <f>_xlfn.XLOOKUP(E78,'All Products'!D:D,'All Products'!H:H,FALSE)</f>
        <v>280.06</v>
      </c>
      <c r="J78" s="135">
        <f>ROUND(I78*Order_Quote!$L$8,2)</f>
        <v>1400.3</v>
      </c>
      <c r="K78" s="78"/>
      <c r="L78" s="116"/>
      <c r="M78" s="199">
        <f t="shared" si="2"/>
        <v>0</v>
      </c>
      <c r="O78" s="348" t="str">
        <f>_xlfn.XLOOKUP(E78,'All Products'!D:D,'All Products'!I:I,FALSE)</f>
        <v>In Stock</v>
      </c>
      <c r="P78" s="348" t="str">
        <f>_xlfn.XLOOKUP(E78,'All Products'!D:D,'All Products'!J:J,FALSE)</f>
        <v>Manufactured</v>
      </c>
      <c r="Q78" s="348" t="str">
        <f>_xlfn.XLOOKUP(E78,'All Products'!D:D,'All Products'!K:K,FALSE)</f>
        <v>049081160944</v>
      </c>
      <c r="R78" s="351" t="str">
        <f>_xlfn.XLOOKUP(E78,'All Products'!D:D,'All Products'!L:L,FALSE)</f>
        <v>-</v>
      </c>
      <c r="S78" s="351" t="str">
        <f>_xlfn.XLOOKUP(E78,'All Products'!D:D,'All Products'!M:M,FALSE)</f>
        <v>40049081160942</v>
      </c>
      <c r="T78" s="348">
        <f>_xlfn.XLOOKUP(E78,'All Products'!D:D,'All Products'!N:N,FALSE)</f>
        <v>3.31</v>
      </c>
      <c r="U78" s="351" t="str">
        <f>_xlfn.XLOOKUP(E78,'All Products'!D:D,'All Products'!O:O,FALSE)</f>
        <v>-</v>
      </c>
      <c r="V78" s="348">
        <f>_xlfn.XLOOKUP(E78,'All Products'!D:D,'All Products'!P:P,FALSE)</f>
        <v>14.52</v>
      </c>
      <c r="W78" s="348">
        <f>_xlfn.XLOOKUP(E78,'All Products'!D:D,'All Products'!Q:Q,FALSE)</f>
        <v>1.1000000000000001</v>
      </c>
    </row>
    <row r="79" spans="1:23">
      <c r="A79" s="104" t="str">
        <f>IF(K79&gt;0,COUNT($A$7:A78)+COUNT('DWV PVC'!$A$8:$A$284)
+COUNT('DWV ABS'!$A$8:$A$116)
+COUNT('PVC SCH40'!$A$8:$A$375)
+COUNT('PVC SCH40 LD'!$A$8:$A$21)
+COUNT('Pool &amp; SPA Sweep Elbows'!$A$8:$A$11)
+COUNT('Pool &amp; SPA Pipe Extender'!$A$8:$A$10)+1,"")</f>
        <v/>
      </c>
      <c r="B79" s="581"/>
      <c r="C79" s="582"/>
      <c r="D79" s="155" t="str">
        <f>_xlfn.XLOOKUP(E79,'All Products'!D:D,'All Products'!C:C,FALSE)</f>
        <v>829-080</v>
      </c>
      <c r="E79" s="106">
        <v>100023563</v>
      </c>
      <c r="F79" s="559" t="str">
        <f>_xlfn.XLOOKUP(E79,'All Products'!D:D,'All Products'!E:E,FALSE)</f>
        <v>8 COUPLING SXS SCH80</v>
      </c>
      <c r="G79" s="283">
        <f>_xlfn.XLOOKUP(E79,'All Products'!D:D,'All Products'!F:F,FALSE)</f>
        <v>5</v>
      </c>
      <c r="H79" s="234">
        <f>_xlfn.XLOOKUP(E79,'All Products'!D:D,'All Products'!G:G,FALSE)</f>
        <v>120</v>
      </c>
      <c r="I79" s="561">
        <f>_xlfn.XLOOKUP(E79,'All Products'!D:D,'All Products'!H:H,FALSE)</f>
        <v>381.16</v>
      </c>
      <c r="J79" s="135">
        <f>ROUND(I79*Order_Quote!$L$8,2)</f>
        <v>1905.8</v>
      </c>
      <c r="K79" s="78"/>
      <c r="L79" s="116"/>
      <c r="M79" s="199">
        <f t="shared" si="2"/>
        <v>0</v>
      </c>
      <c r="O79" s="348" t="str">
        <f>_xlfn.XLOOKUP(E79,'All Products'!D:D,'All Products'!I:I,FALSE)</f>
        <v>In Stock</v>
      </c>
      <c r="P79" s="348" t="str">
        <f>_xlfn.XLOOKUP(E79,'All Products'!D:D,'All Products'!J:J,FALSE)</f>
        <v>Manufactured</v>
      </c>
      <c r="Q79" s="348" t="str">
        <f>_xlfn.XLOOKUP(E79,'All Products'!D:D,'All Products'!K:K,FALSE)</f>
        <v>049081160968</v>
      </c>
      <c r="R79" s="351" t="str">
        <f>_xlfn.XLOOKUP(E79,'All Products'!D:D,'All Products'!L:L,FALSE)</f>
        <v>-</v>
      </c>
      <c r="S79" s="351" t="str">
        <f>_xlfn.XLOOKUP(E79,'All Products'!D:D,'All Products'!M:M,FALSE)</f>
        <v>40049081160966</v>
      </c>
      <c r="T79" s="348">
        <f>_xlfn.XLOOKUP(E79,'All Products'!D:D,'All Products'!N:N,FALSE)</f>
        <v>6.2510000000000003</v>
      </c>
      <c r="U79" s="351" t="str">
        <f>_xlfn.XLOOKUP(E79,'All Products'!D:D,'All Products'!O:O,FALSE)</f>
        <v>-</v>
      </c>
      <c r="V79" s="348">
        <f>_xlfn.XLOOKUP(E79,'All Products'!D:D,'All Products'!P:P,FALSE)</f>
        <v>34.630000000000003</v>
      </c>
      <c r="W79" s="348">
        <f>_xlfn.XLOOKUP(E79,'All Products'!D:D,'All Products'!Q:Q,FALSE)</f>
        <v>2.77</v>
      </c>
    </row>
    <row r="80" spans="1:23" ht="28.5" customHeight="1">
      <c r="A80" s="104" t="str">
        <f>IF(K80&gt;0,COUNT($A$7:A79)+COUNT('DWV PVC'!$A$8:$A$284)
+COUNT('DWV ABS'!$A$8:$A$116)
+COUNT('PVC SCH40'!$A$8:$A$375)
+COUNT('PVC SCH40 LD'!$A$8:$A$21)
+COUNT('Pool &amp; SPA Sweep Elbows'!$A$8:$A$11)
+COUNT('Pool &amp; SPA Pipe Extender'!$A$8:$A$10)+1,"")</f>
        <v/>
      </c>
      <c r="B80" s="579"/>
      <c r="C80" s="580"/>
      <c r="D80" s="155" t="str">
        <f>_xlfn.XLOOKUP(E80,'All Products'!D:D,'All Products'!C:C,FALSE)</f>
        <v>829-422</v>
      </c>
      <c r="E80" s="106">
        <v>100028132</v>
      </c>
      <c r="F80" s="559" t="str">
        <f>_xlfn.XLOOKUP(E80,'All Products'!D:D,'All Products'!E:E,FALSE)</f>
        <v>4 X 3 RED COUPLING SXS SCH80</v>
      </c>
      <c r="G80" s="283">
        <f>_xlfn.XLOOKUP(E80,'All Products'!D:D,'All Products'!F:F,FALSE)</f>
        <v>5</v>
      </c>
      <c r="H80" s="234">
        <f>_xlfn.XLOOKUP(E80,'All Products'!D:D,'All Products'!G:G,FALSE)</f>
        <v>0</v>
      </c>
      <c r="I80" s="561">
        <f>_xlfn.XLOOKUP(E80,'All Products'!D:D,'All Products'!H:H,FALSE)</f>
        <v>296.64</v>
      </c>
      <c r="J80" s="135">
        <f>ROUND(I80*Order_Quote!$L$8,2)</f>
        <v>1483.2</v>
      </c>
      <c r="K80" s="78"/>
      <c r="L80" s="116"/>
      <c r="M80" s="199">
        <f t="shared" si="2"/>
        <v>0</v>
      </c>
      <c r="O80" s="348" t="str">
        <f>_xlfn.XLOOKUP(E80,'All Products'!D:D,'All Products'!I:I,FALSE)</f>
        <v>In Stock</v>
      </c>
      <c r="P80" s="348" t="str">
        <f>_xlfn.XLOOKUP(E80,'All Products'!D:D,'All Products'!J:J,FALSE)</f>
        <v>Manufactured</v>
      </c>
      <c r="Q80" s="348" t="str">
        <f>_xlfn.XLOOKUP(E80,'All Products'!D:D,'All Products'!K:K,FALSE)</f>
        <v>049081150860</v>
      </c>
      <c r="R80" s="351" t="str">
        <f>_xlfn.XLOOKUP(E80,'All Products'!D:D,'All Products'!L:L,FALSE)</f>
        <v>-</v>
      </c>
      <c r="S80" s="351" t="str">
        <f>_xlfn.XLOOKUP(E80,'All Products'!D:D,'All Products'!M:M,FALSE)</f>
        <v>40049081150868</v>
      </c>
      <c r="T80" s="348">
        <f>_xlfn.XLOOKUP(E80,'All Products'!D:D,'All Products'!N:N,FALSE)</f>
        <v>1.68</v>
      </c>
      <c r="U80" s="351" t="str">
        <f>_xlfn.XLOOKUP(E80,'All Products'!D:D,'All Products'!O:O,FALSE)</f>
        <v>-</v>
      </c>
      <c r="V80" s="348">
        <f>_xlfn.XLOOKUP(E80,'All Products'!D:D,'All Products'!P:P,FALSE)</f>
        <v>8.4</v>
      </c>
      <c r="W80" s="348" t="str">
        <f>_xlfn.XLOOKUP(E80,'All Products'!D:D,'All Products'!Q:Q,FALSE)</f>
        <v>-</v>
      </c>
    </row>
    <row r="81" spans="1:23" ht="28.5" customHeight="1">
      <c r="A81" s="104" t="str">
        <f>IF(K81&gt;0,COUNT($A$7:A80)+COUNT('DWV PVC'!$A$8:$A$284)
+COUNT('DWV ABS'!$A$8:$A$116)
+COUNT('PVC SCH40'!$A$8:$A$375)
+COUNT('PVC SCH40 LD'!$A$8:$A$21)
+COUNT('Pool &amp; SPA Sweep Elbows'!$A$8:$A$11)
+COUNT('Pool &amp; SPA Pipe Extender'!$A$8:$A$10)+1,"")</f>
        <v/>
      </c>
      <c r="B81" s="581"/>
      <c r="C81" s="582"/>
      <c r="D81" s="155" t="str">
        <f>_xlfn.XLOOKUP(E81,'All Products'!D:D,'All Products'!C:C,FALSE)</f>
        <v>829-585</v>
      </c>
      <c r="E81" s="106">
        <v>100028134</v>
      </c>
      <c r="F81" s="559" t="str">
        <f>_xlfn.XLOOKUP(E81,'All Products'!D:D,'All Products'!E:E,FALSE)</f>
        <v>8 X 6 RED COUPLING SXS SCH80</v>
      </c>
      <c r="G81" s="283">
        <f>_xlfn.XLOOKUP(E81,'All Products'!D:D,'All Products'!F:F,FALSE)</f>
        <v>2</v>
      </c>
      <c r="H81" s="234">
        <f>_xlfn.XLOOKUP(E81,'All Products'!D:D,'All Products'!G:G,FALSE)</f>
        <v>0</v>
      </c>
      <c r="I81" s="561">
        <f>_xlfn.XLOOKUP(E81,'All Products'!D:D,'All Products'!H:H,FALSE)</f>
        <v>1832.46</v>
      </c>
      <c r="J81" s="135">
        <f>ROUND(I81*Order_Quote!$L$8,2)</f>
        <v>9162.2999999999993</v>
      </c>
      <c r="K81" s="78"/>
      <c r="L81" s="116"/>
      <c r="M81" s="199">
        <f t="shared" si="2"/>
        <v>0</v>
      </c>
      <c r="O81" s="348" t="str">
        <f>_xlfn.XLOOKUP(E81,'All Products'!D:D,'All Products'!I:I,FALSE)</f>
        <v>Within 3 Weeks</v>
      </c>
      <c r="P81" s="348" t="str">
        <f>_xlfn.XLOOKUP(E81,'All Products'!D:D,'All Products'!J:J,FALSE)</f>
        <v>Manufactured</v>
      </c>
      <c r="Q81" s="348" t="str">
        <f>_xlfn.XLOOKUP(E81,'All Products'!D:D,'All Products'!K:K,FALSE)</f>
        <v>049081150983</v>
      </c>
      <c r="R81" s="351" t="str">
        <f>_xlfn.XLOOKUP(E81,'All Products'!D:D,'All Products'!L:L,FALSE)</f>
        <v>-</v>
      </c>
      <c r="S81" s="351" t="str">
        <f>_xlfn.XLOOKUP(E81,'All Products'!D:D,'All Products'!M:M,FALSE)</f>
        <v>40049081150981</v>
      </c>
      <c r="T81" s="348">
        <f>_xlfn.XLOOKUP(E81,'All Products'!D:D,'All Products'!N:N,FALSE)</f>
        <v>7.5839999999999996</v>
      </c>
      <c r="U81" s="351" t="str">
        <f>_xlfn.XLOOKUP(E81,'All Products'!D:D,'All Products'!O:O,FALSE)</f>
        <v>-</v>
      </c>
      <c r="V81" s="348">
        <f>_xlfn.XLOOKUP(E81,'All Products'!D:D,'All Products'!P:P,FALSE)</f>
        <v>15.167999999999999</v>
      </c>
      <c r="W81" s="348" t="str">
        <f>_xlfn.XLOOKUP(E81,'All Products'!D:D,'All Products'!Q:Q,FALSE)</f>
        <v>-</v>
      </c>
    </row>
    <row r="82" spans="1:23">
      <c r="A82" s="104" t="str">
        <f>IF(K82&gt;0,COUNT($A$7:A81)+COUNT('DWV PVC'!$A$8:$A$284)
+COUNT('DWV ABS'!$A$8:$A$116)
+COUNT('PVC SCH40'!$A$8:$A$375)
+COUNT('PVC SCH40 LD'!$A$8:$A$21)
+COUNT('Pool &amp; SPA Sweep Elbows'!$A$8:$A$11)
+COUNT('Pool &amp; SPA Pipe Extender'!$A$8:$A$10)+1,"")</f>
        <v/>
      </c>
      <c r="B82" s="579"/>
      <c r="C82" s="580"/>
      <c r="D82" s="155" t="str">
        <f>_xlfn.XLOOKUP(E82,'All Products'!D:D,'All Products'!C:C,FALSE)</f>
        <v>830-003</v>
      </c>
      <c r="E82" s="106">
        <v>100030600</v>
      </c>
      <c r="F82" s="559" t="str">
        <f>_xlfn.XLOOKUP(E82,'All Products'!D:D,'All Products'!E:E,FALSE)</f>
        <v>3/8 COUPLING FIPTXFIPT SCH80</v>
      </c>
      <c r="G82" s="283">
        <f>_xlfn.XLOOKUP(E82,'All Products'!D:D,'All Products'!F:F,FALSE)</f>
        <v>200</v>
      </c>
      <c r="H82" s="234">
        <f>_xlfn.XLOOKUP(E82,'All Products'!D:D,'All Products'!G:G,FALSE)</f>
        <v>0</v>
      </c>
      <c r="I82" s="561">
        <f>_xlfn.XLOOKUP(E82,'All Products'!D:D,'All Products'!H:H,FALSE)</f>
        <v>17.98</v>
      </c>
      <c r="J82" s="135">
        <f>ROUND(I82*Order_Quote!$L$8,2)</f>
        <v>89.9</v>
      </c>
      <c r="K82" s="78"/>
      <c r="L82" s="116"/>
      <c r="M82" s="199">
        <f t="shared" si="2"/>
        <v>0</v>
      </c>
      <c r="O82" s="348" t="str">
        <f>_xlfn.XLOOKUP(E82,'All Products'!D:D,'All Products'!I:I,FALSE)</f>
        <v>Within 3 Weeks</v>
      </c>
      <c r="P82" s="348" t="str">
        <f>_xlfn.XLOOKUP(E82,'All Products'!D:D,'All Products'!J:J,FALSE)</f>
        <v>Manufactured</v>
      </c>
      <c r="Q82" s="348" t="str">
        <f>_xlfn.XLOOKUP(E82,'All Products'!D:D,'All Products'!K:K,FALSE)</f>
        <v>049081161125</v>
      </c>
      <c r="R82" s="351" t="str">
        <f>_xlfn.XLOOKUP(E82,'All Products'!D:D,'All Products'!L:L,FALSE)</f>
        <v>-</v>
      </c>
      <c r="S82" s="351" t="str">
        <f>_xlfn.XLOOKUP(E82,'All Products'!D:D,'All Products'!M:M,FALSE)</f>
        <v>40049081161123</v>
      </c>
      <c r="T82" s="348">
        <f>_xlfn.XLOOKUP(E82,'All Products'!D:D,'All Products'!N:N,FALSE)</f>
        <v>3.7999999999999999E-2</v>
      </c>
      <c r="U82" s="351" t="str">
        <f>_xlfn.XLOOKUP(E82,'All Products'!D:D,'All Products'!O:O,FALSE)</f>
        <v>-</v>
      </c>
      <c r="V82" s="348">
        <f>_xlfn.XLOOKUP(E82,'All Products'!D:D,'All Products'!P:P,FALSE)</f>
        <v>7.58</v>
      </c>
      <c r="W82" s="348" t="str">
        <f>_xlfn.XLOOKUP(E82,'All Products'!D:D,'All Products'!Q:Q,FALSE)</f>
        <v>-</v>
      </c>
    </row>
    <row r="83" spans="1:23">
      <c r="A83" s="104" t="str">
        <f>IF(K83&gt;0,COUNT($A$7:A82)+COUNT('DWV PVC'!$A$8:$A$284)
+COUNT('DWV ABS'!$A$8:$A$116)
+COUNT('PVC SCH40'!$A$8:$A$375)
+COUNT('PVC SCH40 LD'!$A$8:$A$21)
+COUNT('Pool &amp; SPA Sweep Elbows'!$A$8:$A$11)
+COUNT('Pool &amp; SPA Pipe Extender'!$A$8:$A$10)+1,"")</f>
        <v/>
      </c>
      <c r="B83" s="579"/>
      <c r="C83" s="580"/>
      <c r="D83" s="155" t="str">
        <f>_xlfn.XLOOKUP(E83,'All Products'!D:D,'All Products'!C:C,FALSE)</f>
        <v>830-005</v>
      </c>
      <c r="E83" s="106">
        <v>100023564</v>
      </c>
      <c r="F83" s="559" t="str">
        <f>_xlfn.XLOOKUP(E83,'All Products'!D:D,'All Products'!E:E,FALSE)</f>
        <v>1/2 COUPLING FIPTXFIPT SCH80</v>
      </c>
      <c r="G83" s="283">
        <f>_xlfn.XLOOKUP(E83,'All Products'!D:D,'All Products'!F:F,FALSE)</f>
        <v>250</v>
      </c>
      <c r="H83" s="234">
        <f>_xlfn.XLOOKUP(E83,'All Products'!D:D,'All Products'!G:G,FALSE)</f>
        <v>30000</v>
      </c>
      <c r="I83" s="561">
        <f>_xlfn.XLOOKUP(E83,'All Products'!D:D,'All Products'!H:H,FALSE)</f>
        <v>16.75</v>
      </c>
      <c r="J83" s="135">
        <f>ROUND(I83*Order_Quote!$L$8,2)</f>
        <v>83.75</v>
      </c>
      <c r="K83" s="78"/>
      <c r="L83" s="116"/>
      <c r="M83" s="199">
        <f t="shared" si="2"/>
        <v>0</v>
      </c>
      <c r="O83" s="348" t="str">
        <f>_xlfn.XLOOKUP(E83,'All Products'!D:D,'All Products'!I:I,FALSE)</f>
        <v>In Stock</v>
      </c>
      <c r="P83" s="348" t="str">
        <f>_xlfn.XLOOKUP(E83,'All Products'!D:D,'All Products'!J:J,FALSE)</f>
        <v>Manufactured</v>
      </c>
      <c r="Q83" s="348" t="str">
        <f>_xlfn.XLOOKUP(E83,'All Products'!D:D,'All Products'!K:K,FALSE)</f>
        <v>049081161149</v>
      </c>
      <c r="R83" s="351" t="str">
        <f>_xlfn.XLOOKUP(E83,'All Products'!D:D,'All Products'!L:L,FALSE)</f>
        <v>049081661144</v>
      </c>
      <c r="S83" s="351" t="str">
        <f>_xlfn.XLOOKUP(E83,'All Products'!D:D,'All Products'!M:M,FALSE)</f>
        <v>40049081161147</v>
      </c>
      <c r="T83" s="348">
        <f>_xlfn.XLOOKUP(E83,'All Products'!D:D,'All Products'!N:N,FALSE)</f>
        <v>7.5999999999999998E-2</v>
      </c>
      <c r="U83" s="351">
        <f>_xlfn.XLOOKUP(E83,'All Products'!D:D,'All Products'!O:O,FALSE)</f>
        <v>10</v>
      </c>
      <c r="V83" s="348">
        <f>_xlfn.XLOOKUP(E83,'All Products'!D:D,'All Products'!P:P,FALSE)</f>
        <v>18.690000000000001</v>
      </c>
      <c r="W83" s="348">
        <f>_xlfn.XLOOKUP(E83,'All Products'!D:D,'All Products'!Q:Q,FALSE)</f>
        <v>0.65</v>
      </c>
    </row>
    <row r="84" spans="1:23">
      <c r="A84" s="104" t="str">
        <f>IF(K84&gt;0,COUNT($A$7:A83)+COUNT('DWV PVC'!$A$8:$A$284)
+COUNT('DWV ABS'!$A$8:$A$116)
+COUNT('PVC SCH40'!$A$8:$A$375)
+COUNT('PVC SCH40 LD'!$A$8:$A$21)
+COUNT('Pool &amp; SPA Sweep Elbows'!$A$8:$A$11)
+COUNT('Pool &amp; SPA Pipe Extender'!$A$8:$A$10)+1,"")</f>
        <v/>
      </c>
      <c r="B84" s="579"/>
      <c r="C84" s="580"/>
      <c r="D84" s="155" t="str">
        <f>_xlfn.XLOOKUP(E84,'All Products'!D:D,'All Products'!C:C,FALSE)</f>
        <v>830-007</v>
      </c>
      <c r="E84" s="106">
        <v>100023565</v>
      </c>
      <c r="F84" s="559" t="str">
        <f>_xlfn.XLOOKUP(E84,'All Products'!D:D,'All Products'!E:E,FALSE)</f>
        <v>3/4 COUPLING FIPTXFIPT SCH80</v>
      </c>
      <c r="G84" s="283">
        <f>_xlfn.XLOOKUP(E84,'All Products'!D:D,'All Products'!F:F,FALSE)</f>
        <v>250</v>
      </c>
      <c r="H84" s="234">
        <f>_xlfn.XLOOKUP(E84,'All Products'!D:D,'All Products'!G:G,FALSE)</f>
        <v>18750</v>
      </c>
      <c r="I84" s="561">
        <f>_xlfn.XLOOKUP(E84,'All Products'!D:D,'All Products'!H:H,FALSE)</f>
        <v>23.92</v>
      </c>
      <c r="J84" s="135">
        <f>ROUND(I84*Order_Quote!$L$8,2)</f>
        <v>119.6</v>
      </c>
      <c r="K84" s="78"/>
      <c r="L84" s="116"/>
      <c r="M84" s="199">
        <f t="shared" si="2"/>
        <v>0</v>
      </c>
      <c r="O84" s="348" t="str">
        <f>_xlfn.XLOOKUP(E84,'All Products'!D:D,'All Products'!I:I,FALSE)</f>
        <v>Within 3 Weeks</v>
      </c>
      <c r="P84" s="348" t="str">
        <f>_xlfn.XLOOKUP(E84,'All Products'!D:D,'All Products'!J:J,FALSE)</f>
        <v>Manufactured</v>
      </c>
      <c r="Q84" s="348" t="str">
        <f>_xlfn.XLOOKUP(E84,'All Products'!D:D,'All Products'!K:K,FALSE)</f>
        <v>049081161163</v>
      </c>
      <c r="R84" s="351" t="str">
        <f>_xlfn.XLOOKUP(E84,'All Products'!D:D,'All Products'!L:L,FALSE)</f>
        <v>049081661168</v>
      </c>
      <c r="S84" s="351" t="str">
        <f>_xlfn.XLOOKUP(E84,'All Products'!D:D,'All Products'!M:M,FALSE)</f>
        <v>40049081161161</v>
      </c>
      <c r="T84" s="348">
        <f>_xlfn.XLOOKUP(E84,'All Products'!D:D,'All Products'!N:N,FALSE)</f>
        <v>9.6000000000000002E-2</v>
      </c>
      <c r="U84" s="351">
        <f>_xlfn.XLOOKUP(E84,'All Products'!D:D,'All Products'!O:O,FALSE)</f>
        <v>10</v>
      </c>
      <c r="V84" s="348">
        <f>_xlfn.XLOOKUP(E84,'All Products'!D:D,'All Products'!P:P,FALSE)</f>
        <v>23.86</v>
      </c>
      <c r="W84" s="348">
        <f>_xlfn.XLOOKUP(E84,'All Products'!D:D,'All Products'!Q:Q,FALSE)</f>
        <v>0.95</v>
      </c>
    </row>
    <row r="85" spans="1:23">
      <c r="A85" s="104" t="str">
        <f>IF(K85&gt;0,COUNT($A$7:A84)+COUNT('DWV PVC'!$A$8:$A$284)
+COUNT('DWV ABS'!$A$8:$A$116)
+COUNT('PVC SCH40'!$A$8:$A$375)
+COUNT('PVC SCH40 LD'!$A$8:$A$21)
+COUNT('Pool &amp; SPA Sweep Elbows'!$A$8:$A$11)
+COUNT('Pool &amp; SPA Pipe Extender'!$A$8:$A$10)+1,"")</f>
        <v/>
      </c>
      <c r="B85" s="579"/>
      <c r="C85" s="580"/>
      <c r="D85" s="155" t="str">
        <f>_xlfn.XLOOKUP(E85,'All Products'!D:D,'All Products'!C:C,FALSE)</f>
        <v>830-010</v>
      </c>
      <c r="E85" s="106">
        <v>100023567</v>
      </c>
      <c r="F85" s="559" t="str">
        <f>_xlfn.XLOOKUP(E85,'All Products'!D:D,'All Products'!E:E,FALSE)</f>
        <v>1 COUPLING FIPTXFIPT SCH80</v>
      </c>
      <c r="G85" s="283">
        <f>_xlfn.XLOOKUP(E85,'All Products'!D:D,'All Products'!F:F,FALSE)</f>
        <v>100</v>
      </c>
      <c r="H85" s="234">
        <f>_xlfn.XLOOKUP(E85,'All Products'!D:D,'All Products'!G:G,FALSE)</f>
        <v>9000</v>
      </c>
      <c r="I85" s="561">
        <f>_xlfn.XLOOKUP(E85,'All Products'!D:D,'All Products'!H:H,FALSE)</f>
        <v>25.67</v>
      </c>
      <c r="J85" s="135">
        <f>ROUND(I85*Order_Quote!$L$8,2)</f>
        <v>128.35</v>
      </c>
      <c r="K85" s="78"/>
      <c r="L85" s="116"/>
      <c r="M85" s="199">
        <f t="shared" si="2"/>
        <v>0</v>
      </c>
      <c r="O85" s="348" t="str">
        <f>_xlfn.XLOOKUP(E85,'All Products'!D:D,'All Products'!I:I,FALSE)</f>
        <v>In Stock</v>
      </c>
      <c r="P85" s="348" t="str">
        <f>_xlfn.XLOOKUP(E85,'All Products'!D:D,'All Products'!J:J,FALSE)</f>
        <v>Manufactured</v>
      </c>
      <c r="Q85" s="348" t="str">
        <f>_xlfn.XLOOKUP(E85,'All Products'!D:D,'All Products'!K:K,FALSE)</f>
        <v>049081161187</v>
      </c>
      <c r="R85" s="351" t="str">
        <f>_xlfn.XLOOKUP(E85,'All Products'!D:D,'All Products'!L:L,FALSE)</f>
        <v>049081661182</v>
      </c>
      <c r="S85" s="351" t="str">
        <f>_xlfn.XLOOKUP(E85,'All Products'!D:D,'All Products'!M:M,FALSE)</f>
        <v>40049081161185</v>
      </c>
      <c r="T85" s="348">
        <f>_xlfn.XLOOKUP(E85,'All Products'!D:D,'All Products'!N:N,FALSE)</f>
        <v>0.152</v>
      </c>
      <c r="U85" s="351">
        <f>_xlfn.XLOOKUP(E85,'All Products'!D:D,'All Products'!O:O,FALSE)</f>
        <v>10</v>
      </c>
      <c r="V85" s="348">
        <f>_xlfn.XLOOKUP(E85,'All Products'!D:D,'All Products'!P:P,FALSE)</f>
        <v>16.5</v>
      </c>
      <c r="W85" s="348">
        <f>_xlfn.XLOOKUP(E85,'All Products'!D:D,'All Products'!Q:Q,FALSE)</f>
        <v>0.8</v>
      </c>
    </row>
    <row r="86" spans="1:23">
      <c r="A86" s="104" t="str">
        <f>IF(K86&gt;0,COUNT($A$7:A85)+COUNT('DWV PVC'!$A$8:$A$284)
+COUNT('DWV ABS'!$A$8:$A$116)
+COUNT('PVC SCH40'!$A$8:$A$375)
+COUNT('PVC SCH40 LD'!$A$8:$A$21)
+COUNT('Pool &amp; SPA Sweep Elbows'!$A$8:$A$11)
+COUNT('Pool &amp; SPA Pipe Extender'!$A$8:$A$10)+1,"")</f>
        <v/>
      </c>
      <c r="B86" s="579"/>
      <c r="C86" s="580"/>
      <c r="D86" s="155" t="str">
        <f>_xlfn.XLOOKUP(E86,'All Products'!D:D,'All Products'!C:C,FALSE)</f>
        <v>830-012</v>
      </c>
      <c r="E86" s="106">
        <v>100023568</v>
      </c>
      <c r="F86" s="559" t="str">
        <f>_xlfn.XLOOKUP(E86,'All Products'!D:D,'All Products'!E:E,FALSE)</f>
        <v>1-1/4 COUPLING FIPTXFIPT SCH80</v>
      </c>
      <c r="G86" s="283">
        <f>_xlfn.XLOOKUP(E86,'All Products'!D:D,'All Products'!F:F,FALSE)</f>
        <v>50</v>
      </c>
      <c r="H86" s="234">
        <f>_xlfn.XLOOKUP(E86,'All Products'!D:D,'All Products'!G:G,FALSE)</f>
        <v>6000</v>
      </c>
      <c r="I86" s="561">
        <f>_xlfn.XLOOKUP(E86,'All Products'!D:D,'All Products'!H:H,FALSE)</f>
        <v>31.77</v>
      </c>
      <c r="J86" s="135">
        <f>ROUND(I86*Order_Quote!$L$8,2)</f>
        <v>158.85</v>
      </c>
      <c r="K86" s="78"/>
      <c r="L86" s="116"/>
      <c r="M86" s="199">
        <f t="shared" si="2"/>
        <v>0</v>
      </c>
      <c r="O86" s="348" t="str">
        <f>_xlfn.XLOOKUP(E86,'All Products'!D:D,'All Products'!I:I,FALSE)</f>
        <v>Within 3 Weeks</v>
      </c>
      <c r="P86" s="348" t="str">
        <f>_xlfn.XLOOKUP(E86,'All Products'!D:D,'All Products'!J:J,FALSE)</f>
        <v>Manufactured</v>
      </c>
      <c r="Q86" s="348" t="str">
        <f>_xlfn.XLOOKUP(E86,'All Products'!D:D,'All Products'!K:K,FALSE)</f>
        <v>049081161200</v>
      </c>
      <c r="R86" s="351" t="str">
        <f>_xlfn.XLOOKUP(E86,'All Products'!D:D,'All Products'!L:L,FALSE)</f>
        <v>049081661205</v>
      </c>
      <c r="S86" s="351" t="str">
        <f>_xlfn.XLOOKUP(E86,'All Products'!D:D,'All Products'!M:M,FALSE)</f>
        <v>40049081161208</v>
      </c>
      <c r="T86" s="348">
        <f>_xlfn.XLOOKUP(E86,'All Products'!D:D,'All Products'!N:N,FALSE)</f>
        <v>0.215</v>
      </c>
      <c r="U86" s="351">
        <f>_xlfn.XLOOKUP(E86,'All Products'!D:D,'All Products'!O:O,FALSE)</f>
        <v>5</v>
      </c>
      <c r="V86" s="348">
        <f>_xlfn.XLOOKUP(E86,'All Products'!D:D,'All Products'!P:P,FALSE)</f>
        <v>10.98</v>
      </c>
      <c r="W86" s="348">
        <f>_xlfn.XLOOKUP(E86,'All Products'!D:D,'All Products'!Q:Q,FALSE)</f>
        <v>0.65</v>
      </c>
    </row>
    <row r="87" spans="1:23">
      <c r="A87" s="104" t="str">
        <f>IF(K87&gt;0,COUNT($A$7:A86)+COUNT('DWV PVC'!$A$8:$A$284)
+COUNT('DWV ABS'!$A$8:$A$116)
+COUNT('PVC SCH40'!$A$8:$A$375)
+COUNT('PVC SCH40 LD'!$A$8:$A$21)
+COUNT('Pool &amp; SPA Sweep Elbows'!$A$8:$A$11)
+COUNT('Pool &amp; SPA Pipe Extender'!$A$8:$A$10)+1,"")</f>
        <v/>
      </c>
      <c r="B87" s="579"/>
      <c r="C87" s="580"/>
      <c r="D87" s="155" t="str">
        <f>_xlfn.XLOOKUP(E87,'All Products'!D:D,'All Products'!C:C,FALSE)</f>
        <v>830-015</v>
      </c>
      <c r="E87" s="106">
        <v>100023569</v>
      </c>
      <c r="F87" s="559" t="str">
        <f>_xlfn.XLOOKUP(E87,'All Products'!D:D,'All Products'!E:E,FALSE)</f>
        <v>1-1/2 COUPLING FIPTXFIPT SCH80</v>
      </c>
      <c r="G87" s="283">
        <f>_xlfn.XLOOKUP(E87,'All Products'!D:D,'All Products'!F:F,FALSE)</f>
        <v>50</v>
      </c>
      <c r="H87" s="234">
        <f>_xlfn.XLOOKUP(E87,'All Products'!D:D,'All Products'!G:G,FALSE)</f>
        <v>6000</v>
      </c>
      <c r="I87" s="561">
        <f>_xlfn.XLOOKUP(E87,'All Products'!D:D,'All Products'!H:H,FALSE)</f>
        <v>70.64</v>
      </c>
      <c r="J87" s="135">
        <f>ROUND(I87*Order_Quote!$L$8,2)</f>
        <v>353.2</v>
      </c>
      <c r="K87" s="78"/>
      <c r="L87" s="116"/>
      <c r="M87" s="199">
        <f t="shared" si="2"/>
        <v>0</v>
      </c>
      <c r="O87" s="348" t="str">
        <f>_xlfn.XLOOKUP(E87,'All Products'!D:D,'All Products'!I:I,FALSE)</f>
        <v>In Stock</v>
      </c>
      <c r="P87" s="348" t="str">
        <f>_xlfn.XLOOKUP(E87,'All Products'!D:D,'All Products'!J:J,FALSE)</f>
        <v>Manufactured</v>
      </c>
      <c r="Q87" s="348" t="str">
        <f>_xlfn.XLOOKUP(E87,'All Products'!D:D,'All Products'!K:K,FALSE)</f>
        <v>049081161224</v>
      </c>
      <c r="R87" s="351" t="str">
        <f>_xlfn.XLOOKUP(E87,'All Products'!D:D,'All Products'!L:L,FALSE)</f>
        <v>049081661229</v>
      </c>
      <c r="S87" s="351" t="str">
        <f>_xlfn.XLOOKUP(E87,'All Products'!D:D,'All Products'!M:M,FALSE)</f>
        <v>40049081161222</v>
      </c>
      <c r="T87" s="348">
        <f>_xlfn.XLOOKUP(E87,'All Products'!D:D,'All Products'!N:N,FALSE)</f>
        <v>0.253</v>
      </c>
      <c r="U87" s="351">
        <f>_xlfn.XLOOKUP(E87,'All Products'!D:D,'All Products'!O:O,FALSE)</f>
        <v>5</v>
      </c>
      <c r="V87" s="348">
        <f>_xlfn.XLOOKUP(E87,'All Products'!D:D,'All Products'!P:P,FALSE)</f>
        <v>12.45</v>
      </c>
      <c r="W87" s="348">
        <f>_xlfn.XLOOKUP(E87,'All Products'!D:D,'All Products'!Q:Q,FALSE)</f>
        <v>0.65</v>
      </c>
    </row>
    <row r="88" spans="1:23">
      <c r="A88" s="104" t="str">
        <f>IF(K88&gt;0,COUNT($A$7:A87)+COUNT('DWV PVC'!$A$8:$A$284)
+COUNT('DWV ABS'!$A$8:$A$116)
+COUNT('PVC SCH40'!$A$8:$A$375)
+COUNT('PVC SCH40 LD'!$A$8:$A$21)
+COUNT('Pool &amp; SPA Sweep Elbows'!$A$8:$A$11)
+COUNT('Pool &amp; SPA Pipe Extender'!$A$8:$A$10)+1,"")</f>
        <v/>
      </c>
      <c r="B88" s="579"/>
      <c r="C88" s="580"/>
      <c r="D88" s="155" t="str">
        <f>_xlfn.XLOOKUP(E88,'All Products'!D:D,'All Products'!C:C,FALSE)</f>
        <v>830-020</v>
      </c>
      <c r="E88" s="106">
        <v>100023570</v>
      </c>
      <c r="F88" s="559" t="str">
        <f>_xlfn.XLOOKUP(E88,'All Products'!D:D,'All Products'!E:E,FALSE)</f>
        <v>2 COUPLING FIPTXFIPT SCH80</v>
      </c>
      <c r="G88" s="283">
        <f>_xlfn.XLOOKUP(E88,'All Products'!D:D,'All Products'!F:F,FALSE)</f>
        <v>25</v>
      </c>
      <c r="H88" s="234">
        <f>_xlfn.XLOOKUP(E88,'All Products'!D:D,'All Products'!G:G,FALSE)</f>
        <v>3750</v>
      </c>
      <c r="I88" s="561">
        <f>_xlfn.XLOOKUP(E88,'All Products'!D:D,'All Products'!H:H,FALSE)</f>
        <v>74.17</v>
      </c>
      <c r="J88" s="135">
        <f>ROUND(I88*Order_Quote!$L$8,2)</f>
        <v>370.85</v>
      </c>
      <c r="K88" s="78"/>
      <c r="L88" s="116"/>
      <c r="M88" s="199">
        <f t="shared" si="2"/>
        <v>0</v>
      </c>
      <c r="O88" s="348" t="str">
        <f>_xlfn.XLOOKUP(E88,'All Products'!D:D,'All Products'!I:I,FALSE)</f>
        <v>In Stock</v>
      </c>
      <c r="P88" s="348" t="str">
        <f>_xlfn.XLOOKUP(E88,'All Products'!D:D,'All Products'!J:J,FALSE)</f>
        <v>Manufactured</v>
      </c>
      <c r="Q88" s="348" t="str">
        <f>_xlfn.XLOOKUP(E88,'All Products'!D:D,'All Products'!K:K,FALSE)</f>
        <v>049081161248</v>
      </c>
      <c r="R88" s="351" t="str">
        <f>_xlfn.XLOOKUP(E88,'All Products'!D:D,'All Products'!L:L,FALSE)</f>
        <v>049081661243</v>
      </c>
      <c r="S88" s="351" t="str">
        <f>_xlfn.XLOOKUP(E88,'All Products'!D:D,'All Products'!M:M,FALSE)</f>
        <v>40049081161246</v>
      </c>
      <c r="T88" s="348">
        <f>_xlfn.XLOOKUP(E88,'All Products'!D:D,'All Products'!N:N,FALSE)</f>
        <v>0.35799999999999998</v>
      </c>
      <c r="U88" s="351">
        <f>_xlfn.XLOOKUP(E88,'All Products'!D:D,'All Products'!O:O,FALSE)</f>
        <v>5</v>
      </c>
      <c r="V88" s="348">
        <f>_xlfn.XLOOKUP(E88,'All Products'!D:D,'All Products'!P:P,FALSE)</f>
        <v>9.02</v>
      </c>
      <c r="W88" s="348">
        <f>_xlfn.XLOOKUP(E88,'All Products'!D:D,'All Products'!Q:Q,FALSE)</f>
        <v>0.5</v>
      </c>
    </row>
    <row r="89" spans="1:23">
      <c r="A89" s="104" t="str">
        <f>IF(K89&gt;0,COUNT($A$7:A88)+COUNT('DWV PVC'!$A$8:$A$284)
+COUNT('DWV ABS'!$A$8:$A$116)
+COUNT('PVC SCH40'!$A$8:$A$375)
+COUNT('PVC SCH40 LD'!$A$8:$A$21)
+COUNT('Pool &amp; SPA Sweep Elbows'!$A$8:$A$11)
+COUNT('Pool &amp; SPA Pipe Extender'!$A$8:$A$10)+1,"")</f>
        <v/>
      </c>
      <c r="B89" s="579"/>
      <c r="C89" s="580"/>
      <c r="D89" s="155" t="str">
        <f>_xlfn.XLOOKUP(E89,'All Products'!D:D,'All Products'!C:C,FALSE)</f>
        <v>830-025</v>
      </c>
      <c r="E89" s="106">
        <v>100028136</v>
      </c>
      <c r="F89" s="559" t="str">
        <f>_xlfn.XLOOKUP(E89,'All Products'!D:D,'All Products'!E:E,FALSE)</f>
        <v>2-1/2 COUPLING FPTXFPT SCH80</v>
      </c>
      <c r="G89" s="283">
        <f>_xlfn.XLOOKUP(E89,'All Products'!D:D,'All Products'!F:F,FALSE)</f>
        <v>20</v>
      </c>
      <c r="H89" s="234">
        <f>_xlfn.XLOOKUP(E89,'All Products'!D:D,'All Products'!G:G,FALSE)</f>
        <v>0</v>
      </c>
      <c r="I89" s="561">
        <f>_xlfn.XLOOKUP(E89,'All Products'!D:D,'All Products'!H:H,FALSE)</f>
        <v>177.09</v>
      </c>
      <c r="J89" s="135">
        <f>ROUND(I89*Order_Quote!$L$8,2)</f>
        <v>885.45</v>
      </c>
      <c r="K89" s="78"/>
      <c r="L89" s="116"/>
      <c r="M89" s="199">
        <f t="shared" si="2"/>
        <v>0</v>
      </c>
      <c r="O89" s="348" t="str">
        <f>_xlfn.XLOOKUP(E89,'All Products'!D:D,'All Products'!I:I,FALSE)</f>
        <v>Within 3 Weeks</v>
      </c>
      <c r="P89" s="348" t="str">
        <f>_xlfn.XLOOKUP(E89,'All Products'!D:D,'All Products'!J:J,FALSE)</f>
        <v>Manufactured</v>
      </c>
      <c r="Q89" s="348" t="str">
        <f>_xlfn.XLOOKUP(E89,'All Products'!D:D,'All Products'!K:K,FALSE)</f>
        <v>049081161262</v>
      </c>
      <c r="R89" s="351" t="str">
        <f>_xlfn.XLOOKUP(E89,'All Products'!D:D,'All Products'!L:L,FALSE)</f>
        <v>-</v>
      </c>
      <c r="S89" s="351" t="str">
        <f>_xlfn.XLOOKUP(E89,'All Products'!D:D,'All Products'!M:M,FALSE)</f>
        <v>40049081161260</v>
      </c>
      <c r="T89" s="348">
        <f>_xlfn.XLOOKUP(E89,'All Products'!D:D,'All Products'!N:N,FALSE)</f>
        <v>0.84199999999999997</v>
      </c>
      <c r="U89" s="351" t="str">
        <f>_xlfn.XLOOKUP(E89,'All Products'!D:D,'All Products'!O:O,FALSE)</f>
        <v>-</v>
      </c>
      <c r="V89" s="348">
        <f>_xlfn.XLOOKUP(E89,'All Products'!D:D,'All Products'!P:P,FALSE)</f>
        <v>16.622</v>
      </c>
      <c r="W89" s="348" t="str">
        <f>_xlfn.XLOOKUP(E89,'All Products'!D:D,'All Products'!Q:Q,FALSE)</f>
        <v>-</v>
      </c>
    </row>
    <row r="90" spans="1:23">
      <c r="A90" s="104" t="str">
        <f>IF(K90&gt;0,COUNT($A$7:A89)+COUNT('DWV PVC'!$A$8:$A$284)
+COUNT('DWV ABS'!$A$8:$A$116)
+COUNT('PVC SCH40'!$A$8:$A$375)
+COUNT('PVC SCH40 LD'!$A$8:$A$21)
+COUNT('Pool &amp; SPA Sweep Elbows'!$A$8:$A$11)
+COUNT('Pool &amp; SPA Pipe Extender'!$A$8:$A$10)+1,"")</f>
        <v/>
      </c>
      <c r="B90" s="579"/>
      <c r="C90" s="580"/>
      <c r="D90" s="155" t="str">
        <f>_xlfn.XLOOKUP(E90,'All Products'!D:D,'All Products'!C:C,FALSE)</f>
        <v>830-030</v>
      </c>
      <c r="E90" s="106">
        <v>100028137</v>
      </c>
      <c r="F90" s="559" t="str">
        <f>_xlfn.XLOOKUP(E90,'All Products'!D:D,'All Products'!E:E,FALSE)</f>
        <v>3 COUPLING FIPTXFIPT SCH80</v>
      </c>
      <c r="G90" s="283">
        <f>_xlfn.XLOOKUP(E90,'All Products'!D:D,'All Products'!F:F,FALSE)</f>
        <v>20</v>
      </c>
      <c r="H90" s="234">
        <f>_xlfn.XLOOKUP(E90,'All Products'!D:D,'All Products'!G:G,FALSE)</f>
        <v>0</v>
      </c>
      <c r="I90" s="561">
        <f>_xlfn.XLOOKUP(E90,'All Products'!D:D,'All Products'!H:H,FALSE)</f>
        <v>207.64</v>
      </c>
      <c r="J90" s="135">
        <f>ROUND(I90*Order_Quote!$L$8,2)</f>
        <v>1038.2</v>
      </c>
      <c r="K90" s="78"/>
      <c r="L90" s="116"/>
      <c r="M90" s="199">
        <f t="shared" si="2"/>
        <v>0</v>
      </c>
      <c r="O90" s="348" t="str">
        <f>_xlfn.XLOOKUP(E90,'All Products'!D:D,'All Products'!I:I,FALSE)</f>
        <v>Within 3 Weeks</v>
      </c>
      <c r="P90" s="348" t="str">
        <f>_xlfn.XLOOKUP(E90,'All Products'!D:D,'All Products'!J:J,FALSE)</f>
        <v>Manufactured</v>
      </c>
      <c r="Q90" s="348" t="str">
        <f>_xlfn.XLOOKUP(E90,'All Products'!D:D,'All Products'!K:K,FALSE)</f>
        <v>049081161286</v>
      </c>
      <c r="R90" s="351" t="str">
        <f>_xlfn.XLOOKUP(E90,'All Products'!D:D,'All Products'!L:L,FALSE)</f>
        <v>-</v>
      </c>
      <c r="S90" s="351" t="str">
        <f>_xlfn.XLOOKUP(E90,'All Products'!D:D,'All Products'!M:M,FALSE)</f>
        <v>40049081161284</v>
      </c>
      <c r="T90" s="348">
        <f>_xlfn.XLOOKUP(E90,'All Products'!D:D,'All Products'!N:N,FALSE)</f>
        <v>1.0780000000000001</v>
      </c>
      <c r="U90" s="351" t="str">
        <f>_xlfn.XLOOKUP(E90,'All Products'!D:D,'All Products'!O:O,FALSE)</f>
        <v>-</v>
      </c>
      <c r="V90" s="348">
        <f>_xlfn.XLOOKUP(E90,'All Products'!D:D,'All Products'!P:P,FALSE)</f>
        <v>21.56</v>
      </c>
      <c r="W90" s="348" t="str">
        <f>_xlfn.XLOOKUP(E90,'All Products'!D:D,'All Products'!Q:Q,FALSE)</f>
        <v>-</v>
      </c>
    </row>
    <row r="91" spans="1:23">
      <c r="A91" s="104" t="str">
        <f>IF(K91&gt;0,COUNT($A$7:A90)+COUNT('DWV PVC'!$A$8:$A$284)
+COUNT('DWV ABS'!$A$8:$A$116)
+COUNT('PVC SCH40'!$A$8:$A$375)
+COUNT('PVC SCH40 LD'!$A$8:$A$21)
+COUNT('Pool &amp; SPA Sweep Elbows'!$A$8:$A$11)
+COUNT('Pool &amp; SPA Pipe Extender'!$A$8:$A$10)+1,"")</f>
        <v/>
      </c>
      <c r="B91" s="581"/>
      <c r="C91" s="582"/>
      <c r="D91" s="155" t="str">
        <f>_xlfn.XLOOKUP(E91,'All Products'!D:D,'All Products'!C:C,FALSE)</f>
        <v>830-040</v>
      </c>
      <c r="E91" s="106">
        <v>100028138</v>
      </c>
      <c r="F91" s="559" t="str">
        <f>_xlfn.XLOOKUP(E91,'All Products'!D:D,'All Products'!E:E,FALSE)</f>
        <v>4 COUPLING FIPTXFIPT SCH80</v>
      </c>
      <c r="G91" s="283">
        <f>_xlfn.XLOOKUP(E91,'All Products'!D:D,'All Products'!F:F,FALSE)</f>
        <v>15</v>
      </c>
      <c r="H91" s="234">
        <f>_xlfn.XLOOKUP(E91,'All Products'!D:D,'All Products'!G:G,FALSE)</f>
        <v>0</v>
      </c>
      <c r="I91" s="561">
        <f>_xlfn.XLOOKUP(E91,'All Products'!D:D,'All Products'!H:H,FALSE)</f>
        <v>359.56</v>
      </c>
      <c r="J91" s="135">
        <f>ROUND(I91*Order_Quote!$L$8,2)</f>
        <v>1797.8</v>
      </c>
      <c r="K91" s="78"/>
      <c r="L91" s="116"/>
      <c r="M91" s="199">
        <f t="shared" si="2"/>
        <v>0</v>
      </c>
      <c r="O91" s="348" t="str">
        <f>_xlfn.XLOOKUP(E91,'All Products'!D:D,'All Products'!I:I,FALSE)</f>
        <v>In Stock</v>
      </c>
      <c r="P91" s="348" t="str">
        <f>_xlfn.XLOOKUP(E91,'All Products'!D:D,'All Products'!J:J,FALSE)</f>
        <v>Manufactured</v>
      </c>
      <c r="Q91" s="348" t="str">
        <f>_xlfn.XLOOKUP(E91,'All Products'!D:D,'All Products'!K:K,FALSE)</f>
        <v>049081161309</v>
      </c>
      <c r="R91" s="351" t="str">
        <f>_xlfn.XLOOKUP(E91,'All Products'!D:D,'All Products'!L:L,FALSE)</f>
        <v>-</v>
      </c>
      <c r="S91" s="351" t="str">
        <f>_xlfn.XLOOKUP(E91,'All Products'!D:D,'All Products'!M:M,FALSE)</f>
        <v>40049081161307</v>
      </c>
      <c r="T91" s="348">
        <f>_xlfn.XLOOKUP(E91,'All Products'!D:D,'All Products'!N:N,FALSE)</f>
        <v>1.6120000000000001</v>
      </c>
      <c r="U91" s="351" t="str">
        <f>_xlfn.XLOOKUP(E91,'All Products'!D:D,'All Products'!O:O,FALSE)</f>
        <v>-</v>
      </c>
      <c r="V91" s="348">
        <f>_xlfn.XLOOKUP(E91,'All Products'!D:D,'All Products'!P:P,FALSE)</f>
        <v>24.172999999999998</v>
      </c>
      <c r="W91" s="348" t="str">
        <f>_xlfn.XLOOKUP(E91,'All Products'!D:D,'All Products'!Q:Q,FALSE)</f>
        <v>-</v>
      </c>
    </row>
    <row r="92" spans="1:23" ht="56.25" customHeight="1">
      <c r="A92" s="104" t="str">
        <f>IF(K92&gt;0,COUNT($A$7:A91)+COUNT('DWV PVC'!$A$8:$A$284)
+COUNT('DWV ABS'!$A$8:$A$116)
+COUNT('PVC SCH40'!$A$8:$A$375)
+COUNT('PVC SCH40 LD'!$A$8:$A$21)
+COUNT('Pool &amp; SPA Sweep Elbows'!$A$8:$A$11)
+COUNT('Pool &amp; SPA Pipe Extender'!$A$8:$A$10)+1,"")</f>
        <v/>
      </c>
      <c r="B92" s="583"/>
      <c r="C92" s="584"/>
      <c r="D92" s="155" t="str">
        <f>_xlfn.XLOOKUP(E92,'All Products'!D:D,'All Products'!C:C,FALSE)</f>
        <v>830-073</v>
      </c>
      <c r="E92" s="106">
        <v>100023571</v>
      </c>
      <c r="F92" s="559" t="str">
        <f>_xlfn.XLOOKUP(E92,'All Products'!D:D,'All Products'!E:E,FALSE)</f>
        <v>1/2X3/8 COUPLING FIPTXFIPT SCH80</v>
      </c>
      <c r="G92" s="283">
        <f>_xlfn.XLOOKUP(E92,'All Products'!D:D,'All Products'!F:F,FALSE)</f>
        <v>250</v>
      </c>
      <c r="H92" s="234">
        <f>_xlfn.XLOOKUP(E92,'All Products'!D:D,'All Products'!G:G,FALSE)</f>
        <v>22500</v>
      </c>
      <c r="I92" s="561">
        <f>_xlfn.XLOOKUP(E92,'All Products'!D:D,'All Products'!H:H,FALSE)</f>
        <v>27.52</v>
      </c>
      <c r="J92" s="135">
        <f>ROUND(I92*Order_Quote!$L$8,2)</f>
        <v>137.6</v>
      </c>
      <c r="K92" s="78"/>
      <c r="L92" s="116"/>
      <c r="M92" s="199">
        <f t="shared" si="2"/>
        <v>0</v>
      </c>
      <c r="O92" s="348" t="str">
        <f>_xlfn.XLOOKUP(E92,'All Products'!D:D,'All Products'!I:I,FALSE)</f>
        <v>Within 3 Weeks</v>
      </c>
      <c r="P92" s="348" t="str">
        <f>_xlfn.XLOOKUP(E92,'All Products'!D:D,'All Products'!J:J,FALSE)</f>
        <v>Manufactured</v>
      </c>
      <c r="Q92" s="348" t="str">
        <f>_xlfn.XLOOKUP(E92,'All Products'!D:D,'All Products'!K:K,FALSE)</f>
        <v>049081151072</v>
      </c>
      <c r="R92" s="351" t="str">
        <f>_xlfn.XLOOKUP(E92,'All Products'!D:D,'All Products'!L:L,FALSE)</f>
        <v>049081651077</v>
      </c>
      <c r="S92" s="351" t="str">
        <f>_xlfn.XLOOKUP(E92,'All Products'!D:D,'All Products'!M:M,FALSE)</f>
        <v>40049081151070</v>
      </c>
      <c r="T92" s="348">
        <f>_xlfn.XLOOKUP(E92,'All Products'!D:D,'All Products'!N:N,FALSE)</f>
        <v>8.2000000000000003E-2</v>
      </c>
      <c r="U92" s="351">
        <f>_xlfn.XLOOKUP(E92,'All Products'!D:D,'All Products'!O:O,FALSE)</f>
        <v>10</v>
      </c>
      <c r="V92" s="348">
        <f>_xlfn.XLOOKUP(E92,'All Products'!D:D,'All Products'!P:P,FALSE)</f>
        <v>20.62</v>
      </c>
      <c r="W92" s="348">
        <f>_xlfn.XLOOKUP(E92,'All Products'!D:D,'All Products'!Q:Q,FALSE)</f>
        <v>0.8</v>
      </c>
    </row>
    <row r="93" spans="1:23" ht="53.25" customHeight="1">
      <c r="A93" s="104" t="str">
        <f>IF(K93&gt;0,COUNT($A$7:A92)+COUNT('DWV PVC'!$A$8:$A$284)
+COUNT('DWV ABS'!$A$8:$A$116)
+COUNT('PVC SCH40'!$A$8:$A$375)
+COUNT('PVC SCH40 LD'!$A$8:$A$21)
+COUNT('Pool &amp; SPA Sweep Elbows'!$A$8:$A$11)
+COUNT('Pool &amp; SPA Pipe Extender'!$A$8:$A$10)+1,"")</f>
        <v/>
      </c>
      <c r="B93" s="579"/>
      <c r="C93" s="580"/>
      <c r="D93" s="155" t="str">
        <f>_xlfn.XLOOKUP(E93,'All Products'!D:D,'All Products'!C:C,FALSE)</f>
        <v>833-015</v>
      </c>
      <c r="E93" s="106">
        <v>100023578</v>
      </c>
      <c r="F93" s="559" t="str">
        <f>_xlfn.XLOOKUP(E93,'All Products'!D:D,'All Products'!E:E,FALSE)</f>
        <v>1-1/2 MALE FITTING ADAPTER SPGXMIPT</v>
      </c>
      <c r="G93" s="283">
        <f>_xlfn.XLOOKUP(E93,'All Products'!D:D,'All Products'!F:F,FALSE)</f>
        <v>50</v>
      </c>
      <c r="H93" s="234">
        <f>_xlfn.XLOOKUP(E93,'All Products'!D:D,'All Products'!G:G,FALSE)</f>
        <v>7500</v>
      </c>
      <c r="I93" s="561">
        <f>_xlfn.XLOOKUP(E93,'All Products'!D:D,'All Products'!H:H,FALSE)</f>
        <v>46.5</v>
      </c>
      <c r="J93" s="135">
        <f>ROUND(I93*Order_Quote!$L$8,2)</f>
        <v>232.5</v>
      </c>
      <c r="K93" s="78"/>
      <c r="L93" s="116"/>
      <c r="M93" s="199">
        <f t="shared" si="2"/>
        <v>0</v>
      </c>
      <c r="O93" s="348" t="str">
        <f>_xlfn.XLOOKUP(E93,'All Products'!D:D,'All Products'!I:I,FALSE)</f>
        <v>In Stock</v>
      </c>
      <c r="P93" s="348" t="str">
        <f>_xlfn.XLOOKUP(E93,'All Products'!D:D,'All Products'!J:J,FALSE)</f>
        <v>Manufactured</v>
      </c>
      <c r="Q93" s="348" t="str">
        <f>_xlfn.XLOOKUP(E93,'All Products'!D:D,'All Products'!K:K,FALSE)</f>
        <v>049081154950</v>
      </c>
      <c r="R93" s="351" t="str">
        <f>_xlfn.XLOOKUP(E93,'All Products'!D:D,'All Products'!L:L,FALSE)</f>
        <v>049081654955</v>
      </c>
      <c r="S93" s="351" t="str">
        <f>_xlfn.XLOOKUP(E93,'All Products'!D:D,'All Products'!M:M,FALSE)</f>
        <v>40049081154958</v>
      </c>
      <c r="T93" s="348">
        <f>_xlfn.XLOOKUP(E93,'All Products'!D:D,'All Products'!N:N,FALSE)</f>
        <v>0.14699999999999999</v>
      </c>
      <c r="U93" s="351">
        <f>_xlfn.XLOOKUP(E93,'All Products'!D:D,'All Products'!O:O,FALSE)</f>
        <v>5</v>
      </c>
      <c r="V93" s="348">
        <f>_xlfn.XLOOKUP(E93,'All Products'!D:D,'All Products'!P:P,FALSE)</f>
        <v>7.36</v>
      </c>
      <c r="W93" s="348">
        <f>_xlfn.XLOOKUP(E93,'All Products'!D:D,'All Products'!Q:Q,FALSE)</f>
        <v>0.5</v>
      </c>
    </row>
    <row r="94" spans="1:23">
      <c r="A94" s="104" t="str">
        <f>IF(K94&gt;0,COUNT($A$7:A93)+COUNT('DWV PVC'!$A$8:$A$284)
+COUNT('DWV ABS'!$A$8:$A$116)
+COUNT('PVC SCH40'!$A$8:$A$375)
+COUNT('PVC SCH40 LD'!$A$8:$A$21)
+COUNT('Pool &amp; SPA Sweep Elbows'!$A$8:$A$11)
+COUNT('Pool &amp; SPA Pipe Extender'!$A$8:$A$10)+1,"")</f>
        <v/>
      </c>
      <c r="B94" s="577"/>
      <c r="C94" s="578"/>
      <c r="D94" s="155" t="str">
        <f>_xlfn.XLOOKUP(E94,'All Products'!D:D,'All Products'!C:C,FALSE)</f>
        <v>835-002</v>
      </c>
      <c r="E94" s="106">
        <v>100023580</v>
      </c>
      <c r="F94" s="559" t="str">
        <f>_xlfn.XLOOKUP(E94,'All Products'!D:D,'All Products'!E:E,FALSE)</f>
        <v>1/4 FEMALE ADAPTER SXFIPT SCH80</v>
      </c>
      <c r="G94" s="283">
        <f>_xlfn.XLOOKUP(E94,'All Products'!D:D,'All Products'!F:F,FALSE)</f>
        <v>250</v>
      </c>
      <c r="H94" s="234">
        <f>_xlfn.XLOOKUP(E94,'All Products'!D:D,'All Products'!G:G,FALSE)</f>
        <v>37500</v>
      </c>
      <c r="I94" s="561">
        <f>_xlfn.XLOOKUP(E94,'All Products'!D:D,'All Products'!H:H,FALSE)</f>
        <v>25.35</v>
      </c>
      <c r="J94" s="135">
        <f>ROUND(I94*Order_Quote!$L$8,2)</f>
        <v>126.75</v>
      </c>
      <c r="K94" s="78"/>
      <c r="L94" s="116"/>
      <c r="M94" s="199">
        <f t="shared" si="2"/>
        <v>0</v>
      </c>
      <c r="O94" s="348" t="str">
        <f>_xlfn.XLOOKUP(E94,'All Products'!D:D,'All Products'!I:I,FALSE)</f>
        <v>In Stock</v>
      </c>
      <c r="P94" s="348" t="str">
        <f>_xlfn.XLOOKUP(E94,'All Products'!D:D,'All Products'!J:J,FALSE)</f>
        <v>Manufactured</v>
      </c>
      <c r="Q94" s="348" t="str">
        <f>_xlfn.XLOOKUP(E94,'All Products'!D:D,'All Products'!K:K,FALSE)</f>
        <v>049081154981</v>
      </c>
      <c r="R94" s="351" t="str">
        <f>_xlfn.XLOOKUP(E94,'All Products'!D:D,'All Products'!L:L,FALSE)</f>
        <v>049081654986</v>
      </c>
      <c r="S94" s="351" t="str">
        <f>_xlfn.XLOOKUP(E94,'All Products'!D:D,'All Products'!M:M,FALSE)</f>
        <v>40049081154989</v>
      </c>
      <c r="T94" s="348">
        <f>_xlfn.XLOOKUP(E94,'All Products'!D:D,'All Products'!N:N,FALSE)</f>
        <v>2.9000000000000001E-2</v>
      </c>
      <c r="U94" s="351">
        <f>_xlfn.XLOOKUP(E94,'All Products'!D:D,'All Products'!O:O,FALSE)</f>
        <v>10</v>
      </c>
      <c r="V94" s="348">
        <f>_xlfn.XLOOKUP(E94,'All Products'!D:D,'All Products'!P:P,FALSE)</f>
        <v>7.38</v>
      </c>
      <c r="W94" s="348">
        <f>_xlfn.XLOOKUP(E94,'All Products'!D:D,'All Products'!Q:Q,FALSE)</f>
        <v>0.5</v>
      </c>
    </row>
    <row r="95" spans="1:23">
      <c r="A95" s="104" t="str">
        <f>IF(K95&gt;0,COUNT($A$7:A94)+COUNT('DWV PVC'!$A$8:$A$284)
+COUNT('DWV ABS'!$A$8:$A$116)
+COUNT('PVC SCH40'!$A$8:$A$375)
+COUNT('PVC SCH40 LD'!$A$8:$A$21)
+COUNT('Pool &amp; SPA Sweep Elbows'!$A$8:$A$11)
+COUNT('Pool &amp; SPA Pipe Extender'!$A$8:$A$10)+1,"")</f>
        <v/>
      </c>
      <c r="B95" s="579"/>
      <c r="C95" s="580"/>
      <c r="D95" s="155" t="str">
        <f>_xlfn.XLOOKUP(E95,'All Products'!D:D,'All Products'!C:C,FALSE)</f>
        <v>835-003</v>
      </c>
      <c r="E95" s="106">
        <v>100023416</v>
      </c>
      <c r="F95" s="559" t="str">
        <f>_xlfn.XLOOKUP(E95,'All Products'!D:D,'All Products'!E:E,FALSE)</f>
        <v>3/8 FEMALE ADAPTER SXFIPT SCH80</v>
      </c>
      <c r="G95" s="283">
        <f>_xlfn.XLOOKUP(E95,'All Products'!D:D,'All Products'!F:F,FALSE)</f>
        <v>250</v>
      </c>
      <c r="H95" s="234">
        <f>_xlfn.XLOOKUP(E95,'All Products'!D:D,'All Products'!G:G,FALSE)</f>
        <v>37500</v>
      </c>
      <c r="I95" s="561">
        <f>_xlfn.XLOOKUP(E95,'All Products'!D:D,'All Products'!H:H,FALSE)</f>
        <v>25.35</v>
      </c>
      <c r="J95" s="135">
        <f>ROUND(I95*Order_Quote!$L$8,2)</f>
        <v>126.75</v>
      </c>
      <c r="K95" s="78"/>
      <c r="L95" s="116"/>
      <c r="M95" s="199">
        <f t="shared" si="2"/>
        <v>0</v>
      </c>
      <c r="O95" s="348" t="str">
        <f>_xlfn.XLOOKUP(E95,'All Products'!D:D,'All Products'!I:I,FALSE)</f>
        <v>Within 3 Weeks</v>
      </c>
      <c r="P95" s="348" t="str">
        <f>_xlfn.XLOOKUP(E95,'All Products'!D:D,'All Products'!J:J,FALSE)</f>
        <v>Manufactured</v>
      </c>
      <c r="Q95" s="348" t="str">
        <f>_xlfn.XLOOKUP(E95,'All Products'!D:D,'All Products'!K:K,FALSE)</f>
        <v>049081155001</v>
      </c>
      <c r="R95" s="351">
        <f>_xlfn.XLOOKUP(E95,'All Products'!D:D,'All Products'!L:L,FALSE)</f>
        <v>0</v>
      </c>
      <c r="S95" s="351" t="str">
        <f>_xlfn.XLOOKUP(E95,'All Products'!D:D,'All Products'!M:M,FALSE)</f>
        <v>40049081155009</v>
      </c>
      <c r="T95" s="348">
        <f>_xlfn.XLOOKUP(E95,'All Products'!D:D,'All Products'!N:N,FALSE)</f>
        <v>3.9E-2</v>
      </c>
      <c r="U95" s="351">
        <f>_xlfn.XLOOKUP(E95,'All Products'!D:D,'All Products'!O:O,FALSE)</f>
        <v>10</v>
      </c>
      <c r="V95" s="348">
        <f>_xlfn.XLOOKUP(E95,'All Products'!D:D,'All Products'!P:P,FALSE)</f>
        <v>10.65</v>
      </c>
      <c r="W95" s="348">
        <f>_xlfn.XLOOKUP(E95,'All Products'!D:D,'All Products'!Q:Q,FALSE)</f>
        <v>0.5</v>
      </c>
    </row>
    <row r="96" spans="1:23">
      <c r="A96" s="104" t="str">
        <f>IF(K96&gt;0,COUNT($A$7:A95)+COUNT('DWV PVC'!$A$8:$A$284)
+COUNT('DWV ABS'!$A$8:$A$116)
+COUNT('PVC SCH40'!$A$8:$A$375)
+COUNT('PVC SCH40 LD'!$A$8:$A$21)
+COUNT('Pool &amp; SPA Sweep Elbows'!$A$8:$A$11)
+COUNT('Pool &amp; SPA Pipe Extender'!$A$8:$A$10)+1,"")</f>
        <v/>
      </c>
      <c r="B96" s="579"/>
      <c r="C96" s="580"/>
      <c r="D96" s="155" t="str">
        <f>_xlfn.XLOOKUP(E96,'All Products'!D:D,'All Products'!C:C,FALSE)</f>
        <v>835-005</v>
      </c>
      <c r="E96" s="106">
        <v>100023582</v>
      </c>
      <c r="F96" s="559" t="str">
        <f>_xlfn.XLOOKUP(E96,'All Products'!D:D,'All Products'!E:E,FALSE)</f>
        <v>1/2 FEMALE ADAPTER SXFIPT SCH80</v>
      </c>
      <c r="G96" s="283">
        <f>_xlfn.XLOOKUP(E96,'All Products'!D:D,'All Products'!F:F,FALSE)</f>
        <v>250</v>
      </c>
      <c r="H96" s="234">
        <f>_xlfn.XLOOKUP(E96,'All Products'!D:D,'All Products'!G:G,FALSE)</f>
        <v>22500</v>
      </c>
      <c r="I96" s="561">
        <f>_xlfn.XLOOKUP(E96,'All Products'!D:D,'All Products'!H:H,FALSE)</f>
        <v>14.02</v>
      </c>
      <c r="J96" s="135">
        <f>ROUND(I96*Order_Quote!$L$8,2)</f>
        <v>70.099999999999994</v>
      </c>
      <c r="K96" s="78"/>
      <c r="L96" s="116"/>
      <c r="M96" s="199">
        <f t="shared" si="2"/>
        <v>0</v>
      </c>
      <c r="O96" s="348" t="str">
        <f>_xlfn.XLOOKUP(E96,'All Products'!D:D,'All Products'!I:I,FALSE)</f>
        <v>In Stock</v>
      </c>
      <c r="P96" s="348" t="str">
        <f>_xlfn.XLOOKUP(E96,'All Products'!D:D,'All Products'!J:J,FALSE)</f>
        <v>Manufactured</v>
      </c>
      <c r="Q96" s="348" t="str">
        <f>_xlfn.XLOOKUP(E96,'All Products'!D:D,'All Products'!K:K,FALSE)</f>
        <v>049081155025</v>
      </c>
      <c r="R96" s="351" t="str">
        <f>_xlfn.XLOOKUP(E96,'All Products'!D:D,'All Products'!L:L,FALSE)</f>
        <v>049081655020</v>
      </c>
      <c r="S96" s="351" t="str">
        <f>_xlfn.XLOOKUP(E96,'All Products'!D:D,'All Products'!M:M,FALSE)</f>
        <v>40049081155023</v>
      </c>
      <c r="T96" s="348">
        <f>_xlfn.XLOOKUP(E96,'All Products'!D:D,'All Products'!N:N,FALSE)</f>
        <v>6.3E-2</v>
      </c>
      <c r="U96" s="351">
        <f>_xlfn.XLOOKUP(E96,'All Products'!D:D,'All Products'!O:O,FALSE)</f>
        <v>10</v>
      </c>
      <c r="V96" s="348">
        <f>_xlfn.XLOOKUP(E96,'All Products'!D:D,'All Products'!P:P,FALSE)</f>
        <v>16.41</v>
      </c>
      <c r="W96" s="348">
        <f>_xlfn.XLOOKUP(E96,'All Products'!D:D,'All Products'!Q:Q,FALSE)</f>
        <v>0.8</v>
      </c>
    </row>
    <row r="97" spans="1:23">
      <c r="A97" s="104" t="str">
        <f>IF(K97&gt;0,COUNT($A$7:A96)+COUNT('DWV PVC'!$A$8:$A$284)
+COUNT('DWV ABS'!$A$8:$A$116)
+COUNT('PVC SCH40'!$A$8:$A$375)
+COUNT('PVC SCH40 LD'!$A$8:$A$21)
+COUNT('Pool &amp; SPA Sweep Elbows'!$A$8:$A$11)
+COUNT('Pool &amp; SPA Pipe Extender'!$A$8:$A$10)+1,"")</f>
        <v/>
      </c>
      <c r="B97" s="579"/>
      <c r="C97" s="580"/>
      <c r="D97" s="155" t="str">
        <f>_xlfn.XLOOKUP(E97,'All Products'!D:D,'All Products'!C:C,FALSE)</f>
        <v>835-007</v>
      </c>
      <c r="E97" s="106">
        <v>100023584</v>
      </c>
      <c r="F97" s="559" t="str">
        <f>_xlfn.XLOOKUP(E97,'All Products'!D:D,'All Products'!E:E,FALSE)</f>
        <v>3/4 FEMALE ADAPTER SXFIPT SCH80</v>
      </c>
      <c r="G97" s="283">
        <f>_xlfn.XLOOKUP(E97,'All Products'!D:D,'All Products'!F:F,FALSE)</f>
        <v>250</v>
      </c>
      <c r="H97" s="234">
        <f>_xlfn.XLOOKUP(E97,'All Products'!D:D,'All Products'!G:G,FALSE)</f>
        <v>18750</v>
      </c>
      <c r="I97" s="561">
        <f>_xlfn.XLOOKUP(E97,'All Products'!D:D,'All Products'!H:H,FALSE)</f>
        <v>20.89</v>
      </c>
      <c r="J97" s="135">
        <f>ROUND(I97*Order_Quote!$L$8,2)</f>
        <v>104.45</v>
      </c>
      <c r="K97" s="78"/>
      <c r="L97" s="116"/>
      <c r="M97" s="199">
        <f t="shared" si="2"/>
        <v>0</v>
      </c>
      <c r="O97" s="348" t="str">
        <f>_xlfn.XLOOKUP(E97,'All Products'!D:D,'All Products'!I:I,FALSE)</f>
        <v>In Stock</v>
      </c>
      <c r="P97" s="348" t="str">
        <f>_xlfn.XLOOKUP(E97,'All Products'!D:D,'All Products'!J:J,FALSE)</f>
        <v>Manufactured</v>
      </c>
      <c r="Q97" s="348" t="str">
        <f>_xlfn.XLOOKUP(E97,'All Products'!D:D,'All Products'!K:K,FALSE)</f>
        <v>049081155100</v>
      </c>
      <c r="R97" s="351" t="str">
        <f>_xlfn.XLOOKUP(E97,'All Products'!D:D,'All Products'!L:L,FALSE)</f>
        <v>049081655105</v>
      </c>
      <c r="S97" s="351" t="str">
        <f>_xlfn.XLOOKUP(E97,'All Products'!D:D,'All Products'!M:M,FALSE)</f>
        <v>40049081155108</v>
      </c>
      <c r="T97" s="348">
        <f>_xlfn.XLOOKUP(E97,'All Products'!D:D,'All Products'!N:N,FALSE)</f>
        <v>8.4000000000000005E-2</v>
      </c>
      <c r="U97" s="351">
        <f>_xlfn.XLOOKUP(E97,'All Products'!D:D,'All Products'!O:O,FALSE)</f>
        <v>10</v>
      </c>
      <c r="V97" s="348">
        <f>_xlfn.XLOOKUP(E97,'All Products'!D:D,'All Products'!P:P,FALSE)</f>
        <v>20.73</v>
      </c>
      <c r="W97" s="348">
        <f>_xlfn.XLOOKUP(E97,'All Products'!D:D,'All Products'!Q:Q,FALSE)</f>
        <v>0.95</v>
      </c>
    </row>
    <row r="98" spans="1:23">
      <c r="A98" s="104" t="str">
        <f>IF(K98&gt;0,COUNT($A$7:A97)+COUNT('DWV PVC'!$A$8:$A$284)
+COUNT('DWV ABS'!$A$8:$A$116)
+COUNT('PVC SCH40'!$A$8:$A$375)
+COUNT('PVC SCH40 LD'!$A$8:$A$21)
+COUNT('Pool &amp; SPA Sweep Elbows'!$A$8:$A$11)
+COUNT('Pool &amp; SPA Pipe Extender'!$A$8:$A$10)+1,"")</f>
        <v/>
      </c>
      <c r="B98" s="579"/>
      <c r="C98" s="580"/>
      <c r="D98" s="155" t="str">
        <f>_xlfn.XLOOKUP(E98,'All Products'!D:D,'All Products'!C:C,FALSE)</f>
        <v>835-010</v>
      </c>
      <c r="E98" s="106">
        <v>100023586</v>
      </c>
      <c r="F98" s="559" t="str">
        <f>_xlfn.XLOOKUP(E98,'All Products'!D:D,'All Products'!E:E,FALSE)</f>
        <v>1 FEMALE ADAPTER SXFIPT SCH80</v>
      </c>
      <c r="G98" s="283">
        <f>_xlfn.XLOOKUP(E98,'All Products'!D:D,'All Products'!F:F,FALSE)</f>
        <v>100</v>
      </c>
      <c r="H98" s="234">
        <f>_xlfn.XLOOKUP(E98,'All Products'!D:D,'All Products'!G:G,FALSE)</f>
        <v>9000</v>
      </c>
      <c r="I98" s="561">
        <f>_xlfn.XLOOKUP(E98,'All Products'!D:D,'All Products'!H:H,FALSE)</f>
        <v>30.73</v>
      </c>
      <c r="J98" s="135">
        <f>ROUND(I98*Order_Quote!$L$8,2)</f>
        <v>153.65</v>
      </c>
      <c r="K98" s="78"/>
      <c r="L98" s="116"/>
      <c r="M98" s="199">
        <f t="shared" si="2"/>
        <v>0</v>
      </c>
      <c r="O98" s="348" t="str">
        <f>_xlfn.XLOOKUP(E98,'All Products'!D:D,'All Products'!I:I,FALSE)</f>
        <v>In Stock</v>
      </c>
      <c r="P98" s="348" t="str">
        <f>_xlfn.XLOOKUP(E98,'All Products'!D:D,'All Products'!J:J,FALSE)</f>
        <v>Manufactured</v>
      </c>
      <c r="Q98" s="348" t="str">
        <f>_xlfn.XLOOKUP(E98,'All Products'!D:D,'All Products'!K:K,FALSE)</f>
        <v>049081155162</v>
      </c>
      <c r="R98" s="351" t="str">
        <f>_xlfn.XLOOKUP(E98,'All Products'!D:D,'All Products'!L:L,FALSE)</f>
        <v>049081655167</v>
      </c>
      <c r="S98" s="351" t="str">
        <f>_xlfn.XLOOKUP(E98,'All Products'!D:D,'All Products'!M:M,FALSE)</f>
        <v>40049081155160</v>
      </c>
      <c r="T98" s="348">
        <f>_xlfn.XLOOKUP(E98,'All Products'!D:D,'All Products'!N:N,FALSE)</f>
        <v>0.127</v>
      </c>
      <c r="U98" s="351">
        <f>_xlfn.XLOOKUP(E98,'All Products'!D:D,'All Products'!O:O,FALSE)</f>
        <v>10</v>
      </c>
      <c r="V98" s="348">
        <f>_xlfn.XLOOKUP(E98,'All Products'!D:D,'All Products'!P:P,FALSE)</f>
        <v>13.63</v>
      </c>
      <c r="W98" s="348">
        <f>_xlfn.XLOOKUP(E98,'All Products'!D:D,'All Products'!Q:Q,FALSE)</f>
        <v>0.8</v>
      </c>
    </row>
    <row r="99" spans="1:23">
      <c r="A99" s="104" t="str">
        <f>IF(K99&gt;0,COUNT($A$7:A98)+COUNT('DWV PVC'!$A$8:$A$284)
+COUNT('DWV ABS'!$A$8:$A$116)
+COUNT('PVC SCH40'!$A$8:$A$375)
+COUNT('PVC SCH40 LD'!$A$8:$A$21)
+COUNT('Pool &amp; SPA Sweep Elbows'!$A$8:$A$11)
+COUNT('Pool &amp; SPA Pipe Extender'!$A$8:$A$10)+1,"")</f>
        <v/>
      </c>
      <c r="B99" s="579"/>
      <c r="C99" s="580"/>
      <c r="D99" s="155" t="str">
        <f>_xlfn.XLOOKUP(E99,'All Products'!D:D,'All Products'!C:C,FALSE)</f>
        <v>835-012</v>
      </c>
      <c r="E99" s="106">
        <v>100023588</v>
      </c>
      <c r="F99" s="559" t="str">
        <f>_xlfn.XLOOKUP(E99,'All Products'!D:D,'All Products'!E:E,FALSE)</f>
        <v>1-1/4 FEMALE ADAPTER SXFIPT SCH80</v>
      </c>
      <c r="G99" s="283">
        <f>_xlfn.XLOOKUP(E99,'All Products'!D:D,'All Products'!F:F,FALSE)</f>
        <v>50</v>
      </c>
      <c r="H99" s="234">
        <f>_xlfn.XLOOKUP(E99,'All Products'!D:D,'All Products'!G:G,FALSE)</f>
        <v>6000</v>
      </c>
      <c r="I99" s="561">
        <f>_xlfn.XLOOKUP(E99,'All Products'!D:D,'All Products'!H:H,FALSE)</f>
        <v>49.79</v>
      </c>
      <c r="J99" s="135">
        <f>ROUND(I99*Order_Quote!$L$8,2)</f>
        <v>248.95</v>
      </c>
      <c r="K99" s="78"/>
      <c r="L99" s="116"/>
      <c r="M99" s="199">
        <f t="shared" si="2"/>
        <v>0</v>
      </c>
      <c r="O99" s="348" t="str">
        <f>_xlfn.XLOOKUP(E99,'All Products'!D:D,'All Products'!I:I,FALSE)</f>
        <v>In Stock</v>
      </c>
      <c r="P99" s="348" t="str">
        <f>_xlfn.XLOOKUP(E99,'All Products'!D:D,'All Products'!J:J,FALSE)</f>
        <v>Manufactured</v>
      </c>
      <c r="Q99" s="348" t="str">
        <f>_xlfn.XLOOKUP(E99,'All Products'!D:D,'All Products'!K:K,FALSE)</f>
        <v>049081155261</v>
      </c>
      <c r="R99" s="351" t="str">
        <f>_xlfn.XLOOKUP(E99,'All Products'!D:D,'All Products'!L:L,FALSE)</f>
        <v>049081655266</v>
      </c>
      <c r="S99" s="351" t="str">
        <f>_xlfn.XLOOKUP(E99,'All Products'!D:D,'All Products'!M:M,FALSE)</f>
        <v>40049081155269</v>
      </c>
      <c r="T99" s="348">
        <f>_xlfn.XLOOKUP(E99,'All Products'!D:D,'All Products'!N:N,FALSE)</f>
        <v>0.20399999999999999</v>
      </c>
      <c r="U99" s="351">
        <f>_xlfn.XLOOKUP(E99,'All Products'!D:D,'All Products'!O:O,FALSE)</f>
        <v>5</v>
      </c>
      <c r="V99" s="348">
        <f>_xlfn.XLOOKUP(E99,'All Products'!D:D,'All Products'!P:P,FALSE)</f>
        <v>12.14</v>
      </c>
      <c r="W99" s="348">
        <f>_xlfn.XLOOKUP(E99,'All Products'!D:D,'All Products'!Q:Q,FALSE)</f>
        <v>0.65</v>
      </c>
    </row>
    <row r="100" spans="1:23">
      <c r="A100" s="104" t="str">
        <f>IF(K100&gt;0,COUNT($A$7:A99)+COUNT('DWV PVC'!$A$8:$A$284)
+COUNT('DWV ABS'!$A$8:$A$116)
+COUNT('PVC SCH40'!$A$8:$A$375)
+COUNT('PVC SCH40 LD'!$A$8:$A$21)
+COUNT('Pool &amp; SPA Sweep Elbows'!$A$8:$A$11)
+COUNT('Pool &amp; SPA Pipe Extender'!$A$8:$A$10)+1,"")</f>
        <v/>
      </c>
      <c r="B100" s="579"/>
      <c r="C100" s="580"/>
      <c r="D100" s="155" t="str">
        <f>_xlfn.XLOOKUP(E100,'All Products'!D:D,'All Products'!C:C,FALSE)</f>
        <v>835-015</v>
      </c>
      <c r="E100" s="106">
        <v>100023589</v>
      </c>
      <c r="F100" s="559" t="str">
        <f>_xlfn.XLOOKUP(E100,'All Products'!D:D,'All Products'!E:E,FALSE)</f>
        <v>1-1/2 FEMALE ADAPTER SXFIPT SCH80</v>
      </c>
      <c r="G100" s="283">
        <f>_xlfn.XLOOKUP(E100,'All Products'!D:D,'All Products'!F:F,FALSE)</f>
        <v>50</v>
      </c>
      <c r="H100" s="234">
        <f>_xlfn.XLOOKUP(E100,'All Products'!D:D,'All Products'!G:G,FALSE)</f>
        <v>4500</v>
      </c>
      <c r="I100" s="561">
        <f>_xlfn.XLOOKUP(E100,'All Products'!D:D,'All Products'!H:H,FALSE)</f>
        <v>61.05</v>
      </c>
      <c r="J100" s="135">
        <f>ROUND(I100*Order_Quote!$L$8,2)</f>
        <v>305.25</v>
      </c>
      <c r="K100" s="78"/>
      <c r="L100" s="116"/>
      <c r="M100" s="199">
        <f t="shared" si="2"/>
        <v>0</v>
      </c>
      <c r="O100" s="348" t="str">
        <f>_xlfn.XLOOKUP(E100,'All Products'!D:D,'All Products'!I:I,FALSE)</f>
        <v>In Stock</v>
      </c>
      <c r="P100" s="348" t="str">
        <f>_xlfn.XLOOKUP(E100,'All Products'!D:D,'All Products'!J:J,FALSE)</f>
        <v>Manufactured</v>
      </c>
      <c r="Q100" s="348" t="str">
        <f>_xlfn.XLOOKUP(E100,'All Products'!D:D,'All Products'!K:K,FALSE)</f>
        <v>049081155308</v>
      </c>
      <c r="R100" s="351" t="str">
        <f>_xlfn.XLOOKUP(E100,'All Products'!D:D,'All Products'!L:L,FALSE)</f>
        <v>049081655303</v>
      </c>
      <c r="S100" s="351" t="str">
        <f>_xlfn.XLOOKUP(E100,'All Products'!D:D,'All Products'!M:M,FALSE)</f>
        <v>40049081155306</v>
      </c>
      <c r="T100" s="348">
        <f>_xlfn.XLOOKUP(E100,'All Products'!D:D,'All Products'!N:N,FALSE)</f>
        <v>0.23599999999999999</v>
      </c>
      <c r="U100" s="351">
        <f>_xlfn.XLOOKUP(E100,'All Products'!D:D,'All Products'!O:O,FALSE)</f>
        <v>5</v>
      </c>
      <c r="V100" s="348">
        <f>_xlfn.XLOOKUP(E100,'All Products'!D:D,'All Products'!P:P,FALSE)</f>
        <v>12.99</v>
      </c>
      <c r="W100" s="348">
        <f>_xlfn.XLOOKUP(E100,'All Products'!D:D,'All Products'!Q:Q,FALSE)</f>
        <v>0.8</v>
      </c>
    </row>
    <row r="101" spans="1:23">
      <c r="A101" s="104" t="str">
        <f>IF(K101&gt;0,COUNT($A$7:A100)+COUNT('DWV PVC'!$A$8:$A$284)
+COUNT('DWV ABS'!$A$8:$A$116)
+COUNT('PVC SCH40'!$A$8:$A$375)
+COUNT('PVC SCH40 LD'!$A$8:$A$21)
+COUNT('Pool &amp; SPA Sweep Elbows'!$A$8:$A$11)
+COUNT('Pool &amp; SPA Pipe Extender'!$A$8:$A$10)+1,"")</f>
        <v/>
      </c>
      <c r="B101" s="579"/>
      <c r="C101" s="580"/>
      <c r="D101" s="155" t="str">
        <f>_xlfn.XLOOKUP(E101,'All Products'!D:D,'All Products'!C:C,FALSE)</f>
        <v>835-020</v>
      </c>
      <c r="E101" s="106">
        <v>100023591</v>
      </c>
      <c r="F101" s="559" t="str">
        <f>_xlfn.XLOOKUP(E101,'All Products'!D:D,'All Products'!E:E,FALSE)</f>
        <v>2 FEMALE ADAPTER SXFIPT SCH80</v>
      </c>
      <c r="G101" s="283">
        <f>_xlfn.XLOOKUP(E101,'All Products'!D:D,'All Products'!F:F,FALSE)</f>
        <v>25</v>
      </c>
      <c r="H101" s="234">
        <f>_xlfn.XLOOKUP(E101,'All Products'!D:D,'All Products'!G:G,FALSE)</f>
        <v>3000</v>
      </c>
      <c r="I101" s="561">
        <f>_xlfn.XLOOKUP(E101,'All Products'!D:D,'All Products'!H:H,FALSE)</f>
        <v>106.46</v>
      </c>
      <c r="J101" s="135">
        <f>ROUND(I101*Order_Quote!$L$8,2)</f>
        <v>532.29999999999995</v>
      </c>
      <c r="K101" s="78"/>
      <c r="L101" s="116"/>
      <c r="M101" s="199">
        <f t="shared" si="2"/>
        <v>0</v>
      </c>
      <c r="O101" s="348" t="str">
        <f>_xlfn.XLOOKUP(E101,'All Products'!D:D,'All Products'!I:I,FALSE)</f>
        <v>In Stock</v>
      </c>
      <c r="P101" s="348" t="str">
        <f>_xlfn.XLOOKUP(E101,'All Products'!D:D,'All Products'!J:J,FALSE)</f>
        <v>Manufactured</v>
      </c>
      <c r="Q101" s="348" t="str">
        <f>_xlfn.XLOOKUP(E101,'All Products'!D:D,'All Products'!K:K,FALSE)</f>
        <v>049081155346</v>
      </c>
      <c r="R101" s="351" t="str">
        <f>_xlfn.XLOOKUP(E101,'All Products'!D:D,'All Products'!L:L,FALSE)</f>
        <v>049081655341</v>
      </c>
      <c r="S101" s="351" t="str">
        <f>_xlfn.XLOOKUP(E101,'All Products'!D:D,'All Products'!M:M,FALSE)</f>
        <v>40049081155344</v>
      </c>
      <c r="T101" s="348">
        <f>_xlfn.XLOOKUP(E101,'All Products'!D:D,'All Products'!N:N,FALSE)</f>
        <v>0.318</v>
      </c>
      <c r="U101" s="351">
        <f>_xlfn.XLOOKUP(E101,'All Products'!D:D,'All Products'!O:O,FALSE)</f>
        <v>5</v>
      </c>
      <c r="V101" s="348">
        <f>_xlfn.XLOOKUP(E101,'All Products'!D:D,'All Products'!P:P,FALSE)</f>
        <v>9.0399999999999991</v>
      </c>
      <c r="W101" s="348">
        <f>_xlfn.XLOOKUP(E101,'All Products'!D:D,'All Products'!Q:Q,FALSE)</f>
        <v>0.65</v>
      </c>
    </row>
    <row r="102" spans="1:23">
      <c r="A102" s="104" t="str">
        <f>IF(K102&gt;0,COUNT($A$7:A101)+COUNT('DWV PVC'!$A$8:$A$284)
+COUNT('DWV ABS'!$A$8:$A$116)
+COUNT('PVC SCH40'!$A$8:$A$375)
+COUNT('PVC SCH40 LD'!$A$8:$A$21)
+COUNT('Pool &amp; SPA Sweep Elbows'!$A$8:$A$11)
+COUNT('Pool &amp; SPA Pipe Extender'!$A$8:$A$10)+1,"")</f>
        <v/>
      </c>
      <c r="B102" s="579"/>
      <c r="C102" s="580"/>
      <c r="D102" s="155" t="str">
        <f>_xlfn.XLOOKUP(E102,'All Products'!D:D,'All Products'!C:C,FALSE)</f>
        <v>835-030</v>
      </c>
      <c r="E102" s="106">
        <v>100028148</v>
      </c>
      <c r="F102" s="559" t="str">
        <f>_xlfn.XLOOKUP(E102,'All Products'!D:D,'All Products'!E:E,FALSE)</f>
        <v>3 FEMALE ADAPTER SXFIPT SCH80</v>
      </c>
      <c r="G102" s="283">
        <f>_xlfn.XLOOKUP(E102,'All Products'!D:D,'All Products'!F:F,FALSE)</f>
        <v>30</v>
      </c>
      <c r="H102" s="234">
        <f>_xlfn.XLOOKUP(E102,'All Products'!D:D,'All Products'!G:G,FALSE)</f>
        <v>0</v>
      </c>
      <c r="I102" s="561">
        <f>_xlfn.XLOOKUP(E102,'All Products'!D:D,'All Products'!H:H,FALSE)</f>
        <v>189.22</v>
      </c>
      <c r="J102" s="135">
        <f>ROUND(I102*Order_Quote!$L$8,2)</f>
        <v>946.1</v>
      </c>
      <c r="K102" s="78"/>
      <c r="L102" s="116"/>
      <c r="M102" s="199">
        <f t="shared" si="2"/>
        <v>0</v>
      </c>
      <c r="O102" s="348" t="str">
        <f>_xlfn.XLOOKUP(E102,'All Products'!D:D,'All Products'!I:I,FALSE)</f>
        <v>In Stock</v>
      </c>
      <c r="P102" s="348" t="str">
        <f>_xlfn.XLOOKUP(E102,'All Products'!D:D,'All Products'!J:J,FALSE)</f>
        <v>Manufactured</v>
      </c>
      <c r="Q102" s="348" t="str">
        <f>_xlfn.XLOOKUP(E102,'All Products'!D:D,'All Products'!K:K,FALSE)</f>
        <v>049081155384</v>
      </c>
      <c r="R102" s="351" t="str">
        <f>_xlfn.XLOOKUP(E102,'All Products'!D:D,'All Products'!L:L,FALSE)</f>
        <v>-</v>
      </c>
      <c r="S102" s="351" t="str">
        <f>_xlfn.XLOOKUP(E102,'All Products'!D:D,'All Products'!M:M,FALSE)</f>
        <v>40049081155382</v>
      </c>
      <c r="T102" s="348">
        <f>_xlfn.XLOOKUP(E102,'All Products'!D:D,'All Products'!N:N,FALSE)</f>
        <v>1.26</v>
      </c>
      <c r="U102" s="351" t="str">
        <f>_xlfn.XLOOKUP(E102,'All Products'!D:D,'All Products'!O:O,FALSE)</f>
        <v>-</v>
      </c>
      <c r="V102" s="348">
        <f>_xlfn.XLOOKUP(E102,'All Products'!D:D,'All Products'!P:P,FALSE)</f>
        <v>30.818999999999999</v>
      </c>
      <c r="W102" s="348" t="str">
        <f>_xlfn.XLOOKUP(E102,'All Products'!D:D,'All Products'!Q:Q,FALSE)</f>
        <v>-</v>
      </c>
    </row>
    <row r="103" spans="1:23">
      <c r="A103" s="104" t="str">
        <f>IF(K103&gt;0,COUNT($A$7:A102)+COUNT('DWV PVC'!$A$8:$A$284)
+COUNT('DWV ABS'!$A$8:$A$116)
+COUNT('PVC SCH40'!$A$8:$A$375)
+COUNT('PVC SCH40 LD'!$A$8:$A$21)
+COUNT('Pool &amp; SPA Sweep Elbows'!$A$8:$A$11)
+COUNT('Pool &amp; SPA Pipe Extender'!$A$8:$A$10)+1,"")</f>
        <v/>
      </c>
      <c r="B103" s="579"/>
      <c r="C103" s="580"/>
      <c r="D103" s="155" t="str">
        <f>_xlfn.XLOOKUP(E103,'All Products'!D:D,'All Products'!C:C,FALSE)</f>
        <v>835-040</v>
      </c>
      <c r="E103" s="106">
        <v>100028149</v>
      </c>
      <c r="F103" s="559" t="str">
        <f>_xlfn.XLOOKUP(E103,'All Products'!D:D,'All Products'!E:E,FALSE)</f>
        <v>4 FEMALE ADAPTER SXFIPT SCH80</v>
      </c>
      <c r="G103" s="283">
        <f>_xlfn.XLOOKUP(E103,'All Products'!D:D,'All Products'!F:F,FALSE)</f>
        <v>20</v>
      </c>
      <c r="H103" s="234">
        <f>_xlfn.XLOOKUP(E103,'All Products'!D:D,'All Products'!G:G,FALSE)</f>
        <v>0</v>
      </c>
      <c r="I103" s="561">
        <f>_xlfn.XLOOKUP(E103,'All Products'!D:D,'All Products'!H:H,FALSE)</f>
        <v>325.23</v>
      </c>
      <c r="J103" s="135">
        <f>ROUND(I103*Order_Quote!$L$8,2)</f>
        <v>1626.15</v>
      </c>
      <c r="K103" s="78"/>
      <c r="L103" s="116"/>
      <c r="M103" s="199">
        <f t="shared" si="2"/>
        <v>0</v>
      </c>
      <c r="O103" s="348" t="str">
        <f>_xlfn.XLOOKUP(E103,'All Products'!D:D,'All Products'!I:I,FALSE)</f>
        <v>In Stock</v>
      </c>
      <c r="P103" s="348" t="str">
        <f>_xlfn.XLOOKUP(E103,'All Products'!D:D,'All Products'!J:J,FALSE)</f>
        <v>Manufactured</v>
      </c>
      <c r="Q103" s="348" t="str">
        <f>_xlfn.XLOOKUP(E103,'All Products'!D:D,'All Products'!K:K,FALSE)</f>
        <v>049081155407</v>
      </c>
      <c r="R103" s="351" t="str">
        <f>_xlfn.XLOOKUP(E103,'All Products'!D:D,'All Products'!L:L,FALSE)</f>
        <v>-</v>
      </c>
      <c r="S103" s="351" t="str">
        <f>_xlfn.XLOOKUP(E103,'All Products'!D:D,'All Products'!M:M,FALSE)</f>
        <v>40049081155405</v>
      </c>
      <c r="T103" s="348">
        <f>_xlfn.XLOOKUP(E103,'All Products'!D:D,'All Products'!N:N,FALSE)</f>
        <v>1.5940000000000001</v>
      </c>
      <c r="U103" s="351" t="str">
        <f>_xlfn.XLOOKUP(E103,'All Products'!D:D,'All Products'!O:O,FALSE)</f>
        <v>-</v>
      </c>
      <c r="V103" s="348">
        <f>_xlfn.XLOOKUP(E103,'All Products'!D:D,'All Products'!P:P,FALSE)</f>
        <v>31.878</v>
      </c>
      <c r="W103" s="348" t="str">
        <f>_xlfn.XLOOKUP(E103,'All Products'!D:D,'All Products'!Q:Q,FALSE)</f>
        <v>-</v>
      </c>
    </row>
    <row r="104" spans="1:23">
      <c r="A104" s="104" t="str">
        <f>IF(K104&gt;0,COUNT($A$7:A103)+COUNT('DWV PVC'!$A$8:$A$284)
+COUNT('DWV ABS'!$A$8:$A$116)
+COUNT('PVC SCH40'!$A$8:$A$375)
+COUNT('PVC SCH40 LD'!$A$8:$A$21)
+COUNT('Pool &amp; SPA Sweep Elbows'!$A$8:$A$11)
+COUNT('Pool &amp; SPA Pipe Extender'!$A$8:$A$10)+1,"")</f>
        <v/>
      </c>
      <c r="B104" s="577"/>
      <c r="C104" s="578"/>
      <c r="D104" s="155" t="str">
        <f>_xlfn.XLOOKUP(E104,'All Products'!D:D,'All Products'!C:C,FALSE)</f>
        <v>836-002</v>
      </c>
      <c r="E104" s="106">
        <v>100023595</v>
      </c>
      <c r="F104" s="559" t="str">
        <f>_xlfn.XLOOKUP(E104,'All Products'!D:D,'All Products'!E:E,FALSE)</f>
        <v>1/4 MALE ADAPTER MIPTXS SCH80</v>
      </c>
      <c r="G104" s="283">
        <f>_xlfn.XLOOKUP(E104,'All Products'!D:D,'All Products'!F:F,FALSE)</f>
        <v>250</v>
      </c>
      <c r="H104" s="234">
        <f>_xlfn.XLOOKUP(E104,'All Products'!D:D,'All Products'!G:G,FALSE)</f>
        <v>37500</v>
      </c>
      <c r="I104" s="561">
        <f>_xlfn.XLOOKUP(E104,'All Products'!D:D,'All Products'!H:H,FALSE)</f>
        <v>17.54</v>
      </c>
      <c r="J104" s="135">
        <f>ROUND(I104*Order_Quote!$L$8,2)</f>
        <v>87.7</v>
      </c>
      <c r="K104" s="78"/>
      <c r="L104" s="116"/>
      <c r="M104" s="199">
        <f t="shared" ref="M104:M141" si="3">K104/G104</f>
        <v>0</v>
      </c>
      <c r="O104" s="348" t="str">
        <f>_xlfn.XLOOKUP(E104,'All Products'!D:D,'All Products'!I:I,FALSE)</f>
        <v>Within 3 Weeks</v>
      </c>
      <c r="P104" s="348" t="str">
        <f>_xlfn.XLOOKUP(E104,'All Products'!D:D,'All Products'!J:J,FALSE)</f>
        <v>Manufactured</v>
      </c>
      <c r="Q104" s="348" t="str">
        <f>_xlfn.XLOOKUP(E104,'All Products'!D:D,'All Products'!K:K,FALSE)</f>
        <v>049081155834</v>
      </c>
      <c r="R104" s="351" t="str">
        <f>_xlfn.XLOOKUP(E104,'All Products'!D:D,'All Products'!L:L,FALSE)</f>
        <v>049081655839</v>
      </c>
      <c r="S104" s="351" t="str">
        <f>_xlfn.XLOOKUP(E104,'All Products'!D:D,'All Products'!M:M,FALSE)</f>
        <v>40049081155832</v>
      </c>
      <c r="T104" s="348">
        <f>_xlfn.XLOOKUP(E104,'All Products'!D:D,'All Products'!N:N,FALSE)</f>
        <v>2.1999999999999999E-2</v>
      </c>
      <c r="U104" s="351">
        <f>_xlfn.XLOOKUP(E104,'All Products'!D:D,'All Products'!O:O,FALSE)</f>
        <v>10</v>
      </c>
      <c r="V104" s="348">
        <f>_xlfn.XLOOKUP(E104,'All Products'!D:D,'All Products'!P:P,FALSE)</f>
        <v>5.72</v>
      </c>
      <c r="W104" s="348">
        <f>_xlfn.XLOOKUP(E104,'All Products'!D:D,'All Products'!Q:Q,FALSE)</f>
        <v>0.5</v>
      </c>
    </row>
    <row r="105" spans="1:23">
      <c r="A105" s="104" t="str">
        <f>IF(K105&gt;0,COUNT($A$7:A104)+COUNT('DWV PVC'!$A$8:$A$284)
+COUNT('DWV ABS'!$A$8:$A$116)
+COUNT('PVC SCH40'!$A$8:$A$375)
+COUNT('PVC SCH40 LD'!$A$8:$A$21)
+COUNT('Pool &amp; SPA Sweep Elbows'!$A$8:$A$11)
+COUNT('Pool &amp; SPA Pipe Extender'!$A$8:$A$10)+1,"")</f>
        <v/>
      </c>
      <c r="B105" s="579"/>
      <c r="C105" s="580"/>
      <c r="D105" s="155" t="str">
        <f>_xlfn.XLOOKUP(E105,'All Products'!D:D,'All Products'!C:C,FALSE)</f>
        <v>836-003</v>
      </c>
      <c r="E105" s="106">
        <v>100023596</v>
      </c>
      <c r="F105" s="559" t="str">
        <f>_xlfn.XLOOKUP(E105,'All Products'!D:D,'All Products'!E:E,FALSE)</f>
        <v>3/8 MALE ADAPTER MIPTXS SCH80</v>
      </c>
      <c r="G105" s="283">
        <f>_xlfn.XLOOKUP(E105,'All Products'!D:D,'All Products'!F:F,FALSE)</f>
        <v>250</v>
      </c>
      <c r="H105" s="234">
        <f>_xlfn.XLOOKUP(E105,'All Products'!D:D,'All Products'!G:G,FALSE)</f>
        <v>37500</v>
      </c>
      <c r="I105" s="561">
        <f>_xlfn.XLOOKUP(E105,'All Products'!D:D,'All Products'!H:H,FALSE)</f>
        <v>17.54</v>
      </c>
      <c r="J105" s="135">
        <f>ROUND(I105*Order_Quote!$L$8,2)</f>
        <v>87.7</v>
      </c>
      <c r="K105" s="78"/>
      <c r="L105" s="116"/>
      <c r="M105" s="199">
        <f t="shared" si="3"/>
        <v>0</v>
      </c>
      <c r="O105" s="348" t="str">
        <f>_xlfn.XLOOKUP(E105,'All Products'!D:D,'All Products'!I:I,FALSE)</f>
        <v>Within 3 Weeks</v>
      </c>
      <c r="P105" s="348" t="str">
        <f>_xlfn.XLOOKUP(E105,'All Products'!D:D,'All Products'!J:J,FALSE)</f>
        <v>Manufactured</v>
      </c>
      <c r="Q105" s="348" t="str">
        <f>_xlfn.XLOOKUP(E105,'All Products'!D:D,'All Products'!K:K,FALSE)</f>
        <v>049081155926</v>
      </c>
      <c r="R105" s="351" t="str">
        <f>_xlfn.XLOOKUP(E105,'All Products'!D:D,'All Products'!L:L,FALSE)</f>
        <v>049081655921</v>
      </c>
      <c r="S105" s="351" t="str">
        <f>_xlfn.XLOOKUP(E105,'All Products'!D:D,'All Products'!M:M,FALSE)</f>
        <v>40049081155924</v>
      </c>
      <c r="T105" s="348">
        <f>_xlfn.XLOOKUP(E105,'All Products'!D:D,'All Products'!N:N,FALSE)</f>
        <v>3.3000000000000002E-2</v>
      </c>
      <c r="U105" s="351">
        <f>_xlfn.XLOOKUP(E105,'All Products'!D:D,'All Products'!O:O,FALSE)</f>
        <v>10</v>
      </c>
      <c r="V105" s="348">
        <f>_xlfn.XLOOKUP(E105,'All Products'!D:D,'All Products'!P:P,FALSE)</f>
        <v>9</v>
      </c>
      <c r="W105" s="348">
        <f>_xlfn.XLOOKUP(E105,'All Products'!D:D,'All Products'!Q:Q,FALSE)</f>
        <v>0.5</v>
      </c>
    </row>
    <row r="106" spans="1:23">
      <c r="A106" s="104" t="str">
        <f>IF(K106&gt;0,COUNT($A$7:A105)+COUNT('DWV PVC'!$A$8:$A$284)
+COUNT('DWV ABS'!$A$8:$A$116)
+COUNT('PVC SCH40'!$A$8:$A$375)
+COUNT('PVC SCH40 LD'!$A$8:$A$21)
+COUNT('Pool &amp; SPA Sweep Elbows'!$A$8:$A$11)
+COUNT('Pool &amp; SPA Pipe Extender'!$A$8:$A$10)+1,"")</f>
        <v/>
      </c>
      <c r="B106" s="579"/>
      <c r="C106" s="580"/>
      <c r="D106" s="155" t="str">
        <f>_xlfn.XLOOKUP(E106,'All Products'!D:D,'All Products'!C:C,FALSE)</f>
        <v>836-005</v>
      </c>
      <c r="E106" s="106">
        <v>100023597</v>
      </c>
      <c r="F106" s="559" t="str">
        <f>_xlfn.XLOOKUP(E106,'All Products'!D:D,'All Products'!E:E,FALSE)</f>
        <v>1/2 MALE ADAPTER MIPTXS SCH80</v>
      </c>
      <c r="G106" s="283">
        <f>_xlfn.XLOOKUP(E106,'All Products'!D:D,'All Products'!F:F,FALSE)</f>
        <v>250</v>
      </c>
      <c r="H106" s="234">
        <f>_xlfn.XLOOKUP(E106,'All Products'!D:D,'All Products'!G:G,FALSE)</f>
        <v>30000</v>
      </c>
      <c r="I106" s="561">
        <f>_xlfn.XLOOKUP(E106,'All Products'!D:D,'All Products'!H:H,FALSE)</f>
        <v>17.54</v>
      </c>
      <c r="J106" s="135">
        <f>ROUND(I106*Order_Quote!$L$8,2)</f>
        <v>87.7</v>
      </c>
      <c r="K106" s="78"/>
      <c r="L106" s="116"/>
      <c r="M106" s="199">
        <f t="shared" si="3"/>
        <v>0</v>
      </c>
      <c r="O106" s="348" t="str">
        <f>_xlfn.XLOOKUP(E106,'All Products'!D:D,'All Products'!I:I,FALSE)</f>
        <v>In Stock</v>
      </c>
      <c r="P106" s="348" t="str">
        <f>_xlfn.XLOOKUP(E106,'All Products'!D:D,'All Products'!J:J,FALSE)</f>
        <v>Manufactured</v>
      </c>
      <c r="Q106" s="348" t="str">
        <f>_xlfn.XLOOKUP(E106,'All Products'!D:D,'All Products'!K:K,FALSE)</f>
        <v>049081155940</v>
      </c>
      <c r="R106" s="351" t="str">
        <f>_xlfn.XLOOKUP(E106,'All Products'!D:D,'All Products'!L:L,FALSE)</f>
        <v>049081655945</v>
      </c>
      <c r="S106" s="351" t="str">
        <f>_xlfn.XLOOKUP(E106,'All Products'!D:D,'All Products'!M:M,FALSE)</f>
        <v>40049081155948</v>
      </c>
      <c r="T106" s="348">
        <f>_xlfn.XLOOKUP(E106,'All Products'!D:D,'All Products'!N:N,FALSE)</f>
        <v>4.3999999999999997E-2</v>
      </c>
      <c r="U106" s="351">
        <f>_xlfn.XLOOKUP(E106,'All Products'!D:D,'All Products'!O:O,FALSE)</f>
        <v>10</v>
      </c>
      <c r="V106" s="348">
        <f>_xlfn.XLOOKUP(E106,'All Products'!D:D,'All Products'!P:P,FALSE)</f>
        <v>13.93</v>
      </c>
      <c r="W106" s="348">
        <f>_xlfn.XLOOKUP(E106,'All Products'!D:D,'All Products'!Q:Q,FALSE)</f>
        <v>0.65</v>
      </c>
    </row>
    <row r="107" spans="1:23">
      <c r="A107" s="104" t="str">
        <f>IF(K107&gt;0,COUNT($A$7:A106)+COUNT('DWV PVC'!$A$8:$A$284)
+COUNT('DWV ABS'!$A$8:$A$116)
+COUNT('PVC SCH40'!$A$8:$A$375)
+COUNT('PVC SCH40 LD'!$A$8:$A$21)
+COUNT('Pool &amp; SPA Sweep Elbows'!$A$8:$A$11)
+COUNT('Pool &amp; SPA Pipe Extender'!$A$8:$A$10)+1,"")</f>
        <v/>
      </c>
      <c r="B107" s="579"/>
      <c r="C107" s="580"/>
      <c r="D107" s="155" t="str">
        <f>_xlfn.XLOOKUP(E107,'All Products'!D:D,'All Products'!C:C,FALSE)</f>
        <v>836-007</v>
      </c>
      <c r="E107" s="106">
        <v>100023599</v>
      </c>
      <c r="F107" s="559" t="str">
        <f>_xlfn.XLOOKUP(E107,'All Products'!D:D,'All Products'!E:E,FALSE)</f>
        <v>3/4 MALE ADAPTER MIPTXS SCH80</v>
      </c>
      <c r="G107" s="283">
        <f>_xlfn.XLOOKUP(E107,'All Products'!D:D,'All Products'!F:F,FALSE)</f>
        <v>250</v>
      </c>
      <c r="H107" s="234">
        <f>_xlfn.XLOOKUP(E107,'All Products'!D:D,'All Products'!G:G,FALSE)</f>
        <v>18750</v>
      </c>
      <c r="I107" s="561">
        <f>_xlfn.XLOOKUP(E107,'All Products'!D:D,'All Products'!H:H,FALSE)</f>
        <v>19.329999999999998</v>
      </c>
      <c r="J107" s="135">
        <f>ROUND(I107*Order_Quote!$L$8,2)</f>
        <v>96.65</v>
      </c>
      <c r="K107" s="78"/>
      <c r="L107" s="116"/>
      <c r="M107" s="199">
        <f t="shared" si="3"/>
        <v>0</v>
      </c>
      <c r="O107" s="348" t="str">
        <f>_xlfn.XLOOKUP(E107,'All Products'!D:D,'All Products'!I:I,FALSE)</f>
        <v>In Stock</v>
      </c>
      <c r="P107" s="348" t="str">
        <f>_xlfn.XLOOKUP(E107,'All Products'!D:D,'All Products'!J:J,FALSE)</f>
        <v>Manufactured</v>
      </c>
      <c r="Q107" s="348" t="str">
        <f>_xlfn.XLOOKUP(E107,'All Products'!D:D,'All Products'!K:K,FALSE)</f>
        <v>049081156008</v>
      </c>
      <c r="R107" s="351" t="str">
        <f>_xlfn.XLOOKUP(E107,'All Products'!D:D,'All Products'!L:L,FALSE)</f>
        <v>049081656003</v>
      </c>
      <c r="S107" s="351" t="str">
        <f>_xlfn.XLOOKUP(E107,'All Products'!D:D,'All Products'!M:M,FALSE)</f>
        <v>40049081156006</v>
      </c>
      <c r="T107" s="348">
        <f>_xlfn.XLOOKUP(E107,'All Products'!D:D,'All Products'!N:N,FALSE)</f>
        <v>5.6000000000000001E-2</v>
      </c>
      <c r="U107" s="351">
        <f>_xlfn.XLOOKUP(E107,'All Products'!D:D,'All Products'!O:O,FALSE)</f>
        <v>10</v>
      </c>
      <c r="V107" s="348">
        <f>_xlfn.XLOOKUP(E107,'All Products'!D:D,'All Products'!P:P,FALSE)</f>
        <v>21.33</v>
      </c>
      <c r="W107" s="348">
        <f>_xlfn.XLOOKUP(E107,'All Products'!D:D,'All Products'!Q:Q,FALSE)</f>
        <v>0.95</v>
      </c>
    </row>
    <row r="108" spans="1:23">
      <c r="A108" s="104" t="str">
        <f>IF(K108&gt;0,COUNT($A$7:A107)+COUNT('DWV PVC'!$A$8:$A$284)
+COUNT('DWV ABS'!$A$8:$A$116)
+COUNT('PVC SCH40'!$A$8:$A$375)
+COUNT('PVC SCH40 LD'!$A$8:$A$21)
+COUNT('Pool &amp; SPA Sweep Elbows'!$A$8:$A$11)
+COUNT('Pool &amp; SPA Pipe Extender'!$A$8:$A$10)+1,"")</f>
        <v/>
      </c>
      <c r="B108" s="579"/>
      <c r="C108" s="580"/>
      <c r="D108" s="155" t="str">
        <f>_xlfn.XLOOKUP(E108,'All Products'!D:D,'All Products'!C:C,FALSE)</f>
        <v>836-010</v>
      </c>
      <c r="E108" s="106">
        <v>100023601</v>
      </c>
      <c r="F108" s="559" t="str">
        <f>_xlfn.XLOOKUP(E108,'All Products'!D:D,'All Products'!E:E,FALSE)</f>
        <v>1 MALE ADAPTER MIPTXS SCH80</v>
      </c>
      <c r="G108" s="283">
        <f>_xlfn.XLOOKUP(E108,'All Products'!D:D,'All Products'!F:F,FALSE)</f>
        <v>100</v>
      </c>
      <c r="H108" s="234">
        <f>_xlfn.XLOOKUP(E108,'All Products'!D:D,'All Products'!G:G,FALSE)</f>
        <v>9000</v>
      </c>
      <c r="I108" s="561">
        <f>_xlfn.XLOOKUP(E108,'All Products'!D:D,'All Products'!H:H,FALSE)</f>
        <v>33.44</v>
      </c>
      <c r="J108" s="135">
        <f>ROUND(I108*Order_Quote!$L$8,2)</f>
        <v>167.2</v>
      </c>
      <c r="K108" s="78"/>
      <c r="L108" s="116"/>
      <c r="M108" s="199">
        <f t="shared" si="3"/>
        <v>0</v>
      </c>
      <c r="O108" s="348" t="str">
        <f>_xlfn.XLOOKUP(E108,'All Products'!D:D,'All Products'!I:I,FALSE)</f>
        <v>In Stock</v>
      </c>
      <c r="P108" s="348" t="str">
        <f>_xlfn.XLOOKUP(E108,'All Products'!D:D,'All Products'!J:J,FALSE)</f>
        <v>Manufactured</v>
      </c>
      <c r="Q108" s="348" t="str">
        <f>_xlfn.XLOOKUP(E108,'All Products'!D:D,'All Products'!K:K,FALSE)</f>
        <v>049081156060</v>
      </c>
      <c r="R108" s="351" t="str">
        <f>_xlfn.XLOOKUP(E108,'All Products'!D:D,'All Products'!L:L,FALSE)</f>
        <v>049081656065</v>
      </c>
      <c r="S108" s="351" t="str">
        <f>_xlfn.XLOOKUP(E108,'All Products'!D:D,'All Products'!M:M,FALSE)</f>
        <v>40049081156068</v>
      </c>
      <c r="T108" s="348">
        <f>_xlfn.XLOOKUP(E108,'All Products'!D:D,'All Products'!N:N,FALSE)</f>
        <v>0.09</v>
      </c>
      <c r="U108" s="351">
        <f>_xlfn.XLOOKUP(E108,'All Products'!D:D,'All Products'!O:O,FALSE)</f>
        <v>10</v>
      </c>
      <c r="V108" s="348">
        <f>_xlfn.XLOOKUP(E108,'All Products'!D:D,'All Products'!P:P,FALSE)</f>
        <v>14.55</v>
      </c>
      <c r="W108" s="348">
        <f>_xlfn.XLOOKUP(E108,'All Products'!D:D,'All Products'!Q:Q,FALSE)</f>
        <v>0.8</v>
      </c>
    </row>
    <row r="109" spans="1:23">
      <c r="A109" s="104" t="str">
        <f>IF(K109&gt;0,COUNT($A$7:A108)+COUNT('DWV PVC'!$A$8:$A$284)
+COUNT('DWV ABS'!$A$8:$A$116)
+COUNT('PVC SCH40'!$A$8:$A$375)
+COUNT('PVC SCH40 LD'!$A$8:$A$21)
+COUNT('Pool &amp; SPA Sweep Elbows'!$A$8:$A$11)
+COUNT('Pool &amp; SPA Pipe Extender'!$A$8:$A$10)+1,"")</f>
        <v/>
      </c>
      <c r="B109" s="579"/>
      <c r="C109" s="580"/>
      <c r="D109" s="155" t="str">
        <f>_xlfn.XLOOKUP(E109,'All Products'!D:D,'All Products'!C:C,FALSE)</f>
        <v>836-012</v>
      </c>
      <c r="E109" s="106">
        <v>100023602</v>
      </c>
      <c r="F109" s="559" t="str">
        <f>_xlfn.XLOOKUP(E109,'All Products'!D:D,'All Products'!E:E,FALSE)</f>
        <v>1-1/4 MALE ADAPTER MIPTXS SCH80</v>
      </c>
      <c r="G109" s="283">
        <f>_xlfn.XLOOKUP(E109,'All Products'!D:D,'All Products'!F:F,FALSE)</f>
        <v>50</v>
      </c>
      <c r="H109" s="234">
        <f>_xlfn.XLOOKUP(E109,'All Products'!D:D,'All Products'!G:G,FALSE)</f>
        <v>7500</v>
      </c>
      <c r="I109" s="561">
        <f>_xlfn.XLOOKUP(E109,'All Products'!D:D,'All Products'!H:H,FALSE)</f>
        <v>39.090000000000003</v>
      </c>
      <c r="J109" s="135">
        <f>ROUND(I109*Order_Quote!$L$8,2)</f>
        <v>195.45</v>
      </c>
      <c r="K109" s="78"/>
      <c r="L109" s="116"/>
      <c r="M109" s="199">
        <f t="shared" si="3"/>
        <v>0</v>
      </c>
      <c r="O109" s="348" t="str">
        <f>_xlfn.XLOOKUP(E109,'All Products'!D:D,'All Products'!I:I,FALSE)</f>
        <v>In Stock</v>
      </c>
      <c r="P109" s="348" t="str">
        <f>_xlfn.XLOOKUP(E109,'All Products'!D:D,'All Products'!J:J,FALSE)</f>
        <v>Manufactured</v>
      </c>
      <c r="Q109" s="348" t="str">
        <f>_xlfn.XLOOKUP(E109,'All Products'!D:D,'All Products'!K:K,FALSE)</f>
        <v>049081156121</v>
      </c>
      <c r="R109" s="351" t="str">
        <f>_xlfn.XLOOKUP(E109,'All Products'!D:D,'All Products'!L:L,FALSE)</f>
        <v>049081656126</v>
      </c>
      <c r="S109" s="351" t="str">
        <f>_xlfn.XLOOKUP(E109,'All Products'!D:D,'All Products'!M:M,FALSE)</f>
        <v>40049081156129</v>
      </c>
      <c r="T109" s="348">
        <f>_xlfn.XLOOKUP(E109,'All Products'!D:D,'All Products'!N:N,FALSE)</f>
        <v>0.182</v>
      </c>
      <c r="U109" s="351">
        <f>_xlfn.XLOOKUP(E109,'All Products'!D:D,'All Products'!O:O,FALSE)</f>
        <v>5</v>
      </c>
      <c r="V109" s="348">
        <f>_xlfn.XLOOKUP(E109,'All Products'!D:D,'All Products'!P:P,FALSE)</f>
        <v>9.77</v>
      </c>
      <c r="W109" s="348">
        <f>_xlfn.XLOOKUP(E109,'All Products'!D:D,'All Products'!Q:Q,FALSE)</f>
        <v>0.5</v>
      </c>
    </row>
    <row r="110" spans="1:23">
      <c r="A110" s="104" t="str">
        <f>IF(K110&gt;0,COUNT($A$7:A109)+COUNT('DWV PVC'!$A$8:$A$284)
+COUNT('DWV ABS'!$A$8:$A$116)
+COUNT('PVC SCH40'!$A$8:$A$375)
+COUNT('PVC SCH40 LD'!$A$8:$A$21)
+COUNT('Pool &amp; SPA Sweep Elbows'!$A$8:$A$11)
+COUNT('Pool &amp; SPA Pipe Extender'!$A$8:$A$10)+1,"")</f>
        <v/>
      </c>
      <c r="B110" s="579"/>
      <c r="C110" s="580"/>
      <c r="D110" s="155" t="str">
        <f>_xlfn.XLOOKUP(E110,'All Products'!D:D,'All Products'!C:C,FALSE)</f>
        <v>836-015</v>
      </c>
      <c r="E110" s="106">
        <v>100023604</v>
      </c>
      <c r="F110" s="559" t="str">
        <f>_xlfn.XLOOKUP(E110,'All Products'!D:D,'All Products'!E:E,FALSE)</f>
        <v>1-1/2 MALE ADAPTER MIPTXS SCH80</v>
      </c>
      <c r="G110" s="283">
        <f>_xlfn.XLOOKUP(E110,'All Products'!D:D,'All Products'!F:F,FALSE)</f>
        <v>50</v>
      </c>
      <c r="H110" s="234">
        <f>_xlfn.XLOOKUP(E110,'All Products'!D:D,'All Products'!G:G,FALSE)</f>
        <v>4500</v>
      </c>
      <c r="I110" s="561">
        <f>_xlfn.XLOOKUP(E110,'All Products'!D:D,'All Products'!H:H,FALSE)</f>
        <v>56.19</v>
      </c>
      <c r="J110" s="135">
        <f>ROUND(I110*Order_Quote!$L$8,2)</f>
        <v>280.95</v>
      </c>
      <c r="K110" s="78"/>
      <c r="L110" s="116"/>
      <c r="M110" s="199">
        <f t="shared" si="3"/>
        <v>0</v>
      </c>
      <c r="O110" s="348" t="str">
        <f>_xlfn.XLOOKUP(E110,'All Products'!D:D,'All Products'!I:I,FALSE)</f>
        <v>In Stock</v>
      </c>
      <c r="P110" s="348" t="str">
        <f>_xlfn.XLOOKUP(E110,'All Products'!D:D,'All Products'!J:J,FALSE)</f>
        <v>Manufactured</v>
      </c>
      <c r="Q110" s="348" t="str">
        <f>_xlfn.XLOOKUP(E110,'All Products'!D:D,'All Products'!K:K,FALSE)</f>
        <v>049081156183</v>
      </c>
      <c r="R110" s="351" t="str">
        <f>_xlfn.XLOOKUP(E110,'All Products'!D:D,'All Products'!L:L,FALSE)</f>
        <v>049081656188</v>
      </c>
      <c r="S110" s="351" t="str">
        <f>_xlfn.XLOOKUP(E110,'All Products'!D:D,'All Products'!M:M,FALSE)</f>
        <v>40049081156181</v>
      </c>
      <c r="T110" s="348">
        <f>_xlfn.XLOOKUP(E110,'All Products'!D:D,'All Products'!N:N,FALSE)</f>
        <v>0.192</v>
      </c>
      <c r="U110" s="351">
        <f>_xlfn.XLOOKUP(E110,'All Products'!D:D,'All Products'!O:O,FALSE)</f>
        <v>5</v>
      </c>
      <c r="V110" s="348">
        <f>_xlfn.XLOOKUP(E110,'All Products'!D:D,'All Products'!P:P,FALSE)</f>
        <v>10.75</v>
      </c>
      <c r="W110" s="348">
        <f>_xlfn.XLOOKUP(E110,'All Products'!D:D,'All Products'!Q:Q,FALSE)</f>
        <v>0.8</v>
      </c>
    </row>
    <row r="111" spans="1:23">
      <c r="A111" s="104" t="str">
        <f>IF(K111&gt;0,COUNT($A$7:A110)+COUNT('DWV PVC'!$A$8:$A$284)
+COUNT('DWV ABS'!$A$8:$A$116)
+COUNT('PVC SCH40'!$A$8:$A$375)
+COUNT('PVC SCH40 LD'!$A$8:$A$21)
+COUNT('Pool &amp; SPA Sweep Elbows'!$A$8:$A$11)
+COUNT('Pool &amp; SPA Pipe Extender'!$A$8:$A$10)+1,"")</f>
        <v/>
      </c>
      <c r="B111" s="579"/>
      <c r="C111" s="580"/>
      <c r="D111" s="155" t="str">
        <f>_xlfn.XLOOKUP(E111,'All Products'!D:D,'All Products'!C:C,FALSE)</f>
        <v>836-020</v>
      </c>
      <c r="E111" s="106">
        <v>100023606</v>
      </c>
      <c r="F111" s="559" t="str">
        <f>_xlfn.XLOOKUP(E111,'All Products'!D:D,'All Products'!E:E,FALSE)</f>
        <v>2 MALE ADAPTER MIPTXS SCH80</v>
      </c>
      <c r="G111" s="283">
        <f>_xlfn.XLOOKUP(E111,'All Products'!D:D,'All Products'!F:F,FALSE)</f>
        <v>25</v>
      </c>
      <c r="H111" s="234">
        <f>_xlfn.XLOOKUP(E111,'All Products'!D:D,'All Products'!G:G,FALSE)</f>
        <v>3750</v>
      </c>
      <c r="I111" s="561">
        <f>_xlfn.XLOOKUP(E111,'All Products'!D:D,'All Products'!H:H,FALSE)</f>
        <v>81.260000000000005</v>
      </c>
      <c r="J111" s="135">
        <f>ROUND(I111*Order_Quote!$L$8,2)</f>
        <v>406.3</v>
      </c>
      <c r="K111" s="78"/>
      <c r="L111" s="116"/>
      <c r="M111" s="199">
        <f t="shared" si="3"/>
        <v>0</v>
      </c>
      <c r="O111" s="348" t="str">
        <f>_xlfn.XLOOKUP(E111,'All Products'!D:D,'All Products'!I:I,FALSE)</f>
        <v>In Stock</v>
      </c>
      <c r="P111" s="348" t="str">
        <f>_xlfn.XLOOKUP(E111,'All Products'!D:D,'All Products'!J:J,FALSE)</f>
        <v>Manufactured</v>
      </c>
      <c r="Q111" s="348" t="str">
        <f>_xlfn.XLOOKUP(E111,'All Products'!D:D,'All Products'!K:K,FALSE)</f>
        <v>049081156244</v>
      </c>
      <c r="R111" s="351" t="str">
        <f>_xlfn.XLOOKUP(E111,'All Products'!D:D,'All Products'!L:L,FALSE)</f>
        <v>049081656249</v>
      </c>
      <c r="S111" s="351" t="str">
        <f>_xlfn.XLOOKUP(E111,'All Products'!D:D,'All Products'!M:M,FALSE)</f>
        <v>40049081156242</v>
      </c>
      <c r="T111" s="348">
        <f>_xlfn.XLOOKUP(E111,'All Products'!D:D,'All Products'!N:N,FALSE)</f>
        <v>0.26600000000000001</v>
      </c>
      <c r="U111" s="351">
        <f>_xlfn.XLOOKUP(E111,'All Products'!D:D,'All Products'!O:O,FALSE)</f>
        <v>5</v>
      </c>
      <c r="V111" s="348">
        <f>_xlfn.XLOOKUP(E111,'All Products'!D:D,'All Products'!P:P,FALSE)</f>
        <v>9.02</v>
      </c>
      <c r="W111" s="348">
        <f>_xlfn.XLOOKUP(E111,'All Products'!D:D,'All Products'!Q:Q,FALSE)</f>
        <v>0.5</v>
      </c>
    </row>
    <row r="112" spans="1:23">
      <c r="A112" s="104" t="str">
        <f>IF(K112&gt;0,COUNT($A$7:A111)+COUNT('DWV PVC'!$A$8:$A$284)
+COUNT('DWV ABS'!$A$8:$A$116)
+COUNT('PVC SCH40'!$A$8:$A$375)
+COUNT('PVC SCH40 LD'!$A$8:$A$21)
+COUNT('Pool &amp; SPA Sweep Elbows'!$A$8:$A$11)
+COUNT('Pool &amp; SPA Pipe Extender'!$A$8:$A$10)+1,"")</f>
        <v/>
      </c>
      <c r="B112" s="579"/>
      <c r="C112" s="580"/>
      <c r="D112" s="155" t="str">
        <f>_xlfn.XLOOKUP(E112,'All Products'!D:D,'All Products'!C:C,FALSE)</f>
        <v>836-025</v>
      </c>
      <c r="E112" s="106">
        <v>100023607</v>
      </c>
      <c r="F112" s="559" t="str">
        <f>_xlfn.XLOOKUP(E112,'All Products'!D:D,'All Products'!E:E,FALSE)</f>
        <v>2-1/2 MALE ADAPTER MIPTXS SCH80</v>
      </c>
      <c r="G112" s="283">
        <f>_xlfn.XLOOKUP(E112,'All Products'!D:D,'All Products'!F:F,FALSE)</f>
        <v>25</v>
      </c>
      <c r="H112" s="234">
        <f>_xlfn.XLOOKUP(E112,'All Products'!D:D,'All Products'!G:G,FALSE)</f>
        <v>2250</v>
      </c>
      <c r="I112" s="561">
        <f>_xlfn.XLOOKUP(E112,'All Products'!D:D,'All Products'!H:H,FALSE)</f>
        <v>92.32</v>
      </c>
      <c r="J112" s="135">
        <f>ROUND(I112*Order_Quote!$L$8,2)</f>
        <v>461.6</v>
      </c>
      <c r="K112" s="78"/>
      <c r="L112" s="116"/>
      <c r="M112" s="199">
        <f t="shared" si="3"/>
        <v>0</v>
      </c>
      <c r="O112" s="348" t="str">
        <f>_xlfn.XLOOKUP(E112,'All Products'!D:D,'All Products'!I:I,FALSE)</f>
        <v>In Stock</v>
      </c>
      <c r="P112" s="348" t="str">
        <f>_xlfn.XLOOKUP(E112,'All Products'!D:D,'All Products'!J:J,FALSE)</f>
        <v>Manufactured</v>
      </c>
      <c r="Q112" s="348" t="str">
        <f>_xlfn.XLOOKUP(E112,'All Products'!D:D,'All Products'!K:K,FALSE)</f>
        <v>049081156305</v>
      </c>
      <c r="R112" s="351" t="str">
        <f>_xlfn.XLOOKUP(E112,'All Products'!D:D,'All Products'!L:L,FALSE)</f>
        <v>049081656300</v>
      </c>
      <c r="S112" s="351" t="str">
        <f>_xlfn.XLOOKUP(E112,'All Products'!D:D,'All Products'!M:M,FALSE)</f>
        <v>40049081156303</v>
      </c>
      <c r="T112" s="348">
        <f>_xlfn.XLOOKUP(E112,'All Products'!D:D,'All Products'!N:N,FALSE)</f>
        <v>0.45800000000000002</v>
      </c>
      <c r="U112" s="351">
        <f>_xlfn.XLOOKUP(E112,'All Products'!D:D,'All Products'!O:O,FALSE)</f>
        <v>5</v>
      </c>
      <c r="V112" s="348">
        <f>_xlfn.XLOOKUP(E112,'All Products'!D:D,'All Products'!P:P,FALSE)</f>
        <v>12.28</v>
      </c>
      <c r="W112" s="348">
        <f>_xlfn.XLOOKUP(E112,'All Products'!D:D,'All Products'!Q:Q,FALSE)</f>
        <v>0.8</v>
      </c>
    </row>
    <row r="113" spans="1:23">
      <c r="A113" s="104" t="str">
        <f>IF(K113&gt;0,COUNT($A$7:A112)+COUNT('DWV PVC'!$A$8:$A$284)
+COUNT('DWV ABS'!$A$8:$A$116)
+COUNT('PVC SCH40'!$A$8:$A$375)
+COUNT('PVC SCH40 LD'!$A$8:$A$21)
+COUNT('Pool &amp; SPA Sweep Elbows'!$A$8:$A$11)
+COUNT('Pool &amp; SPA Pipe Extender'!$A$8:$A$10)+1,"")</f>
        <v/>
      </c>
      <c r="B113" s="579"/>
      <c r="C113" s="580"/>
      <c r="D113" s="155" t="str">
        <f>_xlfn.XLOOKUP(E113,'All Products'!D:D,'All Products'!C:C,FALSE)</f>
        <v>836-030</v>
      </c>
      <c r="E113" s="106">
        <v>100023608</v>
      </c>
      <c r="F113" s="559" t="str">
        <f>_xlfn.XLOOKUP(E113,'All Products'!D:D,'All Products'!E:E,FALSE)</f>
        <v>3 MALE ADAPTER MIPTXS SCH80</v>
      </c>
      <c r="G113" s="283">
        <f>_xlfn.XLOOKUP(E113,'All Products'!D:D,'All Products'!F:F,FALSE)</f>
        <v>10</v>
      </c>
      <c r="H113" s="234">
        <f>_xlfn.XLOOKUP(E113,'All Products'!D:D,'All Products'!G:G,FALSE)</f>
        <v>1500</v>
      </c>
      <c r="I113" s="561">
        <f>_xlfn.XLOOKUP(E113,'All Products'!D:D,'All Products'!H:H,FALSE)</f>
        <v>102.49</v>
      </c>
      <c r="J113" s="135">
        <f>ROUND(I113*Order_Quote!$L$8,2)</f>
        <v>512.45000000000005</v>
      </c>
      <c r="K113" s="78"/>
      <c r="L113" s="116"/>
      <c r="M113" s="199">
        <f t="shared" si="3"/>
        <v>0</v>
      </c>
      <c r="O113" s="348" t="str">
        <f>_xlfn.XLOOKUP(E113,'All Products'!D:D,'All Products'!I:I,FALSE)</f>
        <v>In Stock</v>
      </c>
      <c r="P113" s="348" t="str">
        <f>_xlfn.XLOOKUP(E113,'All Products'!D:D,'All Products'!J:J,FALSE)</f>
        <v>Manufactured</v>
      </c>
      <c r="Q113" s="348" t="str">
        <f>_xlfn.XLOOKUP(E113,'All Products'!D:D,'All Products'!K:K,FALSE)</f>
        <v>049081156367</v>
      </c>
      <c r="R113" s="351" t="str">
        <f>_xlfn.XLOOKUP(E113,'All Products'!D:D,'All Products'!L:L,FALSE)</f>
        <v>049081656362</v>
      </c>
      <c r="S113" s="351" t="str">
        <f>_xlfn.XLOOKUP(E113,'All Products'!D:D,'All Products'!M:M,FALSE)</f>
        <v>40049081156365</v>
      </c>
      <c r="T113" s="348">
        <f>_xlfn.XLOOKUP(E113,'All Products'!D:D,'All Products'!N:N,FALSE)</f>
        <v>0.64500000000000002</v>
      </c>
      <c r="U113" s="351">
        <f>_xlfn.XLOOKUP(E113,'All Products'!D:D,'All Products'!O:O,FALSE)</f>
        <v>2</v>
      </c>
      <c r="V113" s="348">
        <f>_xlfn.XLOOKUP(E113,'All Products'!D:D,'All Products'!P:P,FALSE)</f>
        <v>7.11</v>
      </c>
      <c r="W113" s="348">
        <f>_xlfn.XLOOKUP(E113,'All Products'!D:D,'All Products'!Q:Q,FALSE)</f>
        <v>0.5</v>
      </c>
    </row>
    <row r="114" spans="1:23">
      <c r="A114" s="104" t="str">
        <f>IF(K114&gt;0,COUNT($A$7:A113)+COUNT('DWV PVC'!$A$8:$A$284)
+COUNT('DWV ABS'!$A$8:$A$116)
+COUNT('PVC SCH40'!$A$8:$A$375)
+COUNT('PVC SCH40 LD'!$A$8:$A$21)
+COUNT('Pool &amp; SPA Sweep Elbows'!$A$8:$A$11)
+COUNT('Pool &amp; SPA Pipe Extender'!$A$8:$A$10)+1,"")</f>
        <v/>
      </c>
      <c r="B114" s="581"/>
      <c r="C114" s="582"/>
      <c r="D114" s="155" t="str">
        <f>_xlfn.XLOOKUP(E114,'All Products'!D:D,'All Products'!C:C,FALSE)</f>
        <v>836-040</v>
      </c>
      <c r="E114" s="106">
        <v>100023609</v>
      </c>
      <c r="F114" s="559" t="str">
        <f>_xlfn.XLOOKUP(E114,'All Products'!D:D,'All Products'!E:E,FALSE)</f>
        <v>4 MALE ADAPTER MIPTXS SCH80</v>
      </c>
      <c r="G114" s="283">
        <f>_xlfn.XLOOKUP(E114,'All Products'!D:D,'All Products'!F:F,FALSE)</f>
        <v>10</v>
      </c>
      <c r="H114" s="234">
        <f>_xlfn.XLOOKUP(E114,'All Products'!D:D,'All Products'!G:G,FALSE)</f>
        <v>900</v>
      </c>
      <c r="I114" s="561">
        <f>_xlfn.XLOOKUP(E114,'All Products'!D:D,'All Products'!H:H,FALSE)</f>
        <v>182.33</v>
      </c>
      <c r="J114" s="135">
        <f>ROUND(I114*Order_Quote!$L$8,2)</f>
        <v>911.65</v>
      </c>
      <c r="K114" s="78"/>
      <c r="L114" s="116"/>
      <c r="M114" s="199">
        <f t="shared" si="3"/>
        <v>0</v>
      </c>
      <c r="O114" s="348" t="str">
        <f>_xlfn.XLOOKUP(E114,'All Products'!D:D,'All Products'!I:I,FALSE)</f>
        <v>In Stock</v>
      </c>
      <c r="P114" s="348" t="str">
        <f>_xlfn.XLOOKUP(E114,'All Products'!D:D,'All Products'!J:J,FALSE)</f>
        <v>Manufactured</v>
      </c>
      <c r="Q114" s="348" t="str">
        <f>_xlfn.XLOOKUP(E114,'All Products'!D:D,'All Products'!K:K,FALSE)</f>
        <v>049081156404</v>
      </c>
      <c r="R114" s="351" t="str">
        <f>_xlfn.XLOOKUP(E114,'All Products'!D:D,'All Products'!L:L,FALSE)</f>
        <v>049081656409</v>
      </c>
      <c r="S114" s="351" t="str">
        <f>_xlfn.XLOOKUP(E114,'All Products'!D:D,'All Products'!M:M,FALSE)</f>
        <v>40049081156402</v>
      </c>
      <c r="T114" s="348">
        <f>_xlfn.XLOOKUP(E114,'All Products'!D:D,'All Products'!N:N,FALSE)</f>
        <v>1.1850000000000001</v>
      </c>
      <c r="U114" s="351">
        <f>_xlfn.XLOOKUP(E114,'All Products'!D:D,'All Products'!O:O,FALSE)</f>
        <v>2</v>
      </c>
      <c r="V114" s="348">
        <f>_xlfn.XLOOKUP(E114,'All Products'!D:D,'All Products'!P:P,FALSE)</f>
        <v>12.28</v>
      </c>
      <c r="W114" s="348">
        <f>_xlfn.XLOOKUP(E114,'All Products'!D:D,'All Products'!Q:Q,FALSE)</f>
        <v>0.8</v>
      </c>
    </row>
    <row r="115" spans="1:23">
      <c r="A115" s="104" t="str">
        <f>IF(K115&gt;0,COUNT($A$7:A114)+COUNT('DWV PVC'!$A$8:$A$284)
+COUNT('DWV ABS'!$A$8:$A$116)
+COUNT('PVC SCH40'!$A$8:$A$375)
+COUNT('PVC SCH40 LD'!$A$8:$A$21)
+COUNT('Pool &amp; SPA Sweep Elbows'!$A$8:$A$11)
+COUNT('Pool &amp; SPA Pipe Extender'!$A$8:$A$10)+1,"")</f>
        <v/>
      </c>
      <c r="B115" s="579"/>
      <c r="C115" s="580"/>
      <c r="D115" s="155" t="str">
        <f>_xlfn.XLOOKUP(E115,'All Products'!D:D,'All Products'!C:C,FALSE)</f>
        <v>836-102</v>
      </c>
      <c r="E115" s="106">
        <v>100023612</v>
      </c>
      <c r="F115" s="559" t="str">
        <f>_xlfn.XLOOKUP(E115,'All Products'!D:D,'All Products'!E:E,FALSE)</f>
        <v>3/4X1 MALE ADAPTER MIPTXS SCH80</v>
      </c>
      <c r="G115" s="283">
        <f>_xlfn.XLOOKUP(E115,'All Products'!D:D,'All Products'!F:F,FALSE)</f>
        <v>100</v>
      </c>
      <c r="H115" s="234">
        <f>_xlfn.XLOOKUP(E115,'All Products'!D:D,'All Products'!G:G,FALSE)</f>
        <v>12000</v>
      </c>
      <c r="I115" s="561">
        <f>_xlfn.XLOOKUP(E115,'All Products'!D:D,'All Products'!H:H,FALSE)</f>
        <v>41.95</v>
      </c>
      <c r="J115" s="135">
        <f>ROUND(I115*Order_Quote!$L$8,2)</f>
        <v>209.75</v>
      </c>
      <c r="K115" s="78"/>
      <c r="L115" s="116"/>
      <c r="M115" s="199">
        <f t="shared" si="3"/>
        <v>0</v>
      </c>
      <c r="O115" s="348" t="str">
        <f>_xlfn.XLOOKUP(E115,'All Products'!D:D,'All Products'!I:I,FALSE)</f>
        <v>In Stock</v>
      </c>
      <c r="P115" s="348" t="str">
        <f>_xlfn.XLOOKUP(E115,'All Products'!D:D,'All Products'!J:J,FALSE)</f>
        <v>Manufactured</v>
      </c>
      <c r="Q115" s="348" t="str">
        <f>_xlfn.XLOOKUP(E115,'All Products'!D:D,'All Products'!K:K,FALSE)</f>
        <v>049081156022</v>
      </c>
      <c r="R115" s="351" t="str">
        <f>_xlfn.XLOOKUP(E115,'All Products'!D:D,'All Products'!L:L,FALSE)</f>
        <v>049081656027</v>
      </c>
      <c r="S115" s="351" t="str">
        <f>_xlfn.XLOOKUP(E115,'All Products'!D:D,'All Products'!M:M,FALSE)</f>
        <v>40049081156020</v>
      </c>
      <c r="T115" s="348">
        <f>_xlfn.XLOOKUP(E115,'All Products'!D:D,'All Products'!N:N,FALSE)</f>
        <v>0.126</v>
      </c>
      <c r="U115" s="351">
        <f>_xlfn.XLOOKUP(E115,'All Products'!D:D,'All Products'!O:O,FALSE)</f>
        <v>10</v>
      </c>
      <c r="V115" s="348">
        <f>_xlfn.XLOOKUP(E115,'All Products'!D:D,'All Products'!P:P,FALSE)</f>
        <v>13.52</v>
      </c>
      <c r="W115" s="348">
        <f>_xlfn.XLOOKUP(E115,'All Products'!D:D,'All Products'!Q:Q,FALSE)</f>
        <v>0.65</v>
      </c>
    </row>
    <row r="116" spans="1:23">
      <c r="A116" s="104" t="str">
        <f>IF(K116&gt;0,COUNT($A$7:A115)+COUNT('DWV PVC'!$A$8:$A$284)
+COUNT('DWV ABS'!$A$8:$A$116)
+COUNT('PVC SCH40'!$A$8:$A$375)
+COUNT('PVC SCH40 LD'!$A$8:$A$21)
+COUNT('Pool &amp; SPA Sweep Elbows'!$A$8:$A$11)
+COUNT('Pool &amp; SPA Pipe Extender'!$A$8:$A$10)+1,"")</f>
        <v/>
      </c>
      <c r="B116" s="579"/>
      <c r="C116" s="580"/>
      <c r="D116" s="155" t="str">
        <f>_xlfn.XLOOKUP(E116,'All Products'!D:D,'All Products'!C:C,FALSE)</f>
        <v>836-131</v>
      </c>
      <c r="E116" s="106">
        <v>100023613</v>
      </c>
      <c r="F116" s="559" t="str">
        <f>_xlfn.XLOOKUP(E116,'All Products'!D:D,'All Products'!E:E,FALSE)</f>
        <v>1X3/4 MALE ADAPTER MIPTXS SCH80</v>
      </c>
      <c r="G116" s="283">
        <f>_xlfn.XLOOKUP(E116,'All Products'!D:D,'All Products'!F:F,FALSE)</f>
        <v>100</v>
      </c>
      <c r="H116" s="234">
        <f>_xlfn.XLOOKUP(E116,'All Products'!D:D,'All Products'!G:G,FALSE)</f>
        <v>15000</v>
      </c>
      <c r="I116" s="561">
        <f>_xlfn.XLOOKUP(E116,'All Products'!D:D,'All Products'!H:H,FALSE)</f>
        <v>41.95</v>
      </c>
      <c r="J116" s="135">
        <f>ROUND(I116*Order_Quote!$L$8,2)</f>
        <v>209.75</v>
      </c>
      <c r="K116" s="78"/>
      <c r="L116" s="116"/>
      <c r="M116" s="199">
        <f t="shared" si="3"/>
        <v>0</v>
      </c>
      <c r="O116" s="348" t="str">
        <f>_xlfn.XLOOKUP(E116,'All Products'!D:D,'All Products'!I:I,FALSE)</f>
        <v>In Stock</v>
      </c>
      <c r="P116" s="348" t="str">
        <f>_xlfn.XLOOKUP(E116,'All Products'!D:D,'All Products'!J:J,FALSE)</f>
        <v>Manufactured</v>
      </c>
      <c r="Q116" s="348" t="str">
        <f>_xlfn.XLOOKUP(E116,'All Products'!D:D,'All Products'!K:K,FALSE)</f>
        <v>049081156107</v>
      </c>
      <c r="R116" s="351" t="str">
        <f>_xlfn.XLOOKUP(E116,'All Products'!D:D,'All Products'!L:L,FALSE)</f>
        <v>049081656102</v>
      </c>
      <c r="S116" s="351" t="str">
        <f>_xlfn.XLOOKUP(E116,'All Products'!D:D,'All Products'!M:M,FALSE)</f>
        <v>40049081156105</v>
      </c>
      <c r="T116" s="348">
        <f>_xlfn.XLOOKUP(E116,'All Products'!D:D,'All Products'!N:N,FALSE)</f>
        <v>9.4E-2</v>
      </c>
      <c r="U116" s="351">
        <f>_xlfn.XLOOKUP(E116,'All Products'!D:D,'All Products'!O:O,FALSE)</f>
        <v>10</v>
      </c>
      <c r="V116" s="348">
        <f>_xlfn.XLOOKUP(E116,'All Products'!D:D,'All Products'!P:P,FALSE)</f>
        <v>9.34</v>
      </c>
      <c r="W116" s="348">
        <f>_xlfn.XLOOKUP(E116,'All Products'!D:D,'All Products'!Q:Q,FALSE)</f>
        <v>0.5</v>
      </c>
    </row>
    <row r="117" spans="1:23">
      <c r="A117" s="104" t="str">
        <f>IF(K117&gt;0,COUNT($A$7:A116)+COUNT('DWV PVC'!$A$8:$A$284)
+COUNT('DWV ABS'!$A$8:$A$116)
+COUNT('PVC SCH40'!$A$8:$A$375)
+COUNT('PVC SCH40 LD'!$A$8:$A$21)
+COUNT('Pool &amp; SPA Sweep Elbows'!$A$8:$A$11)
+COUNT('Pool &amp; SPA Pipe Extender'!$A$8:$A$10)+1,"")</f>
        <v/>
      </c>
      <c r="B117" s="579"/>
      <c r="C117" s="580"/>
      <c r="D117" s="155" t="str">
        <f>_xlfn.XLOOKUP(E117,'All Products'!D:D,'All Products'!C:C,FALSE)</f>
        <v>836-132</v>
      </c>
      <c r="E117" s="106">
        <v>100023614</v>
      </c>
      <c r="F117" s="559" t="str">
        <f>_xlfn.XLOOKUP(E117,'All Products'!D:D,'All Products'!E:E,FALSE)</f>
        <v>1X1-1/4 MALE ADAPTER MIPTXS SCH80</v>
      </c>
      <c r="G117" s="283">
        <f>_xlfn.XLOOKUP(E117,'All Products'!D:D,'All Products'!F:F,FALSE)</f>
        <v>125</v>
      </c>
      <c r="H117" s="234">
        <f>_xlfn.XLOOKUP(E117,'All Products'!D:D,'All Products'!G:G,FALSE)</f>
        <v>9375</v>
      </c>
      <c r="I117" s="561">
        <f>_xlfn.XLOOKUP(E117,'All Products'!D:D,'All Products'!H:H,FALSE)</f>
        <v>49.02</v>
      </c>
      <c r="J117" s="135">
        <f>ROUND(I117*Order_Quote!$L$8,2)</f>
        <v>245.1</v>
      </c>
      <c r="K117" s="78"/>
      <c r="L117" s="116"/>
      <c r="M117" s="199">
        <f t="shared" si="3"/>
        <v>0</v>
      </c>
      <c r="O117" s="348" t="str">
        <f>_xlfn.XLOOKUP(E117,'All Products'!D:D,'All Products'!I:I,FALSE)</f>
        <v>In Stock</v>
      </c>
      <c r="P117" s="348" t="str">
        <f>_xlfn.XLOOKUP(E117,'All Products'!D:D,'All Products'!J:J,FALSE)</f>
        <v>Manufactured</v>
      </c>
      <c r="Q117" s="348" t="str">
        <f>_xlfn.XLOOKUP(E117,'All Products'!D:D,'All Products'!K:K,FALSE)</f>
        <v>049081156084</v>
      </c>
      <c r="R117" s="351" t="str">
        <f>_xlfn.XLOOKUP(E117,'All Products'!D:D,'All Products'!L:L,FALSE)</f>
        <v>049081656089</v>
      </c>
      <c r="S117" s="351" t="str">
        <f>_xlfn.XLOOKUP(E117,'All Products'!D:D,'All Products'!M:M,FALSE)</f>
        <v>40049081156082</v>
      </c>
      <c r="T117" s="348">
        <f>_xlfn.XLOOKUP(E117,'All Products'!D:D,'All Products'!N:N,FALSE)</f>
        <v>0.18</v>
      </c>
      <c r="U117" s="351">
        <f>_xlfn.XLOOKUP(E117,'All Products'!D:D,'All Products'!O:O,FALSE)</f>
        <v>5</v>
      </c>
      <c r="V117" s="348">
        <f>_xlfn.XLOOKUP(E117,'All Products'!D:D,'All Products'!P:P,FALSE)</f>
        <v>22.62</v>
      </c>
      <c r="W117" s="348">
        <f>_xlfn.XLOOKUP(E117,'All Products'!D:D,'All Products'!Q:Q,FALSE)</f>
        <v>1.1000000000000001</v>
      </c>
    </row>
    <row r="118" spans="1:23">
      <c r="A118" s="104" t="str">
        <f>IF(K118&gt;0,COUNT($A$7:A117)+COUNT('DWV PVC'!$A$8:$A$284)
+COUNT('DWV ABS'!$A$8:$A$116)
+COUNT('PVC SCH40'!$A$8:$A$375)
+COUNT('PVC SCH40 LD'!$A$8:$A$21)
+COUNT('Pool &amp; SPA Sweep Elbows'!$A$8:$A$11)
+COUNT('Pool &amp; SPA Pipe Extender'!$A$8:$A$10)+1,"")</f>
        <v/>
      </c>
      <c r="B118" s="579"/>
      <c r="C118" s="580"/>
      <c r="D118" s="155" t="str">
        <f>_xlfn.XLOOKUP(E118,'All Products'!D:D,'All Products'!C:C,FALSE)</f>
        <v>836-213</v>
      </c>
      <c r="E118" s="106">
        <v>100023620</v>
      </c>
      <c r="F118" s="559" t="str">
        <f>_xlfn.XLOOKUP(E118,'All Products'!D:D,'All Products'!E:E,FALSE)</f>
        <v>1-1/2X2 MALE ADAPTER MIPTXS SCH80</v>
      </c>
      <c r="G118" s="283">
        <f>_xlfn.XLOOKUP(E118,'All Products'!D:D,'All Products'!F:F,FALSE)</f>
        <v>50</v>
      </c>
      <c r="H118" s="234">
        <f>_xlfn.XLOOKUP(E118,'All Products'!D:D,'All Products'!G:G,FALSE)</f>
        <v>3750</v>
      </c>
      <c r="I118" s="561">
        <f>_xlfn.XLOOKUP(E118,'All Products'!D:D,'All Products'!H:H,FALSE)</f>
        <v>101.62</v>
      </c>
      <c r="J118" s="135">
        <f>ROUND(I118*Order_Quote!$L$8,2)</f>
        <v>508.1</v>
      </c>
      <c r="K118" s="78"/>
      <c r="L118" s="116"/>
      <c r="M118" s="199">
        <f t="shared" si="3"/>
        <v>0</v>
      </c>
      <c r="O118" s="348" t="str">
        <f>_xlfn.XLOOKUP(E118,'All Products'!D:D,'All Products'!I:I,FALSE)</f>
        <v>In Stock</v>
      </c>
      <c r="P118" s="348" t="str">
        <f>_xlfn.XLOOKUP(E118,'All Products'!D:D,'All Products'!J:J,FALSE)</f>
        <v>Manufactured</v>
      </c>
      <c r="Q118" s="348" t="str">
        <f>_xlfn.XLOOKUP(E118,'All Products'!D:D,'All Products'!K:K,FALSE)</f>
        <v>049081156206</v>
      </c>
      <c r="R118" s="351" t="str">
        <f>_xlfn.XLOOKUP(E118,'All Products'!D:D,'All Products'!L:L,FALSE)</f>
        <v>049081656201</v>
      </c>
      <c r="S118" s="351" t="str">
        <f>_xlfn.XLOOKUP(E118,'All Products'!D:D,'All Products'!M:M,FALSE)</f>
        <v>40049081156204</v>
      </c>
      <c r="T118" s="348">
        <f>_xlfn.XLOOKUP(E118,'All Products'!D:D,'All Products'!N:N,FALSE)</f>
        <v>0.35199999999999998</v>
      </c>
      <c r="U118" s="351">
        <f>_xlfn.XLOOKUP(E118,'All Products'!D:D,'All Products'!O:O,FALSE)</f>
        <v>5</v>
      </c>
      <c r="V118" s="348">
        <f>_xlfn.XLOOKUP(E118,'All Products'!D:D,'All Products'!P:P,FALSE)</f>
        <v>17.86</v>
      </c>
      <c r="W118" s="348">
        <f>_xlfn.XLOOKUP(E118,'All Products'!D:D,'All Products'!Q:Q,FALSE)</f>
        <v>1.1000000000000001</v>
      </c>
    </row>
    <row r="119" spans="1:23">
      <c r="A119" s="104" t="str">
        <f>IF(K119&gt;0,COUNT($A$7:A118)+COUNT('DWV PVC'!$A$8:$A$284)
+COUNT('DWV ABS'!$A$8:$A$116)
+COUNT('PVC SCH40'!$A$8:$A$375)
+COUNT('PVC SCH40 LD'!$A$8:$A$21)
+COUNT('Pool &amp; SPA Sweep Elbows'!$A$8:$A$11)
+COUNT('Pool &amp; SPA Pipe Extender'!$A$8:$A$10)+1,"")</f>
        <v/>
      </c>
      <c r="B119" s="579"/>
      <c r="C119" s="580"/>
      <c r="D119" s="155" t="str">
        <f>_xlfn.XLOOKUP(E119,'All Products'!D:D,'All Products'!C:C,FALSE)</f>
        <v>836-251-2</v>
      </c>
      <c r="E119" s="106">
        <v>100023621</v>
      </c>
      <c r="F119" s="559" t="str">
        <f>_xlfn.XLOOKUP(E119,'All Products'!D:D,'All Products'!E:E,FALSE)</f>
        <v>2X1-1/2 FLUSH MALE ADAPTER MIPTXS</v>
      </c>
      <c r="G119" s="283">
        <f>_xlfn.XLOOKUP(E119,'All Products'!D:D,'All Products'!F:F,FALSE)</f>
        <v>50</v>
      </c>
      <c r="H119" s="234">
        <f>_xlfn.XLOOKUP(E119,'All Products'!D:D,'All Products'!G:G,FALSE)</f>
        <v>7500</v>
      </c>
      <c r="I119" s="561">
        <f>_xlfn.XLOOKUP(E119,'All Products'!D:D,'All Products'!H:H,FALSE)</f>
        <v>101.62</v>
      </c>
      <c r="J119" s="135">
        <f>ROUND(I119*Order_Quote!$L$8,2)</f>
        <v>508.1</v>
      </c>
      <c r="K119" s="78"/>
      <c r="L119" s="116"/>
      <c r="M119" s="199">
        <f t="shared" si="3"/>
        <v>0</v>
      </c>
      <c r="O119" s="348" t="str">
        <f>_xlfn.XLOOKUP(E119,'All Products'!D:D,'All Products'!I:I,FALSE)</f>
        <v>In Stock</v>
      </c>
      <c r="P119" s="348" t="str">
        <f>_xlfn.XLOOKUP(E119,'All Products'!D:D,'All Products'!J:J,FALSE)</f>
        <v>Manufactured</v>
      </c>
      <c r="Q119" s="348" t="str">
        <f>_xlfn.XLOOKUP(E119,'All Products'!D:D,'All Products'!K:K,FALSE)</f>
        <v>049081156299</v>
      </c>
      <c r="R119" s="351" t="str">
        <f>_xlfn.XLOOKUP(E119,'All Products'!D:D,'All Products'!L:L,FALSE)</f>
        <v>049081656294</v>
      </c>
      <c r="S119" s="351" t="str">
        <f>_xlfn.XLOOKUP(E119,'All Products'!D:D,'All Products'!M:M,FALSE)</f>
        <v>40049081156297</v>
      </c>
      <c r="T119" s="348">
        <f>_xlfn.XLOOKUP(E119,'All Products'!D:D,'All Products'!N:N,FALSE)</f>
        <v>0.186</v>
      </c>
      <c r="U119" s="351">
        <f>_xlfn.XLOOKUP(E119,'All Products'!D:D,'All Products'!O:O,FALSE)</f>
        <v>5</v>
      </c>
      <c r="V119" s="348">
        <f>_xlfn.XLOOKUP(E119,'All Products'!D:D,'All Products'!P:P,FALSE)</f>
        <v>9.16</v>
      </c>
      <c r="W119" s="348">
        <f>_xlfn.XLOOKUP(E119,'All Products'!D:D,'All Products'!Q:Q,FALSE)</f>
        <v>0.5</v>
      </c>
    </row>
    <row r="120" spans="1:23">
      <c r="A120" s="104" t="str">
        <f>IF(K120&gt;0,COUNT($A$7:A119)+COUNT('DWV PVC'!$A$8:$A$284)
+COUNT('DWV ABS'!$A$8:$A$116)
+COUNT('PVC SCH40'!$A$8:$A$375)
+COUNT('PVC SCH40 LD'!$A$8:$A$21)
+COUNT('Pool &amp; SPA Sweep Elbows'!$A$8:$A$11)
+COUNT('Pool &amp; SPA Pipe Extender'!$A$8:$A$10)+1,"")</f>
        <v/>
      </c>
      <c r="B120" s="577"/>
      <c r="C120" s="578"/>
      <c r="D120" s="155" t="str">
        <f>_xlfn.XLOOKUP(E120,'All Products'!D:D,'All Products'!C:C,FALSE)</f>
        <v>837-072</v>
      </c>
      <c r="E120" s="106">
        <v>100023623</v>
      </c>
      <c r="F120" s="559" t="str">
        <f>_xlfn.XLOOKUP(E120,'All Products'!D:D,'All Products'!E:E,FALSE)</f>
        <v>1/2X1/4 RED BUSHING SPGXS SCH80</v>
      </c>
      <c r="G120" s="283">
        <f>_xlfn.XLOOKUP(E120,'All Products'!D:D,'All Products'!F:F,FALSE)</f>
        <v>500</v>
      </c>
      <c r="H120" s="234">
        <f>_xlfn.XLOOKUP(E120,'All Products'!D:D,'All Products'!G:G,FALSE)</f>
        <v>60000</v>
      </c>
      <c r="I120" s="561">
        <f>_xlfn.XLOOKUP(E120,'All Products'!D:D,'All Products'!H:H,FALSE)</f>
        <v>13.23</v>
      </c>
      <c r="J120" s="135">
        <f>ROUND(I120*Order_Quote!$L$8,2)</f>
        <v>66.150000000000006</v>
      </c>
      <c r="K120" s="78"/>
      <c r="L120" s="116"/>
      <c r="M120" s="199">
        <f t="shared" si="3"/>
        <v>0</v>
      </c>
      <c r="O120" s="348" t="str">
        <f>_xlfn.XLOOKUP(E120,'All Products'!D:D,'All Products'!I:I,FALSE)</f>
        <v>Within 3 Weeks</v>
      </c>
      <c r="P120" s="348" t="str">
        <f>_xlfn.XLOOKUP(E120,'All Products'!D:D,'All Products'!J:J,FALSE)</f>
        <v>Manufactured</v>
      </c>
      <c r="Q120" s="348" t="str">
        <f>_xlfn.XLOOKUP(E120,'All Products'!D:D,'All Products'!K:K,FALSE)</f>
        <v>049081156602</v>
      </c>
      <c r="R120" s="351" t="str">
        <f>_xlfn.XLOOKUP(E120,'All Products'!D:D,'All Products'!L:L,FALSE)</f>
        <v>049081656607</v>
      </c>
      <c r="S120" s="351" t="str">
        <f>_xlfn.XLOOKUP(E120,'All Products'!D:D,'All Products'!M:M,FALSE)</f>
        <v>40049081156600</v>
      </c>
      <c r="T120" s="348">
        <f>_xlfn.XLOOKUP(E120,'All Products'!D:D,'All Products'!N:N,FALSE)</f>
        <v>2.1999999999999999E-2</v>
      </c>
      <c r="U120" s="351">
        <f>_xlfn.XLOOKUP(E120,'All Products'!D:D,'All Products'!O:O,FALSE)</f>
        <v>10</v>
      </c>
      <c r="V120" s="348">
        <f>_xlfn.XLOOKUP(E120,'All Products'!D:D,'All Products'!P:P,FALSE)</f>
        <v>10.9</v>
      </c>
      <c r="W120" s="348">
        <f>_xlfn.XLOOKUP(E120,'All Products'!D:D,'All Products'!Q:Q,FALSE)</f>
        <v>0.65</v>
      </c>
    </row>
    <row r="121" spans="1:23">
      <c r="A121" s="104" t="str">
        <f>IF(K121&gt;0,COUNT($A$7:A120)+COUNT('DWV PVC'!$A$8:$A$284)
+COUNT('DWV ABS'!$A$8:$A$116)
+COUNT('PVC SCH40'!$A$8:$A$375)
+COUNT('PVC SCH40 LD'!$A$8:$A$21)
+COUNT('Pool &amp; SPA Sweep Elbows'!$A$8:$A$11)
+COUNT('Pool &amp; SPA Pipe Extender'!$A$8:$A$10)+1,"")</f>
        <v/>
      </c>
      <c r="B121" s="579"/>
      <c r="C121" s="580"/>
      <c r="D121" s="155" t="str">
        <f>_xlfn.XLOOKUP(E121,'All Products'!D:D,'All Products'!C:C,FALSE)</f>
        <v>837-073</v>
      </c>
      <c r="E121" s="106">
        <v>100023624</v>
      </c>
      <c r="F121" s="559" t="str">
        <f>_xlfn.XLOOKUP(E121,'All Products'!D:D,'All Products'!E:E,FALSE)</f>
        <v>1/2X3/8 RED BUSHING SPGXS SCH80</v>
      </c>
      <c r="G121" s="283">
        <f>_xlfn.XLOOKUP(E121,'All Products'!D:D,'All Products'!F:F,FALSE)</f>
        <v>500</v>
      </c>
      <c r="H121" s="234">
        <f>_xlfn.XLOOKUP(E121,'All Products'!D:D,'All Products'!G:G,FALSE)</f>
        <v>75000</v>
      </c>
      <c r="I121" s="561">
        <f>_xlfn.XLOOKUP(E121,'All Products'!D:D,'All Products'!H:H,FALSE)</f>
        <v>13.23</v>
      </c>
      <c r="J121" s="135">
        <f>ROUND(I121*Order_Quote!$L$8,2)</f>
        <v>66.150000000000006</v>
      </c>
      <c r="K121" s="78"/>
      <c r="L121" s="116"/>
      <c r="M121" s="199">
        <f t="shared" si="3"/>
        <v>0</v>
      </c>
      <c r="O121" s="348" t="str">
        <f>_xlfn.XLOOKUP(E121,'All Products'!D:D,'All Products'!I:I,FALSE)</f>
        <v>In Stock</v>
      </c>
      <c r="P121" s="348" t="str">
        <f>_xlfn.XLOOKUP(E121,'All Products'!D:D,'All Products'!J:J,FALSE)</f>
        <v>Manufactured</v>
      </c>
      <c r="Q121" s="348" t="str">
        <f>_xlfn.XLOOKUP(E121,'All Products'!D:D,'All Products'!K:K,FALSE)</f>
        <v>049081156589</v>
      </c>
      <c r="R121" s="351" t="str">
        <f>_xlfn.XLOOKUP(E121,'All Products'!D:D,'All Products'!L:L,FALSE)</f>
        <v>049081656584</v>
      </c>
      <c r="S121" s="351" t="str">
        <f>_xlfn.XLOOKUP(E121,'All Products'!D:D,'All Products'!M:M,FALSE)</f>
        <v>40049081156587</v>
      </c>
      <c r="T121" s="348">
        <f>_xlfn.XLOOKUP(E121,'All Products'!D:D,'All Products'!N:N,FALSE)</f>
        <v>1.4999999999999999E-2</v>
      </c>
      <c r="U121" s="351">
        <f>_xlfn.XLOOKUP(E121,'All Products'!D:D,'All Products'!O:O,FALSE)</f>
        <v>10</v>
      </c>
      <c r="V121" s="348">
        <f>_xlfn.XLOOKUP(E121,'All Products'!D:D,'All Products'!P:P,FALSE)</f>
        <v>7.75</v>
      </c>
      <c r="W121" s="348">
        <f>_xlfn.XLOOKUP(E121,'All Products'!D:D,'All Products'!Q:Q,FALSE)</f>
        <v>0.5</v>
      </c>
    </row>
    <row r="122" spans="1:23">
      <c r="A122" s="104" t="str">
        <f>IF(K122&gt;0,COUNT($A$7:A121)+COUNT('DWV PVC'!$A$8:$A$284)
+COUNT('DWV ABS'!$A$8:$A$116)
+COUNT('PVC SCH40'!$A$8:$A$375)
+COUNT('PVC SCH40 LD'!$A$8:$A$21)
+COUNT('Pool &amp; SPA Sweep Elbows'!$A$8:$A$11)
+COUNT('Pool &amp; SPA Pipe Extender'!$A$8:$A$10)+1,"")</f>
        <v/>
      </c>
      <c r="B122" s="579"/>
      <c r="C122" s="580"/>
      <c r="D122" s="155" t="str">
        <f>_xlfn.XLOOKUP(E122,'All Products'!D:D,'All Products'!C:C,FALSE)</f>
        <v>837-101</v>
      </c>
      <c r="E122" s="106">
        <v>100023625</v>
      </c>
      <c r="F122" s="559" t="str">
        <f>_xlfn.XLOOKUP(E122,'All Products'!D:D,'All Products'!E:E,FALSE)</f>
        <v>3/4X1/2 RED BUSHING SPGXS SCH80</v>
      </c>
      <c r="G122" s="283">
        <f>_xlfn.XLOOKUP(E122,'All Products'!D:D,'All Products'!F:F,FALSE)</f>
        <v>250</v>
      </c>
      <c r="H122" s="234">
        <f>_xlfn.XLOOKUP(E122,'All Products'!D:D,'All Products'!G:G,FALSE)</f>
        <v>37500</v>
      </c>
      <c r="I122" s="561">
        <f>_xlfn.XLOOKUP(E122,'All Products'!D:D,'All Products'!H:H,FALSE)</f>
        <v>4.8499999999999996</v>
      </c>
      <c r="J122" s="135">
        <f>ROUND(I122*Order_Quote!$L$8,2)</f>
        <v>24.25</v>
      </c>
      <c r="K122" s="78"/>
      <c r="L122" s="116"/>
      <c r="M122" s="199">
        <f t="shared" si="3"/>
        <v>0</v>
      </c>
      <c r="O122" s="348" t="str">
        <f>_xlfn.XLOOKUP(E122,'All Products'!D:D,'All Products'!I:I,FALSE)</f>
        <v>In Stock</v>
      </c>
      <c r="P122" s="348" t="str">
        <f>_xlfn.XLOOKUP(E122,'All Products'!D:D,'All Products'!J:J,FALSE)</f>
        <v>Manufactured</v>
      </c>
      <c r="Q122" s="348" t="str">
        <f>_xlfn.XLOOKUP(E122,'All Products'!D:D,'All Products'!K:K,FALSE)</f>
        <v>049081156626</v>
      </c>
      <c r="R122" s="351" t="str">
        <f>_xlfn.XLOOKUP(E122,'All Products'!D:D,'All Products'!L:L,FALSE)</f>
        <v>049081656621</v>
      </c>
      <c r="S122" s="351" t="str">
        <f>_xlfn.XLOOKUP(E122,'All Products'!D:D,'All Products'!M:M,FALSE)</f>
        <v>40049081156624</v>
      </c>
      <c r="T122" s="348">
        <f>_xlfn.XLOOKUP(E122,'All Products'!D:D,'All Products'!N:N,FALSE)</f>
        <v>2.3E-2</v>
      </c>
      <c r="U122" s="351">
        <f>_xlfn.XLOOKUP(E122,'All Products'!D:D,'All Products'!O:O,FALSE)</f>
        <v>10</v>
      </c>
      <c r="V122" s="348">
        <f>_xlfn.XLOOKUP(E122,'All Products'!D:D,'All Products'!P:P,FALSE)</f>
        <v>6.57</v>
      </c>
      <c r="W122" s="348">
        <f>_xlfn.XLOOKUP(E122,'All Products'!D:D,'All Products'!Q:Q,FALSE)</f>
        <v>0.5</v>
      </c>
    </row>
    <row r="123" spans="1:23">
      <c r="A123" s="104" t="str">
        <f>IF(K123&gt;0,COUNT($A$7:A122)+COUNT('DWV PVC'!$A$8:$A$284)
+COUNT('DWV ABS'!$A$8:$A$116)
+COUNT('PVC SCH40'!$A$8:$A$375)
+COUNT('PVC SCH40 LD'!$A$8:$A$21)
+COUNT('Pool &amp; SPA Sweep Elbows'!$A$8:$A$11)
+COUNT('Pool &amp; SPA Pipe Extender'!$A$8:$A$10)+1,"")</f>
        <v/>
      </c>
      <c r="B123" s="579"/>
      <c r="C123" s="580"/>
      <c r="D123" s="155" t="str">
        <f>_xlfn.XLOOKUP(E123,'All Products'!D:D,'All Products'!C:C,FALSE)</f>
        <v>837-130</v>
      </c>
      <c r="E123" s="106">
        <v>100023626</v>
      </c>
      <c r="F123" s="559" t="str">
        <f>_xlfn.XLOOKUP(E123,'All Products'!D:D,'All Products'!E:E,FALSE)</f>
        <v>1X1/2 RED BUSHING SPGXS SCH80</v>
      </c>
      <c r="G123" s="283">
        <f>_xlfn.XLOOKUP(E123,'All Products'!D:D,'All Products'!F:F,FALSE)</f>
        <v>250</v>
      </c>
      <c r="H123" s="234">
        <f>_xlfn.XLOOKUP(E123,'All Products'!D:D,'All Products'!G:G,FALSE)</f>
        <v>30000</v>
      </c>
      <c r="I123" s="561">
        <f>_xlfn.XLOOKUP(E123,'All Products'!D:D,'All Products'!H:H,FALSE)</f>
        <v>13.89</v>
      </c>
      <c r="J123" s="135">
        <f>ROUND(I123*Order_Quote!$L$8,2)</f>
        <v>69.45</v>
      </c>
      <c r="K123" s="78"/>
      <c r="L123" s="116"/>
      <c r="M123" s="199">
        <f t="shared" si="3"/>
        <v>0</v>
      </c>
      <c r="O123" s="348" t="str">
        <f>_xlfn.XLOOKUP(E123,'All Products'!D:D,'All Products'!I:I,FALSE)</f>
        <v>In Stock</v>
      </c>
      <c r="P123" s="348" t="str">
        <f>_xlfn.XLOOKUP(E123,'All Products'!D:D,'All Products'!J:J,FALSE)</f>
        <v>Manufactured</v>
      </c>
      <c r="Q123" s="348" t="str">
        <f>_xlfn.XLOOKUP(E123,'All Products'!D:D,'All Products'!K:K,FALSE)</f>
        <v>049081156701</v>
      </c>
      <c r="R123" s="351" t="str">
        <f>_xlfn.XLOOKUP(E123,'All Products'!D:D,'All Products'!L:L,FALSE)</f>
        <v>049081656706</v>
      </c>
      <c r="S123" s="351" t="str">
        <f>_xlfn.XLOOKUP(E123,'All Products'!D:D,'All Products'!M:M,FALSE)</f>
        <v>40049081156709</v>
      </c>
      <c r="T123" s="348">
        <f>_xlfn.XLOOKUP(E123,'All Products'!D:D,'All Products'!N:N,FALSE)</f>
        <v>5.8999999999999997E-2</v>
      </c>
      <c r="U123" s="351">
        <f>_xlfn.XLOOKUP(E123,'All Products'!D:D,'All Products'!O:O,FALSE)</f>
        <v>10</v>
      </c>
      <c r="V123" s="348">
        <f>_xlfn.XLOOKUP(E123,'All Products'!D:D,'All Products'!P:P,FALSE)</f>
        <v>15.43</v>
      </c>
      <c r="W123" s="348">
        <f>_xlfn.XLOOKUP(E123,'All Products'!D:D,'All Products'!Q:Q,FALSE)</f>
        <v>0.65</v>
      </c>
    </row>
    <row r="124" spans="1:23">
      <c r="A124" s="104" t="str">
        <f>IF(K124&gt;0,COUNT($A$7:A123)+COUNT('DWV PVC'!$A$8:$A$284)
+COUNT('DWV ABS'!$A$8:$A$116)
+COUNT('PVC SCH40'!$A$8:$A$375)
+COUNT('PVC SCH40 LD'!$A$8:$A$21)
+COUNT('Pool &amp; SPA Sweep Elbows'!$A$8:$A$11)
+COUNT('Pool &amp; SPA Pipe Extender'!$A$8:$A$10)+1,"")</f>
        <v/>
      </c>
      <c r="B124" s="579"/>
      <c r="C124" s="580"/>
      <c r="D124" s="155" t="str">
        <f>_xlfn.XLOOKUP(E124,'All Products'!D:D,'All Products'!C:C,FALSE)</f>
        <v>837-131</v>
      </c>
      <c r="E124" s="106">
        <v>100023627</v>
      </c>
      <c r="F124" s="559" t="str">
        <f>_xlfn.XLOOKUP(E124,'All Products'!D:D,'All Products'!E:E,FALSE)</f>
        <v>1X3/4 RED BUSHING SPGXS SCH80</v>
      </c>
      <c r="G124" s="283">
        <f>_xlfn.XLOOKUP(E124,'All Products'!D:D,'All Products'!F:F,FALSE)</f>
        <v>250</v>
      </c>
      <c r="H124" s="234">
        <f>_xlfn.XLOOKUP(E124,'All Products'!D:D,'All Products'!G:G,FALSE)</f>
        <v>30000</v>
      </c>
      <c r="I124" s="561">
        <f>_xlfn.XLOOKUP(E124,'All Products'!D:D,'All Products'!H:H,FALSE)</f>
        <v>13.89</v>
      </c>
      <c r="J124" s="135">
        <f>ROUND(I124*Order_Quote!$L$8,2)</f>
        <v>69.45</v>
      </c>
      <c r="K124" s="78"/>
      <c r="L124" s="116"/>
      <c r="M124" s="199">
        <f t="shared" si="3"/>
        <v>0</v>
      </c>
      <c r="O124" s="348" t="str">
        <f>_xlfn.XLOOKUP(E124,'All Products'!D:D,'All Products'!I:I,FALSE)</f>
        <v>In Stock</v>
      </c>
      <c r="P124" s="348" t="str">
        <f>_xlfn.XLOOKUP(E124,'All Products'!D:D,'All Products'!J:J,FALSE)</f>
        <v>Manufactured</v>
      </c>
      <c r="Q124" s="348" t="str">
        <f>_xlfn.XLOOKUP(E124,'All Products'!D:D,'All Products'!K:K,FALSE)</f>
        <v>049081156688</v>
      </c>
      <c r="R124" s="351" t="str">
        <f>_xlfn.XLOOKUP(E124,'All Products'!D:D,'All Products'!L:L,FALSE)</f>
        <v>049081656683</v>
      </c>
      <c r="S124" s="351" t="str">
        <f>_xlfn.XLOOKUP(E124,'All Products'!D:D,'All Products'!M:M,FALSE)</f>
        <v>40049081156686</v>
      </c>
      <c r="T124" s="348">
        <f>_xlfn.XLOOKUP(E124,'All Products'!D:D,'All Products'!N:N,FALSE)</f>
        <v>4.2000000000000003E-2</v>
      </c>
      <c r="U124" s="351">
        <f>_xlfn.XLOOKUP(E124,'All Products'!D:D,'All Products'!O:O,FALSE)</f>
        <v>10</v>
      </c>
      <c r="V124" s="348">
        <f>_xlfn.XLOOKUP(E124,'All Products'!D:D,'All Products'!P:P,FALSE)</f>
        <v>10.64</v>
      </c>
      <c r="W124" s="348">
        <f>_xlfn.XLOOKUP(E124,'All Products'!D:D,'All Products'!Q:Q,FALSE)</f>
        <v>0.65</v>
      </c>
    </row>
    <row r="125" spans="1:23">
      <c r="A125" s="104" t="str">
        <f>IF(K125&gt;0,COUNT($A$7:A124)+COUNT('DWV PVC'!$A$8:$A$284)
+COUNT('DWV ABS'!$A$8:$A$116)
+COUNT('PVC SCH40'!$A$8:$A$375)
+COUNT('PVC SCH40 LD'!$A$8:$A$21)
+COUNT('Pool &amp; SPA Sweep Elbows'!$A$8:$A$11)
+COUNT('Pool &amp; SPA Pipe Extender'!$A$8:$A$10)+1,"")</f>
        <v/>
      </c>
      <c r="B125" s="579"/>
      <c r="C125" s="580"/>
      <c r="D125" s="155" t="str">
        <f>_xlfn.XLOOKUP(E125,'All Products'!D:D,'All Products'!C:C,FALSE)</f>
        <v>837-166</v>
      </c>
      <c r="E125" s="106">
        <v>100023628</v>
      </c>
      <c r="F125" s="559" t="str">
        <f>_xlfn.XLOOKUP(E125,'All Products'!D:D,'All Products'!E:E,FALSE)</f>
        <v>1-1/4X1/2 RED BUSHING SPGXS SCH80</v>
      </c>
      <c r="G125" s="283">
        <f>_xlfn.XLOOKUP(E125,'All Products'!D:D,'All Products'!F:F,FALSE)</f>
        <v>100</v>
      </c>
      <c r="H125" s="234">
        <f>_xlfn.XLOOKUP(E125,'All Products'!D:D,'All Products'!G:G,FALSE)</f>
        <v>15000</v>
      </c>
      <c r="I125" s="561">
        <f>_xlfn.XLOOKUP(E125,'All Products'!D:D,'All Products'!H:H,FALSE)</f>
        <v>21.71</v>
      </c>
      <c r="J125" s="135">
        <f>ROUND(I125*Order_Quote!$L$8,2)</f>
        <v>108.55</v>
      </c>
      <c r="K125" s="78"/>
      <c r="L125" s="116"/>
      <c r="M125" s="199">
        <f t="shared" si="3"/>
        <v>0</v>
      </c>
      <c r="O125" s="348" t="str">
        <f>_xlfn.XLOOKUP(E125,'All Products'!D:D,'All Products'!I:I,FALSE)</f>
        <v>Within 3 Weeks</v>
      </c>
      <c r="P125" s="348" t="str">
        <f>_xlfn.XLOOKUP(E125,'All Products'!D:D,'All Products'!J:J,FALSE)</f>
        <v>Manufactured</v>
      </c>
      <c r="Q125" s="348" t="str">
        <f>_xlfn.XLOOKUP(E125,'All Products'!D:D,'All Products'!K:K,FALSE)</f>
        <v>049081156787</v>
      </c>
      <c r="R125" s="351" t="str">
        <f>_xlfn.XLOOKUP(E125,'All Products'!D:D,'All Products'!L:L,FALSE)</f>
        <v>049081656782</v>
      </c>
      <c r="S125" s="351" t="str">
        <f>_xlfn.XLOOKUP(E125,'All Products'!D:D,'All Products'!M:M,FALSE)</f>
        <v>40049081156785</v>
      </c>
      <c r="T125" s="348">
        <f>_xlfn.XLOOKUP(E125,'All Products'!D:D,'All Products'!N:N,FALSE)</f>
        <v>0.108</v>
      </c>
      <c r="U125" s="351">
        <f>_xlfn.XLOOKUP(E125,'All Products'!D:D,'All Products'!O:O,FALSE)</f>
        <v>10</v>
      </c>
      <c r="V125" s="348">
        <f>_xlfn.XLOOKUP(E125,'All Products'!D:D,'All Products'!P:P,FALSE)</f>
        <v>11.76</v>
      </c>
      <c r="W125" s="348">
        <f>_xlfn.XLOOKUP(E125,'All Products'!D:D,'All Products'!Q:Q,FALSE)</f>
        <v>0.5</v>
      </c>
    </row>
    <row r="126" spans="1:23">
      <c r="A126" s="104" t="str">
        <f>IF(K126&gt;0,COUNT($A$7:A125)+COUNT('DWV PVC'!$A$8:$A$284)
+COUNT('DWV ABS'!$A$8:$A$116)
+COUNT('PVC SCH40'!$A$8:$A$375)
+COUNT('PVC SCH40 LD'!$A$8:$A$21)
+COUNT('Pool &amp; SPA Sweep Elbows'!$A$8:$A$11)
+COUNT('Pool &amp; SPA Pipe Extender'!$A$8:$A$10)+1,"")</f>
        <v/>
      </c>
      <c r="B126" s="579"/>
      <c r="C126" s="580"/>
      <c r="D126" s="155" t="str">
        <f>_xlfn.XLOOKUP(E126,'All Products'!D:D,'All Products'!C:C,FALSE)</f>
        <v>837-167</v>
      </c>
      <c r="E126" s="106">
        <v>100023629</v>
      </c>
      <c r="F126" s="559" t="str">
        <f>_xlfn.XLOOKUP(E126,'All Products'!D:D,'All Products'!E:E,FALSE)</f>
        <v>1-1/4X3/4 RED BUSHING SPGXS SCH80</v>
      </c>
      <c r="G126" s="283">
        <f>_xlfn.XLOOKUP(E126,'All Products'!D:D,'All Products'!F:F,FALSE)</f>
        <v>100</v>
      </c>
      <c r="H126" s="234">
        <f>_xlfn.XLOOKUP(E126,'All Products'!D:D,'All Products'!G:G,FALSE)</f>
        <v>15000</v>
      </c>
      <c r="I126" s="561">
        <f>_xlfn.XLOOKUP(E126,'All Products'!D:D,'All Products'!H:H,FALSE)</f>
        <v>21.71</v>
      </c>
      <c r="J126" s="135">
        <f>ROUND(I126*Order_Quote!$L$8,2)</f>
        <v>108.55</v>
      </c>
      <c r="K126" s="78"/>
      <c r="L126" s="116"/>
      <c r="M126" s="199">
        <f t="shared" si="3"/>
        <v>0</v>
      </c>
      <c r="O126" s="348" t="str">
        <f>_xlfn.XLOOKUP(E126,'All Products'!D:D,'All Products'!I:I,FALSE)</f>
        <v>In Stock</v>
      </c>
      <c r="P126" s="348" t="str">
        <f>_xlfn.XLOOKUP(E126,'All Products'!D:D,'All Products'!J:J,FALSE)</f>
        <v>Manufactured</v>
      </c>
      <c r="Q126" s="348" t="str">
        <f>_xlfn.XLOOKUP(E126,'All Products'!D:D,'All Products'!K:K,FALSE)</f>
        <v>049081156763</v>
      </c>
      <c r="R126" s="351" t="str">
        <f>_xlfn.XLOOKUP(E126,'All Products'!D:D,'All Products'!L:L,FALSE)</f>
        <v>049081656768</v>
      </c>
      <c r="S126" s="351" t="str">
        <f>_xlfn.XLOOKUP(E126,'All Products'!D:D,'All Products'!M:M,FALSE)</f>
        <v>40049081156761</v>
      </c>
      <c r="T126" s="348">
        <f>_xlfn.XLOOKUP(E126,'All Products'!D:D,'All Products'!N:N,FALSE)</f>
        <v>0.10299999999999999</v>
      </c>
      <c r="U126" s="351">
        <f>_xlfn.XLOOKUP(E126,'All Products'!D:D,'All Products'!O:O,FALSE)</f>
        <v>10</v>
      </c>
      <c r="V126" s="348">
        <f>_xlfn.XLOOKUP(E126,'All Products'!D:D,'All Products'!P:P,FALSE)</f>
        <v>9.2100000000000009</v>
      </c>
      <c r="W126" s="348">
        <f>_xlfn.XLOOKUP(E126,'All Products'!D:D,'All Products'!Q:Q,FALSE)</f>
        <v>0.5</v>
      </c>
    </row>
    <row r="127" spans="1:23">
      <c r="A127" s="104" t="str">
        <f>IF(K127&gt;0,COUNT($A$7:A126)+COUNT('DWV PVC'!$A$8:$A$284)
+COUNT('DWV ABS'!$A$8:$A$116)
+COUNT('PVC SCH40'!$A$8:$A$375)
+COUNT('PVC SCH40 LD'!$A$8:$A$21)
+COUNT('Pool &amp; SPA Sweep Elbows'!$A$8:$A$11)
+COUNT('Pool &amp; SPA Pipe Extender'!$A$8:$A$10)+1,"")</f>
        <v/>
      </c>
      <c r="B127" s="579"/>
      <c r="C127" s="580"/>
      <c r="D127" s="155" t="str">
        <f>_xlfn.XLOOKUP(E127,'All Products'!D:D,'All Products'!C:C,FALSE)</f>
        <v>837-168</v>
      </c>
      <c r="E127" s="106">
        <v>100023630</v>
      </c>
      <c r="F127" s="559" t="str">
        <f>_xlfn.XLOOKUP(E127,'All Products'!D:D,'All Products'!E:E,FALSE)</f>
        <v>1-1/4X1 RED BUSHING SPGXS SCH80</v>
      </c>
      <c r="G127" s="283">
        <f>_xlfn.XLOOKUP(E127,'All Products'!D:D,'All Products'!F:F,FALSE)</f>
        <v>150</v>
      </c>
      <c r="H127" s="234">
        <f>_xlfn.XLOOKUP(E127,'All Products'!D:D,'All Products'!G:G,FALSE)</f>
        <v>18000</v>
      </c>
      <c r="I127" s="561">
        <f>_xlfn.XLOOKUP(E127,'All Products'!D:D,'All Products'!H:H,FALSE)</f>
        <v>21.71</v>
      </c>
      <c r="J127" s="135">
        <f>ROUND(I127*Order_Quote!$L$8,2)</f>
        <v>108.55</v>
      </c>
      <c r="K127" s="78"/>
      <c r="L127" s="116"/>
      <c r="M127" s="199">
        <f t="shared" si="3"/>
        <v>0</v>
      </c>
      <c r="O127" s="348" t="str">
        <f>_xlfn.XLOOKUP(E127,'All Products'!D:D,'All Products'!I:I,FALSE)</f>
        <v>In Stock</v>
      </c>
      <c r="P127" s="348" t="str">
        <f>_xlfn.XLOOKUP(E127,'All Products'!D:D,'All Products'!J:J,FALSE)</f>
        <v>Manufactured</v>
      </c>
      <c r="Q127" s="348" t="str">
        <f>_xlfn.XLOOKUP(E127,'All Products'!D:D,'All Products'!K:K,FALSE)</f>
        <v>049081156749</v>
      </c>
      <c r="R127" s="351" t="str">
        <f>_xlfn.XLOOKUP(E127,'All Products'!D:D,'All Products'!L:L,FALSE)</f>
        <v>049081656744</v>
      </c>
      <c r="S127" s="351" t="str">
        <f>_xlfn.XLOOKUP(E127,'All Products'!D:D,'All Products'!M:M,FALSE)</f>
        <v>40049081156747</v>
      </c>
      <c r="T127" s="348">
        <f>_xlfn.XLOOKUP(E127,'All Products'!D:D,'All Products'!N:N,FALSE)</f>
        <v>7.0000000000000007E-2</v>
      </c>
      <c r="U127" s="351">
        <f>_xlfn.XLOOKUP(E127,'All Products'!D:D,'All Products'!O:O,FALSE)</f>
        <v>10</v>
      </c>
      <c r="V127" s="348">
        <f>_xlfn.XLOOKUP(E127,'All Products'!D:D,'All Products'!P:P,FALSE)</f>
        <v>9.19</v>
      </c>
      <c r="W127" s="348">
        <f>_xlfn.XLOOKUP(E127,'All Products'!D:D,'All Products'!Q:Q,FALSE)</f>
        <v>0.65</v>
      </c>
    </row>
    <row r="128" spans="1:23">
      <c r="A128" s="104" t="str">
        <f>IF(K128&gt;0,COUNT($A$7:A127)+COUNT('DWV PVC'!$A$8:$A$284)
+COUNT('DWV ABS'!$A$8:$A$116)
+COUNT('PVC SCH40'!$A$8:$A$375)
+COUNT('PVC SCH40 LD'!$A$8:$A$21)
+COUNT('Pool &amp; SPA Sweep Elbows'!$A$8:$A$11)
+COUNT('Pool &amp; SPA Pipe Extender'!$A$8:$A$10)+1,"")</f>
        <v/>
      </c>
      <c r="B128" s="579"/>
      <c r="C128" s="580"/>
      <c r="D128" s="155" t="str">
        <f>_xlfn.XLOOKUP(E128,'All Products'!D:D,'All Products'!C:C,FALSE)</f>
        <v>837-209</v>
      </c>
      <c r="E128" s="106">
        <v>100023631</v>
      </c>
      <c r="F128" s="559" t="str">
        <f>_xlfn.XLOOKUP(E128,'All Products'!D:D,'All Products'!E:E,FALSE)</f>
        <v>1-1/2X1/2 RED BUSHING SPGXS SCH80</v>
      </c>
      <c r="G128" s="283">
        <f>_xlfn.XLOOKUP(E128,'All Products'!D:D,'All Products'!F:F,FALSE)</f>
        <v>100</v>
      </c>
      <c r="H128" s="234">
        <f>_xlfn.XLOOKUP(E128,'All Products'!D:D,'All Products'!G:G,FALSE)</f>
        <v>12000</v>
      </c>
      <c r="I128" s="561">
        <f>_xlfn.XLOOKUP(E128,'All Products'!D:D,'All Products'!H:H,FALSE)</f>
        <v>29.52</v>
      </c>
      <c r="J128" s="135">
        <f>ROUND(I128*Order_Quote!$L$8,2)</f>
        <v>147.6</v>
      </c>
      <c r="K128" s="78"/>
      <c r="L128" s="116"/>
      <c r="M128" s="199">
        <f t="shared" si="3"/>
        <v>0</v>
      </c>
      <c r="O128" s="348" t="str">
        <f>_xlfn.XLOOKUP(E128,'All Products'!D:D,'All Products'!I:I,FALSE)</f>
        <v>In Stock</v>
      </c>
      <c r="P128" s="348" t="str">
        <f>_xlfn.XLOOKUP(E128,'All Products'!D:D,'All Products'!J:J,FALSE)</f>
        <v>Manufactured</v>
      </c>
      <c r="Q128" s="348" t="str">
        <f>_xlfn.XLOOKUP(E128,'All Products'!D:D,'All Products'!K:K,FALSE)</f>
        <v>049081156886</v>
      </c>
      <c r="R128" s="351" t="str">
        <f>_xlfn.XLOOKUP(E128,'All Products'!D:D,'All Products'!L:L,FALSE)</f>
        <v>049081656881</v>
      </c>
      <c r="S128" s="351" t="str">
        <f>_xlfn.XLOOKUP(E128,'All Products'!D:D,'All Products'!M:M,FALSE)</f>
        <v>40049081156884</v>
      </c>
      <c r="T128" s="348">
        <f>_xlfn.XLOOKUP(E128,'All Products'!D:D,'All Products'!N:N,FALSE)</f>
        <v>0.151</v>
      </c>
      <c r="U128" s="351">
        <f>_xlfn.XLOOKUP(E128,'All Products'!D:D,'All Products'!O:O,FALSE)</f>
        <v>10</v>
      </c>
      <c r="V128" s="348">
        <f>_xlfn.XLOOKUP(E128,'All Products'!D:D,'All Products'!P:P,FALSE)</f>
        <v>15.01</v>
      </c>
      <c r="W128" s="348">
        <f>_xlfn.XLOOKUP(E128,'All Products'!D:D,'All Products'!Q:Q,FALSE)</f>
        <v>0.65</v>
      </c>
    </row>
    <row r="129" spans="1:23">
      <c r="A129" s="104" t="str">
        <f>IF(K129&gt;0,COUNT($A$7:A128)+COUNT('DWV PVC'!$A$8:$A$284)
+COUNT('DWV ABS'!$A$8:$A$116)
+COUNT('PVC SCH40'!$A$8:$A$375)
+COUNT('PVC SCH40 LD'!$A$8:$A$21)
+COUNT('Pool &amp; SPA Sweep Elbows'!$A$8:$A$11)
+COUNT('Pool &amp; SPA Pipe Extender'!$A$8:$A$10)+1,"")</f>
        <v/>
      </c>
      <c r="B129" s="579"/>
      <c r="C129" s="580"/>
      <c r="D129" s="155" t="str">
        <f>_xlfn.XLOOKUP(E129,'All Products'!D:D,'All Products'!C:C,FALSE)</f>
        <v>837-210</v>
      </c>
      <c r="E129" s="106">
        <v>100023632</v>
      </c>
      <c r="F129" s="559" t="str">
        <f>_xlfn.XLOOKUP(E129,'All Products'!D:D,'All Products'!E:E,FALSE)</f>
        <v>1-1/2X3/4 RED BUSHING SPGXS SCH80</v>
      </c>
      <c r="G129" s="283">
        <f>_xlfn.XLOOKUP(E129,'All Products'!D:D,'All Products'!F:F,FALSE)</f>
        <v>100</v>
      </c>
      <c r="H129" s="234">
        <f>_xlfn.XLOOKUP(E129,'All Products'!D:D,'All Products'!G:G,FALSE)</f>
        <v>12000</v>
      </c>
      <c r="I129" s="561">
        <f>_xlfn.XLOOKUP(E129,'All Products'!D:D,'All Products'!H:H,FALSE)</f>
        <v>29.52</v>
      </c>
      <c r="J129" s="135">
        <f>ROUND(I129*Order_Quote!$L$8,2)</f>
        <v>147.6</v>
      </c>
      <c r="K129" s="78"/>
      <c r="L129" s="116"/>
      <c r="M129" s="199">
        <f t="shared" si="3"/>
        <v>0</v>
      </c>
      <c r="O129" s="348" t="str">
        <f>_xlfn.XLOOKUP(E129,'All Products'!D:D,'All Products'!I:I,FALSE)</f>
        <v>In Stock</v>
      </c>
      <c r="P129" s="348" t="str">
        <f>_xlfn.XLOOKUP(E129,'All Products'!D:D,'All Products'!J:J,FALSE)</f>
        <v>Manufactured</v>
      </c>
      <c r="Q129" s="348" t="str">
        <f>_xlfn.XLOOKUP(E129,'All Products'!D:D,'All Products'!K:K,FALSE)</f>
        <v>049081156862</v>
      </c>
      <c r="R129" s="351" t="str">
        <f>_xlfn.XLOOKUP(E129,'All Products'!D:D,'All Products'!L:L,FALSE)</f>
        <v>049081656867</v>
      </c>
      <c r="S129" s="351" t="str">
        <f>_xlfn.XLOOKUP(E129,'All Products'!D:D,'All Products'!M:M,FALSE)</f>
        <v>40049081156860</v>
      </c>
      <c r="T129" s="348">
        <f>_xlfn.XLOOKUP(E129,'All Products'!D:D,'All Products'!N:N,FALSE)</f>
        <v>0.152</v>
      </c>
      <c r="U129" s="351">
        <f>_xlfn.XLOOKUP(E129,'All Products'!D:D,'All Products'!O:O,FALSE)</f>
        <v>10</v>
      </c>
      <c r="V129" s="348">
        <f>_xlfn.XLOOKUP(E129,'All Products'!D:D,'All Products'!P:P,FALSE)</f>
        <v>14.85</v>
      </c>
      <c r="W129" s="348">
        <f>_xlfn.XLOOKUP(E129,'All Products'!D:D,'All Products'!Q:Q,FALSE)</f>
        <v>0.65</v>
      </c>
    </row>
    <row r="130" spans="1:23">
      <c r="A130" s="104" t="str">
        <f>IF(K130&gt;0,COUNT($A$7:A129)+COUNT('DWV PVC'!$A$8:$A$284)
+COUNT('DWV ABS'!$A$8:$A$116)
+COUNT('PVC SCH40'!$A$8:$A$375)
+COUNT('PVC SCH40 LD'!$A$8:$A$21)
+COUNT('Pool &amp; SPA Sweep Elbows'!$A$8:$A$11)
+COUNT('Pool &amp; SPA Pipe Extender'!$A$8:$A$10)+1,"")</f>
        <v/>
      </c>
      <c r="B130" s="579"/>
      <c r="C130" s="580"/>
      <c r="D130" s="155" t="str">
        <f>_xlfn.XLOOKUP(E130,'All Products'!D:D,'All Products'!C:C,FALSE)</f>
        <v>837-211</v>
      </c>
      <c r="E130" s="106">
        <v>100023633</v>
      </c>
      <c r="F130" s="559" t="str">
        <f>_xlfn.XLOOKUP(E130,'All Products'!D:D,'All Products'!E:E,FALSE)</f>
        <v>1-1/2X1 RED BUSHING SPGXS SCH80</v>
      </c>
      <c r="G130" s="283">
        <f>_xlfn.XLOOKUP(E130,'All Products'!D:D,'All Products'!F:F,FALSE)</f>
        <v>100</v>
      </c>
      <c r="H130" s="234">
        <f>_xlfn.XLOOKUP(E130,'All Products'!D:D,'All Products'!G:G,FALSE)</f>
        <v>12000</v>
      </c>
      <c r="I130" s="561">
        <f>_xlfn.XLOOKUP(E130,'All Products'!D:D,'All Products'!H:H,FALSE)</f>
        <v>29.52</v>
      </c>
      <c r="J130" s="135">
        <f>ROUND(I130*Order_Quote!$L$8,2)</f>
        <v>147.6</v>
      </c>
      <c r="K130" s="78"/>
      <c r="L130" s="116"/>
      <c r="M130" s="199">
        <f t="shared" si="3"/>
        <v>0</v>
      </c>
      <c r="O130" s="348" t="str">
        <f>_xlfn.XLOOKUP(E130,'All Products'!D:D,'All Products'!I:I,FALSE)</f>
        <v>In Stock</v>
      </c>
      <c r="P130" s="348" t="str">
        <f>_xlfn.XLOOKUP(E130,'All Products'!D:D,'All Products'!J:J,FALSE)</f>
        <v>Manufactured</v>
      </c>
      <c r="Q130" s="348" t="str">
        <f>_xlfn.XLOOKUP(E130,'All Products'!D:D,'All Products'!K:K,FALSE)</f>
        <v>049081156848</v>
      </c>
      <c r="R130" s="351" t="str">
        <f>_xlfn.XLOOKUP(E130,'All Products'!D:D,'All Products'!L:L,FALSE)</f>
        <v>049081656843</v>
      </c>
      <c r="S130" s="351" t="str">
        <f>_xlfn.XLOOKUP(E130,'All Products'!D:D,'All Products'!M:M,FALSE)</f>
        <v>40049081156846</v>
      </c>
      <c r="T130" s="348">
        <f>_xlfn.XLOOKUP(E130,'All Products'!D:D,'All Products'!N:N,FALSE)</f>
        <v>0.129</v>
      </c>
      <c r="U130" s="351">
        <f>_xlfn.XLOOKUP(E130,'All Products'!D:D,'All Products'!O:O,FALSE)</f>
        <v>10</v>
      </c>
      <c r="V130" s="348">
        <f>_xlfn.XLOOKUP(E130,'All Products'!D:D,'All Products'!P:P,FALSE)</f>
        <v>12.73</v>
      </c>
      <c r="W130" s="348">
        <f>_xlfn.XLOOKUP(E130,'All Products'!D:D,'All Products'!Q:Q,FALSE)</f>
        <v>0.65</v>
      </c>
    </row>
    <row r="131" spans="1:23">
      <c r="A131" s="104" t="str">
        <f>IF(K131&gt;0,COUNT($A$7:A130)+COUNT('DWV PVC'!$A$8:$A$284)
+COUNT('DWV ABS'!$A$8:$A$116)
+COUNT('PVC SCH40'!$A$8:$A$375)
+COUNT('PVC SCH40 LD'!$A$8:$A$21)
+COUNT('Pool &amp; SPA Sweep Elbows'!$A$8:$A$11)
+COUNT('Pool &amp; SPA Pipe Extender'!$A$8:$A$10)+1,"")</f>
        <v/>
      </c>
      <c r="B131" s="579"/>
      <c r="C131" s="580"/>
      <c r="D131" s="155" t="str">
        <f>_xlfn.XLOOKUP(E131,'All Products'!D:D,'All Products'!C:C,FALSE)</f>
        <v>837-212</v>
      </c>
      <c r="E131" s="106">
        <v>100023634</v>
      </c>
      <c r="F131" s="559" t="str">
        <f>_xlfn.XLOOKUP(E131,'All Products'!D:D,'All Products'!E:E,FALSE)</f>
        <v>1-1/2X1-1/4 RED BUSHING SPGXS SCH80</v>
      </c>
      <c r="G131" s="283">
        <f>_xlfn.XLOOKUP(E131,'All Products'!D:D,'All Products'!F:F,FALSE)</f>
        <v>100</v>
      </c>
      <c r="H131" s="234">
        <f>_xlfn.XLOOKUP(E131,'All Products'!D:D,'All Products'!G:G,FALSE)</f>
        <v>12000</v>
      </c>
      <c r="I131" s="561">
        <f>_xlfn.XLOOKUP(E131,'All Products'!D:D,'All Products'!H:H,FALSE)</f>
        <v>29.52</v>
      </c>
      <c r="J131" s="135">
        <f>ROUND(I131*Order_Quote!$L$8,2)</f>
        <v>147.6</v>
      </c>
      <c r="K131" s="78"/>
      <c r="L131" s="116"/>
      <c r="M131" s="199">
        <f t="shared" si="3"/>
        <v>0</v>
      </c>
      <c r="O131" s="348" t="str">
        <f>_xlfn.XLOOKUP(E131,'All Products'!D:D,'All Products'!I:I,FALSE)</f>
        <v>In Stock</v>
      </c>
      <c r="P131" s="348" t="str">
        <f>_xlfn.XLOOKUP(E131,'All Products'!D:D,'All Products'!J:J,FALSE)</f>
        <v>Manufactured</v>
      </c>
      <c r="Q131" s="348" t="str">
        <f>_xlfn.XLOOKUP(E131,'All Products'!D:D,'All Products'!K:K,FALSE)</f>
        <v>049081156824</v>
      </c>
      <c r="R131" s="351" t="str">
        <f>_xlfn.XLOOKUP(E131,'All Products'!D:D,'All Products'!L:L,FALSE)</f>
        <v>049081656829</v>
      </c>
      <c r="S131" s="351" t="str">
        <f>_xlfn.XLOOKUP(E131,'All Products'!D:D,'All Products'!M:M,FALSE)</f>
        <v>40049081156822</v>
      </c>
      <c r="T131" s="348">
        <f>_xlfn.XLOOKUP(E131,'All Products'!D:D,'All Products'!N:N,FALSE)</f>
        <v>0.06</v>
      </c>
      <c r="U131" s="351">
        <f>_xlfn.XLOOKUP(E131,'All Products'!D:D,'All Products'!O:O,FALSE)</f>
        <v>10</v>
      </c>
      <c r="V131" s="348">
        <f>_xlfn.XLOOKUP(E131,'All Products'!D:D,'All Products'!P:P,FALSE)</f>
        <v>6.75</v>
      </c>
      <c r="W131" s="348">
        <f>_xlfn.XLOOKUP(E131,'All Products'!D:D,'All Products'!Q:Q,FALSE)</f>
        <v>0.65</v>
      </c>
    </row>
    <row r="132" spans="1:23">
      <c r="A132" s="104" t="str">
        <f>IF(K132&gt;0,COUNT($A$7:A131)+COUNT('DWV PVC'!$A$8:$A$284)
+COUNT('DWV ABS'!$A$8:$A$116)
+COUNT('PVC SCH40'!$A$8:$A$375)
+COUNT('PVC SCH40 LD'!$A$8:$A$21)
+COUNT('Pool &amp; SPA Sweep Elbows'!$A$8:$A$11)
+COUNT('Pool &amp; SPA Pipe Extender'!$A$8:$A$10)+1,"")</f>
        <v/>
      </c>
      <c r="B132" s="579"/>
      <c r="C132" s="580"/>
      <c r="D132" s="155" t="str">
        <f>_xlfn.XLOOKUP(E132,'All Products'!D:D,'All Products'!C:C,FALSE)</f>
        <v>837-247</v>
      </c>
      <c r="E132" s="106">
        <v>100023635</v>
      </c>
      <c r="F132" s="559" t="str">
        <f>_xlfn.XLOOKUP(E132,'All Products'!D:D,'All Products'!E:E,FALSE)</f>
        <v>2X1/2 RED BUSHING SPGXS SCH80</v>
      </c>
      <c r="G132" s="283">
        <f>_xlfn.XLOOKUP(E132,'All Products'!D:D,'All Products'!F:F,FALSE)</f>
        <v>50</v>
      </c>
      <c r="H132" s="234">
        <f>_xlfn.XLOOKUP(E132,'All Products'!D:D,'All Products'!G:G,FALSE)</f>
        <v>6000</v>
      </c>
      <c r="I132" s="561">
        <f>_xlfn.XLOOKUP(E132,'All Products'!D:D,'All Products'!H:H,FALSE)</f>
        <v>42.11</v>
      </c>
      <c r="J132" s="135">
        <f>ROUND(I132*Order_Quote!$L$8,2)</f>
        <v>210.55</v>
      </c>
      <c r="K132" s="78"/>
      <c r="L132" s="116"/>
      <c r="M132" s="199">
        <f t="shared" si="3"/>
        <v>0</v>
      </c>
      <c r="O132" s="348" t="str">
        <f>_xlfn.XLOOKUP(E132,'All Products'!D:D,'All Products'!I:I,FALSE)</f>
        <v>In Stock</v>
      </c>
      <c r="P132" s="348" t="str">
        <f>_xlfn.XLOOKUP(E132,'All Products'!D:D,'All Products'!J:J,FALSE)</f>
        <v>Manufactured</v>
      </c>
      <c r="Q132" s="348" t="str">
        <f>_xlfn.XLOOKUP(E132,'All Products'!D:D,'All Products'!K:K,FALSE)</f>
        <v>049081156985</v>
      </c>
      <c r="R132" s="351" t="str">
        <f>_xlfn.XLOOKUP(E132,'All Products'!D:D,'All Products'!L:L,FALSE)</f>
        <v>049081656980</v>
      </c>
      <c r="S132" s="351" t="str">
        <f>_xlfn.XLOOKUP(E132,'All Products'!D:D,'All Products'!M:M,FALSE)</f>
        <v>40049081156983</v>
      </c>
      <c r="T132" s="348">
        <f>_xlfn.XLOOKUP(E132,'All Products'!D:D,'All Products'!N:N,FALSE)</f>
        <v>0.27700000000000002</v>
      </c>
      <c r="U132" s="351">
        <f>_xlfn.XLOOKUP(E132,'All Products'!D:D,'All Products'!O:O,FALSE)</f>
        <v>5</v>
      </c>
      <c r="V132" s="348">
        <f>_xlfn.XLOOKUP(E132,'All Products'!D:D,'All Products'!P:P,FALSE)</f>
        <v>14.01</v>
      </c>
      <c r="W132" s="348">
        <f>_xlfn.XLOOKUP(E132,'All Products'!D:D,'All Products'!Q:Q,FALSE)</f>
        <v>0.65</v>
      </c>
    </row>
    <row r="133" spans="1:23">
      <c r="A133" s="104" t="str">
        <f>IF(K133&gt;0,COUNT($A$7:A132)+COUNT('DWV PVC'!$A$8:$A$284)
+COUNT('DWV ABS'!$A$8:$A$116)
+COUNT('PVC SCH40'!$A$8:$A$375)
+COUNT('PVC SCH40 LD'!$A$8:$A$21)
+COUNT('Pool &amp; SPA Sweep Elbows'!$A$8:$A$11)
+COUNT('Pool &amp; SPA Pipe Extender'!$A$8:$A$10)+1,"")</f>
        <v/>
      </c>
      <c r="B133" s="579"/>
      <c r="C133" s="580"/>
      <c r="D133" s="155" t="str">
        <f>_xlfn.XLOOKUP(E133,'All Products'!D:D,'All Products'!C:C,FALSE)</f>
        <v>837-248</v>
      </c>
      <c r="E133" s="106">
        <v>100023636</v>
      </c>
      <c r="F133" s="559" t="str">
        <f>_xlfn.XLOOKUP(E133,'All Products'!D:D,'All Products'!E:E,FALSE)</f>
        <v>2X3/4 RED BUSHING SPGXS SCH80</v>
      </c>
      <c r="G133" s="283">
        <f>_xlfn.XLOOKUP(E133,'All Products'!D:D,'All Products'!F:F,FALSE)</f>
        <v>50</v>
      </c>
      <c r="H133" s="234">
        <f>_xlfn.XLOOKUP(E133,'All Products'!D:D,'All Products'!G:G,FALSE)</f>
        <v>6000</v>
      </c>
      <c r="I133" s="561">
        <f>_xlfn.XLOOKUP(E133,'All Products'!D:D,'All Products'!H:H,FALSE)</f>
        <v>42.1</v>
      </c>
      <c r="J133" s="135">
        <f>ROUND(I133*Order_Quote!$L$8,2)</f>
        <v>210.5</v>
      </c>
      <c r="K133" s="78"/>
      <c r="L133" s="116"/>
      <c r="M133" s="199">
        <f t="shared" si="3"/>
        <v>0</v>
      </c>
      <c r="O133" s="348" t="str">
        <f>_xlfn.XLOOKUP(E133,'All Products'!D:D,'All Products'!I:I,FALSE)</f>
        <v>In Stock</v>
      </c>
      <c r="P133" s="348" t="str">
        <f>_xlfn.XLOOKUP(E133,'All Products'!D:D,'All Products'!J:J,FALSE)</f>
        <v>Manufactured</v>
      </c>
      <c r="Q133" s="348" t="str">
        <f>_xlfn.XLOOKUP(E133,'All Products'!D:D,'All Products'!K:K,FALSE)</f>
        <v>049081156961</v>
      </c>
      <c r="R133" s="351" t="str">
        <f>_xlfn.XLOOKUP(E133,'All Products'!D:D,'All Products'!L:L,FALSE)</f>
        <v>049081656966</v>
      </c>
      <c r="S133" s="351" t="str">
        <f>_xlfn.XLOOKUP(E133,'All Products'!D:D,'All Products'!M:M,FALSE)</f>
        <v>40049081156969</v>
      </c>
      <c r="T133" s="348">
        <f>_xlfn.XLOOKUP(E133,'All Products'!D:D,'All Products'!N:N,FALSE)</f>
        <v>0.27600000000000002</v>
      </c>
      <c r="U133" s="351">
        <f>_xlfn.XLOOKUP(E133,'All Products'!D:D,'All Products'!O:O,FALSE)</f>
        <v>5</v>
      </c>
      <c r="V133" s="348">
        <f>_xlfn.XLOOKUP(E133,'All Products'!D:D,'All Products'!P:P,FALSE)</f>
        <v>13.95</v>
      </c>
      <c r="W133" s="348">
        <f>_xlfn.XLOOKUP(E133,'All Products'!D:D,'All Products'!Q:Q,FALSE)</f>
        <v>0.65</v>
      </c>
    </row>
    <row r="134" spans="1:23">
      <c r="A134" s="104" t="str">
        <f>IF(K134&gt;0,COUNT($A$7:A133)+COUNT('DWV PVC'!$A$8:$A$284)
+COUNT('DWV ABS'!$A$8:$A$116)
+COUNT('PVC SCH40'!$A$8:$A$375)
+COUNT('PVC SCH40 LD'!$A$8:$A$21)
+COUNT('Pool &amp; SPA Sweep Elbows'!$A$8:$A$11)
+COUNT('Pool &amp; SPA Pipe Extender'!$A$8:$A$10)+1,"")</f>
        <v/>
      </c>
      <c r="B134" s="579"/>
      <c r="C134" s="580"/>
      <c r="D134" s="155" t="str">
        <f>_xlfn.XLOOKUP(E134,'All Products'!D:D,'All Products'!C:C,FALSE)</f>
        <v>837-249</v>
      </c>
      <c r="E134" s="106">
        <v>100023637</v>
      </c>
      <c r="F134" s="559" t="str">
        <f>_xlfn.XLOOKUP(E134,'All Products'!D:D,'All Products'!E:E,FALSE)</f>
        <v>2X1 RED BUSHING SPGXS SCH80</v>
      </c>
      <c r="G134" s="283">
        <f>_xlfn.XLOOKUP(E134,'All Products'!D:D,'All Products'!F:F,FALSE)</f>
        <v>50</v>
      </c>
      <c r="H134" s="234">
        <f>_xlfn.XLOOKUP(E134,'All Products'!D:D,'All Products'!G:G,FALSE)</f>
        <v>6000</v>
      </c>
      <c r="I134" s="561">
        <f>_xlfn.XLOOKUP(E134,'All Products'!D:D,'All Products'!H:H,FALSE)</f>
        <v>42.11</v>
      </c>
      <c r="J134" s="135">
        <f>ROUND(I134*Order_Quote!$L$8,2)</f>
        <v>210.55</v>
      </c>
      <c r="K134" s="78"/>
      <c r="L134" s="116"/>
      <c r="M134" s="199">
        <f t="shared" si="3"/>
        <v>0</v>
      </c>
      <c r="O134" s="348" t="str">
        <f>_xlfn.XLOOKUP(E134,'All Products'!D:D,'All Products'!I:I,FALSE)</f>
        <v>In Stock</v>
      </c>
      <c r="P134" s="348" t="str">
        <f>_xlfn.XLOOKUP(E134,'All Products'!D:D,'All Products'!J:J,FALSE)</f>
        <v>Manufactured</v>
      </c>
      <c r="Q134" s="348" t="str">
        <f>_xlfn.XLOOKUP(E134,'All Products'!D:D,'All Products'!K:K,FALSE)</f>
        <v>049081156947</v>
      </c>
      <c r="R134" s="351" t="str">
        <f>_xlfn.XLOOKUP(E134,'All Products'!D:D,'All Products'!L:L,FALSE)</f>
        <v>049081656942</v>
      </c>
      <c r="S134" s="351" t="str">
        <f>_xlfn.XLOOKUP(E134,'All Products'!D:D,'All Products'!M:M,FALSE)</f>
        <v>40049081156945</v>
      </c>
      <c r="T134" s="348">
        <f>_xlfn.XLOOKUP(E134,'All Products'!D:D,'All Products'!N:N,FALSE)</f>
        <v>0.28599999999999998</v>
      </c>
      <c r="U134" s="351">
        <f>_xlfn.XLOOKUP(E134,'All Products'!D:D,'All Products'!O:O,FALSE)</f>
        <v>5</v>
      </c>
      <c r="V134" s="348">
        <f>_xlfn.XLOOKUP(E134,'All Products'!D:D,'All Products'!P:P,FALSE)</f>
        <v>14.55</v>
      </c>
      <c r="W134" s="348">
        <f>_xlfn.XLOOKUP(E134,'All Products'!D:D,'All Products'!Q:Q,FALSE)</f>
        <v>0.65</v>
      </c>
    </row>
    <row r="135" spans="1:23">
      <c r="A135" s="104" t="str">
        <f>IF(K135&gt;0,COUNT($A$7:A134)+COUNT('DWV PVC'!$A$8:$A$284)
+COUNT('DWV ABS'!$A$8:$A$116)
+COUNT('PVC SCH40'!$A$8:$A$375)
+COUNT('PVC SCH40 LD'!$A$8:$A$21)
+COUNT('Pool &amp; SPA Sweep Elbows'!$A$8:$A$11)
+COUNT('Pool &amp; SPA Pipe Extender'!$A$8:$A$10)+1,"")</f>
        <v/>
      </c>
      <c r="B135" s="579"/>
      <c r="C135" s="580"/>
      <c r="D135" s="155" t="str">
        <f>_xlfn.XLOOKUP(E135,'All Products'!D:D,'All Products'!C:C,FALSE)</f>
        <v>837-250</v>
      </c>
      <c r="E135" s="106">
        <v>100023638</v>
      </c>
      <c r="F135" s="559" t="str">
        <f>_xlfn.XLOOKUP(E135,'All Products'!D:D,'All Products'!E:E,FALSE)</f>
        <v>2X1-1/4 RED BUSHING SPGXS SCH80</v>
      </c>
      <c r="G135" s="283">
        <f>_xlfn.XLOOKUP(E135,'All Products'!D:D,'All Products'!F:F,FALSE)</f>
        <v>50</v>
      </c>
      <c r="H135" s="234">
        <f>_xlfn.XLOOKUP(E135,'All Products'!D:D,'All Products'!G:G,FALSE)</f>
        <v>6000</v>
      </c>
      <c r="I135" s="561">
        <f>_xlfn.XLOOKUP(E135,'All Products'!D:D,'All Products'!H:H,FALSE)</f>
        <v>42.11</v>
      </c>
      <c r="J135" s="135">
        <f>ROUND(I135*Order_Quote!$L$8,2)</f>
        <v>210.55</v>
      </c>
      <c r="K135" s="78"/>
      <c r="L135" s="116"/>
      <c r="M135" s="199">
        <f t="shared" si="3"/>
        <v>0</v>
      </c>
      <c r="O135" s="348" t="str">
        <f>_xlfn.XLOOKUP(E135,'All Products'!D:D,'All Products'!I:I,FALSE)</f>
        <v>In Stock</v>
      </c>
      <c r="P135" s="348" t="str">
        <f>_xlfn.XLOOKUP(E135,'All Products'!D:D,'All Products'!J:J,FALSE)</f>
        <v>Manufactured</v>
      </c>
      <c r="Q135" s="348" t="str">
        <f>_xlfn.XLOOKUP(E135,'All Products'!D:D,'All Products'!K:K,FALSE)</f>
        <v>049081156923</v>
      </c>
      <c r="R135" s="351" t="str">
        <f>_xlfn.XLOOKUP(E135,'All Products'!D:D,'All Products'!L:L,FALSE)</f>
        <v>049081656928</v>
      </c>
      <c r="S135" s="351" t="str">
        <f>_xlfn.XLOOKUP(E135,'All Products'!D:D,'All Products'!M:M,FALSE)</f>
        <v>40049081156921</v>
      </c>
      <c r="T135" s="348">
        <f>_xlfn.XLOOKUP(E135,'All Products'!D:D,'All Products'!N:N,FALSE)</f>
        <v>0.23</v>
      </c>
      <c r="U135" s="351">
        <f>_xlfn.XLOOKUP(E135,'All Products'!D:D,'All Products'!O:O,FALSE)</f>
        <v>5</v>
      </c>
      <c r="V135" s="348">
        <f>_xlfn.XLOOKUP(E135,'All Products'!D:D,'All Products'!P:P,FALSE)</f>
        <v>12.54</v>
      </c>
      <c r="W135" s="348">
        <f>_xlfn.XLOOKUP(E135,'All Products'!D:D,'All Products'!Q:Q,FALSE)</f>
        <v>0.65</v>
      </c>
    </row>
    <row r="136" spans="1:23">
      <c r="A136" s="104" t="str">
        <f>IF(K136&gt;0,COUNT($A$7:A135)+COUNT('DWV PVC'!$A$8:$A$284)
+COUNT('DWV ABS'!$A$8:$A$116)
+COUNT('PVC SCH40'!$A$8:$A$375)
+COUNT('PVC SCH40 LD'!$A$8:$A$21)
+COUNT('Pool &amp; SPA Sweep Elbows'!$A$8:$A$11)
+COUNT('Pool &amp; SPA Pipe Extender'!$A$8:$A$10)+1,"")</f>
        <v/>
      </c>
      <c r="B136" s="579"/>
      <c r="C136" s="580"/>
      <c r="D136" s="155" t="str">
        <f>_xlfn.XLOOKUP(E136,'All Products'!D:D,'All Products'!C:C,FALSE)</f>
        <v>837-251</v>
      </c>
      <c r="E136" s="106">
        <v>100023639</v>
      </c>
      <c r="F136" s="559" t="str">
        <f>_xlfn.XLOOKUP(E136,'All Products'!D:D,'All Products'!E:E,FALSE)</f>
        <v>2X1-1/2 RED BUSHING SPGXS SCH80</v>
      </c>
      <c r="G136" s="283">
        <f>_xlfn.XLOOKUP(E136,'All Products'!D:D,'All Products'!F:F,FALSE)</f>
        <v>50</v>
      </c>
      <c r="H136" s="234">
        <f>_xlfn.XLOOKUP(E136,'All Products'!D:D,'All Products'!G:G,FALSE)</f>
        <v>6000</v>
      </c>
      <c r="I136" s="561">
        <f>_xlfn.XLOOKUP(E136,'All Products'!D:D,'All Products'!H:H,FALSE)</f>
        <v>42.1</v>
      </c>
      <c r="J136" s="135">
        <f>ROUND(I136*Order_Quote!$L$8,2)</f>
        <v>210.5</v>
      </c>
      <c r="K136" s="78"/>
      <c r="L136" s="116"/>
      <c r="M136" s="199">
        <f t="shared" si="3"/>
        <v>0</v>
      </c>
      <c r="O136" s="348" t="str">
        <f>_xlfn.XLOOKUP(E136,'All Products'!D:D,'All Products'!I:I,FALSE)</f>
        <v>In Stock</v>
      </c>
      <c r="P136" s="348" t="str">
        <f>_xlfn.XLOOKUP(E136,'All Products'!D:D,'All Products'!J:J,FALSE)</f>
        <v>Manufactured</v>
      </c>
      <c r="Q136" s="348" t="str">
        <f>_xlfn.XLOOKUP(E136,'All Products'!D:D,'All Products'!K:K,FALSE)</f>
        <v>049081156909</v>
      </c>
      <c r="R136" s="351" t="str">
        <f>_xlfn.XLOOKUP(E136,'All Products'!D:D,'All Products'!L:L,FALSE)</f>
        <v>049081656904</v>
      </c>
      <c r="S136" s="351" t="str">
        <f>_xlfn.XLOOKUP(E136,'All Products'!D:D,'All Products'!M:M,FALSE)</f>
        <v>40049081156907</v>
      </c>
      <c r="T136" s="348">
        <f>_xlfn.XLOOKUP(E136,'All Products'!D:D,'All Products'!N:N,FALSE)</f>
        <v>0.13800000000000001</v>
      </c>
      <c r="U136" s="351">
        <f>_xlfn.XLOOKUP(E136,'All Products'!D:D,'All Products'!O:O,FALSE)</f>
        <v>5</v>
      </c>
      <c r="V136" s="348">
        <f>_xlfn.XLOOKUP(E136,'All Products'!D:D,'All Products'!P:P,FALSE)</f>
        <v>8.5299999999999994</v>
      </c>
      <c r="W136" s="348">
        <f>_xlfn.XLOOKUP(E136,'All Products'!D:D,'All Products'!Q:Q,FALSE)</f>
        <v>0.65</v>
      </c>
    </row>
    <row r="137" spans="1:23">
      <c r="A137" s="104" t="str">
        <f>IF(K137&gt;0,COUNT($A$7:A136)+COUNT('DWV PVC'!$A$8:$A$284)
+COUNT('DWV ABS'!$A$8:$A$116)
+COUNT('PVC SCH40'!$A$8:$A$375)
+COUNT('PVC SCH40 LD'!$A$8:$A$21)
+COUNT('Pool &amp; SPA Sweep Elbows'!$A$8:$A$11)
+COUNT('Pool &amp; SPA Pipe Extender'!$A$8:$A$10)+1,"")</f>
        <v/>
      </c>
      <c r="B137" s="579"/>
      <c r="C137" s="580"/>
      <c r="D137" s="155" t="str">
        <f>_xlfn.XLOOKUP(E137,'All Products'!D:D,'All Products'!C:C,FALSE)</f>
        <v>837-292</v>
      </c>
      <c r="E137" s="106">
        <v>100023643</v>
      </c>
      <c r="F137" s="559" t="str">
        <f>_xlfn.XLOOKUP(E137,'All Products'!D:D,'All Products'!E:E,FALSE)</f>
        <v>2-1/2X2 RED BUSHING SPGXS SCH80</v>
      </c>
      <c r="G137" s="283">
        <f>_xlfn.XLOOKUP(E137,'All Products'!D:D,'All Products'!F:F,FALSE)</f>
        <v>25</v>
      </c>
      <c r="H137" s="234">
        <f>_xlfn.XLOOKUP(E137,'All Products'!D:D,'All Products'!G:G,FALSE)</f>
        <v>3750</v>
      </c>
      <c r="I137" s="561">
        <f>_xlfn.XLOOKUP(E137,'All Products'!D:D,'All Products'!H:H,FALSE)</f>
        <v>73.17</v>
      </c>
      <c r="J137" s="135">
        <f>ROUND(I137*Order_Quote!$L$8,2)</f>
        <v>365.85</v>
      </c>
      <c r="K137" s="78"/>
      <c r="L137" s="116"/>
      <c r="M137" s="199">
        <f t="shared" si="3"/>
        <v>0</v>
      </c>
      <c r="O137" s="348" t="str">
        <f>_xlfn.XLOOKUP(E137,'All Products'!D:D,'All Products'!I:I,FALSE)</f>
        <v>In Stock</v>
      </c>
      <c r="P137" s="348" t="str">
        <f>_xlfn.XLOOKUP(E137,'All Products'!D:D,'All Products'!J:J,FALSE)</f>
        <v>Manufactured</v>
      </c>
      <c r="Q137" s="348" t="str">
        <f>_xlfn.XLOOKUP(E137,'All Products'!D:D,'All Products'!K:K,FALSE)</f>
        <v>049081157005</v>
      </c>
      <c r="R137" s="351" t="str">
        <f>_xlfn.XLOOKUP(E137,'All Products'!D:D,'All Products'!L:L,FALSE)</f>
        <v>049081657000</v>
      </c>
      <c r="S137" s="351" t="str">
        <f>_xlfn.XLOOKUP(E137,'All Products'!D:D,'All Products'!M:M,FALSE)</f>
        <v>40049081157003</v>
      </c>
      <c r="T137" s="348">
        <f>_xlfn.XLOOKUP(E137,'All Products'!D:D,'All Products'!N:N,FALSE)</f>
        <v>0.23400000000000001</v>
      </c>
      <c r="U137" s="351">
        <f>_xlfn.XLOOKUP(E137,'All Products'!D:D,'All Products'!O:O,FALSE)</f>
        <v>5</v>
      </c>
      <c r="V137" s="348">
        <f>_xlfn.XLOOKUP(E137,'All Products'!D:D,'All Products'!P:P,FALSE)</f>
        <v>6.94</v>
      </c>
      <c r="W137" s="348">
        <f>_xlfn.XLOOKUP(E137,'All Products'!D:D,'All Products'!Q:Q,FALSE)</f>
        <v>0.5</v>
      </c>
    </row>
    <row r="138" spans="1:23">
      <c r="A138" s="104" t="str">
        <f>IF(K138&gt;0,COUNT($A$7:A137)+COUNT('DWV PVC'!$A$8:$A$284)
+COUNT('DWV ABS'!$A$8:$A$116)
+COUNT('PVC SCH40'!$A$8:$A$375)
+COUNT('PVC SCH40 LD'!$A$8:$A$21)
+COUNT('Pool &amp; SPA Sweep Elbows'!$A$8:$A$11)
+COUNT('Pool &amp; SPA Pipe Extender'!$A$8:$A$10)+1,"")</f>
        <v/>
      </c>
      <c r="B138" s="579"/>
      <c r="C138" s="580"/>
      <c r="D138" s="155" t="str">
        <f>_xlfn.XLOOKUP(E138,'All Products'!D:D,'All Products'!C:C,FALSE)</f>
        <v>837-335</v>
      </c>
      <c r="E138" s="106">
        <v>100023644</v>
      </c>
      <c r="F138" s="559" t="str">
        <f>_xlfn.XLOOKUP(E138,'All Products'!D:D,'All Products'!E:E,FALSE)</f>
        <v>3X1 RED BUSHING SPGXS SCH80</v>
      </c>
      <c r="G138" s="283">
        <f>_xlfn.XLOOKUP(E138,'All Products'!D:D,'All Products'!F:F,FALSE)</f>
        <v>25</v>
      </c>
      <c r="H138" s="234">
        <f>_xlfn.XLOOKUP(E138,'All Products'!D:D,'All Products'!G:G,FALSE)</f>
        <v>3000</v>
      </c>
      <c r="I138" s="561">
        <f>_xlfn.XLOOKUP(E138,'All Products'!D:D,'All Products'!H:H,FALSE)</f>
        <v>116.06</v>
      </c>
      <c r="J138" s="135">
        <f>ROUND(I138*Order_Quote!$L$8,2)</f>
        <v>580.29999999999995</v>
      </c>
      <c r="K138" s="78"/>
      <c r="L138" s="116"/>
      <c r="M138" s="199">
        <f t="shared" si="3"/>
        <v>0</v>
      </c>
      <c r="O138" s="348" t="str">
        <f>_xlfn.XLOOKUP(E138,'All Products'!D:D,'All Products'!I:I,FALSE)</f>
        <v>In Stock</v>
      </c>
      <c r="P138" s="348" t="str">
        <f>_xlfn.XLOOKUP(E138,'All Products'!D:D,'All Products'!J:J,FALSE)</f>
        <v>Manufactured</v>
      </c>
      <c r="Q138" s="348" t="str">
        <f>_xlfn.XLOOKUP(E138,'All Products'!D:D,'All Products'!K:K,FALSE)</f>
        <v>049081157203</v>
      </c>
      <c r="R138" s="351" t="str">
        <f>_xlfn.XLOOKUP(E138,'All Products'!D:D,'All Products'!L:L,FALSE)</f>
        <v>049081657208</v>
      </c>
      <c r="S138" s="351" t="str">
        <f>_xlfn.XLOOKUP(E138,'All Products'!D:D,'All Products'!M:M,FALSE)</f>
        <v>40049081157201</v>
      </c>
      <c r="T138" s="348">
        <f>_xlfn.XLOOKUP(E138,'All Products'!D:D,'All Products'!N:N,FALSE)</f>
        <v>0.51600000000000001</v>
      </c>
      <c r="U138" s="351">
        <f>_xlfn.XLOOKUP(E138,'All Products'!D:D,'All Products'!O:O,FALSE)</f>
        <v>5</v>
      </c>
      <c r="V138" s="348">
        <f>_xlfn.XLOOKUP(E138,'All Products'!D:D,'All Products'!P:P,FALSE)</f>
        <v>13.14</v>
      </c>
      <c r="W138" s="348">
        <f>_xlfn.XLOOKUP(E138,'All Products'!D:D,'All Products'!Q:Q,FALSE)</f>
        <v>0.65</v>
      </c>
    </row>
    <row r="139" spans="1:23">
      <c r="A139" s="104" t="str">
        <f>IF(K139&gt;0,COUNT($A$7:A138)+COUNT('DWV PVC'!$A$8:$A$284)
+COUNT('DWV ABS'!$A$8:$A$116)
+COUNT('PVC SCH40'!$A$8:$A$375)
+COUNT('PVC SCH40 LD'!$A$8:$A$21)
+COUNT('Pool &amp; SPA Sweep Elbows'!$A$8:$A$11)
+COUNT('Pool &amp; SPA Pipe Extender'!$A$8:$A$10)+1,"")</f>
        <v/>
      </c>
      <c r="B139" s="579"/>
      <c r="C139" s="580"/>
      <c r="D139" s="155" t="str">
        <f>_xlfn.XLOOKUP(E139,'All Products'!D:D,'All Products'!C:C,FALSE)</f>
        <v>837-336</v>
      </c>
      <c r="E139" s="106">
        <v>100023425</v>
      </c>
      <c r="F139" s="559" t="str">
        <f>_xlfn.XLOOKUP(E139,'All Products'!D:D,'All Products'!E:E,FALSE)</f>
        <v>3X1-1/4 RED BUSHING SPGXS SCH80</v>
      </c>
      <c r="G139" s="283">
        <f>_xlfn.XLOOKUP(E139,'All Products'!D:D,'All Products'!F:F,FALSE)</f>
        <v>25</v>
      </c>
      <c r="H139" s="234">
        <f>_xlfn.XLOOKUP(E139,'All Products'!D:D,'All Products'!G:G,FALSE)</f>
        <v>3000</v>
      </c>
      <c r="I139" s="561">
        <f>_xlfn.XLOOKUP(E139,'All Products'!D:D,'All Products'!H:H,FALSE)</f>
        <v>116.06</v>
      </c>
      <c r="J139" s="135">
        <f>ROUND(I139*Order_Quote!$L$8,2)</f>
        <v>580.29999999999995</v>
      </c>
      <c r="K139" s="78"/>
      <c r="L139" s="116"/>
      <c r="M139" s="199">
        <f t="shared" si="3"/>
        <v>0</v>
      </c>
      <c r="O139" s="348" t="str">
        <f>_xlfn.XLOOKUP(E139,'All Products'!D:D,'All Products'!I:I,FALSE)</f>
        <v>In Stock</v>
      </c>
      <c r="P139" s="348" t="str">
        <f>_xlfn.XLOOKUP(E139,'All Products'!D:D,'All Products'!J:J,FALSE)</f>
        <v>Manufactured</v>
      </c>
      <c r="Q139" s="348" t="str">
        <f>_xlfn.XLOOKUP(E139,'All Products'!D:D,'All Products'!K:K,FALSE)</f>
        <v>049081157180</v>
      </c>
      <c r="R139" s="351" t="str">
        <f>_xlfn.XLOOKUP(E139,'All Products'!D:D,'All Products'!L:L,FALSE)</f>
        <v>049081657185</v>
      </c>
      <c r="S139" s="351" t="str">
        <f>_xlfn.XLOOKUP(E139,'All Products'!D:D,'All Products'!M:M,FALSE)</f>
        <v>40049081157188</v>
      </c>
      <c r="T139" s="348">
        <f>_xlfn.XLOOKUP(E139,'All Products'!D:D,'All Products'!N:N,FALSE)</f>
        <v>0.51800000000000002</v>
      </c>
      <c r="U139" s="351">
        <f>_xlfn.XLOOKUP(E139,'All Products'!D:D,'All Products'!O:O,FALSE)</f>
        <v>5</v>
      </c>
      <c r="V139" s="348">
        <f>_xlfn.XLOOKUP(E139,'All Products'!D:D,'All Products'!P:P,FALSE)</f>
        <v>13.24</v>
      </c>
      <c r="W139" s="348">
        <f>_xlfn.XLOOKUP(E139,'All Products'!D:D,'All Products'!Q:Q,FALSE)</f>
        <v>0.65</v>
      </c>
    </row>
    <row r="140" spans="1:23">
      <c r="A140" s="104" t="str">
        <f>IF(K140&gt;0,COUNT($A$7:A139)+COUNT('DWV PVC'!$A$8:$A$284)
+COUNT('DWV ABS'!$A$8:$A$116)
+COUNT('PVC SCH40'!$A$8:$A$375)
+COUNT('PVC SCH40 LD'!$A$8:$A$21)
+COUNT('Pool &amp; SPA Sweep Elbows'!$A$8:$A$11)
+COUNT('Pool &amp; SPA Pipe Extender'!$A$8:$A$10)+1,"")</f>
        <v/>
      </c>
      <c r="B140" s="579"/>
      <c r="C140" s="580"/>
      <c r="D140" s="155" t="str">
        <f>_xlfn.XLOOKUP(E140,'All Products'!D:D,'All Products'!C:C,FALSE)</f>
        <v>837-337</v>
      </c>
      <c r="E140" s="106">
        <v>100023645</v>
      </c>
      <c r="F140" s="559" t="str">
        <f>_xlfn.XLOOKUP(E140,'All Products'!D:D,'All Products'!E:E,FALSE)</f>
        <v>3X1-1/2 RED BUSHING SPGXS SCH80</v>
      </c>
      <c r="G140" s="283">
        <f>_xlfn.XLOOKUP(E140,'All Products'!D:D,'All Products'!F:F,FALSE)</f>
        <v>25</v>
      </c>
      <c r="H140" s="234">
        <f>_xlfn.XLOOKUP(E140,'All Products'!D:D,'All Products'!G:G,FALSE)</f>
        <v>3000</v>
      </c>
      <c r="I140" s="561">
        <f>_xlfn.XLOOKUP(E140,'All Products'!D:D,'All Products'!H:H,FALSE)</f>
        <v>116.06</v>
      </c>
      <c r="J140" s="135">
        <f>ROUND(I140*Order_Quote!$L$8,2)</f>
        <v>580.29999999999995</v>
      </c>
      <c r="K140" s="78"/>
      <c r="L140" s="116"/>
      <c r="M140" s="199">
        <f t="shared" si="3"/>
        <v>0</v>
      </c>
      <c r="O140" s="348" t="str">
        <f>_xlfn.XLOOKUP(E140,'All Products'!D:D,'All Products'!I:I,FALSE)</f>
        <v>In Stock</v>
      </c>
      <c r="P140" s="348" t="str">
        <f>_xlfn.XLOOKUP(E140,'All Products'!D:D,'All Products'!J:J,FALSE)</f>
        <v>Manufactured</v>
      </c>
      <c r="Q140" s="348" t="str">
        <f>_xlfn.XLOOKUP(E140,'All Products'!D:D,'All Products'!K:K,FALSE)</f>
        <v>049081157166</v>
      </c>
      <c r="R140" s="351" t="str">
        <f>_xlfn.XLOOKUP(E140,'All Products'!D:D,'All Products'!L:L,FALSE)</f>
        <v>049081657161</v>
      </c>
      <c r="S140" s="351" t="str">
        <f>_xlfn.XLOOKUP(E140,'All Products'!D:D,'All Products'!M:M,FALSE)</f>
        <v>40049081157164</v>
      </c>
      <c r="T140" s="348">
        <f>_xlfn.XLOOKUP(E140,'All Products'!D:D,'All Products'!N:N,FALSE)</f>
        <v>0.53</v>
      </c>
      <c r="U140" s="351">
        <f>_xlfn.XLOOKUP(E140,'All Products'!D:D,'All Products'!O:O,FALSE)</f>
        <v>5</v>
      </c>
      <c r="V140" s="348">
        <f>_xlfn.XLOOKUP(E140,'All Products'!D:D,'All Products'!P:P,FALSE)</f>
        <v>13.35</v>
      </c>
      <c r="W140" s="348">
        <f>_xlfn.XLOOKUP(E140,'All Products'!D:D,'All Products'!Q:Q,FALSE)</f>
        <v>0.65</v>
      </c>
    </row>
    <row r="141" spans="1:23">
      <c r="A141" s="104" t="str">
        <f>IF(K141&gt;0,COUNT($A$7:A140)+COUNT('DWV PVC'!$A$8:$A$284)
+COUNT('DWV ABS'!$A$8:$A$116)
+COUNT('PVC SCH40'!$A$8:$A$375)
+COUNT('PVC SCH40 LD'!$A$8:$A$21)
+COUNT('Pool &amp; SPA Sweep Elbows'!$A$8:$A$11)
+COUNT('Pool &amp; SPA Pipe Extender'!$A$8:$A$10)+1,"")</f>
        <v/>
      </c>
      <c r="B141" s="579"/>
      <c r="C141" s="580"/>
      <c r="D141" s="155" t="str">
        <f>_xlfn.XLOOKUP(E141,'All Products'!D:D,'All Products'!C:C,FALSE)</f>
        <v>837-338</v>
      </c>
      <c r="E141" s="106">
        <v>100023646</v>
      </c>
      <c r="F141" s="559" t="str">
        <f>_xlfn.XLOOKUP(E141,'All Products'!D:D,'All Products'!E:E,FALSE)</f>
        <v>3X2 RED BUSHING SPGXS SCH80</v>
      </c>
      <c r="G141" s="283">
        <f>_xlfn.XLOOKUP(E141,'All Products'!D:D,'All Products'!F:F,FALSE)</f>
        <v>25</v>
      </c>
      <c r="H141" s="234">
        <f>_xlfn.XLOOKUP(E141,'All Products'!D:D,'All Products'!G:G,FALSE)</f>
        <v>3000</v>
      </c>
      <c r="I141" s="561">
        <f>_xlfn.XLOOKUP(E141,'All Products'!D:D,'All Products'!H:H,FALSE)</f>
        <v>116.06</v>
      </c>
      <c r="J141" s="135">
        <f>ROUND(I141*Order_Quote!$L$8,2)</f>
        <v>580.29999999999995</v>
      </c>
      <c r="K141" s="78"/>
      <c r="L141" s="116"/>
      <c r="M141" s="199">
        <f t="shared" si="3"/>
        <v>0</v>
      </c>
      <c r="O141" s="348" t="str">
        <f>_xlfn.XLOOKUP(E141,'All Products'!D:D,'All Products'!I:I,FALSE)</f>
        <v>In Stock</v>
      </c>
      <c r="P141" s="348" t="str">
        <f>_xlfn.XLOOKUP(E141,'All Products'!D:D,'All Products'!J:J,FALSE)</f>
        <v>Manufactured</v>
      </c>
      <c r="Q141" s="348" t="str">
        <f>_xlfn.XLOOKUP(E141,'All Products'!D:D,'All Products'!K:K,FALSE)</f>
        <v>049081157142</v>
      </c>
      <c r="R141" s="351" t="str">
        <f>_xlfn.XLOOKUP(E141,'All Products'!D:D,'All Products'!L:L,FALSE)</f>
        <v>049081657147</v>
      </c>
      <c r="S141" s="351" t="str">
        <f>_xlfn.XLOOKUP(E141,'All Products'!D:D,'All Products'!M:M,FALSE)</f>
        <v>40049081157140</v>
      </c>
      <c r="T141" s="348">
        <f>_xlfn.XLOOKUP(E141,'All Products'!D:D,'All Products'!N:N,FALSE)</f>
        <v>0.42499999999999999</v>
      </c>
      <c r="U141" s="351">
        <f>_xlfn.XLOOKUP(E141,'All Products'!D:D,'All Products'!O:O,FALSE)</f>
        <v>5</v>
      </c>
      <c r="V141" s="348">
        <f>_xlfn.XLOOKUP(E141,'All Products'!D:D,'All Products'!P:P,FALSE)</f>
        <v>13.33</v>
      </c>
      <c r="W141" s="348">
        <f>_xlfn.XLOOKUP(E141,'All Products'!D:D,'All Products'!Q:Q,FALSE)</f>
        <v>0.65</v>
      </c>
    </row>
    <row r="142" spans="1:23">
      <c r="A142" s="104" t="str">
        <f>IF(K142&gt;0,COUNT($A$7:A141)+COUNT('DWV PVC'!$A$8:$A$284)
+COUNT('DWV ABS'!$A$8:$A$116)
+COUNT('PVC SCH40'!$A$8:$A$375)
+COUNT('PVC SCH40 LD'!$A$8:$A$21)
+COUNT('Pool &amp; SPA Sweep Elbows'!$A$8:$A$11)
+COUNT('Pool &amp; SPA Pipe Extender'!$A$8:$A$10)+1,"")</f>
        <v/>
      </c>
      <c r="B142" s="579"/>
      <c r="C142" s="580"/>
      <c r="D142" s="155" t="str">
        <f>_xlfn.XLOOKUP(E142,'All Products'!D:D,'All Products'!C:C,FALSE)</f>
        <v>837-339</v>
      </c>
      <c r="E142" s="106">
        <v>100023647</v>
      </c>
      <c r="F142" s="559" t="str">
        <f>_xlfn.XLOOKUP(E142,'All Products'!D:D,'All Products'!E:E,FALSE)</f>
        <v>3X2-1/2 RED BUSHING SPGXS SCH80</v>
      </c>
      <c r="G142" s="283">
        <f>_xlfn.XLOOKUP(E142,'All Products'!D:D,'All Products'!F:F,FALSE)</f>
        <v>25</v>
      </c>
      <c r="H142" s="234">
        <f>_xlfn.XLOOKUP(E142,'All Products'!D:D,'All Products'!G:G,FALSE)</f>
        <v>3000</v>
      </c>
      <c r="I142" s="561">
        <f>_xlfn.XLOOKUP(E142,'All Products'!D:D,'All Products'!H:H,FALSE)</f>
        <v>116.06</v>
      </c>
      <c r="J142" s="135">
        <f>ROUND(I142*Order_Quote!$L$8,2)</f>
        <v>580.29999999999995</v>
      </c>
      <c r="K142" s="78"/>
      <c r="L142" s="116"/>
      <c r="M142" s="199">
        <f t="shared" ref="M142:M183" si="4">K142/G142</f>
        <v>0</v>
      </c>
      <c r="O142" s="348" t="str">
        <f>_xlfn.XLOOKUP(E142,'All Products'!D:D,'All Products'!I:I,FALSE)</f>
        <v>In Stock</v>
      </c>
      <c r="P142" s="348" t="str">
        <f>_xlfn.XLOOKUP(E142,'All Products'!D:D,'All Products'!J:J,FALSE)</f>
        <v>Manufactured</v>
      </c>
      <c r="Q142" s="348" t="str">
        <f>_xlfn.XLOOKUP(E142,'All Products'!D:D,'All Products'!K:K,FALSE)</f>
        <v>049081157128</v>
      </c>
      <c r="R142" s="351" t="str">
        <f>_xlfn.XLOOKUP(E142,'All Products'!D:D,'All Products'!L:L,FALSE)</f>
        <v>049081657123</v>
      </c>
      <c r="S142" s="351" t="str">
        <f>_xlfn.XLOOKUP(E142,'All Products'!D:D,'All Products'!M:M,FALSE)</f>
        <v>40049081157126</v>
      </c>
      <c r="T142" s="348">
        <f>_xlfn.XLOOKUP(E142,'All Products'!D:D,'All Products'!N:N,FALSE)</f>
        <v>0.32800000000000001</v>
      </c>
      <c r="U142" s="351">
        <f>_xlfn.XLOOKUP(E142,'All Products'!D:D,'All Products'!O:O,FALSE)</f>
        <v>5</v>
      </c>
      <c r="V142" s="348">
        <f>_xlfn.XLOOKUP(E142,'All Products'!D:D,'All Products'!P:P,FALSE)</f>
        <v>9.18</v>
      </c>
      <c r="W142" s="348">
        <f>_xlfn.XLOOKUP(E142,'All Products'!D:D,'All Products'!Q:Q,FALSE)</f>
        <v>0.65</v>
      </c>
    </row>
    <row r="143" spans="1:23">
      <c r="A143" s="104" t="str">
        <f>IF(K143&gt;0,COUNT($A$7:A142)+COUNT('DWV PVC'!$A$8:$A$284)
+COUNT('DWV ABS'!$A$8:$A$116)
+COUNT('PVC SCH40'!$A$8:$A$375)
+COUNT('PVC SCH40 LD'!$A$8:$A$21)
+COUNT('Pool &amp; SPA Sweep Elbows'!$A$8:$A$11)
+COUNT('Pool &amp; SPA Pipe Extender'!$A$8:$A$10)+1,"")</f>
        <v/>
      </c>
      <c r="B143" s="579"/>
      <c r="C143" s="580"/>
      <c r="D143" s="155" t="str">
        <f>_xlfn.XLOOKUP(E143,'All Products'!D:D,'All Products'!C:C,FALSE)</f>
        <v>837-420</v>
      </c>
      <c r="E143" s="106">
        <v>100023648</v>
      </c>
      <c r="F143" s="559" t="str">
        <f>_xlfn.XLOOKUP(E143,'All Products'!D:D,'All Products'!E:E,FALSE)</f>
        <v>4X2 RED BUSHING SPGXS SCH80</v>
      </c>
      <c r="G143" s="283">
        <f>_xlfn.XLOOKUP(E143,'All Products'!D:D,'All Products'!F:F,FALSE)</f>
        <v>10</v>
      </c>
      <c r="H143" s="234">
        <f>_xlfn.XLOOKUP(E143,'All Products'!D:D,'All Products'!G:G,FALSE)</f>
        <v>1200</v>
      </c>
      <c r="I143" s="561">
        <f>_xlfn.XLOOKUP(E143,'All Products'!D:D,'All Products'!H:H,FALSE)</f>
        <v>160.71</v>
      </c>
      <c r="J143" s="135">
        <f>ROUND(I143*Order_Quote!$L$8,2)</f>
        <v>803.55</v>
      </c>
      <c r="K143" s="78"/>
      <c r="L143" s="116"/>
      <c r="M143" s="199">
        <f t="shared" si="4"/>
        <v>0</v>
      </c>
      <c r="O143" s="348" t="str">
        <f>_xlfn.XLOOKUP(E143,'All Products'!D:D,'All Products'!I:I,FALSE)</f>
        <v>In Stock</v>
      </c>
      <c r="P143" s="348" t="str">
        <f>_xlfn.XLOOKUP(E143,'All Products'!D:D,'All Products'!J:J,FALSE)</f>
        <v>Manufactured</v>
      </c>
      <c r="Q143" s="348" t="str">
        <f>_xlfn.XLOOKUP(E143,'All Products'!D:D,'All Products'!K:K,FALSE)</f>
        <v>049081157326</v>
      </c>
      <c r="R143" s="351" t="str">
        <f>_xlfn.XLOOKUP(E143,'All Products'!D:D,'All Products'!L:L,FALSE)</f>
        <v>-</v>
      </c>
      <c r="S143" s="351" t="str">
        <f>_xlfn.XLOOKUP(E143,'All Products'!D:D,'All Products'!M:M,FALSE)</f>
        <v>40049081157324</v>
      </c>
      <c r="T143" s="348">
        <f>_xlfn.XLOOKUP(E143,'All Products'!D:D,'All Products'!N:N,FALSE)</f>
        <v>0.90800000000000003</v>
      </c>
      <c r="U143" s="351" t="str">
        <f>_xlfn.XLOOKUP(E143,'All Products'!D:D,'All Products'!O:O,FALSE)</f>
        <v>-</v>
      </c>
      <c r="V143" s="348">
        <f>_xlfn.XLOOKUP(E143,'All Products'!D:D,'All Products'!P:P,FALSE)</f>
        <v>9.9600000000000009</v>
      </c>
      <c r="W143" s="348">
        <f>_xlfn.XLOOKUP(E143,'All Products'!D:D,'All Products'!Q:Q,FALSE)</f>
        <v>0.65</v>
      </c>
    </row>
    <row r="144" spans="1:23">
      <c r="A144" s="104" t="str">
        <f>IF(K144&gt;0,COUNT($A$7:A143)+COUNT('DWV PVC'!$A$8:$A$284)
+COUNT('DWV ABS'!$A$8:$A$116)
+COUNT('PVC SCH40'!$A$8:$A$375)
+COUNT('PVC SCH40 LD'!$A$8:$A$21)
+COUNT('Pool &amp; SPA Sweep Elbows'!$A$8:$A$11)
+COUNT('Pool &amp; SPA Pipe Extender'!$A$8:$A$10)+1,"")</f>
        <v/>
      </c>
      <c r="B144" s="579"/>
      <c r="C144" s="580"/>
      <c r="D144" s="155" t="str">
        <f>_xlfn.XLOOKUP(E144,'All Products'!D:D,'All Products'!C:C,FALSE)</f>
        <v>837-421</v>
      </c>
      <c r="E144" s="106">
        <v>100023649</v>
      </c>
      <c r="F144" s="559" t="str">
        <f>_xlfn.XLOOKUP(E144,'All Products'!D:D,'All Products'!E:E,FALSE)</f>
        <v>4X2-1/2 RED BUSHING SPGXS SCH80</v>
      </c>
      <c r="G144" s="283">
        <f>_xlfn.XLOOKUP(E144,'All Products'!D:D,'All Products'!F:F,FALSE)</f>
        <v>10</v>
      </c>
      <c r="H144" s="234">
        <f>_xlfn.XLOOKUP(E144,'All Products'!D:D,'All Products'!G:G,FALSE)</f>
        <v>1500</v>
      </c>
      <c r="I144" s="561">
        <f>_xlfn.XLOOKUP(E144,'All Products'!D:D,'All Products'!H:H,FALSE)</f>
        <v>160.71</v>
      </c>
      <c r="J144" s="135">
        <f>ROUND(I144*Order_Quote!$L$8,2)</f>
        <v>803.55</v>
      </c>
      <c r="K144" s="78"/>
      <c r="L144" s="116"/>
      <c r="M144" s="199">
        <f t="shared" si="4"/>
        <v>0</v>
      </c>
      <c r="O144" s="348" t="str">
        <f>_xlfn.XLOOKUP(E144,'All Products'!D:D,'All Products'!I:I,FALSE)</f>
        <v>In Stock</v>
      </c>
      <c r="P144" s="348" t="str">
        <f>_xlfn.XLOOKUP(E144,'All Products'!D:D,'All Products'!J:J,FALSE)</f>
        <v>Manufactured</v>
      </c>
      <c r="Q144" s="348" t="str">
        <f>_xlfn.XLOOKUP(E144,'All Products'!D:D,'All Products'!K:K,FALSE)</f>
        <v>049081157302</v>
      </c>
      <c r="R144" s="351" t="str">
        <f>_xlfn.XLOOKUP(E144,'All Products'!D:D,'All Products'!L:L,FALSE)</f>
        <v>-</v>
      </c>
      <c r="S144" s="351" t="str">
        <f>_xlfn.XLOOKUP(E144,'All Products'!D:D,'All Products'!M:M,FALSE)</f>
        <v>40049081157300</v>
      </c>
      <c r="T144" s="348">
        <f>_xlfn.XLOOKUP(E144,'All Products'!D:D,'All Products'!N:N,FALSE)</f>
        <v>1.075</v>
      </c>
      <c r="U144" s="351" t="str">
        <f>_xlfn.XLOOKUP(E144,'All Products'!D:D,'All Products'!O:O,FALSE)</f>
        <v>-</v>
      </c>
      <c r="V144" s="348">
        <f>_xlfn.XLOOKUP(E144,'All Products'!D:D,'All Products'!P:P,FALSE)</f>
        <v>10.94</v>
      </c>
      <c r="W144" s="348">
        <f>_xlfn.XLOOKUP(E144,'All Products'!D:D,'All Products'!Q:Q,FALSE)</f>
        <v>0.5</v>
      </c>
    </row>
    <row r="145" spans="1:23">
      <c r="A145" s="104" t="str">
        <f>IF(K145&gt;0,COUNT($A$7:A144)+COUNT('DWV PVC'!$A$8:$A$284)
+COUNT('DWV ABS'!$A$8:$A$116)
+COUNT('PVC SCH40'!$A$8:$A$375)
+COUNT('PVC SCH40 LD'!$A$8:$A$21)
+COUNT('Pool &amp; SPA Sweep Elbows'!$A$8:$A$11)
+COUNT('Pool &amp; SPA Pipe Extender'!$A$8:$A$10)+1,"")</f>
        <v/>
      </c>
      <c r="B145" s="579"/>
      <c r="C145" s="580"/>
      <c r="D145" s="155" t="str">
        <f>_xlfn.XLOOKUP(E145,'All Products'!D:D,'All Products'!C:C,FALSE)</f>
        <v>837-422</v>
      </c>
      <c r="E145" s="106">
        <v>100023650</v>
      </c>
      <c r="F145" s="559" t="str">
        <f>_xlfn.XLOOKUP(E145,'All Products'!D:D,'All Products'!E:E,FALSE)</f>
        <v>4X3 RED BUSHING SPGXS SCH80</v>
      </c>
      <c r="G145" s="283">
        <f>_xlfn.XLOOKUP(E145,'All Products'!D:D,'All Products'!F:F,FALSE)</f>
        <v>10</v>
      </c>
      <c r="H145" s="234">
        <f>_xlfn.XLOOKUP(E145,'All Products'!D:D,'All Products'!G:G,FALSE)</f>
        <v>1500</v>
      </c>
      <c r="I145" s="561">
        <f>_xlfn.XLOOKUP(E145,'All Products'!D:D,'All Products'!H:H,FALSE)</f>
        <v>160.71</v>
      </c>
      <c r="J145" s="135">
        <f>ROUND(I145*Order_Quote!$L$8,2)</f>
        <v>803.55</v>
      </c>
      <c r="K145" s="78"/>
      <c r="L145" s="116"/>
      <c r="M145" s="199">
        <f t="shared" si="4"/>
        <v>0</v>
      </c>
      <c r="O145" s="348" t="str">
        <f>_xlfn.XLOOKUP(E145,'All Products'!D:D,'All Products'!I:I,FALSE)</f>
        <v>In Stock</v>
      </c>
      <c r="P145" s="348" t="str">
        <f>_xlfn.XLOOKUP(E145,'All Products'!D:D,'All Products'!J:J,FALSE)</f>
        <v>Manufactured</v>
      </c>
      <c r="Q145" s="348" t="str">
        <f>_xlfn.XLOOKUP(E145,'All Products'!D:D,'All Products'!K:K,FALSE)</f>
        <v>049081157289</v>
      </c>
      <c r="R145" s="351" t="str">
        <f>_xlfn.XLOOKUP(E145,'All Products'!D:D,'All Products'!L:L,FALSE)</f>
        <v>-</v>
      </c>
      <c r="S145" s="351" t="str">
        <f>_xlfn.XLOOKUP(E145,'All Products'!D:D,'All Products'!M:M,FALSE)</f>
        <v>40049081157287</v>
      </c>
      <c r="T145" s="348">
        <f>_xlfn.XLOOKUP(E145,'All Products'!D:D,'All Products'!N:N,FALSE)</f>
        <v>0.83499999999999996</v>
      </c>
      <c r="U145" s="351" t="str">
        <f>_xlfn.XLOOKUP(E145,'All Products'!D:D,'All Products'!O:O,FALSE)</f>
        <v>-</v>
      </c>
      <c r="V145" s="348">
        <f>_xlfn.XLOOKUP(E145,'All Products'!D:D,'All Products'!P:P,FALSE)</f>
        <v>8.59</v>
      </c>
      <c r="W145" s="348">
        <f>_xlfn.XLOOKUP(E145,'All Products'!D:D,'All Products'!Q:Q,FALSE)</f>
        <v>0.5</v>
      </c>
    </row>
    <row r="146" spans="1:23">
      <c r="A146" s="104" t="str">
        <f>IF(K146&gt;0,COUNT($A$7:A145)+COUNT('DWV PVC'!$A$8:$A$284)
+COUNT('DWV ABS'!$A$8:$A$116)
+COUNT('PVC SCH40'!$A$8:$A$375)
+COUNT('PVC SCH40 LD'!$A$8:$A$21)
+COUNT('Pool &amp; SPA Sweep Elbows'!$A$8:$A$11)
+COUNT('Pool &amp; SPA Pipe Extender'!$A$8:$A$10)+1,"")</f>
        <v/>
      </c>
      <c r="B146" s="579"/>
      <c r="C146" s="580"/>
      <c r="D146" s="155" t="str">
        <f>_xlfn.XLOOKUP(E146,'All Products'!D:D,'All Products'!C:C,FALSE)</f>
        <v>837-532</v>
      </c>
      <c r="E146" s="106">
        <v>100023653</v>
      </c>
      <c r="F146" s="559" t="str">
        <f>_xlfn.XLOOKUP(E146,'All Products'!D:D,'All Products'!E:E,FALSE)</f>
        <v>6X4 RED BUSHING SPGXS SCH80</v>
      </c>
      <c r="G146" s="283">
        <f>_xlfn.XLOOKUP(E146,'All Products'!D:D,'All Products'!F:F,FALSE)</f>
        <v>4</v>
      </c>
      <c r="H146" s="234">
        <f>_xlfn.XLOOKUP(E146,'All Products'!D:D,'All Products'!G:G,FALSE)</f>
        <v>480</v>
      </c>
      <c r="I146" s="561">
        <f>_xlfn.XLOOKUP(E146,'All Products'!D:D,'All Products'!H:H,FALSE)</f>
        <v>223.4</v>
      </c>
      <c r="J146" s="135">
        <f>ROUND(I146*Order_Quote!$L$8,2)</f>
        <v>1117</v>
      </c>
      <c r="K146" s="78"/>
      <c r="L146" s="116"/>
      <c r="M146" s="199">
        <f t="shared" si="4"/>
        <v>0</v>
      </c>
      <c r="O146" s="348" t="str">
        <f>_xlfn.XLOOKUP(E146,'All Products'!D:D,'All Products'!I:I,FALSE)</f>
        <v>In Stock</v>
      </c>
      <c r="P146" s="348" t="str">
        <f>_xlfn.XLOOKUP(E146,'All Products'!D:D,'All Products'!J:J,FALSE)</f>
        <v>Manufactured</v>
      </c>
      <c r="Q146" s="348" t="str">
        <f>_xlfn.XLOOKUP(E146,'All Products'!D:D,'All Products'!K:K,FALSE)</f>
        <v>049081157487</v>
      </c>
      <c r="R146" s="351" t="str">
        <f>_xlfn.XLOOKUP(E146,'All Products'!D:D,'All Products'!L:L,FALSE)</f>
        <v>-</v>
      </c>
      <c r="S146" s="351" t="str">
        <f>_xlfn.XLOOKUP(E146,'All Products'!D:D,'All Products'!M:M,FALSE)</f>
        <v>40049081157485</v>
      </c>
      <c r="T146" s="348">
        <f>_xlfn.XLOOKUP(E146,'All Products'!D:D,'All Products'!N:N,FALSE)</f>
        <v>1.913</v>
      </c>
      <c r="U146" s="351" t="str">
        <f>_xlfn.XLOOKUP(E146,'All Products'!D:D,'All Products'!O:O,FALSE)</f>
        <v>-</v>
      </c>
      <c r="V146" s="348">
        <f>_xlfn.XLOOKUP(E146,'All Products'!D:D,'All Products'!P:P,FALSE)</f>
        <v>11.37</v>
      </c>
      <c r="W146" s="348">
        <f>_xlfn.XLOOKUP(E146,'All Products'!D:D,'All Products'!Q:Q,FALSE)</f>
        <v>0.65</v>
      </c>
    </row>
    <row r="147" spans="1:23">
      <c r="A147" s="104" t="str">
        <f>IF(K147&gt;0,COUNT($A$7:A146)+COUNT('DWV PVC'!$A$8:$A$284)
+COUNT('DWV ABS'!$A$8:$A$116)
+COUNT('PVC SCH40'!$A$8:$A$375)
+COUNT('PVC SCH40 LD'!$A$8:$A$21)
+COUNT('Pool &amp; SPA Sweep Elbows'!$A$8:$A$11)
+COUNT('Pool &amp; SPA Pipe Extender'!$A$8:$A$10)+1,"")</f>
        <v/>
      </c>
      <c r="B147" s="577"/>
      <c r="C147" s="578"/>
      <c r="D147" s="155" t="str">
        <f>_xlfn.XLOOKUP(E147,'All Products'!D:D,'All Products'!C:C,FALSE)</f>
        <v>838-052</v>
      </c>
      <c r="E147" s="106">
        <v>100028164</v>
      </c>
      <c r="F147" s="559" t="str">
        <f>_xlfn.XLOOKUP(E147,'All Products'!D:D,'All Products'!E:E,FALSE)</f>
        <v>3/8X1/4 RED BUSHING SPGXFIPT SCH80</v>
      </c>
      <c r="G147" s="283">
        <f>_xlfn.XLOOKUP(E147,'All Products'!D:D,'All Products'!F:F,FALSE)</f>
        <v>500</v>
      </c>
      <c r="H147" s="234">
        <f>_xlfn.XLOOKUP(E147,'All Products'!D:D,'All Products'!G:G,FALSE)</f>
        <v>0</v>
      </c>
      <c r="I147" s="561">
        <f>_xlfn.XLOOKUP(E147,'All Products'!D:D,'All Products'!H:H,FALSE)</f>
        <v>13.23</v>
      </c>
      <c r="J147" s="135">
        <f>ROUND(I147*Order_Quote!$L$8,2)</f>
        <v>66.150000000000006</v>
      </c>
      <c r="K147" s="78"/>
      <c r="L147" s="116"/>
      <c r="M147" s="199">
        <f t="shared" si="4"/>
        <v>0</v>
      </c>
      <c r="O147" s="348" t="str">
        <f>_xlfn.XLOOKUP(E147,'All Products'!D:D,'All Products'!I:I,FALSE)</f>
        <v>Within 3 Weeks</v>
      </c>
      <c r="P147" s="348" t="str">
        <f>_xlfn.XLOOKUP(E147,'All Products'!D:D,'All Products'!J:J,FALSE)</f>
        <v>Manufactured</v>
      </c>
      <c r="Q147" s="348" t="str">
        <f>_xlfn.XLOOKUP(E147,'All Products'!D:D,'All Products'!K:K,FALSE)</f>
        <v>049081157722</v>
      </c>
      <c r="R147" s="351" t="str">
        <f>_xlfn.XLOOKUP(E147,'All Products'!D:D,'All Products'!L:L,FALSE)</f>
        <v>-</v>
      </c>
      <c r="S147" s="351" t="str">
        <f>_xlfn.XLOOKUP(E147,'All Products'!D:D,'All Products'!M:M,FALSE)</f>
        <v>40049081157720</v>
      </c>
      <c r="T147" s="348">
        <f>_xlfn.XLOOKUP(E147,'All Products'!D:D,'All Products'!N:N,FALSE)</f>
        <v>1.0999999999999999E-2</v>
      </c>
      <c r="U147" s="351" t="str">
        <f>_xlfn.XLOOKUP(E147,'All Products'!D:D,'All Products'!O:O,FALSE)</f>
        <v>-</v>
      </c>
      <c r="V147" s="348">
        <f>_xlfn.XLOOKUP(E147,'All Products'!D:D,'All Products'!P:P,FALSE)</f>
        <v>5.5</v>
      </c>
      <c r="W147" s="348" t="str">
        <f>_xlfn.XLOOKUP(E147,'All Products'!D:D,'All Products'!Q:Q,FALSE)</f>
        <v>-</v>
      </c>
    </row>
    <row r="148" spans="1:23">
      <c r="A148" s="104" t="str">
        <f>IF(K148&gt;0,COUNT($A$7:A147)+COUNT('DWV PVC'!$A$8:$A$284)
+COUNT('DWV ABS'!$A$8:$A$116)
+COUNT('PVC SCH40'!$A$8:$A$375)
+COUNT('PVC SCH40 LD'!$A$8:$A$21)
+COUNT('Pool &amp; SPA Sweep Elbows'!$A$8:$A$11)
+COUNT('Pool &amp; SPA Pipe Extender'!$A$8:$A$10)+1,"")</f>
        <v/>
      </c>
      <c r="B148" s="579"/>
      <c r="C148" s="580"/>
      <c r="D148" s="155" t="str">
        <f>_xlfn.XLOOKUP(E148,'All Products'!D:D,'All Products'!C:C,FALSE)</f>
        <v>838-072</v>
      </c>
      <c r="E148" s="106">
        <v>100023654</v>
      </c>
      <c r="F148" s="559" t="str">
        <f>_xlfn.XLOOKUP(E148,'All Products'!D:D,'All Products'!E:E,FALSE)</f>
        <v>1/2X1/4 RED BUSHING SPGXFIPT SCH80</v>
      </c>
      <c r="G148" s="283">
        <f>_xlfn.XLOOKUP(E148,'All Products'!D:D,'All Products'!F:F,FALSE)</f>
        <v>500</v>
      </c>
      <c r="H148" s="234">
        <f>_xlfn.XLOOKUP(E148,'All Products'!D:D,'All Products'!G:G,FALSE)</f>
        <v>60000</v>
      </c>
      <c r="I148" s="561">
        <f>_xlfn.XLOOKUP(E148,'All Products'!D:D,'All Products'!H:H,FALSE)</f>
        <v>13.23</v>
      </c>
      <c r="J148" s="135">
        <f>ROUND(I148*Order_Quote!$L$8,2)</f>
        <v>66.150000000000006</v>
      </c>
      <c r="K148" s="78"/>
      <c r="L148" s="116"/>
      <c r="M148" s="199">
        <f t="shared" si="4"/>
        <v>0</v>
      </c>
      <c r="O148" s="348" t="str">
        <f>_xlfn.XLOOKUP(E148,'All Products'!D:D,'All Products'!I:I,FALSE)</f>
        <v>In Stock</v>
      </c>
      <c r="P148" s="348" t="str">
        <f>_xlfn.XLOOKUP(E148,'All Products'!D:D,'All Products'!J:J,FALSE)</f>
        <v>Manufactured</v>
      </c>
      <c r="Q148" s="348" t="str">
        <f>_xlfn.XLOOKUP(E148,'All Products'!D:D,'All Products'!K:K,FALSE)</f>
        <v>049081157760</v>
      </c>
      <c r="R148" s="351" t="str">
        <f>_xlfn.XLOOKUP(E148,'All Products'!D:D,'All Products'!L:L,FALSE)</f>
        <v>049081657765</v>
      </c>
      <c r="S148" s="351" t="str">
        <f>_xlfn.XLOOKUP(E148,'All Products'!D:D,'All Products'!M:M,FALSE)</f>
        <v>40049081157768</v>
      </c>
      <c r="T148" s="348">
        <f>_xlfn.XLOOKUP(E148,'All Products'!D:D,'All Products'!N:N,FALSE)</f>
        <v>0.02</v>
      </c>
      <c r="U148" s="351">
        <f>_xlfn.XLOOKUP(E148,'All Products'!D:D,'All Products'!O:O,FALSE)</f>
        <v>10</v>
      </c>
      <c r="V148" s="348">
        <f>_xlfn.XLOOKUP(E148,'All Products'!D:D,'All Products'!P:P,FALSE)</f>
        <v>11.46</v>
      </c>
      <c r="W148" s="348">
        <f>_xlfn.XLOOKUP(E148,'All Products'!D:D,'All Products'!Q:Q,FALSE)</f>
        <v>0.65</v>
      </c>
    </row>
    <row r="149" spans="1:23">
      <c r="A149" s="104" t="str">
        <f>IF(K149&gt;0,COUNT($A$7:A148)+COUNT('DWV PVC'!$A$8:$A$284)
+COUNT('DWV ABS'!$A$8:$A$116)
+COUNT('PVC SCH40'!$A$8:$A$375)
+COUNT('PVC SCH40 LD'!$A$8:$A$21)
+COUNT('Pool &amp; SPA Sweep Elbows'!$A$8:$A$11)
+COUNT('Pool &amp; SPA Pipe Extender'!$A$8:$A$10)+1,"")</f>
        <v/>
      </c>
      <c r="B149" s="579"/>
      <c r="C149" s="580"/>
      <c r="D149" s="155" t="str">
        <f>_xlfn.XLOOKUP(E149,'All Products'!D:D,'All Products'!C:C,FALSE)</f>
        <v>838-073</v>
      </c>
      <c r="E149" s="106">
        <v>100023655</v>
      </c>
      <c r="F149" s="559" t="str">
        <f>_xlfn.XLOOKUP(E149,'All Products'!D:D,'All Products'!E:E,FALSE)</f>
        <v>1/2X3/8 RED BUSHING SPGXFIPT SCH80</v>
      </c>
      <c r="G149" s="283">
        <f>_xlfn.XLOOKUP(E149,'All Products'!D:D,'All Products'!F:F,FALSE)</f>
        <v>500</v>
      </c>
      <c r="H149" s="234">
        <f>_xlfn.XLOOKUP(E149,'All Products'!D:D,'All Products'!G:G,FALSE)</f>
        <v>75000</v>
      </c>
      <c r="I149" s="561">
        <f>_xlfn.XLOOKUP(E149,'All Products'!D:D,'All Products'!H:H,FALSE)</f>
        <v>13.23</v>
      </c>
      <c r="J149" s="135">
        <f>ROUND(I149*Order_Quote!$L$8,2)</f>
        <v>66.150000000000006</v>
      </c>
      <c r="K149" s="78"/>
      <c r="L149" s="116"/>
      <c r="M149" s="199">
        <f t="shared" si="4"/>
        <v>0</v>
      </c>
      <c r="O149" s="348" t="str">
        <f>_xlfn.XLOOKUP(E149,'All Products'!D:D,'All Products'!I:I,FALSE)</f>
        <v>Within 3 Weeks</v>
      </c>
      <c r="P149" s="348" t="str">
        <f>_xlfn.XLOOKUP(E149,'All Products'!D:D,'All Products'!J:J,FALSE)</f>
        <v>Manufactured</v>
      </c>
      <c r="Q149" s="348" t="str">
        <f>_xlfn.XLOOKUP(E149,'All Products'!D:D,'All Products'!K:K,FALSE)</f>
        <v>049081157746</v>
      </c>
      <c r="R149" s="351" t="str">
        <f>_xlfn.XLOOKUP(E149,'All Products'!D:D,'All Products'!L:L,FALSE)</f>
        <v>049081657741</v>
      </c>
      <c r="S149" s="351" t="str">
        <f>_xlfn.XLOOKUP(E149,'All Products'!D:D,'All Products'!M:M,FALSE)</f>
        <v>40049081157744</v>
      </c>
      <c r="T149" s="348">
        <f>_xlfn.XLOOKUP(E149,'All Products'!D:D,'All Products'!N:N,FALSE)</f>
        <v>8.9999999999999993E-3</v>
      </c>
      <c r="U149" s="351">
        <f>_xlfn.XLOOKUP(E149,'All Products'!D:D,'All Products'!O:O,FALSE)</f>
        <v>10</v>
      </c>
      <c r="V149" s="348">
        <f>_xlfn.XLOOKUP(E149,'All Products'!D:D,'All Products'!P:P,FALSE)</f>
        <v>4.68</v>
      </c>
      <c r="W149" s="348">
        <f>_xlfn.XLOOKUP(E149,'All Products'!D:D,'All Products'!Q:Q,FALSE)</f>
        <v>0.5</v>
      </c>
    </row>
    <row r="150" spans="1:23">
      <c r="A150" s="104" t="str">
        <f>IF(K150&gt;0,COUNT($A$7:A149)+COUNT('DWV PVC'!$A$8:$A$284)
+COUNT('DWV ABS'!$A$8:$A$116)
+COUNT('PVC SCH40'!$A$8:$A$375)
+COUNT('PVC SCH40 LD'!$A$8:$A$21)
+COUNT('Pool &amp; SPA Sweep Elbows'!$A$8:$A$11)
+COUNT('Pool &amp; SPA Pipe Extender'!$A$8:$A$10)+1,"")</f>
        <v/>
      </c>
      <c r="B150" s="579"/>
      <c r="C150" s="580"/>
      <c r="D150" s="155" t="str">
        <f>_xlfn.XLOOKUP(E150,'All Products'!D:D,'All Products'!C:C,FALSE)</f>
        <v>838-098</v>
      </c>
      <c r="E150" s="106">
        <v>100023656</v>
      </c>
      <c r="F150" s="559" t="str">
        <f>_xlfn.XLOOKUP(E150,'All Products'!D:D,'All Products'!E:E,FALSE)</f>
        <v>3/4X1/4 RED BUSHING SPGXFIPT SCH80</v>
      </c>
      <c r="G150" s="283">
        <f>_xlfn.XLOOKUP(E150,'All Products'!D:D,'All Products'!F:F,FALSE)</f>
        <v>250</v>
      </c>
      <c r="H150" s="234">
        <f>_xlfn.XLOOKUP(E150,'All Products'!D:D,'All Products'!G:G,FALSE)</f>
        <v>37500</v>
      </c>
      <c r="I150" s="561">
        <f>_xlfn.XLOOKUP(E150,'All Products'!D:D,'All Products'!H:H,FALSE)</f>
        <v>8.7200000000000006</v>
      </c>
      <c r="J150" s="135">
        <f>ROUND(I150*Order_Quote!$L$8,2)</f>
        <v>43.6</v>
      </c>
      <c r="K150" s="78"/>
      <c r="L150" s="116"/>
      <c r="M150" s="199">
        <f t="shared" si="4"/>
        <v>0</v>
      </c>
      <c r="O150" s="348" t="str">
        <f>_xlfn.XLOOKUP(E150,'All Products'!D:D,'All Products'!I:I,FALSE)</f>
        <v>Within 3 Weeks</v>
      </c>
      <c r="P150" s="348" t="str">
        <f>_xlfn.XLOOKUP(E150,'All Products'!D:D,'All Products'!J:J,FALSE)</f>
        <v>Manufactured</v>
      </c>
      <c r="Q150" s="348" t="str">
        <f>_xlfn.XLOOKUP(E150,'All Products'!D:D,'All Products'!K:K,FALSE)</f>
        <v>049081157845</v>
      </c>
      <c r="R150" s="351" t="str">
        <f>_xlfn.XLOOKUP(E150,'All Products'!D:D,'All Products'!L:L,FALSE)</f>
        <v>049081657840</v>
      </c>
      <c r="S150" s="351" t="str">
        <f>_xlfn.XLOOKUP(E150,'All Products'!D:D,'All Products'!M:M,FALSE)</f>
        <v>40049081157843</v>
      </c>
      <c r="T150" s="348">
        <f>_xlfn.XLOOKUP(E150,'All Products'!D:D,'All Products'!N:N,FALSE)</f>
        <v>3.5999999999999997E-2</v>
      </c>
      <c r="U150" s="351">
        <f>_xlfn.XLOOKUP(E150,'All Products'!D:D,'All Products'!O:O,FALSE)</f>
        <v>10</v>
      </c>
      <c r="V150" s="348">
        <f>_xlfn.XLOOKUP(E150,'All Products'!D:D,'All Products'!P:P,FALSE)</f>
        <v>11.34</v>
      </c>
      <c r="W150" s="348">
        <f>_xlfn.XLOOKUP(E150,'All Products'!D:D,'All Products'!Q:Q,FALSE)</f>
        <v>0.5</v>
      </c>
    </row>
    <row r="151" spans="1:23">
      <c r="A151" s="104" t="str">
        <f>IF(K151&gt;0,COUNT($A$7:A150)+COUNT('DWV PVC'!$A$8:$A$284)
+COUNT('DWV ABS'!$A$8:$A$116)
+COUNT('PVC SCH40'!$A$8:$A$375)
+COUNT('PVC SCH40 LD'!$A$8:$A$21)
+COUNT('Pool &amp; SPA Sweep Elbows'!$A$8:$A$11)
+COUNT('Pool &amp; SPA Pipe Extender'!$A$8:$A$10)+1,"")</f>
        <v/>
      </c>
      <c r="B151" s="579"/>
      <c r="C151" s="580"/>
      <c r="D151" s="155" t="str">
        <f>_xlfn.XLOOKUP(E151,'All Products'!D:D,'All Products'!C:C,FALSE)</f>
        <v>838-101</v>
      </c>
      <c r="E151" s="106">
        <v>100023658</v>
      </c>
      <c r="F151" s="559" t="str">
        <f>_xlfn.XLOOKUP(E151,'All Products'!D:D,'All Products'!E:E,FALSE)</f>
        <v>3/4X1/2 RED BUSHING SPGXFIPT SCH80</v>
      </c>
      <c r="G151" s="283">
        <f>_xlfn.XLOOKUP(E151,'All Products'!D:D,'All Products'!F:F,FALSE)</f>
        <v>250</v>
      </c>
      <c r="H151" s="234">
        <f>_xlfn.XLOOKUP(E151,'All Products'!D:D,'All Products'!G:G,FALSE)</f>
        <v>37500</v>
      </c>
      <c r="I151" s="561">
        <f>_xlfn.XLOOKUP(E151,'All Products'!D:D,'All Products'!H:H,FALSE)</f>
        <v>8.7200000000000006</v>
      </c>
      <c r="J151" s="135">
        <f>ROUND(I151*Order_Quote!$L$8,2)</f>
        <v>43.6</v>
      </c>
      <c r="K151" s="78"/>
      <c r="L151" s="116"/>
      <c r="M151" s="199">
        <f t="shared" si="4"/>
        <v>0</v>
      </c>
      <c r="O151" s="348" t="str">
        <f>_xlfn.XLOOKUP(E151,'All Products'!D:D,'All Products'!I:I,FALSE)</f>
        <v>In Stock</v>
      </c>
      <c r="P151" s="348" t="str">
        <f>_xlfn.XLOOKUP(E151,'All Products'!D:D,'All Products'!J:J,FALSE)</f>
        <v>Manufactured</v>
      </c>
      <c r="Q151" s="348" t="str">
        <f>_xlfn.XLOOKUP(E151,'All Products'!D:D,'All Products'!K:K,FALSE)</f>
        <v>049081157807</v>
      </c>
      <c r="R151" s="351" t="str">
        <f>_xlfn.XLOOKUP(E151,'All Products'!D:D,'All Products'!L:L,FALSE)</f>
        <v>049081657802</v>
      </c>
      <c r="S151" s="351" t="str">
        <f>_xlfn.XLOOKUP(E151,'All Products'!D:D,'All Products'!M:M,FALSE)</f>
        <v>40049081157805</v>
      </c>
      <c r="T151" s="348">
        <f>_xlfn.XLOOKUP(E151,'All Products'!D:D,'All Products'!N:N,FALSE)</f>
        <v>2.8000000000000001E-2</v>
      </c>
      <c r="U151" s="351">
        <f>_xlfn.XLOOKUP(E151,'All Products'!D:D,'All Products'!O:O,FALSE)</f>
        <v>10</v>
      </c>
      <c r="V151" s="348">
        <f>_xlfn.XLOOKUP(E151,'All Products'!D:D,'All Products'!P:P,FALSE)</f>
        <v>7.98</v>
      </c>
      <c r="W151" s="348">
        <f>_xlfn.XLOOKUP(E151,'All Products'!D:D,'All Products'!Q:Q,FALSE)</f>
        <v>0.5</v>
      </c>
    </row>
    <row r="152" spans="1:23">
      <c r="A152" s="104" t="str">
        <f>IF(K152&gt;0,COUNT($A$7:A151)+COUNT('DWV PVC'!$A$8:$A$284)
+COUNT('DWV ABS'!$A$8:$A$116)
+COUNT('PVC SCH40'!$A$8:$A$375)
+COUNT('PVC SCH40 LD'!$A$8:$A$21)
+COUNT('Pool &amp; SPA Sweep Elbows'!$A$8:$A$11)
+COUNT('Pool &amp; SPA Pipe Extender'!$A$8:$A$10)+1,"")</f>
        <v/>
      </c>
      <c r="B152" s="579"/>
      <c r="C152" s="580"/>
      <c r="D152" s="155" t="str">
        <f>_xlfn.XLOOKUP(E152,'All Products'!D:D,'All Products'!C:C,FALSE)</f>
        <v>838-129</v>
      </c>
      <c r="E152" s="106">
        <v>100023660</v>
      </c>
      <c r="F152" s="559" t="str">
        <f>_xlfn.XLOOKUP(E152,'All Products'!D:D,'All Products'!E:E,FALSE)</f>
        <v>1X3/8 RED BUSHING SPGXFIPT SCH80</v>
      </c>
      <c r="G152" s="283">
        <f>_xlfn.XLOOKUP(E152,'All Products'!D:D,'All Products'!F:F,FALSE)</f>
        <v>250</v>
      </c>
      <c r="H152" s="234">
        <f>_xlfn.XLOOKUP(E152,'All Products'!D:D,'All Products'!G:G,FALSE)</f>
        <v>37500</v>
      </c>
      <c r="I152" s="561">
        <f>_xlfn.XLOOKUP(E152,'All Products'!D:D,'All Products'!H:H,FALSE)</f>
        <v>13.89</v>
      </c>
      <c r="J152" s="135">
        <f>ROUND(I152*Order_Quote!$L$8,2)</f>
        <v>69.45</v>
      </c>
      <c r="K152" s="78"/>
      <c r="L152" s="116"/>
      <c r="M152" s="199">
        <f t="shared" si="4"/>
        <v>0</v>
      </c>
      <c r="O152" s="348" t="str">
        <f>_xlfn.XLOOKUP(E152,'All Products'!D:D,'All Products'!I:I,FALSE)</f>
        <v>Within 3 Weeks</v>
      </c>
      <c r="P152" s="348" t="str">
        <f>_xlfn.XLOOKUP(E152,'All Products'!D:D,'All Products'!J:J,FALSE)</f>
        <v>Manufactured</v>
      </c>
      <c r="Q152" s="348" t="str">
        <f>_xlfn.XLOOKUP(E152,'All Products'!D:D,'All Products'!K:K,FALSE)</f>
        <v>049081157906</v>
      </c>
      <c r="R152" s="351" t="str">
        <f>_xlfn.XLOOKUP(E152,'All Products'!D:D,'All Products'!L:L,FALSE)</f>
        <v>049081657901</v>
      </c>
      <c r="S152" s="351" t="str">
        <f>_xlfn.XLOOKUP(E152,'All Products'!D:D,'All Products'!M:M,FALSE)</f>
        <v>40049081157904</v>
      </c>
      <c r="T152" s="348">
        <f>_xlfn.XLOOKUP(E152,'All Products'!D:D,'All Products'!N:N,FALSE)</f>
        <v>0.05</v>
      </c>
      <c r="U152" s="351">
        <f>_xlfn.XLOOKUP(E152,'All Products'!D:D,'All Products'!O:O,FALSE)</f>
        <v>10</v>
      </c>
      <c r="V152" s="348">
        <f>_xlfn.XLOOKUP(E152,'All Products'!D:D,'All Products'!P:P,FALSE)</f>
        <v>17.3</v>
      </c>
      <c r="W152" s="348">
        <f>_xlfn.XLOOKUP(E152,'All Products'!D:D,'All Products'!Q:Q,FALSE)</f>
        <v>0.5</v>
      </c>
    </row>
    <row r="153" spans="1:23">
      <c r="A153" s="104" t="str">
        <f>IF(K153&gt;0,COUNT($A$7:A152)+COUNT('DWV PVC'!$A$8:$A$284)
+COUNT('DWV ABS'!$A$8:$A$116)
+COUNT('PVC SCH40'!$A$8:$A$375)
+COUNT('PVC SCH40 LD'!$A$8:$A$21)
+COUNT('Pool &amp; SPA Sweep Elbows'!$A$8:$A$11)
+COUNT('Pool &amp; SPA Pipe Extender'!$A$8:$A$10)+1,"")</f>
        <v/>
      </c>
      <c r="B153" s="579"/>
      <c r="C153" s="580"/>
      <c r="D153" s="155" t="str">
        <f>_xlfn.XLOOKUP(E153,'All Products'!D:D,'All Products'!C:C,FALSE)</f>
        <v>838-130</v>
      </c>
      <c r="E153" s="106">
        <v>100023661</v>
      </c>
      <c r="F153" s="559" t="str">
        <f>_xlfn.XLOOKUP(E153,'All Products'!D:D,'All Products'!E:E,FALSE)</f>
        <v>1X1/2 RED BUSHING SPGXFIPT SCH80</v>
      </c>
      <c r="G153" s="283">
        <f>_xlfn.XLOOKUP(E153,'All Products'!D:D,'All Products'!F:F,FALSE)</f>
        <v>250</v>
      </c>
      <c r="H153" s="234">
        <f>_xlfn.XLOOKUP(E153,'All Products'!D:D,'All Products'!G:G,FALSE)</f>
        <v>30000</v>
      </c>
      <c r="I153" s="561">
        <f>_xlfn.XLOOKUP(E153,'All Products'!D:D,'All Products'!H:H,FALSE)</f>
        <v>13.89</v>
      </c>
      <c r="J153" s="135">
        <f>ROUND(I153*Order_Quote!$L$8,2)</f>
        <v>69.45</v>
      </c>
      <c r="K153" s="78"/>
      <c r="L153" s="116"/>
      <c r="M153" s="199">
        <f t="shared" si="4"/>
        <v>0</v>
      </c>
      <c r="O153" s="348" t="str">
        <f>_xlfn.XLOOKUP(E153,'All Products'!D:D,'All Products'!I:I,FALSE)</f>
        <v>Within 3 Weeks</v>
      </c>
      <c r="P153" s="348" t="str">
        <f>_xlfn.XLOOKUP(E153,'All Products'!D:D,'All Products'!J:J,FALSE)</f>
        <v>Manufactured</v>
      </c>
      <c r="Q153" s="348" t="str">
        <f>_xlfn.XLOOKUP(E153,'All Products'!D:D,'All Products'!K:K,FALSE)</f>
        <v>049081157883</v>
      </c>
      <c r="R153" s="351" t="str">
        <f>_xlfn.XLOOKUP(E153,'All Products'!D:D,'All Products'!L:L,FALSE)</f>
        <v>049081657888</v>
      </c>
      <c r="S153" s="351" t="str">
        <f>_xlfn.XLOOKUP(E153,'All Products'!D:D,'All Products'!M:M,FALSE)</f>
        <v>40049081157881</v>
      </c>
      <c r="T153" s="348">
        <f>_xlfn.XLOOKUP(E153,'All Products'!D:D,'All Products'!N:N,FALSE)</f>
        <v>0.05</v>
      </c>
      <c r="U153" s="351">
        <f>_xlfn.XLOOKUP(E153,'All Products'!D:D,'All Products'!O:O,FALSE)</f>
        <v>10</v>
      </c>
      <c r="V153" s="348">
        <f>_xlfn.XLOOKUP(E153,'All Products'!D:D,'All Products'!P:P,FALSE)</f>
        <v>15.43</v>
      </c>
      <c r="W153" s="348">
        <f>_xlfn.XLOOKUP(E153,'All Products'!D:D,'All Products'!Q:Q,FALSE)</f>
        <v>0.65</v>
      </c>
    </row>
    <row r="154" spans="1:23">
      <c r="A154" s="104" t="str">
        <f>IF(K154&gt;0,COUNT($A$7:A153)+COUNT('DWV PVC'!$A$8:$A$284)
+COUNT('DWV ABS'!$A$8:$A$116)
+COUNT('PVC SCH40'!$A$8:$A$375)
+COUNT('PVC SCH40 LD'!$A$8:$A$21)
+COUNT('Pool &amp; SPA Sweep Elbows'!$A$8:$A$11)
+COUNT('Pool &amp; SPA Pipe Extender'!$A$8:$A$10)+1,"")</f>
        <v/>
      </c>
      <c r="B154" s="579"/>
      <c r="C154" s="580"/>
      <c r="D154" s="155" t="str">
        <f>_xlfn.XLOOKUP(E154,'All Products'!D:D,'All Products'!C:C,FALSE)</f>
        <v>838-131</v>
      </c>
      <c r="E154" s="106">
        <v>100023662</v>
      </c>
      <c r="F154" s="559" t="str">
        <f>_xlfn.XLOOKUP(E154,'All Products'!D:D,'All Products'!E:E,FALSE)</f>
        <v>1X3/4 RED BUSHING SPGXFIPT SCH80</v>
      </c>
      <c r="G154" s="283">
        <f>_xlfn.XLOOKUP(E154,'All Products'!D:D,'All Products'!F:F,FALSE)</f>
        <v>250</v>
      </c>
      <c r="H154" s="234">
        <f>_xlfn.XLOOKUP(E154,'All Products'!D:D,'All Products'!G:G,FALSE)</f>
        <v>30000</v>
      </c>
      <c r="I154" s="561">
        <f>_xlfn.XLOOKUP(E154,'All Products'!D:D,'All Products'!H:H,FALSE)</f>
        <v>13.89</v>
      </c>
      <c r="J154" s="135">
        <f>ROUND(I154*Order_Quote!$L$8,2)</f>
        <v>69.45</v>
      </c>
      <c r="K154" s="78"/>
      <c r="L154" s="116"/>
      <c r="M154" s="199">
        <f t="shared" si="4"/>
        <v>0</v>
      </c>
      <c r="O154" s="348" t="str">
        <f>_xlfn.XLOOKUP(E154,'All Products'!D:D,'All Products'!I:I,FALSE)</f>
        <v>In Stock</v>
      </c>
      <c r="P154" s="348" t="str">
        <f>_xlfn.XLOOKUP(E154,'All Products'!D:D,'All Products'!J:J,FALSE)</f>
        <v>Manufactured</v>
      </c>
      <c r="Q154" s="348" t="str">
        <f>_xlfn.XLOOKUP(E154,'All Products'!D:D,'All Products'!K:K,FALSE)</f>
        <v>049081157869</v>
      </c>
      <c r="R154" s="351" t="str">
        <f>_xlfn.XLOOKUP(E154,'All Products'!D:D,'All Products'!L:L,FALSE)</f>
        <v>049081657864</v>
      </c>
      <c r="S154" s="351" t="str">
        <f>_xlfn.XLOOKUP(E154,'All Products'!D:D,'All Products'!M:M,FALSE)</f>
        <v>40049081157867</v>
      </c>
      <c r="T154" s="348">
        <f>_xlfn.XLOOKUP(E154,'All Products'!D:D,'All Products'!N:N,FALSE)</f>
        <v>4.1000000000000002E-2</v>
      </c>
      <c r="U154" s="351">
        <f>_xlfn.XLOOKUP(E154,'All Products'!D:D,'All Products'!O:O,FALSE)</f>
        <v>10</v>
      </c>
      <c r="V154" s="348">
        <f>_xlfn.XLOOKUP(E154,'All Products'!D:D,'All Products'!P:P,FALSE)</f>
        <v>10.45</v>
      </c>
      <c r="W154" s="348">
        <f>_xlfn.XLOOKUP(E154,'All Products'!D:D,'All Products'!Q:Q,FALSE)</f>
        <v>0.65</v>
      </c>
    </row>
    <row r="155" spans="1:23">
      <c r="A155" s="104" t="str">
        <f>IF(K155&gt;0,COUNT($A$7:A154)+COUNT('DWV PVC'!$A$8:$A$284)
+COUNT('DWV ABS'!$A$8:$A$116)
+COUNT('PVC SCH40'!$A$8:$A$375)
+COUNT('PVC SCH40 LD'!$A$8:$A$21)
+COUNT('Pool &amp; SPA Sweep Elbows'!$A$8:$A$11)
+COUNT('Pool &amp; SPA Pipe Extender'!$A$8:$A$10)+1,"")</f>
        <v/>
      </c>
      <c r="B155" s="579"/>
      <c r="C155" s="580"/>
      <c r="D155" s="155" t="str">
        <f>_xlfn.XLOOKUP(E155,'All Products'!D:D,'All Products'!C:C,FALSE)</f>
        <v>838-166</v>
      </c>
      <c r="E155" s="106">
        <v>100023663</v>
      </c>
      <c r="F155" s="559" t="str">
        <f>_xlfn.XLOOKUP(E155,'All Products'!D:D,'All Products'!E:E,FALSE)</f>
        <v>1-1/4X1/2 RED BUSHING SPGXFPT SCH80</v>
      </c>
      <c r="G155" s="283">
        <f>_xlfn.XLOOKUP(E155,'All Products'!D:D,'All Products'!F:F,FALSE)</f>
        <v>100</v>
      </c>
      <c r="H155" s="234">
        <f>_xlfn.XLOOKUP(E155,'All Products'!D:D,'All Products'!G:G,FALSE)</f>
        <v>15000</v>
      </c>
      <c r="I155" s="561">
        <f>_xlfn.XLOOKUP(E155,'All Products'!D:D,'All Products'!H:H,FALSE)</f>
        <v>28.06</v>
      </c>
      <c r="J155" s="135">
        <f>ROUND(I155*Order_Quote!$L$8,2)</f>
        <v>140.30000000000001</v>
      </c>
      <c r="K155" s="78"/>
      <c r="L155" s="116"/>
      <c r="M155" s="199">
        <f t="shared" si="4"/>
        <v>0</v>
      </c>
      <c r="O155" s="348" t="str">
        <f>_xlfn.XLOOKUP(E155,'All Products'!D:D,'All Products'!I:I,FALSE)</f>
        <v>In Stock</v>
      </c>
      <c r="P155" s="348" t="str">
        <f>_xlfn.XLOOKUP(E155,'All Products'!D:D,'All Products'!J:J,FALSE)</f>
        <v>Manufactured</v>
      </c>
      <c r="Q155" s="348" t="str">
        <f>_xlfn.XLOOKUP(E155,'All Products'!D:D,'All Products'!K:K,FALSE)</f>
        <v>049081157968</v>
      </c>
      <c r="R155" s="351" t="str">
        <f>_xlfn.XLOOKUP(E155,'All Products'!D:D,'All Products'!L:L,FALSE)</f>
        <v>049081657963</v>
      </c>
      <c r="S155" s="351" t="str">
        <f>_xlfn.XLOOKUP(E155,'All Products'!D:D,'All Products'!M:M,FALSE)</f>
        <v>40049081157966</v>
      </c>
      <c r="T155" s="348">
        <f>_xlfn.XLOOKUP(E155,'All Products'!D:D,'All Products'!N:N,FALSE)</f>
        <v>9.2999999999999999E-2</v>
      </c>
      <c r="U155" s="351">
        <f>_xlfn.XLOOKUP(E155,'All Products'!D:D,'All Products'!O:O,FALSE)</f>
        <v>10</v>
      </c>
      <c r="V155" s="348">
        <f>_xlfn.XLOOKUP(E155,'All Products'!D:D,'All Products'!P:P,FALSE)</f>
        <v>9.32</v>
      </c>
      <c r="W155" s="348">
        <f>_xlfn.XLOOKUP(E155,'All Products'!D:D,'All Products'!Q:Q,FALSE)</f>
        <v>0.5</v>
      </c>
    </row>
    <row r="156" spans="1:23">
      <c r="A156" s="104" t="str">
        <f>IF(K156&gt;0,COUNT($A$7:A155)+COUNT('DWV PVC'!$A$8:$A$284)
+COUNT('DWV ABS'!$A$8:$A$116)
+COUNT('PVC SCH40'!$A$8:$A$375)
+COUNT('PVC SCH40 LD'!$A$8:$A$21)
+COUNT('Pool &amp; SPA Sweep Elbows'!$A$8:$A$11)
+COUNT('Pool &amp; SPA Pipe Extender'!$A$8:$A$10)+1,"")</f>
        <v/>
      </c>
      <c r="B156" s="579"/>
      <c r="C156" s="580"/>
      <c r="D156" s="155" t="str">
        <f>_xlfn.XLOOKUP(E156,'All Products'!D:D,'All Products'!C:C,FALSE)</f>
        <v>838-167</v>
      </c>
      <c r="E156" s="106">
        <v>100023664</v>
      </c>
      <c r="F156" s="559" t="str">
        <f>_xlfn.XLOOKUP(E156,'All Products'!D:D,'All Products'!E:E,FALSE)</f>
        <v>1-1/4X3/4 RED BUSHING SPGXFPT SCH80</v>
      </c>
      <c r="G156" s="283">
        <f>_xlfn.XLOOKUP(E156,'All Products'!D:D,'All Products'!F:F,FALSE)</f>
        <v>100</v>
      </c>
      <c r="H156" s="234">
        <f>_xlfn.XLOOKUP(E156,'All Products'!D:D,'All Products'!G:G,FALSE)</f>
        <v>12000</v>
      </c>
      <c r="I156" s="561">
        <f>_xlfn.XLOOKUP(E156,'All Products'!D:D,'All Products'!H:H,FALSE)</f>
        <v>28.06</v>
      </c>
      <c r="J156" s="135">
        <f>ROUND(I156*Order_Quote!$L$8,2)</f>
        <v>140.30000000000001</v>
      </c>
      <c r="K156" s="78"/>
      <c r="L156" s="116"/>
      <c r="M156" s="199">
        <f t="shared" si="4"/>
        <v>0</v>
      </c>
      <c r="O156" s="348" t="str">
        <f>_xlfn.XLOOKUP(E156,'All Products'!D:D,'All Products'!I:I,FALSE)</f>
        <v>Within 3 Weeks</v>
      </c>
      <c r="P156" s="348" t="str">
        <f>_xlfn.XLOOKUP(E156,'All Products'!D:D,'All Products'!J:J,FALSE)</f>
        <v>Manufactured</v>
      </c>
      <c r="Q156" s="348" t="str">
        <f>_xlfn.XLOOKUP(E156,'All Products'!D:D,'All Products'!K:K,FALSE)</f>
        <v>049081157944</v>
      </c>
      <c r="R156" s="351" t="str">
        <f>_xlfn.XLOOKUP(E156,'All Products'!D:D,'All Products'!L:L,FALSE)</f>
        <v>049081657949</v>
      </c>
      <c r="S156" s="351" t="str">
        <f>_xlfn.XLOOKUP(E156,'All Products'!D:D,'All Products'!M:M,FALSE)</f>
        <v>40049081157942</v>
      </c>
      <c r="T156" s="348">
        <f>_xlfn.XLOOKUP(E156,'All Products'!D:D,'All Products'!N:N,FALSE)</f>
        <v>9.2999999999999999E-2</v>
      </c>
      <c r="U156" s="351">
        <f>_xlfn.XLOOKUP(E156,'All Products'!D:D,'All Products'!O:O,FALSE)</f>
        <v>10</v>
      </c>
      <c r="V156" s="348">
        <f>_xlfn.XLOOKUP(E156,'All Products'!D:D,'All Products'!P:P,FALSE)</f>
        <v>9.65</v>
      </c>
      <c r="W156" s="348">
        <f>_xlfn.XLOOKUP(E156,'All Products'!D:D,'All Products'!Q:Q,FALSE)</f>
        <v>0.65</v>
      </c>
    </row>
    <row r="157" spans="1:23">
      <c r="A157" s="104" t="str">
        <f>IF(K157&gt;0,COUNT($A$7:A156)+COUNT('DWV PVC'!$A$8:$A$284)
+COUNT('DWV ABS'!$A$8:$A$116)
+COUNT('PVC SCH40'!$A$8:$A$375)
+COUNT('PVC SCH40 LD'!$A$8:$A$21)
+COUNT('Pool &amp; SPA Sweep Elbows'!$A$8:$A$11)
+COUNT('Pool &amp; SPA Pipe Extender'!$A$8:$A$10)+1,"")</f>
        <v/>
      </c>
      <c r="B157" s="579"/>
      <c r="C157" s="580"/>
      <c r="D157" s="155" t="str">
        <f>_xlfn.XLOOKUP(E157,'All Products'!D:D,'All Products'!C:C,FALSE)</f>
        <v>838-168</v>
      </c>
      <c r="E157" s="106">
        <v>100023665</v>
      </c>
      <c r="F157" s="559" t="str">
        <f>_xlfn.XLOOKUP(E157,'All Products'!D:D,'All Products'!E:E,FALSE)</f>
        <v>1-1/4X1 RED BUSHING SPGXFIPT SCH80</v>
      </c>
      <c r="G157" s="283">
        <f>_xlfn.XLOOKUP(E157,'All Products'!D:D,'All Products'!F:F,FALSE)</f>
        <v>100</v>
      </c>
      <c r="H157" s="234">
        <f>_xlfn.XLOOKUP(E157,'All Products'!D:D,'All Products'!G:G,FALSE)</f>
        <v>12000</v>
      </c>
      <c r="I157" s="561">
        <f>_xlfn.XLOOKUP(E157,'All Products'!D:D,'All Products'!H:H,FALSE)</f>
        <v>28.06</v>
      </c>
      <c r="J157" s="135">
        <f>ROUND(I157*Order_Quote!$L$8,2)</f>
        <v>140.30000000000001</v>
      </c>
      <c r="K157" s="78"/>
      <c r="L157" s="116"/>
      <c r="M157" s="199">
        <f t="shared" si="4"/>
        <v>0</v>
      </c>
      <c r="O157" s="348" t="str">
        <f>_xlfn.XLOOKUP(E157,'All Products'!D:D,'All Products'!I:I,FALSE)</f>
        <v>In Stock</v>
      </c>
      <c r="P157" s="348" t="str">
        <f>_xlfn.XLOOKUP(E157,'All Products'!D:D,'All Products'!J:J,FALSE)</f>
        <v>Manufactured</v>
      </c>
      <c r="Q157" s="348" t="str">
        <f>_xlfn.XLOOKUP(E157,'All Products'!D:D,'All Products'!K:K,FALSE)</f>
        <v>049081157920</v>
      </c>
      <c r="R157" s="351" t="str">
        <f>_xlfn.XLOOKUP(E157,'All Products'!D:D,'All Products'!L:L,FALSE)</f>
        <v>049081657925</v>
      </c>
      <c r="S157" s="351" t="str">
        <f>_xlfn.XLOOKUP(E157,'All Products'!D:D,'All Products'!M:M,FALSE)</f>
        <v>40049081157928</v>
      </c>
      <c r="T157" s="348">
        <f>_xlfn.XLOOKUP(E157,'All Products'!D:D,'All Products'!N:N,FALSE)</f>
        <v>7.3999999999999996E-2</v>
      </c>
      <c r="U157" s="351">
        <f>_xlfn.XLOOKUP(E157,'All Products'!D:D,'All Products'!O:O,FALSE)</f>
        <v>10</v>
      </c>
      <c r="V157" s="348">
        <f>_xlfn.XLOOKUP(E157,'All Products'!D:D,'All Products'!P:P,FALSE)</f>
        <v>7.45</v>
      </c>
      <c r="W157" s="348">
        <f>_xlfn.XLOOKUP(E157,'All Products'!D:D,'All Products'!Q:Q,FALSE)</f>
        <v>0.65</v>
      </c>
    </row>
    <row r="158" spans="1:23">
      <c r="A158" s="104" t="str">
        <f>IF(K158&gt;0,COUNT($A$7:A157)+COUNT('DWV PVC'!$A$8:$A$284)
+COUNT('DWV ABS'!$A$8:$A$116)
+COUNT('PVC SCH40'!$A$8:$A$375)
+COUNT('PVC SCH40 LD'!$A$8:$A$21)
+COUNT('Pool &amp; SPA Sweep Elbows'!$A$8:$A$11)
+COUNT('Pool &amp; SPA Pipe Extender'!$A$8:$A$10)+1,"")</f>
        <v/>
      </c>
      <c r="B158" s="579"/>
      <c r="C158" s="580"/>
      <c r="D158" s="155" t="str">
        <f>_xlfn.XLOOKUP(E158,'All Products'!D:D,'All Products'!C:C,FALSE)</f>
        <v>838-209</v>
      </c>
      <c r="E158" s="106">
        <v>100023666</v>
      </c>
      <c r="F158" s="559" t="str">
        <f>_xlfn.XLOOKUP(E158,'All Products'!D:D,'All Products'!E:E,FALSE)</f>
        <v>1-1/2X1/2 RED BUSHING SPGXFPT SCH80</v>
      </c>
      <c r="G158" s="283">
        <f>_xlfn.XLOOKUP(E158,'All Products'!D:D,'All Products'!F:F,FALSE)</f>
        <v>100</v>
      </c>
      <c r="H158" s="234">
        <f>_xlfn.XLOOKUP(E158,'All Products'!D:D,'All Products'!G:G,FALSE)</f>
        <v>12000</v>
      </c>
      <c r="I158" s="561">
        <f>_xlfn.XLOOKUP(E158,'All Products'!D:D,'All Products'!H:H,FALSE)</f>
        <v>35.22</v>
      </c>
      <c r="J158" s="135">
        <f>ROUND(I158*Order_Quote!$L$8,2)</f>
        <v>176.1</v>
      </c>
      <c r="K158" s="78"/>
      <c r="L158" s="116"/>
      <c r="M158" s="199">
        <f t="shared" si="4"/>
        <v>0</v>
      </c>
      <c r="O158" s="348" t="str">
        <f>_xlfn.XLOOKUP(E158,'All Products'!D:D,'All Products'!I:I,FALSE)</f>
        <v>In Stock</v>
      </c>
      <c r="P158" s="348" t="str">
        <f>_xlfn.XLOOKUP(E158,'All Products'!D:D,'All Products'!J:J,FALSE)</f>
        <v>Manufactured</v>
      </c>
      <c r="Q158" s="348" t="str">
        <f>_xlfn.XLOOKUP(E158,'All Products'!D:D,'All Products'!K:K,FALSE)</f>
        <v>049081158101</v>
      </c>
      <c r="R158" s="351" t="str">
        <f>_xlfn.XLOOKUP(E158,'All Products'!D:D,'All Products'!L:L,FALSE)</f>
        <v>049081658106</v>
      </c>
      <c r="S158" s="351" t="str">
        <f>_xlfn.XLOOKUP(E158,'All Products'!D:D,'All Products'!M:M,FALSE)</f>
        <v>40049081158109</v>
      </c>
      <c r="T158" s="348">
        <f>_xlfn.XLOOKUP(E158,'All Products'!D:D,'All Products'!N:N,FALSE)</f>
        <v>0.13400000000000001</v>
      </c>
      <c r="U158" s="351">
        <f>_xlfn.XLOOKUP(E158,'All Products'!D:D,'All Products'!O:O,FALSE)</f>
        <v>10</v>
      </c>
      <c r="V158" s="348">
        <f>_xlfn.XLOOKUP(E158,'All Products'!D:D,'All Products'!P:P,FALSE)</f>
        <v>13.67</v>
      </c>
      <c r="W158" s="348">
        <f>_xlfn.XLOOKUP(E158,'All Products'!D:D,'All Products'!Q:Q,FALSE)</f>
        <v>0.65</v>
      </c>
    </row>
    <row r="159" spans="1:23">
      <c r="A159" s="104" t="str">
        <f>IF(K159&gt;0,COUNT($A$7:A158)+COUNT('DWV PVC'!$A$8:$A$284)
+COUNT('DWV ABS'!$A$8:$A$116)
+COUNT('PVC SCH40'!$A$8:$A$375)
+COUNT('PVC SCH40 LD'!$A$8:$A$21)
+COUNT('Pool &amp; SPA Sweep Elbows'!$A$8:$A$11)
+COUNT('Pool &amp; SPA Pipe Extender'!$A$8:$A$10)+1,"")</f>
        <v/>
      </c>
      <c r="B159" s="579"/>
      <c r="C159" s="580"/>
      <c r="D159" s="155" t="str">
        <f>_xlfn.XLOOKUP(E159,'All Products'!D:D,'All Products'!C:C,FALSE)</f>
        <v>838-210</v>
      </c>
      <c r="E159" s="106">
        <v>100023667</v>
      </c>
      <c r="F159" s="559" t="str">
        <f>_xlfn.XLOOKUP(E159,'All Products'!D:D,'All Products'!E:E,FALSE)</f>
        <v>1-1/2X3/4 RED BUSHING SPGXFPT SCH80</v>
      </c>
      <c r="G159" s="283">
        <f>_xlfn.XLOOKUP(E159,'All Products'!D:D,'All Products'!F:F,FALSE)</f>
        <v>100</v>
      </c>
      <c r="H159" s="234">
        <f>_xlfn.XLOOKUP(E159,'All Products'!D:D,'All Products'!G:G,FALSE)</f>
        <v>12000</v>
      </c>
      <c r="I159" s="561">
        <f>_xlfn.XLOOKUP(E159,'All Products'!D:D,'All Products'!H:H,FALSE)</f>
        <v>35.22</v>
      </c>
      <c r="J159" s="135">
        <f>ROUND(I159*Order_Quote!$L$8,2)</f>
        <v>176.1</v>
      </c>
      <c r="K159" s="78"/>
      <c r="L159" s="116"/>
      <c r="M159" s="199">
        <f t="shared" si="4"/>
        <v>0</v>
      </c>
      <c r="O159" s="348" t="str">
        <f>_xlfn.XLOOKUP(E159,'All Products'!D:D,'All Products'!I:I,FALSE)</f>
        <v>Within 3 Weeks</v>
      </c>
      <c r="P159" s="348" t="str">
        <f>_xlfn.XLOOKUP(E159,'All Products'!D:D,'All Products'!J:J,FALSE)</f>
        <v>Manufactured</v>
      </c>
      <c r="Q159" s="348" t="str">
        <f>_xlfn.XLOOKUP(E159,'All Products'!D:D,'All Products'!K:K,FALSE)</f>
        <v>049081158088</v>
      </c>
      <c r="R159" s="351" t="str">
        <f>_xlfn.XLOOKUP(E159,'All Products'!D:D,'All Products'!L:L,FALSE)</f>
        <v>049081658083</v>
      </c>
      <c r="S159" s="351" t="str">
        <f>_xlfn.XLOOKUP(E159,'All Products'!D:D,'All Products'!M:M,FALSE)</f>
        <v>40049081158086</v>
      </c>
      <c r="T159" s="348">
        <f>_xlfn.XLOOKUP(E159,'All Products'!D:D,'All Products'!N:N,FALSE)</f>
        <v>0.13400000000000001</v>
      </c>
      <c r="U159" s="351">
        <f>_xlfn.XLOOKUP(E159,'All Products'!D:D,'All Products'!O:O,FALSE)</f>
        <v>10</v>
      </c>
      <c r="V159" s="348">
        <f>_xlfn.XLOOKUP(E159,'All Products'!D:D,'All Products'!P:P,FALSE)</f>
        <v>13.56</v>
      </c>
      <c r="W159" s="348">
        <f>_xlfn.XLOOKUP(E159,'All Products'!D:D,'All Products'!Q:Q,FALSE)</f>
        <v>0.65</v>
      </c>
    </row>
    <row r="160" spans="1:23">
      <c r="A160" s="104" t="str">
        <f>IF(K160&gt;0,COUNT($A$7:A159)+COUNT('DWV PVC'!$A$8:$A$284)
+COUNT('DWV ABS'!$A$8:$A$116)
+COUNT('PVC SCH40'!$A$8:$A$375)
+COUNT('PVC SCH40 LD'!$A$8:$A$21)
+COUNT('Pool &amp; SPA Sweep Elbows'!$A$8:$A$11)
+COUNT('Pool &amp; SPA Pipe Extender'!$A$8:$A$10)+1,"")</f>
        <v/>
      </c>
      <c r="B160" s="579"/>
      <c r="C160" s="580"/>
      <c r="D160" s="155" t="str">
        <f>_xlfn.XLOOKUP(E160,'All Products'!D:D,'All Products'!C:C,FALSE)</f>
        <v>838-211</v>
      </c>
      <c r="E160" s="106">
        <v>100023668</v>
      </c>
      <c r="F160" s="559" t="str">
        <f>_xlfn.XLOOKUP(E160,'All Products'!D:D,'All Products'!E:E,FALSE)</f>
        <v>1-1/2X1 RED BUSHING SPGXFIPT SCH80</v>
      </c>
      <c r="G160" s="283">
        <f>_xlfn.XLOOKUP(E160,'All Products'!D:D,'All Products'!F:F,FALSE)</f>
        <v>100</v>
      </c>
      <c r="H160" s="234">
        <f>_xlfn.XLOOKUP(E160,'All Products'!D:D,'All Products'!G:G,FALSE)</f>
        <v>12000</v>
      </c>
      <c r="I160" s="561">
        <f>_xlfn.XLOOKUP(E160,'All Products'!D:D,'All Products'!H:H,FALSE)</f>
        <v>35.22</v>
      </c>
      <c r="J160" s="135">
        <f>ROUND(I160*Order_Quote!$L$8,2)</f>
        <v>176.1</v>
      </c>
      <c r="K160" s="78"/>
      <c r="L160" s="116"/>
      <c r="M160" s="199">
        <f t="shared" si="4"/>
        <v>0</v>
      </c>
      <c r="O160" s="348" t="str">
        <f>_xlfn.XLOOKUP(E160,'All Products'!D:D,'All Products'!I:I,FALSE)</f>
        <v>In Stock</v>
      </c>
      <c r="P160" s="348" t="str">
        <f>_xlfn.XLOOKUP(E160,'All Products'!D:D,'All Products'!J:J,FALSE)</f>
        <v>Manufactured</v>
      </c>
      <c r="Q160" s="348" t="str">
        <f>_xlfn.XLOOKUP(E160,'All Products'!D:D,'All Products'!K:K,FALSE)</f>
        <v>049081158064</v>
      </c>
      <c r="R160" s="351" t="str">
        <f>_xlfn.XLOOKUP(E160,'All Products'!D:D,'All Products'!L:L,FALSE)</f>
        <v>049081658069</v>
      </c>
      <c r="S160" s="351" t="str">
        <f>_xlfn.XLOOKUP(E160,'All Products'!D:D,'All Products'!M:M,FALSE)</f>
        <v>40049081158062</v>
      </c>
      <c r="T160" s="348">
        <f>_xlfn.XLOOKUP(E160,'All Products'!D:D,'All Products'!N:N,FALSE)</f>
        <v>0.12</v>
      </c>
      <c r="U160" s="351">
        <f>_xlfn.XLOOKUP(E160,'All Products'!D:D,'All Products'!O:O,FALSE)</f>
        <v>10</v>
      </c>
      <c r="V160" s="348">
        <f>_xlfn.XLOOKUP(E160,'All Products'!D:D,'All Products'!P:P,FALSE)</f>
        <v>12.64</v>
      </c>
      <c r="W160" s="348">
        <f>_xlfn.XLOOKUP(E160,'All Products'!D:D,'All Products'!Q:Q,FALSE)</f>
        <v>0.65</v>
      </c>
    </row>
    <row r="161" spans="1:23">
      <c r="A161" s="104" t="str">
        <f>IF(K161&gt;0,COUNT($A$7:A160)+COUNT('DWV PVC'!$A$8:$A$284)
+COUNT('DWV ABS'!$A$8:$A$116)
+COUNT('PVC SCH40'!$A$8:$A$375)
+COUNT('PVC SCH40 LD'!$A$8:$A$21)
+COUNT('Pool &amp; SPA Sweep Elbows'!$A$8:$A$11)
+COUNT('Pool &amp; SPA Pipe Extender'!$A$8:$A$10)+1,"")</f>
        <v/>
      </c>
      <c r="B161" s="579"/>
      <c r="C161" s="580"/>
      <c r="D161" s="155" t="str">
        <f>_xlfn.XLOOKUP(E161,'All Products'!D:D,'All Products'!C:C,FALSE)</f>
        <v>838-212</v>
      </c>
      <c r="E161" s="106">
        <v>100023669</v>
      </c>
      <c r="F161" s="559" t="str">
        <f>_xlfn.XLOOKUP(E161,'All Products'!D:D,'All Products'!E:E,FALSE)</f>
        <v>1-1/2X1-1/4 BUSHING SPGXFIPT SCH80</v>
      </c>
      <c r="G161" s="283">
        <f>_xlfn.XLOOKUP(E161,'All Products'!D:D,'All Products'!F:F,FALSE)</f>
        <v>100</v>
      </c>
      <c r="H161" s="234">
        <f>_xlfn.XLOOKUP(E161,'All Products'!D:D,'All Products'!G:G,FALSE)</f>
        <v>12000</v>
      </c>
      <c r="I161" s="561">
        <f>_xlfn.XLOOKUP(E161,'All Products'!D:D,'All Products'!H:H,FALSE)</f>
        <v>35.22</v>
      </c>
      <c r="J161" s="135">
        <f>ROUND(I161*Order_Quote!$L$8,2)</f>
        <v>176.1</v>
      </c>
      <c r="K161" s="78"/>
      <c r="L161" s="116"/>
      <c r="M161" s="199">
        <f t="shared" si="4"/>
        <v>0</v>
      </c>
      <c r="O161" s="348" t="str">
        <f>_xlfn.XLOOKUP(E161,'All Products'!D:D,'All Products'!I:I,FALSE)</f>
        <v>Within 3 Weeks</v>
      </c>
      <c r="P161" s="348" t="str">
        <f>_xlfn.XLOOKUP(E161,'All Products'!D:D,'All Products'!J:J,FALSE)</f>
        <v>Manufactured</v>
      </c>
      <c r="Q161" s="348" t="str">
        <f>_xlfn.XLOOKUP(E161,'All Products'!D:D,'All Products'!K:K,FALSE)</f>
        <v>049081158040</v>
      </c>
      <c r="R161" s="351" t="str">
        <f>_xlfn.XLOOKUP(E161,'All Products'!D:D,'All Products'!L:L,FALSE)</f>
        <v>049081658045</v>
      </c>
      <c r="S161" s="351" t="str">
        <f>_xlfn.XLOOKUP(E161,'All Products'!D:D,'All Products'!M:M,FALSE)</f>
        <v>40049081158048</v>
      </c>
      <c r="T161" s="348">
        <f>_xlfn.XLOOKUP(E161,'All Products'!D:D,'All Products'!N:N,FALSE)</f>
        <v>9.2999999999999999E-2</v>
      </c>
      <c r="U161" s="351">
        <f>_xlfn.XLOOKUP(E161,'All Products'!D:D,'All Products'!O:O,FALSE)</f>
        <v>10</v>
      </c>
      <c r="V161" s="348">
        <f>_xlfn.XLOOKUP(E161,'All Products'!D:D,'All Products'!P:P,FALSE)</f>
        <v>9.44</v>
      </c>
      <c r="W161" s="348">
        <f>_xlfn.XLOOKUP(E161,'All Products'!D:D,'All Products'!Q:Q,FALSE)</f>
        <v>0.65</v>
      </c>
    </row>
    <row r="162" spans="1:23">
      <c r="A162" s="104" t="str">
        <f>IF(K162&gt;0,COUNT($A$7:A161)+COUNT('DWV PVC'!$A$8:$A$284)
+COUNT('DWV ABS'!$A$8:$A$116)
+COUNT('PVC SCH40'!$A$8:$A$375)
+COUNT('PVC SCH40 LD'!$A$8:$A$21)
+COUNT('Pool &amp; SPA Sweep Elbows'!$A$8:$A$11)
+COUNT('Pool &amp; SPA Pipe Extender'!$A$8:$A$10)+1,"")</f>
        <v/>
      </c>
      <c r="B162" s="579"/>
      <c r="C162" s="580"/>
      <c r="D162" s="155" t="str">
        <f>_xlfn.XLOOKUP(E162,'All Products'!D:D,'All Products'!C:C,FALSE)</f>
        <v>838-247</v>
      </c>
      <c r="E162" s="106">
        <v>100023670</v>
      </c>
      <c r="F162" s="559" t="str">
        <f>_xlfn.XLOOKUP(E162,'All Products'!D:D,'All Products'!E:E,FALSE)</f>
        <v>2X1/2 RED BUSHING SPGXFIPT SCH80</v>
      </c>
      <c r="G162" s="283">
        <f>_xlfn.XLOOKUP(E162,'All Products'!D:D,'All Products'!F:F,FALSE)</f>
        <v>50</v>
      </c>
      <c r="H162" s="234">
        <f>_xlfn.XLOOKUP(E162,'All Products'!D:D,'All Products'!G:G,FALSE)</f>
        <v>6000</v>
      </c>
      <c r="I162" s="561">
        <f>_xlfn.XLOOKUP(E162,'All Products'!D:D,'All Products'!H:H,FALSE)</f>
        <v>43.04</v>
      </c>
      <c r="J162" s="135">
        <f>ROUND(I162*Order_Quote!$L$8,2)</f>
        <v>215.2</v>
      </c>
      <c r="K162" s="78"/>
      <c r="L162" s="116"/>
      <c r="M162" s="199">
        <f t="shared" si="4"/>
        <v>0</v>
      </c>
      <c r="O162" s="348" t="str">
        <f>_xlfn.XLOOKUP(E162,'All Products'!D:D,'All Products'!I:I,FALSE)</f>
        <v>Within 3 Weeks</v>
      </c>
      <c r="P162" s="348" t="str">
        <f>_xlfn.XLOOKUP(E162,'All Products'!D:D,'All Products'!J:J,FALSE)</f>
        <v>Manufactured</v>
      </c>
      <c r="Q162" s="348" t="str">
        <f>_xlfn.XLOOKUP(E162,'All Products'!D:D,'All Products'!K:K,FALSE)</f>
        <v>049081158200</v>
      </c>
      <c r="R162" s="351" t="str">
        <f>_xlfn.XLOOKUP(E162,'All Products'!D:D,'All Products'!L:L,FALSE)</f>
        <v>049081658205</v>
      </c>
      <c r="S162" s="351" t="str">
        <f>_xlfn.XLOOKUP(E162,'All Products'!D:D,'All Products'!M:M,FALSE)</f>
        <v>40049081158208</v>
      </c>
      <c r="T162" s="348">
        <f>_xlfn.XLOOKUP(E162,'All Products'!D:D,'All Products'!N:N,FALSE)</f>
        <v>0.20699999999999999</v>
      </c>
      <c r="U162" s="351">
        <f>_xlfn.XLOOKUP(E162,'All Products'!D:D,'All Products'!O:O,FALSE)</f>
        <v>5</v>
      </c>
      <c r="V162" s="348">
        <f>_xlfn.XLOOKUP(E162,'All Products'!D:D,'All Products'!P:P,FALSE)</f>
        <v>10.25</v>
      </c>
      <c r="W162" s="348">
        <f>_xlfn.XLOOKUP(E162,'All Products'!D:D,'All Products'!Q:Q,FALSE)</f>
        <v>0.65</v>
      </c>
    </row>
    <row r="163" spans="1:23">
      <c r="A163" s="104" t="str">
        <f>IF(K163&gt;0,COUNT($A$7:A162)+COUNT('DWV PVC'!$A$8:$A$284)
+COUNT('DWV ABS'!$A$8:$A$116)
+COUNT('PVC SCH40'!$A$8:$A$375)
+COUNT('PVC SCH40 LD'!$A$8:$A$21)
+COUNT('Pool &amp; SPA Sweep Elbows'!$A$8:$A$11)
+COUNT('Pool &amp; SPA Pipe Extender'!$A$8:$A$10)+1,"")</f>
        <v/>
      </c>
      <c r="B163" s="579"/>
      <c r="C163" s="580"/>
      <c r="D163" s="155" t="str">
        <f>_xlfn.XLOOKUP(E163,'All Products'!D:D,'All Products'!C:C,FALSE)</f>
        <v>838-248</v>
      </c>
      <c r="E163" s="106">
        <v>100023671</v>
      </c>
      <c r="F163" s="559" t="str">
        <f>_xlfn.XLOOKUP(E163,'All Products'!D:D,'All Products'!E:E,FALSE)</f>
        <v>2X3/4 RED BUSHING SPGXFIPT SCH80</v>
      </c>
      <c r="G163" s="283">
        <f>_xlfn.XLOOKUP(E163,'All Products'!D:D,'All Products'!F:F,FALSE)</f>
        <v>50</v>
      </c>
      <c r="H163" s="234">
        <f>_xlfn.XLOOKUP(E163,'All Products'!D:D,'All Products'!G:G,FALSE)</f>
        <v>6000</v>
      </c>
      <c r="I163" s="561">
        <f>_xlfn.XLOOKUP(E163,'All Products'!D:D,'All Products'!H:H,FALSE)</f>
        <v>43.04</v>
      </c>
      <c r="J163" s="135">
        <f>ROUND(I163*Order_Quote!$L$8,2)</f>
        <v>215.2</v>
      </c>
      <c r="K163" s="78"/>
      <c r="L163" s="116"/>
      <c r="M163" s="199">
        <f t="shared" si="4"/>
        <v>0</v>
      </c>
      <c r="O163" s="348" t="str">
        <f>_xlfn.XLOOKUP(E163,'All Products'!D:D,'All Products'!I:I,FALSE)</f>
        <v>In Stock</v>
      </c>
      <c r="P163" s="348" t="str">
        <f>_xlfn.XLOOKUP(E163,'All Products'!D:D,'All Products'!J:J,FALSE)</f>
        <v>Manufactured</v>
      </c>
      <c r="Q163" s="348" t="str">
        <f>_xlfn.XLOOKUP(E163,'All Products'!D:D,'All Products'!K:K,FALSE)</f>
        <v>049081158187</v>
      </c>
      <c r="R163" s="351" t="str">
        <f>_xlfn.XLOOKUP(E163,'All Products'!D:D,'All Products'!L:L,FALSE)</f>
        <v>049081658182</v>
      </c>
      <c r="S163" s="351" t="str">
        <f>_xlfn.XLOOKUP(E163,'All Products'!D:D,'All Products'!M:M,FALSE)</f>
        <v>40049081158185</v>
      </c>
      <c r="T163" s="348">
        <f>_xlfn.XLOOKUP(E163,'All Products'!D:D,'All Products'!N:N,FALSE)</f>
        <v>0.20200000000000001</v>
      </c>
      <c r="U163" s="351">
        <f>_xlfn.XLOOKUP(E163,'All Products'!D:D,'All Products'!O:O,FALSE)</f>
        <v>5</v>
      </c>
      <c r="V163" s="348">
        <f>_xlfn.XLOOKUP(E163,'All Products'!D:D,'All Products'!P:P,FALSE)</f>
        <v>10.43</v>
      </c>
      <c r="W163" s="348">
        <f>_xlfn.XLOOKUP(E163,'All Products'!D:D,'All Products'!Q:Q,FALSE)</f>
        <v>0.65</v>
      </c>
    </row>
    <row r="164" spans="1:23">
      <c r="A164" s="104" t="str">
        <f>IF(K164&gt;0,COUNT($A$7:A163)+COUNT('DWV PVC'!$A$8:$A$284)
+COUNT('DWV ABS'!$A$8:$A$116)
+COUNT('PVC SCH40'!$A$8:$A$375)
+COUNT('PVC SCH40 LD'!$A$8:$A$21)
+COUNT('Pool &amp; SPA Sweep Elbows'!$A$8:$A$11)
+COUNT('Pool &amp; SPA Pipe Extender'!$A$8:$A$10)+1,"")</f>
        <v/>
      </c>
      <c r="B164" s="579"/>
      <c r="C164" s="580"/>
      <c r="D164" s="155" t="str">
        <f>_xlfn.XLOOKUP(E164,'All Products'!D:D,'All Products'!C:C,FALSE)</f>
        <v>838-249</v>
      </c>
      <c r="E164" s="106">
        <v>100023672</v>
      </c>
      <c r="F164" s="559" t="str">
        <f>_xlfn.XLOOKUP(E164,'All Products'!D:D,'All Products'!E:E,FALSE)</f>
        <v>2X1 RED BUSHING SPGXFIPT SCH80</v>
      </c>
      <c r="G164" s="283">
        <f>_xlfn.XLOOKUP(E164,'All Products'!D:D,'All Products'!F:F,FALSE)</f>
        <v>50</v>
      </c>
      <c r="H164" s="234">
        <f>_xlfn.XLOOKUP(E164,'All Products'!D:D,'All Products'!G:G,FALSE)</f>
        <v>7500</v>
      </c>
      <c r="I164" s="561">
        <f>_xlfn.XLOOKUP(E164,'All Products'!D:D,'All Products'!H:H,FALSE)</f>
        <v>43.04</v>
      </c>
      <c r="J164" s="135">
        <f>ROUND(I164*Order_Quote!$L$8,2)</f>
        <v>215.2</v>
      </c>
      <c r="K164" s="78"/>
      <c r="L164" s="116"/>
      <c r="M164" s="199">
        <f t="shared" si="4"/>
        <v>0</v>
      </c>
      <c r="O164" s="348" t="str">
        <f>_xlfn.XLOOKUP(E164,'All Products'!D:D,'All Products'!I:I,FALSE)</f>
        <v>In Stock</v>
      </c>
      <c r="P164" s="348" t="str">
        <f>_xlfn.XLOOKUP(E164,'All Products'!D:D,'All Products'!J:J,FALSE)</f>
        <v>Manufactured</v>
      </c>
      <c r="Q164" s="348" t="str">
        <f>_xlfn.XLOOKUP(E164,'All Products'!D:D,'All Products'!K:K,FALSE)</f>
        <v>049081158163</v>
      </c>
      <c r="R164" s="351" t="str">
        <f>_xlfn.XLOOKUP(E164,'All Products'!D:D,'All Products'!L:L,FALSE)</f>
        <v>049081658168</v>
      </c>
      <c r="S164" s="351" t="str">
        <f>_xlfn.XLOOKUP(E164,'All Products'!D:D,'All Products'!M:M,FALSE)</f>
        <v>40049081158161</v>
      </c>
      <c r="T164" s="348">
        <f>_xlfn.XLOOKUP(E164,'All Products'!D:D,'All Products'!N:N,FALSE)</f>
        <v>0.21199999999999999</v>
      </c>
      <c r="U164" s="351">
        <f>_xlfn.XLOOKUP(E164,'All Products'!D:D,'All Products'!O:O,FALSE)</f>
        <v>5</v>
      </c>
      <c r="V164" s="348">
        <f>_xlfn.XLOOKUP(E164,'All Products'!D:D,'All Products'!P:P,FALSE)</f>
        <v>10.92</v>
      </c>
      <c r="W164" s="348">
        <f>_xlfn.XLOOKUP(E164,'All Products'!D:D,'All Products'!Q:Q,FALSE)</f>
        <v>0.5</v>
      </c>
    </row>
    <row r="165" spans="1:23">
      <c r="A165" s="104" t="str">
        <f>IF(K165&gt;0,COUNT($A$7:A164)+COUNT('DWV PVC'!$A$8:$A$284)
+COUNT('DWV ABS'!$A$8:$A$116)
+COUNT('PVC SCH40'!$A$8:$A$375)
+COUNT('PVC SCH40 LD'!$A$8:$A$21)
+COUNT('Pool &amp; SPA Sweep Elbows'!$A$8:$A$11)
+COUNT('Pool &amp; SPA Pipe Extender'!$A$8:$A$10)+1,"")</f>
        <v/>
      </c>
      <c r="B165" s="579"/>
      <c r="C165" s="580"/>
      <c r="D165" s="155" t="str">
        <f>_xlfn.XLOOKUP(E165,'All Products'!D:D,'All Products'!C:C,FALSE)</f>
        <v>838-250</v>
      </c>
      <c r="E165" s="106">
        <v>100023673</v>
      </c>
      <c r="F165" s="559" t="str">
        <f>_xlfn.XLOOKUP(E165,'All Products'!D:D,'All Products'!E:E,FALSE)</f>
        <v>2X1-1/4 RED BUSHING SPGXFIPT SCH80</v>
      </c>
      <c r="G165" s="283">
        <f>_xlfn.XLOOKUP(E165,'All Products'!D:D,'All Products'!F:F,FALSE)</f>
        <v>50</v>
      </c>
      <c r="H165" s="234">
        <f>_xlfn.XLOOKUP(E165,'All Products'!D:D,'All Products'!G:G,FALSE)</f>
        <v>7500</v>
      </c>
      <c r="I165" s="561">
        <f>_xlfn.XLOOKUP(E165,'All Products'!D:D,'All Products'!H:H,FALSE)</f>
        <v>43.04</v>
      </c>
      <c r="J165" s="135">
        <f>ROUND(I165*Order_Quote!$L$8,2)</f>
        <v>215.2</v>
      </c>
      <c r="K165" s="78"/>
      <c r="L165" s="116"/>
      <c r="M165" s="199">
        <f t="shared" si="4"/>
        <v>0</v>
      </c>
      <c r="O165" s="348" t="str">
        <f>_xlfn.XLOOKUP(E165,'All Products'!D:D,'All Products'!I:I,FALSE)</f>
        <v>Within 3 Weeks</v>
      </c>
      <c r="P165" s="348" t="str">
        <f>_xlfn.XLOOKUP(E165,'All Products'!D:D,'All Products'!J:J,FALSE)</f>
        <v>Manufactured</v>
      </c>
      <c r="Q165" s="348" t="str">
        <f>_xlfn.XLOOKUP(E165,'All Products'!D:D,'All Products'!K:K,FALSE)</f>
        <v>049081158149</v>
      </c>
      <c r="R165" s="351" t="str">
        <f>_xlfn.XLOOKUP(E165,'All Products'!D:D,'All Products'!L:L,FALSE)</f>
        <v>049081658144</v>
      </c>
      <c r="S165" s="351" t="str">
        <f>_xlfn.XLOOKUP(E165,'All Products'!D:D,'All Products'!M:M,FALSE)</f>
        <v>40049081158147</v>
      </c>
      <c r="T165" s="348">
        <f>_xlfn.XLOOKUP(E165,'All Products'!D:D,'All Products'!N:N,FALSE)</f>
        <v>0.19500000000000001</v>
      </c>
      <c r="U165" s="351">
        <f>_xlfn.XLOOKUP(E165,'All Products'!D:D,'All Products'!O:O,FALSE)</f>
        <v>5</v>
      </c>
      <c r="V165" s="348">
        <f>_xlfn.XLOOKUP(E165,'All Products'!D:D,'All Products'!P:P,FALSE)</f>
        <v>9.42</v>
      </c>
      <c r="W165" s="348">
        <f>_xlfn.XLOOKUP(E165,'All Products'!D:D,'All Products'!Q:Q,FALSE)</f>
        <v>0.5</v>
      </c>
    </row>
    <row r="166" spans="1:23">
      <c r="A166" s="104" t="str">
        <f>IF(K166&gt;0,COUNT($A$7:A165)+COUNT('DWV PVC'!$A$8:$A$284)
+COUNT('DWV ABS'!$A$8:$A$116)
+COUNT('PVC SCH40'!$A$8:$A$375)
+COUNT('PVC SCH40 LD'!$A$8:$A$21)
+COUNT('Pool &amp; SPA Sweep Elbows'!$A$8:$A$11)
+COUNT('Pool &amp; SPA Pipe Extender'!$A$8:$A$10)+1,"")</f>
        <v/>
      </c>
      <c r="B166" s="579"/>
      <c r="C166" s="580"/>
      <c r="D166" s="155" t="str">
        <f>_xlfn.XLOOKUP(E166,'All Products'!D:D,'All Products'!C:C,FALSE)</f>
        <v>838-251</v>
      </c>
      <c r="E166" s="106">
        <v>100023674</v>
      </c>
      <c r="F166" s="559" t="str">
        <f>_xlfn.XLOOKUP(E166,'All Products'!D:D,'All Products'!E:E,FALSE)</f>
        <v>2X1-1/2 RED BUSHING SPGXFIPT SCH80</v>
      </c>
      <c r="G166" s="283">
        <f>_xlfn.XLOOKUP(E166,'All Products'!D:D,'All Products'!F:F,FALSE)</f>
        <v>50</v>
      </c>
      <c r="H166" s="234">
        <f>_xlfn.XLOOKUP(E166,'All Products'!D:D,'All Products'!G:G,FALSE)</f>
        <v>7500</v>
      </c>
      <c r="I166" s="561">
        <f>_xlfn.XLOOKUP(E166,'All Products'!D:D,'All Products'!H:H,FALSE)</f>
        <v>43.04</v>
      </c>
      <c r="J166" s="135">
        <f>ROUND(I166*Order_Quote!$L$8,2)</f>
        <v>215.2</v>
      </c>
      <c r="K166" s="78"/>
      <c r="L166" s="116"/>
      <c r="M166" s="199">
        <f t="shared" si="4"/>
        <v>0</v>
      </c>
      <c r="O166" s="348" t="str">
        <f>_xlfn.XLOOKUP(E166,'All Products'!D:D,'All Products'!I:I,FALSE)</f>
        <v>In Stock</v>
      </c>
      <c r="P166" s="348" t="str">
        <f>_xlfn.XLOOKUP(E166,'All Products'!D:D,'All Products'!J:J,FALSE)</f>
        <v>Manufactured</v>
      </c>
      <c r="Q166" s="348" t="str">
        <f>_xlfn.XLOOKUP(E166,'All Products'!D:D,'All Products'!K:K,FALSE)</f>
        <v>049081158125</v>
      </c>
      <c r="R166" s="351" t="str">
        <f>_xlfn.XLOOKUP(E166,'All Products'!D:D,'All Products'!L:L,FALSE)</f>
        <v>049081658120</v>
      </c>
      <c r="S166" s="351" t="str">
        <f>_xlfn.XLOOKUP(E166,'All Products'!D:D,'All Products'!M:M,FALSE)</f>
        <v>40049081158123</v>
      </c>
      <c r="T166" s="348">
        <f>_xlfn.XLOOKUP(E166,'All Products'!D:D,'All Products'!N:N,FALSE)</f>
        <v>0.152</v>
      </c>
      <c r="U166" s="351">
        <f>_xlfn.XLOOKUP(E166,'All Products'!D:D,'All Products'!O:O,FALSE)</f>
        <v>5</v>
      </c>
      <c r="V166" s="348">
        <f>_xlfn.XLOOKUP(E166,'All Products'!D:D,'All Products'!P:P,FALSE)</f>
        <v>6.71</v>
      </c>
      <c r="W166" s="348">
        <f>_xlfn.XLOOKUP(E166,'All Products'!D:D,'All Products'!Q:Q,FALSE)</f>
        <v>0.5</v>
      </c>
    </row>
    <row r="167" spans="1:23">
      <c r="A167" s="104" t="str">
        <f>IF(K167&gt;0,COUNT($A$7:A166)+COUNT('DWV PVC'!$A$8:$A$284)
+COUNT('DWV ABS'!$A$8:$A$116)
+COUNT('PVC SCH40'!$A$8:$A$375)
+COUNT('PVC SCH40 LD'!$A$8:$A$21)
+COUNT('Pool &amp; SPA Sweep Elbows'!$A$8:$A$11)
+COUNT('Pool &amp; SPA Pipe Extender'!$A$8:$A$10)+1,"")</f>
        <v/>
      </c>
      <c r="B167" s="579"/>
      <c r="C167" s="580"/>
      <c r="D167" s="155" t="str">
        <f>_xlfn.XLOOKUP(E167,'All Products'!D:D,'All Products'!C:C,FALSE)</f>
        <v>838-292</v>
      </c>
      <c r="E167" s="106">
        <v>100023677</v>
      </c>
      <c r="F167" s="559" t="str">
        <f>_xlfn.XLOOKUP(E167,'All Products'!D:D,'All Products'!E:E,FALSE)</f>
        <v>2-1/2X2 RED BUSHING SPGXFIPT SCH80</v>
      </c>
      <c r="G167" s="283">
        <f>_xlfn.XLOOKUP(E167,'All Products'!D:D,'All Products'!F:F,FALSE)</f>
        <v>25</v>
      </c>
      <c r="H167" s="234">
        <f>_xlfn.XLOOKUP(E167,'All Products'!D:D,'All Products'!G:G,FALSE)</f>
        <v>3750</v>
      </c>
      <c r="I167" s="561">
        <f>_xlfn.XLOOKUP(E167,'All Products'!D:D,'All Products'!H:H,FALSE)</f>
        <v>91.13</v>
      </c>
      <c r="J167" s="135">
        <f>ROUND(I167*Order_Quote!$L$8,2)</f>
        <v>455.65</v>
      </c>
      <c r="K167" s="78"/>
      <c r="L167" s="116"/>
      <c r="M167" s="199">
        <f t="shared" si="4"/>
        <v>0</v>
      </c>
      <c r="O167" s="348" t="str">
        <f>_xlfn.XLOOKUP(E167,'All Products'!D:D,'All Products'!I:I,FALSE)</f>
        <v>Within 3 Weeks</v>
      </c>
      <c r="P167" s="348" t="str">
        <f>_xlfn.XLOOKUP(E167,'All Products'!D:D,'All Products'!J:J,FALSE)</f>
        <v>Manufactured</v>
      </c>
      <c r="Q167" s="348" t="str">
        <f>_xlfn.XLOOKUP(E167,'All Products'!D:D,'All Products'!K:K,FALSE)</f>
        <v>049081158248</v>
      </c>
      <c r="R167" s="351" t="str">
        <f>_xlfn.XLOOKUP(E167,'All Products'!D:D,'All Products'!L:L,FALSE)</f>
        <v>049081658243</v>
      </c>
      <c r="S167" s="351" t="str">
        <f>_xlfn.XLOOKUP(E167,'All Products'!D:D,'All Products'!M:M,FALSE)</f>
        <v>40049081158246</v>
      </c>
      <c r="T167" s="348">
        <f>_xlfn.XLOOKUP(E167,'All Products'!D:D,'All Products'!N:N,FALSE)</f>
        <v>0.28699999999999998</v>
      </c>
      <c r="U167" s="351">
        <f>_xlfn.XLOOKUP(E167,'All Products'!D:D,'All Products'!O:O,FALSE)</f>
        <v>5</v>
      </c>
      <c r="V167" s="348">
        <f>_xlfn.XLOOKUP(E167,'All Products'!D:D,'All Products'!P:P,FALSE)</f>
        <v>7.2</v>
      </c>
      <c r="W167" s="348">
        <f>_xlfn.XLOOKUP(E167,'All Products'!D:D,'All Products'!Q:Q,FALSE)</f>
        <v>0.5</v>
      </c>
    </row>
    <row r="168" spans="1:23">
      <c r="A168" s="104" t="str">
        <f>IF(K168&gt;0,COUNT($A$7:A167)+COUNT('DWV PVC'!$A$8:$A$284)
+COUNT('DWV ABS'!$A$8:$A$116)
+COUNT('PVC SCH40'!$A$8:$A$375)
+COUNT('PVC SCH40 LD'!$A$8:$A$21)
+COUNT('Pool &amp; SPA Sweep Elbows'!$A$8:$A$11)
+COUNT('Pool &amp; SPA Pipe Extender'!$A$8:$A$10)+1,"")</f>
        <v/>
      </c>
      <c r="B168" s="579"/>
      <c r="C168" s="580"/>
      <c r="D168" s="155" t="str">
        <f>_xlfn.XLOOKUP(E168,'All Products'!D:D,'All Products'!C:C,FALSE)</f>
        <v>838-334</v>
      </c>
      <c r="E168" s="106">
        <v>100023434</v>
      </c>
      <c r="F168" s="559" t="str">
        <f>_xlfn.XLOOKUP(E168,'All Products'!D:D,'All Products'!E:E,FALSE)</f>
        <v>3X3/4 RED BUSHING SPGXFIPT SCH80</v>
      </c>
      <c r="G168" s="283">
        <f>_xlfn.XLOOKUP(E168,'All Products'!D:D,'All Products'!F:F,FALSE)</f>
        <v>25</v>
      </c>
      <c r="H168" s="234">
        <f>_xlfn.XLOOKUP(E168,'All Products'!D:D,'All Products'!G:G,FALSE)</f>
        <v>3000</v>
      </c>
      <c r="I168" s="561">
        <f>_xlfn.XLOOKUP(E168,'All Products'!D:D,'All Products'!H:H,FALSE)</f>
        <v>168.71</v>
      </c>
      <c r="J168" s="135">
        <f>ROUND(I168*Order_Quote!$L$8,2)</f>
        <v>843.55</v>
      </c>
      <c r="K168" s="78"/>
      <c r="L168" s="116"/>
      <c r="M168" s="199">
        <f t="shared" si="4"/>
        <v>0</v>
      </c>
      <c r="O168" s="348" t="str">
        <f>_xlfn.XLOOKUP(E168,'All Products'!D:D,'All Products'!I:I,FALSE)</f>
        <v>In Stock</v>
      </c>
      <c r="P168" s="348" t="str">
        <f>_xlfn.XLOOKUP(E168,'All Products'!D:D,'All Products'!J:J,FALSE)</f>
        <v>Manufactured</v>
      </c>
      <c r="Q168" s="348" t="str">
        <f>_xlfn.XLOOKUP(E168,'All Products'!D:D,'All Products'!K:K,FALSE)</f>
        <v>049081158460</v>
      </c>
      <c r="R168" s="351" t="str">
        <f>_xlfn.XLOOKUP(E168,'All Products'!D:D,'All Products'!L:L,FALSE)</f>
        <v>049081658465</v>
      </c>
      <c r="S168" s="351" t="str">
        <f>_xlfn.XLOOKUP(E168,'All Products'!D:D,'All Products'!M:M,FALSE)</f>
        <v>40049081158468</v>
      </c>
      <c r="T168" s="348">
        <f>_xlfn.XLOOKUP(E168,'All Products'!D:D,'All Products'!N:N,FALSE)</f>
        <v>0.58799999999999997</v>
      </c>
      <c r="U168" s="351">
        <f>_xlfn.XLOOKUP(E168,'All Products'!D:D,'All Products'!O:O,FALSE)</f>
        <v>5</v>
      </c>
      <c r="V168" s="348">
        <f>_xlfn.XLOOKUP(E168,'All Products'!D:D,'All Products'!P:P,FALSE)</f>
        <v>13.07</v>
      </c>
      <c r="W168" s="348">
        <f>_xlfn.XLOOKUP(E168,'All Products'!D:D,'All Products'!Q:Q,FALSE)</f>
        <v>0.65</v>
      </c>
    </row>
    <row r="169" spans="1:23">
      <c r="A169" s="104" t="str">
        <f>IF(K169&gt;0,COUNT($A$7:A168)+COUNT('DWV PVC'!$A$8:$A$284)
+COUNT('DWV ABS'!$A$8:$A$116)
+COUNT('PVC SCH40'!$A$8:$A$375)
+COUNT('PVC SCH40 LD'!$A$8:$A$21)
+COUNT('Pool &amp; SPA Sweep Elbows'!$A$8:$A$11)
+COUNT('Pool &amp; SPA Pipe Extender'!$A$8:$A$10)+1,"")</f>
        <v/>
      </c>
      <c r="B169" s="579"/>
      <c r="C169" s="580"/>
      <c r="D169" s="155" t="str">
        <f>_xlfn.XLOOKUP(E169,'All Products'!D:D,'All Products'!C:C,FALSE)</f>
        <v>838-335</v>
      </c>
      <c r="E169" s="106">
        <v>100023678</v>
      </c>
      <c r="F169" s="559" t="str">
        <f>_xlfn.XLOOKUP(E169,'All Products'!D:D,'All Products'!E:E,FALSE)</f>
        <v>3X1 RED BUSHING SPGXFIPT SCH80</v>
      </c>
      <c r="G169" s="283">
        <f>_xlfn.XLOOKUP(E169,'All Products'!D:D,'All Products'!F:F,FALSE)</f>
        <v>25</v>
      </c>
      <c r="H169" s="234">
        <f>_xlfn.XLOOKUP(E169,'All Products'!D:D,'All Products'!G:G,FALSE)</f>
        <v>3000</v>
      </c>
      <c r="I169" s="561">
        <f>_xlfn.XLOOKUP(E169,'All Products'!D:D,'All Products'!H:H,FALSE)</f>
        <v>168.71</v>
      </c>
      <c r="J169" s="135">
        <f>ROUND(I169*Order_Quote!$L$8,2)</f>
        <v>843.55</v>
      </c>
      <c r="K169" s="78"/>
      <c r="L169" s="116"/>
      <c r="M169" s="199">
        <f t="shared" si="4"/>
        <v>0</v>
      </c>
      <c r="O169" s="348" t="str">
        <f>_xlfn.XLOOKUP(E169,'All Products'!D:D,'All Products'!I:I,FALSE)</f>
        <v>Within 3 Weeks</v>
      </c>
      <c r="P169" s="348" t="str">
        <f>_xlfn.XLOOKUP(E169,'All Products'!D:D,'All Products'!J:J,FALSE)</f>
        <v>Manufactured</v>
      </c>
      <c r="Q169" s="348" t="str">
        <f>_xlfn.XLOOKUP(E169,'All Products'!D:D,'All Products'!K:K,FALSE)</f>
        <v>049081158446</v>
      </c>
      <c r="R169" s="351" t="str">
        <f>_xlfn.XLOOKUP(E169,'All Products'!D:D,'All Products'!L:L,FALSE)</f>
        <v>049081658441</v>
      </c>
      <c r="S169" s="351" t="str">
        <f>_xlfn.XLOOKUP(E169,'All Products'!D:D,'All Products'!M:M,FALSE)</f>
        <v>40049081158444</v>
      </c>
      <c r="T169" s="348">
        <f>_xlfn.XLOOKUP(E169,'All Products'!D:D,'All Products'!N:N,FALSE)</f>
        <v>0.53600000000000003</v>
      </c>
      <c r="U169" s="351">
        <f>_xlfn.XLOOKUP(E169,'All Products'!D:D,'All Products'!O:O,FALSE)</f>
        <v>5</v>
      </c>
      <c r="V169" s="348">
        <f>_xlfn.XLOOKUP(E169,'All Products'!D:D,'All Products'!P:P,FALSE)</f>
        <v>13.39</v>
      </c>
      <c r="W169" s="348">
        <f>_xlfn.XLOOKUP(E169,'All Products'!D:D,'All Products'!Q:Q,FALSE)</f>
        <v>0.65</v>
      </c>
    </row>
    <row r="170" spans="1:23">
      <c r="A170" s="104" t="str">
        <f>IF(K170&gt;0,COUNT($A$7:A169)+COUNT('DWV PVC'!$A$8:$A$284)
+COUNT('DWV ABS'!$A$8:$A$116)
+COUNT('PVC SCH40'!$A$8:$A$375)
+COUNT('PVC SCH40 LD'!$A$8:$A$21)
+COUNT('Pool &amp; SPA Sweep Elbows'!$A$8:$A$11)
+COUNT('Pool &amp; SPA Pipe Extender'!$A$8:$A$10)+1,"")</f>
        <v/>
      </c>
      <c r="B170" s="579"/>
      <c r="C170" s="580"/>
      <c r="D170" s="155" t="str">
        <f>_xlfn.XLOOKUP(E170,'All Products'!D:D,'All Products'!C:C,FALSE)</f>
        <v>838-338</v>
      </c>
      <c r="E170" s="106">
        <v>100023681</v>
      </c>
      <c r="F170" s="559" t="str">
        <f>_xlfn.XLOOKUP(E170,'All Products'!D:D,'All Products'!E:E,FALSE)</f>
        <v>3X2 RED BUSHING SPGXFIPT SCH80</v>
      </c>
      <c r="G170" s="283">
        <f>_xlfn.XLOOKUP(E170,'All Products'!D:D,'All Products'!F:F,FALSE)</f>
        <v>25</v>
      </c>
      <c r="H170" s="234">
        <f>_xlfn.XLOOKUP(E170,'All Products'!D:D,'All Products'!G:G,FALSE)</f>
        <v>3000</v>
      </c>
      <c r="I170" s="561">
        <f>_xlfn.XLOOKUP(E170,'All Products'!D:D,'All Products'!H:H,FALSE)</f>
        <v>168.71</v>
      </c>
      <c r="J170" s="135">
        <f>ROUND(I170*Order_Quote!$L$8,2)</f>
        <v>843.55</v>
      </c>
      <c r="K170" s="78"/>
      <c r="L170" s="116"/>
      <c r="M170" s="199">
        <f t="shared" si="4"/>
        <v>0</v>
      </c>
      <c r="O170" s="348" t="str">
        <f>_xlfn.XLOOKUP(E170,'All Products'!D:D,'All Products'!I:I,FALSE)</f>
        <v>In Stock</v>
      </c>
      <c r="P170" s="348" t="str">
        <f>_xlfn.XLOOKUP(E170,'All Products'!D:D,'All Products'!J:J,FALSE)</f>
        <v>Manufactured</v>
      </c>
      <c r="Q170" s="348" t="str">
        <f>_xlfn.XLOOKUP(E170,'All Products'!D:D,'All Products'!K:K,FALSE)</f>
        <v>049081158385</v>
      </c>
      <c r="R170" s="351" t="str">
        <f>_xlfn.XLOOKUP(E170,'All Products'!D:D,'All Products'!L:L,FALSE)</f>
        <v>049081658380</v>
      </c>
      <c r="S170" s="351" t="str">
        <f>_xlfn.XLOOKUP(E170,'All Products'!D:D,'All Products'!M:M,FALSE)</f>
        <v>40049081158383</v>
      </c>
      <c r="T170" s="348">
        <f>_xlfn.XLOOKUP(E170,'All Products'!D:D,'All Products'!N:N,FALSE)</f>
        <v>0.58399999999999996</v>
      </c>
      <c r="U170" s="351">
        <f>_xlfn.XLOOKUP(E170,'All Products'!D:D,'All Products'!O:O,FALSE)</f>
        <v>5</v>
      </c>
      <c r="V170" s="348">
        <f>_xlfn.XLOOKUP(E170,'All Products'!D:D,'All Products'!P:P,FALSE)</f>
        <v>11.96</v>
      </c>
      <c r="W170" s="348">
        <f>_xlfn.XLOOKUP(E170,'All Products'!D:D,'All Products'!Q:Q,FALSE)</f>
        <v>0.95</v>
      </c>
    </row>
    <row r="171" spans="1:23">
      <c r="A171" s="104" t="str">
        <f>IF(K171&gt;0,COUNT($A$7:A170)+COUNT('DWV PVC'!$A$8:$A$284)
+COUNT('DWV ABS'!$A$8:$A$116)
+COUNT('PVC SCH40'!$A$8:$A$375)
+COUNT('PVC SCH40 LD'!$A$8:$A$21)
+COUNT('Pool &amp; SPA Sweep Elbows'!$A$8:$A$11)
+COUNT('Pool &amp; SPA Pipe Extender'!$A$8:$A$10)+1,"")</f>
        <v/>
      </c>
      <c r="B171" s="579"/>
      <c r="C171" s="580"/>
      <c r="D171" s="155" t="str">
        <f>_xlfn.XLOOKUP(E171,'All Products'!D:D,'All Products'!C:C,FALSE)</f>
        <v>838-339</v>
      </c>
      <c r="E171" s="106">
        <v>100023682</v>
      </c>
      <c r="F171" s="559" t="str">
        <f>_xlfn.XLOOKUP(E171,'All Products'!D:D,'All Products'!E:E,FALSE)</f>
        <v>3X2-1/2 RED BUSHING SPGXFIPT SCH80</v>
      </c>
      <c r="G171" s="283">
        <f>_xlfn.XLOOKUP(E171,'All Products'!D:D,'All Products'!F:F,FALSE)</f>
        <v>25</v>
      </c>
      <c r="H171" s="234">
        <f>_xlfn.XLOOKUP(E171,'All Products'!D:D,'All Products'!G:G,FALSE)</f>
        <v>3000</v>
      </c>
      <c r="I171" s="561">
        <f>_xlfn.XLOOKUP(E171,'All Products'!D:D,'All Products'!H:H,FALSE)</f>
        <v>168.71</v>
      </c>
      <c r="J171" s="135">
        <f>ROUND(I171*Order_Quote!$L$8,2)</f>
        <v>843.55</v>
      </c>
      <c r="K171" s="78"/>
      <c r="L171" s="116"/>
      <c r="M171" s="199">
        <f t="shared" si="4"/>
        <v>0</v>
      </c>
      <c r="O171" s="348" t="str">
        <f>_xlfn.XLOOKUP(E171,'All Products'!D:D,'All Products'!I:I,FALSE)</f>
        <v>Within 3 Weeks</v>
      </c>
      <c r="P171" s="348" t="str">
        <f>_xlfn.XLOOKUP(E171,'All Products'!D:D,'All Products'!J:J,FALSE)</f>
        <v>Manufactured</v>
      </c>
      <c r="Q171" s="348" t="str">
        <f>_xlfn.XLOOKUP(E171,'All Products'!D:D,'All Products'!K:K,FALSE)</f>
        <v>049081158361</v>
      </c>
      <c r="R171" s="351" t="str">
        <f>_xlfn.XLOOKUP(E171,'All Products'!D:D,'All Products'!L:L,FALSE)</f>
        <v>049081658366</v>
      </c>
      <c r="S171" s="351" t="str">
        <f>_xlfn.XLOOKUP(E171,'All Products'!D:D,'All Products'!M:M,FALSE)</f>
        <v>40049081158369</v>
      </c>
      <c r="T171" s="348">
        <f>_xlfn.XLOOKUP(E171,'All Products'!D:D,'All Products'!N:N,FALSE)</f>
        <v>0.48199999999999998</v>
      </c>
      <c r="U171" s="351">
        <f>_xlfn.XLOOKUP(E171,'All Products'!D:D,'All Products'!O:O,FALSE)</f>
        <v>5</v>
      </c>
      <c r="V171" s="348">
        <f>_xlfn.XLOOKUP(E171,'All Products'!D:D,'All Products'!P:P,FALSE)</f>
        <v>9.2100000000000009</v>
      </c>
      <c r="W171" s="348">
        <f>_xlfn.XLOOKUP(E171,'All Products'!D:D,'All Products'!Q:Q,FALSE)</f>
        <v>0.65</v>
      </c>
    </row>
    <row r="172" spans="1:23">
      <c r="A172" s="104" t="str">
        <f>IF(K172&gt;0,COUNT($A$7:A171)+COUNT('DWV PVC'!$A$8:$A$284)
+COUNT('DWV ABS'!$A$8:$A$116)
+COUNT('PVC SCH40'!$A$8:$A$375)
+COUNT('PVC SCH40 LD'!$A$8:$A$21)
+COUNT('Pool &amp; SPA Sweep Elbows'!$A$8:$A$11)
+COUNT('Pool &amp; SPA Pipe Extender'!$A$8:$A$10)+1,"")</f>
        <v/>
      </c>
      <c r="B172" s="579"/>
      <c r="C172" s="580"/>
      <c r="D172" s="155" t="str">
        <f>_xlfn.XLOOKUP(E172,'All Products'!D:D,'All Products'!C:C,FALSE)</f>
        <v>838-420</v>
      </c>
      <c r="E172" s="106">
        <v>100023685</v>
      </c>
      <c r="F172" s="559" t="str">
        <f>_xlfn.XLOOKUP(E172,'All Products'!D:D,'All Products'!E:E,FALSE)</f>
        <v>4X2 RED BUSHING SPGXFIPT SCH80</v>
      </c>
      <c r="G172" s="283">
        <f>_xlfn.XLOOKUP(E172,'All Products'!D:D,'All Products'!F:F,FALSE)</f>
        <v>10</v>
      </c>
      <c r="H172" s="234">
        <f>_xlfn.XLOOKUP(E172,'All Products'!D:D,'All Products'!G:G,FALSE)</f>
        <v>1500</v>
      </c>
      <c r="I172" s="561">
        <f>_xlfn.XLOOKUP(E172,'All Products'!D:D,'All Products'!H:H,FALSE)</f>
        <v>259.2</v>
      </c>
      <c r="J172" s="135">
        <f>ROUND(I172*Order_Quote!$L$8,2)</f>
        <v>1296</v>
      </c>
      <c r="K172" s="78"/>
      <c r="L172" s="116"/>
      <c r="M172" s="199">
        <f t="shared" si="4"/>
        <v>0</v>
      </c>
      <c r="O172" s="348" t="str">
        <f>_xlfn.XLOOKUP(E172,'All Products'!D:D,'All Products'!I:I,FALSE)</f>
        <v>In Stock</v>
      </c>
      <c r="P172" s="348" t="str">
        <f>_xlfn.XLOOKUP(E172,'All Products'!D:D,'All Products'!J:J,FALSE)</f>
        <v>Manufactured</v>
      </c>
      <c r="Q172" s="348" t="str">
        <f>_xlfn.XLOOKUP(E172,'All Products'!D:D,'All Products'!K:K,FALSE)</f>
        <v>049081158569</v>
      </c>
      <c r="R172" s="351" t="str">
        <f>_xlfn.XLOOKUP(E172,'All Products'!D:D,'All Products'!L:L,FALSE)</f>
        <v>-</v>
      </c>
      <c r="S172" s="351" t="str">
        <f>_xlfn.XLOOKUP(E172,'All Products'!D:D,'All Products'!M:M,FALSE)</f>
        <v>40049081158567</v>
      </c>
      <c r="T172" s="348">
        <f>_xlfn.XLOOKUP(E172,'All Products'!D:D,'All Products'!N:N,FALSE)</f>
        <v>0.89</v>
      </c>
      <c r="U172" s="351" t="str">
        <f>_xlfn.XLOOKUP(E172,'All Products'!D:D,'All Products'!O:O,FALSE)</f>
        <v>-</v>
      </c>
      <c r="V172" s="348">
        <f>_xlfn.XLOOKUP(E172,'All Products'!D:D,'All Products'!P:P,FALSE)</f>
        <v>8.9600000000000009</v>
      </c>
      <c r="W172" s="348">
        <f>_xlfn.XLOOKUP(E172,'All Products'!D:D,'All Products'!Q:Q,FALSE)</f>
        <v>0.5</v>
      </c>
    </row>
    <row r="173" spans="1:23">
      <c r="A173" s="104" t="str">
        <f>IF(K173&gt;0,COUNT($A$7:A172)+COUNT('DWV PVC'!$A$8:$A$284)
+COUNT('DWV ABS'!$A$8:$A$116)
+COUNT('PVC SCH40'!$A$8:$A$375)
+COUNT('PVC SCH40 LD'!$A$8:$A$21)
+COUNT('Pool &amp; SPA Sweep Elbows'!$A$8:$A$11)
+COUNT('Pool &amp; SPA Pipe Extender'!$A$8:$A$10)+1,"")</f>
        <v/>
      </c>
      <c r="B173" s="579"/>
      <c r="C173" s="580"/>
      <c r="D173" s="155" t="str">
        <f>_xlfn.XLOOKUP(E173,'All Products'!D:D,'All Products'!C:C,FALSE)</f>
        <v>838-421</v>
      </c>
      <c r="E173" s="106">
        <v>100028166</v>
      </c>
      <c r="F173" s="559" t="str">
        <f>_xlfn.XLOOKUP(E173,'All Products'!D:D,'All Products'!E:E,FALSE)</f>
        <v>4X2-1/2 RED BUSHING SPGXFIPT SCH80</v>
      </c>
      <c r="G173" s="283">
        <f>_xlfn.XLOOKUP(E173,'All Products'!D:D,'All Products'!F:F,FALSE)</f>
        <v>10</v>
      </c>
      <c r="H173" s="234">
        <f>_xlfn.XLOOKUP(E173,'All Products'!D:D,'All Products'!G:G,FALSE)</f>
        <v>1500</v>
      </c>
      <c r="I173" s="561">
        <f>_xlfn.XLOOKUP(E173,'All Products'!D:D,'All Products'!H:H,FALSE)</f>
        <v>259.2</v>
      </c>
      <c r="J173" s="135">
        <f>ROUND(I173*Order_Quote!$L$8,2)</f>
        <v>1296</v>
      </c>
      <c r="K173" s="78"/>
      <c r="L173" s="116"/>
      <c r="M173" s="199">
        <f t="shared" si="4"/>
        <v>0</v>
      </c>
      <c r="O173" s="348" t="str">
        <f>_xlfn.XLOOKUP(E173,'All Products'!D:D,'All Products'!I:I,FALSE)</f>
        <v>Within 3 Weeks</v>
      </c>
      <c r="P173" s="348" t="str">
        <f>_xlfn.XLOOKUP(E173,'All Products'!D:D,'All Products'!J:J,FALSE)</f>
        <v>Manufactured</v>
      </c>
      <c r="Q173" s="348" t="str">
        <f>_xlfn.XLOOKUP(E173,'All Products'!D:D,'All Products'!K:K,FALSE)</f>
        <v>049081158545</v>
      </c>
      <c r="R173" s="351" t="str">
        <f>_xlfn.XLOOKUP(E173,'All Products'!D:D,'All Products'!L:L,FALSE)</f>
        <v>-</v>
      </c>
      <c r="S173" s="351" t="str">
        <f>_xlfn.XLOOKUP(E173,'All Products'!D:D,'All Products'!M:M,FALSE)</f>
        <v>40049081158543</v>
      </c>
      <c r="T173" s="348">
        <f>_xlfn.XLOOKUP(E173,'All Products'!D:D,'All Products'!N:N,FALSE)</f>
        <v>0.96599999999999997</v>
      </c>
      <c r="U173" s="351" t="str">
        <f>_xlfn.XLOOKUP(E173,'All Products'!D:D,'All Products'!O:O,FALSE)</f>
        <v>-</v>
      </c>
      <c r="V173" s="348">
        <f>_xlfn.XLOOKUP(E173,'All Products'!D:D,'All Products'!P:P,FALSE)</f>
        <v>9.73</v>
      </c>
      <c r="W173" s="348">
        <f>_xlfn.XLOOKUP(E173,'All Products'!D:D,'All Products'!Q:Q,FALSE)</f>
        <v>0.5</v>
      </c>
    </row>
    <row r="174" spans="1:23">
      <c r="A174" s="104" t="str">
        <f>IF(K174&gt;0,COUNT($A$7:A173)+COUNT('DWV PVC'!$A$8:$A$284)
+COUNT('DWV ABS'!$A$8:$A$116)
+COUNT('PVC SCH40'!$A$8:$A$375)
+COUNT('PVC SCH40 LD'!$A$8:$A$21)
+COUNT('Pool &amp; SPA Sweep Elbows'!$A$8:$A$11)
+COUNT('Pool &amp; SPA Pipe Extender'!$A$8:$A$10)+1,"")</f>
        <v/>
      </c>
      <c r="B174" s="581"/>
      <c r="C174" s="582"/>
      <c r="D174" s="155" t="str">
        <f>_xlfn.XLOOKUP(E174,'All Products'!D:D,'All Products'!C:C,FALSE)</f>
        <v>838-422</v>
      </c>
      <c r="E174" s="106">
        <v>100023686</v>
      </c>
      <c r="F174" s="559" t="str">
        <f>_xlfn.XLOOKUP(E174,'All Products'!D:D,'All Products'!E:E,FALSE)</f>
        <v>4X3 RED BUSHING SPGXFIPT SCH80</v>
      </c>
      <c r="G174" s="283">
        <f>_xlfn.XLOOKUP(E174,'All Products'!D:D,'All Products'!F:F,FALSE)</f>
        <v>10</v>
      </c>
      <c r="H174" s="234">
        <f>_xlfn.XLOOKUP(E174,'All Products'!D:D,'All Products'!G:G,FALSE)</f>
        <v>1500</v>
      </c>
      <c r="I174" s="561">
        <f>_xlfn.XLOOKUP(E174,'All Products'!D:D,'All Products'!H:H,FALSE)</f>
        <v>259.2</v>
      </c>
      <c r="J174" s="135">
        <f>ROUND(I174*Order_Quote!$L$8,2)</f>
        <v>1296</v>
      </c>
      <c r="K174" s="78"/>
      <c r="L174" s="116"/>
      <c r="M174" s="199">
        <f t="shared" si="4"/>
        <v>0</v>
      </c>
      <c r="O174" s="348" t="str">
        <f>_xlfn.XLOOKUP(E174,'All Products'!D:D,'All Products'!I:I,FALSE)</f>
        <v>In Stock</v>
      </c>
      <c r="P174" s="348" t="str">
        <f>_xlfn.XLOOKUP(E174,'All Products'!D:D,'All Products'!J:J,FALSE)</f>
        <v>Manufactured</v>
      </c>
      <c r="Q174" s="348" t="str">
        <f>_xlfn.XLOOKUP(E174,'All Products'!D:D,'All Products'!K:K,FALSE)</f>
        <v>049081158521</v>
      </c>
      <c r="R174" s="351" t="str">
        <f>_xlfn.XLOOKUP(E174,'All Products'!D:D,'All Products'!L:L,FALSE)</f>
        <v>-</v>
      </c>
      <c r="S174" s="351" t="str">
        <f>_xlfn.XLOOKUP(E174,'All Products'!D:D,'All Products'!M:M,FALSE)</f>
        <v>40049081158529</v>
      </c>
      <c r="T174" s="348">
        <f>_xlfn.XLOOKUP(E174,'All Products'!D:D,'All Products'!N:N,FALSE)</f>
        <v>0.86</v>
      </c>
      <c r="U174" s="351" t="str">
        <f>_xlfn.XLOOKUP(E174,'All Products'!D:D,'All Products'!O:O,FALSE)</f>
        <v>-</v>
      </c>
      <c r="V174" s="348">
        <f>_xlfn.XLOOKUP(E174,'All Products'!D:D,'All Products'!P:P,FALSE)</f>
        <v>8.84</v>
      </c>
      <c r="W174" s="348">
        <f>_xlfn.XLOOKUP(E174,'All Products'!D:D,'All Products'!Q:Q,FALSE)</f>
        <v>0.5</v>
      </c>
    </row>
    <row r="175" spans="1:23">
      <c r="A175" s="104" t="str">
        <f>IF(K175&gt;0,COUNT($A$7:A174)+COUNT('DWV PVC'!$A$8:$A$284)
+COUNT('DWV ABS'!$A$8:$A$116)
+COUNT('PVC SCH40'!$A$8:$A$375)
+COUNT('PVC SCH40 LD'!$A$8:$A$21)
+COUNT('Pool &amp; SPA Sweep Elbows'!$A$8:$A$11)
+COUNT('Pool &amp; SPA Pipe Extender'!$A$8:$A$10)+1,"")</f>
        <v/>
      </c>
      <c r="B175" s="577"/>
      <c r="C175" s="578"/>
      <c r="D175" s="155" t="str">
        <f>_xlfn.XLOOKUP(E175,'All Products'!D:D,'All Products'!C:C,FALSE)</f>
        <v>839-041</v>
      </c>
      <c r="E175" s="106">
        <v>100023437</v>
      </c>
      <c r="F175" s="559" t="str">
        <f>_xlfn.XLOOKUP(E175,'All Products'!D:D,'All Products'!E:E,FALSE)</f>
        <v>1/4X1/8 RED BUSHING MIPTXFIPT SCH80</v>
      </c>
      <c r="G175" s="283">
        <f>_xlfn.XLOOKUP(E175,'All Products'!D:D,'All Products'!F:F,FALSE)</f>
        <v>500</v>
      </c>
      <c r="H175" s="234">
        <f>_xlfn.XLOOKUP(E175,'All Products'!D:D,'All Products'!G:G,FALSE)</f>
        <v>135000</v>
      </c>
      <c r="I175" s="561">
        <f>_xlfn.XLOOKUP(E175,'All Products'!D:D,'All Products'!H:H,FALSE)</f>
        <v>30.2</v>
      </c>
      <c r="J175" s="135">
        <f>ROUND(I175*Order_Quote!$L$8,2)</f>
        <v>151</v>
      </c>
      <c r="K175" s="78"/>
      <c r="L175" s="116"/>
      <c r="M175" s="199">
        <f t="shared" si="4"/>
        <v>0</v>
      </c>
      <c r="O175" s="348" t="str">
        <f>_xlfn.XLOOKUP(E175,'All Products'!D:D,'All Products'!I:I,FALSE)</f>
        <v>Within 3 Weeks</v>
      </c>
      <c r="P175" s="348" t="str">
        <f>_xlfn.XLOOKUP(E175,'All Products'!D:D,'All Products'!J:J,FALSE)</f>
        <v>Manufactured</v>
      </c>
      <c r="Q175" s="348" t="str">
        <f>_xlfn.XLOOKUP(E175,'All Products'!D:D,'All Products'!K:K,FALSE)</f>
        <v>049081158767</v>
      </c>
      <c r="R175" s="351" t="str">
        <f>_xlfn.XLOOKUP(E175,'All Products'!D:D,'All Products'!L:L,FALSE)</f>
        <v>049081658762</v>
      </c>
      <c r="S175" s="351" t="str">
        <f>_xlfn.XLOOKUP(E175,'All Products'!D:D,'All Products'!M:M,FALSE)</f>
        <v>40049081158765</v>
      </c>
      <c r="T175" s="348">
        <f>_xlfn.XLOOKUP(E175,'All Products'!D:D,'All Products'!N:N,FALSE)</f>
        <v>1.4999999999999999E-2</v>
      </c>
      <c r="U175" s="351">
        <f>_xlfn.XLOOKUP(E175,'All Products'!D:D,'All Products'!O:O,FALSE)</f>
        <v>10</v>
      </c>
      <c r="V175" s="348">
        <f>_xlfn.XLOOKUP(E175,'All Products'!D:D,'All Products'!P:P,FALSE)</f>
        <v>7.64</v>
      </c>
      <c r="W175" s="348">
        <f>_xlfn.XLOOKUP(E175,'All Products'!D:D,'All Products'!Q:Q,FALSE)</f>
        <v>0.31</v>
      </c>
    </row>
    <row r="176" spans="1:23">
      <c r="A176" s="104" t="str">
        <f>IF(K176&gt;0,COUNT($A$7:A175)+COUNT('DWV PVC'!$A$8:$A$284)
+COUNT('DWV ABS'!$A$8:$A$116)
+COUNT('PVC SCH40'!$A$8:$A$375)
+COUNT('PVC SCH40 LD'!$A$8:$A$21)
+COUNT('Pool &amp; SPA Sweep Elbows'!$A$8:$A$11)
+COUNT('Pool &amp; SPA Pipe Extender'!$A$8:$A$10)+1,"")</f>
        <v/>
      </c>
      <c r="B176" s="579"/>
      <c r="C176" s="580"/>
      <c r="D176" s="155" t="str">
        <f>_xlfn.XLOOKUP(E176,'All Products'!D:D,'All Products'!C:C,FALSE)</f>
        <v>839-052</v>
      </c>
      <c r="E176" s="106">
        <v>100023687</v>
      </c>
      <c r="F176" s="559" t="str">
        <f>_xlfn.XLOOKUP(E176,'All Products'!D:D,'All Products'!E:E,FALSE)</f>
        <v>3/8X1/4 RED BUSHING MIPTXFIPT SCH80</v>
      </c>
      <c r="G176" s="283">
        <f>_xlfn.XLOOKUP(E176,'All Products'!D:D,'All Products'!F:F,FALSE)</f>
        <v>500</v>
      </c>
      <c r="H176" s="234">
        <f>_xlfn.XLOOKUP(E176,'All Products'!D:D,'All Products'!G:G,FALSE)</f>
        <v>75000</v>
      </c>
      <c r="I176" s="561">
        <f>_xlfn.XLOOKUP(E176,'All Products'!D:D,'All Products'!H:H,FALSE)</f>
        <v>30.2</v>
      </c>
      <c r="J176" s="135">
        <f>ROUND(I176*Order_Quote!$L$8,2)</f>
        <v>151</v>
      </c>
      <c r="K176" s="78"/>
      <c r="L176" s="116"/>
      <c r="M176" s="199">
        <f t="shared" si="4"/>
        <v>0</v>
      </c>
      <c r="O176" s="348" t="str">
        <f>_xlfn.XLOOKUP(E176,'All Products'!D:D,'All Products'!I:I,FALSE)</f>
        <v>In Stock</v>
      </c>
      <c r="P176" s="348" t="str">
        <f>_xlfn.XLOOKUP(E176,'All Products'!D:D,'All Products'!J:J,FALSE)</f>
        <v>Manufactured</v>
      </c>
      <c r="Q176" s="348" t="str">
        <f>_xlfn.XLOOKUP(E176,'All Products'!D:D,'All Products'!K:K,FALSE)</f>
        <v>049081158781</v>
      </c>
      <c r="R176" s="351" t="str">
        <f>_xlfn.XLOOKUP(E176,'All Products'!D:D,'All Products'!L:L,FALSE)</f>
        <v>049081658786</v>
      </c>
      <c r="S176" s="351" t="str">
        <f>_xlfn.XLOOKUP(E176,'All Products'!D:D,'All Products'!M:M,FALSE)</f>
        <v>40049081158789</v>
      </c>
      <c r="T176" s="348">
        <f>_xlfn.XLOOKUP(E176,'All Products'!D:D,'All Products'!N:N,FALSE)</f>
        <v>1.2999999999999999E-2</v>
      </c>
      <c r="U176" s="351">
        <f>_xlfn.XLOOKUP(E176,'All Products'!D:D,'All Products'!O:O,FALSE)</f>
        <v>10</v>
      </c>
      <c r="V176" s="348">
        <f>_xlfn.XLOOKUP(E176,'All Products'!D:D,'All Products'!P:P,FALSE)</f>
        <v>10.7</v>
      </c>
      <c r="W176" s="348">
        <f>_xlfn.XLOOKUP(E176,'All Products'!D:D,'All Products'!Q:Q,FALSE)</f>
        <v>0.5</v>
      </c>
    </row>
    <row r="177" spans="1:23">
      <c r="A177" s="104" t="str">
        <f>IF(K177&gt;0,COUNT($A$7:A176)+COUNT('DWV PVC'!$A$8:$A$284)
+COUNT('DWV ABS'!$A$8:$A$116)
+COUNT('PVC SCH40'!$A$8:$A$375)
+COUNT('PVC SCH40 LD'!$A$8:$A$21)
+COUNT('Pool &amp; SPA Sweep Elbows'!$A$8:$A$11)
+COUNT('Pool &amp; SPA Pipe Extender'!$A$8:$A$10)+1,"")</f>
        <v/>
      </c>
      <c r="B177" s="579"/>
      <c r="C177" s="580"/>
      <c r="D177" s="155" t="str">
        <f>_xlfn.XLOOKUP(E177,'All Products'!D:D,'All Products'!C:C,FALSE)</f>
        <v>839-072</v>
      </c>
      <c r="E177" s="106">
        <v>100023689</v>
      </c>
      <c r="F177" s="559" t="str">
        <f>_xlfn.XLOOKUP(E177,'All Products'!D:D,'All Products'!E:E,FALSE)</f>
        <v>1/2X1/4 RED BUSHING MIPTXFIPT SCH80</v>
      </c>
      <c r="G177" s="283">
        <f>_xlfn.XLOOKUP(E177,'All Products'!D:D,'All Products'!F:F,FALSE)</f>
        <v>500</v>
      </c>
      <c r="H177" s="234">
        <f>_xlfn.XLOOKUP(E177,'All Products'!D:D,'All Products'!G:G,FALSE)</f>
        <v>75000</v>
      </c>
      <c r="I177" s="561">
        <f>_xlfn.XLOOKUP(E177,'All Products'!D:D,'All Products'!H:H,FALSE)</f>
        <v>30.2</v>
      </c>
      <c r="J177" s="135">
        <f>ROUND(I177*Order_Quote!$L$8,2)</f>
        <v>151</v>
      </c>
      <c r="K177" s="78"/>
      <c r="L177" s="116"/>
      <c r="M177" s="199">
        <f t="shared" si="4"/>
        <v>0</v>
      </c>
      <c r="O177" s="348" t="str">
        <f>_xlfn.XLOOKUP(E177,'All Products'!D:D,'All Products'!I:I,FALSE)</f>
        <v>In Stock</v>
      </c>
      <c r="P177" s="348" t="str">
        <f>_xlfn.XLOOKUP(E177,'All Products'!D:D,'All Products'!J:J,FALSE)</f>
        <v>Manufactured</v>
      </c>
      <c r="Q177" s="348" t="str">
        <f>_xlfn.XLOOKUP(E177,'All Products'!D:D,'All Products'!K:K,FALSE)</f>
        <v>049081158828</v>
      </c>
      <c r="R177" s="351" t="str">
        <f>_xlfn.XLOOKUP(E177,'All Products'!D:D,'All Products'!L:L,FALSE)</f>
        <v>049081658823</v>
      </c>
      <c r="S177" s="351" t="str">
        <f>_xlfn.XLOOKUP(E177,'All Products'!D:D,'All Products'!M:M,FALSE)</f>
        <v>40049081158826</v>
      </c>
      <c r="T177" s="348">
        <f>_xlfn.XLOOKUP(E177,'All Products'!D:D,'All Products'!N:N,FALSE)</f>
        <v>2.1000000000000001E-2</v>
      </c>
      <c r="U177" s="351">
        <f>_xlfn.XLOOKUP(E177,'All Products'!D:D,'All Products'!O:O,FALSE)</f>
        <v>10</v>
      </c>
      <c r="V177" s="348">
        <f>_xlfn.XLOOKUP(E177,'All Products'!D:D,'All Products'!P:P,FALSE)</f>
        <v>11.05</v>
      </c>
      <c r="W177" s="348">
        <f>_xlfn.XLOOKUP(E177,'All Products'!D:D,'All Products'!Q:Q,FALSE)</f>
        <v>0.5</v>
      </c>
    </row>
    <row r="178" spans="1:23">
      <c r="A178" s="104" t="str">
        <f>IF(K178&gt;0,COUNT($A$7:A177)+COUNT('DWV PVC'!$A$8:$A$284)
+COUNT('DWV ABS'!$A$8:$A$116)
+COUNT('PVC SCH40'!$A$8:$A$375)
+COUNT('PVC SCH40 LD'!$A$8:$A$21)
+COUNT('Pool &amp; SPA Sweep Elbows'!$A$8:$A$11)
+COUNT('Pool &amp; SPA Pipe Extender'!$A$8:$A$10)+1,"")</f>
        <v/>
      </c>
      <c r="B178" s="579"/>
      <c r="C178" s="580"/>
      <c r="D178" s="155" t="str">
        <f>_xlfn.XLOOKUP(E178,'All Products'!D:D,'All Products'!C:C,FALSE)</f>
        <v>839-073</v>
      </c>
      <c r="E178" s="106">
        <v>100023690</v>
      </c>
      <c r="F178" s="559" t="str">
        <f>_xlfn.XLOOKUP(E178,'All Products'!D:D,'All Products'!E:E,FALSE)</f>
        <v>1/2X3/8 RED BUSHING MIPTXFIPT SCH80</v>
      </c>
      <c r="G178" s="283">
        <f>_xlfn.XLOOKUP(E178,'All Products'!D:D,'All Products'!F:F,FALSE)</f>
        <v>500</v>
      </c>
      <c r="H178" s="234">
        <f>_xlfn.XLOOKUP(E178,'All Products'!D:D,'All Products'!G:G,FALSE)</f>
        <v>75000</v>
      </c>
      <c r="I178" s="561">
        <f>_xlfn.XLOOKUP(E178,'All Products'!D:D,'All Products'!H:H,FALSE)</f>
        <v>30.2</v>
      </c>
      <c r="J178" s="135">
        <f>ROUND(I178*Order_Quote!$L$8,2)</f>
        <v>151</v>
      </c>
      <c r="K178" s="78"/>
      <c r="L178" s="116"/>
      <c r="M178" s="199">
        <f t="shared" si="4"/>
        <v>0</v>
      </c>
      <c r="O178" s="348" t="str">
        <f>_xlfn.XLOOKUP(E178,'All Products'!D:D,'All Products'!I:I,FALSE)</f>
        <v>In Stock</v>
      </c>
      <c r="P178" s="348" t="str">
        <f>_xlfn.XLOOKUP(E178,'All Products'!D:D,'All Products'!J:J,FALSE)</f>
        <v>Manufactured</v>
      </c>
      <c r="Q178" s="348" t="str">
        <f>_xlfn.XLOOKUP(E178,'All Products'!D:D,'All Products'!K:K,FALSE)</f>
        <v>049081158804</v>
      </c>
      <c r="R178" s="351" t="str">
        <f>_xlfn.XLOOKUP(E178,'All Products'!D:D,'All Products'!L:L,FALSE)</f>
        <v>049081658809</v>
      </c>
      <c r="S178" s="351" t="str">
        <f>_xlfn.XLOOKUP(E178,'All Products'!D:D,'All Products'!M:M,FALSE)</f>
        <v>40049081158802</v>
      </c>
      <c r="T178" s="348">
        <f>_xlfn.XLOOKUP(E178,'All Products'!D:D,'All Products'!N:N,FALSE)</f>
        <v>1.4999999999999999E-2</v>
      </c>
      <c r="U178" s="351">
        <f>_xlfn.XLOOKUP(E178,'All Products'!D:D,'All Products'!O:O,FALSE)</f>
        <v>10</v>
      </c>
      <c r="V178" s="348">
        <f>_xlfn.XLOOKUP(E178,'All Products'!D:D,'All Products'!P:P,FALSE)</f>
        <v>8.02</v>
      </c>
      <c r="W178" s="348">
        <f>_xlfn.XLOOKUP(E178,'All Products'!D:D,'All Products'!Q:Q,FALSE)</f>
        <v>0.5</v>
      </c>
    </row>
    <row r="179" spans="1:23">
      <c r="A179" s="104" t="str">
        <f>IF(K179&gt;0,COUNT($A$7:A178)+COUNT('DWV PVC'!$A$8:$A$284)
+COUNT('DWV ABS'!$A$8:$A$116)
+COUNT('PVC SCH40'!$A$8:$A$375)
+COUNT('PVC SCH40 LD'!$A$8:$A$21)
+COUNT('Pool &amp; SPA Sweep Elbows'!$A$8:$A$11)
+COUNT('Pool &amp; SPA Pipe Extender'!$A$8:$A$10)+1,"")</f>
        <v/>
      </c>
      <c r="B179" s="579"/>
      <c r="C179" s="580"/>
      <c r="D179" s="155" t="str">
        <f>_xlfn.XLOOKUP(E179,'All Products'!D:D,'All Products'!C:C,FALSE)</f>
        <v>839-098</v>
      </c>
      <c r="E179" s="106">
        <v>100023691</v>
      </c>
      <c r="F179" s="559" t="str">
        <f>_xlfn.XLOOKUP(E179,'All Products'!D:D,'All Products'!E:E,FALSE)</f>
        <v>3/4X1/4 RED BUSHING MIPTXFIPT SCH80</v>
      </c>
      <c r="G179" s="283">
        <f>_xlfn.XLOOKUP(E179,'All Products'!D:D,'All Products'!F:F,FALSE)</f>
        <v>250</v>
      </c>
      <c r="H179" s="234">
        <f>_xlfn.XLOOKUP(E179,'All Products'!D:D,'All Products'!G:G,FALSE)</f>
        <v>37500</v>
      </c>
      <c r="I179" s="561">
        <f>_xlfn.XLOOKUP(E179,'All Products'!D:D,'All Products'!H:H,FALSE)</f>
        <v>22.5</v>
      </c>
      <c r="J179" s="135">
        <f>ROUND(I179*Order_Quote!$L$8,2)</f>
        <v>112.5</v>
      </c>
      <c r="K179" s="78"/>
      <c r="L179" s="116"/>
      <c r="M179" s="199">
        <f t="shared" si="4"/>
        <v>0</v>
      </c>
      <c r="O179" s="348" t="str">
        <f>_xlfn.XLOOKUP(E179,'All Products'!D:D,'All Products'!I:I,FALSE)</f>
        <v>Within 3 Weeks</v>
      </c>
      <c r="P179" s="348" t="str">
        <f>_xlfn.XLOOKUP(E179,'All Products'!D:D,'All Products'!J:J,FALSE)</f>
        <v>Manufactured</v>
      </c>
      <c r="Q179" s="348" t="str">
        <f>_xlfn.XLOOKUP(E179,'All Products'!D:D,'All Products'!K:K,FALSE)</f>
        <v>049081158880</v>
      </c>
      <c r="R179" s="351" t="str">
        <f>_xlfn.XLOOKUP(E179,'All Products'!D:D,'All Products'!L:L,FALSE)</f>
        <v>049081658885</v>
      </c>
      <c r="S179" s="351" t="str">
        <f>_xlfn.XLOOKUP(E179,'All Products'!D:D,'All Products'!M:M,FALSE)</f>
        <v>40049081158888</v>
      </c>
      <c r="T179" s="348">
        <f>_xlfn.XLOOKUP(E179,'All Products'!D:D,'All Products'!N:N,FALSE)</f>
        <v>3.5999999999999997E-2</v>
      </c>
      <c r="U179" s="351">
        <f>_xlfn.XLOOKUP(E179,'All Products'!D:D,'All Products'!O:O,FALSE)</f>
        <v>10</v>
      </c>
      <c r="V179" s="348">
        <f>_xlfn.XLOOKUP(E179,'All Products'!D:D,'All Products'!P:P,FALSE)</f>
        <v>10.35</v>
      </c>
      <c r="W179" s="348">
        <f>_xlfn.XLOOKUP(E179,'All Products'!D:D,'All Products'!Q:Q,FALSE)</f>
        <v>0.5</v>
      </c>
    </row>
    <row r="180" spans="1:23">
      <c r="A180" s="104" t="str">
        <f>IF(K180&gt;0,COUNT($A$7:A179)+COUNT('DWV PVC'!$A$8:$A$284)
+COUNT('DWV ABS'!$A$8:$A$116)
+COUNT('PVC SCH40'!$A$8:$A$375)
+COUNT('PVC SCH40 LD'!$A$8:$A$21)
+COUNT('Pool &amp; SPA Sweep Elbows'!$A$8:$A$11)
+COUNT('Pool &amp; SPA Pipe Extender'!$A$8:$A$10)+1,"")</f>
        <v/>
      </c>
      <c r="B180" s="579"/>
      <c r="C180" s="580"/>
      <c r="D180" s="155" t="str">
        <f>_xlfn.XLOOKUP(E180,'All Products'!D:D,'All Products'!C:C,FALSE)</f>
        <v>839-099</v>
      </c>
      <c r="E180" s="106">
        <v>100023692</v>
      </c>
      <c r="F180" s="559" t="str">
        <f>_xlfn.XLOOKUP(E180,'All Products'!D:D,'All Products'!E:E,FALSE)</f>
        <v>3/4X3/8 RED BUSHING MIPTXFIPT SCH80</v>
      </c>
      <c r="G180" s="283">
        <f>_xlfn.XLOOKUP(E180,'All Products'!D:D,'All Products'!F:F,FALSE)</f>
        <v>250</v>
      </c>
      <c r="H180" s="234">
        <f>_xlfn.XLOOKUP(E180,'All Products'!D:D,'All Products'!G:G,FALSE)</f>
        <v>37500</v>
      </c>
      <c r="I180" s="561">
        <f>_xlfn.XLOOKUP(E180,'All Products'!D:D,'All Products'!H:H,FALSE)</f>
        <v>22.5</v>
      </c>
      <c r="J180" s="135">
        <f>ROUND(I180*Order_Quote!$L$8,2)</f>
        <v>112.5</v>
      </c>
      <c r="K180" s="78"/>
      <c r="L180" s="116"/>
      <c r="M180" s="199">
        <f t="shared" si="4"/>
        <v>0</v>
      </c>
      <c r="O180" s="348" t="str">
        <f>_xlfn.XLOOKUP(E180,'All Products'!D:D,'All Products'!I:I,FALSE)</f>
        <v>In Stock</v>
      </c>
      <c r="P180" s="348" t="str">
        <f>_xlfn.XLOOKUP(E180,'All Products'!D:D,'All Products'!J:J,FALSE)</f>
        <v>Manufactured</v>
      </c>
      <c r="Q180" s="348" t="str">
        <f>_xlfn.XLOOKUP(E180,'All Products'!D:D,'All Products'!K:K,FALSE)</f>
        <v>049081158866</v>
      </c>
      <c r="R180" s="351" t="str">
        <f>_xlfn.XLOOKUP(E180,'All Products'!D:D,'All Products'!L:L,FALSE)</f>
        <v>049081658861</v>
      </c>
      <c r="S180" s="351" t="str">
        <f>_xlfn.XLOOKUP(E180,'All Products'!D:D,'All Products'!M:M,FALSE)</f>
        <v>40049081158864</v>
      </c>
      <c r="T180" s="348">
        <f>_xlfn.XLOOKUP(E180,'All Products'!D:D,'All Products'!N:N,FALSE)</f>
        <v>0.03</v>
      </c>
      <c r="U180" s="351">
        <f>_xlfn.XLOOKUP(E180,'All Products'!D:D,'All Products'!O:O,FALSE)</f>
        <v>10</v>
      </c>
      <c r="V180" s="348">
        <f>_xlfn.XLOOKUP(E180,'All Products'!D:D,'All Products'!P:P,FALSE)</f>
        <v>8.6999999999999993</v>
      </c>
      <c r="W180" s="348">
        <f>_xlfn.XLOOKUP(E180,'All Products'!D:D,'All Products'!Q:Q,FALSE)</f>
        <v>0.5</v>
      </c>
    </row>
    <row r="181" spans="1:23">
      <c r="A181" s="104" t="str">
        <f>IF(K181&gt;0,COUNT($A$7:A180)+COUNT('DWV PVC'!$A$8:$A$284)
+COUNT('DWV ABS'!$A$8:$A$116)
+COUNT('PVC SCH40'!$A$8:$A$375)
+COUNT('PVC SCH40 LD'!$A$8:$A$21)
+COUNT('Pool &amp; SPA Sweep Elbows'!$A$8:$A$11)
+COUNT('Pool &amp; SPA Pipe Extender'!$A$8:$A$10)+1,"")</f>
        <v/>
      </c>
      <c r="B181" s="579"/>
      <c r="C181" s="580"/>
      <c r="D181" s="155" t="str">
        <f>_xlfn.XLOOKUP(E181,'All Products'!D:D,'All Products'!C:C,FALSE)</f>
        <v>839-101</v>
      </c>
      <c r="E181" s="106">
        <v>100023693</v>
      </c>
      <c r="F181" s="559" t="str">
        <f>_xlfn.XLOOKUP(E181,'All Products'!D:D,'All Products'!E:E,FALSE)</f>
        <v>3/4X1/2 RED BUSHING MIPTXFIPT SCH80</v>
      </c>
      <c r="G181" s="283">
        <f>_xlfn.XLOOKUP(E181,'All Products'!D:D,'All Products'!F:F,FALSE)</f>
        <v>250</v>
      </c>
      <c r="H181" s="234">
        <f>_xlfn.XLOOKUP(E181,'All Products'!D:D,'All Products'!G:G,FALSE)</f>
        <v>37500</v>
      </c>
      <c r="I181" s="561">
        <f>_xlfn.XLOOKUP(E181,'All Products'!D:D,'All Products'!H:H,FALSE)</f>
        <v>18.54</v>
      </c>
      <c r="J181" s="135">
        <f>ROUND(I181*Order_Quote!$L$8,2)</f>
        <v>92.7</v>
      </c>
      <c r="K181" s="78"/>
      <c r="L181" s="116"/>
      <c r="M181" s="199">
        <f t="shared" si="4"/>
        <v>0</v>
      </c>
      <c r="O181" s="348" t="str">
        <f>_xlfn.XLOOKUP(E181,'All Products'!D:D,'All Products'!I:I,FALSE)</f>
        <v>In Stock</v>
      </c>
      <c r="P181" s="348" t="str">
        <f>_xlfn.XLOOKUP(E181,'All Products'!D:D,'All Products'!J:J,FALSE)</f>
        <v>Manufactured</v>
      </c>
      <c r="Q181" s="348" t="str">
        <f>_xlfn.XLOOKUP(E181,'All Products'!D:D,'All Products'!K:K,FALSE)</f>
        <v>049081158842</v>
      </c>
      <c r="R181" s="351" t="str">
        <f>_xlfn.XLOOKUP(E181,'All Products'!D:D,'All Products'!L:L,FALSE)</f>
        <v>049081658847</v>
      </c>
      <c r="S181" s="351" t="str">
        <f>_xlfn.XLOOKUP(E181,'All Products'!D:D,'All Products'!M:M,FALSE)</f>
        <v>40049081158840</v>
      </c>
      <c r="T181" s="348">
        <f>_xlfn.XLOOKUP(E181,'All Products'!D:D,'All Products'!N:N,FALSE)</f>
        <v>2.5999999999999999E-2</v>
      </c>
      <c r="U181" s="351">
        <f>_xlfn.XLOOKUP(E181,'All Products'!D:D,'All Products'!O:O,FALSE)</f>
        <v>10</v>
      </c>
      <c r="V181" s="348">
        <f>_xlfn.XLOOKUP(E181,'All Products'!D:D,'All Products'!P:P,FALSE)</f>
        <v>5.5</v>
      </c>
      <c r="W181" s="348">
        <f>_xlfn.XLOOKUP(E181,'All Products'!D:D,'All Products'!Q:Q,FALSE)</f>
        <v>0.5</v>
      </c>
    </row>
    <row r="182" spans="1:23">
      <c r="A182" s="104" t="str">
        <f>IF(K182&gt;0,COUNT($A$7:A181)+COUNT('DWV PVC'!$A$8:$A$284)
+COUNT('DWV ABS'!$A$8:$A$116)
+COUNT('PVC SCH40'!$A$8:$A$375)
+COUNT('PVC SCH40 LD'!$A$8:$A$21)
+COUNT('Pool &amp; SPA Sweep Elbows'!$A$8:$A$11)
+COUNT('Pool &amp; SPA Pipe Extender'!$A$8:$A$10)+1,"")</f>
        <v/>
      </c>
      <c r="B182" s="579"/>
      <c r="C182" s="580"/>
      <c r="D182" s="155" t="str">
        <f>_xlfn.XLOOKUP(E182,'All Products'!D:D,'All Products'!C:C,FALSE)</f>
        <v>839-128</v>
      </c>
      <c r="E182" s="106">
        <v>100023694</v>
      </c>
      <c r="F182" s="559" t="str">
        <f>_xlfn.XLOOKUP(E182,'All Products'!D:D,'All Products'!E:E,FALSE)</f>
        <v>1X1/4 RED BUSHING MIPTXFIPT SCH80</v>
      </c>
      <c r="G182" s="283">
        <f>_xlfn.XLOOKUP(E182,'All Products'!D:D,'All Products'!F:F,FALSE)</f>
        <v>250</v>
      </c>
      <c r="H182" s="234">
        <f>_xlfn.XLOOKUP(E182,'All Products'!D:D,'All Products'!G:G,FALSE)</f>
        <v>30000</v>
      </c>
      <c r="I182" s="561">
        <f>_xlfn.XLOOKUP(E182,'All Products'!D:D,'All Products'!H:H,FALSE)</f>
        <v>36.340000000000003</v>
      </c>
      <c r="J182" s="135">
        <f>ROUND(I182*Order_Quote!$L$8,2)</f>
        <v>181.7</v>
      </c>
      <c r="K182" s="78"/>
      <c r="L182" s="116"/>
      <c r="M182" s="199">
        <f t="shared" si="4"/>
        <v>0</v>
      </c>
      <c r="O182" s="348" t="str">
        <f>_xlfn.XLOOKUP(E182,'All Products'!D:D,'All Products'!I:I,FALSE)</f>
        <v>In Stock</v>
      </c>
      <c r="P182" s="348" t="str">
        <f>_xlfn.XLOOKUP(E182,'All Products'!D:D,'All Products'!J:J,FALSE)</f>
        <v>Manufactured</v>
      </c>
      <c r="Q182" s="348" t="str">
        <f>_xlfn.XLOOKUP(E182,'All Products'!D:D,'All Products'!K:K,FALSE)</f>
        <v>049081158941</v>
      </c>
      <c r="R182" s="351" t="str">
        <f>_xlfn.XLOOKUP(E182,'All Products'!D:D,'All Products'!L:L,FALSE)</f>
        <v>049081658946</v>
      </c>
      <c r="S182" s="351" t="str">
        <f>_xlfn.XLOOKUP(E182,'All Products'!D:D,'All Products'!M:M,FALSE)</f>
        <v>40049081158949</v>
      </c>
      <c r="T182" s="348">
        <f>_xlfn.XLOOKUP(E182,'All Products'!D:D,'All Products'!N:N,FALSE)</f>
        <v>6.8000000000000005E-2</v>
      </c>
      <c r="U182" s="351">
        <f>_xlfn.XLOOKUP(E182,'All Products'!D:D,'All Products'!O:O,FALSE)</f>
        <v>10</v>
      </c>
      <c r="V182" s="348">
        <f>_xlfn.XLOOKUP(E182,'All Products'!D:D,'All Products'!P:P,FALSE)</f>
        <v>17.12</v>
      </c>
      <c r="W182" s="348">
        <f>_xlfn.XLOOKUP(E182,'All Products'!D:D,'All Products'!Q:Q,FALSE)</f>
        <v>0.65</v>
      </c>
    </row>
    <row r="183" spans="1:23">
      <c r="A183" s="104" t="str">
        <f>IF(K183&gt;0,COUNT($A$7:A182)+COUNT('DWV PVC'!$A$8:$A$284)
+COUNT('DWV ABS'!$A$8:$A$116)
+COUNT('PVC SCH40'!$A$8:$A$375)
+COUNT('PVC SCH40 LD'!$A$8:$A$21)
+COUNT('Pool &amp; SPA Sweep Elbows'!$A$8:$A$11)
+COUNT('Pool &amp; SPA Pipe Extender'!$A$8:$A$10)+1,"")</f>
        <v/>
      </c>
      <c r="B183" s="579"/>
      <c r="C183" s="580"/>
      <c r="D183" s="155" t="str">
        <f>_xlfn.XLOOKUP(E183,'All Products'!D:D,'All Products'!C:C,FALSE)</f>
        <v>839-129</v>
      </c>
      <c r="E183" s="106">
        <v>100023695</v>
      </c>
      <c r="F183" s="559" t="str">
        <f>_xlfn.XLOOKUP(E183,'All Products'!D:D,'All Products'!E:E,FALSE)</f>
        <v>1X3/8 RED BUSHING MIPTXFIPT SCH80</v>
      </c>
      <c r="G183" s="283">
        <f>_xlfn.XLOOKUP(E183,'All Products'!D:D,'All Products'!F:F,FALSE)</f>
        <v>250</v>
      </c>
      <c r="H183" s="234">
        <f>_xlfn.XLOOKUP(E183,'All Products'!D:D,'All Products'!G:G,FALSE)</f>
        <v>30000</v>
      </c>
      <c r="I183" s="561">
        <f>_xlfn.XLOOKUP(E183,'All Products'!D:D,'All Products'!H:H,FALSE)</f>
        <v>29.05</v>
      </c>
      <c r="J183" s="135">
        <f>ROUND(I183*Order_Quote!$L$8,2)</f>
        <v>145.25</v>
      </c>
      <c r="K183" s="78"/>
      <c r="L183" s="116"/>
      <c r="M183" s="199">
        <f t="shared" si="4"/>
        <v>0</v>
      </c>
      <c r="O183" s="348" t="str">
        <f>_xlfn.XLOOKUP(E183,'All Products'!D:D,'All Products'!I:I,FALSE)</f>
        <v>In Stock</v>
      </c>
      <c r="P183" s="348" t="str">
        <f>_xlfn.XLOOKUP(E183,'All Products'!D:D,'All Products'!J:J,FALSE)</f>
        <v>Manufactured</v>
      </c>
      <c r="Q183" s="348" t="str">
        <f>_xlfn.XLOOKUP(E183,'All Products'!D:D,'All Products'!K:K,FALSE)</f>
        <v>049081158965</v>
      </c>
      <c r="R183" s="351" t="str">
        <f>_xlfn.XLOOKUP(E183,'All Products'!D:D,'All Products'!L:L,FALSE)</f>
        <v>049081658960</v>
      </c>
      <c r="S183" s="351" t="str">
        <f>_xlfn.XLOOKUP(E183,'All Products'!D:D,'All Products'!M:M,FALSE)</f>
        <v>40049081158963</v>
      </c>
      <c r="T183" s="348">
        <f>_xlfn.XLOOKUP(E183,'All Products'!D:D,'All Products'!N:N,FALSE)</f>
        <v>6.2E-2</v>
      </c>
      <c r="U183" s="351">
        <f>_xlfn.XLOOKUP(E183,'All Products'!D:D,'All Products'!O:O,FALSE)</f>
        <v>10</v>
      </c>
      <c r="V183" s="348">
        <f>_xlfn.XLOOKUP(E183,'All Products'!D:D,'All Products'!P:P,FALSE)</f>
        <v>15.52</v>
      </c>
      <c r="W183" s="348">
        <f>_xlfn.XLOOKUP(E183,'All Products'!D:D,'All Products'!Q:Q,FALSE)</f>
        <v>0.65</v>
      </c>
    </row>
    <row r="184" spans="1:23">
      <c r="A184" s="104" t="str">
        <f>IF(K184&gt;0,COUNT($A$7:A183)+COUNT('DWV PVC'!$A$8:$A$284)
+COUNT('DWV ABS'!$A$8:$A$116)
+COUNT('PVC SCH40'!$A$8:$A$375)
+COUNT('PVC SCH40 LD'!$A$8:$A$21)
+COUNT('Pool &amp; SPA Sweep Elbows'!$A$8:$A$11)
+COUNT('Pool &amp; SPA Pipe Extender'!$A$8:$A$10)+1,"")</f>
        <v/>
      </c>
      <c r="B184" s="579"/>
      <c r="C184" s="580"/>
      <c r="D184" s="155" t="str">
        <f>_xlfn.XLOOKUP(E184,'All Products'!D:D,'All Products'!C:C,FALSE)</f>
        <v>839-130</v>
      </c>
      <c r="E184" s="106">
        <v>100023696</v>
      </c>
      <c r="F184" s="559" t="str">
        <f>_xlfn.XLOOKUP(E184,'All Products'!D:D,'All Products'!E:E,FALSE)</f>
        <v>1X1/2 RED BUSHING MIPTXFIPT SCH80</v>
      </c>
      <c r="G184" s="283">
        <f>_xlfn.XLOOKUP(E184,'All Products'!D:D,'All Products'!F:F,FALSE)</f>
        <v>250</v>
      </c>
      <c r="H184" s="234">
        <f>_xlfn.XLOOKUP(E184,'All Products'!D:D,'All Products'!G:G,FALSE)</f>
        <v>30000</v>
      </c>
      <c r="I184" s="561">
        <f>_xlfn.XLOOKUP(E184,'All Products'!D:D,'All Products'!H:H,FALSE)</f>
        <v>29.05</v>
      </c>
      <c r="J184" s="135">
        <f>ROUND(I184*Order_Quote!$L$8,2)</f>
        <v>145.25</v>
      </c>
      <c r="K184" s="78"/>
      <c r="L184" s="116"/>
      <c r="M184" s="199">
        <f t="shared" ref="M184:M225" si="5">K184/G184</f>
        <v>0</v>
      </c>
      <c r="O184" s="348" t="str">
        <f>_xlfn.XLOOKUP(E184,'All Products'!D:D,'All Products'!I:I,FALSE)</f>
        <v>In Stock</v>
      </c>
      <c r="P184" s="348" t="str">
        <f>_xlfn.XLOOKUP(E184,'All Products'!D:D,'All Products'!J:J,FALSE)</f>
        <v>Manufactured</v>
      </c>
      <c r="Q184" s="348" t="str">
        <f>_xlfn.XLOOKUP(E184,'All Products'!D:D,'All Products'!K:K,FALSE)</f>
        <v>049081158927</v>
      </c>
      <c r="R184" s="351" t="str">
        <f>_xlfn.XLOOKUP(E184,'All Products'!D:D,'All Products'!L:L,FALSE)</f>
        <v>049081658922</v>
      </c>
      <c r="S184" s="351" t="str">
        <f>_xlfn.XLOOKUP(E184,'All Products'!D:D,'All Products'!M:M,FALSE)</f>
        <v>40049081158925</v>
      </c>
      <c r="T184" s="348">
        <f>_xlfn.XLOOKUP(E184,'All Products'!D:D,'All Products'!N:N,FALSE)</f>
        <v>5.3999999999999999E-2</v>
      </c>
      <c r="U184" s="351">
        <f>_xlfn.XLOOKUP(E184,'All Products'!D:D,'All Products'!O:O,FALSE)</f>
        <v>10</v>
      </c>
      <c r="V184" s="348">
        <f>_xlfn.XLOOKUP(E184,'All Products'!D:D,'All Products'!P:P,FALSE)</f>
        <v>13.55</v>
      </c>
      <c r="W184" s="348">
        <f>_xlfn.XLOOKUP(E184,'All Products'!D:D,'All Products'!Q:Q,FALSE)</f>
        <v>0.65</v>
      </c>
    </row>
    <row r="185" spans="1:23">
      <c r="A185" s="104" t="str">
        <f>IF(K185&gt;0,COUNT($A$7:A184)+COUNT('DWV PVC'!$A$8:$A$284)
+COUNT('DWV ABS'!$A$8:$A$116)
+COUNT('PVC SCH40'!$A$8:$A$375)
+COUNT('PVC SCH40 LD'!$A$8:$A$21)
+COUNT('Pool &amp; SPA Sweep Elbows'!$A$8:$A$11)
+COUNT('Pool &amp; SPA Pipe Extender'!$A$8:$A$10)+1,"")</f>
        <v/>
      </c>
      <c r="B185" s="579"/>
      <c r="C185" s="580"/>
      <c r="D185" s="155" t="str">
        <f>_xlfn.XLOOKUP(E185,'All Products'!D:D,'All Products'!C:C,FALSE)</f>
        <v>839-131</v>
      </c>
      <c r="E185" s="106">
        <v>100023697</v>
      </c>
      <c r="F185" s="559" t="str">
        <f>_xlfn.XLOOKUP(E185,'All Products'!D:D,'All Products'!E:E,FALSE)</f>
        <v>1X3/4 RED BUSHING MIPTXFIPT SCH80</v>
      </c>
      <c r="G185" s="283">
        <f>_xlfn.XLOOKUP(E185,'All Products'!D:D,'All Products'!F:F,FALSE)</f>
        <v>250</v>
      </c>
      <c r="H185" s="234">
        <f>_xlfn.XLOOKUP(E185,'All Products'!D:D,'All Products'!G:G,FALSE)</f>
        <v>30000</v>
      </c>
      <c r="I185" s="561">
        <f>_xlfn.XLOOKUP(E185,'All Products'!D:D,'All Products'!H:H,FALSE)</f>
        <v>29.05</v>
      </c>
      <c r="J185" s="135">
        <f>ROUND(I185*Order_Quote!$L$8,2)</f>
        <v>145.25</v>
      </c>
      <c r="K185" s="78"/>
      <c r="L185" s="116"/>
      <c r="M185" s="199">
        <f t="shared" si="5"/>
        <v>0</v>
      </c>
      <c r="O185" s="348" t="str">
        <f>_xlfn.XLOOKUP(E185,'All Products'!D:D,'All Products'!I:I,FALSE)</f>
        <v>In Stock</v>
      </c>
      <c r="P185" s="348" t="str">
        <f>_xlfn.XLOOKUP(E185,'All Products'!D:D,'All Products'!J:J,FALSE)</f>
        <v>Manufactured</v>
      </c>
      <c r="Q185" s="348" t="str">
        <f>_xlfn.XLOOKUP(E185,'All Products'!D:D,'All Products'!K:K,FALSE)</f>
        <v>049081158903</v>
      </c>
      <c r="R185" s="351" t="str">
        <f>_xlfn.XLOOKUP(E185,'All Products'!D:D,'All Products'!L:L,FALSE)</f>
        <v>049081658908</v>
      </c>
      <c r="S185" s="351" t="str">
        <f>_xlfn.XLOOKUP(E185,'All Products'!D:D,'All Products'!M:M,FALSE)</f>
        <v>40049081158901</v>
      </c>
      <c r="T185" s="348">
        <f>_xlfn.XLOOKUP(E185,'All Products'!D:D,'All Products'!N:N,FALSE)</f>
        <v>3.9E-2</v>
      </c>
      <c r="U185" s="351">
        <f>_xlfn.XLOOKUP(E185,'All Products'!D:D,'All Products'!O:O,FALSE)</f>
        <v>10</v>
      </c>
      <c r="V185" s="348">
        <f>_xlfn.XLOOKUP(E185,'All Products'!D:D,'All Products'!P:P,FALSE)</f>
        <v>9.4600000000000009</v>
      </c>
      <c r="W185" s="348">
        <f>_xlfn.XLOOKUP(E185,'All Products'!D:D,'All Products'!Q:Q,FALSE)</f>
        <v>0.65</v>
      </c>
    </row>
    <row r="186" spans="1:23">
      <c r="A186" s="104" t="str">
        <f>IF(K186&gt;0,COUNT($A$7:A185)+COUNT('DWV PVC'!$A$8:$A$284)
+COUNT('DWV ABS'!$A$8:$A$116)
+COUNT('PVC SCH40'!$A$8:$A$375)
+COUNT('PVC SCH40 LD'!$A$8:$A$21)
+COUNT('Pool &amp; SPA Sweep Elbows'!$A$8:$A$11)
+COUNT('Pool &amp; SPA Pipe Extender'!$A$8:$A$10)+1,"")</f>
        <v/>
      </c>
      <c r="B186" s="579"/>
      <c r="C186" s="580"/>
      <c r="D186" s="155" t="str">
        <f>_xlfn.XLOOKUP(E186,'All Products'!D:D,'All Products'!C:C,FALSE)</f>
        <v>839-166</v>
      </c>
      <c r="E186" s="106">
        <v>100023698</v>
      </c>
      <c r="F186" s="559" t="str">
        <f>_xlfn.XLOOKUP(E186,'All Products'!D:D,'All Products'!E:E,FALSE)</f>
        <v>1-1/4X1/2 BUSHING MIPTXFIPT SCH80</v>
      </c>
      <c r="G186" s="283">
        <f>_xlfn.XLOOKUP(E186,'All Products'!D:D,'All Products'!F:F,FALSE)</f>
        <v>100</v>
      </c>
      <c r="H186" s="234">
        <f>_xlfn.XLOOKUP(E186,'All Products'!D:D,'All Products'!G:G,FALSE)</f>
        <v>15000</v>
      </c>
      <c r="I186" s="561">
        <f>_xlfn.XLOOKUP(E186,'All Products'!D:D,'All Products'!H:H,FALSE)</f>
        <v>30.85</v>
      </c>
      <c r="J186" s="135">
        <f>ROUND(I186*Order_Quote!$L$8,2)</f>
        <v>154.25</v>
      </c>
      <c r="K186" s="78"/>
      <c r="L186" s="116"/>
      <c r="M186" s="199">
        <f t="shared" si="5"/>
        <v>0</v>
      </c>
      <c r="O186" s="348" t="str">
        <f>_xlfn.XLOOKUP(E186,'All Products'!D:D,'All Products'!I:I,FALSE)</f>
        <v>In Stock</v>
      </c>
      <c r="P186" s="348" t="str">
        <f>_xlfn.XLOOKUP(E186,'All Products'!D:D,'All Products'!J:J,FALSE)</f>
        <v>Manufactured</v>
      </c>
      <c r="Q186" s="348" t="str">
        <f>_xlfn.XLOOKUP(E186,'All Products'!D:D,'All Products'!K:K,FALSE)</f>
        <v>049081159023</v>
      </c>
      <c r="R186" s="351" t="str">
        <f>_xlfn.XLOOKUP(E186,'All Products'!D:D,'All Products'!L:L,FALSE)</f>
        <v>049081659028</v>
      </c>
      <c r="S186" s="351" t="str">
        <f>_xlfn.XLOOKUP(E186,'All Products'!D:D,'All Products'!M:M,FALSE)</f>
        <v>40049081159021</v>
      </c>
      <c r="T186" s="348">
        <f>_xlfn.XLOOKUP(E186,'All Products'!D:D,'All Products'!N:N,FALSE)</f>
        <v>8.2000000000000003E-2</v>
      </c>
      <c r="U186" s="351">
        <f>_xlfn.XLOOKUP(E186,'All Products'!D:D,'All Products'!O:O,FALSE)</f>
        <v>10</v>
      </c>
      <c r="V186" s="348">
        <f>_xlfn.XLOOKUP(E186,'All Products'!D:D,'All Products'!P:P,FALSE)</f>
        <v>8.3000000000000007</v>
      </c>
      <c r="W186" s="348">
        <f>_xlfn.XLOOKUP(E186,'All Products'!D:D,'All Products'!Q:Q,FALSE)</f>
        <v>0.5</v>
      </c>
    </row>
    <row r="187" spans="1:23">
      <c r="A187" s="104" t="str">
        <f>IF(K187&gt;0,COUNT($A$7:A186)+COUNT('DWV PVC'!$A$8:$A$284)
+COUNT('DWV ABS'!$A$8:$A$116)
+COUNT('PVC SCH40'!$A$8:$A$375)
+COUNT('PVC SCH40 LD'!$A$8:$A$21)
+COUNT('Pool &amp; SPA Sweep Elbows'!$A$8:$A$11)
+COUNT('Pool &amp; SPA Pipe Extender'!$A$8:$A$10)+1,"")</f>
        <v/>
      </c>
      <c r="B187" s="579"/>
      <c r="C187" s="580"/>
      <c r="D187" s="155" t="str">
        <f>_xlfn.XLOOKUP(E187,'All Products'!D:D,'All Products'!C:C,FALSE)</f>
        <v>839-167</v>
      </c>
      <c r="E187" s="106">
        <v>100023699</v>
      </c>
      <c r="F187" s="559" t="str">
        <f>_xlfn.XLOOKUP(E187,'All Products'!D:D,'All Products'!E:E,FALSE)</f>
        <v>1-1/4X3/4 BUSHING MIPTXFIPT SCH80</v>
      </c>
      <c r="G187" s="283">
        <f>_xlfn.XLOOKUP(E187,'All Products'!D:D,'All Products'!F:F,FALSE)</f>
        <v>100</v>
      </c>
      <c r="H187" s="234">
        <f>_xlfn.XLOOKUP(E187,'All Products'!D:D,'All Products'!G:G,FALSE)</f>
        <v>15000</v>
      </c>
      <c r="I187" s="561">
        <f>_xlfn.XLOOKUP(E187,'All Products'!D:D,'All Products'!H:H,FALSE)</f>
        <v>30.85</v>
      </c>
      <c r="J187" s="135">
        <f>ROUND(I187*Order_Quote!$L$8,2)</f>
        <v>154.25</v>
      </c>
      <c r="K187" s="78"/>
      <c r="L187" s="116"/>
      <c r="M187" s="199">
        <f t="shared" si="5"/>
        <v>0</v>
      </c>
      <c r="O187" s="348" t="str">
        <f>_xlfn.XLOOKUP(E187,'All Products'!D:D,'All Products'!I:I,FALSE)</f>
        <v>Within 3 Weeks</v>
      </c>
      <c r="P187" s="348" t="str">
        <f>_xlfn.XLOOKUP(E187,'All Products'!D:D,'All Products'!J:J,FALSE)</f>
        <v>Manufactured</v>
      </c>
      <c r="Q187" s="348" t="str">
        <f>_xlfn.XLOOKUP(E187,'All Products'!D:D,'All Products'!K:K,FALSE)</f>
        <v>049081159009</v>
      </c>
      <c r="R187" s="351" t="str">
        <f>_xlfn.XLOOKUP(E187,'All Products'!D:D,'All Products'!L:L,FALSE)</f>
        <v>049081659004</v>
      </c>
      <c r="S187" s="351" t="str">
        <f>_xlfn.XLOOKUP(E187,'All Products'!D:D,'All Products'!M:M,FALSE)</f>
        <v>40049081159007</v>
      </c>
      <c r="T187" s="348">
        <f>_xlfn.XLOOKUP(E187,'All Products'!D:D,'All Products'!N:N,FALSE)</f>
        <v>8.5999999999999993E-2</v>
      </c>
      <c r="U187" s="351">
        <f>_xlfn.XLOOKUP(E187,'All Products'!D:D,'All Products'!O:O,FALSE)</f>
        <v>10</v>
      </c>
      <c r="V187" s="348">
        <f>_xlfn.XLOOKUP(E187,'All Products'!D:D,'All Products'!P:P,FALSE)</f>
        <v>8.9700000000000006</v>
      </c>
      <c r="W187" s="348">
        <f>_xlfn.XLOOKUP(E187,'All Products'!D:D,'All Products'!Q:Q,FALSE)</f>
        <v>0.5</v>
      </c>
    </row>
    <row r="188" spans="1:23">
      <c r="A188" s="104" t="str">
        <f>IF(K188&gt;0,COUNT($A$7:A187)+COUNT('DWV PVC'!$A$8:$A$284)
+COUNT('DWV ABS'!$A$8:$A$116)
+COUNT('PVC SCH40'!$A$8:$A$375)
+COUNT('PVC SCH40 LD'!$A$8:$A$21)
+COUNT('Pool &amp; SPA Sweep Elbows'!$A$8:$A$11)
+COUNT('Pool &amp; SPA Pipe Extender'!$A$8:$A$10)+1,"")</f>
        <v/>
      </c>
      <c r="B188" s="579"/>
      <c r="C188" s="580"/>
      <c r="D188" s="155" t="str">
        <f>_xlfn.XLOOKUP(E188,'All Products'!D:D,'All Products'!C:C,FALSE)</f>
        <v>839-168</v>
      </c>
      <c r="E188" s="106">
        <v>100023700</v>
      </c>
      <c r="F188" s="559" t="str">
        <f>_xlfn.XLOOKUP(E188,'All Products'!D:D,'All Products'!E:E,FALSE)</f>
        <v>1-1/4X1 RED BUSHING MIPTXFIPT SCH80</v>
      </c>
      <c r="G188" s="283">
        <f>_xlfn.XLOOKUP(E188,'All Products'!D:D,'All Products'!F:F,FALSE)</f>
        <v>100</v>
      </c>
      <c r="H188" s="234">
        <f>_xlfn.XLOOKUP(E188,'All Products'!D:D,'All Products'!G:G,FALSE)</f>
        <v>15000</v>
      </c>
      <c r="I188" s="561">
        <f>_xlfn.XLOOKUP(E188,'All Products'!D:D,'All Products'!H:H,FALSE)</f>
        <v>30.85</v>
      </c>
      <c r="J188" s="135">
        <f>ROUND(I188*Order_Quote!$L$8,2)</f>
        <v>154.25</v>
      </c>
      <c r="K188" s="78"/>
      <c r="L188" s="116"/>
      <c r="M188" s="199">
        <f t="shared" si="5"/>
        <v>0</v>
      </c>
      <c r="O188" s="348" t="str">
        <f>_xlfn.XLOOKUP(E188,'All Products'!D:D,'All Products'!I:I,FALSE)</f>
        <v>In Stock</v>
      </c>
      <c r="P188" s="348" t="str">
        <f>_xlfn.XLOOKUP(E188,'All Products'!D:D,'All Products'!J:J,FALSE)</f>
        <v>Manufactured</v>
      </c>
      <c r="Q188" s="348" t="str">
        <f>_xlfn.XLOOKUP(E188,'All Products'!D:D,'All Products'!K:K,FALSE)</f>
        <v>049081158989</v>
      </c>
      <c r="R188" s="351" t="str">
        <f>_xlfn.XLOOKUP(E188,'All Products'!D:D,'All Products'!L:L,FALSE)</f>
        <v>049081658984</v>
      </c>
      <c r="S188" s="351" t="str">
        <f>_xlfn.XLOOKUP(E188,'All Products'!D:D,'All Products'!M:M,FALSE)</f>
        <v>40049081158987</v>
      </c>
      <c r="T188" s="348">
        <f>_xlfn.XLOOKUP(E188,'All Products'!D:D,'All Products'!N:N,FALSE)</f>
        <v>5.3999999999999999E-2</v>
      </c>
      <c r="U188" s="351">
        <f>_xlfn.XLOOKUP(E188,'All Products'!D:D,'All Products'!O:O,FALSE)</f>
        <v>10</v>
      </c>
      <c r="V188" s="348">
        <f>_xlfn.XLOOKUP(E188,'All Products'!D:D,'All Products'!P:P,FALSE)</f>
        <v>6.31</v>
      </c>
      <c r="W188" s="348">
        <f>_xlfn.XLOOKUP(E188,'All Products'!D:D,'All Products'!Q:Q,FALSE)</f>
        <v>0.5</v>
      </c>
    </row>
    <row r="189" spans="1:23">
      <c r="A189" s="104" t="str">
        <f>IF(K189&gt;0,COUNT($A$7:A188)+COUNT('DWV PVC'!$A$8:$A$284)
+COUNT('DWV ABS'!$A$8:$A$116)
+COUNT('PVC SCH40'!$A$8:$A$375)
+COUNT('PVC SCH40 LD'!$A$8:$A$21)
+COUNT('Pool &amp; SPA Sweep Elbows'!$A$8:$A$11)
+COUNT('Pool &amp; SPA Pipe Extender'!$A$8:$A$10)+1,"")</f>
        <v/>
      </c>
      <c r="B189" s="579"/>
      <c r="C189" s="580"/>
      <c r="D189" s="155" t="str">
        <f>_xlfn.XLOOKUP(E189,'All Products'!D:D,'All Products'!C:C,FALSE)</f>
        <v>839-209</v>
      </c>
      <c r="E189" s="106">
        <v>100023701</v>
      </c>
      <c r="F189" s="559" t="str">
        <f>_xlfn.XLOOKUP(E189,'All Products'!D:D,'All Products'!E:E,FALSE)</f>
        <v>1-1/2X1/2 BUSHING MIPTXFIPT SCH80</v>
      </c>
      <c r="G189" s="283">
        <f>_xlfn.XLOOKUP(E189,'All Products'!D:D,'All Products'!F:F,FALSE)</f>
        <v>100</v>
      </c>
      <c r="H189" s="234">
        <f>_xlfn.XLOOKUP(E189,'All Products'!D:D,'All Products'!G:G,FALSE)</f>
        <v>15000</v>
      </c>
      <c r="I189" s="561">
        <f>_xlfn.XLOOKUP(E189,'All Products'!D:D,'All Products'!H:H,FALSE)</f>
        <v>36.53</v>
      </c>
      <c r="J189" s="135">
        <f>ROUND(I189*Order_Quote!$L$8,2)</f>
        <v>182.65</v>
      </c>
      <c r="K189" s="78"/>
      <c r="L189" s="116"/>
      <c r="M189" s="199">
        <f t="shared" si="5"/>
        <v>0</v>
      </c>
      <c r="O189" s="348" t="str">
        <f>_xlfn.XLOOKUP(E189,'All Products'!D:D,'All Products'!I:I,FALSE)</f>
        <v>In Stock</v>
      </c>
      <c r="P189" s="348" t="str">
        <f>_xlfn.XLOOKUP(E189,'All Products'!D:D,'All Products'!J:J,FALSE)</f>
        <v>Manufactured</v>
      </c>
      <c r="Q189" s="348" t="str">
        <f>_xlfn.XLOOKUP(E189,'All Products'!D:D,'All Products'!K:K,FALSE)</f>
        <v>049081159122</v>
      </c>
      <c r="R189" s="351" t="str">
        <f>_xlfn.XLOOKUP(E189,'All Products'!D:D,'All Products'!L:L,FALSE)</f>
        <v>049081159122</v>
      </c>
      <c r="S189" s="351" t="str">
        <f>_xlfn.XLOOKUP(E189,'All Products'!D:D,'All Products'!M:M,FALSE)</f>
        <v>40049081159120</v>
      </c>
      <c r="T189" s="348">
        <f>_xlfn.XLOOKUP(E189,'All Products'!D:D,'All Products'!N:N,FALSE)</f>
        <v>9.4E-2</v>
      </c>
      <c r="U189" s="351">
        <f>_xlfn.XLOOKUP(E189,'All Products'!D:D,'All Products'!O:O,FALSE)</f>
        <v>10</v>
      </c>
      <c r="V189" s="348">
        <f>_xlfn.XLOOKUP(E189,'All Products'!D:D,'All Products'!P:P,FALSE)</f>
        <v>10.39</v>
      </c>
      <c r="W189" s="348">
        <f>_xlfn.XLOOKUP(E189,'All Products'!D:D,'All Products'!Q:Q,FALSE)</f>
        <v>0.5</v>
      </c>
    </row>
    <row r="190" spans="1:23">
      <c r="A190" s="104" t="str">
        <f>IF(K190&gt;0,COUNT($A$7:A189)+COUNT('DWV PVC'!$A$8:$A$284)
+COUNT('DWV ABS'!$A$8:$A$116)
+COUNT('PVC SCH40'!$A$8:$A$375)
+COUNT('PVC SCH40 LD'!$A$8:$A$21)
+COUNT('Pool &amp; SPA Sweep Elbows'!$A$8:$A$11)
+COUNT('Pool &amp; SPA Pipe Extender'!$A$8:$A$10)+1,"")</f>
        <v/>
      </c>
      <c r="B190" s="579"/>
      <c r="C190" s="580"/>
      <c r="D190" s="155" t="str">
        <f>_xlfn.XLOOKUP(E190,'All Products'!D:D,'All Products'!C:C,FALSE)</f>
        <v>839-210</v>
      </c>
      <c r="E190" s="106">
        <v>100023702</v>
      </c>
      <c r="F190" s="559" t="str">
        <f>_xlfn.XLOOKUP(E190,'All Products'!D:D,'All Products'!E:E,FALSE)</f>
        <v>1-1/2X3/4 BUSHING MIPTXFIPT SCH80</v>
      </c>
      <c r="G190" s="283">
        <f>_xlfn.XLOOKUP(E190,'All Products'!D:D,'All Products'!F:F,FALSE)</f>
        <v>100</v>
      </c>
      <c r="H190" s="234">
        <f>_xlfn.XLOOKUP(E190,'All Products'!D:D,'All Products'!G:G,FALSE)</f>
        <v>15000</v>
      </c>
      <c r="I190" s="561">
        <f>_xlfn.XLOOKUP(E190,'All Products'!D:D,'All Products'!H:H,FALSE)</f>
        <v>36.53</v>
      </c>
      <c r="J190" s="135">
        <f>ROUND(I190*Order_Quote!$L$8,2)</f>
        <v>182.65</v>
      </c>
      <c r="K190" s="78"/>
      <c r="L190" s="116"/>
      <c r="M190" s="199">
        <f t="shared" si="5"/>
        <v>0</v>
      </c>
      <c r="O190" s="348" t="str">
        <f>_xlfn.XLOOKUP(E190,'All Products'!D:D,'All Products'!I:I,FALSE)</f>
        <v>Within 3 Weeks</v>
      </c>
      <c r="P190" s="348" t="str">
        <f>_xlfn.XLOOKUP(E190,'All Products'!D:D,'All Products'!J:J,FALSE)</f>
        <v>Manufactured</v>
      </c>
      <c r="Q190" s="348" t="str">
        <f>_xlfn.XLOOKUP(E190,'All Products'!D:D,'All Products'!K:K,FALSE)</f>
        <v>049081159108</v>
      </c>
      <c r="R190" s="351" t="str">
        <f>_xlfn.XLOOKUP(E190,'All Products'!D:D,'All Products'!L:L,FALSE)</f>
        <v>049081659103</v>
      </c>
      <c r="S190" s="351" t="str">
        <f>_xlfn.XLOOKUP(E190,'All Products'!D:D,'All Products'!M:M,FALSE)</f>
        <v>40049081159106</v>
      </c>
      <c r="T190" s="348">
        <f>_xlfn.XLOOKUP(E190,'All Products'!D:D,'All Products'!N:N,FALSE)</f>
        <v>9.9000000000000005E-2</v>
      </c>
      <c r="U190" s="351">
        <f>_xlfn.XLOOKUP(E190,'All Products'!D:D,'All Products'!O:O,FALSE)</f>
        <v>10</v>
      </c>
      <c r="V190" s="348">
        <f>_xlfn.XLOOKUP(E190,'All Products'!D:D,'All Products'!P:P,FALSE)</f>
        <v>9.92</v>
      </c>
      <c r="W190" s="348">
        <f>_xlfn.XLOOKUP(E190,'All Products'!D:D,'All Products'!Q:Q,FALSE)</f>
        <v>0.5</v>
      </c>
    </row>
    <row r="191" spans="1:23">
      <c r="A191" s="104" t="str">
        <f>IF(K191&gt;0,COUNT($A$7:A190)+COUNT('DWV PVC'!$A$8:$A$284)
+COUNT('DWV ABS'!$A$8:$A$116)
+COUNT('PVC SCH40'!$A$8:$A$375)
+COUNT('PVC SCH40 LD'!$A$8:$A$21)
+COUNT('Pool &amp; SPA Sweep Elbows'!$A$8:$A$11)
+COUNT('Pool &amp; SPA Pipe Extender'!$A$8:$A$10)+1,"")</f>
        <v/>
      </c>
      <c r="B191" s="579"/>
      <c r="C191" s="580"/>
      <c r="D191" s="155" t="str">
        <f>_xlfn.XLOOKUP(E191,'All Products'!D:D,'All Products'!C:C,FALSE)</f>
        <v>839-211</v>
      </c>
      <c r="E191" s="106">
        <v>100023703</v>
      </c>
      <c r="F191" s="559" t="str">
        <f>_xlfn.XLOOKUP(E191,'All Products'!D:D,'All Products'!E:E,FALSE)</f>
        <v>1-1/2X1 RED BUSHING MIPTXFIPT SCH80</v>
      </c>
      <c r="G191" s="283">
        <f>_xlfn.XLOOKUP(E191,'All Products'!D:D,'All Products'!F:F,FALSE)</f>
        <v>100</v>
      </c>
      <c r="H191" s="234">
        <f>_xlfn.XLOOKUP(E191,'All Products'!D:D,'All Products'!G:G,FALSE)</f>
        <v>15000</v>
      </c>
      <c r="I191" s="561">
        <f>_xlfn.XLOOKUP(E191,'All Products'!D:D,'All Products'!H:H,FALSE)</f>
        <v>36.53</v>
      </c>
      <c r="J191" s="135">
        <f>ROUND(I191*Order_Quote!$L$8,2)</f>
        <v>182.65</v>
      </c>
      <c r="K191" s="78"/>
      <c r="L191" s="116"/>
      <c r="M191" s="199">
        <f t="shared" si="5"/>
        <v>0</v>
      </c>
      <c r="O191" s="348" t="str">
        <f>_xlfn.XLOOKUP(E191,'All Products'!D:D,'All Products'!I:I,FALSE)</f>
        <v>In Stock</v>
      </c>
      <c r="P191" s="348" t="str">
        <f>_xlfn.XLOOKUP(E191,'All Products'!D:D,'All Products'!J:J,FALSE)</f>
        <v>Manufactured</v>
      </c>
      <c r="Q191" s="348" t="str">
        <f>_xlfn.XLOOKUP(E191,'All Products'!D:D,'All Products'!K:K,FALSE)</f>
        <v>049081159085</v>
      </c>
      <c r="R191" s="351" t="str">
        <f>_xlfn.XLOOKUP(E191,'All Products'!D:D,'All Products'!L:L,FALSE)</f>
        <v>049081659080</v>
      </c>
      <c r="S191" s="351" t="str">
        <f>_xlfn.XLOOKUP(E191,'All Products'!D:D,'All Products'!M:M,FALSE)</f>
        <v>40049081159083</v>
      </c>
      <c r="T191" s="348">
        <f>_xlfn.XLOOKUP(E191,'All Products'!D:D,'All Products'!N:N,FALSE)</f>
        <v>9.2999999999999999E-2</v>
      </c>
      <c r="U191" s="351">
        <f>_xlfn.XLOOKUP(E191,'All Products'!D:D,'All Products'!O:O,FALSE)</f>
        <v>10</v>
      </c>
      <c r="V191" s="348">
        <f>_xlfn.XLOOKUP(E191,'All Products'!D:D,'All Products'!P:P,FALSE)</f>
        <v>9.1999999999999993</v>
      </c>
      <c r="W191" s="348">
        <f>_xlfn.XLOOKUP(E191,'All Products'!D:D,'All Products'!Q:Q,FALSE)</f>
        <v>0.5</v>
      </c>
    </row>
    <row r="192" spans="1:23">
      <c r="A192" s="104" t="str">
        <f>IF(K192&gt;0,COUNT($A$7:A191)+COUNT('DWV PVC'!$A$8:$A$284)
+COUNT('DWV ABS'!$A$8:$A$116)
+COUNT('PVC SCH40'!$A$8:$A$375)
+COUNT('PVC SCH40 LD'!$A$8:$A$21)
+COUNT('Pool &amp; SPA Sweep Elbows'!$A$8:$A$11)
+COUNT('Pool &amp; SPA Pipe Extender'!$A$8:$A$10)+1,"")</f>
        <v/>
      </c>
      <c r="B192" s="579"/>
      <c r="C192" s="580"/>
      <c r="D192" s="155" t="str">
        <f>_xlfn.XLOOKUP(E192,'All Products'!D:D,'All Products'!C:C,FALSE)</f>
        <v>839-212</v>
      </c>
      <c r="E192" s="106">
        <v>100023704</v>
      </c>
      <c r="F192" s="559" t="str">
        <f>_xlfn.XLOOKUP(E192,'All Products'!D:D,'All Products'!E:E,FALSE)</f>
        <v>1-1/2X1-1/4 BUSHING MIPTXFIPT SCH80</v>
      </c>
      <c r="G192" s="283">
        <f>_xlfn.XLOOKUP(E192,'All Products'!D:D,'All Products'!F:F,FALSE)</f>
        <v>100</v>
      </c>
      <c r="H192" s="234">
        <f>_xlfn.XLOOKUP(E192,'All Products'!D:D,'All Products'!G:G,FALSE)</f>
        <v>15000</v>
      </c>
      <c r="I192" s="561">
        <f>_xlfn.XLOOKUP(E192,'All Products'!D:D,'All Products'!H:H,FALSE)</f>
        <v>36.53</v>
      </c>
      <c r="J192" s="135">
        <f>ROUND(I192*Order_Quote!$L$8,2)</f>
        <v>182.65</v>
      </c>
      <c r="K192" s="78"/>
      <c r="L192" s="116"/>
      <c r="M192" s="199">
        <f t="shared" si="5"/>
        <v>0</v>
      </c>
      <c r="O192" s="348" t="str">
        <f>_xlfn.XLOOKUP(E192,'All Products'!D:D,'All Products'!I:I,FALSE)</f>
        <v>In Stock</v>
      </c>
      <c r="P192" s="348" t="str">
        <f>_xlfn.XLOOKUP(E192,'All Products'!D:D,'All Products'!J:J,FALSE)</f>
        <v>Manufactured</v>
      </c>
      <c r="Q192" s="348" t="str">
        <f>_xlfn.XLOOKUP(E192,'All Products'!D:D,'All Products'!K:K,FALSE)</f>
        <v>049081159061</v>
      </c>
      <c r="R192" s="351" t="str">
        <f>_xlfn.XLOOKUP(E192,'All Products'!D:D,'All Products'!L:L,FALSE)</f>
        <v>049081659066</v>
      </c>
      <c r="S192" s="351" t="str">
        <f>_xlfn.XLOOKUP(E192,'All Products'!D:D,'All Products'!M:M,FALSE)</f>
        <v>40049081159069</v>
      </c>
      <c r="T192" s="348">
        <f>_xlfn.XLOOKUP(E192,'All Products'!D:D,'All Products'!N:N,FALSE)</f>
        <v>6.8000000000000005E-2</v>
      </c>
      <c r="U192" s="351">
        <f>_xlfn.XLOOKUP(E192,'All Products'!D:D,'All Products'!O:O,FALSE)</f>
        <v>10</v>
      </c>
      <c r="V192" s="348">
        <f>_xlfn.XLOOKUP(E192,'All Products'!D:D,'All Products'!P:P,FALSE)</f>
        <v>6.8</v>
      </c>
      <c r="W192" s="348">
        <f>_xlfn.XLOOKUP(E192,'All Products'!D:D,'All Products'!Q:Q,FALSE)</f>
        <v>0.5</v>
      </c>
    </row>
    <row r="193" spans="1:23">
      <c r="A193" s="104" t="str">
        <f>IF(K193&gt;0,COUNT($A$7:A192)+COUNT('DWV PVC'!$A$8:$A$284)
+COUNT('DWV ABS'!$A$8:$A$116)
+COUNT('PVC SCH40'!$A$8:$A$375)
+COUNT('PVC SCH40 LD'!$A$8:$A$21)
+COUNT('Pool &amp; SPA Sweep Elbows'!$A$8:$A$11)
+COUNT('Pool &amp; SPA Pipe Extender'!$A$8:$A$10)+1,"")</f>
        <v/>
      </c>
      <c r="B193" s="579"/>
      <c r="C193" s="580"/>
      <c r="D193" s="155" t="str">
        <f>_xlfn.XLOOKUP(E193,'All Products'!D:D,'All Products'!C:C,FALSE)</f>
        <v>839-247</v>
      </c>
      <c r="E193" s="106">
        <v>100028167</v>
      </c>
      <c r="F193" s="559" t="str">
        <f>_xlfn.XLOOKUP(E193,'All Products'!D:D,'All Products'!E:E,FALSE)</f>
        <v>2X1/2 RED BUSHING MIPTXFIPT SCH80</v>
      </c>
      <c r="G193" s="283">
        <f>_xlfn.XLOOKUP(E193,'All Products'!D:D,'All Products'!F:F,FALSE)</f>
        <v>80</v>
      </c>
      <c r="H193" s="234">
        <f>_xlfn.XLOOKUP(E193,'All Products'!D:D,'All Products'!G:G,FALSE)</f>
        <v>0</v>
      </c>
      <c r="I193" s="561">
        <f>_xlfn.XLOOKUP(E193,'All Products'!D:D,'All Products'!H:H,FALSE)</f>
        <v>53.5</v>
      </c>
      <c r="J193" s="135">
        <f>ROUND(I193*Order_Quote!$L$8,2)</f>
        <v>267.5</v>
      </c>
      <c r="K193" s="78"/>
      <c r="L193" s="116"/>
      <c r="M193" s="199">
        <f t="shared" si="5"/>
        <v>0</v>
      </c>
      <c r="O193" s="348" t="str">
        <f>_xlfn.XLOOKUP(E193,'All Products'!D:D,'All Products'!I:I,FALSE)</f>
        <v>Within 3 Weeks</v>
      </c>
      <c r="P193" s="348" t="str">
        <f>_xlfn.XLOOKUP(E193,'All Products'!D:D,'All Products'!J:J,FALSE)</f>
        <v>Manufactured</v>
      </c>
      <c r="Q193" s="348" t="str">
        <f>_xlfn.XLOOKUP(E193,'All Products'!D:D,'All Products'!K:K,FALSE)</f>
        <v>049081159221</v>
      </c>
      <c r="R193" s="351">
        <f>_xlfn.XLOOKUP(E193,'All Products'!D:D,'All Products'!L:L,FALSE)</f>
        <v>0</v>
      </c>
      <c r="S193" s="351" t="str">
        <f>_xlfn.XLOOKUP(E193,'All Products'!D:D,'All Products'!M:M,FALSE)</f>
        <v>40049081159229</v>
      </c>
      <c r="T193" s="348">
        <f>_xlfn.XLOOKUP(E193,'All Products'!D:D,'All Products'!N:N,FALSE)</f>
        <v>0.36</v>
      </c>
      <c r="U193" s="351">
        <f>_xlfn.XLOOKUP(E193,'All Products'!D:D,'All Products'!O:O,FALSE)</f>
        <v>10</v>
      </c>
      <c r="V193" s="348">
        <f>_xlfn.XLOOKUP(E193,'All Products'!D:D,'All Products'!P:P,FALSE)</f>
        <v>16.8</v>
      </c>
      <c r="W193" s="348" t="str">
        <f>_xlfn.XLOOKUP(E193,'All Products'!D:D,'All Products'!Q:Q,FALSE)</f>
        <v>-</v>
      </c>
    </row>
    <row r="194" spans="1:23">
      <c r="A194" s="104" t="str">
        <f>IF(K194&gt;0,COUNT($A$7:A193)+COUNT('DWV PVC'!$A$8:$A$284)
+COUNT('DWV ABS'!$A$8:$A$116)
+COUNT('PVC SCH40'!$A$8:$A$375)
+COUNT('PVC SCH40 LD'!$A$8:$A$21)
+COUNT('Pool &amp; SPA Sweep Elbows'!$A$8:$A$11)
+COUNT('Pool &amp; SPA Pipe Extender'!$A$8:$A$10)+1,"")</f>
        <v/>
      </c>
      <c r="B194" s="579"/>
      <c r="C194" s="580"/>
      <c r="D194" s="155" t="str">
        <f>_xlfn.XLOOKUP(E194,'All Products'!D:D,'All Products'!C:C,FALSE)</f>
        <v>839-250</v>
      </c>
      <c r="E194" s="106">
        <v>100028170</v>
      </c>
      <c r="F194" s="559" t="str">
        <f>_xlfn.XLOOKUP(E194,'All Products'!D:D,'All Products'!E:E,FALSE)</f>
        <v>2X1-1/4 RED BUSHING MIPTXFIPT SCH80</v>
      </c>
      <c r="G194" s="283">
        <f>_xlfn.XLOOKUP(E194,'All Products'!D:D,'All Products'!F:F,FALSE)</f>
        <v>60</v>
      </c>
      <c r="H194" s="234">
        <f>_xlfn.XLOOKUP(E194,'All Products'!D:D,'All Products'!G:G,FALSE)</f>
        <v>0</v>
      </c>
      <c r="I194" s="561">
        <f>_xlfn.XLOOKUP(E194,'All Products'!D:D,'All Products'!H:H,FALSE)</f>
        <v>53.5</v>
      </c>
      <c r="J194" s="135">
        <f>ROUND(I194*Order_Quote!$L$8,2)</f>
        <v>267.5</v>
      </c>
      <c r="K194" s="78"/>
      <c r="L194" s="116"/>
      <c r="M194" s="199">
        <f t="shared" si="5"/>
        <v>0</v>
      </c>
      <c r="O194" s="348" t="str">
        <f>_xlfn.XLOOKUP(E194,'All Products'!D:D,'All Products'!I:I,FALSE)</f>
        <v>Within 3 Weeks</v>
      </c>
      <c r="P194" s="348" t="str">
        <f>_xlfn.XLOOKUP(E194,'All Products'!D:D,'All Products'!J:J,FALSE)</f>
        <v>Manufactured</v>
      </c>
      <c r="Q194" s="348" t="str">
        <f>_xlfn.XLOOKUP(E194,'All Products'!D:D,'All Products'!K:K,FALSE)</f>
        <v>049081159160</v>
      </c>
      <c r="R194" s="351" t="str">
        <f>_xlfn.XLOOKUP(E194,'All Products'!D:D,'All Products'!L:L,FALSE)</f>
        <v>049081659165</v>
      </c>
      <c r="S194" s="351" t="str">
        <f>_xlfn.XLOOKUP(E194,'All Products'!D:D,'All Products'!M:M,FALSE)</f>
        <v>40049081159168</v>
      </c>
      <c r="T194" s="348">
        <f>_xlfn.XLOOKUP(E194,'All Products'!D:D,'All Products'!N:N,FALSE)</f>
        <v>0.17299999999999999</v>
      </c>
      <c r="U194" s="351">
        <f>_xlfn.XLOOKUP(E194,'All Products'!D:D,'All Products'!O:O,FALSE)</f>
        <v>15</v>
      </c>
      <c r="V194" s="348">
        <f>_xlfn.XLOOKUP(E194,'All Products'!D:D,'All Products'!P:P,FALSE)</f>
        <v>10.356</v>
      </c>
      <c r="W194" s="348" t="str">
        <f>_xlfn.XLOOKUP(E194,'All Products'!D:D,'All Products'!Q:Q,FALSE)</f>
        <v>-</v>
      </c>
    </row>
    <row r="195" spans="1:23">
      <c r="A195" s="104" t="str">
        <f>IF(K195&gt;0,COUNT($A$7:A194)+COUNT('DWV PVC'!$A$8:$A$284)
+COUNT('DWV ABS'!$A$8:$A$116)
+COUNT('PVC SCH40'!$A$8:$A$375)
+COUNT('PVC SCH40 LD'!$A$8:$A$21)
+COUNT('Pool &amp; SPA Sweep Elbows'!$A$8:$A$11)
+COUNT('Pool &amp; SPA Pipe Extender'!$A$8:$A$10)+1,"")</f>
        <v/>
      </c>
      <c r="B195" s="579"/>
      <c r="C195" s="580"/>
      <c r="D195" s="155" t="str">
        <f>_xlfn.XLOOKUP(E195,'All Products'!D:D,'All Products'!C:C,FALSE)</f>
        <v>839-251</v>
      </c>
      <c r="E195" s="106">
        <v>100023705</v>
      </c>
      <c r="F195" s="559" t="str">
        <f>_xlfn.XLOOKUP(E195,'All Products'!D:D,'All Products'!E:E,FALSE)</f>
        <v>2X1-1/2 RED BUSHING MIPTXFIPT SCH80</v>
      </c>
      <c r="G195" s="283">
        <f>_xlfn.XLOOKUP(E195,'All Products'!D:D,'All Products'!F:F,FALSE)</f>
        <v>50</v>
      </c>
      <c r="H195" s="234">
        <f>_xlfn.XLOOKUP(E195,'All Products'!D:D,'All Products'!G:G,FALSE)</f>
        <v>7500</v>
      </c>
      <c r="I195" s="561">
        <f>_xlfn.XLOOKUP(E195,'All Products'!D:D,'All Products'!H:H,FALSE)</f>
        <v>53.5</v>
      </c>
      <c r="J195" s="135">
        <f>ROUND(I195*Order_Quote!$L$8,2)</f>
        <v>267.5</v>
      </c>
      <c r="K195" s="78"/>
      <c r="L195" s="116"/>
      <c r="M195" s="199">
        <f t="shared" si="5"/>
        <v>0</v>
      </c>
      <c r="O195" s="348" t="str">
        <f>_xlfn.XLOOKUP(E195,'All Products'!D:D,'All Products'!I:I,FALSE)</f>
        <v>In Stock</v>
      </c>
      <c r="P195" s="348" t="str">
        <f>_xlfn.XLOOKUP(E195,'All Products'!D:D,'All Products'!J:J,FALSE)</f>
        <v>Manufactured</v>
      </c>
      <c r="Q195" s="348" t="str">
        <f>_xlfn.XLOOKUP(E195,'All Products'!D:D,'All Products'!K:K,FALSE)</f>
        <v>049081159146</v>
      </c>
      <c r="R195" s="351" t="str">
        <f>_xlfn.XLOOKUP(E195,'All Products'!D:D,'All Products'!L:L,FALSE)</f>
        <v>049081659141</v>
      </c>
      <c r="S195" s="351" t="str">
        <f>_xlfn.XLOOKUP(E195,'All Products'!D:D,'All Products'!M:M,FALSE)</f>
        <v>40049081159144</v>
      </c>
      <c r="T195" s="348">
        <f>_xlfn.XLOOKUP(E195,'All Products'!D:D,'All Products'!N:N,FALSE)</f>
        <v>0.113</v>
      </c>
      <c r="U195" s="351">
        <f>_xlfn.XLOOKUP(E195,'All Products'!D:D,'All Products'!O:O,FALSE)</f>
        <v>10</v>
      </c>
      <c r="V195" s="348">
        <f>_xlfn.XLOOKUP(E195,'All Products'!D:D,'All Products'!P:P,FALSE)</f>
        <v>6.64</v>
      </c>
      <c r="W195" s="348">
        <f>_xlfn.XLOOKUP(E195,'All Products'!D:D,'All Products'!Q:Q,FALSE)</f>
        <v>0.5</v>
      </c>
    </row>
    <row r="196" spans="1:23">
      <c r="A196" s="104" t="str">
        <f>IF(K196&gt;0,COUNT($A$7:A195)+COUNT('DWV PVC'!$A$8:$A$284)
+COUNT('DWV ABS'!$A$8:$A$116)
+COUNT('PVC SCH40'!$A$8:$A$375)
+COUNT('PVC SCH40 LD'!$A$8:$A$21)
+COUNT('Pool &amp; SPA Sweep Elbows'!$A$8:$A$11)
+COUNT('Pool &amp; SPA Pipe Extender'!$A$8:$A$10)+1,"")</f>
        <v/>
      </c>
      <c r="B196" s="581"/>
      <c r="C196" s="582"/>
      <c r="D196" s="155" t="str">
        <f>_xlfn.XLOOKUP(E196,'All Products'!D:D,'All Products'!C:C,FALSE)</f>
        <v>839-422</v>
      </c>
      <c r="E196" s="106">
        <v>100028173</v>
      </c>
      <c r="F196" s="559" t="str">
        <f>_xlfn.XLOOKUP(E196,'All Products'!D:D,'All Products'!E:E,FALSE)</f>
        <v>4X3 RED BUSHING MIPTXFIPT SCH80</v>
      </c>
      <c r="G196" s="283">
        <f>_xlfn.XLOOKUP(E196,'All Products'!D:D,'All Products'!F:F,FALSE)</f>
        <v>15</v>
      </c>
      <c r="H196" s="234">
        <f>_xlfn.XLOOKUP(E196,'All Products'!D:D,'All Products'!G:G,FALSE)</f>
        <v>0</v>
      </c>
      <c r="I196" s="561">
        <f>_xlfn.XLOOKUP(E196,'All Products'!D:D,'All Products'!H:H,FALSE)</f>
        <v>259.2</v>
      </c>
      <c r="J196" s="135">
        <f>ROUND(I196*Order_Quote!$L$8,2)</f>
        <v>1296</v>
      </c>
      <c r="K196" s="78"/>
      <c r="L196" s="116"/>
      <c r="M196" s="199">
        <f t="shared" si="5"/>
        <v>0</v>
      </c>
      <c r="O196" s="348" t="str">
        <f>_xlfn.XLOOKUP(E196,'All Products'!D:D,'All Products'!I:I,FALSE)</f>
        <v>Within 3 Weeks</v>
      </c>
      <c r="P196" s="348" t="str">
        <f>_xlfn.XLOOKUP(E196,'All Products'!D:D,'All Products'!J:J,FALSE)</f>
        <v>Manufactured</v>
      </c>
      <c r="Q196" s="348" t="str">
        <f>_xlfn.XLOOKUP(E196,'All Products'!D:D,'All Products'!K:K,FALSE)</f>
        <v>049081159528</v>
      </c>
      <c r="R196" s="351" t="str">
        <f>_xlfn.XLOOKUP(E196,'All Products'!D:D,'All Products'!L:L,FALSE)</f>
        <v>-</v>
      </c>
      <c r="S196" s="351" t="str">
        <f>_xlfn.XLOOKUP(E196,'All Products'!D:D,'All Products'!M:M,FALSE)</f>
        <v>40049081159526</v>
      </c>
      <c r="T196" s="348">
        <f>_xlfn.XLOOKUP(E196,'All Products'!D:D,'All Products'!N:N,FALSE)</f>
        <v>0.65</v>
      </c>
      <c r="U196" s="351" t="str">
        <f>_xlfn.XLOOKUP(E196,'All Products'!D:D,'All Products'!O:O,FALSE)</f>
        <v>-</v>
      </c>
      <c r="V196" s="348">
        <f>_xlfn.XLOOKUP(E196,'All Products'!D:D,'All Products'!P:P,FALSE)</f>
        <v>9.7550000000000008</v>
      </c>
      <c r="W196" s="348" t="str">
        <f>_xlfn.XLOOKUP(E196,'All Products'!D:D,'All Products'!Q:Q,FALSE)</f>
        <v>-</v>
      </c>
    </row>
    <row r="197" spans="1:23">
      <c r="A197" s="104" t="str">
        <f>IF(K197&gt;0,COUNT($A$7:A196)+COUNT('DWV PVC'!$A$8:$A$284)
+COUNT('DWV ABS'!$A$8:$A$116)
+COUNT('PVC SCH40'!$A$8:$A$375)
+COUNT('PVC SCH40 LD'!$A$8:$A$21)
+COUNT('Pool &amp; SPA Sweep Elbows'!$A$8:$A$11)
+COUNT('Pool &amp; SPA Pipe Extender'!$A$8:$A$10)+1,"")</f>
        <v/>
      </c>
      <c r="B197" s="577"/>
      <c r="C197" s="578"/>
      <c r="D197" s="155" t="str">
        <f>_xlfn.XLOOKUP(E197,'All Products'!D:D,'All Products'!C:C,FALSE)</f>
        <v>847-002</v>
      </c>
      <c r="E197" s="106">
        <v>100023706</v>
      </c>
      <c r="F197" s="559" t="str">
        <f>_xlfn.XLOOKUP(E197,'All Products'!D:D,'All Products'!E:E,FALSE)</f>
        <v>1/4 CAP SLIP SCH80</v>
      </c>
      <c r="G197" s="283">
        <f>_xlfn.XLOOKUP(E197,'All Products'!D:D,'All Products'!F:F,FALSE)</f>
        <v>500</v>
      </c>
      <c r="H197" s="234">
        <f>_xlfn.XLOOKUP(E197,'All Products'!D:D,'All Products'!G:G,FALSE)</f>
        <v>75000</v>
      </c>
      <c r="I197" s="561">
        <f>_xlfn.XLOOKUP(E197,'All Products'!D:D,'All Products'!H:H,FALSE)</f>
        <v>19.04</v>
      </c>
      <c r="J197" s="135">
        <f>ROUND(I197*Order_Quote!$L$8,2)</f>
        <v>95.2</v>
      </c>
      <c r="K197" s="78"/>
      <c r="L197" s="116"/>
      <c r="M197" s="199">
        <f t="shared" si="5"/>
        <v>0</v>
      </c>
      <c r="O197" s="348" t="str">
        <f>_xlfn.XLOOKUP(E197,'All Products'!D:D,'All Products'!I:I,FALSE)</f>
        <v>Within 3 Weeks</v>
      </c>
      <c r="P197" s="348" t="str">
        <f>_xlfn.XLOOKUP(E197,'All Products'!D:D,'All Products'!J:J,FALSE)</f>
        <v>Manufactured</v>
      </c>
      <c r="Q197" s="348" t="str">
        <f>_xlfn.XLOOKUP(E197,'All Products'!D:D,'All Products'!K:K,FALSE)</f>
        <v>049081159849</v>
      </c>
      <c r="R197" s="351" t="str">
        <f>_xlfn.XLOOKUP(E197,'All Products'!D:D,'All Products'!L:L,FALSE)</f>
        <v>049081659844</v>
      </c>
      <c r="S197" s="351" t="str">
        <f>_xlfn.XLOOKUP(E197,'All Products'!D:D,'All Products'!M:M,FALSE)</f>
        <v>40049081159847</v>
      </c>
      <c r="T197" s="348">
        <f>_xlfn.XLOOKUP(E197,'All Products'!D:D,'All Products'!N:N,FALSE)</f>
        <v>0.02</v>
      </c>
      <c r="U197" s="351">
        <f>_xlfn.XLOOKUP(E197,'All Products'!D:D,'All Products'!O:O,FALSE)</f>
        <v>10</v>
      </c>
      <c r="V197" s="348">
        <f>_xlfn.XLOOKUP(E197,'All Products'!D:D,'All Products'!P:P,FALSE)</f>
        <v>10.050000000000001</v>
      </c>
      <c r="W197" s="348">
        <f>_xlfn.XLOOKUP(E197,'All Products'!D:D,'All Products'!Q:Q,FALSE)</f>
        <v>0.5</v>
      </c>
    </row>
    <row r="198" spans="1:23">
      <c r="A198" s="104" t="str">
        <f>IF(K198&gt;0,COUNT($A$7:A197)+COUNT('DWV PVC'!$A$8:$A$284)
+COUNT('DWV ABS'!$A$8:$A$116)
+COUNT('PVC SCH40'!$A$8:$A$375)
+COUNT('PVC SCH40 LD'!$A$8:$A$21)
+COUNT('Pool &amp; SPA Sweep Elbows'!$A$8:$A$11)
+COUNT('Pool &amp; SPA Pipe Extender'!$A$8:$A$10)+1,"")</f>
        <v/>
      </c>
      <c r="B198" s="579"/>
      <c r="C198" s="580"/>
      <c r="D198" s="155" t="str">
        <f>_xlfn.XLOOKUP(E198,'All Products'!D:D,'All Products'!C:C,FALSE)</f>
        <v>847-003</v>
      </c>
      <c r="E198" s="106">
        <v>100028174</v>
      </c>
      <c r="F198" s="559" t="str">
        <f>_xlfn.XLOOKUP(E198,'All Products'!D:D,'All Products'!E:E,FALSE)</f>
        <v>3/8 CAP SLIP SCH80</v>
      </c>
      <c r="G198" s="283">
        <f>_xlfn.XLOOKUP(E198,'All Products'!D:D,'All Products'!F:F,FALSE)</f>
        <v>500</v>
      </c>
      <c r="H198" s="234">
        <f>_xlfn.XLOOKUP(E198,'All Products'!D:D,'All Products'!G:G,FALSE)</f>
        <v>75000</v>
      </c>
      <c r="I198" s="561">
        <f>_xlfn.XLOOKUP(E198,'All Products'!D:D,'All Products'!H:H,FALSE)</f>
        <v>19.04</v>
      </c>
      <c r="J198" s="135">
        <f>ROUND(I198*Order_Quote!$L$8,2)</f>
        <v>95.2</v>
      </c>
      <c r="K198" s="78"/>
      <c r="L198" s="116"/>
      <c r="M198" s="199">
        <f t="shared" si="5"/>
        <v>0</v>
      </c>
      <c r="O198" s="348" t="str">
        <f>_xlfn.XLOOKUP(E198,'All Products'!D:D,'All Products'!I:I,FALSE)</f>
        <v>Within 3 Weeks</v>
      </c>
      <c r="P198" s="348" t="str">
        <f>_xlfn.XLOOKUP(E198,'All Products'!D:D,'All Products'!J:J,FALSE)</f>
        <v>Manufactured</v>
      </c>
      <c r="Q198" s="348" t="str">
        <f>_xlfn.XLOOKUP(E198,'All Products'!D:D,'All Products'!K:K,FALSE)</f>
        <v>049081159863</v>
      </c>
      <c r="R198" s="351" t="str">
        <f>_xlfn.XLOOKUP(E198,'All Products'!D:D,'All Products'!L:L,FALSE)</f>
        <v>049081659868</v>
      </c>
      <c r="S198" s="351" t="str">
        <f>_xlfn.XLOOKUP(E198,'All Products'!D:D,'All Products'!M:M,FALSE)</f>
        <v>40049081159861</v>
      </c>
      <c r="T198" s="348">
        <f>_xlfn.XLOOKUP(E198,'All Products'!D:D,'All Products'!N:N,FALSE)</f>
        <v>2.5000000000000001E-2</v>
      </c>
      <c r="U198" s="351">
        <f>_xlfn.XLOOKUP(E198,'All Products'!D:D,'All Products'!O:O,FALSE)</f>
        <v>10</v>
      </c>
      <c r="V198" s="348">
        <f>_xlfn.XLOOKUP(E198,'All Products'!D:D,'All Products'!P:P,FALSE)</f>
        <v>14.09</v>
      </c>
      <c r="W198" s="348">
        <f>_xlfn.XLOOKUP(E198,'All Products'!D:D,'All Products'!Q:Q,FALSE)</f>
        <v>0.5</v>
      </c>
    </row>
    <row r="199" spans="1:23">
      <c r="A199" s="104" t="str">
        <f>IF(K199&gt;0,COUNT($A$7:A198)+COUNT('DWV PVC'!$A$8:$A$284)
+COUNT('DWV ABS'!$A$8:$A$116)
+COUNT('PVC SCH40'!$A$8:$A$375)
+COUNT('PVC SCH40 LD'!$A$8:$A$21)
+COUNT('Pool &amp; SPA Sweep Elbows'!$A$8:$A$11)
+COUNT('Pool &amp; SPA Pipe Extender'!$A$8:$A$10)+1,"")</f>
        <v/>
      </c>
      <c r="B199" s="579"/>
      <c r="C199" s="580"/>
      <c r="D199" s="155" t="str">
        <f>_xlfn.XLOOKUP(E199,'All Products'!D:D,'All Products'!C:C,FALSE)</f>
        <v>847-005</v>
      </c>
      <c r="E199" s="106">
        <v>100023707</v>
      </c>
      <c r="F199" s="559" t="str">
        <f>_xlfn.XLOOKUP(E199,'All Products'!D:D,'All Products'!E:E,FALSE)</f>
        <v>1/2 CAP SLIP SCH80</v>
      </c>
      <c r="G199" s="283">
        <f>_xlfn.XLOOKUP(E199,'All Products'!D:D,'All Products'!F:F,FALSE)</f>
        <v>250</v>
      </c>
      <c r="H199" s="234">
        <f>_xlfn.XLOOKUP(E199,'All Products'!D:D,'All Products'!G:G,FALSE)</f>
        <v>37500</v>
      </c>
      <c r="I199" s="561">
        <f>_xlfn.XLOOKUP(E199,'All Products'!D:D,'All Products'!H:H,FALSE)</f>
        <v>14.65</v>
      </c>
      <c r="J199" s="135">
        <f>ROUND(I199*Order_Quote!$L$8,2)</f>
        <v>73.25</v>
      </c>
      <c r="K199" s="78"/>
      <c r="L199" s="116"/>
      <c r="M199" s="199">
        <f t="shared" si="5"/>
        <v>0</v>
      </c>
      <c r="O199" s="348" t="str">
        <f>_xlfn.XLOOKUP(E199,'All Products'!D:D,'All Products'!I:I,FALSE)</f>
        <v>In Stock</v>
      </c>
      <c r="P199" s="348" t="str">
        <f>_xlfn.XLOOKUP(E199,'All Products'!D:D,'All Products'!J:J,FALSE)</f>
        <v>Manufactured</v>
      </c>
      <c r="Q199" s="348" t="str">
        <f>_xlfn.XLOOKUP(E199,'All Products'!D:D,'All Products'!K:K,FALSE)</f>
        <v>049081159900</v>
      </c>
      <c r="R199" s="351" t="str">
        <f>_xlfn.XLOOKUP(E199,'All Products'!D:D,'All Products'!L:L,FALSE)</f>
        <v>049081659905</v>
      </c>
      <c r="S199" s="351" t="str">
        <f>_xlfn.XLOOKUP(E199,'All Products'!D:D,'All Products'!M:M,FALSE)</f>
        <v>40049081159908</v>
      </c>
      <c r="T199" s="348">
        <f>_xlfn.XLOOKUP(E199,'All Products'!D:D,'All Products'!N:N,FALSE)</f>
        <v>4.8000000000000001E-2</v>
      </c>
      <c r="U199" s="351">
        <f>_xlfn.XLOOKUP(E199,'All Products'!D:D,'All Products'!O:O,FALSE)</f>
        <v>10</v>
      </c>
      <c r="V199" s="348">
        <f>_xlfn.XLOOKUP(E199,'All Products'!D:D,'All Products'!P:P,FALSE)</f>
        <v>12.79</v>
      </c>
      <c r="W199" s="348">
        <f>_xlfn.XLOOKUP(E199,'All Products'!D:D,'All Products'!Q:Q,FALSE)</f>
        <v>0.5</v>
      </c>
    </row>
    <row r="200" spans="1:23">
      <c r="A200" s="104" t="str">
        <f>IF(K200&gt;0,COUNT($A$7:A199)+COUNT('DWV PVC'!$A$8:$A$284)
+COUNT('DWV ABS'!$A$8:$A$116)
+COUNT('PVC SCH40'!$A$8:$A$375)
+COUNT('PVC SCH40 LD'!$A$8:$A$21)
+COUNT('Pool &amp; SPA Sweep Elbows'!$A$8:$A$11)
+COUNT('Pool &amp; SPA Pipe Extender'!$A$8:$A$10)+1,"")</f>
        <v/>
      </c>
      <c r="B200" s="579"/>
      <c r="C200" s="580"/>
      <c r="D200" s="155" t="str">
        <f>_xlfn.XLOOKUP(E200,'All Products'!D:D,'All Products'!C:C,FALSE)</f>
        <v>847-007</v>
      </c>
      <c r="E200" s="106">
        <v>100023708</v>
      </c>
      <c r="F200" s="559" t="str">
        <f>_xlfn.XLOOKUP(E200,'All Products'!D:D,'All Products'!E:E,FALSE)</f>
        <v>3/4 CAP SLIP SCH80</v>
      </c>
      <c r="G200" s="283">
        <f>_xlfn.XLOOKUP(E200,'All Products'!D:D,'All Products'!F:F,FALSE)</f>
        <v>250</v>
      </c>
      <c r="H200" s="234">
        <f>_xlfn.XLOOKUP(E200,'All Products'!D:D,'All Products'!G:G,FALSE)</f>
        <v>30000</v>
      </c>
      <c r="I200" s="561">
        <f>_xlfn.XLOOKUP(E200,'All Products'!D:D,'All Products'!H:H,FALSE)</f>
        <v>15.46</v>
      </c>
      <c r="J200" s="135">
        <f>ROUND(I200*Order_Quote!$L$8,2)</f>
        <v>77.3</v>
      </c>
      <c r="K200" s="78"/>
      <c r="L200" s="116"/>
      <c r="M200" s="199">
        <f t="shared" si="5"/>
        <v>0</v>
      </c>
      <c r="O200" s="348" t="str">
        <f>_xlfn.XLOOKUP(E200,'All Products'!D:D,'All Products'!I:I,FALSE)</f>
        <v>In Stock</v>
      </c>
      <c r="P200" s="348" t="str">
        <f>_xlfn.XLOOKUP(E200,'All Products'!D:D,'All Products'!J:J,FALSE)</f>
        <v>Manufactured</v>
      </c>
      <c r="Q200" s="348" t="str">
        <f>_xlfn.XLOOKUP(E200,'All Products'!D:D,'All Products'!K:K,FALSE)</f>
        <v>049081159924</v>
      </c>
      <c r="R200" s="351" t="str">
        <f>_xlfn.XLOOKUP(E200,'All Products'!D:D,'All Products'!L:L,FALSE)</f>
        <v>049081659929</v>
      </c>
      <c r="S200" s="351" t="str">
        <f>_xlfn.XLOOKUP(E200,'All Products'!D:D,'All Products'!M:M,FALSE)</f>
        <v>40049081159922</v>
      </c>
      <c r="T200" s="348">
        <f>_xlfn.XLOOKUP(E200,'All Products'!D:D,'All Products'!N:N,FALSE)</f>
        <v>5.8999999999999997E-2</v>
      </c>
      <c r="U200" s="351">
        <f>_xlfn.XLOOKUP(E200,'All Products'!D:D,'All Products'!O:O,FALSE)</f>
        <v>10</v>
      </c>
      <c r="V200" s="348">
        <f>_xlfn.XLOOKUP(E200,'All Products'!D:D,'All Products'!P:P,FALSE)</f>
        <v>15.87</v>
      </c>
      <c r="W200" s="348">
        <f>_xlfn.XLOOKUP(E200,'All Products'!D:D,'All Products'!Q:Q,FALSE)</f>
        <v>0.65</v>
      </c>
    </row>
    <row r="201" spans="1:23">
      <c r="A201" s="104" t="str">
        <f>IF(K201&gt;0,COUNT($A$7:A200)+COUNT('DWV PVC'!$A$8:$A$284)
+COUNT('DWV ABS'!$A$8:$A$116)
+COUNT('PVC SCH40'!$A$8:$A$375)
+COUNT('PVC SCH40 LD'!$A$8:$A$21)
+COUNT('Pool &amp; SPA Sweep Elbows'!$A$8:$A$11)
+COUNT('Pool &amp; SPA Pipe Extender'!$A$8:$A$10)+1,"")</f>
        <v/>
      </c>
      <c r="B201" s="579"/>
      <c r="C201" s="580"/>
      <c r="D201" s="155" t="str">
        <f>_xlfn.XLOOKUP(E201,'All Products'!D:D,'All Products'!C:C,FALSE)</f>
        <v>847-010</v>
      </c>
      <c r="E201" s="106">
        <v>100028175</v>
      </c>
      <c r="F201" s="559" t="str">
        <f>_xlfn.XLOOKUP(E201,'All Products'!D:D,'All Products'!E:E,FALSE)</f>
        <v>1 CAP SLIP SCH80</v>
      </c>
      <c r="G201" s="283">
        <f>_xlfn.XLOOKUP(E201,'All Products'!D:D,'All Products'!F:F,FALSE)</f>
        <v>250</v>
      </c>
      <c r="H201" s="234">
        <f>_xlfn.XLOOKUP(E201,'All Products'!D:D,'All Products'!G:G,FALSE)</f>
        <v>15000</v>
      </c>
      <c r="I201" s="561">
        <f>_xlfn.XLOOKUP(E201,'All Products'!D:D,'All Products'!H:H,FALSE)</f>
        <v>27.52</v>
      </c>
      <c r="J201" s="135">
        <f>ROUND(I201*Order_Quote!$L$8,2)</f>
        <v>137.6</v>
      </c>
      <c r="K201" s="78"/>
      <c r="L201" s="116"/>
      <c r="M201" s="199">
        <f t="shared" si="5"/>
        <v>0</v>
      </c>
      <c r="O201" s="348" t="str">
        <f>_xlfn.XLOOKUP(E201,'All Products'!D:D,'All Products'!I:I,FALSE)</f>
        <v>Within 3 Weeks</v>
      </c>
      <c r="P201" s="348" t="str">
        <f>_xlfn.XLOOKUP(E201,'All Products'!D:D,'All Products'!J:J,FALSE)</f>
        <v>Manufactured</v>
      </c>
      <c r="Q201" s="348" t="str">
        <f>_xlfn.XLOOKUP(E201,'All Products'!D:D,'All Products'!K:K,FALSE)</f>
        <v>049081159948</v>
      </c>
      <c r="R201" s="351" t="str">
        <f>_xlfn.XLOOKUP(E201,'All Products'!D:D,'All Products'!L:L,FALSE)</f>
        <v>049081659943</v>
      </c>
      <c r="S201" s="351" t="str">
        <f>_xlfn.XLOOKUP(E201,'All Products'!D:D,'All Products'!M:M,FALSE)</f>
        <v>40049081159946</v>
      </c>
      <c r="T201" s="348">
        <f>_xlfn.XLOOKUP(E201,'All Products'!D:D,'All Products'!N:N,FALSE)</f>
        <v>9.6000000000000002E-2</v>
      </c>
      <c r="U201" s="351">
        <f>_xlfn.XLOOKUP(E201,'All Products'!D:D,'All Products'!O:O,FALSE)</f>
        <v>10</v>
      </c>
      <c r="V201" s="348">
        <f>_xlfn.XLOOKUP(E201,'All Products'!D:D,'All Products'!P:P,FALSE)</f>
        <v>28.46</v>
      </c>
      <c r="W201" s="348">
        <f>_xlfn.XLOOKUP(E201,'All Products'!D:D,'All Products'!Q:Q,FALSE)</f>
        <v>1.25</v>
      </c>
    </row>
    <row r="202" spans="1:23">
      <c r="A202" s="104" t="str">
        <f>IF(K202&gt;0,COUNT($A$7:A201)+COUNT('DWV PVC'!$A$8:$A$284)
+COUNT('DWV ABS'!$A$8:$A$116)
+COUNT('PVC SCH40'!$A$8:$A$375)
+COUNT('PVC SCH40 LD'!$A$8:$A$21)
+COUNT('Pool &amp; SPA Sweep Elbows'!$A$8:$A$11)
+COUNT('Pool &amp; SPA Pipe Extender'!$A$8:$A$10)+1,"")</f>
        <v/>
      </c>
      <c r="B202" s="579"/>
      <c r="C202" s="580"/>
      <c r="D202" s="155" t="str">
        <f>_xlfn.XLOOKUP(E202,'All Products'!D:D,'All Products'!C:C,FALSE)</f>
        <v>847-012</v>
      </c>
      <c r="E202" s="106">
        <v>100028176</v>
      </c>
      <c r="F202" s="559" t="str">
        <f>_xlfn.XLOOKUP(E202,'All Products'!D:D,'All Products'!E:E,FALSE)</f>
        <v>1-1/4 CAP SLIP SCH80</v>
      </c>
      <c r="G202" s="283">
        <f>_xlfn.XLOOKUP(E202,'All Products'!D:D,'All Products'!F:F,FALSE)</f>
        <v>100</v>
      </c>
      <c r="H202" s="234">
        <f>_xlfn.XLOOKUP(E202,'All Products'!D:D,'All Products'!G:G,FALSE)</f>
        <v>7500</v>
      </c>
      <c r="I202" s="561">
        <f>_xlfn.XLOOKUP(E202,'All Products'!D:D,'All Products'!H:H,FALSE)</f>
        <v>33.130000000000003</v>
      </c>
      <c r="J202" s="135">
        <f>ROUND(I202*Order_Quote!$L$8,2)</f>
        <v>165.65</v>
      </c>
      <c r="K202" s="78"/>
      <c r="L202" s="116"/>
      <c r="M202" s="199">
        <f t="shared" si="5"/>
        <v>0</v>
      </c>
      <c r="O202" s="348" t="str">
        <f>_xlfn.XLOOKUP(E202,'All Products'!D:D,'All Products'!I:I,FALSE)</f>
        <v>Within 3 Weeks</v>
      </c>
      <c r="P202" s="348" t="str">
        <f>_xlfn.XLOOKUP(E202,'All Products'!D:D,'All Products'!J:J,FALSE)</f>
        <v>Manufactured</v>
      </c>
      <c r="Q202" s="348" t="str">
        <f>_xlfn.XLOOKUP(E202,'All Products'!D:D,'All Products'!K:K,FALSE)</f>
        <v>049081159962</v>
      </c>
      <c r="R202" s="351" t="str">
        <f>_xlfn.XLOOKUP(E202,'All Products'!D:D,'All Products'!L:L,FALSE)</f>
        <v>049081659967</v>
      </c>
      <c r="S202" s="351" t="str">
        <f>_xlfn.XLOOKUP(E202,'All Products'!D:D,'All Products'!M:M,FALSE)</f>
        <v>40049081159960</v>
      </c>
      <c r="T202" s="348">
        <f>_xlfn.XLOOKUP(E202,'All Products'!D:D,'All Products'!N:N,FALSE)</f>
        <v>0.21</v>
      </c>
      <c r="U202" s="351">
        <f>_xlfn.XLOOKUP(E202,'All Products'!D:D,'All Products'!O:O,FALSE)</f>
        <v>10</v>
      </c>
      <c r="V202" s="348">
        <f>_xlfn.XLOOKUP(E202,'All Products'!D:D,'All Products'!P:P,FALSE)</f>
        <v>17.54</v>
      </c>
      <c r="W202" s="348">
        <f>_xlfn.XLOOKUP(E202,'All Products'!D:D,'All Products'!Q:Q,FALSE)</f>
        <v>0.95</v>
      </c>
    </row>
    <row r="203" spans="1:23">
      <c r="A203" s="104" t="str">
        <f>IF(K203&gt;0,COUNT($A$7:A202)+COUNT('DWV PVC'!$A$8:$A$284)
+COUNT('DWV ABS'!$A$8:$A$116)
+COUNT('PVC SCH40'!$A$8:$A$375)
+COUNT('PVC SCH40 LD'!$A$8:$A$21)
+COUNT('Pool &amp; SPA Sweep Elbows'!$A$8:$A$11)
+COUNT('Pool &amp; SPA Pipe Extender'!$A$8:$A$10)+1,"")</f>
        <v/>
      </c>
      <c r="B203" s="579"/>
      <c r="C203" s="580"/>
      <c r="D203" s="155" t="str">
        <f>_xlfn.XLOOKUP(E203,'All Products'!D:D,'All Products'!C:C,FALSE)</f>
        <v>847-015</v>
      </c>
      <c r="E203" s="106">
        <v>100028177</v>
      </c>
      <c r="F203" s="559" t="str">
        <f>_xlfn.XLOOKUP(E203,'All Products'!D:D,'All Products'!E:E,FALSE)</f>
        <v>1-1/2 CAP SLIP SCH80</v>
      </c>
      <c r="G203" s="283">
        <f>_xlfn.XLOOKUP(E203,'All Products'!D:D,'All Products'!F:F,FALSE)</f>
        <v>50</v>
      </c>
      <c r="H203" s="234">
        <f>_xlfn.XLOOKUP(E203,'All Products'!D:D,'All Products'!G:G,FALSE)</f>
        <v>6000</v>
      </c>
      <c r="I203" s="561">
        <f>_xlfn.XLOOKUP(E203,'All Products'!D:D,'All Products'!H:H,FALSE)</f>
        <v>33.130000000000003</v>
      </c>
      <c r="J203" s="135">
        <f>ROUND(I203*Order_Quote!$L$8,2)</f>
        <v>165.65</v>
      </c>
      <c r="K203" s="78"/>
      <c r="L203" s="116"/>
      <c r="M203" s="199">
        <f t="shared" si="5"/>
        <v>0</v>
      </c>
      <c r="O203" s="348" t="str">
        <f>_xlfn.XLOOKUP(E203,'All Products'!D:D,'All Products'!I:I,FALSE)</f>
        <v>Within 3 Weeks</v>
      </c>
      <c r="P203" s="348" t="str">
        <f>_xlfn.XLOOKUP(E203,'All Products'!D:D,'All Products'!J:J,FALSE)</f>
        <v>Manufactured</v>
      </c>
      <c r="Q203" s="348" t="str">
        <f>_xlfn.XLOOKUP(E203,'All Products'!D:D,'All Products'!K:K,FALSE)</f>
        <v>049081159986</v>
      </c>
      <c r="R203" s="351" t="str">
        <f>_xlfn.XLOOKUP(E203,'All Products'!D:D,'All Products'!L:L,FALSE)</f>
        <v>049081659981</v>
      </c>
      <c r="S203" s="351" t="str">
        <f>_xlfn.XLOOKUP(E203,'All Products'!D:D,'All Products'!M:M,FALSE)</f>
        <v>40049081159984</v>
      </c>
      <c r="T203" s="348">
        <f>_xlfn.XLOOKUP(E203,'All Products'!D:D,'All Products'!N:N,FALSE)</f>
        <v>0.249</v>
      </c>
      <c r="U203" s="351">
        <f>_xlfn.XLOOKUP(E203,'All Products'!D:D,'All Products'!O:O,FALSE)</f>
        <v>5</v>
      </c>
      <c r="V203" s="348">
        <f>_xlfn.XLOOKUP(E203,'All Products'!D:D,'All Products'!P:P,FALSE)</f>
        <v>12.99</v>
      </c>
      <c r="W203" s="348">
        <f>_xlfn.XLOOKUP(E203,'All Products'!D:D,'All Products'!Q:Q,FALSE)</f>
        <v>0.65</v>
      </c>
    </row>
    <row r="204" spans="1:23">
      <c r="A204" s="104" t="str">
        <f>IF(K204&gt;0,COUNT($A$7:A203)+COUNT('DWV PVC'!$A$8:$A$284)
+COUNT('DWV ABS'!$A$8:$A$116)
+COUNT('PVC SCH40'!$A$8:$A$375)
+COUNT('PVC SCH40 LD'!$A$8:$A$21)
+COUNT('Pool &amp; SPA Sweep Elbows'!$A$8:$A$11)
+COUNT('Pool &amp; SPA Pipe Extender'!$A$8:$A$10)+1,"")</f>
        <v/>
      </c>
      <c r="B204" s="579"/>
      <c r="C204" s="580"/>
      <c r="D204" s="155" t="str">
        <f>_xlfn.XLOOKUP(E204,'All Products'!D:D,'All Products'!C:C,FALSE)</f>
        <v>847-020</v>
      </c>
      <c r="E204" s="106">
        <v>100023709</v>
      </c>
      <c r="F204" s="559" t="str">
        <f>_xlfn.XLOOKUP(E204,'All Products'!D:D,'All Products'!E:E,FALSE)</f>
        <v>2 CAP SLIP SCH80</v>
      </c>
      <c r="G204" s="283">
        <f>_xlfn.XLOOKUP(E204,'All Products'!D:D,'All Products'!F:F,FALSE)</f>
        <v>50</v>
      </c>
      <c r="H204" s="234">
        <f>_xlfn.XLOOKUP(E204,'All Products'!D:D,'All Products'!G:G,FALSE)</f>
        <v>4500</v>
      </c>
      <c r="I204" s="561">
        <f>_xlfn.XLOOKUP(E204,'All Products'!D:D,'All Products'!H:H,FALSE)</f>
        <v>65.44</v>
      </c>
      <c r="J204" s="135">
        <f>ROUND(I204*Order_Quote!$L$8,2)</f>
        <v>327.2</v>
      </c>
      <c r="K204" s="78"/>
      <c r="L204" s="116"/>
      <c r="M204" s="199">
        <f t="shared" si="5"/>
        <v>0</v>
      </c>
      <c r="O204" s="348" t="str">
        <f>_xlfn.XLOOKUP(E204,'All Products'!D:D,'All Products'!I:I,FALSE)</f>
        <v>In Stock</v>
      </c>
      <c r="P204" s="348" t="str">
        <f>_xlfn.XLOOKUP(E204,'All Products'!D:D,'All Products'!J:J,FALSE)</f>
        <v>Manufactured</v>
      </c>
      <c r="Q204" s="348" t="str">
        <f>_xlfn.XLOOKUP(E204,'All Products'!D:D,'All Products'!K:K,FALSE)</f>
        <v>049081160005</v>
      </c>
      <c r="R204" s="351" t="str">
        <f>_xlfn.XLOOKUP(E204,'All Products'!D:D,'All Products'!L:L,FALSE)</f>
        <v>049081660000</v>
      </c>
      <c r="S204" s="351" t="str">
        <f>_xlfn.XLOOKUP(E204,'All Products'!D:D,'All Products'!M:M,FALSE)</f>
        <v>40049081160003</v>
      </c>
      <c r="T204" s="348">
        <f>_xlfn.XLOOKUP(E204,'All Products'!D:D,'All Products'!N:N,FALSE)</f>
        <v>0.26400000000000001</v>
      </c>
      <c r="U204" s="351">
        <f>_xlfn.XLOOKUP(E204,'All Products'!D:D,'All Products'!O:O,FALSE)</f>
        <v>5</v>
      </c>
      <c r="V204" s="348">
        <f>_xlfn.XLOOKUP(E204,'All Products'!D:D,'All Products'!P:P,FALSE)</f>
        <v>17.600000000000001</v>
      </c>
      <c r="W204" s="348">
        <f>_xlfn.XLOOKUP(E204,'All Products'!D:D,'All Products'!Q:Q,FALSE)</f>
        <v>0.8</v>
      </c>
    </row>
    <row r="205" spans="1:23">
      <c r="A205" s="104" t="str">
        <f>IF(K205&gt;0,COUNT($A$7:A204)+COUNT('DWV PVC'!$A$8:$A$284)
+COUNT('DWV ABS'!$A$8:$A$116)
+COUNT('PVC SCH40'!$A$8:$A$375)
+COUNT('PVC SCH40 LD'!$A$8:$A$21)
+COUNT('Pool &amp; SPA Sweep Elbows'!$A$8:$A$11)
+COUNT('Pool &amp; SPA Pipe Extender'!$A$8:$A$10)+1,"")</f>
        <v/>
      </c>
      <c r="B205" s="579"/>
      <c r="C205" s="580"/>
      <c r="D205" s="155" t="str">
        <f>_xlfn.XLOOKUP(E205,'All Products'!D:D,'All Products'!C:C,FALSE)</f>
        <v>847-025</v>
      </c>
      <c r="E205" s="106">
        <v>100023710</v>
      </c>
      <c r="F205" s="559" t="str">
        <f>_xlfn.XLOOKUP(E205,'All Products'!D:D,'All Products'!E:E,FALSE)</f>
        <v>2-1/2 CAP SLIP SCH80</v>
      </c>
      <c r="G205" s="283">
        <f>_xlfn.XLOOKUP(E205,'All Products'!D:D,'All Products'!F:F,FALSE)</f>
        <v>25</v>
      </c>
      <c r="H205" s="234">
        <f>_xlfn.XLOOKUP(E205,'All Products'!D:D,'All Products'!G:G,FALSE)</f>
        <v>3000</v>
      </c>
      <c r="I205" s="561">
        <f>_xlfn.XLOOKUP(E205,'All Products'!D:D,'All Products'!H:H,FALSE)</f>
        <v>133.62</v>
      </c>
      <c r="J205" s="135">
        <f>ROUND(I205*Order_Quote!$L$8,2)</f>
        <v>668.1</v>
      </c>
      <c r="K205" s="78"/>
      <c r="L205" s="116"/>
      <c r="M205" s="199">
        <f t="shared" si="5"/>
        <v>0</v>
      </c>
      <c r="O205" s="348" t="str">
        <f>_xlfn.XLOOKUP(E205,'All Products'!D:D,'All Products'!I:I,FALSE)</f>
        <v>Within 3 Weeks</v>
      </c>
      <c r="P205" s="348" t="str">
        <f>_xlfn.XLOOKUP(E205,'All Products'!D:D,'All Products'!J:J,FALSE)</f>
        <v>Manufactured</v>
      </c>
      <c r="Q205" s="348" t="str">
        <f>_xlfn.XLOOKUP(E205,'All Products'!D:D,'All Products'!K:K,FALSE)</f>
        <v>049081160029</v>
      </c>
      <c r="R205" s="351" t="str">
        <f>_xlfn.XLOOKUP(E205,'All Products'!D:D,'All Products'!L:L,FALSE)</f>
        <v>049081660024</v>
      </c>
      <c r="S205" s="351" t="str">
        <f>_xlfn.XLOOKUP(E205,'All Products'!D:D,'All Products'!M:M,FALSE)</f>
        <v>40049081160027</v>
      </c>
      <c r="T205" s="348">
        <f>_xlfn.XLOOKUP(E205,'All Products'!D:D,'All Products'!N:N,FALSE)</f>
        <v>0.46200000000000002</v>
      </c>
      <c r="U205" s="351">
        <f>_xlfn.XLOOKUP(E205,'All Products'!D:D,'All Products'!O:O,FALSE)</f>
        <v>5</v>
      </c>
      <c r="V205" s="348">
        <f>_xlfn.XLOOKUP(E205,'All Products'!D:D,'All Products'!P:P,FALSE)</f>
        <v>13.6</v>
      </c>
      <c r="W205" s="348">
        <f>_xlfn.XLOOKUP(E205,'All Products'!D:D,'All Products'!Q:Q,FALSE)</f>
        <v>0.65</v>
      </c>
    </row>
    <row r="206" spans="1:23">
      <c r="A206" s="104" t="str">
        <f>IF(K206&gt;0,COUNT($A$7:A205)+COUNT('DWV PVC'!$A$8:$A$284)
+COUNT('DWV ABS'!$A$8:$A$116)
+COUNT('PVC SCH40'!$A$8:$A$375)
+COUNT('PVC SCH40 LD'!$A$8:$A$21)
+COUNT('Pool &amp; SPA Sweep Elbows'!$A$8:$A$11)
+COUNT('Pool &amp; SPA Pipe Extender'!$A$8:$A$10)+1,"")</f>
        <v/>
      </c>
      <c r="B206" s="579"/>
      <c r="C206" s="580"/>
      <c r="D206" s="155" t="str">
        <f>_xlfn.XLOOKUP(E206,'All Products'!D:D,'All Products'!C:C,FALSE)</f>
        <v>847-030</v>
      </c>
      <c r="E206" s="106">
        <v>100023711</v>
      </c>
      <c r="F206" s="559" t="str">
        <f>_xlfn.XLOOKUP(E206,'All Products'!D:D,'All Products'!E:E,FALSE)</f>
        <v>3 CAP SLIP SCH80</v>
      </c>
      <c r="G206" s="283">
        <f>_xlfn.XLOOKUP(E206,'All Products'!D:D,'All Products'!F:F,FALSE)</f>
        <v>25</v>
      </c>
      <c r="H206" s="234">
        <f>_xlfn.XLOOKUP(E206,'All Products'!D:D,'All Products'!G:G,FALSE)</f>
        <v>1875</v>
      </c>
      <c r="I206" s="561">
        <f>_xlfn.XLOOKUP(E206,'All Products'!D:D,'All Products'!H:H,FALSE)</f>
        <v>156.35</v>
      </c>
      <c r="J206" s="135">
        <f>ROUND(I206*Order_Quote!$L$8,2)</f>
        <v>781.75</v>
      </c>
      <c r="K206" s="78"/>
      <c r="L206" s="116"/>
      <c r="M206" s="199">
        <f t="shared" si="5"/>
        <v>0</v>
      </c>
      <c r="O206" s="348" t="str">
        <f>_xlfn.XLOOKUP(E206,'All Products'!D:D,'All Products'!I:I,FALSE)</f>
        <v>In Stock</v>
      </c>
      <c r="P206" s="348" t="str">
        <f>_xlfn.XLOOKUP(E206,'All Products'!D:D,'All Products'!J:J,FALSE)</f>
        <v>Manufactured</v>
      </c>
      <c r="Q206" s="348" t="str">
        <f>_xlfn.XLOOKUP(E206,'All Products'!D:D,'All Products'!K:K,FALSE)</f>
        <v>049081160043</v>
      </c>
      <c r="R206" s="351" t="str">
        <f>_xlfn.XLOOKUP(E206,'All Products'!D:D,'All Products'!L:L,FALSE)</f>
        <v>049081660048</v>
      </c>
      <c r="S206" s="351" t="str">
        <f>_xlfn.XLOOKUP(E206,'All Products'!D:D,'All Products'!M:M,FALSE)</f>
        <v>40049081160041</v>
      </c>
      <c r="T206" s="348">
        <f>_xlfn.XLOOKUP(E206,'All Products'!D:D,'All Products'!N:N,FALSE)</f>
        <v>0.69199999999999995</v>
      </c>
      <c r="U206" s="351">
        <f>_xlfn.XLOOKUP(E206,'All Products'!D:D,'All Products'!O:O,FALSE)</f>
        <v>5</v>
      </c>
      <c r="V206" s="348">
        <f>_xlfn.XLOOKUP(E206,'All Products'!D:D,'All Products'!P:P,FALSE)</f>
        <v>17.07</v>
      </c>
      <c r="W206" s="348">
        <f>_xlfn.XLOOKUP(E206,'All Products'!D:D,'All Products'!Q:Q,FALSE)</f>
        <v>0.95</v>
      </c>
    </row>
    <row r="207" spans="1:23">
      <c r="A207" s="104" t="str">
        <f>IF(K207&gt;0,COUNT($A$7:A206)+COUNT('DWV PVC'!$A$8:$A$284)
+COUNT('DWV ABS'!$A$8:$A$116)
+COUNT('PVC SCH40'!$A$8:$A$375)
+COUNT('PVC SCH40 LD'!$A$8:$A$21)
+COUNT('Pool &amp; SPA Sweep Elbows'!$A$8:$A$11)
+COUNT('Pool &amp; SPA Pipe Extender'!$A$8:$A$10)+1,"")</f>
        <v/>
      </c>
      <c r="B207" s="579"/>
      <c r="C207" s="580"/>
      <c r="D207" s="155" t="str">
        <f>_xlfn.XLOOKUP(E207,'All Products'!D:D,'All Products'!C:C,FALSE)</f>
        <v>847-040</v>
      </c>
      <c r="E207" s="106">
        <v>100023712</v>
      </c>
      <c r="F207" s="559" t="str">
        <f>_xlfn.XLOOKUP(E207,'All Products'!D:D,'All Products'!E:E,FALSE)</f>
        <v>4 CAP SLIP SCH80</v>
      </c>
      <c r="G207" s="283">
        <f>_xlfn.XLOOKUP(E207,'All Products'!D:D,'All Products'!F:F,FALSE)</f>
        <v>10</v>
      </c>
      <c r="H207" s="234">
        <f>_xlfn.XLOOKUP(E207,'All Products'!D:D,'All Products'!G:G,FALSE)</f>
        <v>900</v>
      </c>
      <c r="I207" s="561">
        <f>_xlfn.XLOOKUP(E207,'All Products'!D:D,'All Products'!H:H,FALSE)</f>
        <v>263.64</v>
      </c>
      <c r="J207" s="135">
        <f>ROUND(I207*Order_Quote!$L$8,2)</f>
        <v>1318.2</v>
      </c>
      <c r="K207" s="78"/>
      <c r="L207" s="116"/>
      <c r="M207" s="199">
        <f t="shared" si="5"/>
        <v>0</v>
      </c>
      <c r="O207" s="348" t="str">
        <f>_xlfn.XLOOKUP(E207,'All Products'!D:D,'All Products'!I:I,FALSE)</f>
        <v>In Stock</v>
      </c>
      <c r="P207" s="348" t="str">
        <f>_xlfn.XLOOKUP(E207,'All Products'!D:D,'All Products'!J:J,FALSE)</f>
        <v>Manufactured</v>
      </c>
      <c r="Q207" s="348" t="str">
        <f>_xlfn.XLOOKUP(E207,'All Products'!D:D,'All Products'!K:K,FALSE)</f>
        <v>049081160067</v>
      </c>
      <c r="R207" s="351" t="str">
        <f>_xlfn.XLOOKUP(E207,'All Products'!D:D,'All Products'!L:L,FALSE)</f>
        <v>049081660062</v>
      </c>
      <c r="S207" s="351" t="str">
        <f>_xlfn.XLOOKUP(E207,'All Products'!D:D,'All Products'!M:M,FALSE)</f>
        <v>40049081160065</v>
      </c>
      <c r="T207" s="348">
        <f>_xlfn.XLOOKUP(E207,'All Products'!D:D,'All Products'!N:N,FALSE)</f>
        <v>1.34</v>
      </c>
      <c r="U207" s="351">
        <f>_xlfn.XLOOKUP(E207,'All Products'!D:D,'All Products'!O:O,FALSE)</f>
        <v>2</v>
      </c>
      <c r="V207" s="348">
        <f>_xlfn.XLOOKUP(E207,'All Products'!D:D,'All Products'!P:P,FALSE)</f>
        <v>13.72</v>
      </c>
      <c r="W207" s="348">
        <f>_xlfn.XLOOKUP(E207,'All Products'!D:D,'All Products'!Q:Q,FALSE)</f>
        <v>0.8</v>
      </c>
    </row>
    <row r="208" spans="1:23">
      <c r="A208" s="104" t="str">
        <f>IF(K208&gt;0,COUNT($A$7:A207)+COUNT('DWV PVC'!$A$8:$A$284)
+COUNT('DWV ABS'!$A$8:$A$116)
+COUNT('PVC SCH40'!$A$8:$A$375)
+COUNT('PVC SCH40 LD'!$A$8:$A$21)
+COUNT('Pool &amp; SPA Sweep Elbows'!$A$8:$A$11)
+COUNT('Pool &amp; SPA Pipe Extender'!$A$8:$A$10)+1,"")</f>
        <v/>
      </c>
      <c r="B208" s="579"/>
      <c r="C208" s="580"/>
      <c r="D208" s="155" t="str">
        <f>_xlfn.XLOOKUP(E208,'All Products'!D:D,'All Products'!C:C,FALSE)</f>
        <v>847-060</v>
      </c>
      <c r="E208" s="106">
        <v>100023713</v>
      </c>
      <c r="F208" s="559" t="str">
        <f>_xlfn.XLOOKUP(E208,'All Products'!D:D,'All Products'!E:E,FALSE)</f>
        <v>6 CAP SLIP SCH80</v>
      </c>
      <c r="G208" s="283">
        <f>_xlfn.XLOOKUP(E208,'All Products'!D:D,'All Products'!F:F,FALSE)</f>
        <v>5</v>
      </c>
      <c r="H208" s="234">
        <f>_xlfn.XLOOKUP(E208,'All Products'!D:D,'All Products'!G:G,FALSE)</f>
        <v>300</v>
      </c>
      <c r="I208" s="561">
        <f>_xlfn.XLOOKUP(E208,'All Products'!D:D,'All Products'!H:H,FALSE)</f>
        <v>655.76</v>
      </c>
      <c r="J208" s="135">
        <f>ROUND(I208*Order_Quote!$L$8,2)</f>
        <v>3278.8</v>
      </c>
      <c r="K208" s="78"/>
      <c r="L208" s="116"/>
      <c r="M208" s="199">
        <f t="shared" si="5"/>
        <v>0</v>
      </c>
      <c r="O208" s="348" t="str">
        <f>_xlfn.XLOOKUP(E208,'All Products'!D:D,'All Products'!I:I,FALSE)</f>
        <v>In Stock</v>
      </c>
      <c r="P208" s="348" t="str">
        <f>_xlfn.XLOOKUP(E208,'All Products'!D:D,'All Products'!J:J,FALSE)</f>
        <v>Manufactured</v>
      </c>
      <c r="Q208" s="348" t="str">
        <f>_xlfn.XLOOKUP(E208,'All Products'!D:D,'All Products'!K:K,FALSE)</f>
        <v>049081160104</v>
      </c>
      <c r="R208" s="351" t="str">
        <f>_xlfn.XLOOKUP(E208,'All Products'!D:D,'All Products'!L:L,FALSE)</f>
        <v>-</v>
      </c>
      <c r="S208" s="351" t="str">
        <f>_xlfn.XLOOKUP(E208,'All Products'!D:D,'All Products'!M:M,FALSE)</f>
        <v>40049081160102</v>
      </c>
      <c r="T208" s="348">
        <f>_xlfn.XLOOKUP(E208,'All Products'!D:D,'All Products'!N:N,FALSE)</f>
        <v>4.2</v>
      </c>
      <c r="U208" s="351" t="str">
        <f>_xlfn.XLOOKUP(E208,'All Products'!D:D,'All Products'!O:O,FALSE)</f>
        <v>-</v>
      </c>
      <c r="V208" s="348">
        <f>_xlfn.XLOOKUP(E208,'All Products'!D:D,'All Products'!P:P,FALSE)</f>
        <v>22.85</v>
      </c>
      <c r="W208" s="348">
        <f>_xlfn.XLOOKUP(E208,'All Products'!D:D,'All Products'!Q:Q,FALSE)</f>
        <v>1.41</v>
      </c>
    </row>
    <row r="209" spans="1:23">
      <c r="A209" s="104" t="str">
        <f>IF(K209&gt;0,COUNT($A$7:A208)+COUNT('DWV PVC'!$A$8:$A$284)
+COUNT('DWV ABS'!$A$8:$A$116)
+COUNT('PVC SCH40'!$A$8:$A$375)
+COUNT('PVC SCH40 LD'!$A$8:$A$21)
+COUNT('Pool &amp; SPA Sweep Elbows'!$A$8:$A$11)
+COUNT('Pool &amp; SPA Pipe Extender'!$A$8:$A$10)+1,"")</f>
        <v/>
      </c>
      <c r="B209" s="577"/>
      <c r="C209" s="578"/>
      <c r="D209" s="155" t="str">
        <f>_xlfn.XLOOKUP(E209,'All Products'!D:D,'All Products'!C:C,FALSE)</f>
        <v>848-002</v>
      </c>
      <c r="E209" s="106">
        <v>100023714</v>
      </c>
      <c r="F209" s="559" t="str">
        <f>_xlfn.XLOOKUP(E209,'All Products'!D:D,'All Products'!E:E,FALSE)</f>
        <v>1/4 CAP FIPT SCH80</v>
      </c>
      <c r="G209" s="283">
        <f>_xlfn.XLOOKUP(E209,'All Products'!D:D,'All Products'!F:F,FALSE)</f>
        <v>250</v>
      </c>
      <c r="H209" s="234">
        <f>_xlfn.XLOOKUP(E209,'All Products'!D:D,'All Products'!G:G,FALSE)</f>
        <v>67500</v>
      </c>
      <c r="I209" s="561">
        <f>_xlfn.XLOOKUP(E209,'All Products'!D:D,'All Products'!H:H,FALSE)</f>
        <v>18.38</v>
      </c>
      <c r="J209" s="135">
        <f>ROUND(I209*Order_Quote!$L$8,2)</f>
        <v>91.9</v>
      </c>
      <c r="K209" s="78"/>
      <c r="L209" s="116"/>
      <c r="M209" s="199">
        <f t="shared" si="5"/>
        <v>0</v>
      </c>
      <c r="O209" s="348" t="str">
        <f>_xlfn.XLOOKUP(E209,'All Products'!D:D,'All Products'!I:I,FALSE)</f>
        <v>In Stock</v>
      </c>
      <c r="P209" s="348" t="str">
        <f>_xlfn.XLOOKUP(E209,'All Products'!D:D,'All Products'!J:J,FALSE)</f>
        <v>Manufactured</v>
      </c>
      <c r="Q209" s="348" t="str">
        <f>_xlfn.XLOOKUP(E209,'All Products'!D:D,'All Products'!K:K,FALSE)</f>
        <v>049081160265</v>
      </c>
      <c r="R209" s="351">
        <f>_xlfn.XLOOKUP(E209,'All Products'!D:D,'All Products'!L:L,FALSE)</f>
        <v>0</v>
      </c>
      <c r="S209" s="351" t="str">
        <f>_xlfn.XLOOKUP(E209,'All Products'!D:D,'All Products'!M:M,FALSE)</f>
        <v>40049081160263</v>
      </c>
      <c r="T209" s="348">
        <f>_xlfn.XLOOKUP(E209,'All Products'!D:D,'All Products'!N:N,FALSE)</f>
        <v>0.02</v>
      </c>
      <c r="U209" s="351">
        <f>_xlfn.XLOOKUP(E209,'All Products'!D:D,'All Products'!O:O,FALSE)</f>
        <v>10</v>
      </c>
      <c r="V209" s="348">
        <f>_xlfn.XLOOKUP(E209,'All Products'!D:D,'All Products'!P:P,FALSE)</f>
        <v>5.15</v>
      </c>
      <c r="W209" s="348">
        <f>_xlfn.XLOOKUP(E209,'All Products'!D:D,'All Products'!Q:Q,FALSE)</f>
        <v>0.27</v>
      </c>
    </row>
    <row r="210" spans="1:23">
      <c r="A210" s="104" t="str">
        <f>IF(K210&gt;0,COUNT($A$7:A209)+COUNT('DWV PVC'!$A$8:$A$284)
+COUNT('DWV ABS'!$A$8:$A$116)
+COUNT('PVC SCH40'!$A$8:$A$375)
+COUNT('PVC SCH40 LD'!$A$8:$A$21)
+COUNT('Pool &amp; SPA Sweep Elbows'!$A$8:$A$11)
+COUNT('Pool &amp; SPA Pipe Extender'!$A$8:$A$10)+1,"")</f>
        <v/>
      </c>
      <c r="B210" s="579"/>
      <c r="C210" s="580"/>
      <c r="D210" s="155" t="str">
        <f>_xlfn.XLOOKUP(E210,'All Products'!D:D,'All Products'!C:C,FALSE)</f>
        <v>848-003</v>
      </c>
      <c r="E210" s="106">
        <v>100023715</v>
      </c>
      <c r="F210" s="559" t="str">
        <f>_xlfn.XLOOKUP(E210,'All Products'!D:D,'All Products'!E:E,FALSE)</f>
        <v>3/8 CAP FIPT SCH80</v>
      </c>
      <c r="G210" s="283">
        <f>_xlfn.XLOOKUP(E210,'All Products'!D:D,'All Products'!F:F,FALSE)</f>
        <v>250</v>
      </c>
      <c r="H210" s="234">
        <f>_xlfn.XLOOKUP(E210,'All Products'!D:D,'All Products'!G:G,FALSE)</f>
        <v>67500</v>
      </c>
      <c r="I210" s="561">
        <f>_xlfn.XLOOKUP(E210,'All Products'!D:D,'All Products'!H:H,FALSE)</f>
        <v>18.38</v>
      </c>
      <c r="J210" s="135">
        <f>ROUND(I210*Order_Quote!$L$8,2)</f>
        <v>91.9</v>
      </c>
      <c r="K210" s="78"/>
      <c r="L210" s="116"/>
      <c r="M210" s="199">
        <f t="shared" si="5"/>
        <v>0</v>
      </c>
      <c r="O210" s="348" t="str">
        <f>_xlfn.XLOOKUP(E210,'All Products'!D:D,'All Products'!I:I,FALSE)</f>
        <v>Within 3 Weeks</v>
      </c>
      <c r="P210" s="348" t="str">
        <f>_xlfn.XLOOKUP(E210,'All Products'!D:D,'All Products'!J:J,FALSE)</f>
        <v>Manufactured</v>
      </c>
      <c r="Q210" s="348" t="str">
        <f>_xlfn.XLOOKUP(E210,'All Products'!D:D,'All Products'!K:K,FALSE)</f>
        <v>049081160289</v>
      </c>
      <c r="R210" s="351" t="str">
        <f>_xlfn.XLOOKUP(E210,'All Products'!D:D,'All Products'!L:L,FALSE)</f>
        <v>049081660284</v>
      </c>
      <c r="S210" s="351" t="str">
        <f>_xlfn.XLOOKUP(E210,'All Products'!D:D,'All Products'!M:M,FALSE)</f>
        <v>40049081160287</v>
      </c>
      <c r="T210" s="348">
        <f>_xlfn.XLOOKUP(E210,'All Products'!D:D,'All Products'!N:N,FALSE)</f>
        <v>0.03</v>
      </c>
      <c r="U210" s="351">
        <f>_xlfn.XLOOKUP(E210,'All Products'!D:D,'All Products'!O:O,FALSE)</f>
        <v>10</v>
      </c>
      <c r="V210" s="348">
        <f>_xlfn.XLOOKUP(E210,'All Products'!D:D,'All Products'!P:P,FALSE)</f>
        <v>14.68</v>
      </c>
      <c r="W210" s="348">
        <f>_xlfn.XLOOKUP(E210,'All Products'!D:D,'All Products'!Q:Q,FALSE)</f>
        <v>0.31</v>
      </c>
    </row>
    <row r="211" spans="1:23">
      <c r="A211" s="104" t="str">
        <f>IF(K211&gt;0,COUNT($A$7:A210)+COUNT('DWV PVC'!$A$8:$A$284)
+COUNT('DWV ABS'!$A$8:$A$116)
+COUNT('PVC SCH40'!$A$8:$A$375)
+COUNT('PVC SCH40 LD'!$A$8:$A$21)
+COUNT('Pool &amp; SPA Sweep Elbows'!$A$8:$A$11)
+COUNT('Pool &amp; SPA Pipe Extender'!$A$8:$A$10)+1,"")</f>
        <v/>
      </c>
      <c r="B211" s="579"/>
      <c r="C211" s="580"/>
      <c r="D211" s="155" t="str">
        <f>_xlfn.XLOOKUP(E211,'All Products'!D:D,'All Products'!C:C,FALSE)</f>
        <v>848-005</v>
      </c>
      <c r="E211" s="106">
        <v>100023716</v>
      </c>
      <c r="F211" s="559" t="str">
        <f>_xlfn.XLOOKUP(E211,'All Products'!D:D,'All Products'!E:E,FALSE)</f>
        <v>1/2 CAP FIPT SCH80</v>
      </c>
      <c r="G211" s="283">
        <f>_xlfn.XLOOKUP(E211,'All Products'!D:D,'All Products'!F:F,FALSE)</f>
        <v>250</v>
      </c>
      <c r="H211" s="234">
        <f>_xlfn.XLOOKUP(E211,'All Products'!D:D,'All Products'!G:G,FALSE)</f>
        <v>37500</v>
      </c>
      <c r="I211" s="561">
        <f>_xlfn.XLOOKUP(E211,'All Products'!D:D,'All Products'!H:H,FALSE)</f>
        <v>18.38</v>
      </c>
      <c r="J211" s="135">
        <f>ROUND(I211*Order_Quote!$L$8,2)</f>
        <v>91.9</v>
      </c>
      <c r="K211" s="78"/>
      <c r="L211" s="116"/>
      <c r="M211" s="199">
        <f t="shared" si="5"/>
        <v>0</v>
      </c>
      <c r="O211" s="348" t="str">
        <f>_xlfn.XLOOKUP(E211,'All Products'!D:D,'All Products'!I:I,FALSE)</f>
        <v>In Stock</v>
      </c>
      <c r="P211" s="348" t="str">
        <f>_xlfn.XLOOKUP(E211,'All Products'!D:D,'All Products'!J:J,FALSE)</f>
        <v>Manufactured</v>
      </c>
      <c r="Q211" s="348" t="str">
        <f>_xlfn.XLOOKUP(E211,'All Products'!D:D,'All Products'!K:K,FALSE)</f>
        <v>049081160302</v>
      </c>
      <c r="R211" s="351" t="str">
        <f>_xlfn.XLOOKUP(E211,'All Products'!D:D,'All Products'!L:L,FALSE)</f>
        <v>049081660307</v>
      </c>
      <c r="S211" s="351" t="str">
        <f>_xlfn.XLOOKUP(E211,'All Products'!D:D,'All Products'!M:M,FALSE)</f>
        <v>40049081160300</v>
      </c>
      <c r="T211" s="348">
        <f>_xlfn.XLOOKUP(E211,'All Products'!D:D,'All Products'!N:N,FALSE)</f>
        <v>5.5E-2</v>
      </c>
      <c r="U211" s="351">
        <f>_xlfn.XLOOKUP(E211,'All Products'!D:D,'All Products'!O:O,FALSE)</f>
        <v>10</v>
      </c>
      <c r="V211" s="348">
        <f>_xlfn.XLOOKUP(E211,'All Products'!D:D,'All Products'!P:P,FALSE)</f>
        <v>13.84</v>
      </c>
      <c r="W211" s="348">
        <f>_xlfn.XLOOKUP(E211,'All Products'!D:D,'All Products'!Q:Q,FALSE)</f>
        <v>0.5</v>
      </c>
    </row>
    <row r="212" spans="1:23">
      <c r="A212" s="104" t="str">
        <f>IF(K212&gt;0,COUNT($A$7:A211)+COUNT('DWV PVC'!$A$8:$A$284)
+COUNT('DWV ABS'!$A$8:$A$116)
+COUNT('PVC SCH40'!$A$8:$A$375)
+COUNT('PVC SCH40 LD'!$A$8:$A$21)
+COUNT('Pool &amp; SPA Sweep Elbows'!$A$8:$A$11)
+COUNT('Pool &amp; SPA Pipe Extender'!$A$8:$A$10)+1,"")</f>
        <v/>
      </c>
      <c r="B212" s="579"/>
      <c r="C212" s="580"/>
      <c r="D212" s="155" t="str">
        <f>_xlfn.XLOOKUP(E212,'All Products'!D:D,'All Products'!C:C,FALSE)</f>
        <v>848-007</v>
      </c>
      <c r="E212" s="106">
        <v>100023717</v>
      </c>
      <c r="F212" s="559" t="str">
        <f>_xlfn.XLOOKUP(E212,'All Products'!D:D,'All Products'!E:E,FALSE)</f>
        <v>3/4 CAP FIPT SCH80</v>
      </c>
      <c r="G212" s="283">
        <f>_xlfn.XLOOKUP(E212,'All Products'!D:D,'All Products'!F:F,FALSE)</f>
        <v>250</v>
      </c>
      <c r="H212" s="234">
        <f>_xlfn.XLOOKUP(E212,'All Products'!D:D,'All Products'!G:G,FALSE)</f>
        <v>30000</v>
      </c>
      <c r="I212" s="561">
        <f>_xlfn.XLOOKUP(E212,'All Products'!D:D,'All Products'!H:H,FALSE)</f>
        <v>20.54</v>
      </c>
      <c r="J212" s="135">
        <f>ROUND(I212*Order_Quote!$L$8,2)</f>
        <v>102.7</v>
      </c>
      <c r="K212" s="78"/>
      <c r="L212" s="116"/>
      <c r="M212" s="199">
        <f t="shared" si="5"/>
        <v>0</v>
      </c>
      <c r="O212" s="348" t="str">
        <f>_xlfn.XLOOKUP(E212,'All Products'!D:D,'All Products'!I:I,FALSE)</f>
        <v>Within 3 Weeks</v>
      </c>
      <c r="P212" s="348" t="str">
        <f>_xlfn.XLOOKUP(E212,'All Products'!D:D,'All Products'!J:J,FALSE)</f>
        <v>Manufactured</v>
      </c>
      <c r="Q212" s="348" t="str">
        <f>_xlfn.XLOOKUP(E212,'All Products'!D:D,'All Products'!K:K,FALSE)</f>
        <v>049081160326</v>
      </c>
      <c r="R212" s="351" t="str">
        <f>_xlfn.XLOOKUP(E212,'All Products'!D:D,'All Products'!L:L,FALSE)</f>
        <v>049081660321</v>
      </c>
      <c r="S212" s="351" t="str">
        <f>_xlfn.XLOOKUP(E212,'All Products'!D:D,'All Products'!M:M,FALSE)</f>
        <v>40049081160324</v>
      </c>
      <c r="T212" s="348">
        <f>_xlfn.XLOOKUP(E212,'All Products'!D:D,'All Products'!N:N,FALSE)</f>
        <v>6.6000000000000003E-2</v>
      </c>
      <c r="U212" s="351">
        <f>_xlfn.XLOOKUP(E212,'All Products'!D:D,'All Products'!O:O,FALSE)</f>
        <v>10</v>
      </c>
      <c r="V212" s="348">
        <f>_xlfn.XLOOKUP(E212,'All Products'!D:D,'All Products'!P:P,FALSE)</f>
        <v>17.59</v>
      </c>
      <c r="W212" s="348">
        <f>_xlfn.XLOOKUP(E212,'All Products'!D:D,'All Products'!Q:Q,FALSE)</f>
        <v>0.65</v>
      </c>
    </row>
    <row r="213" spans="1:23">
      <c r="A213" s="104" t="str">
        <f>IF(K213&gt;0,COUNT($A$7:A212)+COUNT('DWV PVC'!$A$8:$A$284)
+COUNT('DWV ABS'!$A$8:$A$116)
+COUNT('PVC SCH40'!$A$8:$A$375)
+COUNT('PVC SCH40 LD'!$A$8:$A$21)
+COUNT('Pool &amp; SPA Sweep Elbows'!$A$8:$A$11)
+COUNT('Pool &amp; SPA Pipe Extender'!$A$8:$A$10)+1,"")</f>
        <v/>
      </c>
      <c r="B213" s="579"/>
      <c r="C213" s="580"/>
      <c r="D213" s="155" t="str">
        <f>_xlfn.XLOOKUP(E213,'All Products'!D:D,'All Products'!C:C,FALSE)</f>
        <v>848-010</v>
      </c>
      <c r="E213" s="106">
        <v>100028178</v>
      </c>
      <c r="F213" s="559" t="str">
        <f>_xlfn.XLOOKUP(E213,'All Products'!D:D,'All Products'!E:E,FALSE)</f>
        <v>1 CAP FIPT SCH80</v>
      </c>
      <c r="G213" s="283">
        <f>_xlfn.XLOOKUP(E213,'All Products'!D:D,'All Products'!F:F,FALSE)</f>
        <v>100</v>
      </c>
      <c r="H213" s="234">
        <f>_xlfn.XLOOKUP(E213,'All Products'!D:D,'All Products'!G:G,FALSE)</f>
        <v>15000</v>
      </c>
      <c r="I213" s="561">
        <f>_xlfn.XLOOKUP(E213,'All Products'!D:D,'All Products'!H:H,FALSE)</f>
        <v>25.86</v>
      </c>
      <c r="J213" s="135">
        <f>ROUND(I213*Order_Quote!$L$8,2)</f>
        <v>129.30000000000001</v>
      </c>
      <c r="K213" s="78"/>
      <c r="L213" s="116"/>
      <c r="M213" s="199">
        <f t="shared" si="5"/>
        <v>0</v>
      </c>
      <c r="O213" s="348" t="str">
        <f>_xlfn.XLOOKUP(E213,'All Products'!D:D,'All Products'!I:I,FALSE)</f>
        <v>Within 3 Weeks</v>
      </c>
      <c r="P213" s="348" t="str">
        <f>_xlfn.XLOOKUP(E213,'All Products'!D:D,'All Products'!J:J,FALSE)</f>
        <v>Manufactured</v>
      </c>
      <c r="Q213" s="348" t="str">
        <f>_xlfn.XLOOKUP(E213,'All Products'!D:D,'All Products'!K:K,FALSE)</f>
        <v>049081160340</v>
      </c>
      <c r="R213" s="351" t="str">
        <f>_xlfn.XLOOKUP(E213,'All Products'!D:D,'All Products'!L:L,FALSE)</f>
        <v>049081660345</v>
      </c>
      <c r="S213" s="351" t="str">
        <f>_xlfn.XLOOKUP(E213,'All Products'!D:D,'All Products'!M:M,FALSE)</f>
        <v>40049081160348</v>
      </c>
      <c r="T213" s="348">
        <f>_xlfn.XLOOKUP(E213,'All Products'!D:D,'All Products'!N:N,FALSE)</f>
        <v>0.15</v>
      </c>
      <c r="U213" s="351">
        <f>_xlfn.XLOOKUP(E213,'All Products'!D:D,'All Products'!O:O,FALSE)</f>
        <v>10</v>
      </c>
      <c r="V213" s="348">
        <f>_xlfn.XLOOKUP(E213,'All Products'!D:D,'All Products'!P:P,FALSE)</f>
        <v>13.19</v>
      </c>
      <c r="W213" s="348">
        <f>_xlfn.XLOOKUP(E213,'All Products'!D:D,'All Products'!Q:Q,FALSE)</f>
        <v>0.5</v>
      </c>
    </row>
    <row r="214" spans="1:23">
      <c r="A214" s="104" t="str">
        <f>IF(K214&gt;0,COUNT($A$7:A213)+COUNT('DWV PVC'!$A$8:$A$284)
+COUNT('DWV ABS'!$A$8:$A$116)
+COUNT('PVC SCH40'!$A$8:$A$375)
+COUNT('PVC SCH40 LD'!$A$8:$A$21)
+COUNT('Pool &amp; SPA Sweep Elbows'!$A$8:$A$11)
+COUNT('Pool &amp; SPA Pipe Extender'!$A$8:$A$10)+1,"")</f>
        <v/>
      </c>
      <c r="B214" s="579"/>
      <c r="C214" s="580"/>
      <c r="D214" s="155" t="str">
        <f>_xlfn.XLOOKUP(E214,'All Products'!D:D,'All Products'!C:C,FALSE)</f>
        <v>848-012</v>
      </c>
      <c r="E214" s="106">
        <v>100028179</v>
      </c>
      <c r="F214" s="559" t="str">
        <f>_xlfn.XLOOKUP(E214,'All Products'!D:D,'All Products'!E:E,FALSE)</f>
        <v>1-1/4 CAP FIPT SCH80</v>
      </c>
      <c r="G214" s="283">
        <f>_xlfn.XLOOKUP(E214,'All Products'!D:D,'All Products'!F:F,FALSE)</f>
        <v>100</v>
      </c>
      <c r="H214" s="234">
        <f>_xlfn.XLOOKUP(E214,'All Products'!D:D,'All Products'!G:G,FALSE)</f>
        <v>12000</v>
      </c>
      <c r="I214" s="561">
        <f>_xlfn.XLOOKUP(E214,'All Products'!D:D,'All Products'!H:H,FALSE)</f>
        <v>30.85</v>
      </c>
      <c r="J214" s="135">
        <f>ROUND(I214*Order_Quote!$L$8,2)</f>
        <v>154.25</v>
      </c>
      <c r="K214" s="78"/>
      <c r="L214" s="116"/>
      <c r="M214" s="199">
        <f t="shared" si="5"/>
        <v>0</v>
      </c>
      <c r="O214" s="348" t="str">
        <f>_xlfn.XLOOKUP(E214,'All Products'!D:D,'All Products'!I:I,FALSE)</f>
        <v>Within 3 Weeks</v>
      </c>
      <c r="P214" s="348" t="str">
        <f>_xlfn.XLOOKUP(E214,'All Products'!D:D,'All Products'!J:J,FALSE)</f>
        <v>Manufactured</v>
      </c>
      <c r="Q214" s="348" t="str">
        <f>_xlfn.XLOOKUP(E214,'All Products'!D:D,'All Products'!K:K,FALSE)</f>
        <v>049081160364</v>
      </c>
      <c r="R214" s="351">
        <f>_xlfn.XLOOKUP(E214,'All Products'!D:D,'All Products'!L:L,FALSE)</f>
        <v>0</v>
      </c>
      <c r="S214" s="351" t="str">
        <f>_xlfn.XLOOKUP(E214,'All Products'!D:D,'All Products'!M:M,FALSE)</f>
        <v>40049081160362</v>
      </c>
      <c r="T214" s="348">
        <f>_xlfn.XLOOKUP(E214,'All Products'!D:D,'All Products'!N:N,FALSE)</f>
        <v>0.188</v>
      </c>
      <c r="U214" s="351">
        <f>_xlfn.XLOOKUP(E214,'All Products'!D:D,'All Products'!O:O,FALSE)</f>
        <v>10</v>
      </c>
      <c r="V214" s="348">
        <f>_xlfn.XLOOKUP(E214,'All Products'!D:D,'All Products'!P:P,FALSE)</f>
        <v>19.79</v>
      </c>
      <c r="W214" s="348">
        <f>_xlfn.XLOOKUP(E214,'All Products'!D:D,'All Products'!Q:Q,FALSE)</f>
        <v>0.65</v>
      </c>
    </row>
    <row r="215" spans="1:23">
      <c r="A215" s="104" t="str">
        <f>IF(K215&gt;0,COUNT($A$7:A214)+COUNT('DWV PVC'!$A$8:$A$284)
+COUNT('DWV ABS'!$A$8:$A$116)
+COUNT('PVC SCH40'!$A$8:$A$375)
+COUNT('PVC SCH40 LD'!$A$8:$A$21)
+COUNT('Pool &amp; SPA Sweep Elbows'!$A$8:$A$11)
+COUNT('Pool &amp; SPA Pipe Extender'!$A$8:$A$10)+1,"")</f>
        <v/>
      </c>
      <c r="B215" s="579"/>
      <c r="C215" s="580"/>
      <c r="D215" s="155" t="str">
        <f>_xlfn.XLOOKUP(E215,'All Products'!D:D,'All Products'!C:C,FALSE)</f>
        <v>848-015</v>
      </c>
      <c r="E215" s="106">
        <v>100028180</v>
      </c>
      <c r="F215" s="559" t="str">
        <f>_xlfn.XLOOKUP(E215,'All Products'!D:D,'All Products'!E:E,FALSE)</f>
        <v>1-1/2 CAP FIPT SCH80</v>
      </c>
      <c r="G215" s="283">
        <f>_xlfn.XLOOKUP(E215,'All Products'!D:D,'All Products'!F:F,FALSE)</f>
        <v>50</v>
      </c>
      <c r="H215" s="234">
        <f>_xlfn.XLOOKUP(E215,'All Products'!D:D,'All Products'!G:G,FALSE)</f>
        <v>7500</v>
      </c>
      <c r="I215" s="561">
        <f>_xlfn.XLOOKUP(E215,'All Products'!D:D,'All Products'!H:H,FALSE)</f>
        <v>35.22</v>
      </c>
      <c r="J215" s="135">
        <f>ROUND(I215*Order_Quote!$L$8,2)</f>
        <v>176.1</v>
      </c>
      <c r="K215" s="78"/>
      <c r="L215" s="116"/>
      <c r="M215" s="199">
        <f t="shared" si="5"/>
        <v>0</v>
      </c>
      <c r="O215" s="348" t="str">
        <f>_xlfn.XLOOKUP(E215,'All Products'!D:D,'All Products'!I:I,FALSE)</f>
        <v>Within 3 Weeks</v>
      </c>
      <c r="P215" s="348" t="str">
        <f>_xlfn.XLOOKUP(E215,'All Products'!D:D,'All Products'!J:J,FALSE)</f>
        <v>Manufactured</v>
      </c>
      <c r="Q215" s="348" t="str">
        <f>_xlfn.XLOOKUP(E215,'All Products'!D:D,'All Products'!K:K,FALSE)</f>
        <v>049081160388</v>
      </c>
      <c r="R215" s="351" t="str">
        <f>_xlfn.XLOOKUP(E215,'All Products'!D:D,'All Products'!L:L,FALSE)</f>
        <v>049081660383</v>
      </c>
      <c r="S215" s="351" t="str">
        <f>_xlfn.XLOOKUP(E215,'All Products'!D:D,'All Products'!M:M,FALSE)</f>
        <v>40049081160386</v>
      </c>
      <c r="T215" s="348">
        <f>_xlfn.XLOOKUP(E215,'All Products'!D:D,'All Products'!N:N,FALSE)</f>
        <v>0.248</v>
      </c>
      <c r="U215" s="351">
        <f>_xlfn.XLOOKUP(E215,'All Products'!D:D,'All Products'!O:O,FALSE)</f>
        <v>5</v>
      </c>
      <c r="V215" s="348">
        <f>_xlfn.XLOOKUP(E215,'All Products'!D:D,'All Products'!P:P,FALSE)</f>
        <v>12.17</v>
      </c>
      <c r="W215" s="348">
        <f>_xlfn.XLOOKUP(E215,'All Products'!D:D,'All Products'!Q:Q,FALSE)</f>
        <v>0.5</v>
      </c>
    </row>
    <row r="216" spans="1:23">
      <c r="A216" s="104" t="str">
        <f>IF(K216&gt;0,COUNT($A$7:A215)+COUNT('DWV PVC'!$A$8:$A$284)
+COUNT('DWV ABS'!$A$8:$A$116)
+COUNT('PVC SCH40'!$A$8:$A$375)
+COUNT('PVC SCH40 LD'!$A$8:$A$21)
+COUNT('Pool &amp; SPA Sweep Elbows'!$A$8:$A$11)
+COUNT('Pool &amp; SPA Pipe Extender'!$A$8:$A$10)+1,"")</f>
        <v/>
      </c>
      <c r="B216" s="579"/>
      <c r="C216" s="580"/>
      <c r="D216" s="155" t="str">
        <f>_xlfn.XLOOKUP(E216,'All Products'!D:D,'All Products'!C:C,FALSE)</f>
        <v>848-020</v>
      </c>
      <c r="E216" s="106">
        <v>100023718</v>
      </c>
      <c r="F216" s="559" t="str">
        <f>_xlfn.XLOOKUP(E216,'All Products'!D:D,'All Products'!E:E,FALSE)</f>
        <v>2 CAP FIPT SCH80</v>
      </c>
      <c r="G216" s="283">
        <f>_xlfn.XLOOKUP(E216,'All Products'!D:D,'All Products'!F:F,FALSE)</f>
        <v>50</v>
      </c>
      <c r="H216" s="234">
        <f>_xlfn.XLOOKUP(E216,'All Products'!D:D,'All Products'!G:G,FALSE)</f>
        <v>4500</v>
      </c>
      <c r="I216" s="561">
        <f>_xlfn.XLOOKUP(E216,'All Products'!D:D,'All Products'!H:H,FALSE)</f>
        <v>69.150000000000006</v>
      </c>
      <c r="J216" s="135">
        <f>ROUND(I216*Order_Quote!$L$8,2)</f>
        <v>345.75</v>
      </c>
      <c r="K216" s="78"/>
      <c r="L216" s="116"/>
      <c r="M216" s="199">
        <f t="shared" si="5"/>
        <v>0</v>
      </c>
      <c r="O216" s="348" t="str">
        <f>_xlfn.XLOOKUP(E216,'All Products'!D:D,'All Products'!I:I,FALSE)</f>
        <v>Within 3 Weeks</v>
      </c>
      <c r="P216" s="348" t="str">
        <f>_xlfn.XLOOKUP(E216,'All Products'!D:D,'All Products'!J:J,FALSE)</f>
        <v>Manufactured</v>
      </c>
      <c r="Q216" s="348" t="str">
        <f>_xlfn.XLOOKUP(E216,'All Products'!D:D,'All Products'!K:K,FALSE)</f>
        <v>049081160401</v>
      </c>
      <c r="R216" s="351" t="str">
        <f>_xlfn.XLOOKUP(E216,'All Products'!D:D,'All Products'!L:L,FALSE)</f>
        <v>049081660406</v>
      </c>
      <c r="S216" s="351" t="str">
        <f>_xlfn.XLOOKUP(E216,'All Products'!D:D,'All Products'!M:M,FALSE)</f>
        <v>40049081160409</v>
      </c>
      <c r="T216" s="348">
        <f>_xlfn.XLOOKUP(E216,'All Products'!D:D,'All Products'!N:N,FALSE)</f>
        <v>0.29099999999999998</v>
      </c>
      <c r="U216" s="351">
        <f>_xlfn.XLOOKUP(E216,'All Products'!D:D,'All Products'!O:O,FALSE)</f>
        <v>5</v>
      </c>
      <c r="V216" s="348">
        <f>_xlfn.XLOOKUP(E216,'All Products'!D:D,'All Products'!P:P,FALSE)</f>
        <v>14.55</v>
      </c>
      <c r="W216" s="348">
        <f>_xlfn.XLOOKUP(E216,'All Products'!D:D,'All Products'!Q:Q,FALSE)</f>
        <v>0.8</v>
      </c>
    </row>
    <row r="217" spans="1:23">
      <c r="A217" s="104" t="str">
        <f>IF(K217&gt;0,COUNT($A$7:A216)+COUNT('DWV PVC'!$A$8:$A$284)
+COUNT('DWV ABS'!$A$8:$A$116)
+COUNT('PVC SCH40'!$A$8:$A$375)
+COUNT('PVC SCH40 LD'!$A$8:$A$21)
+COUNT('Pool &amp; SPA Sweep Elbows'!$A$8:$A$11)
+COUNT('Pool &amp; SPA Pipe Extender'!$A$8:$A$10)+1,"")</f>
        <v/>
      </c>
      <c r="B217" s="577"/>
      <c r="C217" s="578"/>
      <c r="D217" s="155" t="str">
        <f>_xlfn.XLOOKUP(E217,'All Products'!D:D,'All Products'!C:C,FALSE)</f>
        <v>850-002</v>
      </c>
      <c r="E217" s="106">
        <v>100023726</v>
      </c>
      <c r="F217" s="559" t="str">
        <f>_xlfn.XLOOKUP(E217,'All Products'!D:D,'All Products'!E:E,FALSE)</f>
        <v>1/4 PLUG MIPT SCH80</v>
      </c>
      <c r="G217" s="283">
        <f>_xlfn.XLOOKUP(E217,'All Products'!D:D,'All Products'!F:F,FALSE)</f>
        <v>500</v>
      </c>
      <c r="H217" s="234">
        <f>_xlfn.XLOOKUP(E217,'All Products'!D:D,'All Products'!G:G,FALSE)</f>
        <v>75000</v>
      </c>
      <c r="I217" s="561">
        <f>_xlfn.XLOOKUP(E217,'All Products'!D:D,'All Products'!H:H,FALSE)</f>
        <v>15.85</v>
      </c>
      <c r="J217" s="135">
        <f>ROUND(I217*Order_Quote!$L$8,2)</f>
        <v>79.25</v>
      </c>
      <c r="K217" s="78"/>
      <c r="L217" s="116"/>
      <c r="M217" s="199">
        <f t="shared" si="5"/>
        <v>0</v>
      </c>
      <c r="O217" s="348" t="str">
        <f>_xlfn.XLOOKUP(E217,'All Products'!D:D,'All Products'!I:I,FALSE)</f>
        <v>In Stock</v>
      </c>
      <c r="P217" s="348" t="str">
        <f>_xlfn.XLOOKUP(E217,'All Products'!D:D,'All Products'!J:J,FALSE)</f>
        <v>Manufactured</v>
      </c>
      <c r="Q217" s="348" t="str">
        <f>_xlfn.XLOOKUP(E217,'All Products'!D:D,'All Products'!K:K,FALSE)</f>
        <v>049081165765</v>
      </c>
      <c r="R217" s="351" t="str">
        <f>_xlfn.XLOOKUP(E217,'All Products'!D:D,'All Products'!L:L,FALSE)</f>
        <v>049081665760</v>
      </c>
      <c r="S217" s="351" t="str">
        <f>_xlfn.XLOOKUP(E217,'All Products'!D:D,'All Products'!M:M,FALSE)</f>
        <v>40049081165763</v>
      </c>
      <c r="T217" s="348">
        <f>_xlfn.XLOOKUP(E217,'All Products'!D:D,'All Products'!N:N,FALSE)</f>
        <v>1.7999999999999999E-2</v>
      </c>
      <c r="U217" s="351">
        <f>_xlfn.XLOOKUP(E217,'All Products'!D:D,'All Products'!O:O,FALSE)</f>
        <v>10</v>
      </c>
      <c r="V217" s="348">
        <f>_xlfn.XLOOKUP(E217,'All Products'!D:D,'All Products'!P:P,FALSE)</f>
        <v>9.02</v>
      </c>
      <c r="W217" s="348">
        <f>_xlfn.XLOOKUP(E217,'All Products'!D:D,'All Products'!Q:Q,FALSE)</f>
        <v>0.5</v>
      </c>
    </row>
    <row r="218" spans="1:23">
      <c r="A218" s="104" t="str">
        <f>IF(K218&gt;0,COUNT($A$7:A217)+COUNT('DWV PVC'!$A$8:$A$284)
+COUNT('DWV ABS'!$A$8:$A$116)
+COUNT('PVC SCH40'!$A$8:$A$375)
+COUNT('PVC SCH40 LD'!$A$8:$A$21)
+COUNT('Pool &amp; SPA Sweep Elbows'!$A$8:$A$11)
+COUNT('Pool &amp; SPA Pipe Extender'!$A$8:$A$10)+1,"")</f>
        <v/>
      </c>
      <c r="B218" s="579"/>
      <c r="C218" s="580"/>
      <c r="D218" s="155" t="str">
        <f>_xlfn.XLOOKUP(E218,'All Products'!D:D,'All Products'!C:C,FALSE)</f>
        <v>850-003</v>
      </c>
      <c r="E218" s="106">
        <v>100023727</v>
      </c>
      <c r="F218" s="559" t="str">
        <f>_xlfn.XLOOKUP(E218,'All Products'!D:D,'All Products'!E:E,FALSE)</f>
        <v>3/8 PLUG MIPT SCH80</v>
      </c>
      <c r="G218" s="283">
        <f>_xlfn.XLOOKUP(E218,'All Products'!D:D,'All Products'!F:F,FALSE)</f>
        <v>500</v>
      </c>
      <c r="H218" s="234">
        <f>_xlfn.XLOOKUP(E218,'All Products'!D:D,'All Products'!G:G,FALSE)</f>
        <v>75000</v>
      </c>
      <c r="I218" s="561">
        <f>_xlfn.XLOOKUP(E218,'All Products'!D:D,'All Products'!H:H,FALSE)</f>
        <v>15.85</v>
      </c>
      <c r="J218" s="135">
        <f>ROUND(I218*Order_Quote!$L$8,2)</f>
        <v>79.25</v>
      </c>
      <c r="K218" s="78"/>
      <c r="L218" s="116"/>
      <c r="M218" s="199">
        <f t="shared" si="5"/>
        <v>0</v>
      </c>
      <c r="O218" s="348" t="str">
        <f>_xlfn.XLOOKUP(E218,'All Products'!D:D,'All Products'!I:I,FALSE)</f>
        <v>Within 3 Weeks</v>
      </c>
      <c r="P218" s="348" t="str">
        <f>_xlfn.XLOOKUP(E218,'All Products'!D:D,'All Products'!J:J,FALSE)</f>
        <v>Manufactured</v>
      </c>
      <c r="Q218" s="348" t="str">
        <f>_xlfn.XLOOKUP(E218,'All Products'!D:D,'All Products'!K:K,FALSE)</f>
        <v>049081165789</v>
      </c>
      <c r="R218" s="351">
        <f>_xlfn.XLOOKUP(E218,'All Products'!D:D,'All Products'!L:L,FALSE)</f>
        <v>0</v>
      </c>
      <c r="S218" s="351" t="str">
        <f>_xlfn.XLOOKUP(E218,'All Products'!D:D,'All Products'!M:M,FALSE)</f>
        <v>40049081165787</v>
      </c>
      <c r="T218" s="348">
        <f>_xlfn.XLOOKUP(E218,'All Products'!D:D,'All Products'!N:N,FALSE)</f>
        <v>2.4E-2</v>
      </c>
      <c r="U218" s="351">
        <f>_xlfn.XLOOKUP(E218,'All Products'!D:D,'All Products'!O:O,FALSE)</f>
        <v>10</v>
      </c>
      <c r="V218" s="348">
        <f>_xlfn.XLOOKUP(E218,'All Products'!D:D,'All Products'!P:P,FALSE)</f>
        <v>12.9</v>
      </c>
      <c r="W218" s="348">
        <f>_xlfn.XLOOKUP(E218,'All Products'!D:D,'All Products'!Q:Q,FALSE)</f>
        <v>0.5</v>
      </c>
    </row>
    <row r="219" spans="1:23">
      <c r="A219" s="104" t="str">
        <f>IF(K219&gt;0,COUNT($A$7:A218)+COUNT('DWV PVC'!$A$8:$A$284)
+COUNT('DWV ABS'!$A$8:$A$116)
+COUNT('PVC SCH40'!$A$8:$A$375)
+COUNT('PVC SCH40 LD'!$A$8:$A$21)
+COUNT('Pool &amp; SPA Sweep Elbows'!$A$8:$A$11)
+COUNT('Pool &amp; SPA Pipe Extender'!$A$8:$A$10)+1,"")</f>
        <v/>
      </c>
      <c r="B219" s="579"/>
      <c r="C219" s="580"/>
      <c r="D219" s="155" t="str">
        <f>_xlfn.XLOOKUP(E219,'All Products'!D:D,'All Products'!C:C,FALSE)</f>
        <v>850-005</v>
      </c>
      <c r="E219" s="106">
        <v>100023728</v>
      </c>
      <c r="F219" s="559" t="str">
        <f>_xlfn.XLOOKUP(E219,'All Products'!D:D,'All Products'!E:E,FALSE)</f>
        <v>1/2 PLUG MIPT SCH80</v>
      </c>
      <c r="G219" s="283">
        <f>_xlfn.XLOOKUP(E219,'All Products'!D:D,'All Products'!F:F,FALSE)</f>
        <v>500</v>
      </c>
      <c r="H219" s="234">
        <f>_xlfn.XLOOKUP(E219,'All Products'!D:D,'All Products'!G:G,FALSE)</f>
        <v>75000</v>
      </c>
      <c r="I219" s="561">
        <f>_xlfn.XLOOKUP(E219,'All Products'!D:D,'All Products'!H:H,FALSE)</f>
        <v>14.12</v>
      </c>
      <c r="J219" s="135">
        <f>ROUND(I219*Order_Quote!$L$8,2)</f>
        <v>70.599999999999994</v>
      </c>
      <c r="K219" s="78"/>
      <c r="L219" s="116"/>
      <c r="M219" s="199">
        <f t="shared" si="5"/>
        <v>0</v>
      </c>
      <c r="O219" s="348" t="str">
        <f>_xlfn.XLOOKUP(E219,'All Products'!D:D,'All Products'!I:I,FALSE)</f>
        <v>In Stock</v>
      </c>
      <c r="P219" s="348" t="str">
        <f>_xlfn.XLOOKUP(E219,'All Products'!D:D,'All Products'!J:J,FALSE)</f>
        <v>Manufactured</v>
      </c>
      <c r="Q219" s="348" t="str">
        <f>_xlfn.XLOOKUP(E219,'All Products'!D:D,'All Products'!K:K,FALSE)</f>
        <v>049081165802</v>
      </c>
      <c r="R219" s="351" t="str">
        <f>_xlfn.XLOOKUP(E219,'All Products'!D:D,'All Products'!L:L,FALSE)</f>
        <v>049081665807</v>
      </c>
      <c r="S219" s="351" t="str">
        <f>_xlfn.XLOOKUP(E219,'All Products'!D:D,'All Products'!M:M,FALSE)</f>
        <v>40049081165800</v>
      </c>
      <c r="T219" s="348">
        <f>_xlfn.XLOOKUP(E219,'All Products'!D:D,'All Products'!N:N,FALSE)</f>
        <v>2.4E-2</v>
      </c>
      <c r="U219" s="351">
        <f>_xlfn.XLOOKUP(E219,'All Products'!D:D,'All Products'!O:O,FALSE)</f>
        <v>10</v>
      </c>
      <c r="V219" s="348">
        <f>_xlfn.XLOOKUP(E219,'All Products'!D:D,'All Products'!P:P,FALSE)</f>
        <v>12.59</v>
      </c>
      <c r="W219" s="348">
        <f>_xlfn.XLOOKUP(E219,'All Products'!D:D,'All Products'!Q:Q,FALSE)</f>
        <v>0.5</v>
      </c>
    </row>
    <row r="220" spans="1:23">
      <c r="A220" s="104" t="str">
        <f>IF(K220&gt;0,COUNT($A$7:A219)+COUNT('DWV PVC'!$A$8:$A$284)
+COUNT('DWV ABS'!$A$8:$A$116)
+COUNT('PVC SCH40'!$A$8:$A$375)
+COUNT('PVC SCH40 LD'!$A$8:$A$21)
+COUNT('Pool &amp; SPA Sweep Elbows'!$A$8:$A$11)
+COUNT('Pool &amp; SPA Pipe Extender'!$A$8:$A$10)+1,"")</f>
        <v/>
      </c>
      <c r="B220" s="579"/>
      <c r="C220" s="580"/>
      <c r="D220" s="155" t="str">
        <f>_xlfn.XLOOKUP(E220,'All Products'!D:D,'All Products'!C:C,FALSE)</f>
        <v>850-007</v>
      </c>
      <c r="E220" s="106">
        <v>100023729</v>
      </c>
      <c r="F220" s="559" t="str">
        <f>_xlfn.XLOOKUP(E220,'All Products'!D:D,'All Products'!E:E,FALSE)</f>
        <v>3/4 PLUG MIPT SCH80</v>
      </c>
      <c r="G220" s="283">
        <f>_xlfn.XLOOKUP(E220,'All Products'!D:D,'All Products'!F:F,FALSE)</f>
        <v>500</v>
      </c>
      <c r="H220" s="234">
        <f>_xlfn.XLOOKUP(E220,'All Products'!D:D,'All Products'!G:G,FALSE)</f>
        <v>45000</v>
      </c>
      <c r="I220" s="561">
        <f>_xlfn.XLOOKUP(E220,'All Products'!D:D,'All Products'!H:H,FALSE)</f>
        <v>14.65</v>
      </c>
      <c r="J220" s="135">
        <f>ROUND(I220*Order_Quote!$L$8,2)</f>
        <v>73.25</v>
      </c>
      <c r="K220" s="78"/>
      <c r="L220" s="116"/>
      <c r="M220" s="199">
        <f t="shared" si="5"/>
        <v>0</v>
      </c>
      <c r="O220" s="348" t="str">
        <f>_xlfn.XLOOKUP(E220,'All Products'!D:D,'All Products'!I:I,FALSE)</f>
        <v>In Stock</v>
      </c>
      <c r="P220" s="348" t="str">
        <f>_xlfn.XLOOKUP(E220,'All Products'!D:D,'All Products'!J:J,FALSE)</f>
        <v>Manufactured</v>
      </c>
      <c r="Q220" s="348" t="str">
        <f>_xlfn.XLOOKUP(E220,'All Products'!D:D,'All Products'!K:K,FALSE)</f>
        <v>049081165826</v>
      </c>
      <c r="R220" s="351" t="str">
        <f>_xlfn.XLOOKUP(E220,'All Products'!D:D,'All Products'!L:L,FALSE)</f>
        <v>049081665821</v>
      </c>
      <c r="S220" s="351" t="str">
        <f>_xlfn.XLOOKUP(E220,'All Products'!D:D,'All Products'!M:M,FALSE)</f>
        <v>40049081165824</v>
      </c>
      <c r="T220" s="348">
        <f>_xlfn.XLOOKUP(E220,'All Products'!D:D,'All Products'!N:N,FALSE)</f>
        <v>0.03</v>
      </c>
      <c r="U220" s="351">
        <f>_xlfn.XLOOKUP(E220,'All Products'!D:D,'All Products'!O:O,FALSE)</f>
        <v>10</v>
      </c>
      <c r="V220" s="348">
        <f>_xlfn.XLOOKUP(E220,'All Products'!D:D,'All Products'!P:P,FALSE)</f>
        <v>25.38</v>
      </c>
      <c r="W220" s="348">
        <f>_xlfn.XLOOKUP(E220,'All Products'!D:D,'All Products'!Q:Q,FALSE)</f>
        <v>0.8</v>
      </c>
    </row>
    <row r="221" spans="1:23">
      <c r="A221" s="104" t="str">
        <f>IF(K221&gt;0,COUNT($A$7:A220)+COUNT('DWV PVC'!$A$8:$A$284)
+COUNT('DWV ABS'!$A$8:$A$116)
+COUNT('PVC SCH40'!$A$8:$A$375)
+COUNT('PVC SCH40 LD'!$A$8:$A$21)
+COUNT('Pool &amp; SPA Sweep Elbows'!$A$8:$A$11)
+COUNT('Pool &amp; SPA Pipe Extender'!$A$8:$A$10)+1,"")</f>
        <v/>
      </c>
      <c r="B221" s="579"/>
      <c r="C221" s="580"/>
      <c r="D221" s="155" t="str">
        <f>_xlfn.XLOOKUP(E221,'All Products'!D:D,'All Products'!C:C,FALSE)</f>
        <v>850-010</v>
      </c>
      <c r="E221" s="106">
        <v>100023730</v>
      </c>
      <c r="F221" s="559" t="str">
        <f>_xlfn.XLOOKUP(E221,'All Products'!D:D,'All Products'!E:E,FALSE)</f>
        <v>1 PLUG MIPT SCH80</v>
      </c>
      <c r="G221" s="283">
        <f>_xlfn.XLOOKUP(E221,'All Products'!D:D,'All Products'!F:F,FALSE)</f>
        <v>250</v>
      </c>
      <c r="H221" s="234">
        <f>_xlfn.XLOOKUP(E221,'All Products'!D:D,'All Products'!G:G,FALSE)</f>
        <v>22500</v>
      </c>
      <c r="I221" s="561">
        <f>_xlfn.XLOOKUP(E221,'All Products'!D:D,'All Products'!H:H,FALSE)</f>
        <v>17.98</v>
      </c>
      <c r="J221" s="135">
        <f>ROUND(I221*Order_Quote!$L$8,2)</f>
        <v>89.9</v>
      </c>
      <c r="K221" s="78"/>
      <c r="L221" s="116"/>
      <c r="M221" s="199">
        <f t="shared" si="5"/>
        <v>0</v>
      </c>
      <c r="O221" s="348" t="str">
        <f>_xlfn.XLOOKUP(E221,'All Products'!D:D,'All Products'!I:I,FALSE)</f>
        <v>Within 3 Weeks</v>
      </c>
      <c r="P221" s="348" t="str">
        <f>_xlfn.XLOOKUP(E221,'All Products'!D:D,'All Products'!J:J,FALSE)</f>
        <v>Manufactured</v>
      </c>
      <c r="Q221" s="348" t="str">
        <f>_xlfn.XLOOKUP(E221,'All Products'!D:D,'All Products'!K:K,FALSE)</f>
        <v>049081165840</v>
      </c>
      <c r="R221" s="351" t="str">
        <f>_xlfn.XLOOKUP(E221,'All Products'!D:D,'All Products'!L:L,FALSE)</f>
        <v>049081665845</v>
      </c>
      <c r="S221" s="351" t="str">
        <f>_xlfn.XLOOKUP(E221,'All Products'!D:D,'All Products'!M:M,FALSE)</f>
        <v>40049081165848</v>
      </c>
      <c r="T221" s="348">
        <f>_xlfn.XLOOKUP(E221,'All Products'!D:D,'All Products'!N:N,FALSE)</f>
        <v>3.6999999999999998E-2</v>
      </c>
      <c r="U221" s="351">
        <f>_xlfn.XLOOKUP(E221,'All Products'!D:D,'All Products'!O:O,FALSE)</f>
        <v>10</v>
      </c>
      <c r="V221" s="348">
        <f>_xlfn.XLOOKUP(E221,'All Products'!D:D,'All Products'!P:P,FALSE)</f>
        <v>13.9</v>
      </c>
      <c r="W221" s="348">
        <f>_xlfn.XLOOKUP(E221,'All Products'!D:D,'All Products'!Q:Q,FALSE)</f>
        <v>0.8</v>
      </c>
    </row>
    <row r="222" spans="1:23">
      <c r="A222" s="104" t="str">
        <f>IF(K222&gt;0,COUNT($A$7:A221)+COUNT('DWV PVC'!$A$8:$A$284)
+COUNT('DWV ABS'!$A$8:$A$116)
+COUNT('PVC SCH40'!$A$8:$A$375)
+COUNT('PVC SCH40 LD'!$A$8:$A$21)
+COUNT('Pool &amp; SPA Sweep Elbows'!$A$8:$A$11)
+COUNT('Pool &amp; SPA Pipe Extender'!$A$8:$A$10)+1,"")</f>
        <v/>
      </c>
      <c r="B222" s="579"/>
      <c r="C222" s="580"/>
      <c r="D222" s="155" t="str">
        <f>_xlfn.XLOOKUP(E222,'All Products'!D:D,'All Products'!C:C,FALSE)</f>
        <v>850-012</v>
      </c>
      <c r="E222" s="106">
        <v>100023731</v>
      </c>
      <c r="F222" s="559" t="str">
        <f>_xlfn.XLOOKUP(E222,'All Products'!D:D,'All Products'!E:E,FALSE)</f>
        <v>1-1/4 PLUG MIPT SCH80</v>
      </c>
      <c r="G222" s="283">
        <f>_xlfn.XLOOKUP(E222,'All Products'!D:D,'All Products'!F:F,FALSE)</f>
        <v>100</v>
      </c>
      <c r="H222" s="234">
        <f>_xlfn.XLOOKUP(E222,'All Products'!D:D,'All Products'!G:G,FALSE)</f>
        <v>15000</v>
      </c>
      <c r="I222" s="561">
        <f>_xlfn.XLOOKUP(E222,'All Products'!D:D,'All Products'!H:H,FALSE)</f>
        <v>26.51</v>
      </c>
      <c r="J222" s="135">
        <f>ROUND(I222*Order_Quote!$L$8,2)</f>
        <v>132.55000000000001</v>
      </c>
      <c r="K222" s="78"/>
      <c r="L222" s="116"/>
      <c r="M222" s="199">
        <f t="shared" si="5"/>
        <v>0</v>
      </c>
      <c r="O222" s="348" t="str">
        <f>_xlfn.XLOOKUP(E222,'All Products'!D:D,'All Products'!I:I,FALSE)</f>
        <v>Within 3 Weeks</v>
      </c>
      <c r="P222" s="348" t="str">
        <f>_xlfn.XLOOKUP(E222,'All Products'!D:D,'All Products'!J:J,FALSE)</f>
        <v>Manufactured</v>
      </c>
      <c r="Q222" s="348" t="str">
        <f>_xlfn.XLOOKUP(E222,'All Products'!D:D,'All Products'!K:K,FALSE)</f>
        <v>049081165864</v>
      </c>
      <c r="R222" s="351" t="str">
        <f>_xlfn.XLOOKUP(E222,'All Products'!D:D,'All Products'!L:L,FALSE)</f>
        <v>049081665869</v>
      </c>
      <c r="S222" s="351" t="str">
        <f>_xlfn.XLOOKUP(E222,'All Products'!D:D,'All Products'!M:M,FALSE)</f>
        <v>40049081165862</v>
      </c>
      <c r="T222" s="348">
        <f>_xlfn.XLOOKUP(E222,'All Products'!D:D,'All Products'!N:N,FALSE)</f>
        <v>7.4999999999999997E-2</v>
      </c>
      <c r="U222" s="351">
        <f>_xlfn.XLOOKUP(E222,'All Products'!D:D,'All Products'!O:O,FALSE)</f>
        <v>10</v>
      </c>
      <c r="V222" s="348">
        <f>_xlfn.XLOOKUP(E222,'All Products'!D:D,'All Products'!P:P,FALSE)</f>
        <v>8.39</v>
      </c>
      <c r="W222" s="348">
        <f>_xlfn.XLOOKUP(E222,'All Products'!D:D,'All Products'!Q:Q,FALSE)</f>
        <v>0.5</v>
      </c>
    </row>
    <row r="223" spans="1:23">
      <c r="A223" s="104" t="str">
        <f>IF(K223&gt;0,COUNT($A$7:A222)+COUNT('DWV PVC'!$A$8:$A$284)
+COUNT('DWV ABS'!$A$8:$A$116)
+COUNT('PVC SCH40'!$A$8:$A$375)
+COUNT('PVC SCH40 LD'!$A$8:$A$21)
+COUNT('Pool &amp; SPA Sweep Elbows'!$A$8:$A$11)
+COUNT('Pool &amp; SPA Pipe Extender'!$A$8:$A$10)+1,"")</f>
        <v/>
      </c>
      <c r="B223" s="579"/>
      <c r="C223" s="580"/>
      <c r="D223" s="155" t="str">
        <f>_xlfn.XLOOKUP(E223,'All Products'!D:D,'All Products'!C:C,FALSE)</f>
        <v>850-015</v>
      </c>
      <c r="E223" s="106">
        <v>100023732</v>
      </c>
      <c r="F223" s="559" t="str">
        <f>_xlfn.XLOOKUP(E223,'All Products'!D:D,'All Products'!E:E,FALSE)</f>
        <v>1-1/2 PLUG MIPT SCH80</v>
      </c>
      <c r="G223" s="283">
        <f>_xlfn.XLOOKUP(E223,'All Products'!D:D,'All Products'!F:F,FALSE)</f>
        <v>100</v>
      </c>
      <c r="H223" s="234">
        <f>_xlfn.XLOOKUP(E223,'All Products'!D:D,'All Products'!G:G,FALSE)</f>
        <v>15000</v>
      </c>
      <c r="I223" s="561">
        <f>_xlfn.XLOOKUP(E223,'All Products'!D:D,'All Products'!H:H,FALSE)</f>
        <v>32.200000000000003</v>
      </c>
      <c r="J223" s="135">
        <f>ROUND(I223*Order_Quote!$L$8,2)</f>
        <v>161</v>
      </c>
      <c r="K223" s="78"/>
      <c r="L223" s="116"/>
      <c r="M223" s="199">
        <f t="shared" si="5"/>
        <v>0</v>
      </c>
      <c r="O223" s="348" t="str">
        <f>_xlfn.XLOOKUP(E223,'All Products'!D:D,'All Products'!I:I,FALSE)</f>
        <v>In Stock</v>
      </c>
      <c r="P223" s="348" t="str">
        <f>_xlfn.XLOOKUP(E223,'All Products'!D:D,'All Products'!J:J,FALSE)</f>
        <v>Manufactured</v>
      </c>
      <c r="Q223" s="348" t="str">
        <f>_xlfn.XLOOKUP(E223,'All Products'!D:D,'All Products'!K:K,FALSE)</f>
        <v>049081165888</v>
      </c>
      <c r="R223" s="351">
        <f>_xlfn.XLOOKUP(E223,'All Products'!D:D,'All Products'!L:L,FALSE)</f>
        <v>0</v>
      </c>
      <c r="S223" s="351" t="str">
        <f>_xlfn.XLOOKUP(E223,'All Products'!D:D,'All Products'!M:M,FALSE)</f>
        <v>40049081165886</v>
      </c>
      <c r="T223" s="348">
        <f>_xlfn.XLOOKUP(E223,'All Products'!D:D,'All Products'!N:N,FALSE)</f>
        <v>0.1</v>
      </c>
      <c r="U223" s="351">
        <f>_xlfn.XLOOKUP(E223,'All Products'!D:D,'All Products'!O:O,FALSE)</f>
        <v>10</v>
      </c>
      <c r="V223" s="348">
        <f>_xlfn.XLOOKUP(E223,'All Products'!D:D,'All Products'!P:P,FALSE)</f>
        <v>10.199999999999999</v>
      </c>
      <c r="W223" s="348">
        <f>_xlfn.XLOOKUP(E223,'All Products'!D:D,'All Products'!Q:Q,FALSE)</f>
        <v>0.5</v>
      </c>
    </row>
    <row r="224" spans="1:23">
      <c r="A224" s="104" t="str">
        <f>IF(K224&gt;0,COUNT($A$7:A223)+COUNT('DWV PVC'!$A$8:$A$284)
+COUNT('DWV ABS'!$A$8:$A$116)
+COUNT('PVC SCH40'!$A$8:$A$375)
+COUNT('PVC SCH40 LD'!$A$8:$A$21)
+COUNT('Pool &amp; SPA Sweep Elbows'!$A$8:$A$11)
+COUNT('Pool &amp; SPA Pipe Extender'!$A$8:$A$10)+1,"")</f>
        <v/>
      </c>
      <c r="B224" s="579"/>
      <c r="C224" s="580"/>
      <c r="D224" s="155" t="str">
        <f>_xlfn.XLOOKUP(E224,'All Products'!D:D,'All Products'!C:C,FALSE)</f>
        <v>850-020</v>
      </c>
      <c r="E224" s="106">
        <v>100023733</v>
      </c>
      <c r="F224" s="559" t="str">
        <f>_xlfn.XLOOKUP(E224,'All Products'!D:D,'All Products'!E:E,FALSE)</f>
        <v>2 PLUG MIPT SCH80</v>
      </c>
      <c r="G224" s="283">
        <f>_xlfn.XLOOKUP(E224,'All Products'!D:D,'All Products'!F:F,FALSE)</f>
        <v>50</v>
      </c>
      <c r="H224" s="234">
        <f>_xlfn.XLOOKUP(E224,'All Products'!D:D,'All Products'!G:G,FALSE)</f>
        <v>7500</v>
      </c>
      <c r="I224" s="561">
        <f>_xlfn.XLOOKUP(E224,'All Products'!D:D,'All Products'!H:H,FALSE)</f>
        <v>33.08</v>
      </c>
      <c r="J224" s="135">
        <f>ROUND(I224*Order_Quote!$L$8,2)</f>
        <v>165.4</v>
      </c>
      <c r="K224" s="78"/>
      <c r="L224" s="116"/>
      <c r="M224" s="199">
        <f t="shared" si="5"/>
        <v>0</v>
      </c>
      <c r="O224" s="348" t="str">
        <f>_xlfn.XLOOKUP(E224,'All Products'!D:D,'All Products'!I:I,FALSE)</f>
        <v>Within 3 Weeks</v>
      </c>
      <c r="P224" s="348" t="str">
        <f>_xlfn.XLOOKUP(E224,'All Products'!D:D,'All Products'!J:J,FALSE)</f>
        <v>Manufactured</v>
      </c>
      <c r="Q224" s="348" t="str">
        <f>_xlfn.XLOOKUP(E224,'All Products'!D:D,'All Products'!K:K,FALSE)</f>
        <v>049081165901</v>
      </c>
      <c r="R224" s="351" t="str">
        <f>_xlfn.XLOOKUP(E224,'All Products'!D:D,'All Products'!L:L,FALSE)</f>
        <v>049081665906</v>
      </c>
      <c r="S224" s="351" t="str">
        <f>_xlfn.XLOOKUP(E224,'All Products'!D:D,'All Products'!M:M,FALSE)</f>
        <v>40049081165909</v>
      </c>
      <c r="T224" s="348">
        <f>_xlfn.XLOOKUP(E224,'All Products'!D:D,'All Products'!N:N,FALSE)</f>
        <v>0.152</v>
      </c>
      <c r="U224" s="351">
        <f>_xlfn.XLOOKUP(E224,'All Products'!D:D,'All Products'!O:O,FALSE)</f>
        <v>5</v>
      </c>
      <c r="V224" s="348">
        <f>_xlfn.XLOOKUP(E224,'All Products'!D:D,'All Products'!P:P,FALSE)</f>
        <v>8.4600000000000009</v>
      </c>
      <c r="W224" s="348">
        <f>_xlfn.XLOOKUP(E224,'All Products'!D:D,'All Products'!Q:Q,FALSE)</f>
        <v>0.5</v>
      </c>
    </row>
    <row r="225" spans="1:23">
      <c r="A225" s="104" t="str">
        <f>IF(K225&gt;0,COUNT($A$7:A224)+COUNT('DWV PVC'!$A$8:$A$284)
+COUNT('DWV ABS'!$A$8:$A$116)
+COUNT('PVC SCH40'!$A$8:$A$375)
+COUNT('PVC SCH40 LD'!$A$8:$A$21)
+COUNT('Pool &amp; SPA Sweep Elbows'!$A$8:$A$11)
+COUNT('Pool &amp; SPA Pipe Extender'!$A$8:$A$10)+1,"")</f>
        <v/>
      </c>
      <c r="B225" s="581"/>
      <c r="C225" s="582"/>
      <c r="D225" s="155" t="str">
        <f>_xlfn.XLOOKUP(E225,'All Products'!D:D,'All Products'!C:C,FALSE)</f>
        <v>850-030</v>
      </c>
      <c r="E225" s="106">
        <v>100023735</v>
      </c>
      <c r="F225" s="559" t="str">
        <f>_xlfn.XLOOKUP(E225,'All Products'!D:D,'All Products'!E:E,FALSE)</f>
        <v>3 PLUG MIPT SCH80</v>
      </c>
      <c r="G225" s="283">
        <f>_xlfn.XLOOKUP(E225,'All Products'!D:D,'All Products'!F:F,FALSE)</f>
        <v>25</v>
      </c>
      <c r="H225" s="234">
        <f>_xlfn.XLOOKUP(E225,'All Products'!D:D,'All Products'!G:G,FALSE)</f>
        <v>3000</v>
      </c>
      <c r="I225" s="561">
        <f>_xlfn.XLOOKUP(E225,'All Products'!D:D,'All Products'!H:H,FALSE)</f>
        <v>107.73</v>
      </c>
      <c r="J225" s="135">
        <f>ROUND(I225*Order_Quote!$L$8,2)</f>
        <v>538.65</v>
      </c>
      <c r="K225" s="78"/>
      <c r="L225" s="116"/>
      <c r="M225" s="199">
        <f t="shared" si="5"/>
        <v>0</v>
      </c>
      <c r="O225" s="348" t="str">
        <f>_xlfn.XLOOKUP(E225,'All Products'!D:D,'All Products'!I:I,FALSE)</f>
        <v>Within 3 Weeks</v>
      </c>
      <c r="P225" s="348" t="str">
        <f>_xlfn.XLOOKUP(E225,'All Products'!D:D,'All Products'!J:J,FALSE)</f>
        <v>Manufactured</v>
      </c>
      <c r="Q225" s="348" t="str">
        <f>_xlfn.XLOOKUP(E225,'All Products'!D:D,'All Products'!K:K,FALSE)</f>
        <v>049081165949</v>
      </c>
      <c r="R225" s="351" t="str">
        <f>_xlfn.XLOOKUP(E225,'All Products'!D:D,'All Products'!L:L,FALSE)</f>
        <v>049081665944</v>
      </c>
      <c r="S225" s="351" t="str">
        <f>_xlfn.XLOOKUP(E225,'All Products'!D:D,'All Products'!M:M,FALSE)</f>
        <v>40049081165947</v>
      </c>
      <c r="T225" s="348">
        <f>_xlfn.XLOOKUP(E225,'All Products'!D:D,'All Products'!N:N,FALSE)</f>
        <v>0.46</v>
      </c>
      <c r="U225" s="351">
        <f>_xlfn.XLOOKUP(E225,'All Products'!D:D,'All Products'!O:O,FALSE)</f>
        <v>5</v>
      </c>
      <c r="V225" s="348">
        <f>_xlfn.XLOOKUP(E225,'All Products'!D:D,'All Products'!P:P,FALSE)</f>
        <v>11.5</v>
      </c>
      <c r="W225" s="348">
        <f>_xlfn.XLOOKUP(E225,'All Products'!D:D,'All Products'!Q:Q,FALSE)</f>
        <v>0.65</v>
      </c>
    </row>
    <row r="226" spans="1:23" ht="60" customHeight="1">
      <c r="A226" s="104" t="str">
        <f>IF(K226&gt;0,COUNT($A$7:A225)+COUNT('DWV PVC'!$A$8:$A$284)
+COUNT('DWV ABS'!$A$8:$A$116)
+COUNT('PVC SCH40'!$A$8:$A$375)
+COUNT('PVC SCH40 LD'!$A$8:$A$21)
+COUNT('Pool &amp; SPA Sweep Elbows'!$A$8:$A$11)
+COUNT('Pool &amp; SPA Pipe Extender'!$A$8:$A$10)+1,"")</f>
        <v/>
      </c>
      <c r="B226" s="581"/>
      <c r="C226" s="582"/>
      <c r="D226" s="155" t="str">
        <f>_xlfn.XLOOKUP(E226,'All Products'!D:D,'All Products'!C:C,FALSE)</f>
        <v>877-060</v>
      </c>
      <c r="E226" s="106">
        <v>100023739</v>
      </c>
      <c r="F226" s="559" t="str">
        <f>_xlfn.XLOOKUP(E226,'All Products'!D:D,'All Products'!E:E,FALSE)</f>
        <v>6 WYE SXSXS SCH80</v>
      </c>
      <c r="G226" s="283">
        <f>_xlfn.XLOOKUP(E226,'All Products'!D:D,'All Products'!F:F,FALSE)</f>
        <v>1</v>
      </c>
      <c r="H226" s="234">
        <f>_xlfn.XLOOKUP(E226,'All Products'!D:D,'All Products'!G:G,FALSE)</f>
        <v>60</v>
      </c>
      <c r="I226" s="561">
        <f>_xlfn.XLOOKUP(E226,'All Products'!D:D,'All Products'!H:H,FALSE)</f>
        <v>1379.96</v>
      </c>
      <c r="J226" s="135">
        <f>ROUND(I226*Order_Quote!$L$8,2)</f>
        <v>6899.8</v>
      </c>
      <c r="K226" s="78"/>
      <c r="L226" s="116"/>
      <c r="M226" s="199">
        <f t="shared" ref="M226:M249" si="6">K226/G226</f>
        <v>0</v>
      </c>
      <c r="O226" s="348" t="str">
        <f>_xlfn.XLOOKUP(E226,'All Products'!D:D,'All Products'!I:I,FALSE)</f>
        <v>In Stock</v>
      </c>
      <c r="P226" s="348" t="str">
        <f>_xlfn.XLOOKUP(E226,'All Products'!D:D,'All Products'!J:J,FALSE)</f>
        <v>Manufactured</v>
      </c>
      <c r="Q226" s="348" t="str">
        <f>_xlfn.XLOOKUP(E226,'All Products'!D:D,'All Products'!K:K,FALSE)</f>
        <v>049081350635</v>
      </c>
      <c r="R226" s="351" t="str">
        <f>_xlfn.XLOOKUP(E226,'All Products'!D:D,'All Products'!L:L,FALSE)</f>
        <v>-</v>
      </c>
      <c r="S226" s="351" t="str">
        <f>_xlfn.XLOOKUP(E226,'All Products'!D:D,'All Products'!M:M,FALSE)</f>
        <v>40049081350633</v>
      </c>
      <c r="T226" s="348">
        <f>_xlfn.XLOOKUP(E226,'All Products'!D:D,'All Products'!N:N,FALSE)</f>
        <v>11.38</v>
      </c>
      <c r="U226" s="351" t="str">
        <f>_xlfn.XLOOKUP(E226,'All Products'!D:D,'All Products'!O:O,FALSE)</f>
        <v>-</v>
      </c>
      <c r="V226" s="348">
        <f>_xlfn.XLOOKUP(E226,'All Products'!D:D,'All Products'!P:P,FALSE)</f>
        <v>12.65</v>
      </c>
      <c r="W226" s="348">
        <f>_xlfn.XLOOKUP(E226,'All Products'!D:D,'All Products'!Q:Q,FALSE)</f>
        <v>1.25</v>
      </c>
    </row>
    <row r="227" spans="1:23" ht="21.75" customHeight="1">
      <c r="A227" s="104" t="str">
        <f>IF(K227&gt;0,COUNT($A$7:A226)+COUNT('DWV PVC'!$A$8:$A$284)
+COUNT('DWV ABS'!$A$8:$A$116)
+COUNT('PVC SCH40'!$A$8:$A$375)
+COUNT('PVC SCH40 LD'!$A$8:$A$21)
+COUNT('Pool &amp; SPA Sweep Elbows'!$A$8:$A$11)
+COUNT('Pool &amp; SPA Pipe Extender'!$A$8:$A$10)+1,"")</f>
        <v/>
      </c>
      <c r="B227" s="579"/>
      <c r="C227" s="580"/>
      <c r="D227" s="155" t="str">
        <f>_xlfn.XLOOKUP(E227,'All Products'!D:D,'All Products'!C:C,FALSE)</f>
        <v>878-007</v>
      </c>
      <c r="E227" s="106">
        <v>100023741</v>
      </c>
      <c r="F227" s="559" t="str">
        <f>_xlfn.XLOOKUP(E227,'All Products'!D:D,'All Products'!E:E,FALSE)</f>
        <v>3/4 FEMALE FITTING ADAPTER SPGXFIPT</v>
      </c>
      <c r="G227" s="283">
        <f>_xlfn.XLOOKUP(E227,'All Products'!D:D,'All Products'!F:F,FALSE)</f>
        <v>250</v>
      </c>
      <c r="H227" s="234">
        <f>_xlfn.XLOOKUP(E227,'All Products'!D:D,'All Products'!G:G,FALSE)</f>
        <v>18750</v>
      </c>
      <c r="I227" s="561">
        <f>_xlfn.XLOOKUP(E227,'All Products'!D:D,'All Products'!H:H,FALSE)</f>
        <v>26.03</v>
      </c>
      <c r="J227" s="135">
        <f>ROUND(I227*Order_Quote!$L$8,2)</f>
        <v>130.15</v>
      </c>
      <c r="K227" s="78"/>
      <c r="L227" s="116"/>
      <c r="M227" s="199">
        <f t="shared" si="6"/>
        <v>0</v>
      </c>
      <c r="O227" s="348" t="str">
        <f>_xlfn.XLOOKUP(E227,'All Products'!D:D,'All Products'!I:I,FALSE)</f>
        <v>In Stock</v>
      </c>
      <c r="P227" s="348" t="str">
        <f>_xlfn.XLOOKUP(E227,'All Products'!D:D,'All Products'!J:J,FALSE)</f>
        <v>Manufactured</v>
      </c>
      <c r="Q227" s="348" t="str">
        <f>_xlfn.XLOOKUP(E227,'All Products'!D:D,'All Products'!K:K,FALSE)</f>
        <v>049081150082</v>
      </c>
      <c r="R227" s="351" t="str">
        <f>_xlfn.XLOOKUP(E227,'All Products'!D:D,'All Products'!L:L,FALSE)</f>
        <v>049081650087</v>
      </c>
      <c r="S227" s="351" t="str">
        <f>_xlfn.XLOOKUP(E227,'All Products'!D:D,'All Products'!M:M,FALSE)</f>
        <v>40049081150080</v>
      </c>
      <c r="T227" s="348">
        <f>_xlfn.XLOOKUP(E227,'All Products'!D:D,'All Products'!N:N,FALSE)</f>
        <v>8.3000000000000004E-2</v>
      </c>
      <c r="U227" s="351">
        <f>_xlfn.XLOOKUP(E227,'All Products'!D:D,'All Products'!O:O,FALSE)</f>
        <v>10</v>
      </c>
      <c r="V227" s="348">
        <f>_xlfn.XLOOKUP(E227,'All Products'!D:D,'All Products'!P:P,FALSE)</f>
        <v>20.99</v>
      </c>
      <c r="W227" s="348">
        <f>_xlfn.XLOOKUP(E227,'All Products'!D:D,'All Products'!Q:Q,FALSE)</f>
        <v>0.95</v>
      </c>
    </row>
    <row r="228" spans="1:23" ht="21.75" customHeight="1">
      <c r="A228" s="104" t="str">
        <f>IF(K228&gt;0,COUNT($A$7:A227)+COUNT('DWV PVC'!$A$8:$A$284)
+COUNT('DWV ABS'!$A$8:$A$116)
+COUNT('PVC SCH40'!$A$8:$A$375)
+COUNT('PVC SCH40 LD'!$A$8:$A$21)
+COUNT('Pool &amp; SPA Sweep Elbows'!$A$8:$A$11)
+COUNT('Pool &amp; SPA Pipe Extender'!$A$8:$A$10)+1,"")</f>
        <v/>
      </c>
      <c r="B228" s="581"/>
      <c r="C228" s="582"/>
      <c r="D228" s="155" t="str">
        <f>_xlfn.XLOOKUP(E228,'All Products'!D:D,'All Products'!C:C,FALSE)</f>
        <v>878-020</v>
      </c>
      <c r="E228" s="106">
        <v>100023743</v>
      </c>
      <c r="F228" s="559" t="str">
        <f>_xlfn.XLOOKUP(E228,'All Products'!D:D,'All Products'!E:E,FALSE)</f>
        <v>2 FEMALE FITTING ADAPTER SPGXFIPT</v>
      </c>
      <c r="G228" s="283">
        <f>_xlfn.XLOOKUP(E228,'All Products'!D:D,'All Products'!F:F,FALSE)</f>
        <v>25</v>
      </c>
      <c r="H228" s="234">
        <f>_xlfn.XLOOKUP(E228,'All Products'!D:D,'All Products'!G:G,FALSE)</f>
        <v>3750</v>
      </c>
      <c r="I228" s="561">
        <f>_xlfn.XLOOKUP(E228,'All Products'!D:D,'All Products'!H:H,FALSE)</f>
        <v>133.35</v>
      </c>
      <c r="J228" s="135">
        <f>ROUND(I228*Order_Quote!$L$8,2)</f>
        <v>666.75</v>
      </c>
      <c r="K228" s="78"/>
      <c r="L228" s="116"/>
      <c r="M228" s="199">
        <f t="shared" si="6"/>
        <v>0</v>
      </c>
      <c r="O228" s="348" t="str">
        <f>_xlfn.XLOOKUP(E228,'All Products'!D:D,'All Products'!I:I,FALSE)</f>
        <v>Within 3 Weeks</v>
      </c>
      <c r="P228" s="348" t="str">
        <f>_xlfn.XLOOKUP(E228,'All Products'!D:D,'All Products'!J:J,FALSE)</f>
        <v>Manufactured</v>
      </c>
      <c r="Q228" s="348" t="str">
        <f>_xlfn.XLOOKUP(E228,'All Products'!D:D,'All Products'!K:K,FALSE)</f>
        <v>049081150129</v>
      </c>
      <c r="R228" s="351" t="str">
        <f>_xlfn.XLOOKUP(E228,'All Products'!D:D,'All Products'!L:L,FALSE)</f>
        <v>049081650124</v>
      </c>
      <c r="S228" s="351" t="str">
        <f>_xlfn.XLOOKUP(E228,'All Products'!D:D,'All Products'!M:M,FALSE)</f>
        <v>40049081150127</v>
      </c>
      <c r="T228" s="348">
        <f>_xlfn.XLOOKUP(E228,'All Products'!D:D,'All Products'!N:N,FALSE)</f>
        <v>0.31900000000000001</v>
      </c>
      <c r="U228" s="351">
        <f>_xlfn.XLOOKUP(E228,'All Products'!D:D,'All Products'!O:O,FALSE)</f>
        <v>5</v>
      </c>
      <c r="V228" s="348">
        <f>_xlfn.XLOOKUP(E228,'All Products'!D:D,'All Products'!P:P,FALSE)</f>
        <v>8.19</v>
      </c>
      <c r="W228" s="348">
        <f>_xlfn.XLOOKUP(E228,'All Products'!D:D,'All Products'!Q:Q,FALSE)</f>
        <v>0.5</v>
      </c>
    </row>
    <row r="229" spans="1:23">
      <c r="A229" s="104" t="str">
        <f>IF(K229&gt;0,COUNT($A$7:A228)+COUNT('DWV PVC'!$A$8:$A$284)
+COUNT('DWV ABS'!$A$8:$A$116)
+COUNT('PVC SCH40'!$A$8:$A$375)
+COUNT('PVC SCH40 LD'!$A$8:$A$21)
+COUNT('Pool &amp; SPA Sweep Elbows'!$A$8:$A$11)
+COUNT('Pool &amp; SPA Pipe Extender'!$A$8:$A$10)+1,"")</f>
        <v/>
      </c>
      <c r="B229" s="577"/>
      <c r="C229" s="578"/>
      <c r="D229" s="155" t="str">
        <f>_xlfn.XLOOKUP(E229,'All Products'!D:D,'All Products'!C:C,FALSE)</f>
        <v>897-002</v>
      </c>
      <c r="E229" s="106">
        <v>100028184</v>
      </c>
      <c r="F229" s="559" t="str">
        <f>_xlfn.XLOOKUP(E229,'All Products'!D:D,'All Products'!E:E,FALSE)</f>
        <v>1/4 UNION SXS SCH80</v>
      </c>
      <c r="G229" s="283">
        <f>_xlfn.XLOOKUP(E229,'All Products'!D:D,'All Products'!F:F,FALSE)</f>
        <v>100</v>
      </c>
      <c r="H229" s="234">
        <f>_xlfn.XLOOKUP(E229,'All Products'!D:D,'All Products'!G:G,FALSE)</f>
        <v>15000</v>
      </c>
      <c r="I229" s="561">
        <f>_xlfn.XLOOKUP(E229,'All Products'!D:D,'All Products'!H:H,FALSE)</f>
        <v>70.849999999999994</v>
      </c>
      <c r="J229" s="135">
        <f>ROUND(I229*Order_Quote!$L$8,2)</f>
        <v>354.25</v>
      </c>
      <c r="K229" s="78"/>
      <c r="L229" s="116"/>
      <c r="M229" s="199">
        <f t="shared" si="6"/>
        <v>0</v>
      </c>
      <c r="O229" s="348" t="str">
        <f>_xlfn.XLOOKUP(E229,'All Products'!D:D,'All Products'!I:I,FALSE)</f>
        <v>Within 3 Weeks</v>
      </c>
      <c r="P229" s="348" t="str">
        <f>_xlfn.XLOOKUP(E229,'All Products'!D:D,'All Products'!J:J,FALSE)</f>
        <v>Manufactured</v>
      </c>
      <c r="Q229" s="348" t="str">
        <f>_xlfn.XLOOKUP(E229,'All Products'!D:D,'All Products'!K:K,FALSE)</f>
        <v>049081170943</v>
      </c>
      <c r="R229" s="351" t="str">
        <f>_xlfn.XLOOKUP(E229,'All Products'!D:D,'All Products'!L:L,FALSE)</f>
        <v>049081670948</v>
      </c>
      <c r="S229" s="351" t="str">
        <f>_xlfn.XLOOKUP(E229,'All Products'!D:D,'All Products'!M:M,FALSE)</f>
        <v>40049081170941</v>
      </c>
      <c r="T229" s="348">
        <f>_xlfn.XLOOKUP(E229,'All Products'!D:D,'All Products'!N:N,FALSE)</f>
        <v>9.4E-2</v>
      </c>
      <c r="U229" s="351">
        <f>_xlfn.XLOOKUP(E229,'All Products'!D:D,'All Products'!O:O,FALSE)</f>
        <v>5</v>
      </c>
      <c r="V229" s="348">
        <f>_xlfn.XLOOKUP(E229,'All Products'!D:D,'All Products'!P:P,FALSE)</f>
        <v>12</v>
      </c>
      <c r="W229" s="348">
        <f>_xlfn.XLOOKUP(E229,'All Products'!D:D,'All Products'!Q:Q,FALSE)</f>
        <v>0.5</v>
      </c>
    </row>
    <row r="230" spans="1:23">
      <c r="A230" s="104" t="str">
        <f>IF(K230&gt;0,COUNT($A$7:A229)+COUNT('DWV PVC'!$A$8:$A$284)
+COUNT('DWV ABS'!$A$8:$A$116)
+COUNT('PVC SCH40'!$A$8:$A$375)
+COUNT('PVC SCH40 LD'!$A$8:$A$21)
+COUNT('Pool &amp; SPA Sweep Elbows'!$A$8:$A$11)
+COUNT('Pool &amp; SPA Pipe Extender'!$A$8:$A$10)+1,"")</f>
        <v/>
      </c>
      <c r="B230" s="579"/>
      <c r="C230" s="580"/>
      <c r="D230" s="155" t="str">
        <f>_xlfn.XLOOKUP(E230,'All Products'!D:D,'All Products'!C:C,FALSE)</f>
        <v>897-003</v>
      </c>
      <c r="E230" s="106">
        <v>100028185</v>
      </c>
      <c r="F230" s="559" t="str">
        <f>_xlfn.XLOOKUP(E230,'All Products'!D:D,'All Products'!E:E,FALSE)</f>
        <v>3/8 UNION SXS SCH80</v>
      </c>
      <c r="G230" s="283">
        <f>_xlfn.XLOOKUP(E230,'All Products'!D:D,'All Products'!F:F,FALSE)</f>
        <v>100</v>
      </c>
      <c r="H230" s="234">
        <f>_xlfn.XLOOKUP(E230,'All Products'!D:D,'All Products'!G:G,FALSE)</f>
        <v>9000</v>
      </c>
      <c r="I230" s="561">
        <f>_xlfn.XLOOKUP(E230,'All Products'!D:D,'All Products'!H:H,FALSE)</f>
        <v>70.849999999999994</v>
      </c>
      <c r="J230" s="135">
        <f>ROUND(I230*Order_Quote!$L$8,2)</f>
        <v>354.25</v>
      </c>
      <c r="K230" s="78"/>
      <c r="L230" s="116"/>
      <c r="M230" s="199">
        <f t="shared" si="6"/>
        <v>0</v>
      </c>
      <c r="O230" s="348" t="str">
        <f>_xlfn.XLOOKUP(E230,'All Products'!D:D,'All Products'!I:I,FALSE)</f>
        <v>Within 3 Weeks</v>
      </c>
      <c r="P230" s="348" t="str">
        <f>_xlfn.XLOOKUP(E230,'All Products'!D:D,'All Products'!J:J,FALSE)</f>
        <v>Manufactured</v>
      </c>
      <c r="Q230" s="348" t="str">
        <f>_xlfn.XLOOKUP(E230,'All Products'!D:D,'All Products'!K:K,FALSE)</f>
        <v>049081170950</v>
      </c>
      <c r="R230" s="351" t="str">
        <f>_xlfn.XLOOKUP(E230,'All Products'!D:D,'All Products'!L:L,FALSE)</f>
        <v>049081670955</v>
      </c>
      <c r="S230" s="351" t="str">
        <f>_xlfn.XLOOKUP(E230,'All Products'!D:D,'All Products'!M:M,FALSE)</f>
        <v>40049081170958</v>
      </c>
      <c r="T230" s="348">
        <f>_xlfn.XLOOKUP(E230,'All Products'!D:D,'All Products'!N:N,FALSE)</f>
        <v>0.16200000000000001</v>
      </c>
      <c r="U230" s="351">
        <f>_xlfn.XLOOKUP(E230,'All Products'!D:D,'All Products'!O:O,FALSE)</f>
        <v>5</v>
      </c>
      <c r="V230" s="348">
        <f>_xlfn.XLOOKUP(E230,'All Products'!D:D,'All Products'!P:P,FALSE)</f>
        <v>16.2</v>
      </c>
      <c r="W230" s="348">
        <f>_xlfn.XLOOKUP(E230,'All Products'!D:D,'All Products'!Q:Q,FALSE)</f>
        <v>0.8</v>
      </c>
    </row>
    <row r="231" spans="1:23">
      <c r="A231" s="104" t="str">
        <f>IF(K231&gt;0,COUNT($A$7:A230)+COUNT('DWV PVC'!$A$8:$A$284)
+COUNT('DWV ABS'!$A$8:$A$116)
+COUNT('PVC SCH40'!$A$8:$A$375)
+COUNT('PVC SCH40 LD'!$A$8:$A$21)
+COUNT('Pool &amp; SPA Sweep Elbows'!$A$8:$A$11)
+COUNT('Pool &amp; SPA Pipe Extender'!$A$8:$A$10)+1,"")</f>
        <v/>
      </c>
      <c r="B231" s="579"/>
      <c r="C231" s="580"/>
      <c r="D231" s="155" t="str">
        <f>_xlfn.XLOOKUP(E231,'All Products'!D:D,'All Products'!C:C,FALSE)</f>
        <v>897-005</v>
      </c>
      <c r="E231" s="106">
        <v>100028186</v>
      </c>
      <c r="F231" s="559" t="str">
        <f>_xlfn.XLOOKUP(E231,'All Products'!D:D,'All Products'!E:E,FALSE)</f>
        <v>1/2 UNION SXS SCH80</v>
      </c>
      <c r="G231" s="283">
        <f>_xlfn.XLOOKUP(E231,'All Products'!D:D,'All Products'!F:F,FALSE)</f>
        <v>50</v>
      </c>
      <c r="H231" s="234">
        <f>_xlfn.XLOOKUP(E231,'All Products'!D:D,'All Products'!G:G,FALSE)</f>
        <v>13500</v>
      </c>
      <c r="I231" s="561">
        <f>_xlfn.XLOOKUP(E231,'All Products'!D:D,'All Products'!H:H,FALSE)</f>
        <v>37.86</v>
      </c>
      <c r="J231" s="135">
        <f>ROUND(I231*Order_Quote!$L$8,2)</f>
        <v>189.3</v>
      </c>
      <c r="K231" s="78"/>
      <c r="L231" s="116"/>
      <c r="M231" s="199">
        <f t="shared" si="6"/>
        <v>0</v>
      </c>
      <c r="O231" s="348" t="str">
        <f>_xlfn.XLOOKUP(E231,'All Products'!D:D,'All Products'!I:I,FALSE)</f>
        <v>In Stock</v>
      </c>
      <c r="P231" s="348" t="str">
        <f>_xlfn.XLOOKUP(E231,'All Products'!D:D,'All Products'!J:J,FALSE)</f>
        <v>Manufactured</v>
      </c>
      <c r="Q231" s="348" t="str">
        <f>_xlfn.XLOOKUP(E231,'All Products'!D:D,'All Products'!K:K,FALSE)</f>
        <v>049081170967</v>
      </c>
      <c r="R231" s="351" t="str">
        <f>_xlfn.XLOOKUP(E231,'All Products'!D:D,'All Products'!L:L,FALSE)</f>
        <v>-</v>
      </c>
      <c r="S231" s="351" t="str">
        <f>_xlfn.XLOOKUP(E231,'All Products'!D:D,'All Products'!M:M,FALSE)</f>
        <v>40049081170965</v>
      </c>
      <c r="T231" s="348">
        <f>_xlfn.XLOOKUP(E231,'All Products'!D:D,'All Products'!N:N,FALSE)</f>
        <v>0.124</v>
      </c>
      <c r="U231" s="351" t="str">
        <f>_xlfn.XLOOKUP(E231,'All Products'!D:D,'All Products'!O:O,FALSE)</f>
        <v>-</v>
      </c>
      <c r="V231" s="348">
        <f>_xlfn.XLOOKUP(E231,'All Products'!D:D,'All Products'!P:P,FALSE)</f>
        <v>8.07</v>
      </c>
      <c r="W231" s="348">
        <f>_xlfn.XLOOKUP(E231,'All Products'!D:D,'All Products'!Q:Q,FALSE)</f>
        <v>0.31</v>
      </c>
    </row>
    <row r="232" spans="1:23">
      <c r="A232" s="104" t="str">
        <f>IF(K232&gt;0,COUNT($A$7:A231)+COUNT('DWV PVC'!$A$8:$A$284)
+COUNT('DWV ABS'!$A$8:$A$116)
+COUNT('PVC SCH40'!$A$8:$A$375)
+COUNT('PVC SCH40 LD'!$A$8:$A$21)
+COUNT('Pool &amp; SPA Sweep Elbows'!$A$8:$A$11)
+COUNT('Pool &amp; SPA Pipe Extender'!$A$8:$A$10)+1,"")</f>
        <v/>
      </c>
      <c r="B232" s="579"/>
      <c r="C232" s="580"/>
      <c r="D232" s="155" t="str">
        <f>_xlfn.XLOOKUP(E232,'All Products'!D:D,'All Products'!C:C,FALSE)</f>
        <v>897-007</v>
      </c>
      <c r="E232" s="106">
        <v>100028187</v>
      </c>
      <c r="F232" s="559" t="str">
        <f>_xlfn.XLOOKUP(E232,'All Products'!D:D,'All Products'!E:E,FALSE)</f>
        <v>3/4 UNION SXS SCH80</v>
      </c>
      <c r="G232" s="283">
        <f>_xlfn.XLOOKUP(E232,'All Products'!D:D,'All Products'!F:F,FALSE)</f>
        <v>50</v>
      </c>
      <c r="H232" s="234">
        <f>_xlfn.XLOOKUP(E232,'All Products'!D:D,'All Products'!G:G,FALSE)</f>
        <v>7500</v>
      </c>
      <c r="I232" s="561">
        <f>_xlfn.XLOOKUP(E232,'All Products'!D:D,'All Products'!H:H,FALSE)</f>
        <v>48.18</v>
      </c>
      <c r="J232" s="135">
        <f>ROUND(I232*Order_Quote!$L$8,2)</f>
        <v>240.9</v>
      </c>
      <c r="K232" s="78"/>
      <c r="L232" s="116"/>
      <c r="M232" s="199">
        <f t="shared" si="6"/>
        <v>0</v>
      </c>
      <c r="O232" s="348" t="str">
        <f>_xlfn.XLOOKUP(E232,'All Products'!D:D,'All Products'!I:I,FALSE)</f>
        <v>In Stock</v>
      </c>
      <c r="P232" s="348" t="str">
        <f>_xlfn.XLOOKUP(E232,'All Products'!D:D,'All Products'!J:J,FALSE)</f>
        <v>Manufactured</v>
      </c>
      <c r="Q232" s="348" t="str">
        <f>_xlfn.XLOOKUP(E232,'All Products'!D:D,'All Products'!K:K,FALSE)</f>
        <v>049081171001</v>
      </c>
      <c r="R232" s="351" t="str">
        <f>_xlfn.XLOOKUP(E232,'All Products'!D:D,'All Products'!L:L,FALSE)</f>
        <v>-</v>
      </c>
      <c r="S232" s="351" t="str">
        <f>_xlfn.XLOOKUP(E232,'All Products'!D:D,'All Products'!M:M,FALSE)</f>
        <v>40049081171009</v>
      </c>
      <c r="T232" s="348">
        <f>_xlfn.XLOOKUP(E232,'All Products'!D:D,'All Products'!N:N,FALSE)</f>
        <v>0.19400000000000001</v>
      </c>
      <c r="U232" s="351" t="str">
        <f>_xlfn.XLOOKUP(E232,'All Products'!D:D,'All Products'!O:O,FALSE)</f>
        <v>-</v>
      </c>
      <c r="V232" s="348">
        <f>_xlfn.XLOOKUP(E232,'All Products'!D:D,'All Products'!P:P,FALSE)</f>
        <v>12.63</v>
      </c>
      <c r="W232" s="348">
        <f>_xlfn.XLOOKUP(E232,'All Products'!D:D,'All Products'!Q:Q,FALSE)</f>
        <v>0.5</v>
      </c>
    </row>
    <row r="233" spans="1:23">
      <c r="A233" s="104" t="str">
        <f>IF(K233&gt;0,COUNT($A$7:A232)+COUNT('DWV PVC'!$A$8:$A$284)
+COUNT('DWV ABS'!$A$8:$A$116)
+COUNT('PVC SCH40'!$A$8:$A$375)
+COUNT('PVC SCH40 LD'!$A$8:$A$21)
+COUNT('Pool &amp; SPA Sweep Elbows'!$A$8:$A$11)
+COUNT('Pool &amp; SPA Pipe Extender'!$A$8:$A$10)+1,"")</f>
        <v/>
      </c>
      <c r="B233" s="579"/>
      <c r="C233" s="580"/>
      <c r="D233" s="155" t="str">
        <f>_xlfn.XLOOKUP(E233,'All Products'!D:D,'All Products'!C:C,FALSE)</f>
        <v>897-010</v>
      </c>
      <c r="E233" s="106">
        <v>100028188</v>
      </c>
      <c r="F233" s="559" t="str">
        <f>_xlfn.XLOOKUP(E233,'All Products'!D:D,'All Products'!E:E,FALSE)</f>
        <v>1 UNION SXS SCH80</v>
      </c>
      <c r="G233" s="283">
        <f>_xlfn.XLOOKUP(E233,'All Products'!D:D,'All Products'!F:F,FALSE)</f>
        <v>18</v>
      </c>
      <c r="H233" s="234">
        <f>_xlfn.XLOOKUP(E233,'All Products'!D:D,'All Products'!G:G,FALSE)</f>
        <v>2700</v>
      </c>
      <c r="I233" s="561">
        <f>_xlfn.XLOOKUP(E233,'All Products'!D:D,'All Products'!H:H,FALSE)</f>
        <v>55.17</v>
      </c>
      <c r="J233" s="135">
        <f>ROUND(I233*Order_Quote!$L$8,2)</f>
        <v>275.85000000000002</v>
      </c>
      <c r="K233" s="78"/>
      <c r="L233" s="116"/>
      <c r="M233" s="199">
        <f t="shared" si="6"/>
        <v>0</v>
      </c>
      <c r="O233" s="348" t="str">
        <f>_xlfn.XLOOKUP(E233,'All Products'!D:D,'All Products'!I:I,FALSE)</f>
        <v>In Stock</v>
      </c>
      <c r="P233" s="348" t="str">
        <f>_xlfn.XLOOKUP(E233,'All Products'!D:D,'All Products'!J:J,FALSE)</f>
        <v>Manufactured</v>
      </c>
      <c r="Q233" s="348" t="str">
        <f>_xlfn.XLOOKUP(E233,'All Products'!D:D,'All Products'!K:K,FALSE)</f>
        <v>049081171025</v>
      </c>
      <c r="R233" s="351" t="str">
        <f>_xlfn.XLOOKUP(E233,'All Products'!D:D,'All Products'!L:L,FALSE)</f>
        <v>-</v>
      </c>
      <c r="S233" s="351" t="str">
        <f>_xlfn.XLOOKUP(E233,'All Products'!D:D,'All Products'!M:M,FALSE)</f>
        <v>40049081171023</v>
      </c>
      <c r="T233" s="348">
        <f>_xlfn.XLOOKUP(E233,'All Products'!D:D,'All Products'!N:N,FALSE)</f>
        <v>0.30599999999999999</v>
      </c>
      <c r="U233" s="351" t="str">
        <f>_xlfn.XLOOKUP(E233,'All Products'!D:D,'All Products'!O:O,FALSE)</f>
        <v>-</v>
      </c>
      <c r="V233" s="348">
        <f>_xlfn.XLOOKUP(E233,'All Products'!D:D,'All Products'!P:P,FALSE)</f>
        <v>6.25</v>
      </c>
      <c r="W233" s="348">
        <f>_xlfn.XLOOKUP(E233,'All Products'!D:D,'All Products'!Q:Q,FALSE)</f>
        <v>0.5</v>
      </c>
    </row>
    <row r="234" spans="1:23">
      <c r="A234" s="104" t="str">
        <f>IF(K234&gt;0,COUNT($A$7:A233)+COUNT('DWV PVC'!$A$8:$A$284)
+COUNT('DWV ABS'!$A$8:$A$116)
+COUNT('PVC SCH40'!$A$8:$A$375)
+COUNT('PVC SCH40 LD'!$A$8:$A$21)
+COUNT('Pool &amp; SPA Sweep Elbows'!$A$8:$A$11)
+COUNT('Pool &amp; SPA Pipe Extender'!$A$8:$A$10)+1,"")</f>
        <v/>
      </c>
      <c r="B234" s="579"/>
      <c r="C234" s="580"/>
      <c r="D234" s="155" t="str">
        <f>_xlfn.XLOOKUP(E234,'All Products'!D:D,'All Products'!C:C,FALSE)</f>
        <v>897-012</v>
      </c>
      <c r="E234" s="106">
        <v>100028189</v>
      </c>
      <c r="F234" s="559" t="str">
        <f>_xlfn.XLOOKUP(E234,'All Products'!D:D,'All Products'!E:E,FALSE)</f>
        <v>1-1/4 UNION SXS SCH80</v>
      </c>
      <c r="G234" s="283">
        <f>_xlfn.XLOOKUP(E234,'All Products'!D:D,'All Products'!F:F,FALSE)</f>
        <v>10</v>
      </c>
      <c r="H234" s="234">
        <f>_xlfn.XLOOKUP(E234,'All Products'!D:D,'All Products'!G:G,FALSE)</f>
        <v>2700</v>
      </c>
      <c r="I234" s="561">
        <f>_xlfn.XLOOKUP(E234,'All Products'!D:D,'All Products'!H:H,FALSE)</f>
        <v>109.29</v>
      </c>
      <c r="J234" s="135">
        <f>ROUND(I234*Order_Quote!$L$8,2)</f>
        <v>546.45000000000005</v>
      </c>
      <c r="K234" s="78"/>
      <c r="L234" s="116"/>
      <c r="M234" s="199">
        <f t="shared" si="6"/>
        <v>0</v>
      </c>
      <c r="O234" s="348" t="str">
        <f>_xlfn.XLOOKUP(E234,'All Products'!D:D,'All Products'!I:I,FALSE)</f>
        <v>In Stock</v>
      </c>
      <c r="P234" s="348" t="str">
        <f>_xlfn.XLOOKUP(E234,'All Products'!D:D,'All Products'!J:J,FALSE)</f>
        <v>Manufactured</v>
      </c>
      <c r="Q234" s="348" t="str">
        <f>_xlfn.XLOOKUP(E234,'All Products'!D:D,'All Products'!K:K,FALSE)</f>
        <v>049081171049</v>
      </c>
      <c r="R234" s="351" t="str">
        <f>_xlfn.XLOOKUP(E234,'All Products'!D:D,'All Products'!L:L,FALSE)</f>
        <v>-</v>
      </c>
      <c r="S234" s="351" t="str">
        <f>_xlfn.XLOOKUP(E234,'All Products'!D:D,'All Products'!M:M,FALSE)</f>
        <v>40049081171047</v>
      </c>
      <c r="T234" s="348">
        <f>_xlfn.XLOOKUP(E234,'All Products'!D:D,'All Products'!N:N,FALSE)</f>
        <v>0.53500000000000003</v>
      </c>
      <c r="U234" s="351" t="str">
        <f>_xlfn.XLOOKUP(E234,'All Products'!D:D,'All Products'!O:O,FALSE)</f>
        <v>-</v>
      </c>
      <c r="V234" s="348">
        <f>_xlfn.XLOOKUP(E234,'All Products'!D:D,'All Products'!P:P,FALSE)</f>
        <v>4.76</v>
      </c>
      <c r="W234" s="348">
        <f>_xlfn.XLOOKUP(E234,'All Products'!D:D,'All Products'!Q:Q,FALSE)</f>
        <v>0.31</v>
      </c>
    </row>
    <row r="235" spans="1:23">
      <c r="A235" s="104" t="str">
        <f>IF(K235&gt;0,COUNT($A$7:A234)+COUNT('DWV PVC'!$A$8:$A$284)
+COUNT('DWV ABS'!$A$8:$A$116)
+COUNT('PVC SCH40'!$A$8:$A$375)
+COUNT('PVC SCH40 LD'!$A$8:$A$21)
+COUNT('Pool &amp; SPA Sweep Elbows'!$A$8:$A$11)
+COUNT('Pool &amp; SPA Pipe Extender'!$A$8:$A$10)+1,"")</f>
        <v/>
      </c>
      <c r="B235" s="579"/>
      <c r="C235" s="580"/>
      <c r="D235" s="155" t="str">
        <f>_xlfn.XLOOKUP(E235,'All Products'!D:D,'All Products'!C:C,FALSE)</f>
        <v>897-015</v>
      </c>
      <c r="E235" s="106">
        <v>100028190</v>
      </c>
      <c r="F235" s="559" t="str">
        <f>_xlfn.XLOOKUP(E235,'All Products'!D:D,'All Products'!E:E,FALSE)</f>
        <v>1-1/2 UNION SXS SCH80</v>
      </c>
      <c r="G235" s="283">
        <f>_xlfn.XLOOKUP(E235,'All Products'!D:D,'All Products'!F:F,FALSE)</f>
        <v>10</v>
      </c>
      <c r="H235" s="234">
        <f>_xlfn.XLOOKUP(E235,'All Products'!D:D,'All Products'!G:G,FALSE)</f>
        <v>1500</v>
      </c>
      <c r="I235" s="561">
        <f>_xlfn.XLOOKUP(E235,'All Products'!D:D,'All Products'!H:H,FALSE)</f>
        <v>123.66</v>
      </c>
      <c r="J235" s="135">
        <f>ROUND(I235*Order_Quote!$L$8,2)</f>
        <v>618.29999999999995</v>
      </c>
      <c r="K235" s="78"/>
      <c r="L235" s="116"/>
      <c r="M235" s="199">
        <f t="shared" si="6"/>
        <v>0</v>
      </c>
      <c r="O235" s="348" t="str">
        <f>_xlfn.XLOOKUP(E235,'All Products'!D:D,'All Products'!I:I,FALSE)</f>
        <v>In Stock</v>
      </c>
      <c r="P235" s="348" t="str">
        <f>_xlfn.XLOOKUP(E235,'All Products'!D:D,'All Products'!J:J,FALSE)</f>
        <v>Manufactured</v>
      </c>
      <c r="Q235" s="348" t="str">
        <f>_xlfn.XLOOKUP(E235,'All Products'!D:D,'All Products'!K:K,FALSE)</f>
        <v>049081171063</v>
      </c>
      <c r="R235" s="351" t="str">
        <f>_xlfn.XLOOKUP(E235,'All Products'!D:D,'All Products'!L:L,FALSE)</f>
        <v>-</v>
      </c>
      <c r="S235" s="351" t="str">
        <f>_xlfn.XLOOKUP(E235,'All Products'!D:D,'All Products'!M:M,FALSE)</f>
        <v>40049081171061</v>
      </c>
      <c r="T235" s="348">
        <f>_xlfn.XLOOKUP(E235,'All Products'!D:D,'All Products'!N:N,FALSE)</f>
        <v>0.82499999999999996</v>
      </c>
      <c r="U235" s="351" t="str">
        <f>_xlfn.XLOOKUP(E235,'All Products'!D:D,'All Products'!O:O,FALSE)</f>
        <v>-</v>
      </c>
      <c r="V235" s="348">
        <f>_xlfn.XLOOKUP(E235,'All Products'!D:D,'All Products'!P:P,FALSE)</f>
        <v>6.54</v>
      </c>
      <c r="W235" s="348">
        <f>_xlfn.XLOOKUP(E235,'All Products'!D:D,'All Products'!Q:Q,FALSE)</f>
        <v>0.5</v>
      </c>
    </row>
    <row r="236" spans="1:23">
      <c r="A236" s="104" t="str">
        <f>IF(K236&gt;0,COUNT($A$7:A235)+COUNT('DWV PVC'!$A$8:$A$284)
+COUNT('DWV ABS'!$A$8:$A$116)
+COUNT('PVC SCH40'!$A$8:$A$375)
+COUNT('PVC SCH40 LD'!$A$8:$A$21)
+COUNT('Pool &amp; SPA Sweep Elbows'!$A$8:$A$11)
+COUNT('Pool &amp; SPA Pipe Extender'!$A$8:$A$10)+1,"")</f>
        <v/>
      </c>
      <c r="B236" s="579"/>
      <c r="C236" s="580"/>
      <c r="D236" s="155" t="str">
        <f>_xlfn.XLOOKUP(E236,'All Products'!D:D,'All Products'!C:C,FALSE)</f>
        <v>897-020</v>
      </c>
      <c r="E236" s="106">
        <v>100028191</v>
      </c>
      <c r="F236" s="559" t="str">
        <f>_xlfn.XLOOKUP(E236,'All Products'!D:D,'All Products'!E:E,FALSE)</f>
        <v>2 UNION SXS SCH80</v>
      </c>
      <c r="G236" s="283">
        <f>_xlfn.XLOOKUP(E236,'All Products'!D:D,'All Products'!F:F,FALSE)</f>
        <v>16</v>
      </c>
      <c r="H236" s="234">
        <f>_xlfn.XLOOKUP(E236,'All Products'!D:D,'All Products'!G:G,FALSE)</f>
        <v>1200</v>
      </c>
      <c r="I236" s="561">
        <f>_xlfn.XLOOKUP(E236,'All Products'!D:D,'All Products'!H:H,FALSE)</f>
        <v>167.83</v>
      </c>
      <c r="J236" s="135">
        <f>ROUND(I236*Order_Quote!$L$8,2)</f>
        <v>839.15</v>
      </c>
      <c r="K236" s="78"/>
      <c r="L236" s="116"/>
      <c r="M236" s="199">
        <f t="shared" si="6"/>
        <v>0</v>
      </c>
      <c r="O236" s="348" t="str">
        <f>_xlfn.XLOOKUP(E236,'All Products'!D:D,'All Products'!I:I,FALSE)</f>
        <v>In Stock</v>
      </c>
      <c r="P236" s="348" t="str">
        <f>_xlfn.XLOOKUP(E236,'All Products'!D:D,'All Products'!J:J,FALSE)</f>
        <v>Manufactured</v>
      </c>
      <c r="Q236" s="348" t="str">
        <f>_xlfn.XLOOKUP(E236,'All Products'!D:D,'All Products'!K:K,FALSE)</f>
        <v>049081171087</v>
      </c>
      <c r="R236" s="351" t="str">
        <f>_xlfn.XLOOKUP(E236,'All Products'!D:D,'All Products'!L:L,FALSE)</f>
        <v>-</v>
      </c>
      <c r="S236" s="351" t="str">
        <f>_xlfn.XLOOKUP(E236,'All Products'!D:D,'All Products'!M:M,FALSE)</f>
        <v>40049081171085</v>
      </c>
      <c r="T236" s="348">
        <f>_xlfn.XLOOKUP(E236,'All Products'!D:D,'All Products'!N:N,FALSE)</f>
        <v>1.325</v>
      </c>
      <c r="U236" s="351" t="str">
        <f>_xlfn.XLOOKUP(E236,'All Products'!D:D,'All Products'!O:O,FALSE)</f>
        <v>-</v>
      </c>
      <c r="V236" s="348">
        <f>_xlfn.XLOOKUP(E236,'All Products'!D:D,'All Products'!P:P,FALSE)</f>
        <v>21.15</v>
      </c>
      <c r="W236" s="348">
        <f>_xlfn.XLOOKUP(E236,'All Products'!D:D,'All Products'!Q:Q,FALSE)</f>
        <v>1.1000000000000001</v>
      </c>
    </row>
    <row r="237" spans="1:23">
      <c r="A237" s="104" t="str">
        <f>IF(K237&gt;0,COUNT($A$7:A236)+COUNT('DWV PVC'!$A$8:$A$284)
+COUNT('DWV ABS'!$A$8:$A$116)
+COUNT('PVC SCH40'!$A$8:$A$375)
+COUNT('PVC SCH40 LD'!$A$8:$A$21)
+COUNT('Pool &amp; SPA Sweep Elbows'!$A$8:$A$11)
+COUNT('Pool &amp; SPA Pipe Extender'!$A$8:$A$10)+1,"")</f>
        <v/>
      </c>
      <c r="B237" s="579"/>
      <c r="C237" s="580"/>
      <c r="D237" s="155" t="str">
        <f>_xlfn.XLOOKUP(E237,'All Products'!D:D,'All Products'!C:C,FALSE)</f>
        <v>897-025</v>
      </c>
      <c r="E237" s="106">
        <v>100028192</v>
      </c>
      <c r="F237" s="559" t="str">
        <f>_xlfn.XLOOKUP(E237,'All Products'!D:D,'All Products'!E:E,FALSE)</f>
        <v>2-1/2 UNION SXS SCH80</v>
      </c>
      <c r="G237" s="283">
        <f>_xlfn.XLOOKUP(E237,'All Products'!D:D,'All Products'!F:F,FALSE)</f>
        <v>3</v>
      </c>
      <c r="H237" s="234">
        <f>_xlfn.XLOOKUP(E237,'All Products'!D:D,'All Products'!G:G,FALSE)</f>
        <v>450</v>
      </c>
      <c r="I237" s="561">
        <f>_xlfn.XLOOKUP(E237,'All Products'!D:D,'All Products'!H:H,FALSE)</f>
        <v>266.77999999999997</v>
      </c>
      <c r="J237" s="135">
        <f>ROUND(I237*Order_Quote!$L$8,2)</f>
        <v>1333.9</v>
      </c>
      <c r="K237" s="78"/>
      <c r="L237" s="116"/>
      <c r="M237" s="199">
        <f t="shared" si="6"/>
        <v>0</v>
      </c>
      <c r="O237" s="348" t="str">
        <f>_xlfn.XLOOKUP(E237,'All Products'!D:D,'All Products'!I:I,FALSE)</f>
        <v>In Stock</v>
      </c>
      <c r="P237" s="348" t="str">
        <f>_xlfn.XLOOKUP(E237,'All Products'!D:D,'All Products'!J:J,FALSE)</f>
        <v>Manufactured</v>
      </c>
      <c r="Q237" s="348" t="str">
        <f>_xlfn.XLOOKUP(E237,'All Products'!D:D,'All Products'!K:K,FALSE)</f>
        <v>049081171124</v>
      </c>
      <c r="R237" s="351" t="str">
        <f>_xlfn.XLOOKUP(E237,'All Products'!D:D,'All Products'!L:L,FALSE)</f>
        <v>-</v>
      </c>
      <c r="S237" s="351" t="str">
        <f>_xlfn.XLOOKUP(E237,'All Products'!D:D,'All Products'!M:M,FALSE)</f>
        <v>40049081171122</v>
      </c>
      <c r="T237" s="348">
        <f>_xlfn.XLOOKUP(E237,'All Products'!D:D,'All Products'!N:N,FALSE)</f>
        <v>2.0329999999999999</v>
      </c>
      <c r="U237" s="351" t="str">
        <f>_xlfn.XLOOKUP(E237,'All Products'!D:D,'All Products'!O:O,FALSE)</f>
        <v>-</v>
      </c>
      <c r="V237" s="348">
        <f>_xlfn.XLOOKUP(E237,'All Products'!D:D,'All Products'!P:P,FALSE)</f>
        <v>5.72</v>
      </c>
      <c r="W237" s="348">
        <f>_xlfn.XLOOKUP(E237,'All Products'!D:D,'All Products'!Q:Q,FALSE)</f>
        <v>0.5</v>
      </c>
    </row>
    <row r="238" spans="1:23">
      <c r="A238" s="104" t="str">
        <f>IF(K238&gt;0,COUNT($A$7:A237)+COUNT('DWV PVC'!$A$8:$A$284)
+COUNT('DWV ABS'!$A$8:$A$116)
+COUNT('PVC SCH40'!$A$8:$A$375)
+COUNT('PVC SCH40 LD'!$A$8:$A$21)
+COUNT('Pool &amp; SPA Sweep Elbows'!$A$8:$A$11)
+COUNT('Pool &amp; SPA Pipe Extender'!$A$8:$A$10)+1,"")</f>
        <v/>
      </c>
      <c r="B238" s="579"/>
      <c r="C238" s="580"/>
      <c r="D238" s="155" t="str">
        <f>_xlfn.XLOOKUP(E238,'All Products'!D:D,'All Products'!C:C,FALSE)</f>
        <v>897-030</v>
      </c>
      <c r="E238" s="106">
        <v>100028193</v>
      </c>
      <c r="F238" s="559" t="str">
        <f>_xlfn.XLOOKUP(E238,'All Products'!D:D,'All Products'!E:E,FALSE)</f>
        <v>3 UNION SXS SCH80</v>
      </c>
      <c r="G238" s="283">
        <f>_xlfn.XLOOKUP(E238,'All Products'!D:D,'All Products'!F:F,FALSE)</f>
        <v>3</v>
      </c>
      <c r="H238" s="234">
        <f>_xlfn.XLOOKUP(E238,'All Products'!D:D,'All Products'!G:G,FALSE)</f>
        <v>450</v>
      </c>
      <c r="I238" s="561">
        <f>_xlfn.XLOOKUP(E238,'All Products'!D:D,'All Products'!H:H,FALSE)</f>
        <v>312.25</v>
      </c>
      <c r="J238" s="135">
        <f>ROUND(I238*Order_Quote!$L$8,2)</f>
        <v>1561.25</v>
      </c>
      <c r="K238" s="78"/>
      <c r="L238" s="116"/>
      <c r="M238" s="199">
        <f t="shared" si="6"/>
        <v>0</v>
      </c>
      <c r="O238" s="348" t="str">
        <f>_xlfn.XLOOKUP(E238,'All Products'!D:D,'All Products'!I:I,FALSE)</f>
        <v>In Stock</v>
      </c>
      <c r="P238" s="348" t="str">
        <f>_xlfn.XLOOKUP(E238,'All Products'!D:D,'All Products'!J:J,FALSE)</f>
        <v>Manufactured</v>
      </c>
      <c r="Q238" s="348" t="str">
        <f>_xlfn.XLOOKUP(E238,'All Products'!D:D,'All Products'!K:K,FALSE)</f>
        <v>049081171100</v>
      </c>
      <c r="R238" s="351" t="str">
        <f>_xlfn.XLOOKUP(E238,'All Products'!D:D,'All Products'!L:L,FALSE)</f>
        <v>-</v>
      </c>
      <c r="S238" s="351" t="str">
        <f>_xlfn.XLOOKUP(E238,'All Products'!D:D,'All Products'!M:M,FALSE)</f>
        <v>40049081171108</v>
      </c>
      <c r="T238" s="348">
        <f>_xlfn.XLOOKUP(E238,'All Products'!D:D,'All Products'!N:N,FALSE)</f>
        <v>3</v>
      </c>
      <c r="U238" s="351" t="str">
        <f>_xlfn.XLOOKUP(E238,'All Products'!D:D,'All Products'!O:O,FALSE)</f>
        <v>-</v>
      </c>
      <c r="V238" s="348">
        <f>_xlfn.XLOOKUP(E238,'All Products'!D:D,'All Products'!P:P,FALSE)</f>
        <v>7.84</v>
      </c>
      <c r="W238" s="348">
        <f>_xlfn.XLOOKUP(E238,'All Products'!D:D,'All Products'!Q:Q,FALSE)</f>
        <v>0.5</v>
      </c>
    </row>
    <row r="239" spans="1:23">
      <c r="A239" s="104" t="str">
        <f>IF(K239&gt;0,COUNT($A$7:A238)+COUNT('DWV PVC'!$A$8:$A$284)
+COUNT('DWV ABS'!$A$8:$A$116)
+COUNT('PVC SCH40'!$A$8:$A$375)
+COUNT('PVC SCH40 LD'!$A$8:$A$21)
+COUNT('Pool &amp; SPA Sweep Elbows'!$A$8:$A$11)
+COUNT('Pool &amp; SPA Pipe Extender'!$A$8:$A$10)+1,"")</f>
        <v/>
      </c>
      <c r="B239" s="581"/>
      <c r="C239" s="582"/>
      <c r="D239" s="155" t="str">
        <f>_xlfn.XLOOKUP(E239,'All Products'!D:D,'All Products'!C:C,FALSE)</f>
        <v>897-040</v>
      </c>
      <c r="E239" s="106">
        <v>100028194</v>
      </c>
      <c r="F239" s="559" t="str">
        <f>_xlfn.XLOOKUP(E239,'All Products'!D:D,'All Products'!E:E,FALSE)</f>
        <v>4 UNION SXS SCH80</v>
      </c>
      <c r="G239" s="283">
        <f>_xlfn.XLOOKUP(E239,'All Products'!D:D,'All Products'!F:F,FALSE)</f>
        <v>2</v>
      </c>
      <c r="H239" s="234">
        <f>_xlfn.XLOOKUP(E239,'All Products'!D:D,'All Products'!G:G,FALSE)</f>
        <v>180</v>
      </c>
      <c r="I239" s="561">
        <f>_xlfn.XLOOKUP(E239,'All Products'!D:D,'All Products'!H:H,FALSE)</f>
        <v>431.91</v>
      </c>
      <c r="J239" s="135">
        <f>ROUND(I239*Order_Quote!$L$8,2)</f>
        <v>2159.5500000000002</v>
      </c>
      <c r="K239" s="78"/>
      <c r="L239" s="116"/>
      <c r="M239" s="199">
        <f t="shared" si="6"/>
        <v>0</v>
      </c>
      <c r="O239" s="348" t="str">
        <f>_xlfn.XLOOKUP(E239,'All Products'!D:D,'All Products'!I:I,FALSE)</f>
        <v>In Stock</v>
      </c>
      <c r="P239" s="348" t="str">
        <f>_xlfn.XLOOKUP(E239,'All Products'!D:D,'All Products'!J:J,FALSE)</f>
        <v>Manufactured</v>
      </c>
      <c r="Q239" s="348" t="str">
        <f>_xlfn.XLOOKUP(E239,'All Products'!D:D,'All Products'!K:K,FALSE)</f>
        <v>049081171117</v>
      </c>
      <c r="R239" s="351" t="str">
        <f>_xlfn.XLOOKUP(E239,'All Products'!D:D,'All Products'!L:L,FALSE)</f>
        <v>-</v>
      </c>
      <c r="S239" s="351" t="str">
        <f>_xlfn.XLOOKUP(E239,'All Products'!D:D,'All Products'!M:M,FALSE)</f>
        <v>40049081171115</v>
      </c>
      <c r="T239" s="348">
        <f>_xlfn.XLOOKUP(E239,'All Products'!D:D,'All Products'!N:N,FALSE)</f>
        <v>7.4249999999999998</v>
      </c>
      <c r="U239" s="351" t="str">
        <f>_xlfn.XLOOKUP(E239,'All Products'!D:D,'All Products'!O:O,FALSE)</f>
        <v>-</v>
      </c>
      <c r="V239" s="348">
        <f>_xlfn.XLOOKUP(E239,'All Products'!D:D,'All Products'!P:P,FALSE)</f>
        <v>14.65</v>
      </c>
      <c r="W239" s="348">
        <f>_xlfn.XLOOKUP(E239,'All Products'!D:D,'All Products'!Q:Q,FALSE)</f>
        <v>0.8</v>
      </c>
    </row>
    <row r="240" spans="1:23">
      <c r="A240" s="104" t="str">
        <f>IF(K240&gt;0,COUNT($A$7:A239)+COUNT('DWV PVC'!$A$8:$A$284)
+COUNT('DWV ABS'!$A$8:$A$116)
+COUNT('PVC SCH40'!$A$8:$A$375)
+COUNT('PVC SCH40 LD'!$A$8:$A$21)
+COUNT('Pool &amp; SPA Sweep Elbows'!$A$8:$A$11)
+COUNT('Pool &amp; SPA Pipe Extender'!$A$8:$A$10)+1,"")</f>
        <v/>
      </c>
      <c r="B240" s="577"/>
      <c r="C240" s="578"/>
      <c r="D240" s="155" t="str">
        <f>_xlfn.XLOOKUP(E240,'All Products'!D:D,'All Products'!C:C,FALSE)</f>
        <v>898-002</v>
      </c>
      <c r="E240" s="106">
        <v>100028195</v>
      </c>
      <c r="F240" s="559" t="str">
        <f>_xlfn.XLOOKUP(E240,'All Products'!D:D,'All Products'!E:E,FALSE)</f>
        <v>1/4 UNION FIPTXFIPT SCH80</v>
      </c>
      <c r="G240" s="283">
        <f>_xlfn.XLOOKUP(E240,'All Products'!D:D,'All Products'!F:F,FALSE)</f>
        <v>100</v>
      </c>
      <c r="H240" s="234">
        <f>_xlfn.XLOOKUP(E240,'All Products'!D:D,'All Products'!G:G,FALSE)</f>
        <v>15000</v>
      </c>
      <c r="I240" s="561">
        <f>_xlfn.XLOOKUP(E240,'All Products'!D:D,'All Products'!H:H,FALSE)</f>
        <v>76.36</v>
      </c>
      <c r="J240" s="135">
        <f>ROUND(I240*Order_Quote!$L$8,2)</f>
        <v>381.8</v>
      </c>
      <c r="K240" s="78"/>
      <c r="L240" s="116"/>
      <c r="M240" s="199">
        <f t="shared" si="6"/>
        <v>0</v>
      </c>
      <c r="O240" s="348" t="str">
        <f>_xlfn.XLOOKUP(E240,'All Products'!D:D,'All Products'!I:I,FALSE)</f>
        <v>Within 3 Weeks</v>
      </c>
      <c r="P240" s="348" t="str">
        <f>_xlfn.XLOOKUP(E240,'All Products'!D:D,'All Products'!J:J,FALSE)</f>
        <v>Manufactured</v>
      </c>
      <c r="Q240" s="348" t="str">
        <f>_xlfn.XLOOKUP(E240,'All Products'!D:D,'All Products'!K:K,FALSE)</f>
        <v>049081171186</v>
      </c>
      <c r="R240" s="351" t="str">
        <f>_xlfn.XLOOKUP(E240,'All Products'!D:D,'All Products'!L:L,FALSE)</f>
        <v>049081671181</v>
      </c>
      <c r="S240" s="351" t="str">
        <f>_xlfn.XLOOKUP(E240,'All Products'!D:D,'All Products'!M:M,FALSE)</f>
        <v>40049081171184</v>
      </c>
      <c r="T240" s="348">
        <f>_xlfn.XLOOKUP(E240,'All Products'!D:D,'All Products'!N:N,FALSE)</f>
        <v>0.123</v>
      </c>
      <c r="U240" s="351">
        <f>_xlfn.XLOOKUP(E240,'All Products'!D:D,'All Products'!O:O,FALSE)</f>
        <v>5</v>
      </c>
      <c r="V240" s="348">
        <f>_xlfn.XLOOKUP(E240,'All Products'!D:D,'All Products'!P:P,FALSE)</f>
        <v>12.03</v>
      </c>
      <c r="W240" s="348">
        <f>_xlfn.XLOOKUP(E240,'All Products'!D:D,'All Products'!Q:Q,FALSE)</f>
        <v>0.5</v>
      </c>
    </row>
    <row r="241" spans="1:23">
      <c r="A241" s="104" t="str">
        <f>IF(K241&gt;0,COUNT($A$7:A240)+COUNT('DWV PVC'!$A$8:$A$284)
+COUNT('DWV ABS'!$A$8:$A$116)
+COUNT('PVC SCH40'!$A$8:$A$375)
+COUNT('PVC SCH40 LD'!$A$8:$A$21)
+COUNT('Pool &amp; SPA Sweep Elbows'!$A$8:$A$11)
+COUNT('Pool &amp; SPA Pipe Extender'!$A$8:$A$10)+1,"")</f>
        <v/>
      </c>
      <c r="B241" s="579"/>
      <c r="C241" s="580"/>
      <c r="D241" s="155" t="str">
        <f>_xlfn.XLOOKUP(E241,'All Products'!D:D,'All Products'!C:C,FALSE)</f>
        <v>898-003</v>
      </c>
      <c r="E241" s="106">
        <v>100028196</v>
      </c>
      <c r="F241" s="559" t="str">
        <f>_xlfn.XLOOKUP(E241,'All Products'!D:D,'All Products'!E:E,FALSE)</f>
        <v>3/8 UNION FIPTXFIPT SCH80</v>
      </c>
      <c r="G241" s="283">
        <f>_xlfn.XLOOKUP(E241,'All Products'!D:D,'All Products'!F:F,FALSE)</f>
        <v>100</v>
      </c>
      <c r="H241" s="234">
        <f>_xlfn.XLOOKUP(E241,'All Products'!D:D,'All Products'!G:G,FALSE)</f>
        <v>9000</v>
      </c>
      <c r="I241" s="561">
        <f>_xlfn.XLOOKUP(E241,'All Products'!D:D,'All Products'!H:H,FALSE)</f>
        <v>76.36</v>
      </c>
      <c r="J241" s="135">
        <f>ROUND(I241*Order_Quote!$L$8,2)</f>
        <v>381.8</v>
      </c>
      <c r="K241" s="78"/>
      <c r="L241" s="116"/>
      <c r="M241" s="199">
        <f t="shared" si="6"/>
        <v>0</v>
      </c>
      <c r="O241" s="348" t="str">
        <f>_xlfn.XLOOKUP(E241,'All Products'!D:D,'All Products'!I:I,FALSE)</f>
        <v>Within 4 Months</v>
      </c>
      <c r="P241" s="348" t="str">
        <f>_xlfn.XLOOKUP(E241,'All Products'!D:D,'All Products'!J:J,FALSE)</f>
        <v>Manufactured</v>
      </c>
      <c r="Q241" s="348" t="str">
        <f>_xlfn.XLOOKUP(E241,'All Products'!D:D,'All Products'!K:K,FALSE)</f>
        <v>049081171193</v>
      </c>
      <c r="R241" s="351">
        <f>_xlfn.XLOOKUP(E241,'All Products'!D:D,'All Products'!L:L,FALSE)</f>
        <v>0</v>
      </c>
      <c r="S241" s="351" t="str">
        <f>_xlfn.XLOOKUP(E241,'All Products'!D:D,'All Products'!M:M,FALSE)</f>
        <v>40049081171191</v>
      </c>
      <c r="T241" s="348">
        <f>_xlfn.XLOOKUP(E241,'All Products'!D:D,'All Products'!N:N,FALSE)</f>
        <v>0.17</v>
      </c>
      <c r="U241" s="351">
        <f>_xlfn.XLOOKUP(E241,'All Products'!D:D,'All Products'!O:O,FALSE)</f>
        <v>5</v>
      </c>
      <c r="V241" s="348">
        <f>_xlfn.XLOOKUP(E241,'All Products'!D:D,'All Products'!P:P,FALSE)</f>
        <v>17</v>
      </c>
      <c r="W241" s="348">
        <f>_xlfn.XLOOKUP(E241,'All Products'!D:D,'All Products'!Q:Q,FALSE)</f>
        <v>0.8</v>
      </c>
    </row>
    <row r="242" spans="1:23">
      <c r="A242" s="104" t="str">
        <f>IF(K242&gt;0,COUNT($A$7:A241)+COUNT('DWV PVC'!$A$8:$A$284)
+COUNT('DWV ABS'!$A$8:$A$116)
+COUNT('PVC SCH40'!$A$8:$A$375)
+COUNT('PVC SCH40 LD'!$A$8:$A$21)
+COUNT('Pool &amp; SPA Sweep Elbows'!$A$8:$A$11)
+COUNT('Pool &amp; SPA Pipe Extender'!$A$8:$A$10)+1,"")</f>
        <v/>
      </c>
      <c r="B242" s="579"/>
      <c r="C242" s="580"/>
      <c r="D242" s="155" t="str">
        <f>_xlfn.XLOOKUP(E242,'All Products'!D:D,'All Products'!C:C,FALSE)</f>
        <v>898-005</v>
      </c>
      <c r="E242" s="106">
        <v>100028197</v>
      </c>
      <c r="F242" s="559" t="str">
        <f>_xlfn.XLOOKUP(E242,'All Products'!D:D,'All Products'!E:E,FALSE)</f>
        <v>1/2 UNION FIPTXFIPT SCH80</v>
      </c>
      <c r="G242" s="283">
        <f>_xlfn.XLOOKUP(E242,'All Products'!D:D,'All Products'!F:F,FALSE)</f>
        <v>50</v>
      </c>
      <c r="H242" s="234">
        <f>_xlfn.XLOOKUP(E242,'All Products'!D:D,'All Products'!G:G,FALSE)</f>
        <v>13500</v>
      </c>
      <c r="I242" s="561">
        <f>_xlfn.XLOOKUP(E242,'All Products'!D:D,'All Products'!H:H,FALSE)</f>
        <v>43.96</v>
      </c>
      <c r="J242" s="135">
        <f>ROUND(I242*Order_Quote!$L$8,2)</f>
        <v>219.8</v>
      </c>
      <c r="K242" s="78"/>
      <c r="L242" s="116"/>
      <c r="M242" s="199">
        <f t="shared" si="6"/>
        <v>0</v>
      </c>
      <c r="O242" s="348" t="str">
        <f>_xlfn.XLOOKUP(E242,'All Products'!D:D,'All Products'!I:I,FALSE)</f>
        <v>Within 3 Weeks</v>
      </c>
      <c r="P242" s="348" t="str">
        <f>_xlfn.XLOOKUP(E242,'All Products'!D:D,'All Products'!J:J,FALSE)</f>
        <v>Manufactured</v>
      </c>
      <c r="Q242" s="348" t="str">
        <f>_xlfn.XLOOKUP(E242,'All Products'!D:D,'All Products'!K:K,FALSE)</f>
        <v>049081171209</v>
      </c>
      <c r="R242" s="351" t="str">
        <f>_xlfn.XLOOKUP(E242,'All Products'!D:D,'All Products'!L:L,FALSE)</f>
        <v>-</v>
      </c>
      <c r="S242" s="351" t="str">
        <f>_xlfn.XLOOKUP(E242,'All Products'!D:D,'All Products'!M:M,FALSE)</f>
        <v>40049081171207</v>
      </c>
      <c r="T242" s="348">
        <f>_xlfn.XLOOKUP(E242,'All Products'!D:D,'All Products'!N:N,FALSE)</f>
        <v>0.128</v>
      </c>
      <c r="U242" s="351" t="str">
        <f>_xlfn.XLOOKUP(E242,'All Products'!D:D,'All Products'!O:O,FALSE)</f>
        <v>-</v>
      </c>
      <c r="V242" s="348">
        <f>_xlfn.XLOOKUP(E242,'All Products'!D:D,'All Products'!P:P,FALSE)</f>
        <v>8.49</v>
      </c>
      <c r="W242" s="348">
        <f>_xlfn.XLOOKUP(E242,'All Products'!D:D,'All Products'!Q:Q,FALSE)</f>
        <v>0.31</v>
      </c>
    </row>
    <row r="243" spans="1:23">
      <c r="A243" s="104" t="str">
        <f>IF(K243&gt;0,COUNT($A$7:A242)+COUNT('DWV PVC'!$A$8:$A$284)
+COUNT('DWV ABS'!$A$8:$A$116)
+COUNT('PVC SCH40'!$A$8:$A$375)
+COUNT('PVC SCH40 LD'!$A$8:$A$21)
+COUNT('Pool &amp; SPA Sweep Elbows'!$A$8:$A$11)
+COUNT('Pool &amp; SPA Pipe Extender'!$A$8:$A$10)+1,"")</f>
        <v/>
      </c>
      <c r="B243" s="579"/>
      <c r="C243" s="580"/>
      <c r="D243" s="155" t="str">
        <f>_xlfn.XLOOKUP(E243,'All Products'!D:D,'All Products'!C:C,FALSE)</f>
        <v>898-007</v>
      </c>
      <c r="E243" s="106">
        <v>100028198</v>
      </c>
      <c r="F243" s="559" t="str">
        <f>_xlfn.XLOOKUP(E243,'All Products'!D:D,'All Products'!E:E,FALSE)</f>
        <v>3/4 UNION FIPTXFIPT SCH80</v>
      </c>
      <c r="G243" s="283">
        <f>_xlfn.XLOOKUP(E243,'All Products'!D:D,'All Products'!F:F,FALSE)</f>
        <v>50</v>
      </c>
      <c r="H243" s="234">
        <f>_xlfn.XLOOKUP(E243,'All Products'!D:D,'All Products'!G:G,FALSE)</f>
        <v>7500</v>
      </c>
      <c r="I243" s="561">
        <f>_xlfn.XLOOKUP(E243,'All Products'!D:D,'All Products'!H:H,FALSE)</f>
        <v>61.55</v>
      </c>
      <c r="J243" s="135">
        <f>ROUND(I243*Order_Quote!$L$8,2)</f>
        <v>307.75</v>
      </c>
      <c r="K243" s="78"/>
      <c r="L243" s="116"/>
      <c r="M243" s="199">
        <f t="shared" si="6"/>
        <v>0</v>
      </c>
      <c r="O243" s="348" t="str">
        <f>_xlfn.XLOOKUP(E243,'All Products'!D:D,'All Products'!I:I,FALSE)</f>
        <v>Within 3 Weeks</v>
      </c>
      <c r="P243" s="348" t="str">
        <f>_xlfn.XLOOKUP(E243,'All Products'!D:D,'All Products'!J:J,FALSE)</f>
        <v>Manufactured</v>
      </c>
      <c r="Q243" s="348" t="str">
        <f>_xlfn.XLOOKUP(E243,'All Products'!D:D,'All Products'!K:K,FALSE)</f>
        <v>049081171223</v>
      </c>
      <c r="R243" s="351" t="str">
        <f>_xlfn.XLOOKUP(E243,'All Products'!D:D,'All Products'!L:L,FALSE)</f>
        <v>-</v>
      </c>
      <c r="S243" s="351" t="str">
        <f>_xlfn.XLOOKUP(E243,'All Products'!D:D,'All Products'!M:M,FALSE)</f>
        <v>40049081171221</v>
      </c>
      <c r="T243" s="348">
        <f>_xlfn.XLOOKUP(E243,'All Products'!D:D,'All Products'!N:N,FALSE)</f>
        <v>0.2</v>
      </c>
      <c r="U243" s="351" t="str">
        <f>_xlfn.XLOOKUP(E243,'All Products'!D:D,'All Products'!O:O,FALSE)</f>
        <v>-</v>
      </c>
      <c r="V243" s="348">
        <f>_xlfn.XLOOKUP(E243,'All Products'!D:D,'All Products'!P:P,FALSE)</f>
        <v>13.36</v>
      </c>
      <c r="W243" s="348">
        <f>_xlfn.XLOOKUP(E243,'All Products'!D:D,'All Products'!Q:Q,FALSE)</f>
        <v>0.5</v>
      </c>
    </row>
    <row r="244" spans="1:23">
      <c r="A244" s="104" t="str">
        <f>IF(K244&gt;0,COUNT($A$7:A243)+COUNT('DWV PVC'!$A$8:$A$284)
+COUNT('DWV ABS'!$A$8:$A$116)
+COUNT('PVC SCH40'!$A$8:$A$375)
+COUNT('PVC SCH40 LD'!$A$8:$A$21)
+COUNT('Pool &amp; SPA Sweep Elbows'!$A$8:$A$11)
+COUNT('Pool &amp; SPA Pipe Extender'!$A$8:$A$10)+1,"")</f>
        <v/>
      </c>
      <c r="B244" s="579"/>
      <c r="C244" s="580"/>
      <c r="D244" s="155" t="str">
        <f>_xlfn.XLOOKUP(E244,'All Products'!D:D,'All Products'!C:C,FALSE)</f>
        <v>898-010</v>
      </c>
      <c r="E244" s="106">
        <v>100028199</v>
      </c>
      <c r="F244" s="559" t="str">
        <f>_xlfn.XLOOKUP(E244,'All Products'!D:D,'All Products'!E:E,FALSE)</f>
        <v>1 UNION FIPTXFIPT SCH80</v>
      </c>
      <c r="G244" s="283">
        <f>_xlfn.XLOOKUP(E244,'All Products'!D:D,'All Products'!F:F,FALSE)</f>
        <v>18</v>
      </c>
      <c r="H244" s="234">
        <f>_xlfn.XLOOKUP(E244,'All Products'!D:D,'All Products'!G:G,FALSE)</f>
        <v>4860</v>
      </c>
      <c r="I244" s="561">
        <f>_xlfn.XLOOKUP(E244,'All Products'!D:D,'All Products'!H:H,FALSE)</f>
        <v>81.96</v>
      </c>
      <c r="J244" s="135">
        <f>ROUND(I244*Order_Quote!$L$8,2)</f>
        <v>409.8</v>
      </c>
      <c r="K244" s="78"/>
      <c r="L244" s="116"/>
      <c r="M244" s="199">
        <f t="shared" si="6"/>
        <v>0</v>
      </c>
      <c r="O244" s="348" t="str">
        <f>_xlfn.XLOOKUP(E244,'All Products'!D:D,'All Products'!I:I,FALSE)</f>
        <v>In Stock</v>
      </c>
      <c r="P244" s="348" t="str">
        <f>_xlfn.XLOOKUP(E244,'All Products'!D:D,'All Products'!J:J,FALSE)</f>
        <v>Manufactured</v>
      </c>
      <c r="Q244" s="348" t="str">
        <f>_xlfn.XLOOKUP(E244,'All Products'!D:D,'All Products'!K:K,FALSE)</f>
        <v>049081171247</v>
      </c>
      <c r="R244" s="351" t="str">
        <f>_xlfn.XLOOKUP(E244,'All Products'!D:D,'All Products'!L:L,FALSE)</f>
        <v>-</v>
      </c>
      <c r="S244" s="351" t="str">
        <f>_xlfn.XLOOKUP(E244,'All Products'!D:D,'All Products'!M:M,FALSE)</f>
        <v>40049081171245</v>
      </c>
      <c r="T244" s="348">
        <f>_xlfn.XLOOKUP(E244,'All Products'!D:D,'All Products'!N:N,FALSE)</f>
        <v>0.31900000000000001</v>
      </c>
      <c r="U244" s="351" t="str">
        <f>_xlfn.XLOOKUP(E244,'All Products'!D:D,'All Products'!O:O,FALSE)</f>
        <v>-</v>
      </c>
      <c r="V244" s="348">
        <f>_xlfn.XLOOKUP(E244,'All Products'!D:D,'All Products'!P:P,FALSE)</f>
        <v>7.04</v>
      </c>
      <c r="W244" s="348">
        <f>_xlfn.XLOOKUP(E244,'All Products'!D:D,'All Products'!Q:Q,FALSE)</f>
        <v>0.31</v>
      </c>
    </row>
    <row r="245" spans="1:23">
      <c r="A245" s="104" t="str">
        <f>IF(K245&gt;0,COUNT($A$7:A244)+COUNT('DWV PVC'!$A$8:$A$284)
+COUNT('DWV ABS'!$A$8:$A$116)
+COUNT('PVC SCH40'!$A$8:$A$375)
+COUNT('PVC SCH40 LD'!$A$8:$A$21)
+COUNT('Pool &amp; SPA Sweep Elbows'!$A$8:$A$11)
+COUNT('Pool &amp; SPA Pipe Extender'!$A$8:$A$10)+1,"")</f>
        <v/>
      </c>
      <c r="B245" s="579"/>
      <c r="C245" s="580"/>
      <c r="D245" s="155" t="str">
        <f>_xlfn.XLOOKUP(E245,'All Products'!D:D,'All Products'!C:C,FALSE)</f>
        <v>898-012</v>
      </c>
      <c r="E245" s="106">
        <v>100028200</v>
      </c>
      <c r="F245" s="559" t="str">
        <f>_xlfn.XLOOKUP(E245,'All Products'!D:D,'All Products'!E:E,FALSE)</f>
        <v>1-1/4 UNION FIPTXFIPT SCH80</v>
      </c>
      <c r="G245" s="283">
        <f>_xlfn.XLOOKUP(E245,'All Products'!D:D,'All Products'!F:F,FALSE)</f>
        <v>10</v>
      </c>
      <c r="H245" s="234">
        <f>_xlfn.XLOOKUP(E245,'All Products'!D:D,'All Products'!G:G,FALSE)</f>
        <v>2700</v>
      </c>
      <c r="I245" s="561">
        <f>_xlfn.XLOOKUP(E245,'All Products'!D:D,'All Products'!H:H,FALSE)</f>
        <v>156.26</v>
      </c>
      <c r="J245" s="135">
        <f>ROUND(I245*Order_Quote!$L$8,2)</f>
        <v>781.3</v>
      </c>
      <c r="K245" s="78"/>
      <c r="L245" s="116"/>
      <c r="M245" s="199">
        <f t="shared" si="6"/>
        <v>0</v>
      </c>
      <c r="O245" s="348" t="str">
        <f>_xlfn.XLOOKUP(E245,'All Products'!D:D,'All Products'!I:I,FALSE)</f>
        <v>In Stock</v>
      </c>
      <c r="P245" s="348" t="str">
        <f>_xlfn.XLOOKUP(E245,'All Products'!D:D,'All Products'!J:J,FALSE)</f>
        <v>Manufactured</v>
      </c>
      <c r="Q245" s="348" t="str">
        <f>_xlfn.XLOOKUP(E245,'All Products'!D:D,'All Products'!K:K,FALSE)</f>
        <v>049081171261</v>
      </c>
      <c r="R245" s="351" t="str">
        <f>_xlfn.XLOOKUP(E245,'All Products'!D:D,'All Products'!L:L,FALSE)</f>
        <v>-</v>
      </c>
      <c r="S245" s="351" t="str">
        <f>_xlfn.XLOOKUP(E245,'All Products'!D:D,'All Products'!M:M,FALSE)</f>
        <v>40049081171269</v>
      </c>
      <c r="T245" s="348">
        <f>_xlfn.XLOOKUP(E245,'All Products'!D:D,'All Products'!N:N,FALSE)</f>
        <v>0.5</v>
      </c>
      <c r="U245" s="351" t="str">
        <f>_xlfn.XLOOKUP(E245,'All Products'!D:D,'All Products'!O:O,FALSE)</f>
        <v>-</v>
      </c>
      <c r="V245" s="348">
        <f>_xlfn.XLOOKUP(E245,'All Products'!D:D,'All Products'!P:P,FALSE)</f>
        <v>5</v>
      </c>
      <c r="W245" s="348">
        <f>_xlfn.XLOOKUP(E245,'All Products'!D:D,'All Products'!Q:Q,FALSE)</f>
        <v>0.31</v>
      </c>
    </row>
    <row r="246" spans="1:23">
      <c r="A246" s="104" t="str">
        <f>IF(K246&gt;0,COUNT($A$7:A245)+COUNT('DWV PVC'!$A$8:$A$284)
+COUNT('DWV ABS'!$A$8:$A$116)
+COUNT('PVC SCH40'!$A$8:$A$375)
+COUNT('PVC SCH40 LD'!$A$8:$A$21)
+COUNT('Pool &amp; SPA Sweep Elbows'!$A$8:$A$11)
+COUNT('Pool &amp; SPA Pipe Extender'!$A$8:$A$10)+1,"")</f>
        <v/>
      </c>
      <c r="B246" s="579"/>
      <c r="C246" s="580"/>
      <c r="D246" s="155" t="str">
        <f>_xlfn.XLOOKUP(E246,'All Products'!D:D,'All Products'!C:C,FALSE)</f>
        <v>898-015</v>
      </c>
      <c r="E246" s="106">
        <v>100028201</v>
      </c>
      <c r="F246" s="559" t="str">
        <f>_xlfn.XLOOKUP(E246,'All Products'!D:D,'All Products'!E:E,FALSE)</f>
        <v>1-1/2 UNION FIPTXFIPT SCH80</v>
      </c>
      <c r="G246" s="283">
        <f>_xlfn.XLOOKUP(E246,'All Products'!D:D,'All Products'!F:F,FALSE)</f>
        <v>10</v>
      </c>
      <c r="H246" s="234">
        <f>_xlfn.XLOOKUP(E246,'All Products'!D:D,'All Products'!G:G,FALSE)</f>
        <v>1500</v>
      </c>
      <c r="I246" s="561">
        <f>_xlfn.XLOOKUP(E246,'All Products'!D:D,'All Products'!H:H,FALSE)</f>
        <v>193.51</v>
      </c>
      <c r="J246" s="135">
        <f>ROUND(I246*Order_Quote!$L$8,2)</f>
        <v>967.55</v>
      </c>
      <c r="K246" s="78"/>
      <c r="L246" s="116"/>
      <c r="M246" s="199">
        <f t="shared" si="6"/>
        <v>0</v>
      </c>
      <c r="O246" s="348" t="str">
        <f>_xlfn.XLOOKUP(E246,'All Products'!D:D,'All Products'!I:I,FALSE)</f>
        <v>Within 3 Weeks</v>
      </c>
      <c r="P246" s="348" t="str">
        <f>_xlfn.XLOOKUP(E246,'All Products'!D:D,'All Products'!J:J,FALSE)</f>
        <v>Manufactured</v>
      </c>
      <c r="Q246" s="348" t="str">
        <f>_xlfn.XLOOKUP(E246,'All Products'!D:D,'All Products'!K:K,FALSE)</f>
        <v>049081171285</v>
      </c>
      <c r="R246" s="351" t="str">
        <f>_xlfn.XLOOKUP(E246,'All Products'!D:D,'All Products'!L:L,FALSE)</f>
        <v>-</v>
      </c>
      <c r="S246" s="351" t="str">
        <f>_xlfn.XLOOKUP(E246,'All Products'!D:D,'All Products'!M:M,FALSE)</f>
        <v>40049081171283</v>
      </c>
      <c r="T246" s="348">
        <f>_xlfn.XLOOKUP(E246,'All Products'!D:D,'All Products'!N:N,FALSE)</f>
        <v>0.86499999999999999</v>
      </c>
      <c r="U246" s="351" t="str">
        <f>_xlfn.XLOOKUP(E246,'All Products'!D:D,'All Products'!O:O,FALSE)</f>
        <v>-</v>
      </c>
      <c r="V246" s="348">
        <f>_xlfn.XLOOKUP(E246,'All Products'!D:D,'All Products'!P:P,FALSE)</f>
        <v>6.92</v>
      </c>
      <c r="W246" s="348">
        <f>_xlfn.XLOOKUP(E246,'All Products'!D:D,'All Products'!Q:Q,FALSE)</f>
        <v>0.5</v>
      </c>
    </row>
    <row r="247" spans="1:23">
      <c r="A247" s="104" t="str">
        <f>IF(K247&gt;0,COUNT($A$7:A246)+COUNT('DWV PVC'!$A$8:$A$284)
+COUNT('DWV ABS'!$A$8:$A$116)
+COUNT('PVC SCH40'!$A$8:$A$375)
+COUNT('PVC SCH40 LD'!$A$8:$A$21)
+COUNT('Pool &amp; SPA Sweep Elbows'!$A$8:$A$11)
+COUNT('Pool &amp; SPA Pipe Extender'!$A$8:$A$10)+1,"")</f>
        <v/>
      </c>
      <c r="B247" s="579"/>
      <c r="C247" s="580"/>
      <c r="D247" s="155" t="str">
        <f>_xlfn.XLOOKUP(E247,'All Products'!D:D,'All Products'!C:C,FALSE)</f>
        <v>898-020</v>
      </c>
      <c r="E247" s="106">
        <v>100028202</v>
      </c>
      <c r="F247" s="559" t="str">
        <f>_xlfn.XLOOKUP(E247,'All Products'!D:D,'All Products'!E:E,FALSE)</f>
        <v>2 UNION FIPTXFIPT SCH80</v>
      </c>
      <c r="G247" s="283">
        <f>_xlfn.XLOOKUP(E247,'All Products'!D:D,'All Products'!F:F,FALSE)</f>
        <v>16</v>
      </c>
      <c r="H247" s="234">
        <f>_xlfn.XLOOKUP(E247,'All Products'!D:D,'All Products'!G:G,FALSE)</f>
        <v>1200</v>
      </c>
      <c r="I247" s="561">
        <f>_xlfn.XLOOKUP(E247,'All Products'!D:D,'All Products'!H:H,FALSE)</f>
        <v>297.79000000000002</v>
      </c>
      <c r="J247" s="135">
        <f>ROUND(I247*Order_Quote!$L$8,2)</f>
        <v>1488.95</v>
      </c>
      <c r="K247" s="78"/>
      <c r="L247" s="116"/>
      <c r="M247" s="199">
        <f t="shared" si="6"/>
        <v>0</v>
      </c>
      <c r="O247" s="348" t="str">
        <f>_xlfn.XLOOKUP(E247,'All Products'!D:D,'All Products'!I:I,FALSE)</f>
        <v>Within 3 Weeks</v>
      </c>
      <c r="P247" s="348" t="str">
        <f>_xlfn.XLOOKUP(E247,'All Products'!D:D,'All Products'!J:J,FALSE)</f>
        <v>Manufactured</v>
      </c>
      <c r="Q247" s="348" t="str">
        <f>_xlfn.XLOOKUP(E247,'All Products'!D:D,'All Products'!K:K,FALSE)</f>
        <v>049081171308</v>
      </c>
      <c r="R247" s="351" t="str">
        <f>_xlfn.XLOOKUP(E247,'All Products'!D:D,'All Products'!L:L,FALSE)</f>
        <v>-</v>
      </c>
      <c r="S247" s="351" t="str">
        <f>_xlfn.XLOOKUP(E247,'All Products'!D:D,'All Products'!M:M,FALSE)</f>
        <v>40049081171306</v>
      </c>
      <c r="T247" s="348">
        <f>_xlfn.XLOOKUP(E247,'All Products'!D:D,'All Products'!N:N,FALSE)</f>
        <v>1.8140000000000001</v>
      </c>
      <c r="U247" s="351" t="str">
        <f>_xlfn.XLOOKUP(E247,'All Products'!D:D,'All Products'!O:O,FALSE)</f>
        <v>-</v>
      </c>
      <c r="V247" s="348">
        <f>_xlfn.XLOOKUP(E247,'All Products'!D:D,'All Products'!P:P,FALSE)</f>
        <v>14.15</v>
      </c>
      <c r="W247" s="348">
        <f>_xlfn.XLOOKUP(E247,'All Products'!D:D,'All Products'!Q:Q,FALSE)</f>
        <v>1.1000000000000001</v>
      </c>
    </row>
    <row r="248" spans="1:23">
      <c r="A248" s="104" t="str">
        <f>IF(K248&gt;0,COUNT($A$7:A247)+COUNT('DWV PVC'!$A$8:$A$284)
+COUNT('DWV ABS'!$A$8:$A$116)
+COUNT('PVC SCH40'!$A$8:$A$375)
+COUNT('PVC SCH40 LD'!$A$8:$A$21)
+COUNT('Pool &amp; SPA Sweep Elbows'!$A$8:$A$11)
+COUNT('Pool &amp; SPA Pipe Extender'!$A$8:$A$10)+1,"")</f>
        <v/>
      </c>
      <c r="B248" s="579"/>
      <c r="C248" s="580"/>
      <c r="D248" s="155" t="str">
        <f>_xlfn.XLOOKUP(E248,'All Products'!D:D,'All Products'!C:C,FALSE)</f>
        <v>898-030</v>
      </c>
      <c r="E248" s="106">
        <v>100028204</v>
      </c>
      <c r="F248" s="559" t="str">
        <f>_xlfn.XLOOKUP(E248,'All Products'!D:D,'All Products'!E:E,FALSE)</f>
        <v>3 UNION FIPTXFIPT SCH80</v>
      </c>
      <c r="G248" s="283">
        <f>_xlfn.XLOOKUP(E248,'All Products'!D:D,'All Products'!F:F,FALSE)</f>
        <v>3</v>
      </c>
      <c r="H248" s="234">
        <f>_xlfn.XLOOKUP(E248,'All Products'!D:D,'All Products'!G:G,FALSE)</f>
        <v>450</v>
      </c>
      <c r="I248" s="561">
        <f>_xlfn.XLOOKUP(E248,'All Products'!D:D,'All Products'!H:H,FALSE)</f>
        <v>755.39</v>
      </c>
      <c r="J248" s="135">
        <f>ROUND(I248*Order_Quote!$L$8,2)</f>
        <v>3776.95</v>
      </c>
      <c r="K248" s="78"/>
      <c r="L248" s="116"/>
      <c r="M248" s="199">
        <f t="shared" si="6"/>
        <v>0</v>
      </c>
      <c r="O248" s="348" t="str">
        <f>_xlfn.XLOOKUP(E248,'All Products'!D:D,'All Products'!I:I,FALSE)</f>
        <v>In Stock</v>
      </c>
      <c r="P248" s="348" t="str">
        <f>_xlfn.XLOOKUP(E248,'All Products'!D:D,'All Products'!J:J,FALSE)</f>
        <v>Manufactured</v>
      </c>
      <c r="Q248" s="348" t="str">
        <f>_xlfn.XLOOKUP(E248,'All Products'!D:D,'All Products'!K:K,FALSE)</f>
        <v>049081171322</v>
      </c>
      <c r="R248" s="351" t="str">
        <f>_xlfn.XLOOKUP(E248,'All Products'!D:D,'All Products'!L:L,FALSE)</f>
        <v>-</v>
      </c>
      <c r="S248" s="351" t="str">
        <f>_xlfn.XLOOKUP(E248,'All Products'!D:D,'All Products'!M:M,FALSE)</f>
        <v>40049081171320</v>
      </c>
      <c r="T248" s="348">
        <f>_xlfn.XLOOKUP(E248,'All Products'!D:D,'All Products'!N:N,FALSE)</f>
        <v>3.1829999999999998</v>
      </c>
      <c r="U248" s="351" t="str">
        <f>_xlfn.XLOOKUP(E248,'All Products'!D:D,'All Products'!O:O,FALSE)</f>
        <v>-</v>
      </c>
      <c r="V248" s="348">
        <f>_xlfn.XLOOKUP(E248,'All Products'!D:D,'All Products'!P:P,FALSE)</f>
        <v>7.84</v>
      </c>
      <c r="W248" s="348">
        <f>_xlfn.XLOOKUP(E248,'All Products'!D:D,'All Products'!Q:Q,FALSE)</f>
        <v>0.5</v>
      </c>
    </row>
    <row r="249" spans="1:23">
      <c r="A249" s="104" t="str">
        <f>IF(K249&gt;0,COUNT($A$7:A248)+COUNT('DWV PVC'!$A$8:$A$284)
+COUNT('DWV ABS'!$A$8:$A$116)
+COUNT('PVC SCH40'!$A$8:$A$375)
+COUNT('PVC SCH40 LD'!$A$8:$A$21)
+COUNT('Pool &amp; SPA Sweep Elbows'!$A$8:$A$11)
+COUNT('Pool &amp; SPA Pipe Extender'!$A$8:$A$10)+1,"")</f>
        <v/>
      </c>
      <c r="B249" s="581"/>
      <c r="C249" s="582"/>
      <c r="D249" s="155" t="str">
        <f>_xlfn.XLOOKUP(E249,'All Products'!D:D,'All Products'!C:C,FALSE)</f>
        <v>898-040</v>
      </c>
      <c r="E249" s="106">
        <v>100028205</v>
      </c>
      <c r="F249" s="559" t="str">
        <f>_xlfn.XLOOKUP(E249,'All Products'!D:D,'All Products'!E:E,FALSE)</f>
        <v>4 UNION FIPTXFIPT SCH80</v>
      </c>
      <c r="G249" s="283">
        <f>_xlfn.XLOOKUP(E249,'All Products'!D:D,'All Products'!F:F,FALSE)</f>
        <v>2</v>
      </c>
      <c r="H249" s="234">
        <f>_xlfn.XLOOKUP(E249,'All Products'!D:D,'All Products'!G:G,FALSE)</f>
        <v>180</v>
      </c>
      <c r="I249" s="561">
        <f>_xlfn.XLOOKUP(E249,'All Products'!D:D,'All Products'!H:H,FALSE)</f>
        <v>883.53</v>
      </c>
      <c r="J249" s="135">
        <f>ROUND(I249*Order_Quote!$L$8,2)</f>
        <v>4417.6499999999996</v>
      </c>
      <c r="K249" s="78"/>
      <c r="L249" s="116"/>
      <c r="M249" s="199">
        <f t="shared" si="6"/>
        <v>0</v>
      </c>
      <c r="O249" s="348" t="str">
        <f>_xlfn.XLOOKUP(E249,'All Products'!D:D,'All Products'!I:I,FALSE)</f>
        <v>In Stock</v>
      </c>
      <c r="P249" s="348" t="str">
        <f>_xlfn.XLOOKUP(E249,'All Products'!D:D,'All Products'!J:J,FALSE)</f>
        <v>Manufactured</v>
      </c>
      <c r="Q249" s="348" t="str">
        <f>_xlfn.XLOOKUP(E249,'All Products'!D:D,'All Products'!K:K,FALSE)</f>
        <v>049081171216</v>
      </c>
      <c r="R249" s="351" t="str">
        <f>_xlfn.XLOOKUP(E249,'All Products'!D:D,'All Products'!L:L,FALSE)</f>
        <v>-</v>
      </c>
      <c r="S249" s="351" t="str">
        <f>_xlfn.XLOOKUP(E249,'All Products'!D:D,'All Products'!M:M,FALSE)</f>
        <v>40049081171214</v>
      </c>
      <c r="T249" s="348">
        <f>_xlfn.XLOOKUP(E249,'All Products'!D:D,'All Products'!N:N,FALSE)</f>
        <v>7.48</v>
      </c>
      <c r="U249" s="351" t="str">
        <f>_xlfn.XLOOKUP(E249,'All Products'!D:D,'All Products'!O:O,FALSE)</f>
        <v>-</v>
      </c>
      <c r="V249" s="348">
        <f>_xlfn.XLOOKUP(E249,'All Products'!D:D,'All Products'!P:P,FALSE)</f>
        <v>14.98</v>
      </c>
      <c r="W249" s="348">
        <f>_xlfn.XLOOKUP(E249,'All Products'!D:D,'All Products'!Q:Q,FALSE)</f>
        <v>0.8</v>
      </c>
    </row>
    <row r="250" spans="1:23">
      <c r="A250" s="104">
        <f>MAX(A8:A249)+1</f>
        <v>1</v>
      </c>
      <c r="T250" s="352"/>
    </row>
    <row r="251" spans="1:23"/>
    <row r="252" spans="1:23"/>
    <row r="253" spans="1:23"/>
    <row r="254" spans="1:23"/>
    <row r="255" spans="1:23"/>
    <row r="256" spans="1:23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</sheetData>
  <sheetProtection algorithmName="SHA-512" hashValue="3il1t2KZdcm9vG+u7tK2Mn/R0sH2joLO6338evmA1dAUn7RzJC5DLkkLsW9xwCfddm3STJaa/V+4KssfMI5eTw==" saltValue="0yjitnMwUkvFR4sdaElnnw==" spinCount="100000" sheet="1" formatCells="0" formatColumns="0" formatRows="0" insertColumns="0" insertRows="0" insertHyperlinks="0" deleteColumns="0" deleteRows="0" sort="0" autoFilter="0" pivotTables="0"/>
  <mergeCells count="29">
    <mergeCell ref="B226:C226"/>
    <mergeCell ref="B227:C228"/>
    <mergeCell ref="B229:C239"/>
    <mergeCell ref="B240:C249"/>
    <mergeCell ref="B147:C174"/>
    <mergeCell ref="B175:C196"/>
    <mergeCell ref="B197:C208"/>
    <mergeCell ref="B209:C216"/>
    <mergeCell ref="B217:C225"/>
    <mergeCell ref="J2:K3"/>
    <mergeCell ref="B93:C93"/>
    <mergeCell ref="B94:C103"/>
    <mergeCell ref="B104:C114"/>
    <mergeCell ref="B115:C119"/>
    <mergeCell ref="B120:C146"/>
    <mergeCell ref="B63:C66"/>
    <mergeCell ref="B92:C92"/>
    <mergeCell ref="B47:C48"/>
    <mergeCell ref="B49:C49"/>
    <mergeCell ref="B50:C62"/>
    <mergeCell ref="Q6:S6"/>
    <mergeCell ref="B67:C79"/>
    <mergeCell ref="B80:C81"/>
    <mergeCell ref="B82:C91"/>
    <mergeCell ref="B21:C26"/>
    <mergeCell ref="B27:C35"/>
    <mergeCell ref="B36:C38"/>
    <mergeCell ref="B39:C46"/>
    <mergeCell ref="B8:C20"/>
  </mergeCells>
  <dataValidations count="4"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L1:L6 K1 K66:L65266" xr:uid="{00000000-0002-0000-0A00-000000000000}">
      <formula1>1</formula1>
    </dataValidation>
    <dataValidation type="decimal" operator="lessThanOrEqual" allowBlank="1" showInputMessage="1" showErrorMessage="1" errorTitle="Invalid Entry!" error="An invalid quantity has been entered. Please enter only decimal numbers. Click Retry to change entry or Cancel to clear entry." sqref="E2" xr:uid="{00000000-0002-0000-0A00-000001000000}">
      <formula1>0.35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sqref="K7:L7 K6" xr:uid="{00000000-0002-0000-0A00-000003000000}">
      <formula1>1</formula1>
    </dataValidation>
    <dataValidation type="whole" operator="greaterThanOrEqual" allowBlank="1" showInputMessage="1" showErrorMessage="1" errorTitle="Invalid Entry!" error="An invalid quantity has been entered. Please enter only whole numbers. Click Retry to change entry or Cancel to clear entry." promptTitle="Box Quantities" prompt="Enter only whole box quantities" sqref="K8:L65" xr:uid="{00000000-0002-0000-0A00-000002000000}">
      <formula1>1</formula1>
    </dataValidation>
  </dataValidations>
  <printOptions horizontalCentered="1"/>
  <pageMargins left="0.7" right="0.7" top="0.75" bottom="0.75" header="0.3" footer="0.3"/>
  <pageSetup scale="70" fitToHeight="0" orientation="portrait" horizontalDpi="4294967292" r:id="rId1"/>
  <headerFooter>
    <oddFooter>&amp;L&amp;8V06032014&amp;CCopyright 2014
All rights reserved
For Tigre-ADS USA customer and rep use only&amp;R&amp;P</oddFooter>
  </headerFooter>
  <rowBreaks count="5" manualBreakCount="5">
    <brk id="46" max="8" man="1"/>
    <brk id="91" max="8" man="1"/>
    <brk id="119" max="8" man="1"/>
    <brk id="174" max="8" man="1"/>
    <brk id="216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6C3A133FF7F64888EBC41172B4DF4F" ma:contentTypeVersion="22" ma:contentTypeDescription="Create a new document." ma:contentTypeScope="" ma:versionID="81f1e35ba3b6929674d618a2cea4286c">
  <xsd:schema xmlns:xsd="http://www.w3.org/2001/XMLSchema" xmlns:xs="http://www.w3.org/2001/XMLSchema" xmlns:p="http://schemas.microsoft.com/office/2006/metadata/properties" xmlns:ns2="8c60532b-8f12-42bc-92c4-ac83d50c6016" xmlns:ns3="429a89f3-ef4e-465e-8ddd-fbde81e1a35a" targetNamespace="http://schemas.microsoft.com/office/2006/metadata/properties" ma:root="true" ma:fieldsID="3c72d15b60e4d1c015376398d67758eb" ns2:_="" ns3:_="">
    <xsd:import namespace="8c60532b-8f12-42bc-92c4-ac83d50c6016"/>
    <xsd:import namespace="429a89f3-ef4e-465e-8ddd-fbde81e1a35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60532b-8f12-42bc-92c4-ac83d50c6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5d3f5c1f-3c76-4ed6-83ee-3900863d08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5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a89f3-ef4e-465e-8ddd-fbde81e1a35a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9a2a4c3-1bdd-4486-81b2-83d6d5a2de4a}" ma:internalName="TaxCatchAll" ma:showField="CatchAllData" ma:web="429a89f3-ef4e-465e-8ddd-fbde81e1a35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29a89f3-ef4e-465e-8ddd-fbde81e1a35a" xsi:nil="true"/>
    <lcf76f155ced4ddcb4097134ff3c332f xmlns="8c60532b-8f12-42bc-92c4-ac83d50c601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77038CE-D777-434F-84D0-8A6420281034}"/>
</file>

<file path=customXml/itemProps2.xml><?xml version="1.0" encoding="utf-8"?>
<ds:datastoreItem xmlns:ds="http://schemas.openxmlformats.org/officeDocument/2006/customXml" ds:itemID="{00754390-9C08-41E2-913E-53A19F0145A8}"/>
</file>

<file path=customXml/itemProps3.xml><?xml version="1.0" encoding="utf-8"?>
<ds:datastoreItem xmlns:ds="http://schemas.openxmlformats.org/officeDocument/2006/customXml" ds:itemID="{77381262-90BE-4C14-A16C-D77FFC3475A8}"/>
</file>

<file path=docMetadata/LabelInfo.xml><?xml version="1.0" encoding="utf-8"?>
<clbl:labelList xmlns:clbl="http://schemas.microsoft.com/office/2020/mipLabelMetadata">
  <clbl:label id="{c2c43651-0732-46ed-a81b-90b35ad7b8ee}" enabled="1" method="Privileged" siteId="{52130f36-b8f4-4f15-9651-970d647a38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Tigre USA order workbook</dc:title>
  <dc:subject>April 2012 revision</dc:subject>
  <dc:creator>tigreusa.managers@tigre.com</dc:creator>
  <cp:keywords/>
  <dc:description/>
  <cp:lastModifiedBy>Beyonce Garcia</cp:lastModifiedBy>
  <cp:revision/>
  <dcterms:created xsi:type="dcterms:W3CDTF">2009-06-16T19:41:05Z</dcterms:created>
  <dcterms:modified xsi:type="dcterms:W3CDTF">2026-04-16T18:29:26Z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0x010100B56C3A133FF7F64888EBC41172B4DF4F</vt:lpwstr>
  </property>
  <property fmtid="{D5CDD505-2E9C-101B-9397-08002B2CF9AE}" pid="3" name="MediaServiceImageTags">
    <vt:lpwstr/>
  </property>
  <property fmtid="{D5CDD505-2E9C-101B-9397-08002B2CF9AE}" pid="4" name="NXPowerLiteLastOptimized">
    <vt:lpwstr>11321749</vt:lpwstr>
  </property>
  <property fmtid="{D5CDD505-2E9C-101B-9397-08002B2CF9AE}" pid="5" name="NXPowerLiteSettings">
    <vt:lpwstr>C7000400038000</vt:lpwstr>
  </property>
  <property fmtid="{D5CDD505-2E9C-101B-9397-08002B2CF9AE}" pid="6" name="NXPowerLiteVersion">
    <vt:lpwstr>S10.0.0</vt:lpwstr>
  </property>
</Properties>
</file>